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325"/>
  <workbookPr defaultThemeVersion="166925"/>
  <mc:AlternateContent xmlns:mc="http://schemas.openxmlformats.org/markup-compatibility/2006">
    <mc:Choice Requires="x15">
      <x15ac:absPath xmlns:x15ac="http://schemas.microsoft.com/office/spreadsheetml/2010/11/ac" url="X:\z_cfmodMaster\TPM\tools\richs\"/>
    </mc:Choice>
  </mc:AlternateContent>
  <xr:revisionPtr revIDLastSave="0" documentId="13_ncr:1_{1C0A62B3-7472-4732-9333-889826D239E2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Alias_List" sheetId="1" r:id="rId1"/>
  </sheets>
  <definedNames>
    <definedName name="_xlnm._FilterDatabase" localSheetId="0" hidden="1">Alias_List!$A$1:$G$22601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13891" i="1" l="1"/>
  <c r="D13891" i="1"/>
  <c r="G13891" i="1"/>
  <c r="B1850" i="1"/>
  <c r="D1850" i="1"/>
  <c r="G1850" i="1"/>
  <c r="B13603" i="1"/>
  <c r="D13603" i="1"/>
  <c r="G13603" i="1"/>
  <c r="B17300" i="1"/>
  <c r="D17300" i="1"/>
  <c r="G17300" i="1"/>
  <c r="B12638" i="1"/>
  <c r="D12638" i="1"/>
  <c r="G12638" i="1"/>
  <c r="B7035" i="1"/>
  <c r="D7035" i="1"/>
  <c r="G7035" i="1"/>
  <c r="B13609" i="1"/>
  <c r="D13609" i="1"/>
  <c r="G13609" i="1"/>
  <c r="B9353" i="1"/>
  <c r="D9353" i="1"/>
  <c r="G9353" i="1"/>
  <c r="B7036" i="1"/>
  <c r="D7036" i="1"/>
  <c r="G7036" i="1"/>
  <c r="B66" i="1"/>
  <c r="D66" i="1"/>
  <c r="G66" i="1"/>
  <c r="B4259" i="1"/>
  <c r="D4259" i="1"/>
  <c r="G4259" i="1"/>
  <c r="B67" i="1"/>
  <c r="D67" i="1"/>
  <c r="G67" i="1"/>
  <c r="B4924" i="1"/>
  <c r="D4924" i="1"/>
  <c r="G4924" i="1"/>
  <c r="B9865" i="1"/>
  <c r="D9865" i="1"/>
  <c r="G9865" i="1"/>
  <c r="B369" i="1"/>
  <c r="D369" i="1"/>
  <c r="G369" i="1"/>
  <c r="B9354" i="1"/>
  <c r="D9354" i="1"/>
  <c r="G9354" i="1"/>
  <c r="B5292" i="1"/>
  <c r="D5292" i="1"/>
  <c r="G5292" i="1"/>
  <c r="B4676" i="1"/>
  <c r="D4676" i="1"/>
  <c r="G4676" i="1"/>
  <c r="B5098" i="1"/>
  <c r="D5098" i="1"/>
  <c r="G5098" i="1"/>
  <c r="B5099" i="1"/>
  <c r="D5099" i="1"/>
  <c r="G5099" i="1"/>
  <c r="B8619" i="1"/>
  <c r="D8619" i="1"/>
  <c r="G8619" i="1"/>
  <c r="B3325" i="1"/>
  <c r="D3325" i="1"/>
  <c r="G3325" i="1"/>
  <c r="B9175" i="1"/>
  <c r="D9175" i="1"/>
  <c r="G9175" i="1"/>
  <c r="B3386" i="1"/>
  <c r="D3386" i="1"/>
  <c r="G3386" i="1"/>
  <c r="B3405" i="1"/>
  <c r="D3405" i="1"/>
  <c r="G3405" i="1"/>
  <c r="B9355" i="1"/>
  <c r="D9355" i="1"/>
  <c r="G9355" i="1"/>
  <c r="B2196" i="1"/>
  <c r="D2196" i="1"/>
  <c r="G2196" i="1"/>
  <c r="B12362" i="1"/>
  <c r="D12362" i="1"/>
  <c r="G12362" i="1"/>
  <c r="B9356" i="1"/>
  <c r="D9356" i="1"/>
  <c r="G9356" i="1"/>
  <c r="B13892" i="1"/>
  <c r="D13892" i="1"/>
  <c r="G13892" i="1"/>
  <c r="B10024" i="1"/>
  <c r="D10024" i="1"/>
  <c r="G10024" i="1"/>
  <c r="B4186" i="1"/>
  <c r="D4186" i="1"/>
  <c r="G4186" i="1"/>
  <c r="B4891" i="1"/>
  <c r="D4891" i="1"/>
  <c r="G4891" i="1"/>
  <c r="B3425" i="1"/>
  <c r="D3425" i="1"/>
  <c r="G3425" i="1"/>
  <c r="B13768" i="1"/>
  <c r="D13768" i="1"/>
  <c r="G13768" i="1"/>
  <c r="B4513" i="1"/>
  <c r="D4513" i="1"/>
  <c r="G4513" i="1"/>
  <c r="B3844" i="1"/>
  <c r="D3844" i="1"/>
  <c r="G3844" i="1"/>
  <c r="B243" i="1"/>
  <c r="D243" i="1"/>
  <c r="G243" i="1"/>
  <c r="B11026" i="1"/>
  <c r="D11026" i="1"/>
  <c r="G11026" i="1"/>
  <c r="B9154" i="1"/>
  <c r="D9154" i="1"/>
  <c r="G9154" i="1"/>
  <c r="B21343" i="1"/>
  <c r="D21343" i="1"/>
  <c r="G21343" i="1"/>
  <c r="B10248" i="1"/>
  <c r="D10248" i="1"/>
  <c r="G10248" i="1"/>
  <c r="B13776" i="1"/>
  <c r="D13776" i="1"/>
  <c r="G13776" i="1"/>
  <c r="B10030" i="1"/>
  <c r="D10030" i="1"/>
  <c r="G10030" i="1"/>
  <c r="B1428" i="1"/>
  <c r="D1428" i="1"/>
  <c r="G1428" i="1"/>
  <c r="B370" i="1"/>
  <c r="D370" i="1"/>
  <c r="G370" i="1"/>
  <c r="B345" i="1"/>
  <c r="D345" i="1"/>
  <c r="G345" i="1"/>
  <c r="B2" i="1"/>
  <c r="D2" i="1"/>
  <c r="G2" i="1"/>
  <c r="B9537" i="1"/>
  <c r="D9537" i="1"/>
  <c r="G9537" i="1"/>
  <c r="B11027" i="1"/>
  <c r="D11027" i="1"/>
  <c r="G11027" i="1"/>
  <c r="B181" i="1"/>
  <c r="D181" i="1"/>
  <c r="G181" i="1"/>
  <c r="B4514" i="1"/>
  <c r="D4514" i="1"/>
  <c r="G4514" i="1"/>
  <c r="B1851" i="1"/>
  <c r="D1851" i="1"/>
  <c r="G1851" i="1"/>
  <c r="B20723" i="1"/>
  <c r="D20723" i="1"/>
  <c r="G20723" i="1"/>
  <c r="B20724" i="1"/>
  <c r="D20724" i="1"/>
  <c r="G20724" i="1"/>
  <c r="B9913" i="1"/>
  <c r="D9913" i="1"/>
  <c r="G9913" i="1"/>
  <c r="B19863" i="1"/>
  <c r="D19863" i="1"/>
  <c r="G19863" i="1"/>
  <c r="B700" i="1"/>
  <c r="D700" i="1"/>
  <c r="G700" i="1"/>
  <c r="B2552" i="1"/>
  <c r="D2552" i="1"/>
  <c r="G2552" i="1"/>
  <c r="B12424" i="1"/>
  <c r="D12424" i="1"/>
  <c r="G12424" i="1"/>
  <c r="B21471" i="1"/>
  <c r="D21471" i="1"/>
  <c r="G21471" i="1"/>
  <c r="B8297" i="1"/>
  <c r="D8297" i="1"/>
  <c r="G8297" i="1"/>
  <c r="B19368" i="1"/>
  <c r="D19368" i="1"/>
  <c r="G19368" i="1"/>
  <c r="B18397" i="1"/>
  <c r="D18397" i="1"/>
  <c r="G18397" i="1"/>
  <c r="B20035" i="1"/>
  <c r="D20035" i="1"/>
  <c r="G20035" i="1"/>
  <c r="B21656" i="1"/>
  <c r="D21656" i="1"/>
  <c r="G21656" i="1"/>
  <c r="B21657" i="1"/>
  <c r="D21657" i="1"/>
  <c r="G21657" i="1"/>
  <c r="B3780" i="1"/>
  <c r="D3780" i="1"/>
  <c r="G3780" i="1"/>
  <c r="B3845" i="1"/>
  <c r="D3845" i="1"/>
  <c r="G3845" i="1"/>
  <c r="B10391" i="1"/>
  <c r="D10391" i="1"/>
  <c r="G10391" i="1"/>
  <c r="B11063" i="1"/>
  <c r="D11063" i="1"/>
  <c r="G11063" i="1"/>
  <c r="B20036" i="1"/>
  <c r="D20036" i="1"/>
  <c r="G20036" i="1"/>
  <c r="B10046" i="1"/>
  <c r="D10046" i="1"/>
  <c r="G10046" i="1"/>
  <c r="B12425" i="1"/>
  <c r="D12425" i="1"/>
  <c r="G12425" i="1"/>
  <c r="B19864" i="1"/>
  <c r="D19864" i="1"/>
  <c r="G19864" i="1"/>
  <c r="B19865" i="1"/>
  <c r="D19865" i="1"/>
  <c r="G19865" i="1"/>
  <c r="B5293" i="1"/>
  <c r="D5293" i="1"/>
  <c r="G5293" i="1"/>
  <c r="B4892" i="1"/>
  <c r="D4892" i="1"/>
  <c r="G4892" i="1"/>
  <c r="B21848" i="1"/>
  <c r="D21848" i="1"/>
  <c r="G21848" i="1"/>
  <c r="B4925" i="1"/>
  <c r="D4925" i="1"/>
  <c r="G4925" i="1"/>
  <c r="B21472" i="1"/>
  <c r="D21472" i="1"/>
  <c r="G21472" i="1"/>
  <c r="B19369" i="1"/>
  <c r="D19369" i="1"/>
  <c r="G19369" i="1"/>
  <c r="B3426" i="1"/>
  <c r="D3426" i="1"/>
  <c r="G3426" i="1"/>
  <c r="B701" i="1"/>
  <c r="D701" i="1"/>
  <c r="G701" i="1"/>
  <c r="B2553" i="1"/>
  <c r="D2553" i="1"/>
  <c r="G2553" i="1"/>
  <c r="B16189" i="1"/>
  <c r="D16189" i="1"/>
  <c r="G16189" i="1"/>
  <c r="B6704" i="1"/>
  <c r="D6704" i="1"/>
  <c r="G6704" i="1"/>
  <c r="B6705" i="1"/>
  <c r="D6705" i="1"/>
  <c r="G6705" i="1"/>
  <c r="B5169" i="1"/>
  <c r="D5169" i="1"/>
  <c r="G5169" i="1"/>
  <c r="B2105" i="1"/>
  <c r="D2105" i="1"/>
  <c r="G2105" i="1"/>
  <c r="B1373" i="1"/>
  <c r="D1373" i="1"/>
  <c r="G1373" i="1"/>
  <c r="B7128" i="1"/>
  <c r="D7128" i="1"/>
  <c r="G7128" i="1"/>
  <c r="B10392" i="1"/>
  <c r="D10392" i="1"/>
  <c r="G10392" i="1"/>
  <c r="B14524" i="1"/>
  <c r="D14524" i="1"/>
  <c r="G14524" i="1"/>
  <c r="B7389" i="1"/>
  <c r="D7389" i="1"/>
  <c r="G7389" i="1"/>
  <c r="B10047" i="1"/>
  <c r="D10047" i="1"/>
  <c r="G10047" i="1"/>
  <c r="B182" i="1"/>
  <c r="D182" i="1"/>
  <c r="G182" i="1"/>
  <c r="B5294" i="1"/>
  <c r="D5294" i="1"/>
  <c r="G5294" i="1"/>
  <c r="B2183" i="1"/>
  <c r="D2183" i="1"/>
  <c r="G2183" i="1"/>
  <c r="B886" i="1"/>
  <c r="D886" i="1"/>
  <c r="G886" i="1"/>
  <c r="B894" i="1"/>
  <c r="D894" i="1"/>
  <c r="G894" i="1"/>
  <c r="B901" i="1"/>
  <c r="D901" i="1"/>
  <c r="G901" i="1"/>
  <c r="B885" i="1"/>
  <c r="D885" i="1"/>
  <c r="G885" i="1"/>
  <c r="B364" i="1"/>
  <c r="D364" i="1"/>
  <c r="G364" i="1"/>
  <c r="B891" i="1"/>
  <c r="D891" i="1"/>
  <c r="G891" i="1"/>
  <c r="B903" i="1"/>
  <c r="D903" i="1"/>
  <c r="G903" i="1"/>
  <c r="B904" i="1"/>
  <c r="D904" i="1"/>
  <c r="G904" i="1"/>
  <c r="B7650" i="1"/>
  <c r="D7650" i="1"/>
  <c r="G7650" i="1"/>
  <c r="B7651" i="1"/>
  <c r="D7651" i="1"/>
  <c r="G7651" i="1"/>
  <c r="B5170" i="1"/>
  <c r="D5170" i="1"/>
  <c r="G5170" i="1"/>
  <c r="B11356" i="1"/>
  <c r="D11356" i="1"/>
  <c r="G11356" i="1"/>
  <c r="B11753" i="1"/>
  <c r="D11753" i="1"/>
  <c r="G11753" i="1"/>
  <c r="B14525" i="1"/>
  <c r="D14525" i="1"/>
  <c r="G14525" i="1"/>
  <c r="B11469" i="1"/>
  <c r="D11469" i="1"/>
  <c r="G11469" i="1"/>
  <c r="B11470" i="1"/>
  <c r="D11470" i="1"/>
  <c r="G11470" i="1"/>
  <c r="B2106" i="1"/>
  <c r="D2106" i="1"/>
  <c r="G2106" i="1"/>
  <c r="B16190" i="1"/>
  <c r="D16190" i="1"/>
  <c r="G16190" i="1"/>
  <c r="B6520" i="1"/>
  <c r="D6520" i="1"/>
  <c r="G6520" i="1"/>
  <c r="B20159" i="1"/>
  <c r="D20159" i="1"/>
  <c r="G20159" i="1"/>
  <c r="B18712" i="1"/>
  <c r="D18712" i="1"/>
  <c r="G18712" i="1"/>
  <c r="B6529" i="1"/>
  <c r="D6529" i="1"/>
  <c r="G6529" i="1"/>
  <c r="B9582" i="1"/>
  <c r="D9582" i="1"/>
  <c r="G9582" i="1"/>
  <c r="B9583" i="1"/>
  <c r="D9583" i="1"/>
  <c r="G9583" i="1"/>
  <c r="B11357" i="1"/>
  <c r="D11357" i="1"/>
  <c r="G11357" i="1"/>
  <c r="B6706" i="1"/>
  <c r="D6706" i="1"/>
  <c r="G6706" i="1"/>
  <c r="B12426" i="1"/>
  <c r="D12426" i="1"/>
  <c r="G12426" i="1"/>
  <c r="B11862" i="1"/>
  <c r="D11862" i="1"/>
  <c r="G11862" i="1"/>
  <c r="B12427" i="1"/>
  <c r="D12427" i="1"/>
  <c r="G12427" i="1"/>
  <c r="B10393" i="1"/>
  <c r="D10393" i="1"/>
  <c r="G10393" i="1"/>
  <c r="B11064" i="1"/>
  <c r="D11064" i="1"/>
  <c r="G11064" i="1"/>
  <c r="B18161" i="1"/>
  <c r="D18161" i="1"/>
  <c r="G18161" i="1"/>
  <c r="B702" i="1"/>
  <c r="D702" i="1"/>
  <c r="G702" i="1"/>
  <c r="B10394" i="1"/>
  <c r="D10394" i="1"/>
  <c r="G10394" i="1"/>
  <c r="B19370" i="1"/>
  <c r="D19370" i="1"/>
  <c r="G19370" i="1"/>
  <c r="B19371" i="1"/>
  <c r="D19371" i="1"/>
  <c r="G19371" i="1"/>
  <c r="B11065" i="1"/>
  <c r="D11065" i="1"/>
  <c r="G11065" i="1"/>
  <c r="B10114" i="1"/>
  <c r="D10114" i="1"/>
  <c r="G10114" i="1"/>
  <c r="B474" i="1"/>
  <c r="D474" i="1"/>
  <c r="G474" i="1"/>
  <c r="B11710" i="1"/>
  <c r="D11710" i="1"/>
  <c r="G11710" i="1"/>
  <c r="B20525" i="1"/>
  <c r="D20525" i="1"/>
  <c r="G20525" i="1"/>
  <c r="B3394" i="1"/>
  <c r="D3394" i="1"/>
  <c r="G3394" i="1"/>
  <c r="B2224" i="1"/>
  <c r="D2224" i="1"/>
  <c r="G2224" i="1"/>
  <c r="B8628" i="1"/>
  <c r="D8628" i="1"/>
  <c r="G8628" i="1"/>
  <c r="B3846" i="1"/>
  <c r="D3846" i="1"/>
  <c r="G3846" i="1"/>
  <c r="B20526" i="1"/>
  <c r="D20526" i="1"/>
  <c r="G20526" i="1"/>
  <c r="B20527" i="1"/>
  <c r="D20527" i="1"/>
  <c r="G20527" i="1"/>
  <c r="B10078" i="1"/>
  <c r="D10078" i="1"/>
  <c r="G10078" i="1"/>
  <c r="B8629" i="1"/>
  <c r="D8629" i="1"/>
  <c r="G8629" i="1"/>
  <c r="B16191" i="1"/>
  <c r="D16191" i="1"/>
  <c r="G16191" i="1"/>
  <c r="B10148" i="1"/>
  <c r="D10148" i="1"/>
  <c r="G10148" i="1"/>
  <c r="B10206" i="1"/>
  <c r="D10206" i="1"/>
  <c r="G10206" i="1"/>
  <c r="B9584" i="1"/>
  <c r="D9584" i="1"/>
  <c r="G9584" i="1"/>
  <c r="B9937" i="1"/>
  <c r="D9937" i="1"/>
  <c r="G9937" i="1"/>
  <c r="B13445" i="1"/>
  <c r="D13445" i="1"/>
  <c r="G13445" i="1"/>
  <c r="B21344" i="1"/>
  <c r="D21344" i="1"/>
  <c r="G21344" i="1"/>
  <c r="B8360" i="1"/>
  <c r="D8360" i="1"/>
  <c r="G8360" i="1"/>
  <c r="B9585" i="1"/>
  <c r="D9585" i="1"/>
  <c r="G9585" i="1"/>
  <c r="B9586" i="1"/>
  <c r="D9586" i="1"/>
  <c r="G9586" i="1"/>
  <c r="B10333" i="1"/>
  <c r="D10333" i="1"/>
  <c r="G10333" i="1"/>
  <c r="B21473" i="1"/>
  <c r="D21473" i="1"/>
  <c r="G21473" i="1"/>
  <c r="B10688" i="1"/>
  <c r="D10688" i="1"/>
  <c r="G10688" i="1"/>
  <c r="B17620" i="1"/>
  <c r="D17620" i="1"/>
  <c r="G17620" i="1"/>
  <c r="B19372" i="1"/>
  <c r="D19372" i="1"/>
  <c r="G19372" i="1"/>
  <c r="B12955" i="1"/>
  <c r="D12955" i="1"/>
  <c r="G12955" i="1"/>
  <c r="B1522" i="1"/>
  <c r="D1522" i="1"/>
  <c r="G1522" i="1"/>
  <c r="B8630" i="1"/>
  <c r="D8630" i="1"/>
  <c r="G8630" i="1"/>
  <c r="B8631" i="1"/>
  <c r="D8631" i="1"/>
  <c r="G8631" i="1"/>
  <c r="B8361" i="1"/>
  <c r="D8361" i="1"/>
  <c r="G8361" i="1"/>
  <c r="B7652" i="1"/>
  <c r="D7652" i="1"/>
  <c r="G7652" i="1"/>
  <c r="B7653" i="1"/>
  <c r="D7653" i="1"/>
  <c r="G7653" i="1"/>
  <c r="B10249" i="1"/>
  <c r="D10249" i="1"/>
  <c r="G10249" i="1"/>
  <c r="B10102" i="1"/>
  <c r="D10102" i="1"/>
  <c r="G10102" i="1"/>
  <c r="B183" i="1"/>
  <c r="D183" i="1"/>
  <c r="G183" i="1"/>
  <c r="B13604" i="1"/>
  <c r="D13604" i="1"/>
  <c r="G13604" i="1"/>
  <c r="B20528" i="1"/>
  <c r="D20528" i="1"/>
  <c r="G20528" i="1"/>
  <c r="B8632" i="1"/>
  <c r="D8632" i="1"/>
  <c r="G8632" i="1"/>
  <c r="B20357" i="1"/>
  <c r="D20357" i="1"/>
  <c r="G20357" i="1"/>
  <c r="B7654" i="1"/>
  <c r="D7654" i="1"/>
  <c r="G7654" i="1"/>
  <c r="B7655" i="1"/>
  <c r="D7655" i="1"/>
  <c r="G7655" i="1"/>
  <c r="B2554" i="1"/>
  <c r="D2554" i="1"/>
  <c r="G2554" i="1"/>
  <c r="B5171" i="1"/>
  <c r="D5171" i="1"/>
  <c r="G5171" i="1"/>
  <c r="B8633" i="1"/>
  <c r="D8633" i="1"/>
  <c r="G8633" i="1"/>
  <c r="B16192" i="1"/>
  <c r="D16192" i="1"/>
  <c r="G16192" i="1"/>
  <c r="B6697" i="1"/>
  <c r="D6697" i="1"/>
  <c r="G6697" i="1"/>
  <c r="B20074" i="1"/>
  <c r="D20074" i="1"/>
  <c r="G20074" i="1"/>
  <c r="B11294" i="1"/>
  <c r="D11294" i="1"/>
  <c r="G11294" i="1"/>
  <c r="B3781" i="1"/>
  <c r="D3781" i="1"/>
  <c r="G3781" i="1"/>
  <c r="B14472" i="1"/>
  <c r="D14472" i="1"/>
  <c r="G14472" i="1"/>
  <c r="B3068" i="1"/>
  <c r="D3068" i="1"/>
  <c r="G3068" i="1"/>
  <c r="B7390" i="1"/>
  <c r="D7390" i="1"/>
  <c r="G7390" i="1"/>
  <c r="B184" i="1"/>
  <c r="D184" i="1"/>
  <c r="G184" i="1"/>
  <c r="B11754" i="1"/>
  <c r="D11754" i="1"/>
  <c r="G11754" i="1"/>
  <c r="B14877" i="1"/>
  <c r="D14877" i="1"/>
  <c r="G14877" i="1"/>
  <c r="B4491" i="1"/>
  <c r="D4491" i="1"/>
  <c r="G4491" i="1"/>
  <c r="B10689" i="1"/>
  <c r="D10689" i="1"/>
  <c r="G10689" i="1"/>
  <c r="B12428" i="1"/>
  <c r="D12428" i="1"/>
  <c r="G12428" i="1"/>
  <c r="B11358" i="1"/>
  <c r="D11358" i="1"/>
  <c r="G11358" i="1"/>
  <c r="B18713" i="1"/>
  <c r="D18713" i="1"/>
  <c r="G18713" i="1"/>
  <c r="B7391" i="1"/>
  <c r="D7391" i="1"/>
  <c r="G7391" i="1"/>
  <c r="B3847" i="1"/>
  <c r="D3847" i="1"/>
  <c r="G3847" i="1"/>
  <c r="B3848" i="1"/>
  <c r="D3848" i="1"/>
  <c r="G3848" i="1"/>
  <c r="B11907" i="1"/>
  <c r="D11907" i="1"/>
  <c r="G11907" i="1"/>
  <c r="B13561" i="1"/>
  <c r="D13561" i="1"/>
  <c r="G13561" i="1"/>
  <c r="B13563" i="1"/>
  <c r="D13563" i="1"/>
  <c r="G13563" i="1"/>
  <c r="B3069" i="1"/>
  <c r="D3069" i="1"/>
  <c r="G3069" i="1"/>
  <c r="B5295" i="1"/>
  <c r="D5295" i="1"/>
  <c r="G5295" i="1"/>
  <c r="B6521" i="1"/>
  <c r="D6521" i="1"/>
  <c r="G6521" i="1"/>
  <c r="B19816" i="1"/>
  <c r="D19816" i="1"/>
  <c r="G19816" i="1"/>
  <c r="B10043" i="1"/>
  <c r="D10043" i="1"/>
  <c r="G10043" i="1"/>
  <c r="B11359" i="1"/>
  <c r="D11359" i="1"/>
  <c r="G11359" i="1"/>
  <c r="B17576" i="1"/>
  <c r="D17576" i="1"/>
  <c r="G17576" i="1"/>
  <c r="B11755" i="1"/>
  <c r="D11755" i="1"/>
  <c r="G11755" i="1"/>
  <c r="B12639" i="1"/>
  <c r="D12639" i="1"/>
  <c r="G12639" i="1"/>
  <c r="B8634" i="1"/>
  <c r="D8634" i="1"/>
  <c r="G8634" i="1"/>
  <c r="B8635" i="1"/>
  <c r="D8635" i="1"/>
  <c r="G8635" i="1"/>
  <c r="B5172" i="1"/>
  <c r="D5172" i="1"/>
  <c r="G5172" i="1"/>
  <c r="B19373" i="1"/>
  <c r="D19373" i="1"/>
  <c r="G19373" i="1"/>
  <c r="B7656" i="1"/>
  <c r="D7656" i="1"/>
  <c r="G7656" i="1"/>
  <c r="B7657" i="1"/>
  <c r="D7657" i="1"/>
  <c r="G7657" i="1"/>
  <c r="B11756" i="1"/>
  <c r="D11756" i="1"/>
  <c r="G11756" i="1"/>
  <c r="B3782" i="1"/>
  <c r="D3782" i="1"/>
  <c r="G3782" i="1"/>
  <c r="B3070" i="1"/>
  <c r="D3070" i="1"/>
  <c r="G3070" i="1"/>
  <c r="B11863" i="1"/>
  <c r="D11863" i="1"/>
  <c r="G11863" i="1"/>
  <c r="B808" i="1"/>
  <c r="D808" i="1"/>
  <c r="G808" i="1"/>
  <c r="B9587" i="1"/>
  <c r="D9587" i="1"/>
  <c r="G9587" i="1"/>
  <c r="B11908" i="1"/>
  <c r="D11908" i="1"/>
  <c r="G11908" i="1"/>
  <c r="B9588" i="1"/>
  <c r="D9588" i="1"/>
  <c r="G9588" i="1"/>
  <c r="B9589" i="1"/>
  <c r="D9589" i="1"/>
  <c r="G9589" i="1"/>
  <c r="B9590" i="1"/>
  <c r="D9590" i="1"/>
  <c r="G9590" i="1"/>
  <c r="B11711" i="1"/>
  <c r="D11711" i="1"/>
  <c r="G11711" i="1"/>
  <c r="B10149" i="1"/>
  <c r="D10149" i="1"/>
  <c r="G10149" i="1"/>
  <c r="B8636" i="1"/>
  <c r="D8636" i="1"/>
  <c r="G8636" i="1"/>
  <c r="B10044" i="1"/>
  <c r="D10044" i="1"/>
  <c r="G10044" i="1"/>
  <c r="B11360" i="1"/>
  <c r="D11360" i="1"/>
  <c r="G11360" i="1"/>
  <c r="B8637" i="1"/>
  <c r="D8637" i="1"/>
  <c r="G8637" i="1"/>
  <c r="B10395" i="1"/>
  <c r="D10395" i="1"/>
  <c r="G10395" i="1"/>
  <c r="B10396" i="1"/>
  <c r="D10396" i="1"/>
  <c r="G10396" i="1"/>
  <c r="B10690" i="1"/>
  <c r="D10690" i="1"/>
  <c r="G10690" i="1"/>
  <c r="B10691" i="1"/>
  <c r="D10691" i="1"/>
  <c r="G10691" i="1"/>
  <c r="B9591" i="1"/>
  <c r="D9591" i="1"/>
  <c r="G9591" i="1"/>
  <c r="B11864" i="1"/>
  <c r="D11864" i="1"/>
  <c r="G11864" i="1"/>
  <c r="B12956" i="1"/>
  <c r="D12956" i="1"/>
  <c r="G12956" i="1"/>
  <c r="B11066" i="1"/>
  <c r="D11066" i="1"/>
  <c r="G11066" i="1"/>
  <c r="B4175" i="1"/>
  <c r="D4175" i="1"/>
  <c r="G4175" i="1"/>
  <c r="B10031" i="1"/>
  <c r="D10031" i="1"/>
  <c r="G10031" i="1"/>
  <c r="B12640" i="1"/>
  <c r="D12640" i="1"/>
  <c r="G12640" i="1"/>
  <c r="B1523" i="1"/>
  <c r="D1523" i="1"/>
  <c r="G1523" i="1"/>
  <c r="B13446" i="1"/>
  <c r="D13446" i="1"/>
  <c r="G13446" i="1"/>
  <c r="B14878" i="1"/>
  <c r="D14878" i="1"/>
  <c r="G14878" i="1"/>
  <c r="B10397" i="1"/>
  <c r="D10397" i="1"/>
  <c r="G10397" i="1"/>
  <c r="B11757" i="1"/>
  <c r="D11757" i="1"/>
  <c r="G11757" i="1"/>
  <c r="B12931" i="1"/>
  <c r="D12931" i="1"/>
  <c r="G12931" i="1"/>
  <c r="B2107" i="1"/>
  <c r="D2107" i="1"/>
  <c r="G2107" i="1"/>
  <c r="B13757" i="1"/>
  <c r="D13757" i="1"/>
  <c r="G13757" i="1"/>
  <c r="B12363" i="1"/>
  <c r="D12363" i="1"/>
  <c r="G12363" i="1"/>
  <c r="B2555" i="1"/>
  <c r="D2555" i="1"/>
  <c r="G2555" i="1"/>
  <c r="B11028" i="1"/>
  <c r="D11028" i="1"/>
  <c r="G11028" i="1"/>
  <c r="B10692" i="1"/>
  <c r="D10692" i="1"/>
  <c r="G10692" i="1"/>
  <c r="B11067" i="1"/>
  <c r="D11067" i="1"/>
  <c r="G11067" i="1"/>
  <c r="B3071" i="1"/>
  <c r="D3071" i="1"/>
  <c r="G3071" i="1"/>
  <c r="B19374" i="1"/>
  <c r="D19374" i="1"/>
  <c r="G19374" i="1"/>
  <c r="B8638" i="1"/>
  <c r="D8638" i="1"/>
  <c r="G8638" i="1"/>
  <c r="B18714" i="1"/>
  <c r="D18714" i="1"/>
  <c r="G18714" i="1"/>
  <c r="B11909" i="1"/>
  <c r="D11909" i="1"/>
  <c r="G11909" i="1"/>
  <c r="B11471" i="1"/>
  <c r="D11471" i="1"/>
  <c r="G11471" i="1"/>
  <c r="B11910" i="1"/>
  <c r="D11910" i="1"/>
  <c r="G11910" i="1"/>
  <c r="B6917" i="1"/>
  <c r="D6917" i="1"/>
  <c r="G6917" i="1"/>
  <c r="B11865" i="1"/>
  <c r="D11865" i="1"/>
  <c r="G11865" i="1"/>
  <c r="B9592" i="1"/>
  <c r="D9592" i="1"/>
  <c r="G9592" i="1"/>
  <c r="B9593" i="1"/>
  <c r="D9593" i="1"/>
  <c r="G9593" i="1"/>
  <c r="B9594" i="1"/>
  <c r="D9594" i="1"/>
  <c r="G9594" i="1"/>
  <c r="B11361" i="1"/>
  <c r="D11361" i="1"/>
  <c r="G11361" i="1"/>
  <c r="B10167" i="1"/>
  <c r="D10167" i="1"/>
  <c r="G10167" i="1"/>
  <c r="B1473" i="1"/>
  <c r="D1473" i="1"/>
  <c r="G1473" i="1"/>
  <c r="B13178" i="1"/>
  <c r="D13178" i="1"/>
  <c r="G13178" i="1"/>
  <c r="B9843" i="1"/>
  <c r="D9843" i="1"/>
  <c r="G9843" i="1"/>
  <c r="B11911" i="1"/>
  <c r="D11911" i="1"/>
  <c r="G11911" i="1"/>
  <c r="B16193" i="1"/>
  <c r="D16193" i="1"/>
  <c r="G16193" i="1"/>
  <c r="B19375" i="1"/>
  <c r="D19375" i="1"/>
  <c r="G19375" i="1"/>
  <c r="B19376" i="1"/>
  <c r="D19376" i="1"/>
  <c r="G19376" i="1"/>
  <c r="B18398" i="1"/>
  <c r="D18398" i="1"/>
  <c r="G18398" i="1"/>
  <c r="B18399" i="1"/>
  <c r="D18399" i="1"/>
  <c r="G18399" i="1"/>
  <c r="B9938" i="1"/>
  <c r="D9938" i="1"/>
  <c r="G9938" i="1"/>
  <c r="B20725" i="1"/>
  <c r="D20725" i="1"/>
  <c r="G20725" i="1"/>
  <c r="B18715" i="1"/>
  <c r="D18715" i="1"/>
  <c r="G18715" i="1"/>
  <c r="B18716" i="1"/>
  <c r="D18716" i="1"/>
  <c r="G18716" i="1"/>
  <c r="B10398" i="1"/>
  <c r="D10398" i="1"/>
  <c r="G10398" i="1"/>
  <c r="B19112" i="1"/>
  <c r="D19112" i="1"/>
  <c r="G19112" i="1"/>
  <c r="B10250" i="1"/>
  <c r="D10250" i="1"/>
  <c r="G10250" i="1"/>
  <c r="B2108" i="1"/>
  <c r="D2108" i="1"/>
  <c r="G2108" i="1"/>
  <c r="B8639" i="1"/>
  <c r="D8639" i="1"/>
  <c r="G8639" i="1"/>
  <c r="B19866" i="1"/>
  <c r="D19866" i="1"/>
  <c r="G19866" i="1"/>
  <c r="B9868" i="1"/>
  <c r="D9868" i="1"/>
  <c r="G9868" i="1"/>
  <c r="B11912" i="1"/>
  <c r="D11912" i="1"/>
  <c r="G11912" i="1"/>
  <c r="B7658" i="1"/>
  <c r="D7658" i="1"/>
  <c r="G7658" i="1"/>
  <c r="B7659" i="1"/>
  <c r="D7659" i="1"/>
  <c r="G7659" i="1"/>
  <c r="B10399" i="1"/>
  <c r="D10399" i="1"/>
  <c r="G10399" i="1"/>
  <c r="B20726" i="1"/>
  <c r="D20726" i="1"/>
  <c r="G20726" i="1"/>
  <c r="B20727" i="1"/>
  <c r="D20727" i="1"/>
  <c r="G20727" i="1"/>
  <c r="B11068" i="1"/>
  <c r="D11068" i="1"/>
  <c r="G11068" i="1"/>
  <c r="B8640" i="1"/>
  <c r="D8640" i="1"/>
  <c r="G8640" i="1"/>
  <c r="B20358" i="1"/>
  <c r="D20358" i="1"/>
  <c r="G20358" i="1"/>
  <c r="B11321" i="1"/>
  <c r="D11321" i="1"/>
  <c r="G11321" i="1"/>
  <c r="B5579" i="1"/>
  <c r="D5579" i="1"/>
  <c r="G5579" i="1"/>
  <c r="B5580" i="1"/>
  <c r="D5580" i="1"/>
  <c r="G5580" i="1"/>
  <c r="B7392" i="1"/>
  <c r="D7392" i="1"/>
  <c r="G7392" i="1"/>
  <c r="B10048" i="1"/>
  <c r="D10048" i="1"/>
  <c r="G10048" i="1"/>
  <c r="B10693" i="1"/>
  <c r="D10693" i="1"/>
  <c r="G10693" i="1"/>
  <c r="B5581" i="1"/>
  <c r="D5581" i="1"/>
  <c r="G5581" i="1"/>
  <c r="B10400" i="1"/>
  <c r="D10400" i="1"/>
  <c r="G10400" i="1"/>
  <c r="B9595" i="1"/>
  <c r="D9595" i="1"/>
  <c r="G9595" i="1"/>
  <c r="B9596" i="1"/>
  <c r="D9596" i="1"/>
  <c r="G9596" i="1"/>
  <c r="B9870" i="1"/>
  <c r="D9870" i="1"/>
  <c r="G9870" i="1"/>
  <c r="B14115" i="1"/>
  <c r="D14115" i="1"/>
  <c r="G14115" i="1"/>
  <c r="B22106" i="1"/>
  <c r="D22106" i="1"/>
  <c r="G22106" i="1"/>
  <c r="B4492" i="1"/>
  <c r="D4492" i="1"/>
  <c r="G4492" i="1"/>
  <c r="B13580" i="1"/>
  <c r="D13580" i="1"/>
  <c r="G13580" i="1"/>
  <c r="B11913" i="1"/>
  <c r="D11913" i="1"/>
  <c r="G11913" i="1"/>
  <c r="B10251" i="1"/>
  <c r="D10251" i="1"/>
  <c r="G10251" i="1"/>
  <c r="B8641" i="1"/>
  <c r="D8641" i="1"/>
  <c r="G8641" i="1"/>
  <c r="B2556" i="1"/>
  <c r="D2556" i="1"/>
  <c r="G2556" i="1"/>
  <c r="B21658" i="1"/>
  <c r="D21658" i="1"/>
  <c r="G21658" i="1"/>
  <c r="B11914" i="1"/>
  <c r="D11914" i="1"/>
  <c r="G11914" i="1"/>
  <c r="B18400" i="1"/>
  <c r="D18400" i="1"/>
  <c r="G18400" i="1"/>
  <c r="B19377" i="1"/>
  <c r="D19377" i="1"/>
  <c r="G19377" i="1"/>
  <c r="B19378" i="1"/>
  <c r="D19378" i="1"/>
  <c r="G19378" i="1"/>
  <c r="B6707" i="1"/>
  <c r="D6707" i="1"/>
  <c r="G6707" i="1"/>
  <c r="B10694" i="1"/>
  <c r="D10694" i="1"/>
  <c r="G10694" i="1"/>
  <c r="B11069" i="1"/>
  <c r="D11069" i="1"/>
  <c r="G11069" i="1"/>
  <c r="B16194" i="1"/>
  <c r="D16194" i="1"/>
  <c r="G16194" i="1"/>
  <c r="B11274" i="1"/>
  <c r="D11274" i="1"/>
  <c r="G11274" i="1"/>
  <c r="B17351" i="1"/>
  <c r="D17351" i="1"/>
  <c r="G17351" i="1"/>
  <c r="B4370" i="1"/>
  <c r="D4370" i="1"/>
  <c r="G4370" i="1"/>
  <c r="B12349" i="1"/>
  <c r="D12349" i="1"/>
  <c r="G12349" i="1"/>
  <c r="B18162" i="1"/>
  <c r="D18162" i="1"/>
  <c r="G18162" i="1"/>
  <c r="B11295" i="1"/>
  <c r="D11295" i="1"/>
  <c r="G11295" i="1"/>
  <c r="B20037" i="1"/>
  <c r="D20037" i="1"/>
  <c r="G20037" i="1"/>
  <c r="B18717" i="1"/>
  <c r="D18717" i="1"/>
  <c r="G18717" i="1"/>
  <c r="B10035" i="1"/>
  <c r="D10035" i="1"/>
  <c r="G10035" i="1"/>
  <c r="B6918" i="1"/>
  <c r="D6918" i="1"/>
  <c r="G6918" i="1"/>
  <c r="B905" i="1"/>
  <c r="D905" i="1"/>
  <c r="G905" i="1"/>
  <c r="B11472" i="1"/>
  <c r="D11472" i="1"/>
  <c r="G11472" i="1"/>
  <c r="B11473" i="1"/>
  <c r="D11473" i="1"/>
  <c r="G11473" i="1"/>
  <c r="B16195" i="1"/>
  <c r="D16195" i="1"/>
  <c r="G16195" i="1"/>
  <c r="B10401" i="1"/>
  <c r="D10401" i="1"/>
  <c r="G10401" i="1"/>
  <c r="B10695" i="1"/>
  <c r="D10695" i="1"/>
  <c r="G10695" i="1"/>
  <c r="B2109" i="1"/>
  <c r="D2109" i="1"/>
  <c r="G2109" i="1"/>
  <c r="B2110" i="1"/>
  <c r="D2110" i="1"/>
  <c r="G2110" i="1"/>
  <c r="B20728" i="1"/>
  <c r="D20728" i="1"/>
  <c r="G20728" i="1"/>
  <c r="B19113" i="1"/>
  <c r="D19113" i="1"/>
  <c r="G19113" i="1"/>
  <c r="B5173" i="1"/>
  <c r="D5173" i="1"/>
  <c r="G5173" i="1"/>
  <c r="B2557" i="1"/>
  <c r="D2557" i="1"/>
  <c r="G2557" i="1"/>
  <c r="B21474" i="1"/>
  <c r="D21474" i="1"/>
  <c r="G21474" i="1"/>
  <c r="B19114" i="1"/>
  <c r="D19114" i="1"/>
  <c r="G19114" i="1"/>
  <c r="B18782" i="1"/>
  <c r="D18782" i="1"/>
  <c r="G18782" i="1"/>
  <c r="B11070" i="1"/>
  <c r="D11070" i="1"/>
  <c r="G11070" i="1"/>
  <c r="B21659" i="1"/>
  <c r="D21659" i="1"/>
  <c r="G21659" i="1"/>
  <c r="B18718" i="1"/>
  <c r="D18718" i="1"/>
  <c r="G18718" i="1"/>
  <c r="B12364" i="1"/>
  <c r="D12364" i="1"/>
  <c r="G12364" i="1"/>
  <c r="B16196" i="1"/>
  <c r="D16196" i="1"/>
  <c r="G16196" i="1"/>
  <c r="B10696" i="1"/>
  <c r="D10696" i="1"/>
  <c r="G10696" i="1"/>
  <c r="B13202" i="1"/>
  <c r="D13202" i="1"/>
  <c r="G13202" i="1"/>
  <c r="B10168" i="1"/>
  <c r="D10168" i="1"/>
  <c r="G10168" i="1"/>
  <c r="B8642" i="1"/>
  <c r="D8642" i="1"/>
  <c r="G8642" i="1"/>
  <c r="B12641" i="1"/>
  <c r="D12641" i="1"/>
  <c r="G12641" i="1"/>
  <c r="B10402" i="1"/>
  <c r="D10402" i="1"/>
  <c r="G10402" i="1"/>
  <c r="B10403" i="1"/>
  <c r="D10403" i="1"/>
  <c r="G10403" i="1"/>
  <c r="B10697" i="1"/>
  <c r="D10697" i="1"/>
  <c r="G10697" i="1"/>
  <c r="B10698" i="1"/>
  <c r="D10698" i="1"/>
  <c r="G10698" i="1"/>
  <c r="B10334" i="1"/>
  <c r="D10334" i="1"/>
  <c r="G10334" i="1"/>
  <c r="B10699" i="1"/>
  <c r="D10699" i="1"/>
  <c r="G10699" i="1"/>
  <c r="B11071" i="1"/>
  <c r="D11071" i="1"/>
  <c r="G11071" i="1"/>
  <c r="B11915" i="1"/>
  <c r="D11915" i="1"/>
  <c r="G11915" i="1"/>
  <c r="B14373" i="1"/>
  <c r="D14373" i="1"/>
  <c r="G14373" i="1"/>
  <c r="B21660" i="1"/>
  <c r="D21660" i="1"/>
  <c r="G21660" i="1"/>
  <c r="B18719" i="1"/>
  <c r="D18719" i="1"/>
  <c r="G18719" i="1"/>
  <c r="B11916" i="1"/>
  <c r="D11916" i="1"/>
  <c r="G11916" i="1"/>
  <c r="B10115" i="1"/>
  <c r="D10115" i="1"/>
  <c r="G10115" i="1"/>
  <c r="B10116" i="1"/>
  <c r="D10116" i="1"/>
  <c r="G10116" i="1"/>
  <c r="B10049" i="1"/>
  <c r="D10049" i="1"/>
  <c r="G10049" i="1"/>
  <c r="B12452" i="1"/>
  <c r="D12452" i="1"/>
  <c r="G12452" i="1"/>
  <c r="B9872" i="1"/>
  <c r="D9872" i="1"/>
  <c r="G9872" i="1"/>
  <c r="B19379" i="1"/>
  <c r="D19379" i="1"/>
  <c r="G19379" i="1"/>
  <c r="B11362" i="1"/>
  <c r="D11362" i="1"/>
  <c r="G11362" i="1"/>
  <c r="B9994" i="1"/>
  <c r="D9994" i="1"/>
  <c r="G9994" i="1"/>
  <c r="B2558" i="1"/>
  <c r="D2558" i="1"/>
  <c r="G2558" i="1"/>
  <c r="B18720" i="1"/>
  <c r="D18720" i="1"/>
  <c r="G18720" i="1"/>
  <c r="B18721" i="1"/>
  <c r="D18721" i="1"/>
  <c r="G18721" i="1"/>
  <c r="B3849" i="1"/>
  <c r="D3849" i="1"/>
  <c r="G3849" i="1"/>
  <c r="B7037" i="1"/>
  <c r="D7037" i="1"/>
  <c r="G7037" i="1"/>
  <c r="B11758" i="1"/>
  <c r="D11758" i="1"/>
  <c r="G11758" i="1"/>
  <c r="B13913" i="1"/>
  <c r="D13913" i="1"/>
  <c r="G13913" i="1"/>
  <c r="B14289" i="1"/>
  <c r="D14289" i="1"/>
  <c r="G14289" i="1"/>
  <c r="B13758" i="1"/>
  <c r="D13758" i="1"/>
  <c r="G13758" i="1"/>
  <c r="B8643" i="1"/>
  <c r="D8643" i="1"/>
  <c r="G8643" i="1"/>
  <c r="B3850" i="1"/>
  <c r="D3850" i="1"/>
  <c r="G3850" i="1"/>
  <c r="B13250" i="1"/>
  <c r="D13250" i="1"/>
  <c r="G13250" i="1"/>
  <c r="B19380" i="1"/>
  <c r="D19380" i="1"/>
  <c r="G19380" i="1"/>
  <c r="B3783" i="1"/>
  <c r="D3783" i="1"/>
  <c r="G3783" i="1"/>
  <c r="B11917" i="1"/>
  <c r="D11917" i="1"/>
  <c r="G11917" i="1"/>
  <c r="B19115" i="1"/>
  <c r="D19115" i="1"/>
  <c r="G19115" i="1"/>
  <c r="B18783" i="1"/>
  <c r="D18783" i="1"/>
  <c r="G18783" i="1"/>
  <c r="B12642" i="1"/>
  <c r="D12642" i="1"/>
  <c r="G12642" i="1"/>
  <c r="B12453" i="1"/>
  <c r="D12453" i="1"/>
  <c r="G12453" i="1"/>
  <c r="B11866" i="1"/>
  <c r="D11866" i="1"/>
  <c r="G11866" i="1"/>
  <c r="B18972" i="1"/>
  <c r="D18972" i="1"/>
  <c r="G18972" i="1"/>
  <c r="B8620" i="1"/>
  <c r="D8620" i="1"/>
  <c r="G8620" i="1"/>
  <c r="B19116" i="1"/>
  <c r="D19116" i="1"/>
  <c r="G19116" i="1"/>
  <c r="B14879" i="1"/>
  <c r="D14879" i="1"/>
  <c r="G14879" i="1"/>
  <c r="B11363" i="1"/>
  <c r="D11363" i="1"/>
  <c r="G11363" i="1"/>
  <c r="B11322" i="1"/>
  <c r="D11322" i="1"/>
  <c r="G11322" i="1"/>
  <c r="B16197" i="1"/>
  <c r="D16197" i="1"/>
  <c r="G16197" i="1"/>
  <c r="B11029" i="1"/>
  <c r="D11029" i="1"/>
  <c r="G11029" i="1"/>
  <c r="B2559" i="1"/>
  <c r="D2559" i="1"/>
  <c r="G2559" i="1"/>
  <c r="B13802" i="1"/>
  <c r="D13802" i="1"/>
  <c r="G13802" i="1"/>
  <c r="B21661" i="1"/>
  <c r="D21661" i="1"/>
  <c r="G21661" i="1"/>
  <c r="B14290" i="1"/>
  <c r="D14290" i="1"/>
  <c r="G14290" i="1"/>
  <c r="B10335" i="1"/>
  <c r="D10335" i="1"/>
  <c r="G10335" i="1"/>
  <c r="B10700" i="1"/>
  <c r="D10700" i="1"/>
  <c r="G10700" i="1"/>
  <c r="B20529" i="1"/>
  <c r="D20529" i="1"/>
  <c r="G20529" i="1"/>
  <c r="B20729" i="1"/>
  <c r="D20729" i="1"/>
  <c r="G20729" i="1"/>
  <c r="B20730" i="1"/>
  <c r="D20730" i="1"/>
  <c r="G20730" i="1"/>
  <c r="B20359" i="1"/>
  <c r="D20359" i="1"/>
  <c r="G20359" i="1"/>
  <c r="B10404" i="1"/>
  <c r="D10404" i="1"/>
  <c r="G10404" i="1"/>
  <c r="B10036" i="1"/>
  <c r="D10036" i="1"/>
  <c r="G10036" i="1"/>
  <c r="B11918" i="1"/>
  <c r="D11918" i="1"/>
  <c r="G11918" i="1"/>
  <c r="B12957" i="1"/>
  <c r="D12957" i="1"/>
  <c r="G12957" i="1"/>
  <c r="B16198" i="1"/>
  <c r="D16198" i="1"/>
  <c r="G16198" i="1"/>
  <c r="B21475" i="1"/>
  <c r="D21475" i="1"/>
  <c r="G21475" i="1"/>
  <c r="B11072" i="1"/>
  <c r="D11072" i="1"/>
  <c r="G11072" i="1"/>
  <c r="B2560" i="1"/>
  <c r="D2560" i="1"/>
  <c r="G2560" i="1"/>
  <c r="B10405" i="1"/>
  <c r="D10405" i="1"/>
  <c r="G10405" i="1"/>
  <c r="B10701" i="1"/>
  <c r="D10701" i="1"/>
  <c r="G10701" i="1"/>
  <c r="B10252" i="1"/>
  <c r="D10252" i="1"/>
  <c r="G10252" i="1"/>
  <c r="B10253" i="1"/>
  <c r="D10253" i="1"/>
  <c r="G10253" i="1"/>
  <c r="B12958" i="1"/>
  <c r="D12958" i="1"/>
  <c r="G12958" i="1"/>
  <c r="B11073" i="1"/>
  <c r="D11073" i="1"/>
  <c r="G11073" i="1"/>
  <c r="B371" i="1"/>
  <c r="D371" i="1"/>
  <c r="G371" i="1"/>
  <c r="B10702" i="1"/>
  <c r="D10702" i="1"/>
  <c r="G10702" i="1"/>
  <c r="B11919" i="1"/>
  <c r="D11919" i="1"/>
  <c r="G11919" i="1"/>
  <c r="B11920" i="1"/>
  <c r="D11920" i="1"/>
  <c r="G11920" i="1"/>
  <c r="B11364" i="1"/>
  <c r="D11364" i="1"/>
  <c r="G11364" i="1"/>
  <c r="B18973" i="1"/>
  <c r="D18973" i="1"/>
  <c r="G18973" i="1"/>
  <c r="B18784" i="1"/>
  <c r="D18784" i="1"/>
  <c r="G18784" i="1"/>
  <c r="B5582" i="1"/>
  <c r="D5582" i="1"/>
  <c r="G5582" i="1"/>
  <c r="B11921" i="1"/>
  <c r="D11921" i="1"/>
  <c r="G11921" i="1"/>
  <c r="B10254" i="1"/>
  <c r="D10254" i="1"/>
  <c r="G10254" i="1"/>
  <c r="B2561" i="1"/>
  <c r="D2561" i="1"/>
  <c r="G2561" i="1"/>
  <c r="B3851" i="1"/>
  <c r="D3851" i="1"/>
  <c r="G3851" i="1"/>
  <c r="B3852" i="1"/>
  <c r="D3852" i="1"/>
  <c r="G3852" i="1"/>
  <c r="B12365" i="1"/>
  <c r="D12365" i="1"/>
  <c r="G12365" i="1"/>
  <c r="B68" i="1"/>
  <c r="D68" i="1"/>
  <c r="G68" i="1"/>
  <c r="B18974" i="1"/>
  <c r="D18974" i="1"/>
  <c r="G18974" i="1"/>
  <c r="B19117" i="1"/>
  <c r="D19117" i="1"/>
  <c r="G19117" i="1"/>
  <c r="B21345" i="1"/>
  <c r="D21345" i="1"/>
  <c r="G21345" i="1"/>
  <c r="B11759" i="1"/>
  <c r="D11759" i="1"/>
  <c r="G11759" i="1"/>
  <c r="B18722" i="1"/>
  <c r="D18722" i="1"/>
  <c r="G18722" i="1"/>
  <c r="B5174" i="1"/>
  <c r="D5174" i="1"/>
  <c r="G5174" i="1"/>
  <c r="B16199" i="1"/>
  <c r="D16199" i="1"/>
  <c r="G16199" i="1"/>
  <c r="B11760" i="1"/>
  <c r="D11760" i="1"/>
  <c r="G11760" i="1"/>
  <c r="B11650" i="1"/>
  <c r="D11650" i="1"/>
  <c r="G11650" i="1"/>
  <c r="B13251" i="1"/>
  <c r="D13251" i="1"/>
  <c r="G13251" i="1"/>
  <c r="B12959" i="1"/>
  <c r="D12959" i="1"/>
  <c r="G12959" i="1"/>
  <c r="B11275" i="1"/>
  <c r="D11275" i="1"/>
  <c r="G11275" i="1"/>
  <c r="B11922" i="1"/>
  <c r="D11922" i="1"/>
  <c r="G11922" i="1"/>
  <c r="B11474" i="1"/>
  <c r="D11474" i="1"/>
  <c r="G11474" i="1"/>
  <c r="B6919" i="1"/>
  <c r="D6919" i="1"/>
  <c r="G6919" i="1"/>
  <c r="B10169" i="1"/>
  <c r="D10169" i="1"/>
  <c r="G10169" i="1"/>
  <c r="B19381" i="1"/>
  <c r="D19381" i="1"/>
  <c r="G19381" i="1"/>
  <c r="B11712" i="1"/>
  <c r="D11712" i="1"/>
  <c r="G11712" i="1"/>
  <c r="B14299" i="1"/>
  <c r="D14299" i="1"/>
  <c r="G14299" i="1"/>
  <c r="B13012" i="1"/>
  <c r="D13012" i="1"/>
  <c r="G13012" i="1"/>
  <c r="B11475" i="1"/>
  <c r="D11475" i="1"/>
  <c r="G11475" i="1"/>
  <c r="B11476" i="1"/>
  <c r="D11476" i="1"/>
  <c r="G11476" i="1"/>
  <c r="B5583" i="1"/>
  <c r="D5583" i="1"/>
  <c r="G5583" i="1"/>
  <c r="B14880" i="1"/>
  <c r="D14880" i="1"/>
  <c r="G14880" i="1"/>
  <c r="B10406" i="1"/>
  <c r="D10406" i="1"/>
  <c r="G10406" i="1"/>
  <c r="B11477" i="1"/>
  <c r="D11477" i="1"/>
  <c r="G11477" i="1"/>
  <c r="B11478" i="1"/>
  <c r="D11478" i="1"/>
  <c r="G11478" i="1"/>
  <c r="B12960" i="1"/>
  <c r="D12960" i="1"/>
  <c r="G12960" i="1"/>
  <c r="B13740" i="1"/>
  <c r="D13740" i="1"/>
  <c r="G13740" i="1"/>
  <c r="B14881" i="1"/>
  <c r="D14881" i="1"/>
  <c r="G14881" i="1"/>
  <c r="B10407" i="1"/>
  <c r="D10407" i="1"/>
  <c r="G10407" i="1"/>
  <c r="B16200" i="1"/>
  <c r="D16200" i="1"/>
  <c r="G16200" i="1"/>
  <c r="B10255" i="1"/>
  <c r="D10255" i="1"/>
  <c r="G10255" i="1"/>
  <c r="B13139" i="1"/>
  <c r="D13139" i="1"/>
  <c r="G13139" i="1"/>
  <c r="B18401" i="1"/>
  <c r="D18401" i="1"/>
  <c r="G18401" i="1"/>
  <c r="B10703" i="1"/>
  <c r="D10703" i="1"/>
  <c r="G10703" i="1"/>
  <c r="B11074" i="1"/>
  <c r="D11074" i="1"/>
  <c r="G11074" i="1"/>
  <c r="B13013" i="1"/>
  <c r="D13013" i="1"/>
  <c r="G13013" i="1"/>
  <c r="B10408" i="1"/>
  <c r="D10408" i="1"/>
  <c r="G10408" i="1"/>
  <c r="B10409" i="1"/>
  <c r="D10409" i="1"/>
  <c r="G10409" i="1"/>
  <c r="B10704" i="1"/>
  <c r="D10704" i="1"/>
  <c r="G10704" i="1"/>
  <c r="B10705" i="1"/>
  <c r="D10705" i="1"/>
  <c r="G10705" i="1"/>
  <c r="B18402" i="1"/>
  <c r="D18402" i="1"/>
  <c r="G18402" i="1"/>
  <c r="B240" i="1"/>
  <c r="D240" i="1"/>
  <c r="G240" i="1"/>
  <c r="B19867" i="1"/>
  <c r="D19867" i="1"/>
  <c r="G19867" i="1"/>
  <c r="B11075" i="1"/>
  <c r="D11075" i="1"/>
  <c r="G11075" i="1"/>
  <c r="B10706" i="1"/>
  <c r="D10706" i="1"/>
  <c r="G10706" i="1"/>
  <c r="B18975" i="1"/>
  <c r="D18975" i="1"/>
  <c r="G18975" i="1"/>
  <c r="B18785" i="1"/>
  <c r="D18785" i="1"/>
  <c r="G18785" i="1"/>
  <c r="B16201" i="1"/>
  <c r="D16201" i="1"/>
  <c r="G16201" i="1"/>
  <c r="B10410" i="1"/>
  <c r="D10410" i="1"/>
  <c r="G10410" i="1"/>
  <c r="B10411" i="1"/>
  <c r="D10411" i="1"/>
  <c r="G10411" i="1"/>
  <c r="B10707" i="1"/>
  <c r="D10707" i="1"/>
  <c r="G10707" i="1"/>
  <c r="B10708" i="1"/>
  <c r="D10708" i="1"/>
  <c r="G10708" i="1"/>
  <c r="B13707" i="1"/>
  <c r="D13707" i="1"/>
  <c r="G13707" i="1"/>
  <c r="B14882" i="1"/>
  <c r="D14882" i="1"/>
  <c r="G14882" i="1"/>
  <c r="B10412" i="1"/>
  <c r="D10412" i="1"/>
  <c r="G10412" i="1"/>
  <c r="B3813" i="1"/>
  <c r="D3813" i="1"/>
  <c r="G3813" i="1"/>
  <c r="B1524" i="1"/>
  <c r="D1524" i="1"/>
  <c r="G1524" i="1"/>
  <c r="B19382" i="1"/>
  <c r="D19382" i="1"/>
  <c r="G19382" i="1"/>
  <c r="B19383" i="1"/>
  <c r="D19383" i="1"/>
  <c r="G19383" i="1"/>
  <c r="B12418" i="1"/>
  <c r="D12418" i="1"/>
  <c r="G12418" i="1"/>
  <c r="B6920" i="1"/>
  <c r="D6920" i="1"/>
  <c r="G6920" i="1"/>
  <c r="B13025" i="1"/>
  <c r="D13025" i="1"/>
  <c r="G13025" i="1"/>
  <c r="B11848" i="1"/>
  <c r="D11848" i="1"/>
  <c r="G11848" i="1"/>
  <c r="B11923" i="1"/>
  <c r="D11923" i="1"/>
  <c r="G11923" i="1"/>
  <c r="B16202" i="1"/>
  <c r="D16202" i="1"/>
  <c r="G16202" i="1"/>
  <c r="B21662" i="1"/>
  <c r="D21662" i="1"/>
  <c r="G21662" i="1"/>
  <c r="B18723" i="1"/>
  <c r="D18723" i="1"/>
  <c r="G18723" i="1"/>
  <c r="B16203" i="1"/>
  <c r="D16203" i="1"/>
  <c r="G16203" i="1"/>
  <c r="B13252" i="1"/>
  <c r="D13252" i="1"/>
  <c r="G13252" i="1"/>
  <c r="B10709" i="1"/>
  <c r="D10709" i="1"/>
  <c r="G10709" i="1"/>
  <c r="B11076" i="1"/>
  <c r="D11076" i="1"/>
  <c r="G11076" i="1"/>
  <c r="B2267" i="1"/>
  <c r="D2267" i="1"/>
  <c r="G2267" i="1"/>
  <c r="B5984" i="1"/>
  <c r="D5984" i="1"/>
  <c r="G5984" i="1"/>
  <c r="B13026" i="1"/>
  <c r="D13026" i="1"/>
  <c r="G13026" i="1"/>
  <c r="B12366" i="1"/>
  <c r="D12366" i="1"/>
  <c r="G12366" i="1"/>
  <c r="B19384" i="1"/>
  <c r="D19384" i="1"/>
  <c r="G19384" i="1"/>
  <c r="B11924" i="1"/>
  <c r="D11924" i="1"/>
  <c r="G11924" i="1"/>
  <c r="B12367" i="1"/>
  <c r="D12367" i="1"/>
  <c r="G12367" i="1"/>
  <c r="B16204" i="1"/>
  <c r="D16204" i="1"/>
  <c r="G16204" i="1"/>
  <c r="B12368" i="1"/>
  <c r="D12368" i="1"/>
  <c r="G12368" i="1"/>
  <c r="B11479" i="1"/>
  <c r="D11479" i="1"/>
  <c r="G11479" i="1"/>
  <c r="B11480" i="1"/>
  <c r="D11480" i="1"/>
  <c r="G11480" i="1"/>
  <c r="B864" i="1"/>
  <c r="D864" i="1"/>
  <c r="G864" i="1"/>
  <c r="B11651" i="1"/>
  <c r="D11651" i="1"/>
  <c r="G11651" i="1"/>
  <c r="B18163" i="1"/>
  <c r="D18163" i="1"/>
  <c r="G18163" i="1"/>
  <c r="B10710" i="1"/>
  <c r="D10710" i="1"/>
  <c r="G10710" i="1"/>
  <c r="B11077" i="1"/>
  <c r="D11077" i="1"/>
  <c r="G11077" i="1"/>
  <c r="B11481" i="1"/>
  <c r="D11481" i="1"/>
  <c r="G11481" i="1"/>
  <c r="B11925" i="1"/>
  <c r="D11925" i="1"/>
  <c r="G11925" i="1"/>
  <c r="B11365" i="1"/>
  <c r="D11365" i="1"/>
  <c r="G11365" i="1"/>
  <c r="B11926" i="1"/>
  <c r="D11926" i="1"/>
  <c r="G11926" i="1"/>
  <c r="B11867" i="1"/>
  <c r="D11867" i="1"/>
  <c r="G11867" i="1"/>
  <c r="B15678" i="1"/>
  <c r="D15678" i="1"/>
  <c r="G15678" i="1"/>
  <c r="B18724" i="1"/>
  <c r="D18724" i="1"/>
  <c r="G18724" i="1"/>
  <c r="B10413" i="1"/>
  <c r="D10413" i="1"/>
  <c r="G10413" i="1"/>
  <c r="B10414" i="1"/>
  <c r="D10414" i="1"/>
  <c r="G10414" i="1"/>
  <c r="B10711" i="1"/>
  <c r="D10711" i="1"/>
  <c r="G10711" i="1"/>
  <c r="B10712" i="1"/>
  <c r="D10712" i="1"/>
  <c r="G10712" i="1"/>
  <c r="B16205" i="1"/>
  <c r="D16205" i="1"/>
  <c r="G16205" i="1"/>
  <c r="B11078" i="1"/>
  <c r="D11078" i="1"/>
  <c r="G11078" i="1"/>
  <c r="B21999" i="1"/>
  <c r="D21999" i="1"/>
  <c r="G21999" i="1"/>
  <c r="B14691" i="1"/>
  <c r="D14691" i="1"/>
  <c r="G14691" i="1"/>
  <c r="B14883" i="1"/>
  <c r="D14883" i="1"/>
  <c r="G14883" i="1"/>
  <c r="B11366" i="1"/>
  <c r="D11366" i="1"/>
  <c r="G11366" i="1"/>
  <c r="B15353" i="1"/>
  <c r="D15353" i="1"/>
  <c r="G15353" i="1"/>
  <c r="B14692" i="1"/>
  <c r="D14692" i="1"/>
  <c r="G14692" i="1"/>
  <c r="B10415" i="1"/>
  <c r="D10415" i="1"/>
  <c r="G10415" i="1"/>
  <c r="B20731" i="1"/>
  <c r="D20731" i="1"/>
  <c r="G20731" i="1"/>
  <c r="B19118" i="1"/>
  <c r="D19118" i="1"/>
  <c r="G19118" i="1"/>
  <c r="B20732" i="1"/>
  <c r="D20732" i="1"/>
  <c r="G20732" i="1"/>
  <c r="B11079" i="1"/>
  <c r="D11079" i="1"/>
  <c r="G11079" i="1"/>
  <c r="B2111" i="1"/>
  <c r="D2111" i="1"/>
  <c r="G2111" i="1"/>
  <c r="B11927" i="1"/>
  <c r="D11927" i="1"/>
  <c r="G11927" i="1"/>
  <c r="B18403" i="1"/>
  <c r="D18403" i="1"/>
  <c r="G18403" i="1"/>
  <c r="B11928" i="1"/>
  <c r="D11928" i="1"/>
  <c r="G11928" i="1"/>
  <c r="B11080" i="1"/>
  <c r="D11080" i="1"/>
  <c r="G11080" i="1"/>
  <c r="B22107" i="1"/>
  <c r="D22107" i="1"/>
  <c r="G22107" i="1"/>
  <c r="B11929" i="1"/>
  <c r="D11929" i="1"/>
  <c r="G11929" i="1"/>
  <c r="B10416" i="1"/>
  <c r="D10416" i="1"/>
  <c r="G10416" i="1"/>
  <c r="B8644" i="1"/>
  <c r="D8644" i="1"/>
  <c r="G8644" i="1"/>
  <c r="B10713" i="1"/>
  <c r="D10713" i="1"/>
  <c r="G10713" i="1"/>
  <c r="B18404" i="1"/>
  <c r="D18404" i="1"/>
  <c r="G18404" i="1"/>
  <c r="B19385" i="1"/>
  <c r="D19385" i="1"/>
  <c r="G19385" i="1"/>
  <c r="B11930" i="1"/>
  <c r="D11930" i="1"/>
  <c r="G11930" i="1"/>
  <c r="B8645" i="1"/>
  <c r="D8645" i="1"/>
  <c r="G8645" i="1"/>
  <c r="B4145" i="1"/>
  <c r="D4145" i="1"/>
  <c r="G4145" i="1"/>
  <c r="B11931" i="1"/>
  <c r="D11931" i="1"/>
  <c r="G11931" i="1"/>
  <c r="B19386" i="1"/>
  <c r="D19386" i="1"/>
  <c r="G19386" i="1"/>
  <c r="B11081" i="1"/>
  <c r="D11081" i="1"/>
  <c r="G11081" i="1"/>
  <c r="B19387" i="1"/>
  <c r="D19387" i="1"/>
  <c r="G19387" i="1"/>
  <c r="B19388" i="1"/>
  <c r="D19388" i="1"/>
  <c r="G19388" i="1"/>
  <c r="B2268" i="1"/>
  <c r="D2268" i="1"/>
  <c r="G2268" i="1"/>
  <c r="B5985" i="1"/>
  <c r="D5985" i="1"/>
  <c r="G5985" i="1"/>
  <c r="B11932" i="1"/>
  <c r="D11932" i="1"/>
  <c r="G11932" i="1"/>
  <c r="B10256" i="1"/>
  <c r="D10256" i="1"/>
  <c r="G10256" i="1"/>
  <c r="B11367" i="1"/>
  <c r="D11367" i="1"/>
  <c r="G11367" i="1"/>
  <c r="B12643" i="1"/>
  <c r="D12643" i="1"/>
  <c r="G12643" i="1"/>
  <c r="B19868" i="1"/>
  <c r="D19868" i="1"/>
  <c r="G19868" i="1"/>
  <c r="B10714" i="1"/>
  <c r="D10714" i="1"/>
  <c r="G10714" i="1"/>
  <c r="B13914" i="1"/>
  <c r="D13914" i="1"/>
  <c r="G13914" i="1"/>
  <c r="B3006" i="1"/>
  <c r="D3006" i="1"/>
  <c r="G3006" i="1"/>
  <c r="B20733" i="1"/>
  <c r="D20733" i="1"/>
  <c r="G20733" i="1"/>
  <c r="B19119" i="1"/>
  <c r="D19119" i="1"/>
  <c r="G19119" i="1"/>
  <c r="B14585" i="1"/>
  <c r="D14585" i="1"/>
  <c r="G14585" i="1"/>
  <c r="B11933" i="1"/>
  <c r="D11933" i="1"/>
  <c r="G11933" i="1"/>
  <c r="B14131" i="1"/>
  <c r="D14131" i="1"/>
  <c r="G14131" i="1"/>
  <c r="B11934" i="1"/>
  <c r="D11934" i="1"/>
  <c r="G11934" i="1"/>
  <c r="B21849" i="1"/>
  <c r="D21849" i="1"/>
  <c r="G21849" i="1"/>
  <c r="B10417" i="1"/>
  <c r="D10417" i="1"/>
  <c r="G10417" i="1"/>
  <c r="B16206" i="1"/>
  <c r="D16206" i="1"/>
  <c r="G16206" i="1"/>
  <c r="B11935" i="1"/>
  <c r="D11935" i="1"/>
  <c r="G11935" i="1"/>
  <c r="B10257" i="1"/>
  <c r="D10257" i="1"/>
  <c r="G10257" i="1"/>
  <c r="B14526" i="1"/>
  <c r="D14526" i="1"/>
  <c r="G14526" i="1"/>
  <c r="B15776" i="1"/>
  <c r="D15776" i="1"/>
  <c r="G15776" i="1"/>
  <c r="B14884" i="1"/>
  <c r="D14884" i="1"/>
  <c r="G14884" i="1"/>
  <c r="B15354" i="1"/>
  <c r="D15354" i="1"/>
  <c r="G15354" i="1"/>
  <c r="B14693" i="1"/>
  <c r="D14693" i="1"/>
  <c r="G14693" i="1"/>
  <c r="B11936" i="1"/>
  <c r="D11936" i="1"/>
  <c r="G11936" i="1"/>
  <c r="B11082" i="1"/>
  <c r="D11082" i="1"/>
  <c r="G11082" i="1"/>
  <c r="B16207" i="1"/>
  <c r="D16207" i="1"/>
  <c r="G16207" i="1"/>
  <c r="B8646" i="1"/>
  <c r="D8646" i="1"/>
  <c r="G8646" i="1"/>
  <c r="B20734" i="1"/>
  <c r="D20734" i="1"/>
  <c r="G20734" i="1"/>
  <c r="B21476" i="1"/>
  <c r="D21476" i="1"/>
  <c r="G21476" i="1"/>
  <c r="B19120" i="1"/>
  <c r="D19120" i="1"/>
  <c r="G19120" i="1"/>
  <c r="B18786" i="1"/>
  <c r="D18786" i="1"/>
  <c r="G18786" i="1"/>
  <c r="B19121" i="1"/>
  <c r="D19121" i="1"/>
  <c r="G19121" i="1"/>
  <c r="B17621" i="1"/>
  <c r="D17621" i="1"/>
  <c r="G17621" i="1"/>
  <c r="B19389" i="1"/>
  <c r="D19389" i="1"/>
  <c r="G19389" i="1"/>
  <c r="B15997" i="1"/>
  <c r="D15997" i="1"/>
  <c r="G15997" i="1"/>
  <c r="B13791" i="1"/>
  <c r="D13791" i="1"/>
  <c r="G13791" i="1"/>
  <c r="B14300" i="1"/>
  <c r="D14300" i="1"/>
  <c r="G14300" i="1"/>
  <c r="B21850" i="1"/>
  <c r="D21850" i="1"/>
  <c r="G21850" i="1"/>
  <c r="B10715" i="1"/>
  <c r="D10715" i="1"/>
  <c r="G10715" i="1"/>
  <c r="B18405" i="1"/>
  <c r="D18405" i="1"/>
  <c r="G18405" i="1"/>
  <c r="B13605" i="1"/>
  <c r="D13605" i="1"/>
  <c r="G13605" i="1"/>
  <c r="B16208" i="1"/>
  <c r="D16208" i="1"/>
  <c r="G16208" i="1"/>
  <c r="B16209" i="1"/>
  <c r="D16209" i="1"/>
  <c r="G16209" i="1"/>
  <c r="B16210" i="1"/>
  <c r="D16210" i="1"/>
  <c r="G16210" i="1"/>
  <c r="B21477" i="1"/>
  <c r="D21477" i="1"/>
  <c r="G21477" i="1"/>
  <c r="B10258" i="1"/>
  <c r="D10258" i="1"/>
  <c r="G10258" i="1"/>
  <c r="B19122" i="1"/>
  <c r="D19122" i="1"/>
  <c r="G19122" i="1"/>
  <c r="B18787" i="1"/>
  <c r="D18787" i="1"/>
  <c r="G18787" i="1"/>
  <c r="B16030" i="1"/>
  <c r="D16030" i="1"/>
  <c r="G16030" i="1"/>
  <c r="B17259" i="1"/>
  <c r="D17259" i="1"/>
  <c r="G17259" i="1"/>
  <c r="B11030" i="1"/>
  <c r="D11030" i="1"/>
  <c r="G11030" i="1"/>
  <c r="B17622" i="1"/>
  <c r="D17622" i="1"/>
  <c r="G17622" i="1"/>
  <c r="B17623" i="1"/>
  <c r="D17623" i="1"/>
  <c r="G17623" i="1"/>
  <c r="B20160" i="1"/>
  <c r="D20160" i="1"/>
  <c r="G20160" i="1"/>
  <c r="B14154" i="1"/>
  <c r="D14154" i="1"/>
  <c r="G14154" i="1"/>
  <c r="B17036" i="1"/>
  <c r="D17036" i="1"/>
  <c r="G17036" i="1"/>
  <c r="B22108" i="1"/>
  <c r="D22108" i="1"/>
  <c r="G22108" i="1"/>
  <c r="B14885" i="1"/>
  <c r="D14885" i="1"/>
  <c r="G14885" i="1"/>
  <c r="B16211" i="1"/>
  <c r="D16211" i="1"/>
  <c r="G16211" i="1"/>
  <c r="B17624" i="1"/>
  <c r="D17624" i="1"/>
  <c r="G17624" i="1"/>
  <c r="B15842" i="1"/>
  <c r="D15842" i="1"/>
  <c r="G15842" i="1"/>
  <c r="B15777" i="1"/>
  <c r="D15777" i="1"/>
  <c r="G15777" i="1"/>
  <c r="B15355" i="1"/>
  <c r="D15355" i="1"/>
  <c r="G15355" i="1"/>
  <c r="B14694" i="1"/>
  <c r="D14694" i="1"/>
  <c r="G14694" i="1"/>
  <c r="B13253" i="1"/>
  <c r="D13253" i="1"/>
  <c r="G13253" i="1"/>
  <c r="B19390" i="1"/>
  <c r="D19390" i="1"/>
  <c r="G19390" i="1"/>
  <c r="B10336" i="1"/>
  <c r="D10336" i="1"/>
  <c r="G10336" i="1"/>
  <c r="B17037" i="1"/>
  <c r="D17037" i="1"/>
  <c r="G17037" i="1"/>
  <c r="B10716" i="1"/>
  <c r="D10716" i="1"/>
  <c r="G10716" i="1"/>
  <c r="B14527" i="1"/>
  <c r="D14527" i="1"/>
  <c r="G14527" i="1"/>
  <c r="B19391" i="1"/>
  <c r="D19391" i="1"/>
  <c r="G19391" i="1"/>
  <c r="B20032" i="1"/>
  <c r="D20032" i="1"/>
  <c r="G20032" i="1"/>
  <c r="B15697" i="1"/>
  <c r="D15697" i="1"/>
  <c r="G15697" i="1"/>
  <c r="B15356" i="1"/>
  <c r="D15356" i="1"/>
  <c r="G15356" i="1"/>
  <c r="B15843" i="1"/>
  <c r="D15843" i="1"/>
  <c r="G15843" i="1"/>
  <c r="B17625" i="1"/>
  <c r="D17625" i="1"/>
  <c r="G17625" i="1"/>
  <c r="B15778" i="1"/>
  <c r="D15778" i="1"/>
  <c r="G15778" i="1"/>
  <c r="B12369" i="1"/>
  <c r="D12369" i="1"/>
  <c r="G12369" i="1"/>
  <c r="B11937" i="1"/>
  <c r="D11937" i="1"/>
  <c r="G11937" i="1"/>
  <c r="B19392" i="1"/>
  <c r="D19392" i="1"/>
  <c r="G19392" i="1"/>
  <c r="B20096" i="1"/>
  <c r="D20096" i="1"/>
  <c r="G20096" i="1"/>
  <c r="B14674" i="1"/>
  <c r="D14674" i="1"/>
  <c r="G14674" i="1"/>
  <c r="B10337" i="1"/>
  <c r="D10337" i="1"/>
  <c r="G10337" i="1"/>
  <c r="B10717" i="1"/>
  <c r="D10717" i="1"/>
  <c r="G10717" i="1"/>
  <c r="B16212" i="1"/>
  <c r="D16212" i="1"/>
  <c r="G16212" i="1"/>
  <c r="B10718" i="1"/>
  <c r="D10718" i="1"/>
  <c r="G10718" i="1"/>
  <c r="B17626" i="1"/>
  <c r="D17626" i="1"/>
  <c r="G17626" i="1"/>
  <c r="B17038" i="1"/>
  <c r="D17038" i="1"/>
  <c r="G17038" i="1"/>
  <c r="B19393" i="1"/>
  <c r="D19393" i="1"/>
  <c r="G19393" i="1"/>
  <c r="B18976" i="1"/>
  <c r="D18976" i="1"/>
  <c r="G18976" i="1"/>
  <c r="B19123" i="1"/>
  <c r="D19123" i="1"/>
  <c r="G19123" i="1"/>
  <c r="B14886" i="1"/>
  <c r="D14886" i="1"/>
  <c r="G14886" i="1"/>
  <c r="B18977" i="1"/>
  <c r="D18977" i="1"/>
  <c r="G18977" i="1"/>
  <c r="B19124" i="1"/>
  <c r="D19124" i="1"/>
  <c r="G19124" i="1"/>
  <c r="B14887" i="1"/>
  <c r="D14887" i="1"/>
  <c r="G14887" i="1"/>
  <c r="B14888" i="1"/>
  <c r="D14888" i="1"/>
  <c r="G14888" i="1"/>
  <c r="B15357" i="1"/>
  <c r="D15357" i="1"/>
  <c r="G15357" i="1"/>
  <c r="B15698" i="1"/>
  <c r="D15698" i="1"/>
  <c r="G15698" i="1"/>
  <c r="B21478" i="1"/>
  <c r="D21478" i="1"/>
  <c r="G21478" i="1"/>
  <c r="B19125" i="1"/>
  <c r="D19125" i="1"/>
  <c r="G19125" i="1"/>
  <c r="B18788" i="1"/>
  <c r="D18788" i="1"/>
  <c r="G18788" i="1"/>
  <c r="B17627" i="1"/>
  <c r="D17627" i="1"/>
  <c r="G17627" i="1"/>
  <c r="B20735" i="1"/>
  <c r="D20735" i="1"/>
  <c r="G20735" i="1"/>
  <c r="B19126" i="1"/>
  <c r="D19126" i="1"/>
  <c r="G19126" i="1"/>
  <c r="B14586" i="1"/>
  <c r="D14586" i="1"/>
  <c r="G14586" i="1"/>
  <c r="B13001" i="1"/>
  <c r="D13001" i="1"/>
  <c r="G13001" i="1"/>
  <c r="B18406" i="1"/>
  <c r="D18406" i="1"/>
  <c r="G18406" i="1"/>
  <c r="B22109" i="1"/>
  <c r="D22109" i="1"/>
  <c r="G22109" i="1"/>
  <c r="B11938" i="1"/>
  <c r="D11938" i="1"/>
  <c r="G11938" i="1"/>
  <c r="B13581" i="1"/>
  <c r="D13581" i="1"/>
  <c r="G13581" i="1"/>
  <c r="B14815" i="1"/>
  <c r="D14815" i="1"/>
  <c r="G14815" i="1"/>
  <c r="B12454" i="1"/>
  <c r="D12454" i="1"/>
  <c r="G12454" i="1"/>
  <c r="B16213" i="1"/>
  <c r="D16213" i="1"/>
  <c r="G16213" i="1"/>
  <c r="B12455" i="1"/>
  <c r="D12455" i="1"/>
  <c r="G12455" i="1"/>
  <c r="B17039" i="1"/>
  <c r="D17039" i="1"/>
  <c r="G17039" i="1"/>
  <c r="B19394" i="1"/>
  <c r="D19394" i="1"/>
  <c r="G19394" i="1"/>
  <c r="B18978" i="1"/>
  <c r="D18978" i="1"/>
  <c r="G18978" i="1"/>
  <c r="B15358" i="1"/>
  <c r="D15358" i="1"/>
  <c r="G15358" i="1"/>
  <c r="B21663" i="1"/>
  <c r="D21663" i="1"/>
  <c r="G21663" i="1"/>
  <c r="B16214" i="1"/>
  <c r="D16214" i="1"/>
  <c r="G16214" i="1"/>
  <c r="B17504" i="1"/>
  <c r="D17504" i="1"/>
  <c r="G17504" i="1"/>
  <c r="B20097" i="1"/>
  <c r="D20097" i="1"/>
  <c r="G20097" i="1"/>
  <c r="B3853" i="1"/>
  <c r="D3853" i="1"/>
  <c r="G3853" i="1"/>
  <c r="B13007" i="1"/>
  <c r="D13007" i="1"/>
  <c r="G13007" i="1"/>
  <c r="B16215" i="1"/>
  <c r="D16215" i="1"/>
  <c r="G16215" i="1"/>
  <c r="B11939" i="1"/>
  <c r="D11939" i="1"/>
  <c r="G11939" i="1"/>
  <c r="B19395" i="1"/>
  <c r="D19395" i="1"/>
  <c r="G19395" i="1"/>
  <c r="B17228" i="1"/>
  <c r="D17228" i="1"/>
  <c r="G17228" i="1"/>
  <c r="B4287" i="1"/>
  <c r="D4287" i="1"/>
  <c r="G4287" i="1"/>
  <c r="B16961" i="1"/>
  <c r="D16961" i="1"/>
  <c r="G16961" i="1"/>
  <c r="B21479" i="1"/>
  <c r="D21479" i="1"/>
  <c r="G21479" i="1"/>
  <c r="B14403" i="1"/>
  <c r="D14403" i="1"/>
  <c r="G14403" i="1"/>
  <c r="B13977" i="1"/>
  <c r="D13977" i="1"/>
  <c r="G13977" i="1"/>
  <c r="B14889" i="1"/>
  <c r="D14889" i="1"/>
  <c r="G14889" i="1"/>
  <c r="B17505" i="1"/>
  <c r="D17505" i="1"/>
  <c r="G17505" i="1"/>
  <c r="B13004" i="1"/>
  <c r="D13004" i="1"/>
  <c r="G13004" i="1"/>
  <c r="B18979" i="1"/>
  <c r="D18979" i="1"/>
  <c r="G18979" i="1"/>
  <c r="B18789" i="1"/>
  <c r="D18789" i="1"/>
  <c r="G18789" i="1"/>
  <c r="B21480" i="1"/>
  <c r="D21480" i="1"/>
  <c r="G21480" i="1"/>
  <c r="B2012" i="1"/>
  <c r="D2012" i="1"/>
  <c r="G2012" i="1"/>
  <c r="B19127" i="1"/>
  <c r="D19127" i="1"/>
  <c r="G19127" i="1"/>
  <c r="B18790" i="1"/>
  <c r="D18790" i="1"/>
  <c r="G18790" i="1"/>
  <c r="B19396" i="1"/>
  <c r="D19396" i="1"/>
  <c r="G19396" i="1"/>
  <c r="B11940" i="1"/>
  <c r="D11940" i="1"/>
  <c r="G11940" i="1"/>
  <c r="B18980" i="1"/>
  <c r="D18980" i="1"/>
  <c r="G18980" i="1"/>
  <c r="B18791" i="1"/>
  <c r="D18791" i="1"/>
  <c r="G18791" i="1"/>
  <c r="B475" i="1"/>
  <c r="D475" i="1"/>
  <c r="G475" i="1"/>
  <c r="B19397" i="1"/>
  <c r="D19397" i="1"/>
  <c r="G19397" i="1"/>
  <c r="B16216" i="1"/>
  <c r="D16216" i="1"/>
  <c r="G16216" i="1"/>
  <c r="B16217" i="1"/>
  <c r="D16217" i="1"/>
  <c r="G16217" i="1"/>
  <c r="B13254" i="1"/>
  <c r="D13254" i="1"/>
  <c r="G13254" i="1"/>
  <c r="B16957" i="1"/>
  <c r="D16957" i="1"/>
  <c r="G16957" i="1"/>
  <c r="B17040" i="1"/>
  <c r="D17040" i="1"/>
  <c r="G17040" i="1"/>
  <c r="B2321" i="1"/>
  <c r="D2321" i="1"/>
  <c r="G2321" i="1"/>
  <c r="B2424" i="1"/>
  <c r="D2424" i="1"/>
  <c r="G2424" i="1"/>
  <c r="B17352" i="1"/>
  <c r="D17352" i="1"/>
  <c r="G17352" i="1"/>
  <c r="B14528" i="1"/>
  <c r="D14528" i="1"/>
  <c r="G14528" i="1"/>
  <c r="B3427" i="1"/>
  <c r="D3427" i="1"/>
  <c r="G3427" i="1"/>
  <c r="B14890" i="1"/>
  <c r="D14890" i="1"/>
  <c r="G14890" i="1"/>
  <c r="B13027" i="1"/>
  <c r="D13027" i="1"/>
  <c r="G13027" i="1"/>
  <c r="B20736" i="1"/>
  <c r="D20736" i="1"/>
  <c r="G20736" i="1"/>
  <c r="B15359" i="1"/>
  <c r="D15359" i="1"/>
  <c r="G15359" i="1"/>
  <c r="B18792" i="1"/>
  <c r="D18792" i="1"/>
  <c r="G18792" i="1"/>
  <c r="B15844" i="1"/>
  <c r="D15844" i="1"/>
  <c r="G15844" i="1"/>
  <c r="B15779" i="1"/>
  <c r="D15779" i="1"/>
  <c r="G15779" i="1"/>
  <c r="B20530" i="1"/>
  <c r="D20530" i="1"/>
  <c r="G20530" i="1"/>
  <c r="B16073" i="1"/>
  <c r="D16073" i="1"/>
  <c r="G16073" i="1"/>
  <c r="B1035" i="1"/>
  <c r="D1035" i="1"/>
  <c r="G1035" i="1"/>
  <c r="B16060" i="1"/>
  <c r="D16060" i="1"/>
  <c r="G16060" i="1"/>
  <c r="B4288" i="1"/>
  <c r="D4288" i="1"/>
  <c r="G4288" i="1"/>
  <c r="B18407" i="1"/>
  <c r="D18407" i="1"/>
  <c r="G18407" i="1"/>
  <c r="B19398" i="1"/>
  <c r="D19398" i="1"/>
  <c r="G19398" i="1"/>
  <c r="B21664" i="1"/>
  <c r="D21664" i="1"/>
  <c r="G21664" i="1"/>
  <c r="B9995" i="1"/>
  <c r="D9995" i="1"/>
  <c r="G9995" i="1"/>
  <c r="B18725" i="1"/>
  <c r="D18725" i="1"/>
  <c r="G18725" i="1"/>
  <c r="B4093" i="1"/>
  <c r="D4093" i="1"/>
  <c r="G4093" i="1"/>
  <c r="B14891" i="1"/>
  <c r="D14891" i="1"/>
  <c r="G14891" i="1"/>
  <c r="B14675" i="1"/>
  <c r="D14675" i="1"/>
  <c r="G14675" i="1"/>
  <c r="B20264" i="1"/>
  <c r="D20264" i="1"/>
  <c r="G20264" i="1"/>
  <c r="B16218" i="1"/>
  <c r="D16218" i="1"/>
  <c r="G16218" i="1"/>
  <c r="B9996" i="1"/>
  <c r="D9996" i="1"/>
  <c r="G9996" i="1"/>
  <c r="B18981" i="1"/>
  <c r="D18981" i="1"/>
  <c r="G18981" i="1"/>
  <c r="B16219" i="1"/>
  <c r="D16219" i="1"/>
  <c r="G16219" i="1"/>
  <c r="B19128" i="1"/>
  <c r="D19128" i="1"/>
  <c r="G19128" i="1"/>
  <c r="B14892" i="1"/>
  <c r="D14892" i="1"/>
  <c r="G14892" i="1"/>
  <c r="B17041" i="1"/>
  <c r="D17041" i="1"/>
  <c r="G17041" i="1"/>
  <c r="B13433" i="1"/>
  <c r="D13433" i="1"/>
  <c r="G13433" i="1"/>
  <c r="B21009" i="1"/>
  <c r="D21009" i="1"/>
  <c r="G21009" i="1"/>
  <c r="B13978" i="1"/>
  <c r="D13978" i="1"/>
  <c r="G13978" i="1"/>
  <c r="B12961" i="1"/>
  <c r="D12961" i="1"/>
  <c r="G12961" i="1"/>
  <c r="B19869" i="1"/>
  <c r="D19869" i="1"/>
  <c r="G19869" i="1"/>
  <c r="B18982" i="1"/>
  <c r="D18982" i="1"/>
  <c r="G18982" i="1"/>
  <c r="B14893" i="1"/>
  <c r="D14893" i="1"/>
  <c r="G14893" i="1"/>
  <c r="B19129" i="1"/>
  <c r="D19129" i="1"/>
  <c r="G19129" i="1"/>
  <c r="B20360" i="1"/>
  <c r="D20360" i="1"/>
  <c r="G20360" i="1"/>
  <c r="B20265" i="1"/>
  <c r="D20265" i="1"/>
  <c r="G20265" i="1"/>
  <c r="B20229" i="1"/>
  <c r="D20229" i="1"/>
  <c r="G20229" i="1"/>
  <c r="B22000" i="1"/>
  <c r="D22000" i="1"/>
  <c r="G22000" i="1"/>
  <c r="B15360" i="1"/>
  <c r="D15360" i="1"/>
  <c r="G15360" i="1"/>
  <c r="B18070" i="1"/>
  <c r="D18070" i="1"/>
  <c r="G18070" i="1"/>
  <c r="B18408" i="1"/>
  <c r="D18408" i="1"/>
  <c r="G18408" i="1"/>
  <c r="B16220" i="1"/>
  <c r="D16220" i="1"/>
  <c r="G16220" i="1"/>
  <c r="B4098" i="1"/>
  <c r="D4098" i="1"/>
  <c r="G4098" i="1"/>
  <c r="B13014" i="1"/>
  <c r="D13014" i="1"/>
  <c r="G13014" i="1"/>
  <c r="B16221" i="1"/>
  <c r="D16221" i="1"/>
  <c r="G16221" i="1"/>
  <c r="B13434" i="1"/>
  <c r="D13434" i="1"/>
  <c r="G13434" i="1"/>
  <c r="B10338" i="1"/>
  <c r="D10338" i="1"/>
  <c r="G10338" i="1"/>
  <c r="B10418" i="1"/>
  <c r="D10418" i="1"/>
  <c r="G10418" i="1"/>
  <c r="B20531" i="1"/>
  <c r="D20531" i="1"/>
  <c r="G20531" i="1"/>
  <c r="B20737" i="1"/>
  <c r="D20737" i="1"/>
  <c r="G20737" i="1"/>
  <c r="B7393" i="1"/>
  <c r="D7393" i="1"/>
  <c r="G7393" i="1"/>
  <c r="B2322" i="1"/>
  <c r="D2322" i="1"/>
  <c r="G2322" i="1"/>
  <c r="B14336" i="1"/>
  <c r="D14336" i="1"/>
  <c r="G14336" i="1"/>
  <c r="B20738" i="1"/>
  <c r="D20738" i="1"/>
  <c r="G20738" i="1"/>
  <c r="B17628" i="1"/>
  <c r="D17628" i="1"/>
  <c r="G17628" i="1"/>
  <c r="B2425" i="1"/>
  <c r="D2425" i="1"/>
  <c r="G2425" i="1"/>
  <c r="B2323" i="1"/>
  <c r="D2323" i="1"/>
  <c r="G2323" i="1"/>
  <c r="B21010" i="1"/>
  <c r="D21010" i="1"/>
  <c r="G21010" i="1"/>
  <c r="B13028" i="1"/>
  <c r="D13028" i="1"/>
  <c r="G13028" i="1"/>
  <c r="B21665" i="1"/>
  <c r="D21665" i="1"/>
  <c r="G21665" i="1"/>
  <c r="B3428" i="1"/>
  <c r="D3428" i="1"/>
  <c r="G3428" i="1"/>
  <c r="B3429" i="1"/>
  <c r="D3429" i="1"/>
  <c r="G3429" i="1"/>
  <c r="B10719" i="1"/>
  <c r="D10719" i="1"/>
  <c r="G10719" i="1"/>
  <c r="B11083" i="1"/>
  <c r="D11083" i="1"/>
  <c r="G11083" i="1"/>
  <c r="B16222" i="1"/>
  <c r="D16222" i="1"/>
  <c r="G16222" i="1"/>
  <c r="B17042" i="1"/>
  <c r="D17042" i="1"/>
  <c r="G17042" i="1"/>
  <c r="B16223" i="1"/>
  <c r="D16223" i="1"/>
  <c r="G16223" i="1"/>
  <c r="B18983" i="1"/>
  <c r="D18983" i="1"/>
  <c r="G18983" i="1"/>
  <c r="B13187" i="1"/>
  <c r="D13187" i="1"/>
  <c r="G13187" i="1"/>
  <c r="B15361" i="1"/>
  <c r="D15361" i="1"/>
  <c r="G15361" i="1"/>
  <c r="B14894" i="1"/>
  <c r="D14894" i="1"/>
  <c r="G14894" i="1"/>
  <c r="B21851" i="1"/>
  <c r="D21851" i="1"/>
  <c r="G21851" i="1"/>
  <c r="B1036" i="1"/>
  <c r="D1036" i="1"/>
  <c r="G1036" i="1"/>
  <c r="B13029" i="1"/>
  <c r="D13029" i="1"/>
  <c r="G13029" i="1"/>
  <c r="B6698" i="1"/>
  <c r="D6698" i="1"/>
  <c r="G6698" i="1"/>
  <c r="B22110" i="1"/>
  <c r="D22110" i="1"/>
  <c r="G22110" i="1"/>
  <c r="B16224" i="1"/>
  <c r="D16224" i="1"/>
  <c r="G16224" i="1"/>
  <c r="B22111" i="1"/>
  <c r="D22111" i="1"/>
  <c r="G22111" i="1"/>
  <c r="B13008" i="1"/>
  <c r="D13008" i="1"/>
  <c r="G13008" i="1"/>
  <c r="B16031" i="1"/>
  <c r="D16031" i="1"/>
  <c r="G16031" i="1"/>
  <c r="B12456" i="1"/>
  <c r="D12456" i="1"/>
  <c r="G12456" i="1"/>
  <c r="B3430" i="1"/>
  <c r="D3430" i="1"/>
  <c r="G3430" i="1"/>
  <c r="B16225" i="1"/>
  <c r="D16225" i="1"/>
  <c r="G16225" i="1"/>
  <c r="B18384" i="1"/>
  <c r="D18384" i="1"/>
  <c r="G18384" i="1"/>
  <c r="B21481" i="1"/>
  <c r="D21481" i="1"/>
  <c r="G21481" i="1"/>
  <c r="B18984" i="1"/>
  <c r="D18984" i="1"/>
  <c r="G18984" i="1"/>
  <c r="B18793" i="1"/>
  <c r="D18793" i="1"/>
  <c r="G18793" i="1"/>
  <c r="B19399" i="1"/>
  <c r="D19399" i="1"/>
  <c r="G19399" i="1"/>
  <c r="B11941" i="1"/>
  <c r="D11941" i="1"/>
  <c r="G11941" i="1"/>
  <c r="B13183" i="1"/>
  <c r="D13183" i="1"/>
  <c r="G13183" i="1"/>
  <c r="B18164" i="1"/>
  <c r="D18164" i="1"/>
  <c r="G18164" i="1"/>
  <c r="B14587" i="1"/>
  <c r="D14587" i="1"/>
  <c r="G14587" i="1"/>
  <c r="B14895" i="1"/>
  <c r="D14895" i="1"/>
  <c r="G14895" i="1"/>
  <c r="B13213" i="1"/>
  <c r="D13213" i="1"/>
  <c r="G13213" i="1"/>
  <c r="B15362" i="1"/>
  <c r="D15362" i="1"/>
  <c r="G15362" i="1"/>
  <c r="B14896" i="1"/>
  <c r="D14896" i="1"/>
  <c r="G14896" i="1"/>
  <c r="B14695" i="1"/>
  <c r="D14695" i="1"/>
  <c r="G14695" i="1"/>
  <c r="B18409" i="1"/>
  <c r="D18409" i="1"/>
  <c r="G18409" i="1"/>
  <c r="B22253" i="1"/>
  <c r="D22253" i="1"/>
  <c r="G22253" i="1"/>
  <c r="B14345" i="1"/>
  <c r="D14345" i="1"/>
  <c r="G14345" i="1"/>
  <c r="B10720" i="1"/>
  <c r="D10720" i="1"/>
  <c r="G10720" i="1"/>
  <c r="B18410" i="1"/>
  <c r="D18410" i="1"/>
  <c r="G18410" i="1"/>
  <c r="B11084" i="1"/>
  <c r="D11084" i="1"/>
  <c r="G11084" i="1"/>
  <c r="B15959" i="1"/>
  <c r="D15959" i="1"/>
  <c r="G15959" i="1"/>
  <c r="B18985" i="1"/>
  <c r="D18985" i="1"/>
  <c r="G18985" i="1"/>
  <c r="B18794" i="1"/>
  <c r="D18794" i="1"/>
  <c r="G18794" i="1"/>
  <c r="B21482" i="1"/>
  <c r="D21482" i="1"/>
  <c r="G21482" i="1"/>
  <c r="B13786" i="1"/>
  <c r="D13786" i="1"/>
  <c r="G13786" i="1"/>
  <c r="B19130" i="1"/>
  <c r="D19130" i="1"/>
  <c r="G19130" i="1"/>
  <c r="B18795" i="1"/>
  <c r="D18795" i="1"/>
  <c r="G18795" i="1"/>
  <c r="B13255" i="1"/>
  <c r="D13255" i="1"/>
  <c r="G13255" i="1"/>
  <c r="B3431" i="1"/>
  <c r="D3431" i="1"/>
  <c r="G3431" i="1"/>
  <c r="B22112" i="1"/>
  <c r="D22112" i="1"/>
  <c r="G22112" i="1"/>
  <c r="B18396" i="1"/>
  <c r="D18396" i="1"/>
  <c r="G18396" i="1"/>
  <c r="B22001" i="1"/>
  <c r="D22001" i="1"/>
  <c r="G22001" i="1"/>
  <c r="B18796" i="1"/>
  <c r="D18796" i="1"/>
  <c r="G18796" i="1"/>
  <c r="B14897" i="1"/>
  <c r="D14897" i="1"/>
  <c r="G14897" i="1"/>
  <c r="B15363" i="1"/>
  <c r="D15363" i="1"/>
  <c r="G15363" i="1"/>
  <c r="B14772" i="1"/>
  <c r="D14772" i="1"/>
  <c r="G14772" i="1"/>
  <c r="B3301" i="1"/>
  <c r="D3301" i="1"/>
  <c r="G3301" i="1"/>
  <c r="B16226" i="1"/>
  <c r="D16226" i="1"/>
  <c r="G16226" i="1"/>
  <c r="B14696" i="1"/>
  <c r="D14696" i="1"/>
  <c r="G14696" i="1"/>
  <c r="B14301" i="1"/>
  <c r="D14301" i="1"/>
  <c r="G14301" i="1"/>
  <c r="B18395" i="1"/>
  <c r="D18395" i="1"/>
  <c r="G18395" i="1"/>
  <c r="B19400" i="1"/>
  <c r="D19400" i="1"/>
  <c r="G19400" i="1"/>
  <c r="B13934" i="1"/>
  <c r="D13934" i="1"/>
  <c r="G13934" i="1"/>
  <c r="B4187" i="1"/>
  <c r="D4187" i="1"/>
  <c r="G4187" i="1"/>
  <c r="B16227" i="1"/>
  <c r="D16227" i="1"/>
  <c r="G16227" i="1"/>
  <c r="B11942" i="1"/>
  <c r="D11942" i="1"/>
  <c r="G11942" i="1"/>
  <c r="B17353" i="1"/>
  <c r="D17353" i="1"/>
  <c r="G17353" i="1"/>
  <c r="B2324" i="1"/>
  <c r="D2324" i="1"/>
  <c r="G2324" i="1"/>
  <c r="B17354" i="1"/>
  <c r="D17354" i="1"/>
  <c r="G17354" i="1"/>
  <c r="B703" i="1"/>
  <c r="D703" i="1"/>
  <c r="G703" i="1"/>
  <c r="B18647" i="1"/>
  <c r="D18647" i="1"/>
  <c r="G18647" i="1"/>
  <c r="B9984" i="1"/>
  <c r="D9984" i="1"/>
  <c r="G9984" i="1"/>
  <c r="B4771" i="1"/>
  <c r="D4771" i="1"/>
  <c r="G4771" i="1"/>
  <c r="B18411" i="1"/>
  <c r="D18411" i="1"/>
  <c r="G18411" i="1"/>
  <c r="B20739" i="1"/>
  <c r="D20739" i="1"/>
  <c r="G20739" i="1"/>
  <c r="B19131" i="1"/>
  <c r="D19131" i="1"/>
  <c r="G19131" i="1"/>
  <c r="B14588" i="1"/>
  <c r="D14588" i="1"/>
  <c r="G14588" i="1"/>
  <c r="B12786" i="1"/>
  <c r="D12786" i="1"/>
  <c r="G12786" i="1"/>
  <c r="B11943" i="1"/>
  <c r="D11943" i="1"/>
  <c r="G11943" i="1"/>
  <c r="B20532" i="1"/>
  <c r="D20532" i="1"/>
  <c r="G20532" i="1"/>
  <c r="B17013" i="1"/>
  <c r="D17013" i="1"/>
  <c r="G17013" i="1"/>
  <c r="B13214" i="1"/>
  <c r="D13214" i="1"/>
  <c r="G13214" i="1"/>
  <c r="B13256" i="1"/>
  <c r="D13256" i="1"/>
  <c r="G13256" i="1"/>
  <c r="B14676" i="1"/>
  <c r="D14676" i="1"/>
  <c r="G14676" i="1"/>
  <c r="B21789" i="1"/>
  <c r="D21789" i="1"/>
  <c r="G21789" i="1"/>
  <c r="B4677" i="1"/>
  <c r="D4677" i="1"/>
  <c r="G4677" i="1"/>
  <c r="B11944" i="1"/>
  <c r="D11944" i="1"/>
  <c r="G11944" i="1"/>
  <c r="B19401" i="1"/>
  <c r="D19401" i="1"/>
  <c r="G19401" i="1"/>
  <c r="B16228" i="1"/>
  <c r="D16228" i="1"/>
  <c r="G16228" i="1"/>
  <c r="B1037" i="1"/>
  <c r="D1037" i="1"/>
  <c r="G1037" i="1"/>
  <c r="B15364" i="1"/>
  <c r="D15364" i="1"/>
  <c r="G15364" i="1"/>
  <c r="B16229" i="1"/>
  <c r="D16229" i="1"/>
  <c r="G16229" i="1"/>
  <c r="B12457" i="1"/>
  <c r="D12457" i="1"/>
  <c r="G12457" i="1"/>
  <c r="B12458" i="1"/>
  <c r="D12458" i="1"/>
  <c r="G12458" i="1"/>
  <c r="B19402" i="1"/>
  <c r="D19402" i="1"/>
  <c r="G19402" i="1"/>
  <c r="B13435" i="1"/>
  <c r="D13435" i="1"/>
  <c r="G13435" i="1"/>
  <c r="B4580" i="1"/>
  <c r="D4580" i="1"/>
  <c r="G4580" i="1"/>
  <c r="B4926" i="1"/>
  <c r="D4926" i="1"/>
  <c r="G4926" i="1"/>
  <c r="B19403" i="1"/>
  <c r="D19403" i="1"/>
  <c r="G19403" i="1"/>
  <c r="B17043" i="1"/>
  <c r="D17043" i="1"/>
  <c r="G17043" i="1"/>
  <c r="B14430" i="1"/>
  <c r="D14430" i="1"/>
  <c r="G14430" i="1"/>
  <c r="B13935" i="1"/>
  <c r="D13935" i="1"/>
  <c r="G13935" i="1"/>
  <c r="B20740" i="1"/>
  <c r="D20740" i="1"/>
  <c r="G20740" i="1"/>
  <c r="B19132" i="1"/>
  <c r="D19132" i="1"/>
  <c r="G19132" i="1"/>
  <c r="B14589" i="1"/>
  <c r="D14589" i="1"/>
  <c r="G14589" i="1"/>
  <c r="B3432" i="1"/>
  <c r="D3432" i="1"/>
  <c r="G3432" i="1"/>
  <c r="B11085" i="1"/>
  <c r="D11085" i="1"/>
  <c r="G11085" i="1"/>
  <c r="B10419" i="1"/>
  <c r="D10419" i="1"/>
  <c r="G10419" i="1"/>
  <c r="B18412" i="1"/>
  <c r="D18412" i="1"/>
  <c r="G18412" i="1"/>
  <c r="B18986" i="1"/>
  <c r="D18986" i="1"/>
  <c r="G18986" i="1"/>
  <c r="B11945" i="1"/>
  <c r="D11945" i="1"/>
  <c r="G11945" i="1"/>
  <c r="B19133" i="1"/>
  <c r="D19133" i="1"/>
  <c r="G19133" i="1"/>
  <c r="B2562" i="1"/>
  <c r="D2562" i="1"/>
  <c r="G2562" i="1"/>
  <c r="B4099" i="1"/>
  <c r="D4099" i="1"/>
  <c r="G4099" i="1"/>
  <c r="B18413" i="1"/>
  <c r="D18413" i="1"/>
  <c r="G18413" i="1"/>
  <c r="B3433" i="1"/>
  <c r="D3433" i="1"/>
  <c r="G3433" i="1"/>
  <c r="B11946" i="1"/>
  <c r="D11946" i="1"/>
  <c r="G11946" i="1"/>
  <c r="B12787" i="1"/>
  <c r="D12787" i="1"/>
  <c r="G12787" i="1"/>
  <c r="B4581" i="1"/>
  <c r="D4581" i="1"/>
  <c r="G4581" i="1"/>
  <c r="B13030" i="1"/>
  <c r="D13030" i="1"/>
  <c r="G13030" i="1"/>
  <c r="B17506" i="1"/>
  <c r="D17506" i="1"/>
  <c r="G17506" i="1"/>
  <c r="B18987" i="1"/>
  <c r="D18987" i="1"/>
  <c r="G18987" i="1"/>
  <c r="B18772" i="1"/>
  <c r="D18772" i="1"/>
  <c r="G18772" i="1"/>
  <c r="B128" i="1"/>
  <c r="D128" i="1"/>
  <c r="G128" i="1"/>
  <c r="B19134" i="1"/>
  <c r="D19134" i="1"/>
  <c r="G19134" i="1"/>
  <c r="B16019" i="1"/>
  <c r="D16019" i="1"/>
  <c r="G16019" i="1"/>
  <c r="B14898" i="1"/>
  <c r="D14898" i="1"/>
  <c r="G14898" i="1"/>
  <c r="B12459" i="1"/>
  <c r="D12459" i="1"/>
  <c r="G12459" i="1"/>
  <c r="B13257" i="1"/>
  <c r="D13257" i="1"/>
  <c r="G13257" i="1"/>
  <c r="B19404" i="1"/>
  <c r="D19404" i="1"/>
  <c r="G19404" i="1"/>
  <c r="B16230" i="1"/>
  <c r="D16230" i="1"/>
  <c r="G16230" i="1"/>
  <c r="B14529" i="1"/>
  <c r="D14529" i="1"/>
  <c r="G14529" i="1"/>
  <c r="B16061" i="1"/>
  <c r="D16061" i="1"/>
  <c r="G16061" i="1"/>
  <c r="B16231" i="1"/>
  <c r="D16231" i="1"/>
  <c r="G16231" i="1"/>
  <c r="B15365" i="1"/>
  <c r="D15365" i="1"/>
  <c r="G15365" i="1"/>
  <c r="B15845" i="1"/>
  <c r="D15845" i="1"/>
  <c r="G15845" i="1"/>
  <c r="B15780" i="1"/>
  <c r="D15780" i="1"/>
  <c r="G15780" i="1"/>
  <c r="B16232" i="1"/>
  <c r="D16232" i="1"/>
  <c r="G16232" i="1"/>
  <c r="B4857" i="1"/>
  <c r="D4857" i="1"/>
  <c r="G4857" i="1"/>
  <c r="B10420" i="1"/>
  <c r="D10420" i="1"/>
  <c r="G10420" i="1"/>
  <c r="B21852" i="1"/>
  <c r="D21852" i="1"/>
  <c r="G21852" i="1"/>
  <c r="B17507" i="1"/>
  <c r="D17507" i="1"/>
  <c r="G17507" i="1"/>
  <c r="B13436" i="1"/>
  <c r="D13436" i="1"/>
  <c r="G13436" i="1"/>
  <c r="B13447" i="1"/>
  <c r="D13447" i="1"/>
  <c r="G13447" i="1"/>
  <c r="B17629" i="1"/>
  <c r="D17629" i="1"/>
  <c r="G17629" i="1"/>
  <c r="B3434" i="1"/>
  <c r="D3434" i="1"/>
  <c r="G3434" i="1"/>
  <c r="B13979" i="1"/>
  <c r="D13979" i="1"/>
  <c r="G13979" i="1"/>
  <c r="B14346" i="1"/>
  <c r="D14346" i="1"/>
  <c r="G14346" i="1"/>
  <c r="B13203" i="1"/>
  <c r="D13203" i="1"/>
  <c r="G13203" i="1"/>
  <c r="B6075" i="1"/>
  <c r="D6075" i="1"/>
  <c r="G6075" i="1"/>
  <c r="B10144" i="1"/>
  <c r="D10144" i="1"/>
  <c r="G10144" i="1"/>
  <c r="B14337" i="1"/>
  <c r="D14337" i="1"/>
  <c r="G14337" i="1"/>
  <c r="B19870" i="1"/>
  <c r="D19870" i="1"/>
  <c r="G19870" i="1"/>
  <c r="B16233" i="1"/>
  <c r="D16233" i="1"/>
  <c r="G16233" i="1"/>
  <c r="B14473" i="1"/>
  <c r="D14473" i="1"/>
  <c r="G14473" i="1"/>
  <c r="B17044" i="1"/>
  <c r="D17044" i="1"/>
  <c r="G17044" i="1"/>
  <c r="B18988" i="1"/>
  <c r="D18988" i="1"/>
  <c r="G18988" i="1"/>
  <c r="B18797" i="1"/>
  <c r="D18797" i="1"/>
  <c r="G18797" i="1"/>
  <c r="B14899" i="1"/>
  <c r="D14899" i="1"/>
  <c r="G14899" i="1"/>
  <c r="B22113" i="1"/>
  <c r="D22113" i="1"/>
  <c r="G22113" i="1"/>
  <c r="B15846" i="1"/>
  <c r="D15846" i="1"/>
  <c r="G15846" i="1"/>
  <c r="B15366" i="1"/>
  <c r="D15366" i="1"/>
  <c r="G15366" i="1"/>
  <c r="B15847" i="1"/>
  <c r="D15847" i="1"/>
  <c r="G15847" i="1"/>
  <c r="B15367" i="1"/>
  <c r="D15367" i="1"/>
  <c r="G15367" i="1"/>
  <c r="B14900" i="1"/>
  <c r="D14900" i="1"/>
  <c r="G14900" i="1"/>
  <c r="B2563" i="1"/>
  <c r="D2563" i="1"/>
  <c r="G2563" i="1"/>
  <c r="B20161" i="1"/>
  <c r="D20161" i="1"/>
  <c r="G20161" i="1"/>
  <c r="B18798" i="1"/>
  <c r="D18798" i="1"/>
  <c r="G18798" i="1"/>
  <c r="B17045" i="1"/>
  <c r="D17045" i="1"/>
  <c r="G17045" i="1"/>
  <c r="B14901" i="1"/>
  <c r="D14901" i="1"/>
  <c r="G14901" i="1"/>
  <c r="B16958" i="1"/>
  <c r="D16958" i="1"/>
  <c r="G16958" i="1"/>
  <c r="B15368" i="1"/>
  <c r="D15368" i="1"/>
  <c r="G15368" i="1"/>
  <c r="B17046" i="1"/>
  <c r="D17046" i="1"/>
  <c r="G17046" i="1"/>
  <c r="B14697" i="1"/>
  <c r="D14697" i="1"/>
  <c r="G14697" i="1"/>
  <c r="B14530" i="1"/>
  <c r="D14530" i="1"/>
  <c r="G14530" i="1"/>
  <c r="B14816" i="1"/>
  <c r="D14816" i="1"/>
  <c r="G14816" i="1"/>
  <c r="B15369" i="1"/>
  <c r="D15369" i="1"/>
  <c r="G15369" i="1"/>
  <c r="B16234" i="1"/>
  <c r="D16234" i="1"/>
  <c r="G16234" i="1"/>
  <c r="B15848" i="1"/>
  <c r="D15848" i="1"/>
  <c r="G15848" i="1"/>
  <c r="B15781" i="1"/>
  <c r="D15781" i="1"/>
  <c r="G15781" i="1"/>
  <c r="B14902" i="1"/>
  <c r="D14902" i="1"/>
  <c r="G14902" i="1"/>
  <c r="B13258" i="1"/>
  <c r="D13258" i="1"/>
  <c r="G13258" i="1"/>
  <c r="B13514" i="1"/>
  <c r="D13514" i="1"/>
  <c r="G13514" i="1"/>
  <c r="B18071" i="1"/>
  <c r="D18071" i="1"/>
  <c r="G18071" i="1"/>
  <c r="B18989" i="1"/>
  <c r="D18989" i="1"/>
  <c r="G18989" i="1"/>
  <c r="B18799" i="1"/>
  <c r="D18799" i="1"/>
  <c r="G18799" i="1"/>
  <c r="B10721" i="1"/>
  <c r="D10721" i="1"/>
  <c r="G10721" i="1"/>
  <c r="B15370" i="1"/>
  <c r="D15370" i="1"/>
  <c r="G15370" i="1"/>
  <c r="B20075" i="1"/>
  <c r="D20075" i="1"/>
  <c r="G20075" i="1"/>
  <c r="B14677" i="1"/>
  <c r="D14677" i="1"/>
  <c r="G14677" i="1"/>
  <c r="B14132" i="1"/>
  <c r="D14132" i="1"/>
  <c r="G14132" i="1"/>
  <c r="B17508" i="1"/>
  <c r="D17508" i="1"/>
  <c r="G17508" i="1"/>
  <c r="B4678" i="1"/>
  <c r="D4678" i="1"/>
  <c r="G4678" i="1"/>
  <c r="B12788" i="1"/>
  <c r="D12788" i="1"/>
  <c r="G12788" i="1"/>
  <c r="B13031" i="1"/>
  <c r="D13031" i="1"/>
  <c r="G13031" i="1"/>
  <c r="B19949" i="1"/>
  <c r="D19949" i="1"/>
  <c r="G19949" i="1"/>
  <c r="B2564" i="1"/>
  <c r="D2564" i="1"/>
  <c r="G2564" i="1"/>
  <c r="B1038" i="1"/>
  <c r="D1038" i="1"/>
  <c r="G1038" i="1"/>
  <c r="B14903" i="1"/>
  <c r="D14903" i="1"/>
  <c r="G14903" i="1"/>
  <c r="B15371" i="1"/>
  <c r="D15371" i="1"/>
  <c r="G15371" i="1"/>
  <c r="B17630" i="1"/>
  <c r="D17630" i="1"/>
  <c r="G17630" i="1"/>
  <c r="B19405" i="1"/>
  <c r="D19405" i="1"/>
  <c r="G19405" i="1"/>
  <c r="B17047" i="1"/>
  <c r="D17047" i="1"/>
  <c r="G17047" i="1"/>
  <c r="B16235" i="1"/>
  <c r="D16235" i="1"/>
  <c r="G16235" i="1"/>
  <c r="B13204" i="1"/>
  <c r="D13204" i="1"/>
  <c r="G13204" i="1"/>
  <c r="B16236" i="1"/>
  <c r="D16236" i="1"/>
  <c r="G16236" i="1"/>
  <c r="B20195" i="1"/>
  <c r="D20195" i="1"/>
  <c r="G20195" i="1"/>
  <c r="B16237" i="1"/>
  <c r="D16237" i="1"/>
  <c r="G16237" i="1"/>
  <c r="B3435" i="1"/>
  <c r="D3435" i="1"/>
  <c r="G3435" i="1"/>
  <c r="B5296" i="1"/>
  <c r="D5296" i="1"/>
  <c r="G5296" i="1"/>
  <c r="B16238" i="1"/>
  <c r="D16238" i="1"/>
  <c r="G16238" i="1"/>
  <c r="B13437" i="1"/>
  <c r="D13437" i="1"/>
  <c r="G13437" i="1"/>
  <c r="B4457" i="1"/>
  <c r="D4457" i="1"/>
  <c r="G4457" i="1"/>
  <c r="B17302" i="1"/>
  <c r="D17302" i="1"/>
  <c r="G17302" i="1"/>
  <c r="B4772" i="1"/>
  <c r="D4772" i="1"/>
  <c r="G4772" i="1"/>
  <c r="B2565" i="1"/>
  <c r="D2565" i="1"/>
  <c r="G2565" i="1"/>
  <c r="B1039" i="1"/>
  <c r="D1039" i="1"/>
  <c r="G1039" i="1"/>
  <c r="B14904" i="1"/>
  <c r="D14904" i="1"/>
  <c r="G14904" i="1"/>
  <c r="B12460" i="1"/>
  <c r="D12460" i="1"/>
  <c r="G12460" i="1"/>
  <c r="B20741" i="1"/>
  <c r="D20741" i="1"/>
  <c r="G20741" i="1"/>
  <c r="B19135" i="1"/>
  <c r="D19135" i="1"/>
  <c r="G19135" i="1"/>
  <c r="B14590" i="1"/>
  <c r="D14590" i="1"/>
  <c r="G14590" i="1"/>
  <c r="B21853" i="1"/>
  <c r="D21853" i="1"/>
  <c r="G21853" i="1"/>
  <c r="B19871" i="1"/>
  <c r="D19871" i="1"/>
  <c r="G19871" i="1"/>
  <c r="B15372" i="1"/>
  <c r="D15372" i="1"/>
  <c r="G15372" i="1"/>
  <c r="B18072" i="1"/>
  <c r="D18072" i="1"/>
  <c r="G18072" i="1"/>
  <c r="B5175" i="1"/>
  <c r="D5175" i="1"/>
  <c r="G5175" i="1"/>
  <c r="B16962" i="1"/>
  <c r="D16962" i="1"/>
  <c r="G16962" i="1"/>
  <c r="B11947" i="1"/>
  <c r="D11947" i="1"/>
  <c r="G11947" i="1"/>
  <c r="B12461" i="1"/>
  <c r="D12461" i="1"/>
  <c r="G12461" i="1"/>
  <c r="B15716" i="1"/>
  <c r="D15716" i="1"/>
  <c r="G15716" i="1"/>
  <c r="B14347" i="1"/>
  <c r="D14347" i="1"/>
  <c r="G14347" i="1"/>
  <c r="B5176" i="1"/>
  <c r="D5176" i="1"/>
  <c r="G5176" i="1"/>
  <c r="B2566" i="1"/>
  <c r="D2566" i="1"/>
  <c r="G2566" i="1"/>
  <c r="B14905" i="1"/>
  <c r="D14905" i="1"/>
  <c r="G14905" i="1"/>
  <c r="B2567" i="1"/>
  <c r="D2567" i="1"/>
  <c r="G2567" i="1"/>
  <c r="B1040" i="1"/>
  <c r="D1040" i="1"/>
  <c r="G1040" i="1"/>
  <c r="B1041" i="1"/>
  <c r="D1041" i="1"/>
  <c r="G1041" i="1"/>
  <c r="B21483" i="1"/>
  <c r="D21483" i="1"/>
  <c r="G21483" i="1"/>
  <c r="B5297" i="1"/>
  <c r="D5297" i="1"/>
  <c r="G5297" i="1"/>
  <c r="B14021" i="1"/>
  <c r="D14021" i="1"/>
  <c r="G14021" i="1"/>
  <c r="B20076" i="1"/>
  <c r="D20076" i="1"/>
  <c r="G20076" i="1"/>
  <c r="B2568" i="1"/>
  <c r="D2568" i="1"/>
  <c r="G2568" i="1"/>
  <c r="B15717" i="1"/>
  <c r="D15717" i="1"/>
  <c r="G15717" i="1"/>
  <c r="B14799" i="1"/>
  <c r="D14799" i="1"/>
  <c r="G14799" i="1"/>
  <c r="B13032" i="1"/>
  <c r="D13032" i="1"/>
  <c r="G13032" i="1"/>
  <c r="B17286" i="1"/>
  <c r="D17286" i="1"/>
  <c r="G17286" i="1"/>
  <c r="B22114" i="1"/>
  <c r="D22114" i="1"/>
  <c r="G22114" i="1"/>
  <c r="B15373" i="1"/>
  <c r="D15373" i="1"/>
  <c r="G15373" i="1"/>
  <c r="B12462" i="1"/>
  <c r="D12462" i="1"/>
  <c r="G12462" i="1"/>
  <c r="B14143" i="1"/>
  <c r="D14143" i="1"/>
  <c r="G14143" i="1"/>
  <c r="B15998" i="1"/>
  <c r="D15998" i="1"/>
  <c r="G15998" i="1"/>
  <c r="B5149" i="1"/>
  <c r="D5149" i="1"/>
  <c r="G5149" i="1"/>
  <c r="B14265" i="1"/>
  <c r="D14265" i="1"/>
  <c r="G14265" i="1"/>
  <c r="B14698" i="1"/>
  <c r="D14698" i="1"/>
  <c r="G14698" i="1"/>
  <c r="B10421" i="1"/>
  <c r="D10421" i="1"/>
  <c r="G10421" i="1"/>
  <c r="B5177" i="1"/>
  <c r="D5177" i="1"/>
  <c r="G5177" i="1"/>
  <c r="B13448" i="1"/>
  <c r="D13448" i="1"/>
  <c r="G13448" i="1"/>
  <c r="B14002" i="1"/>
  <c r="D14002" i="1"/>
  <c r="G14002" i="1"/>
  <c r="B18800" i="1"/>
  <c r="D18800" i="1"/>
  <c r="G18800" i="1"/>
  <c r="B3436" i="1"/>
  <c r="D3436" i="1"/>
  <c r="G3436" i="1"/>
  <c r="B16239" i="1"/>
  <c r="D16239" i="1"/>
  <c r="G16239" i="1"/>
  <c r="B16240" i="1"/>
  <c r="D16240" i="1"/>
  <c r="G16240" i="1"/>
  <c r="B19136" i="1"/>
  <c r="D19136" i="1"/>
  <c r="G19136" i="1"/>
  <c r="B14773" i="1"/>
  <c r="D14773" i="1"/>
  <c r="G14773" i="1"/>
  <c r="B3699" i="1"/>
  <c r="D3699" i="1"/>
  <c r="G3699" i="1"/>
  <c r="B5298" i="1"/>
  <c r="D5298" i="1"/>
  <c r="G5298" i="1"/>
  <c r="B13606" i="1"/>
  <c r="D13606" i="1"/>
  <c r="G13606" i="1"/>
  <c r="B14699" i="1"/>
  <c r="D14699" i="1"/>
  <c r="G14699" i="1"/>
  <c r="B21854" i="1"/>
  <c r="D21854" i="1"/>
  <c r="G21854" i="1"/>
  <c r="B8380" i="1"/>
  <c r="D8380" i="1"/>
  <c r="G8380" i="1"/>
  <c r="B16241" i="1"/>
  <c r="D16241" i="1"/>
  <c r="G16241" i="1"/>
  <c r="B19406" i="1"/>
  <c r="D19406" i="1"/>
  <c r="G19406" i="1"/>
  <c r="B21484" i="1"/>
  <c r="D21484" i="1"/>
  <c r="G21484" i="1"/>
  <c r="B17577" i="1"/>
  <c r="D17577" i="1"/>
  <c r="G17577" i="1"/>
  <c r="B18414" i="1"/>
  <c r="D18414" i="1"/>
  <c r="G18414" i="1"/>
  <c r="B17355" i="1"/>
  <c r="D17355" i="1"/>
  <c r="G17355" i="1"/>
  <c r="B16074" i="1"/>
  <c r="D16074" i="1"/>
  <c r="G16074" i="1"/>
  <c r="B16242" i="1"/>
  <c r="D16242" i="1"/>
  <c r="G16242" i="1"/>
  <c r="B704" i="1"/>
  <c r="D704" i="1"/>
  <c r="G704" i="1"/>
  <c r="B14083" i="1"/>
  <c r="D14083" i="1"/>
  <c r="G14083" i="1"/>
  <c r="B13769" i="1"/>
  <c r="D13769" i="1"/>
  <c r="G13769" i="1"/>
  <c r="B14262" i="1"/>
  <c r="D14262" i="1"/>
  <c r="G14262" i="1"/>
  <c r="B21485" i="1"/>
  <c r="D21485" i="1"/>
  <c r="G21485" i="1"/>
  <c r="B15679" i="1"/>
  <c r="D15679" i="1"/>
  <c r="G15679" i="1"/>
  <c r="B12644" i="1"/>
  <c r="D12644" i="1"/>
  <c r="G12644" i="1"/>
  <c r="B18801" i="1"/>
  <c r="D18801" i="1"/>
  <c r="G18801" i="1"/>
  <c r="B21486" i="1"/>
  <c r="D21486" i="1"/>
  <c r="G21486" i="1"/>
  <c r="B14906" i="1"/>
  <c r="D14906" i="1"/>
  <c r="G14906" i="1"/>
  <c r="B17048" i="1"/>
  <c r="D17048" i="1"/>
  <c r="G17048" i="1"/>
  <c r="B15374" i="1"/>
  <c r="D15374" i="1"/>
  <c r="G15374" i="1"/>
  <c r="B18415" i="1"/>
  <c r="D18415" i="1"/>
  <c r="G18415" i="1"/>
  <c r="B14907" i="1"/>
  <c r="D14907" i="1"/>
  <c r="G14907" i="1"/>
  <c r="B14700" i="1"/>
  <c r="D14700" i="1"/>
  <c r="G14700" i="1"/>
  <c r="B14531" i="1"/>
  <c r="D14531" i="1"/>
  <c r="G14531" i="1"/>
  <c r="B18416" i="1"/>
  <c r="D18416" i="1"/>
  <c r="G18416" i="1"/>
  <c r="B14133" i="1"/>
  <c r="D14133" i="1"/>
  <c r="G14133" i="1"/>
  <c r="B19407" i="1"/>
  <c r="D19407" i="1"/>
  <c r="G19407" i="1"/>
  <c r="B16243" i="1"/>
  <c r="D16243" i="1"/>
  <c r="G16243" i="1"/>
  <c r="B18417" i="1"/>
  <c r="D18417" i="1"/>
  <c r="G18417" i="1"/>
  <c r="B13033" i="1"/>
  <c r="D13033" i="1"/>
  <c r="G13033" i="1"/>
  <c r="B14022" i="1"/>
  <c r="D14022" i="1"/>
  <c r="G14022" i="1"/>
  <c r="B13515" i="1"/>
  <c r="D13515" i="1"/>
  <c r="G13515" i="1"/>
  <c r="B15375" i="1"/>
  <c r="D15375" i="1"/>
  <c r="G15375" i="1"/>
  <c r="B15849" i="1"/>
  <c r="D15849" i="1"/>
  <c r="G15849" i="1"/>
  <c r="B15782" i="1"/>
  <c r="D15782" i="1"/>
  <c r="G15782" i="1"/>
  <c r="B13683" i="1"/>
  <c r="D13683" i="1"/>
  <c r="G13683" i="1"/>
  <c r="B21646" i="1"/>
  <c r="D21646" i="1"/>
  <c r="G21646" i="1"/>
  <c r="B16244" i="1"/>
  <c r="D16244" i="1"/>
  <c r="G16244" i="1"/>
  <c r="B4387" i="1"/>
  <c r="D4387" i="1"/>
  <c r="G4387" i="1"/>
  <c r="B15718" i="1"/>
  <c r="D15718" i="1"/>
  <c r="G15718" i="1"/>
  <c r="B4289" i="1"/>
  <c r="D4289" i="1"/>
  <c r="G4289" i="1"/>
  <c r="B6851" i="1"/>
  <c r="D6851" i="1"/>
  <c r="G6851" i="1"/>
  <c r="B13629" i="1"/>
  <c r="D13629" i="1"/>
  <c r="G13629" i="1"/>
  <c r="B13572" i="1"/>
  <c r="D13572" i="1"/>
  <c r="G13572" i="1"/>
  <c r="B6128" i="1"/>
  <c r="D6128" i="1"/>
  <c r="G6128" i="1"/>
  <c r="B6129" i="1"/>
  <c r="D6129" i="1"/>
  <c r="G6129" i="1"/>
  <c r="B16245" i="1"/>
  <c r="D16245" i="1"/>
  <c r="G16245" i="1"/>
  <c r="B16246" i="1"/>
  <c r="D16246" i="1"/>
  <c r="G16246" i="1"/>
  <c r="B14404" i="1"/>
  <c r="D14404" i="1"/>
  <c r="G14404" i="1"/>
  <c r="B15956" i="1"/>
  <c r="D15956" i="1"/>
  <c r="G15956" i="1"/>
  <c r="B20217" i="1"/>
  <c r="D20217" i="1"/>
  <c r="G20217" i="1"/>
  <c r="B20361" i="1"/>
  <c r="D20361" i="1"/>
  <c r="G20361" i="1"/>
  <c r="B20266" i="1"/>
  <c r="D20266" i="1"/>
  <c r="G20266" i="1"/>
  <c r="B17356" i="1"/>
  <c r="D17356" i="1"/>
  <c r="G17356" i="1"/>
  <c r="B22002" i="1"/>
  <c r="D22002" i="1"/>
  <c r="G22002" i="1"/>
  <c r="B18165" i="1"/>
  <c r="D18165" i="1"/>
  <c r="G18165" i="1"/>
  <c r="B17285" i="1"/>
  <c r="D17285" i="1"/>
  <c r="G17285" i="1"/>
  <c r="B14178" i="1"/>
  <c r="D14178" i="1"/>
  <c r="G14178" i="1"/>
  <c r="B19408" i="1"/>
  <c r="D19408" i="1"/>
  <c r="G19408" i="1"/>
  <c r="B17303" i="1"/>
  <c r="D17303" i="1"/>
  <c r="G17303" i="1"/>
  <c r="B16247" i="1"/>
  <c r="D16247" i="1"/>
  <c r="G16247" i="1"/>
  <c r="B5299" i="1"/>
  <c r="D5299" i="1"/>
  <c r="G5299" i="1"/>
  <c r="B20533" i="1"/>
  <c r="D20533" i="1"/>
  <c r="G20533" i="1"/>
  <c r="B18418" i="1"/>
  <c r="D18418" i="1"/>
  <c r="G18418" i="1"/>
  <c r="B17049" i="1"/>
  <c r="D17049" i="1"/>
  <c r="G17049" i="1"/>
  <c r="B14302" i="1"/>
  <c r="D14302" i="1"/>
  <c r="G14302" i="1"/>
  <c r="B22115" i="1"/>
  <c r="D22115" i="1"/>
  <c r="G22115" i="1"/>
  <c r="B2569" i="1"/>
  <c r="D2569" i="1"/>
  <c r="G2569" i="1"/>
  <c r="B17287" i="1"/>
  <c r="D17287" i="1"/>
  <c r="G17287" i="1"/>
  <c r="B22116" i="1"/>
  <c r="D22116" i="1"/>
  <c r="G22116" i="1"/>
  <c r="B19409" i="1"/>
  <c r="D19409" i="1"/>
  <c r="G19409" i="1"/>
  <c r="B11948" i="1"/>
  <c r="D11948" i="1"/>
  <c r="G11948" i="1"/>
  <c r="B14701" i="1"/>
  <c r="D14701" i="1"/>
  <c r="G14701" i="1"/>
  <c r="B14908" i="1"/>
  <c r="D14908" i="1"/>
  <c r="G14908" i="1"/>
  <c r="B15376" i="1"/>
  <c r="D15376" i="1"/>
  <c r="G15376" i="1"/>
  <c r="B14774" i="1"/>
  <c r="D14774" i="1"/>
  <c r="G14774" i="1"/>
  <c r="B18648" i="1"/>
  <c r="D18648" i="1"/>
  <c r="G18648" i="1"/>
  <c r="B21011" i="1"/>
  <c r="D21011" i="1"/>
  <c r="G21011" i="1"/>
  <c r="B14144" i="1"/>
  <c r="D14144" i="1"/>
  <c r="G14144" i="1"/>
  <c r="B14702" i="1"/>
  <c r="D14702" i="1"/>
  <c r="G14702" i="1"/>
  <c r="B14909" i="1"/>
  <c r="D14909" i="1"/>
  <c r="G14909" i="1"/>
  <c r="B15377" i="1"/>
  <c r="D15377" i="1"/>
  <c r="G15377" i="1"/>
  <c r="B18073" i="1"/>
  <c r="D18073" i="1"/>
  <c r="G18073" i="1"/>
  <c r="B20742" i="1"/>
  <c r="D20742" i="1"/>
  <c r="G20742" i="1"/>
  <c r="B20534" i="1"/>
  <c r="D20534" i="1"/>
  <c r="G20534" i="1"/>
  <c r="B20743" i="1"/>
  <c r="D20743" i="1"/>
  <c r="G20743" i="1"/>
  <c r="B15378" i="1"/>
  <c r="D15378" i="1"/>
  <c r="G15378" i="1"/>
  <c r="B14591" i="1"/>
  <c r="D14591" i="1"/>
  <c r="G14591" i="1"/>
  <c r="B12789" i="1"/>
  <c r="D12789" i="1"/>
  <c r="G12789" i="1"/>
  <c r="B13259" i="1"/>
  <c r="D13259" i="1"/>
  <c r="G13259" i="1"/>
  <c r="B20744" i="1"/>
  <c r="D20744" i="1"/>
  <c r="G20744" i="1"/>
  <c r="B19137" i="1"/>
  <c r="D19137" i="1"/>
  <c r="G19137" i="1"/>
  <c r="B14592" i="1"/>
  <c r="D14592" i="1"/>
  <c r="G14592" i="1"/>
  <c r="B12790" i="1"/>
  <c r="D12790" i="1"/>
  <c r="G12790" i="1"/>
  <c r="B14097" i="1"/>
  <c r="D14097" i="1"/>
  <c r="G14097" i="1"/>
  <c r="B11949" i="1"/>
  <c r="D11949" i="1"/>
  <c r="G11949" i="1"/>
  <c r="B21855" i="1"/>
  <c r="D21855" i="1"/>
  <c r="G21855" i="1"/>
  <c r="B16248" i="1"/>
  <c r="D16248" i="1"/>
  <c r="G16248" i="1"/>
  <c r="B11950" i="1"/>
  <c r="D11950" i="1"/>
  <c r="G11950" i="1"/>
  <c r="B17050" i="1"/>
  <c r="D17050" i="1"/>
  <c r="G17050" i="1"/>
  <c r="B16249" i="1"/>
  <c r="D16249" i="1"/>
  <c r="G16249" i="1"/>
  <c r="B13185" i="1"/>
  <c r="D13185" i="1"/>
  <c r="G13185" i="1"/>
  <c r="B2013" i="1"/>
  <c r="D2013" i="1"/>
  <c r="G2013" i="1"/>
  <c r="B18990" i="1"/>
  <c r="D18990" i="1"/>
  <c r="G18990" i="1"/>
  <c r="B16250" i="1"/>
  <c r="D16250" i="1"/>
  <c r="G16250" i="1"/>
  <c r="B15379" i="1"/>
  <c r="D15379" i="1"/>
  <c r="G15379" i="1"/>
  <c r="B14910" i="1"/>
  <c r="D14910" i="1"/>
  <c r="G14910" i="1"/>
  <c r="B16075" i="1"/>
  <c r="D16075" i="1"/>
  <c r="G16075" i="1"/>
  <c r="B6130" i="1"/>
  <c r="D6130" i="1"/>
  <c r="G6130" i="1"/>
  <c r="B14800" i="1"/>
  <c r="D14800" i="1"/>
  <c r="G14800" i="1"/>
  <c r="B21012" i="1"/>
  <c r="D21012" i="1"/>
  <c r="G21012" i="1"/>
  <c r="B17509" i="1"/>
  <c r="D17509" i="1"/>
  <c r="G17509" i="1"/>
  <c r="B14134" i="1"/>
  <c r="D14134" i="1"/>
  <c r="G14134" i="1"/>
  <c r="B13449" i="1"/>
  <c r="D13449" i="1"/>
  <c r="G13449" i="1"/>
  <c r="B13714" i="1"/>
  <c r="D13714" i="1"/>
  <c r="G13714" i="1"/>
  <c r="B19410" i="1"/>
  <c r="D19410" i="1"/>
  <c r="G19410" i="1"/>
  <c r="B17357" i="1"/>
  <c r="D17357" i="1"/>
  <c r="G17357" i="1"/>
  <c r="B4927" i="1"/>
  <c r="D4927" i="1"/>
  <c r="G4927" i="1"/>
  <c r="B14199" i="1"/>
  <c r="D14199" i="1"/>
  <c r="G14199" i="1"/>
  <c r="B6473" i="1"/>
  <c r="D6473" i="1"/>
  <c r="G6473" i="1"/>
  <c r="B6618" i="1"/>
  <c r="D6618" i="1"/>
  <c r="G6618" i="1"/>
  <c r="B14911" i="1"/>
  <c r="D14911" i="1"/>
  <c r="G14911" i="1"/>
  <c r="B13378" i="1"/>
  <c r="D13378" i="1"/>
  <c r="G13378" i="1"/>
  <c r="B18802" i="1"/>
  <c r="D18802" i="1"/>
  <c r="G18802" i="1"/>
  <c r="B1042" i="1"/>
  <c r="D1042" i="1"/>
  <c r="G1042" i="1"/>
  <c r="B16251" i="1"/>
  <c r="D16251" i="1"/>
  <c r="G16251" i="1"/>
  <c r="B2570" i="1"/>
  <c r="D2570" i="1"/>
  <c r="G2570" i="1"/>
  <c r="B6619" i="1"/>
  <c r="D6619" i="1"/>
  <c r="G6619" i="1"/>
  <c r="B129" i="1"/>
  <c r="D129" i="1"/>
  <c r="G129" i="1"/>
  <c r="B4773" i="1"/>
  <c r="D4773" i="1"/>
  <c r="G4773" i="1"/>
  <c r="B5300" i="1"/>
  <c r="D5300" i="1"/>
  <c r="G5300" i="1"/>
  <c r="B14431" i="1"/>
  <c r="D14431" i="1"/>
  <c r="G14431" i="1"/>
  <c r="B5301" i="1"/>
  <c r="D5301" i="1"/>
  <c r="G5301" i="1"/>
  <c r="B20745" i="1"/>
  <c r="D20745" i="1"/>
  <c r="G20745" i="1"/>
  <c r="B19138" i="1"/>
  <c r="D19138" i="1"/>
  <c r="G19138" i="1"/>
  <c r="B12791" i="1"/>
  <c r="D12791" i="1"/>
  <c r="G12791" i="1"/>
  <c r="B20746" i="1"/>
  <c r="D20746" i="1"/>
  <c r="G20746" i="1"/>
  <c r="B19139" i="1"/>
  <c r="D19139" i="1"/>
  <c r="G19139" i="1"/>
  <c r="B14593" i="1"/>
  <c r="D14593" i="1"/>
  <c r="G14593" i="1"/>
  <c r="B13693" i="1"/>
  <c r="D13693" i="1"/>
  <c r="G13693" i="1"/>
  <c r="B11951" i="1"/>
  <c r="D11951" i="1"/>
  <c r="G11951" i="1"/>
  <c r="B16963" i="1"/>
  <c r="D16963" i="1"/>
  <c r="G16963" i="1"/>
  <c r="B5302" i="1"/>
  <c r="D5302" i="1"/>
  <c r="G5302" i="1"/>
  <c r="B5303" i="1"/>
  <c r="D5303" i="1"/>
  <c r="G5303" i="1"/>
  <c r="B20362" i="1"/>
  <c r="D20362" i="1"/>
  <c r="G20362" i="1"/>
  <c r="B6131" i="1"/>
  <c r="D6131" i="1"/>
  <c r="G6131" i="1"/>
  <c r="B6132" i="1"/>
  <c r="D6132" i="1"/>
  <c r="G6132" i="1"/>
  <c r="B17510" i="1"/>
  <c r="D17510" i="1"/>
  <c r="G17510" i="1"/>
  <c r="B13741" i="1"/>
  <c r="D13741" i="1"/>
  <c r="G13741" i="1"/>
  <c r="B11952" i="1"/>
  <c r="D11952" i="1"/>
  <c r="G11952" i="1"/>
  <c r="B3437" i="1"/>
  <c r="D3437" i="1"/>
  <c r="G3437" i="1"/>
  <c r="B21487" i="1"/>
  <c r="D21487" i="1"/>
  <c r="G21487" i="1"/>
  <c r="B14817" i="1"/>
  <c r="D14817" i="1"/>
  <c r="G14817" i="1"/>
  <c r="B17051" i="1"/>
  <c r="D17051" i="1"/>
  <c r="G17051" i="1"/>
  <c r="B17631" i="1"/>
  <c r="D17631" i="1"/>
  <c r="G17631" i="1"/>
  <c r="B17632" i="1"/>
  <c r="D17632" i="1"/>
  <c r="G17632" i="1"/>
  <c r="B16252" i="1"/>
  <c r="D16252" i="1"/>
  <c r="G16252" i="1"/>
  <c r="B14532" i="1"/>
  <c r="D14532" i="1"/>
  <c r="G14532" i="1"/>
  <c r="B21856" i="1"/>
  <c r="D21856" i="1"/>
  <c r="G21856" i="1"/>
  <c r="B16062" i="1"/>
  <c r="D16062" i="1"/>
  <c r="G16062" i="1"/>
  <c r="B14912" i="1"/>
  <c r="D14912" i="1"/>
  <c r="G14912" i="1"/>
  <c r="B2571" i="1"/>
  <c r="D2571" i="1"/>
  <c r="G2571" i="1"/>
  <c r="B20747" i="1"/>
  <c r="D20747" i="1"/>
  <c r="G20747" i="1"/>
  <c r="B19140" i="1"/>
  <c r="D19140" i="1"/>
  <c r="G19140" i="1"/>
  <c r="B6708" i="1"/>
  <c r="D6708" i="1"/>
  <c r="G6708" i="1"/>
  <c r="B6073" i="1"/>
  <c r="D6073" i="1"/>
  <c r="G6073" i="1"/>
  <c r="B15380" i="1"/>
  <c r="D15380" i="1"/>
  <c r="G15380" i="1"/>
  <c r="B15850" i="1"/>
  <c r="D15850" i="1"/>
  <c r="G15850" i="1"/>
  <c r="B15783" i="1"/>
  <c r="D15783" i="1"/>
  <c r="G15783" i="1"/>
  <c r="B14432" i="1"/>
  <c r="D14432" i="1"/>
  <c r="G14432" i="1"/>
  <c r="B17511" i="1"/>
  <c r="D17511" i="1"/>
  <c r="G17511" i="1"/>
  <c r="B14348" i="1"/>
  <c r="D14348" i="1"/>
  <c r="G14348" i="1"/>
  <c r="B5986" i="1"/>
  <c r="D5986" i="1"/>
  <c r="G5986" i="1"/>
  <c r="B13450" i="1"/>
  <c r="D13450" i="1"/>
  <c r="G13450" i="1"/>
  <c r="B6133" i="1"/>
  <c r="D6133" i="1"/>
  <c r="G6133" i="1"/>
  <c r="B6134" i="1"/>
  <c r="D6134" i="1"/>
  <c r="G6134" i="1"/>
  <c r="B21488" i="1"/>
  <c r="D21488" i="1"/>
  <c r="G21488" i="1"/>
  <c r="B12792" i="1"/>
  <c r="D12792" i="1"/>
  <c r="G12792" i="1"/>
  <c r="B19411" i="1"/>
  <c r="D19411" i="1"/>
  <c r="G19411" i="1"/>
  <c r="B6076" i="1"/>
  <c r="D6076" i="1"/>
  <c r="G6076" i="1"/>
  <c r="B7056" i="1"/>
  <c r="D7056" i="1"/>
  <c r="G7056" i="1"/>
  <c r="B13816" i="1"/>
  <c r="D13816" i="1"/>
  <c r="G13816" i="1"/>
  <c r="B8046" i="1"/>
  <c r="D8046" i="1"/>
  <c r="G8046" i="1"/>
  <c r="B16253" i="1"/>
  <c r="D16253" i="1"/>
  <c r="G16253" i="1"/>
  <c r="B12645" i="1"/>
  <c r="D12645" i="1"/>
  <c r="G12645" i="1"/>
  <c r="B2572" i="1"/>
  <c r="D2572" i="1"/>
  <c r="G2572" i="1"/>
  <c r="B13893" i="1"/>
  <c r="D13893" i="1"/>
  <c r="G13893" i="1"/>
  <c r="B16254" i="1"/>
  <c r="D16254" i="1"/>
  <c r="G16254" i="1"/>
  <c r="B14594" i="1"/>
  <c r="D14594" i="1"/>
  <c r="G14594" i="1"/>
  <c r="B14303" i="1"/>
  <c r="D14303" i="1"/>
  <c r="G14303" i="1"/>
  <c r="B14913" i="1"/>
  <c r="D14913" i="1"/>
  <c r="G14913" i="1"/>
  <c r="B16255" i="1"/>
  <c r="D16255" i="1"/>
  <c r="G16255" i="1"/>
  <c r="B14775" i="1"/>
  <c r="D14775" i="1"/>
  <c r="G14775" i="1"/>
  <c r="B17052" i="1"/>
  <c r="D17052" i="1"/>
  <c r="G17052" i="1"/>
  <c r="B1043" i="1"/>
  <c r="D1043" i="1"/>
  <c r="G1043" i="1"/>
  <c r="B21489" i="1"/>
  <c r="D21489" i="1"/>
  <c r="G21489" i="1"/>
  <c r="B21490" i="1"/>
  <c r="D21490" i="1"/>
  <c r="G21490" i="1"/>
  <c r="B17053" i="1"/>
  <c r="D17053" i="1"/>
  <c r="G17053" i="1"/>
  <c r="B8647" i="1"/>
  <c r="D8647" i="1"/>
  <c r="G8647" i="1"/>
  <c r="B5304" i="1"/>
  <c r="D5304" i="1"/>
  <c r="G5304" i="1"/>
  <c r="B5150" i="1"/>
  <c r="D5150" i="1"/>
  <c r="G5150" i="1"/>
  <c r="B19141" i="1"/>
  <c r="D19141" i="1"/>
  <c r="G19141" i="1"/>
  <c r="B18803" i="1"/>
  <c r="D18803" i="1"/>
  <c r="G18803" i="1"/>
  <c r="B15851" i="1"/>
  <c r="D15851" i="1"/>
  <c r="G15851" i="1"/>
  <c r="B17054" i="1"/>
  <c r="D17054" i="1"/>
  <c r="G17054" i="1"/>
  <c r="B14533" i="1"/>
  <c r="D14533" i="1"/>
  <c r="G14533" i="1"/>
  <c r="B14344" i="1"/>
  <c r="D14344" i="1"/>
  <c r="G14344" i="1"/>
  <c r="B15381" i="1"/>
  <c r="D15381" i="1"/>
  <c r="G15381" i="1"/>
  <c r="B14914" i="1"/>
  <c r="D14914" i="1"/>
  <c r="G14914" i="1"/>
  <c r="B15382" i="1"/>
  <c r="D15382" i="1"/>
  <c r="G15382" i="1"/>
  <c r="B6135" i="1"/>
  <c r="D6135" i="1"/>
  <c r="G6135" i="1"/>
  <c r="B6136" i="1"/>
  <c r="D6136" i="1"/>
  <c r="G6136" i="1"/>
  <c r="B7660" i="1"/>
  <c r="D7660" i="1"/>
  <c r="G7660" i="1"/>
  <c r="B3854" i="1"/>
  <c r="D3854" i="1"/>
  <c r="G3854" i="1"/>
  <c r="B19142" i="1"/>
  <c r="D19142" i="1"/>
  <c r="G19142" i="1"/>
  <c r="B16076" i="1"/>
  <c r="D16076" i="1"/>
  <c r="G16076" i="1"/>
  <c r="B13516" i="1"/>
  <c r="D13516" i="1"/>
  <c r="G13516" i="1"/>
  <c r="B14915" i="1"/>
  <c r="D14915" i="1"/>
  <c r="G14915" i="1"/>
  <c r="B15784" i="1"/>
  <c r="D15784" i="1"/>
  <c r="G15784" i="1"/>
  <c r="B20230" i="1"/>
  <c r="D20230" i="1"/>
  <c r="G20230" i="1"/>
  <c r="B13607" i="1"/>
  <c r="D13607" i="1"/>
  <c r="G13607" i="1"/>
  <c r="B16950" i="1"/>
  <c r="D16950" i="1"/>
  <c r="G16950" i="1"/>
  <c r="B15383" i="1"/>
  <c r="D15383" i="1"/>
  <c r="G15383" i="1"/>
  <c r="B13715" i="1"/>
  <c r="D13715" i="1"/>
  <c r="G13715" i="1"/>
  <c r="B18074" i="1"/>
  <c r="D18074" i="1"/>
  <c r="G18074" i="1"/>
  <c r="B2573" i="1"/>
  <c r="D2573" i="1"/>
  <c r="G2573" i="1"/>
  <c r="B17358" i="1"/>
  <c r="D17358" i="1"/>
  <c r="G17358" i="1"/>
  <c r="B17055" i="1"/>
  <c r="D17055" i="1"/>
  <c r="G17055" i="1"/>
  <c r="B17056" i="1"/>
  <c r="D17056" i="1"/>
  <c r="G17056" i="1"/>
  <c r="B16077" i="1"/>
  <c r="D16077" i="1"/>
  <c r="G16077" i="1"/>
  <c r="B11849" i="1"/>
  <c r="D11849" i="1"/>
  <c r="G11849" i="1"/>
  <c r="B21013" i="1"/>
  <c r="D21013" i="1"/>
  <c r="G21013" i="1"/>
  <c r="B15384" i="1"/>
  <c r="D15384" i="1"/>
  <c r="G15384" i="1"/>
  <c r="B15852" i="1"/>
  <c r="D15852" i="1"/>
  <c r="G15852" i="1"/>
  <c r="B15785" i="1"/>
  <c r="D15785" i="1"/>
  <c r="G15785" i="1"/>
  <c r="B18991" i="1"/>
  <c r="D18991" i="1"/>
  <c r="G18991" i="1"/>
  <c r="B19143" i="1"/>
  <c r="D19143" i="1"/>
  <c r="G19143" i="1"/>
  <c r="B14916" i="1"/>
  <c r="D14916" i="1"/>
  <c r="G14916" i="1"/>
  <c r="B16256" i="1"/>
  <c r="D16256" i="1"/>
  <c r="G16256" i="1"/>
  <c r="B17512" i="1"/>
  <c r="D17512" i="1"/>
  <c r="G17512" i="1"/>
  <c r="B130" i="1"/>
  <c r="D130" i="1"/>
  <c r="G130" i="1"/>
  <c r="B16257" i="1"/>
  <c r="D16257" i="1"/>
  <c r="G16257" i="1"/>
  <c r="B5178" i="1"/>
  <c r="D5178" i="1"/>
  <c r="G5178" i="1"/>
  <c r="B17578" i="1"/>
  <c r="D17578" i="1"/>
  <c r="G17578" i="1"/>
  <c r="B8381" i="1"/>
  <c r="D8381" i="1"/>
  <c r="G8381" i="1"/>
  <c r="B15957" i="1"/>
  <c r="D15957" i="1"/>
  <c r="G15957" i="1"/>
  <c r="B19412" i="1"/>
  <c r="D19412" i="1"/>
  <c r="G19412" i="1"/>
  <c r="B17229" i="1"/>
  <c r="D17229" i="1"/>
  <c r="G17229" i="1"/>
  <c r="B16258" i="1"/>
  <c r="D16258" i="1"/>
  <c r="G16258" i="1"/>
  <c r="B18992" i="1"/>
  <c r="D18992" i="1"/>
  <c r="G18992" i="1"/>
  <c r="B18804" i="1"/>
  <c r="D18804" i="1"/>
  <c r="G18804" i="1"/>
  <c r="B6996" i="1"/>
  <c r="D6996" i="1"/>
  <c r="G6996" i="1"/>
  <c r="B17633" i="1"/>
  <c r="D17633" i="1"/>
  <c r="G17633" i="1"/>
  <c r="B12463" i="1"/>
  <c r="D12463" i="1"/>
  <c r="G12463" i="1"/>
  <c r="B16259" i="1"/>
  <c r="D16259" i="1"/>
  <c r="G16259" i="1"/>
  <c r="B19413" i="1"/>
  <c r="D19413" i="1"/>
  <c r="G19413" i="1"/>
  <c r="B16964" i="1"/>
  <c r="D16964" i="1"/>
  <c r="G16964" i="1"/>
  <c r="B20748" i="1"/>
  <c r="D20748" i="1"/>
  <c r="G20748" i="1"/>
  <c r="B18805" i="1"/>
  <c r="D18805" i="1"/>
  <c r="G18805" i="1"/>
  <c r="B17057" i="1"/>
  <c r="D17057" i="1"/>
  <c r="G17057" i="1"/>
  <c r="B14917" i="1"/>
  <c r="D14917" i="1"/>
  <c r="G14917" i="1"/>
  <c r="B11953" i="1"/>
  <c r="D11953" i="1"/>
  <c r="G11953" i="1"/>
  <c r="B17634" i="1"/>
  <c r="D17634" i="1"/>
  <c r="G17634" i="1"/>
  <c r="B21014" i="1"/>
  <c r="D21014" i="1"/>
  <c r="G21014" i="1"/>
  <c r="B17359" i="1"/>
  <c r="D17359" i="1"/>
  <c r="G17359" i="1"/>
  <c r="B14918" i="1"/>
  <c r="D14918" i="1"/>
  <c r="G14918" i="1"/>
  <c r="B476" i="1"/>
  <c r="D476" i="1"/>
  <c r="G476" i="1"/>
  <c r="B17360" i="1"/>
  <c r="D17360" i="1"/>
  <c r="G17360" i="1"/>
  <c r="B7057" i="1"/>
  <c r="D7057" i="1"/>
  <c r="G7057" i="1"/>
  <c r="B15385" i="1"/>
  <c r="D15385" i="1"/>
  <c r="G15385" i="1"/>
  <c r="B15386" i="1"/>
  <c r="D15386" i="1"/>
  <c r="G15386" i="1"/>
  <c r="B20363" i="1"/>
  <c r="D20363" i="1"/>
  <c r="G20363" i="1"/>
  <c r="B18075" i="1"/>
  <c r="D18075" i="1"/>
  <c r="G18075" i="1"/>
  <c r="B18076" i="1"/>
  <c r="D18076" i="1"/>
  <c r="G18076" i="1"/>
  <c r="B20231" i="1"/>
  <c r="D20231" i="1"/>
  <c r="G20231" i="1"/>
  <c r="B13430" i="1"/>
  <c r="D13430" i="1"/>
  <c r="G13430" i="1"/>
  <c r="B22003" i="1"/>
  <c r="D22003" i="1"/>
  <c r="G22003" i="1"/>
  <c r="B13429" i="1"/>
  <c r="D13429" i="1"/>
  <c r="G13429" i="1"/>
  <c r="B4290" i="1"/>
  <c r="D4290" i="1"/>
  <c r="G4290" i="1"/>
  <c r="B13644" i="1"/>
  <c r="D13644" i="1"/>
  <c r="G13644" i="1"/>
  <c r="B14163" i="1"/>
  <c r="D14163" i="1"/>
  <c r="G14163" i="1"/>
  <c r="B11954" i="1"/>
  <c r="D11954" i="1"/>
  <c r="G11954" i="1"/>
  <c r="B6137" i="1"/>
  <c r="D6137" i="1"/>
  <c r="G6137" i="1"/>
  <c r="B17635" i="1"/>
  <c r="D17635" i="1"/>
  <c r="G17635" i="1"/>
  <c r="B7661" i="1"/>
  <c r="D7661" i="1"/>
  <c r="G7661" i="1"/>
  <c r="B7394" i="1"/>
  <c r="D7394" i="1"/>
  <c r="G7394" i="1"/>
  <c r="B7281" i="1"/>
  <c r="D7281" i="1"/>
  <c r="G7281" i="1"/>
  <c r="B17513" i="1"/>
  <c r="D17513" i="1"/>
  <c r="G17513" i="1"/>
  <c r="B17636" i="1"/>
  <c r="D17636" i="1"/>
  <c r="G17636" i="1"/>
  <c r="B17637" i="1"/>
  <c r="D17637" i="1"/>
  <c r="G17637" i="1"/>
  <c r="B16260" i="1"/>
  <c r="D16260" i="1"/>
  <c r="G16260" i="1"/>
  <c r="B8047" i="1"/>
  <c r="D8047" i="1"/>
  <c r="G8047" i="1"/>
  <c r="B15387" i="1"/>
  <c r="D15387" i="1"/>
  <c r="G15387" i="1"/>
  <c r="B705" i="1"/>
  <c r="D705" i="1"/>
  <c r="G705" i="1"/>
  <c r="B14095" i="1"/>
  <c r="D14095" i="1"/>
  <c r="G14095" i="1"/>
  <c r="B6997" i="1"/>
  <c r="D6997" i="1"/>
  <c r="G6997" i="1"/>
  <c r="B6998" i="1"/>
  <c r="D6998" i="1"/>
  <c r="G6998" i="1"/>
  <c r="B16261" i="1"/>
  <c r="D16261" i="1"/>
  <c r="G16261" i="1"/>
  <c r="B18216" i="1"/>
  <c r="D18216" i="1"/>
  <c r="G18216" i="1"/>
  <c r="B13215" i="1"/>
  <c r="D13215" i="1"/>
  <c r="G13215" i="1"/>
  <c r="B17058" i="1"/>
  <c r="D17058" i="1"/>
  <c r="G17058" i="1"/>
  <c r="B16078" i="1"/>
  <c r="D16078" i="1"/>
  <c r="G16078" i="1"/>
  <c r="B11955" i="1"/>
  <c r="D11955" i="1"/>
  <c r="G11955" i="1"/>
  <c r="B17514" i="1"/>
  <c r="D17514" i="1"/>
  <c r="G17514" i="1"/>
  <c r="B15853" i="1"/>
  <c r="D15853" i="1"/>
  <c r="G15853" i="1"/>
  <c r="B14919" i="1"/>
  <c r="D14919" i="1"/>
  <c r="G14919" i="1"/>
  <c r="B15388" i="1"/>
  <c r="D15388" i="1"/>
  <c r="G15388" i="1"/>
  <c r="B14920" i="1"/>
  <c r="D14920" i="1"/>
  <c r="G14920" i="1"/>
  <c r="B15854" i="1"/>
  <c r="D15854" i="1"/>
  <c r="G15854" i="1"/>
  <c r="B20535" i="1"/>
  <c r="D20535" i="1"/>
  <c r="G20535" i="1"/>
  <c r="B15999" i="1"/>
  <c r="D15999" i="1"/>
  <c r="G15999" i="1"/>
  <c r="B17638" i="1"/>
  <c r="D17638" i="1"/>
  <c r="G17638" i="1"/>
  <c r="B14084" i="1"/>
  <c r="D14084" i="1"/>
  <c r="G14084" i="1"/>
  <c r="B19414" i="1"/>
  <c r="D19414" i="1"/>
  <c r="G19414" i="1"/>
  <c r="B18649" i="1"/>
  <c r="D18649" i="1"/>
  <c r="G18649" i="1"/>
  <c r="B21015" i="1"/>
  <c r="D21015" i="1"/>
  <c r="G21015" i="1"/>
  <c r="B14595" i="1"/>
  <c r="D14595" i="1"/>
  <c r="G14595" i="1"/>
  <c r="B14921" i="1"/>
  <c r="D14921" i="1"/>
  <c r="G14921" i="1"/>
  <c r="B15389" i="1"/>
  <c r="D15389" i="1"/>
  <c r="G15389" i="1"/>
  <c r="B7282" i="1"/>
  <c r="D7282" i="1"/>
  <c r="G7282" i="1"/>
  <c r="B14703" i="1"/>
  <c r="D14703" i="1"/>
  <c r="G14703" i="1"/>
  <c r="B18419" i="1"/>
  <c r="D18419" i="1"/>
  <c r="G18419" i="1"/>
  <c r="B5305" i="1"/>
  <c r="D5305" i="1"/>
  <c r="G5305" i="1"/>
  <c r="B16262" i="1"/>
  <c r="D16262" i="1"/>
  <c r="G16262" i="1"/>
  <c r="B16263" i="1"/>
  <c r="D16263" i="1"/>
  <c r="G16263" i="1"/>
  <c r="B16264" i="1"/>
  <c r="D16264" i="1"/>
  <c r="G16264" i="1"/>
  <c r="B16000" i="1"/>
  <c r="D16000" i="1"/>
  <c r="G16000" i="1"/>
  <c r="B20749" i="1"/>
  <c r="D20749" i="1"/>
  <c r="G20749" i="1"/>
  <c r="B8082" i="1"/>
  <c r="D8082" i="1"/>
  <c r="G8082" i="1"/>
  <c r="B1852" i="1"/>
  <c r="D1852" i="1"/>
  <c r="G1852" i="1"/>
  <c r="B5179" i="1"/>
  <c r="D5179" i="1"/>
  <c r="G5179" i="1"/>
  <c r="B8298" i="1"/>
  <c r="D8298" i="1"/>
  <c r="G8298" i="1"/>
  <c r="B7129" i="1"/>
  <c r="D7129" i="1"/>
  <c r="G7129" i="1"/>
  <c r="B7130" i="1"/>
  <c r="D7130" i="1"/>
  <c r="G7130" i="1"/>
  <c r="B7662" i="1"/>
  <c r="D7662" i="1"/>
  <c r="G7662" i="1"/>
  <c r="B7663" i="1"/>
  <c r="D7663" i="1"/>
  <c r="G7663" i="1"/>
  <c r="B21857" i="1"/>
  <c r="D21857" i="1"/>
  <c r="G21857" i="1"/>
  <c r="B21491" i="1"/>
  <c r="D21491" i="1"/>
  <c r="G21491" i="1"/>
  <c r="B17059" i="1"/>
  <c r="D17059" i="1"/>
  <c r="G17059" i="1"/>
  <c r="B7131" i="1"/>
  <c r="D7131" i="1"/>
  <c r="G7131" i="1"/>
  <c r="B7132" i="1"/>
  <c r="D7132" i="1"/>
  <c r="G7132" i="1"/>
  <c r="B3784" i="1"/>
  <c r="D3784" i="1"/>
  <c r="G3784" i="1"/>
  <c r="B14534" i="1"/>
  <c r="D14534" i="1"/>
  <c r="G14534" i="1"/>
  <c r="B20750" i="1"/>
  <c r="D20750" i="1"/>
  <c r="G20750" i="1"/>
  <c r="B18806" i="1"/>
  <c r="D18806" i="1"/>
  <c r="G18806" i="1"/>
  <c r="B5151" i="1"/>
  <c r="D5151" i="1"/>
  <c r="G5151" i="1"/>
  <c r="B16265" i="1"/>
  <c r="D16265" i="1"/>
  <c r="G16265" i="1"/>
  <c r="B14922" i="1"/>
  <c r="D14922" i="1"/>
  <c r="G14922" i="1"/>
  <c r="B16266" i="1"/>
  <c r="D16266" i="1"/>
  <c r="G16266" i="1"/>
  <c r="B13517" i="1"/>
  <c r="D13517" i="1"/>
  <c r="G13517" i="1"/>
  <c r="B15855" i="1"/>
  <c r="D15855" i="1"/>
  <c r="G15855" i="1"/>
  <c r="B18807" i="1"/>
  <c r="D18807" i="1"/>
  <c r="G18807" i="1"/>
  <c r="B8400" i="1"/>
  <c r="D8400" i="1"/>
  <c r="G8400" i="1"/>
  <c r="B17579" i="1"/>
  <c r="D17579" i="1"/>
  <c r="G17579" i="1"/>
  <c r="B7395" i="1"/>
  <c r="D7395" i="1"/>
  <c r="G7395" i="1"/>
  <c r="B17639" i="1"/>
  <c r="D17639" i="1"/>
  <c r="G17639" i="1"/>
  <c r="B21346" i="1"/>
  <c r="D21346" i="1"/>
  <c r="G21346" i="1"/>
  <c r="B16267" i="1"/>
  <c r="D16267" i="1"/>
  <c r="G16267" i="1"/>
  <c r="B8648" i="1"/>
  <c r="D8648" i="1"/>
  <c r="G8648" i="1"/>
  <c r="B14678" i="1"/>
  <c r="D14678" i="1"/>
  <c r="G14678" i="1"/>
  <c r="B21792" i="1"/>
  <c r="D21792" i="1"/>
  <c r="G21792" i="1"/>
  <c r="B13483" i="1"/>
  <c r="D13483" i="1"/>
  <c r="G13483" i="1"/>
  <c r="B21016" i="1"/>
  <c r="D21016" i="1"/>
  <c r="G21016" i="1"/>
  <c r="B14818" i="1"/>
  <c r="D14818" i="1"/>
  <c r="G14818" i="1"/>
  <c r="B18420" i="1"/>
  <c r="D18420" i="1"/>
  <c r="G18420" i="1"/>
  <c r="B21492" i="1"/>
  <c r="D21492" i="1"/>
  <c r="G21492" i="1"/>
  <c r="B13451" i="1"/>
  <c r="D13451" i="1"/>
  <c r="G13451" i="1"/>
  <c r="B16268" i="1"/>
  <c r="D16268" i="1"/>
  <c r="G16268" i="1"/>
  <c r="B8649" i="1"/>
  <c r="D8649" i="1"/>
  <c r="G8649" i="1"/>
  <c r="B16269" i="1"/>
  <c r="D16269" i="1"/>
  <c r="G16269" i="1"/>
  <c r="B14923" i="1"/>
  <c r="D14923" i="1"/>
  <c r="G14923" i="1"/>
  <c r="B7283" i="1"/>
  <c r="D7283" i="1"/>
  <c r="G7283" i="1"/>
  <c r="B15390" i="1"/>
  <c r="D15390" i="1"/>
  <c r="G15390" i="1"/>
  <c r="B14304" i="1"/>
  <c r="D14304" i="1"/>
  <c r="G14304" i="1"/>
  <c r="B15856" i="1"/>
  <c r="D15856" i="1"/>
  <c r="G15856" i="1"/>
  <c r="B18808" i="1"/>
  <c r="D18808" i="1"/>
  <c r="G18808" i="1"/>
  <c r="B20465" i="1"/>
  <c r="D20465" i="1"/>
  <c r="G20465" i="1"/>
  <c r="B14023" i="1"/>
  <c r="D14023" i="1"/>
  <c r="G14023" i="1"/>
  <c r="B17250" i="1"/>
  <c r="D17250" i="1"/>
  <c r="G17250" i="1"/>
  <c r="B22235" i="1"/>
  <c r="D22235" i="1"/>
  <c r="G22235" i="1"/>
  <c r="B6138" i="1"/>
  <c r="D6138" i="1"/>
  <c r="G6138" i="1"/>
  <c r="B14200" i="1"/>
  <c r="D14200" i="1"/>
  <c r="G14200" i="1"/>
  <c r="B16270" i="1"/>
  <c r="D16270" i="1"/>
  <c r="G16270" i="1"/>
  <c r="B18650" i="1"/>
  <c r="D18650" i="1"/>
  <c r="G18650" i="1"/>
  <c r="B17060" i="1"/>
  <c r="D17060" i="1"/>
  <c r="G17060" i="1"/>
  <c r="B18993" i="1"/>
  <c r="D18993" i="1"/>
  <c r="G18993" i="1"/>
  <c r="B14924" i="1"/>
  <c r="D14924" i="1"/>
  <c r="G14924" i="1"/>
  <c r="B15391" i="1"/>
  <c r="D15391" i="1"/>
  <c r="G15391" i="1"/>
  <c r="B14925" i="1"/>
  <c r="D14925" i="1"/>
  <c r="G14925" i="1"/>
  <c r="B7664" i="1"/>
  <c r="D7664" i="1"/>
  <c r="G7664" i="1"/>
  <c r="B7665" i="1"/>
  <c r="D7665" i="1"/>
  <c r="G7665" i="1"/>
  <c r="B15857" i="1"/>
  <c r="D15857" i="1"/>
  <c r="G15857" i="1"/>
  <c r="B16079" i="1"/>
  <c r="D16079" i="1"/>
  <c r="G16079" i="1"/>
  <c r="B15392" i="1"/>
  <c r="D15392" i="1"/>
  <c r="G15392" i="1"/>
  <c r="B20536" i="1"/>
  <c r="D20536" i="1"/>
  <c r="G20536" i="1"/>
  <c r="B14926" i="1"/>
  <c r="D14926" i="1"/>
  <c r="G14926" i="1"/>
  <c r="B7058" i="1"/>
  <c r="D7058" i="1"/>
  <c r="G7058" i="1"/>
  <c r="B15393" i="1"/>
  <c r="D15393" i="1"/>
  <c r="G15393" i="1"/>
  <c r="B21493" i="1"/>
  <c r="D21493" i="1"/>
  <c r="G21493" i="1"/>
  <c r="B21494" i="1"/>
  <c r="D21494" i="1"/>
  <c r="G21494" i="1"/>
  <c r="B13817" i="1"/>
  <c r="D13817" i="1"/>
  <c r="G13817" i="1"/>
  <c r="B13452" i="1"/>
  <c r="D13452" i="1"/>
  <c r="G13452" i="1"/>
  <c r="B6620" i="1"/>
  <c r="D6620" i="1"/>
  <c r="G6620" i="1"/>
  <c r="B14819" i="1"/>
  <c r="D14819" i="1"/>
  <c r="G14819" i="1"/>
  <c r="B1044" i="1"/>
  <c r="D1044" i="1"/>
  <c r="G1044" i="1"/>
  <c r="B9160" i="1"/>
  <c r="D9160" i="1"/>
  <c r="G9160" i="1"/>
  <c r="B15699" i="1"/>
  <c r="D15699" i="1"/>
  <c r="G15699" i="1"/>
  <c r="B5306" i="1"/>
  <c r="D5306" i="1"/>
  <c r="G5306" i="1"/>
  <c r="B5307" i="1"/>
  <c r="D5307" i="1"/>
  <c r="G5307" i="1"/>
  <c r="B19415" i="1"/>
  <c r="D19415" i="1"/>
  <c r="G19415" i="1"/>
  <c r="B16080" i="1"/>
  <c r="D16080" i="1"/>
  <c r="G16080" i="1"/>
  <c r="B1853" i="1"/>
  <c r="D1853" i="1"/>
  <c r="G1853" i="1"/>
  <c r="B16271" i="1"/>
  <c r="D16271" i="1"/>
  <c r="G16271" i="1"/>
  <c r="B2574" i="1"/>
  <c r="D2574" i="1"/>
  <c r="G2574" i="1"/>
  <c r="B18726" i="1"/>
  <c r="D18726" i="1"/>
  <c r="G18726" i="1"/>
  <c r="B16272" i="1"/>
  <c r="D16272" i="1"/>
  <c r="G16272" i="1"/>
  <c r="B16273" i="1"/>
  <c r="D16273" i="1"/>
  <c r="G16273" i="1"/>
  <c r="B18671" i="1"/>
  <c r="D18671" i="1"/>
  <c r="G18671" i="1"/>
  <c r="B17640" i="1"/>
  <c r="D17640" i="1"/>
  <c r="G17640" i="1"/>
  <c r="B16274" i="1"/>
  <c r="D16274" i="1"/>
  <c r="G16274" i="1"/>
  <c r="B14305" i="1"/>
  <c r="D14305" i="1"/>
  <c r="G14305" i="1"/>
  <c r="B5308" i="1"/>
  <c r="D5308" i="1"/>
  <c r="G5308" i="1"/>
  <c r="B5309" i="1"/>
  <c r="D5309" i="1"/>
  <c r="G5309" i="1"/>
  <c r="B7396" i="1"/>
  <c r="D7396" i="1"/>
  <c r="G7396" i="1"/>
  <c r="B6139" i="1"/>
  <c r="D6139" i="1"/>
  <c r="G6139" i="1"/>
  <c r="B6140" i="1"/>
  <c r="D6140" i="1"/>
  <c r="G6140" i="1"/>
  <c r="B3855" i="1"/>
  <c r="D3855" i="1"/>
  <c r="G3855" i="1"/>
  <c r="B14927" i="1"/>
  <c r="D14927" i="1"/>
  <c r="G14927" i="1"/>
  <c r="B15719" i="1"/>
  <c r="D15719" i="1"/>
  <c r="G15719" i="1"/>
  <c r="B8650" i="1"/>
  <c r="D8650" i="1"/>
  <c r="G8650" i="1"/>
  <c r="B18651" i="1"/>
  <c r="D18651" i="1"/>
  <c r="G18651" i="1"/>
  <c r="B6709" i="1"/>
  <c r="D6709" i="1"/>
  <c r="G6709" i="1"/>
  <c r="B16275" i="1"/>
  <c r="D16275" i="1"/>
  <c r="G16275" i="1"/>
  <c r="B14110" i="1"/>
  <c r="D14110" i="1"/>
  <c r="G14110" i="1"/>
  <c r="B5987" i="1"/>
  <c r="D5987" i="1"/>
  <c r="G5987" i="1"/>
  <c r="B17641" i="1"/>
  <c r="D17641" i="1"/>
  <c r="G17641" i="1"/>
  <c r="B16001" i="1"/>
  <c r="D16001" i="1"/>
  <c r="G16001" i="1"/>
  <c r="B6141" i="1"/>
  <c r="D6141" i="1"/>
  <c r="G6141" i="1"/>
  <c r="B6142" i="1"/>
  <c r="D6142" i="1"/>
  <c r="G6142" i="1"/>
  <c r="B5091" i="1"/>
  <c r="D5091" i="1"/>
  <c r="G5091" i="1"/>
  <c r="B16276" i="1"/>
  <c r="D16276" i="1"/>
  <c r="G16276" i="1"/>
  <c r="B16277" i="1"/>
  <c r="D16277" i="1"/>
  <c r="G16277" i="1"/>
  <c r="B17361" i="1"/>
  <c r="D17361" i="1"/>
  <c r="G17361" i="1"/>
  <c r="B16278" i="1"/>
  <c r="D16278" i="1"/>
  <c r="G16278" i="1"/>
  <c r="B16279" i="1"/>
  <c r="D16279" i="1"/>
  <c r="G16279" i="1"/>
  <c r="B20267" i="1"/>
  <c r="D20267" i="1"/>
  <c r="G20267" i="1"/>
  <c r="B15394" i="1"/>
  <c r="D15394" i="1"/>
  <c r="G15394" i="1"/>
  <c r="B22004" i="1"/>
  <c r="D22004" i="1"/>
  <c r="G22004" i="1"/>
  <c r="B18421" i="1"/>
  <c r="D18421" i="1"/>
  <c r="G18421" i="1"/>
  <c r="B16280" i="1"/>
  <c r="D16280" i="1"/>
  <c r="G16280" i="1"/>
  <c r="B19416" i="1"/>
  <c r="D19416" i="1"/>
  <c r="G19416" i="1"/>
  <c r="B16281" i="1"/>
  <c r="D16281" i="1"/>
  <c r="G16281" i="1"/>
  <c r="B19144" i="1"/>
  <c r="D19144" i="1"/>
  <c r="G19144" i="1"/>
  <c r="B6621" i="1"/>
  <c r="D6621" i="1"/>
  <c r="G6621" i="1"/>
  <c r="B16965" i="1"/>
  <c r="D16965" i="1"/>
  <c r="G16965" i="1"/>
  <c r="B5180" i="1"/>
  <c r="D5180" i="1"/>
  <c r="G5180" i="1"/>
  <c r="B9597" i="1"/>
  <c r="D9597" i="1"/>
  <c r="G9597" i="1"/>
  <c r="B9598" i="1"/>
  <c r="D9598" i="1"/>
  <c r="G9598" i="1"/>
  <c r="B9599" i="1"/>
  <c r="D9599" i="1"/>
  <c r="G9599" i="1"/>
  <c r="B18217" i="1"/>
  <c r="D18217" i="1"/>
  <c r="G18217" i="1"/>
  <c r="B19872" i="1"/>
  <c r="D19872" i="1"/>
  <c r="G19872" i="1"/>
  <c r="B9600" i="1"/>
  <c r="D9600" i="1"/>
  <c r="G9600" i="1"/>
  <c r="B9601" i="1"/>
  <c r="D9601" i="1"/>
  <c r="G9601" i="1"/>
  <c r="B9602" i="1"/>
  <c r="D9602" i="1"/>
  <c r="G9602" i="1"/>
  <c r="B1854" i="1"/>
  <c r="D1854" i="1"/>
  <c r="G1854" i="1"/>
  <c r="B6710" i="1"/>
  <c r="D6710" i="1"/>
  <c r="G6710" i="1"/>
  <c r="B6852" i="1"/>
  <c r="D6852" i="1"/>
  <c r="G6852" i="1"/>
  <c r="B6143" i="1"/>
  <c r="D6143" i="1"/>
  <c r="G6143" i="1"/>
  <c r="B6144" i="1"/>
  <c r="D6144" i="1"/>
  <c r="G6144" i="1"/>
  <c r="B7666" i="1"/>
  <c r="D7666" i="1"/>
  <c r="G7666" i="1"/>
  <c r="B18392" i="1"/>
  <c r="D18392" i="1"/>
  <c r="G18392" i="1"/>
  <c r="B19417" i="1"/>
  <c r="D19417" i="1"/>
  <c r="G19417" i="1"/>
  <c r="B18652" i="1"/>
  <c r="D18652" i="1"/>
  <c r="G18652" i="1"/>
  <c r="B20268" i="1"/>
  <c r="D20268" i="1"/>
  <c r="G20268" i="1"/>
  <c r="B14928" i="1"/>
  <c r="D14928" i="1"/>
  <c r="G14928" i="1"/>
  <c r="B20751" i="1"/>
  <c r="D20751" i="1"/>
  <c r="G20751" i="1"/>
  <c r="B22005" i="1"/>
  <c r="D22005" i="1"/>
  <c r="G22005" i="1"/>
  <c r="B18809" i="1"/>
  <c r="D18809" i="1"/>
  <c r="G18809" i="1"/>
  <c r="B16282" i="1"/>
  <c r="D16282" i="1"/>
  <c r="G16282" i="1"/>
  <c r="B17061" i="1"/>
  <c r="D17061" i="1"/>
  <c r="G17061" i="1"/>
  <c r="B16283" i="1"/>
  <c r="D16283" i="1"/>
  <c r="G16283" i="1"/>
  <c r="B18810" i="1"/>
  <c r="D18810" i="1"/>
  <c r="G18810" i="1"/>
  <c r="B18994" i="1"/>
  <c r="D18994" i="1"/>
  <c r="G18994" i="1"/>
  <c r="B14929" i="1"/>
  <c r="D14929" i="1"/>
  <c r="G14929" i="1"/>
  <c r="B15395" i="1"/>
  <c r="D15395" i="1"/>
  <c r="G15395" i="1"/>
  <c r="B14930" i="1"/>
  <c r="D14930" i="1"/>
  <c r="G14930" i="1"/>
  <c r="B21495" i="1"/>
  <c r="D21495" i="1"/>
  <c r="G21495" i="1"/>
  <c r="B15396" i="1"/>
  <c r="D15396" i="1"/>
  <c r="G15396" i="1"/>
  <c r="B14931" i="1"/>
  <c r="D14931" i="1"/>
  <c r="G14931" i="1"/>
  <c r="B17362" i="1"/>
  <c r="D17362" i="1"/>
  <c r="G17362" i="1"/>
  <c r="B16284" i="1"/>
  <c r="D16284" i="1"/>
  <c r="G16284" i="1"/>
  <c r="B19873" i="1"/>
  <c r="D19873" i="1"/>
  <c r="G19873" i="1"/>
  <c r="B13818" i="1"/>
  <c r="D13818" i="1"/>
  <c r="G13818" i="1"/>
  <c r="B20537" i="1"/>
  <c r="D20537" i="1"/>
  <c r="G20537" i="1"/>
  <c r="B706" i="1"/>
  <c r="D706" i="1"/>
  <c r="G706" i="1"/>
  <c r="B14580" i="1"/>
  <c r="D14580" i="1"/>
  <c r="G14580" i="1"/>
  <c r="B16285" i="1"/>
  <c r="D16285" i="1"/>
  <c r="G16285" i="1"/>
  <c r="B17304" i="1"/>
  <c r="D17304" i="1"/>
  <c r="G17304" i="1"/>
  <c r="B6999" i="1"/>
  <c r="D6999" i="1"/>
  <c r="G6999" i="1"/>
  <c r="B7000" i="1"/>
  <c r="D7000" i="1"/>
  <c r="G7000" i="1"/>
  <c r="B14306" i="1"/>
  <c r="D14306" i="1"/>
  <c r="G14306" i="1"/>
  <c r="B18422" i="1"/>
  <c r="D18422" i="1"/>
  <c r="G18422" i="1"/>
  <c r="B8651" i="1"/>
  <c r="D8651" i="1"/>
  <c r="G8651" i="1"/>
  <c r="B16286" i="1"/>
  <c r="D16286" i="1"/>
  <c r="G16286" i="1"/>
  <c r="B17363" i="1"/>
  <c r="D17363" i="1"/>
  <c r="G17363" i="1"/>
  <c r="B17251" i="1"/>
  <c r="D17251" i="1"/>
  <c r="G17251" i="1"/>
  <c r="B7059" i="1"/>
  <c r="D7059" i="1"/>
  <c r="G7059" i="1"/>
  <c r="B8048" i="1"/>
  <c r="D8048" i="1"/>
  <c r="G8048" i="1"/>
  <c r="B21017" i="1"/>
  <c r="D21017" i="1"/>
  <c r="G21017" i="1"/>
  <c r="B707" i="1"/>
  <c r="D707" i="1"/>
  <c r="G707" i="1"/>
  <c r="B708" i="1"/>
  <c r="D708" i="1"/>
  <c r="G708" i="1"/>
  <c r="B17364" i="1"/>
  <c r="D17364" i="1"/>
  <c r="G17364" i="1"/>
  <c r="B21018" i="1"/>
  <c r="D21018" i="1"/>
  <c r="G21018" i="1"/>
  <c r="B17515" i="1"/>
  <c r="D17515" i="1"/>
  <c r="G17515" i="1"/>
  <c r="B17365" i="1"/>
  <c r="D17365" i="1"/>
  <c r="G17365" i="1"/>
  <c r="B16081" i="1"/>
  <c r="D16081" i="1"/>
  <c r="G16081" i="1"/>
  <c r="B20752" i="1"/>
  <c r="D20752" i="1"/>
  <c r="G20752" i="1"/>
  <c r="B131" i="1"/>
  <c r="D131" i="1"/>
  <c r="G131" i="1"/>
  <c r="B17366" i="1"/>
  <c r="D17366" i="1"/>
  <c r="G17366" i="1"/>
  <c r="B21858" i="1"/>
  <c r="D21858" i="1"/>
  <c r="G21858" i="1"/>
  <c r="B20269" i="1"/>
  <c r="D20269" i="1"/>
  <c r="G20269" i="1"/>
  <c r="B20364" i="1"/>
  <c r="D20364" i="1"/>
  <c r="G20364" i="1"/>
  <c r="B16287" i="1"/>
  <c r="D16287" i="1"/>
  <c r="G16287" i="1"/>
  <c r="B17021" i="1"/>
  <c r="D17021" i="1"/>
  <c r="G17021" i="1"/>
  <c r="B19145" i="1"/>
  <c r="D19145" i="1"/>
  <c r="G19145" i="1"/>
  <c r="B17230" i="1"/>
  <c r="D17230" i="1"/>
  <c r="G17230" i="1"/>
  <c r="B6699" i="1"/>
  <c r="D6699" i="1"/>
  <c r="G6699" i="1"/>
  <c r="B7397" i="1"/>
  <c r="D7397" i="1"/>
  <c r="G7397" i="1"/>
  <c r="B16288" i="1"/>
  <c r="D16288" i="1"/>
  <c r="G16288" i="1"/>
  <c r="B16289" i="1"/>
  <c r="D16289" i="1"/>
  <c r="G16289" i="1"/>
  <c r="B14932" i="1"/>
  <c r="D14932" i="1"/>
  <c r="G14932" i="1"/>
  <c r="B20038" i="1"/>
  <c r="D20038" i="1"/>
  <c r="G20038" i="1"/>
  <c r="B20753" i="1"/>
  <c r="D20753" i="1"/>
  <c r="G20753" i="1"/>
  <c r="B15397" i="1"/>
  <c r="D15397" i="1"/>
  <c r="G15397" i="1"/>
  <c r="B20538" i="1"/>
  <c r="D20538" i="1"/>
  <c r="G20538" i="1"/>
  <c r="B18393" i="1"/>
  <c r="D18393" i="1"/>
  <c r="G18393" i="1"/>
  <c r="B477" i="1"/>
  <c r="D477" i="1"/>
  <c r="G477" i="1"/>
  <c r="B478" i="1"/>
  <c r="D478" i="1"/>
  <c r="G478" i="1"/>
  <c r="B18344" i="1"/>
  <c r="D18344" i="1"/>
  <c r="G18344" i="1"/>
  <c r="B7398" i="1"/>
  <c r="D7398" i="1"/>
  <c r="G7398" i="1"/>
  <c r="B16290" i="1"/>
  <c r="D16290" i="1"/>
  <c r="G16290" i="1"/>
  <c r="B21433" i="1"/>
  <c r="D21433" i="1"/>
  <c r="G21433" i="1"/>
  <c r="B21019" i="1"/>
  <c r="D21019" i="1"/>
  <c r="G21019" i="1"/>
  <c r="B19418" i="1"/>
  <c r="D19418" i="1"/>
  <c r="G19418" i="1"/>
  <c r="B16291" i="1"/>
  <c r="D16291" i="1"/>
  <c r="G16291" i="1"/>
  <c r="B1525" i="1"/>
  <c r="D1525" i="1"/>
  <c r="G1525" i="1"/>
  <c r="B18776" i="1"/>
  <c r="D18776" i="1"/>
  <c r="G18776" i="1"/>
  <c r="B16292" i="1"/>
  <c r="D16292" i="1"/>
  <c r="G16292" i="1"/>
  <c r="B18995" i="1"/>
  <c r="D18995" i="1"/>
  <c r="G18995" i="1"/>
  <c r="B9603" i="1"/>
  <c r="D9603" i="1"/>
  <c r="G9603" i="1"/>
  <c r="B9604" i="1"/>
  <c r="D9604" i="1"/>
  <c r="G9604" i="1"/>
  <c r="B9605" i="1"/>
  <c r="D9605" i="1"/>
  <c r="G9605" i="1"/>
  <c r="B17367" i="1"/>
  <c r="D17367" i="1"/>
  <c r="G17367" i="1"/>
  <c r="B15398" i="1"/>
  <c r="D15398" i="1"/>
  <c r="G15398" i="1"/>
  <c r="B14933" i="1"/>
  <c r="D14933" i="1"/>
  <c r="G14933" i="1"/>
  <c r="B9606" i="1"/>
  <c r="D9606" i="1"/>
  <c r="G9606" i="1"/>
  <c r="B17642" i="1"/>
  <c r="D17642" i="1"/>
  <c r="G17642" i="1"/>
  <c r="B21496" i="1"/>
  <c r="D21496" i="1"/>
  <c r="G21496" i="1"/>
  <c r="B20365" i="1"/>
  <c r="D20365" i="1"/>
  <c r="G20365" i="1"/>
  <c r="B20270" i="1"/>
  <c r="D20270" i="1"/>
  <c r="G20270" i="1"/>
  <c r="B17028" i="1"/>
  <c r="D17028" i="1"/>
  <c r="G17028" i="1"/>
  <c r="B22006" i="1"/>
  <c r="D22006" i="1"/>
  <c r="G22006" i="1"/>
  <c r="B15399" i="1"/>
  <c r="D15399" i="1"/>
  <c r="G15399" i="1"/>
  <c r="B20539" i="1"/>
  <c r="D20539" i="1"/>
  <c r="G20539" i="1"/>
  <c r="B7667" i="1"/>
  <c r="D7667" i="1"/>
  <c r="G7667" i="1"/>
  <c r="B14820" i="1"/>
  <c r="D14820" i="1"/>
  <c r="G14820" i="1"/>
  <c r="B7399" i="1"/>
  <c r="D7399" i="1"/>
  <c r="G7399" i="1"/>
  <c r="B7284" i="1"/>
  <c r="D7284" i="1"/>
  <c r="G7284" i="1"/>
  <c r="B14821" i="1"/>
  <c r="D14821" i="1"/>
  <c r="G14821" i="1"/>
  <c r="B16293" i="1"/>
  <c r="D16293" i="1"/>
  <c r="G16293" i="1"/>
  <c r="B18235" i="1"/>
  <c r="D18235" i="1"/>
  <c r="G18235" i="1"/>
  <c r="B21020" i="1"/>
  <c r="D21020" i="1"/>
  <c r="G21020" i="1"/>
  <c r="B15400" i="1"/>
  <c r="D15400" i="1"/>
  <c r="G15400" i="1"/>
  <c r="B20540" i="1"/>
  <c r="D20540" i="1"/>
  <c r="G20540" i="1"/>
  <c r="B17643" i="1"/>
  <c r="D17643" i="1"/>
  <c r="G17643" i="1"/>
  <c r="B20271" i="1"/>
  <c r="D20271" i="1"/>
  <c r="G20271" i="1"/>
  <c r="B17644" i="1"/>
  <c r="D17644" i="1"/>
  <c r="G17644" i="1"/>
  <c r="B18218" i="1"/>
  <c r="D18218" i="1"/>
  <c r="G18218" i="1"/>
  <c r="B21021" i="1"/>
  <c r="D21021" i="1"/>
  <c r="G21021" i="1"/>
  <c r="B21497" i="1"/>
  <c r="D21497" i="1"/>
  <c r="G21497" i="1"/>
  <c r="B16294" i="1"/>
  <c r="D16294" i="1"/>
  <c r="G16294" i="1"/>
  <c r="B19419" i="1"/>
  <c r="D19419" i="1"/>
  <c r="G19419" i="1"/>
  <c r="B18423" i="1"/>
  <c r="D18423" i="1"/>
  <c r="G18423" i="1"/>
  <c r="B6711" i="1"/>
  <c r="D6711" i="1"/>
  <c r="G6711" i="1"/>
  <c r="B21022" i="1"/>
  <c r="D21022" i="1"/>
  <c r="G21022" i="1"/>
  <c r="B21023" i="1"/>
  <c r="D21023" i="1"/>
  <c r="G21023" i="1"/>
  <c r="B20366" i="1"/>
  <c r="D20366" i="1"/>
  <c r="G20366" i="1"/>
  <c r="B21498" i="1"/>
  <c r="D21498" i="1"/>
  <c r="G21498" i="1"/>
  <c r="B20981" i="1"/>
  <c r="D20981" i="1"/>
  <c r="G20981" i="1"/>
  <c r="B17516" i="1"/>
  <c r="D17516" i="1"/>
  <c r="G17516" i="1"/>
  <c r="B16295" i="1"/>
  <c r="D16295" i="1"/>
  <c r="G16295" i="1"/>
  <c r="B21024" i="1"/>
  <c r="D21024" i="1"/>
  <c r="G21024" i="1"/>
  <c r="B17645" i="1"/>
  <c r="D17645" i="1"/>
  <c r="G17645" i="1"/>
  <c r="B16296" i="1"/>
  <c r="D16296" i="1"/>
  <c r="G16296" i="1"/>
  <c r="B16297" i="1"/>
  <c r="D16297" i="1"/>
  <c r="G16297" i="1"/>
  <c r="B20754" i="1"/>
  <c r="D20754" i="1"/>
  <c r="G20754" i="1"/>
  <c r="B21434" i="1"/>
  <c r="D21434" i="1"/>
  <c r="G21434" i="1"/>
  <c r="B17062" i="1"/>
  <c r="D17062" i="1"/>
  <c r="G17062" i="1"/>
  <c r="B17580" i="1"/>
  <c r="D17580" i="1"/>
  <c r="G17580" i="1"/>
  <c r="B14934" i="1"/>
  <c r="D14934" i="1"/>
  <c r="G14934" i="1"/>
  <c r="B20039" i="1"/>
  <c r="D20039" i="1"/>
  <c r="G20039" i="1"/>
  <c r="B21859" i="1"/>
  <c r="D21859" i="1"/>
  <c r="G21859" i="1"/>
  <c r="B21499" i="1"/>
  <c r="D21499" i="1"/>
  <c r="G21499" i="1"/>
  <c r="B18424" i="1"/>
  <c r="D18424" i="1"/>
  <c r="G18424" i="1"/>
  <c r="B18996" i="1"/>
  <c r="D18996" i="1"/>
  <c r="G18996" i="1"/>
  <c r="B1045" i="1"/>
  <c r="D1045" i="1"/>
  <c r="G1045" i="1"/>
  <c r="B14935" i="1"/>
  <c r="D14935" i="1"/>
  <c r="G14935" i="1"/>
  <c r="B17231" i="1"/>
  <c r="D17231" i="1"/>
  <c r="G17231" i="1"/>
  <c r="B16032" i="1"/>
  <c r="D16032" i="1"/>
  <c r="G16032" i="1"/>
  <c r="B19420" i="1"/>
  <c r="D19420" i="1"/>
  <c r="G19420" i="1"/>
  <c r="B8083" i="1"/>
  <c r="D8083" i="1"/>
  <c r="G8083" i="1"/>
  <c r="B3856" i="1"/>
  <c r="D3856" i="1"/>
  <c r="G3856" i="1"/>
  <c r="B14822" i="1"/>
  <c r="D14822" i="1"/>
  <c r="G14822" i="1"/>
  <c r="B8299" i="1"/>
  <c r="D8299" i="1"/>
  <c r="G8299" i="1"/>
  <c r="B7668" i="1"/>
  <c r="D7668" i="1"/>
  <c r="G7668" i="1"/>
  <c r="B7669" i="1"/>
  <c r="D7669" i="1"/>
  <c r="G7669" i="1"/>
  <c r="B7133" i="1"/>
  <c r="D7133" i="1"/>
  <c r="G7133" i="1"/>
  <c r="B7134" i="1"/>
  <c r="D7134" i="1"/>
  <c r="G7134" i="1"/>
  <c r="B7670" i="1"/>
  <c r="D7670" i="1"/>
  <c r="G7670" i="1"/>
  <c r="B7671" i="1"/>
  <c r="D7671" i="1"/>
  <c r="G7671" i="1"/>
  <c r="B21666" i="1"/>
  <c r="D21666" i="1"/>
  <c r="G21666" i="1"/>
  <c r="B17646" i="1"/>
  <c r="D17646" i="1"/>
  <c r="G17646" i="1"/>
  <c r="B7672" i="1"/>
  <c r="D7672" i="1"/>
  <c r="G7672" i="1"/>
  <c r="B7673" i="1"/>
  <c r="D7673" i="1"/>
  <c r="G7673" i="1"/>
  <c r="B3785" i="1"/>
  <c r="D3785" i="1"/>
  <c r="G3785" i="1"/>
  <c r="B16298" i="1"/>
  <c r="D16298" i="1"/>
  <c r="G16298" i="1"/>
  <c r="B21025" i="1"/>
  <c r="D21025" i="1"/>
  <c r="G21025" i="1"/>
  <c r="B17647" i="1"/>
  <c r="D17647" i="1"/>
  <c r="G17647" i="1"/>
  <c r="B21793" i="1"/>
  <c r="D21793" i="1"/>
  <c r="G21793" i="1"/>
  <c r="B21026" i="1"/>
  <c r="D21026" i="1"/>
  <c r="G21026" i="1"/>
  <c r="B22007" i="1"/>
  <c r="D22007" i="1"/>
  <c r="G22007" i="1"/>
  <c r="B17517" i="1"/>
  <c r="D17517" i="1"/>
  <c r="G17517" i="1"/>
  <c r="B3857" i="1"/>
  <c r="D3857" i="1"/>
  <c r="G3857" i="1"/>
  <c r="B8401" i="1"/>
  <c r="D8401" i="1"/>
  <c r="G8401" i="1"/>
  <c r="B8402" i="1"/>
  <c r="D8402" i="1"/>
  <c r="G8402" i="1"/>
  <c r="B20031" i="1"/>
  <c r="D20031" i="1"/>
  <c r="G20031" i="1"/>
  <c r="B20033" i="1"/>
  <c r="D20033" i="1"/>
  <c r="G20033" i="1"/>
  <c r="B20034" i="1"/>
  <c r="D20034" i="1"/>
  <c r="G20034" i="1"/>
  <c r="B20062" i="1"/>
  <c r="D20062" i="1"/>
  <c r="G20062" i="1"/>
  <c r="B1855" i="1"/>
  <c r="D1855" i="1"/>
  <c r="G1855" i="1"/>
  <c r="B7400" i="1"/>
  <c r="D7400" i="1"/>
  <c r="G7400" i="1"/>
  <c r="B21839" i="1"/>
  <c r="D21839" i="1"/>
  <c r="G21839" i="1"/>
  <c r="B16299" i="1"/>
  <c r="D16299" i="1"/>
  <c r="G16299" i="1"/>
  <c r="B17581" i="1"/>
  <c r="D17581" i="1"/>
  <c r="G17581" i="1"/>
  <c r="B20098" i="1"/>
  <c r="D20098" i="1"/>
  <c r="G20098" i="1"/>
  <c r="B17260" i="1"/>
  <c r="D17260" i="1"/>
  <c r="G17260" i="1"/>
  <c r="B8652" i="1"/>
  <c r="D8652" i="1"/>
  <c r="G8652" i="1"/>
  <c r="B8084" i="1"/>
  <c r="D8084" i="1"/>
  <c r="G8084" i="1"/>
  <c r="B20541" i="1"/>
  <c r="D20541" i="1"/>
  <c r="G20541" i="1"/>
  <c r="B14085" i="1"/>
  <c r="D14085" i="1"/>
  <c r="G14085" i="1"/>
  <c r="B13532" i="1"/>
  <c r="D13532" i="1"/>
  <c r="G13532" i="1"/>
  <c r="B14164" i="1"/>
  <c r="D14164" i="1"/>
  <c r="G14164" i="1"/>
  <c r="B17648" i="1"/>
  <c r="D17648" i="1"/>
  <c r="G17648" i="1"/>
  <c r="B17232" i="1"/>
  <c r="D17232" i="1"/>
  <c r="G17232" i="1"/>
  <c r="B18672" i="1"/>
  <c r="D18672" i="1"/>
  <c r="G18672" i="1"/>
  <c r="B20218" i="1"/>
  <c r="D20218" i="1"/>
  <c r="G20218" i="1"/>
  <c r="B18710" i="1"/>
  <c r="D18710" i="1"/>
  <c r="G18710" i="1"/>
  <c r="B20196" i="1"/>
  <c r="D20196" i="1"/>
  <c r="G20196" i="1"/>
  <c r="B21027" i="1"/>
  <c r="D21027" i="1"/>
  <c r="G21027" i="1"/>
  <c r="B19421" i="1"/>
  <c r="D19421" i="1"/>
  <c r="G19421" i="1"/>
  <c r="B20466" i="1"/>
  <c r="D20466" i="1"/>
  <c r="G20466" i="1"/>
  <c r="B15401" i="1"/>
  <c r="D15401" i="1"/>
  <c r="G15401" i="1"/>
  <c r="B21028" i="1"/>
  <c r="D21028" i="1"/>
  <c r="G21028" i="1"/>
  <c r="B6921" i="1"/>
  <c r="D6921" i="1"/>
  <c r="G6921" i="1"/>
  <c r="B18219" i="1"/>
  <c r="D18219" i="1"/>
  <c r="G18219" i="1"/>
  <c r="B20755" i="1"/>
  <c r="D20755" i="1"/>
  <c r="G20755" i="1"/>
  <c r="B8653" i="1"/>
  <c r="D8653" i="1"/>
  <c r="G8653" i="1"/>
  <c r="B21435" i="1"/>
  <c r="D21435" i="1"/>
  <c r="G21435" i="1"/>
  <c r="B21029" i="1"/>
  <c r="D21029" i="1"/>
  <c r="G21029" i="1"/>
  <c r="B11761" i="1"/>
  <c r="D11761" i="1"/>
  <c r="G11761" i="1"/>
  <c r="B8403" i="1"/>
  <c r="D8403" i="1"/>
  <c r="G8403" i="1"/>
  <c r="B8404" i="1"/>
  <c r="D8404" i="1"/>
  <c r="G8404" i="1"/>
  <c r="B11482" i="1"/>
  <c r="D11482" i="1"/>
  <c r="G11482" i="1"/>
  <c r="B11483" i="1"/>
  <c r="D11483" i="1"/>
  <c r="G11483" i="1"/>
  <c r="B14936" i="1"/>
  <c r="D14936" i="1"/>
  <c r="G14936" i="1"/>
  <c r="B7285" i="1"/>
  <c r="D7285" i="1"/>
  <c r="G7285" i="1"/>
  <c r="B20756" i="1"/>
  <c r="D20756" i="1"/>
  <c r="G20756" i="1"/>
  <c r="B15402" i="1"/>
  <c r="D15402" i="1"/>
  <c r="G15402" i="1"/>
  <c r="B20542" i="1"/>
  <c r="D20542" i="1"/>
  <c r="G20542" i="1"/>
  <c r="B21860" i="1"/>
  <c r="D21860" i="1"/>
  <c r="G21860" i="1"/>
  <c r="B20272" i="1"/>
  <c r="D20272" i="1"/>
  <c r="G20272" i="1"/>
  <c r="B21500" i="1"/>
  <c r="D21500" i="1"/>
  <c r="G21500" i="1"/>
  <c r="B20232" i="1"/>
  <c r="D20232" i="1"/>
  <c r="G20232" i="1"/>
  <c r="B5584" i="1"/>
  <c r="D5584" i="1"/>
  <c r="G5584" i="1"/>
  <c r="B21030" i="1"/>
  <c r="D21030" i="1"/>
  <c r="G21030" i="1"/>
  <c r="B22008" i="1"/>
  <c r="D22008" i="1"/>
  <c r="G22008" i="1"/>
  <c r="B11368" i="1"/>
  <c r="D11368" i="1"/>
  <c r="G11368" i="1"/>
  <c r="B19817" i="1"/>
  <c r="D19817" i="1"/>
  <c r="G19817" i="1"/>
  <c r="B19422" i="1"/>
  <c r="D19422" i="1"/>
  <c r="G19422" i="1"/>
  <c r="B18653" i="1"/>
  <c r="D18653" i="1"/>
  <c r="G18653" i="1"/>
  <c r="B8654" i="1"/>
  <c r="D8654" i="1"/>
  <c r="G8654" i="1"/>
  <c r="B16300" i="1"/>
  <c r="D16300" i="1"/>
  <c r="G16300" i="1"/>
  <c r="B20982" i="1"/>
  <c r="D20982" i="1"/>
  <c r="G20982" i="1"/>
  <c r="B20543" i="1"/>
  <c r="D20543" i="1"/>
  <c r="G20543" i="1"/>
  <c r="B18727" i="1"/>
  <c r="D18727" i="1"/>
  <c r="G18727" i="1"/>
  <c r="B17339" i="1"/>
  <c r="D17339" i="1"/>
  <c r="G17339" i="1"/>
  <c r="B18220" i="1"/>
  <c r="D18220" i="1"/>
  <c r="G18220" i="1"/>
  <c r="B17649" i="1"/>
  <c r="D17649" i="1"/>
  <c r="G17649" i="1"/>
  <c r="B7674" i="1"/>
  <c r="D7674" i="1"/>
  <c r="G7674" i="1"/>
  <c r="B7675" i="1"/>
  <c r="D7675" i="1"/>
  <c r="G7675" i="1"/>
  <c r="B21840" i="1"/>
  <c r="D21840" i="1"/>
  <c r="G21840" i="1"/>
  <c r="B21794" i="1"/>
  <c r="D21794" i="1"/>
  <c r="G21794" i="1"/>
  <c r="B10150" i="1"/>
  <c r="D10150" i="1"/>
  <c r="G10150" i="1"/>
  <c r="B21031" i="1"/>
  <c r="D21031" i="1"/>
  <c r="G21031" i="1"/>
  <c r="B7060" i="1"/>
  <c r="D7060" i="1"/>
  <c r="G7060" i="1"/>
  <c r="B21032" i="1"/>
  <c r="D21032" i="1"/>
  <c r="G21032" i="1"/>
  <c r="B19423" i="1"/>
  <c r="D19423" i="1"/>
  <c r="G19423" i="1"/>
  <c r="B18654" i="1"/>
  <c r="D18654" i="1"/>
  <c r="G18654" i="1"/>
  <c r="B10151" i="1"/>
  <c r="D10151" i="1"/>
  <c r="G10151" i="1"/>
  <c r="B13819" i="1"/>
  <c r="D13819" i="1"/>
  <c r="G13819" i="1"/>
  <c r="B21861" i="1"/>
  <c r="D21861" i="1"/>
  <c r="G21861" i="1"/>
  <c r="B479" i="1"/>
  <c r="D479" i="1"/>
  <c r="G479" i="1"/>
  <c r="B10103" i="1"/>
  <c r="D10103" i="1"/>
  <c r="G10103" i="1"/>
  <c r="B10104" i="1"/>
  <c r="D10104" i="1"/>
  <c r="G10104" i="1"/>
  <c r="B11369" i="1"/>
  <c r="D11369" i="1"/>
  <c r="G11369" i="1"/>
  <c r="B7401" i="1"/>
  <c r="D7401" i="1"/>
  <c r="G7401" i="1"/>
  <c r="B10197" i="1"/>
  <c r="D10197" i="1"/>
  <c r="G10197" i="1"/>
  <c r="B14937" i="1"/>
  <c r="D14937" i="1"/>
  <c r="G14937" i="1"/>
  <c r="B20367" i="1"/>
  <c r="D20367" i="1"/>
  <c r="G20367" i="1"/>
  <c r="B22236" i="1"/>
  <c r="D22236" i="1"/>
  <c r="G22236" i="1"/>
  <c r="B5181" i="1"/>
  <c r="D5181" i="1"/>
  <c r="G5181" i="1"/>
  <c r="B16301" i="1"/>
  <c r="D16301" i="1"/>
  <c r="G16301" i="1"/>
  <c r="B21033" i="1"/>
  <c r="D21033" i="1"/>
  <c r="G21033" i="1"/>
  <c r="B11762" i="1"/>
  <c r="D11762" i="1"/>
  <c r="G11762" i="1"/>
  <c r="B11763" i="1"/>
  <c r="D11763" i="1"/>
  <c r="G11763" i="1"/>
  <c r="B16302" i="1"/>
  <c r="D16302" i="1"/>
  <c r="G16302" i="1"/>
  <c r="B9178" i="1"/>
  <c r="D9178" i="1"/>
  <c r="G9178" i="1"/>
  <c r="B480" i="1"/>
  <c r="D480" i="1"/>
  <c r="G480" i="1"/>
  <c r="B8655" i="1"/>
  <c r="D8655" i="1"/>
  <c r="G8655" i="1"/>
  <c r="B4858" i="1"/>
  <c r="D4858" i="1"/>
  <c r="G4858" i="1"/>
  <c r="B21501" i="1"/>
  <c r="D21501" i="1"/>
  <c r="G21501" i="1"/>
  <c r="B481" i="1"/>
  <c r="D481" i="1"/>
  <c r="G481" i="1"/>
  <c r="B16303" i="1"/>
  <c r="D16303" i="1"/>
  <c r="G16303" i="1"/>
  <c r="B17033" i="1"/>
  <c r="D17033" i="1"/>
  <c r="G17033" i="1"/>
  <c r="B6696" i="1"/>
  <c r="D6696" i="1"/>
  <c r="G6696" i="1"/>
  <c r="B19805" i="1"/>
  <c r="D19805" i="1"/>
  <c r="G19805" i="1"/>
  <c r="B13412" i="1"/>
  <c r="D13412" i="1"/>
  <c r="G13412" i="1"/>
  <c r="B8656" i="1"/>
  <c r="D8656" i="1"/>
  <c r="G8656" i="1"/>
  <c r="B11652" i="1"/>
  <c r="D11652" i="1"/>
  <c r="G11652" i="1"/>
  <c r="B11956" i="1"/>
  <c r="D11956" i="1"/>
  <c r="G11956" i="1"/>
  <c r="B21502" i="1"/>
  <c r="D21502" i="1"/>
  <c r="G21502" i="1"/>
  <c r="B19874" i="1"/>
  <c r="D19874" i="1"/>
  <c r="G19874" i="1"/>
  <c r="B19424" i="1"/>
  <c r="D19424" i="1"/>
  <c r="G19424" i="1"/>
  <c r="B18425" i="1"/>
  <c r="D18425" i="1"/>
  <c r="G18425" i="1"/>
  <c r="B21034" i="1"/>
  <c r="D21034" i="1"/>
  <c r="G21034" i="1"/>
  <c r="B10422" i="1"/>
  <c r="D10422" i="1"/>
  <c r="G10422" i="1"/>
  <c r="B10423" i="1"/>
  <c r="D10423" i="1"/>
  <c r="G10423" i="1"/>
  <c r="B10722" i="1"/>
  <c r="D10722" i="1"/>
  <c r="G10722" i="1"/>
  <c r="B10723" i="1"/>
  <c r="D10723" i="1"/>
  <c r="G10723" i="1"/>
  <c r="B11276" i="1"/>
  <c r="D11276" i="1"/>
  <c r="G11276" i="1"/>
  <c r="B15403" i="1"/>
  <c r="D15403" i="1"/>
  <c r="G15403" i="1"/>
  <c r="B18811" i="1"/>
  <c r="D18811" i="1"/>
  <c r="G18811" i="1"/>
  <c r="B14938" i="1"/>
  <c r="D14938" i="1"/>
  <c r="G14938" i="1"/>
  <c r="B20757" i="1"/>
  <c r="D20757" i="1"/>
  <c r="G20757" i="1"/>
  <c r="B8405" i="1"/>
  <c r="D8405" i="1"/>
  <c r="G8405" i="1"/>
  <c r="B8406" i="1"/>
  <c r="D8406" i="1"/>
  <c r="G8406" i="1"/>
  <c r="B8407" i="1"/>
  <c r="D8407" i="1"/>
  <c r="G8407" i="1"/>
  <c r="B8408" i="1"/>
  <c r="D8408" i="1"/>
  <c r="G8408" i="1"/>
  <c r="B8409" i="1"/>
  <c r="D8409" i="1"/>
  <c r="G8409" i="1"/>
  <c r="B9607" i="1"/>
  <c r="D9607" i="1"/>
  <c r="G9607" i="1"/>
  <c r="B11484" i="1"/>
  <c r="D11484" i="1"/>
  <c r="G11484" i="1"/>
  <c r="B11485" i="1"/>
  <c r="D11485" i="1"/>
  <c r="G11485" i="1"/>
  <c r="B11486" i="1"/>
  <c r="D11486" i="1"/>
  <c r="G11486" i="1"/>
  <c r="B11487" i="1"/>
  <c r="D11487" i="1"/>
  <c r="G11487" i="1"/>
  <c r="B6712" i="1"/>
  <c r="D6712" i="1"/>
  <c r="G6712" i="1"/>
  <c r="B14145" i="1"/>
  <c r="D14145" i="1"/>
  <c r="G14145" i="1"/>
  <c r="B14146" i="1"/>
  <c r="D14146" i="1"/>
  <c r="G14146" i="1"/>
  <c r="B12370" i="1"/>
  <c r="D12370" i="1"/>
  <c r="G12370" i="1"/>
  <c r="B21035" i="1"/>
  <c r="D21035" i="1"/>
  <c r="G21035" i="1"/>
  <c r="B12371" i="1"/>
  <c r="D12371" i="1"/>
  <c r="G12371" i="1"/>
  <c r="B11488" i="1"/>
  <c r="D11488" i="1"/>
  <c r="G11488" i="1"/>
  <c r="B11957" i="1"/>
  <c r="D11957" i="1"/>
  <c r="G11957" i="1"/>
  <c r="B16304" i="1"/>
  <c r="D16304" i="1"/>
  <c r="G16304" i="1"/>
  <c r="B18728" i="1"/>
  <c r="D18728" i="1"/>
  <c r="G18728" i="1"/>
  <c r="B132" i="1"/>
  <c r="D132" i="1"/>
  <c r="G132" i="1"/>
  <c r="B16305" i="1"/>
  <c r="D16305" i="1"/>
  <c r="G16305" i="1"/>
  <c r="B10424" i="1"/>
  <c r="D10424" i="1"/>
  <c r="G10424" i="1"/>
  <c r="B10425" i="1"/>
  <c r="D10425" i="1"/>
  <c r="G10425" i="1"/>
  <c r="B10724" i="1"/>
  <c r="D10724" i="1"/>
  <c r="G10724" i="1"/>
  <c r="B10725" i="1"/>
  <c r="D10725" i="1"/>
  <c r="G10725" i="1"/>
  <c r="B16306" i="1"/>
  <c r="D16306" i="1"/>
  <c r="G16306" i="1"/>
  <c r="B482" i="1"/>
  <c r="D482" i="1"/>
  <c r="G482" i="1"/>
  <c r="B11370" i="1"/>
  <c r="D11370" i="1"/>
  <c r="G11370" i="1"/>
  <c r="B20162" i="1"/>
  <c r="D20162" i="1"/>
  <c r="G20162" i="1"/>
  <c r="B12360" i="1"/>
  <c r="D12360" i="1"/>
  <c r="G12360" i="1"/>
  <c r="B21036" i="1"/>
  <c r="D21036" i="1"/>
  <c r="G21036" i="1"/>
  <c r="B20054" i="1"/>
  <c r="D20054" i="1"/>
  <c r="G20054" i="1"/>
  <c r="B483" i="1"/>
  <c r="D483" i="1"/>
  <c r="G483" i="1"/>
  <c r="B10426" i="1"/>
  <c r="D10426" i="1"/>
  <c r="G10426" i="1"/>
  <c r="B17650" i="1"/>
  <c r="D17650" i="1"/>
  <c r="G17650" i="1"/>
  <c r="B11958" i="1"/>
  <c r="D11958" i="1"/>
  <c r="G11958" i="1"/>
  <c r="B11653" i="1"/>
  <c r="D11653" i="1"/>
  <c r="G11653" i="1"/>
  <c r="B11489" i="1"/>
  <c r="D11489" i="1"/>
  <c r="G11489" i="1"/>
  <c r="B11086" i="1"/>
  <c r="D11086" i="1"/>
  <c r="G11086" i="1"/>
  <c r="B11959" i="1"/>
  <c r="D11959" i="1"/>
  <c r="G11959" i="1"/>
  <c r="B9357" i="1"/>
  <c r="D9357" i="1"/>
  <c r="G9357" i="1"/>
  <c r="B19425" i="1"/>
  <c r="D19425" i="1"/>
  <c r="G19425" i="1"/>
  <c r="B10726" i="1"/>
  <c r="D10726" i="1"/>
  <c r="G10726" i="1"/>
  <c r="B484" i="1"/>
  <c r="D484" i="1"/>
  <c r="G484" i="1"/>
  <c r="B5585" i="1"/>
  <c r="D5585" i="1"/>
  <c r="G5585" i="1"/>
  <c r="B11960" i="1"/>
  <c r="D11960" i="1"/>
  <c r="G11960" i="1"/>
  <c r="B11371" i="1"/>
  <c r="D11371" i="1"/>
  <c r="G11371" i="1"/>
  <c r="B20163" i="1"/>
  <c r="D20163" i="1"/>
  <c r="G20163" i="1"/>
  <c r="B8657" i="1"/>
  <c r="D8657" i="1"/>
  <c r="G8657" i="1"/>
  <c r="B9161" i="1"/>
  <c r="D9161" i="1"/>
  <c r="G9161" i="1"/>
  <c r="B20273" i="1"/>
  <c r="D20273" i="1"/>
  <c r="G20273" i="1"/>
  <c r="B20368" i="1"/>
  <c r="D20368" i="1"/>
  <c r="G20368" i="1"/>
  <c r="B7061" i="1"/>
  <c r="D7061" i="1"/>
  <c r="G7061" i="1"/>
  <c r="B20274" i="1"/>
  <c r="D20274" i="1"/>
  <c r="G20274" i="1"/>
  <c r="B10427" i="1"/>
  <c r="D10427" i="1"/>
  <c r="G10427" i="1"/>
  <c r="B16307" i="1"/>
  <c r="D16307" i="1"/>
  <c r="G16307" i="1"/>
  <c r="B14939" i="1"/>
  <c r="D14939" i="1"/>
  <c r="G14939" i="1"/>
  <c r="B11087" i="1"/>
  <c r="D11087" i="1"/>
  <c r="G11087" i="1"/>
  <c r="B5586" i="1"/>
  <c r="D5586" i="1"/>
  <c r="G5586" i="1"/>
  <c r="B15404" i="1"/>
  <c r="D15404" i="1"/>
  <c r="G15404" i="1"/>
  <c r="B10727" i="1"/>
  <c r="D10727" i="1"/>
  <c r="G10727" i="1"/>
  <c r="B21037" i="1"/>
  <c r="D21037" i="1"/>
  <c r="G21037" i="1"/>
  <c r="B12372" i="1"/>
  <c r="D12372" i="1"/>
  <c r="G12372" i="1"/>
  <c r="B10207" i="1"/>
  <c r="D10207" i="1"/>
  <c r="G10207" i="1"/>
  <c r="B16308" i="1"/>
  <c r="D16308" i="1"/>
  <c r="G16308" i="1"/>
  <c r="B11961" i="1"/>
  <c r="D11961" i="1"/>
  <c r="G11961" i="1"/>
  <c r="B20544" i="1"/>
  <c r="D20544" i="1"/>
  <c r="G20544" i="1"/>
  <c r="B10339" i="1"/>
  <c r="D10339" i="1"/>
  <c r="G10339" i="1"/>
  <c r="B10728" i="1"/>
  <c r="D10728" i="1"/>
  <c r="G10728" i="1"/>
  <c r="B7402" i="1"/>
  <c r="D7402" i="1"/>
  <c r="G7402" i="1"/>
  <c r="B21503" i="1"/>
  <c r="D21503" i="1"/>
  <c r="G21503" i="1"/>
  <c r="B21038" i="1"/>
  <c r="D21038" i="1"/>
  <c r="G21038" i="1"/>
  <c r="B7038" i="1"/>
  <c r="D7038" i="1"/>
  <c r="G7038" i="1"/>
  <c r="B9608" i="1"/>
  <c r="D9608" i="1"/>
  <c r="G9608" i="1"/>
  <c r="B9609" i="1"/>
  <c r="D9609" i="1"/>
  <c r="G9609" i="1"/>
  <c r="B19818" i="1"/>
  <c r="D19818" i="1"/>
  <c r="G19818" i="1"/>
  <c r="B9610" i="1"/>
  <c r="D9610" i="1"/>
  <c r="G9610" i="1"/>
  <c r="B9611" i="1"/>
  <c r="D9611" i="1"/>
  <c r="G9611" i="1"/>
  <c r="B21862" i="1"/>
  <c r="D21862" i="1"/>
  <c r="G21862" i="1"/>
  <c r="B2112" i="1"/>
  <c r="D2112" i="1"/>
  <c r="G2112" i="1"/>
  <c r="B21504" i="1"/>
  <c r="D21504" i="1"/>
  <c r="G21504" i="1"/>
  <c r="B13195" i="1"/>
  <c r="D13195" i="1"/>
  <c r="G13195" i="1"/>
  <c r="B13140" i="1"/>
  <c r="D13140" i="1"/>
  <c r="G13140" i="1"/>
  <c r="B10340" i="1"/>
  <c r="D10340" i="1"/>
  <c r="G10340" i="1"/>
  <c r="B10729" i="1"/>
  <c r="D10729" i="1"/>
  <c r="G10729" i="1"/>
  <c r="B9358" i="1"/>
  <c r="D9358" i="1"/>
  <c r="G9358" i="1"/>
  <c r="B11962" i="1"/>
  <c r="D11962" i="1"/>
  <c r="G11962" i="1"/>
  <c r="B20118" i="1"/>
  <c r="D20118" i="1"/>
  <c r="G20118" i="1"/>
  <c r="B21667" i="1"/>
  <c r="D21667" i="1"/>
  <c r="G21667" i="1"/>
  <c r="B6922" i="1"/>
  <c r="D6922" i="1"/>
  <c r="G6922" i="1"/>
  <c r="B13034" i="1"/>
  <c r="D13034" i="1"/>
  <c r="G13034" i="1"/>
  <c r="B21795" i="1"/>
  <c r="D21795" i="1"/>
  <c r="G21795" i="1"/>
  <c r="B6713" i="1"/>
  <c r="D6713" i="1"/>
  <c r="G6713" i="1"/>
  <c r="B21039" i="1"/>
  <c r="D21039" i="1"/>
  <c r="G21039" i="1"/>
  <c r="B5814" i="1"/>
  <c r="D5814" i="1"/>
  <c r="G5814" i="1"/>
  <c r="B16309" i="1"/>
  <c r="D16309" i="1"/>
  <c r="G16309" i="1"/>
  <c r="B2575" i="1"/>
  <c r="D2575" i="1"/>
  <c r="G2575" i="1"/>
  <c r="B12962" i="1"/>
  <c r="D12962" i="1"/>
  <c r="G12962" i="1"/>
  <c r="B18345" i="1"/>
  <c r="D18345" i="1"/>
  <c r="G18345" i="1"/>
  <c r="B13141" i="1"/>
  <c r="D13141" i="1"/>
  <c r="G13141" i="1"/>
  <c r="B9612" i="1"/>
  <c r="D9612" i="1"/>
  <c r="G9612" i="1"/>
  <c r="B6714" i="1"/>
  <c r="D6714" i="1"/>
  <c r="G6714" i="1"/>
  <c r="B13015" i="1"/>
  <c r="D13015" i="1"/>
  <c r="G13015" i="1"/>
  <c r="B10341" i="1"/>
  <c r="D10341" i="1"/>
  <c r="G10341" i="1"/>
  <c r="B10428" i="1"/>
  <c r="D10428" i="1"/>
  <c r="G10428" i="1"/>
  <c r="B9218" i="1"/>
  <c r="D9218" i="1"/>
  <c r="G9218" i="1"/>
  <c r="B14049" i="1"/>
  <c r="D14049" i="1"/>
  <c r="G14049" i="1"/>
  <c r="B11963" i="1"/>
  <c r="D11963" i="1"/>
  <c r="G11963" i="1"/>
  <c r="B9219" i="1"/>
  <c r="D9219" i="1"/>
  <c r="G9219" i="1"/>
  <c r="B20069" i="1"/>
  <c r="D20069" i="1"/>
  <c r="G20069" i="1"/>
  <c r="B9220" i="1"/>
  <c r="D9220" i="1"/>
  <c r="G9220" i="1"/>
  <c r="B19426" i="1"/>
  <c r="D19426" i="1"/>
  <c r="G19426" i="1"/>
  <c r="B10730" i="1"/>
  <c r="D10730" i="1"/>
  <c r="G10730" i="1"/>
  <c r="B11088" i="1"/>
  <c r="D11088" i="1"/>
  <c r="G11088" i="1"/>
  <c r="B16310" i="1"/>
  <c r="D16310" i="1"/>
  <c r="G16310" i="1"/>
  <c r="B13035" i="1"/>
  <c r="D13035" i="1"/>
  <c r="G13035" i="1"/>
  <c r="B7676" i="1"/>
  <c r="D7676" i="1"/>
  <c r="G7676" i="1"/>
  <c r="B7677" i="1"/>
  <c r="D7677" i="1"/>
  <c r="G7677" i="1"/>
  <c r="B11964" i="1"/>
  <c r="D11964" i="1"/>
  <c r="G11964" i="1"/>
  <c r="B20055" i="1"/>
  <c r="D20055" i="1"/>
  <c r="G20055" i="1"/>
  <c r="B9221" i="1"/>
  <c r="D9221" i="1"/>
  <c r="G9221" i="1"/>
  <c r="B13260" i="1"/>
  <c r="D13260" i="1"/>
  <c r="G13260" i="1"/>
  <c r="B10731" i="1"/>
  <c r="D10731" i="1"/>
  <c r="G10731" i="1"/>
  <c r="B11089" i="1"/>
  <c r="D11089" i="1"/>
  <c r="G11089" i="1"/>
  <c r="B1374" i="1"/>
  <c r="D1374" i="1"/>
  <c r="G1374" i="1"/>
  <c r="B20275" i="1"/>
  <c r="D20275" i="1"/>
  <c r="G20275" i="1"/>
  <c r="B20233" i="1"/>
  <c r="D20233" i="1"/>
  <c r="G20233" i="1"/>
  <c r="B22009" i="1"/>
  <c r="D22009" i="1"/>
  <c r="G22009" i="1"/>
  <c r="B11490" i="1"/>
  <c r="D11490" i="1"/>
  <c r="G11490" i="1"/>
  <c r="B19427" i="1"/>
  <c r="D19427" i="1"/>
  <c r="G19427" i="1"/>
  <c r="B10342" i="1"/>
  <c r="D10342" i="1"/>
  <c r="G10342" i="1"/>
  <c r="B10429" i="1"/>
  <c r="D10429" i="1"/>
  <c r="G10429" i="1"/>
  <c r="B10732" i="1"/>
  <c r="D10732" i="1"/>
  <c r="G10732" i="1"/>
  <c r="B11090" i="1"/>
  <c r="D11090" i="1"/>
  <c r="G11090" i="1"/>
  <c r="B11965" i="1"/>
  <c r="D11965" i="1"/>
  <c r="G11965" i="1"/>
  <c r="B13036" i="1"/>
  <c r="D13036" i="1"/>
  <c r="G13036" i="1"/>
  <c r="B13375" i="1"/>
  <c r="D13375" i="1"/>
  <c r="G13375" i="1"/>
  <c r="B5587" i="1"/>
  <c r="D5587" i="1"/>
  <c r="G5587" i="1"/>
  <c r="B11966" i="1"/>
  <c r="D11966" i="1"/>
  <c r="G11966" i="1"/>
  <c r="B2197" i="1"/>
  <c r="D2197" i="1"/>
  <c r="G2197" i="1"/>
  <c r="B21040" i="1"/>
  <c r="D21040" i="1"/>
  <c r="G21040" i="1"/>
  <c r="B20369" i="1"/>
  <c r="D20369" i="1"/>
  <c r="G20369" i="1"/>
  <c r="B20276" i="1"/>
  <c r="D20276" i="1"/>
  <c r="G20276" i="1"/>
  <c r="B20234" i="1"/>
  <c r="D20234" i="1"/>
  <c r="G20234" i="1"/>
  <c r="B17368" i="1"/>
  <c r="D17368" i="1"/>
  <c r="G17368" i="1"/>
  <c r="B17369" i="1"/>
  <c r="D17369" i="1"/>
  <c r="G17369" i="1"/>
  <c r="B22010" i="1"/>
  <c r="D22010" i="1"/>
  <c r="G22010" i="1"/>
  <c r="B11967" i="1"/>
  <c r="D11967" i="1"/>
  <c r="G11967" i="1"/>
  <c r="B13142" i="1"/>
  <c r="D13142" i="1"/>
  <c r="G13142" i="1"/>
  <c r="B11091" i="1"/>
  <c r="D11091" i="1"/>
  <c r="G11091" i="1"/>
  <c r="B10430" i="1"/>
  <c r="D10430" i="1"/>
  <c r="G10430" i="1"/>
  <c r="B21436" i="1"/>
  <c r="D21436" i="1"/>
  <c r="G21436" i="1"/>
  <c r="B10733" i="1"/>
  <c r="D10733" i="1"/>
  <c r="G10733" i="1"/>
  <c r="B11092" i="1"/>
  <c r="D11092" i="1"/>
  <c r="G11092" i="1"/>
  <c r="B21863" i="1"/>
  <c r="D21863" i="1"/>
  <c r="G21863" i="1"/>
  <c r="B11968" i="1"/>
  <c r="D11968" i="1"/>
  <c r="G11968" i="1"/>
  <c r="B20164" i="1"/>
  <c r="D20164" i="1"/>
  <c r="G20164" i="1"/>
  <c r="B12793" i="1"/>
  <c r="D12793" i="1"/>
  <c r="G12793" i="1"/>
  <c r="B22365" i="1"/>
  <c r="D22365" i="1"/>
  <c r="G22365" i="1"/>
  <c r="B19819" i="1"/>
  <c r="D19819" i="1"/>
  <c r="G19819" i="1"/>
  <c r="B20099" i="1"/>
  <c r="D20099" i="1"/>
  <c r="G20099" i="1"/>
  <c r="B20545" i="1"/>
  <c r="D20545" i="1"/>
  <c r="G20545" i="1"/>
  <c r="B20109" i="1"/>
  <c r="D20109" i="1"/>
  <c r="G20109" i="1"/>
  <c r="B13037" i="1"/>
  <c r="D13037" i="1"/>
  <c r="G13037" i="1"/>
  <c r="B21668" i="1"/>
  <c r="D21668" i="1"/>
  <c r="G21668" i="1"/>
  <c r="B21796" i="1"/>
  <c r="D21796" i="1"/>
  <c r="G21796" i="1"/>
  <c r="B11969" i="1"/>
  <c r="D11969" i="1"/>
  <c r="G11969" i="1"/>
  <c r="B13038" i="1"/>
  <c r="D13038" i="1"/>
  <c r="G13038" i="1"/>
  <c r="B13216" i="1"/>
  <c r="D13216" i="1"/>
  <c r="G13216" i="1"/>
  <c r="B17273" i="1"/>
  <c r="D17273" i="1"/>
  <c r="G17273" i="1"/>
  <c r="B8658" i="1"/>
  <c r="D8658" i="1"/>
  <c r="G8658" i="1"/>
  <c r="B21797" i="1"/>
  <c r="D21797" i="1"/>
  <c r="G21797" i="1"/>
  <c r="B21041" i="1"/>
  <c r="D21041" i="1"/>
  <c r="G21041" i="1"/>
  <c r="B10734" i="1"/>
  <c r="D10734" i="1"/>
  <c r="G10734" i="1"/>
  <c r="B15405" i="1"/>
  <c r="D15405" i="1"/>
  <c r="G15405" i="1"/>
  <c r="B10343" i="1"/>
  <c r="D10343" i="1"/>
  <c r="G10343" i="1"/>
  <c r="B13143" i="1"/>
  <c r="D13143" i="1"/>
  <c r="G13143" i="1"/>
  <c r="B21042" i="1"/>
  <c r="D21042" i="1"/>
  <c r="G21042" i="1"/>
  <c r="B11093" i="1"/>
  <c r="D11093" i="1"/>
  <c r="G11093" i="1"/>
  <c r="B10431" i="1"/>
  <c r="D10431" i="1"/>
  <c r="G10431" i="1"/>
  <c r="B21847" i="1"/>
  <c r="D21847" i="1"/>
  <c r="G21847" i="1"/>
  <c r="B2113" i="1"/>
  <c r="D2113" i="1"/>
  <c r="G2113" i="1"/>
  <c r="B20758" i="1"/>
  <c r="D20758" i="1"/>
  <c r="G20758" i="1"/>
  <c r="B11970" i="1"/>
  <c r="D11970" i="1"/>
  <c r="G11970" i="1"/>
  <c r="B17370" i="1"/>
  <c r="D17370" i="1"/>
  <c r="G17370" i="1"/>
  <c r="B21437" i="1"/>
  <c r="D21437" i="1"/>
  <c r="G21437" i="1"/>
  <c r="B10079" i="1"/>
  <c r="D10079" i="1"/>
  <c r="G10079" i="1"/>
  <c r="B12646" i="1"/>
  <c r="D12646" i="1"/>
  <c r="G12646" i="1"/>
  <c r="B12464" i="1"/>
  <c r="D12464" i="1"/>
  <c r="G12464" i="1"/>
  <c r="B10152" i="1"/>
  <c r="D10152" i="1"/>
  <c r="G10152" i="1"/>
  <c r="B13205" i="1"/>
  <c r="D13205" i="1"/>
  <c r="G13205" i="1"/>
  <c r="B21864" i="1"/>
  <c r="D21864" i="1"/>
  <c r="G21864" i="1"/>
  <c r="B21043" i="1"/>
  <c r="D21043" i="1"/>
  <c r="G21043" i="1"/>
  <c r="B10432" i="1"/>
  <c r="D10432" i="1"/>
  <c r="G10432" i="1"/>
  <c r="B12647" i="1"/>
  <c r="D12647" i="1"/>
  <c r="G12647" i="1"/>
  <c r="B12465" i="1"/>
  <c r="D12465" i="1"/>
  <c r="G12465" i="1"/>
  <c r="B13777" i="1"/>
  <c r="D13777" i="1"/>
  <c r="G13777" i="1"/>
  <c r="B19820" i="1"/>
  <c r="D19820" i="1"/>
  <c r="G19820" i="1"/>
  <c r="B13039" i="1"/>
  <c r="D13039" i="1"/>
  <c r="G13039" i="1"/>
  <c r="B14704" i="1"/>
  <c r="D14704" i="1"/>
  <c r="G14704" i="1"/>
  <c r="B10433" i="1"/>
  <c r="D10433" i="1"/>
  <c r="G10433" i="1"/>
  <c r="B21669" i="1"/>
  <c r="D21669" i="1"/>
  <c r="G21669" i="1"/>
  <c r="B21647" i="1"/>
  <c r="D21647" i="1"/>
  <c r="G21647" i="1"/>
  <c r="B21425" i="1"/>
  <c r="D21425" i="1"/>
  <c r="G21425" i="1"/>
  <c r="B11372" i="1"/>
  <c r="D11372" i="1"/>
  <c r="G11372" i="1"/>
  <c r="B21505" i="1"/>
  <c r="D21505" i="1"/>
  <c r="G21505" i="1"/>
  <c r="B3858" i="1"/>
  <c r="D3858" i="1"/>
  <c r="G3858" i="1"/>
  <c r="B11868" i="1"/>
  <c r="D11868" i="1"/>
  <c r="G11868" i="1"/>
  <c r="B11869" i="1"/>
  <c r="D11869" i="1"/>
  <c r="G11869" i="1"/>
  <c r="B21798" i="1"/>
  <c r="D21798" i="1"/>
  <c r="G21798" i="1"/>
  <c r="B13261" i="1"/>
  <c r="D13261" i="1"/>
  <c r="G13261" i="1"/>
  <c r="B21044" i="1"/>
  <c r="D21044" i="1"/>
  <c r="G21044" i="1"/>
  <c r="B10735" i="1"/>
  <c r="D10735" i="1"/>
  <c r="G10735" i="1"/>
  <c r="B15406" i="1"/>
  <c r="D15406" i="1"/>
  <c r="G15406" i="1"/>
  <c r="B3786" i="1"/>
  <c r="D3786" i="1"/>
  <c r="G3786" i="1"/>
  <c r="B11764" i="1"/>
  <c r="D11764" i="1"/>
  <c r="G11764" i="1"/>
  <c r="B21648" i="1"/>
  <c r="D21648" i="1"/>
  <c r="G21648" i="1"/>
  <c r="B14940" i="1"/>
  <c r="D14940" i="1"/>
  <c r="G14940" i="1"/>
  <c r="B13936" i="1"/>
  <c r="D13936" i="1"/>
  <c r="G13936" i="1"/>
  <c r="B12648" i="1"/>
  <c r="D12648" i="1"/>
  <c r="G12648" i="1"/>
  <c r="B12466" i="1"/>
  <c r="D12466" i="1"/>
  <c r="G12466" i="1"/>
  <c r="B20119" i="1"/>
  <c r="D20119" i="1"/>
  <c r="G20119" i="1"/>
  <c r="B13040" i="1"/>
  <c r="D13040" i="1"/>
  <c r="G13040" i="1"/>
  <c r="B11971" i="1"/>
  <c r="D11971" i="1"/>
  <c r="G11971" i="1"/>
  <c r="B12467" i="1"/>
  <c r="D12467" i="1"/>
  <c r="G12467" i="1"/>
  <c r="B10736" i="1"/>
  <c r="D10736" i="1"/>
  <c r="G10736" i="1"/>
  <c r="B17029" i="1"/>
  <c r="D17029" i="1"/>
  <c r="G17029" i="1"/>
  <c r="B2096" i="1"/>
  <c r="D2096" i="1"/>
  <c r="G2096" i="1"/>
  <c r="B13980" i="1"/>
  <c r="D13980" i="1"/>
  <c r="G13980" i="1"/>
  <c r="B12468" i="1"/>
  <c r="D12468" i="1"/>
  <c r="G12468" i="1"/>
  <c r="B12469" i="1"/>
  <c r="D12469" i="1"/>
  <c r="G12469" i="1"/>
  <c r="B14338" i="1"/>
  <c r="D14338" i="1"/>
  <c r="G14338" i="1"/>
  <c r="B10259" i="1"/>
  <c r="D10259" i="1"/>
  <c r="G10259" i="1"/>
  <c r="B13597" i="1"/>
  <c r="D13597" i="1"/>
  <c r="G13597" i="1"/>
  <c r="B13041" i="1"/>
  <c r="D13041" i="1"/>
  <c r="G13041" i="1"/>
  <c r="B17651" i="1"/>
  <c r="D17651" i="1"/>
  <c r="G17651" i="1"/>
  <c r="B14705" i="1"/>
  <c r="D14705" i="1"/>
  <c r="G14705" i="1"/>
  <c r="B14596" i="1"/>
  <c r="D14596" i="1"/>
  <c r="G14596" i="1"/>
  <c r="B12470" i="1"/>
  <c r="D12470" i="1"/>
  <c r="G12470" i="1"/>
  <c r="B13432" i="1"/>
  <c r="D13432" i="1"/>
  <c r="G13432" i="1"/>
  <c r="B11972" i="1"/>
  <c r="D11972" i="1"/>
  <c r="G11972" i="1"/>
  <c r="B21045" i="1"/>
  <c r="D21045" i="1"/>
  <c r="G21045" i="1"/>
  <c r="B21865" i="1"/>
  <c r="D21865" i="1"/>
  <c r="G21865" i="1"/>
  <c r="B21506" i="1"/>
  <c r="D21506" i="1"/>
  <c r="G21506" i="1"/>
  <c r="B13262" i="1"/>
  <c r="D13262" i="1"/>
  <c r="G13262" i="1"/>
  <c r="B10434" i="1"/>
  <c r="D10434" i="1"/>
  <c r="G10434" i="1"/>
  <c r="B17652" i="1"/>
  <c r="D17652" i="1"/>
  <c r="G17652" i="1"/>
  <c r="B81" i="1"/>
  <c r="D81" i="1"/>
  <c r="G81" i="1"/>
  <c r="B18426" i="1"/>
  <c r="D18426" i="1"/>
  <c r="G18426" i="1"/>
  <c r="B11491" i="1"/>
  <c r="D11491" i="1"/>
  <c r="G11491" i="1"/>
  <c r="B11492" i="1"/>
  <c r="D11492" i="1"/>
  <c r="G11492" i="1"/>
  <c r="B14266" i="1"/>
  <c r="D14266" i="1"/>
  <c r="G14266" i="1"/>
  <c r="E22601" i="1"/>
  <c r="B14003" i="1"/>
  <c r="D14003" i="1"/>
  <c r="G14003" i="1"/>
  <c r="B14581" i="1"/>
  <c r="D14581" i="1"/>
  <c r="G14581" i="1"/>
  <c r="B14597" i="1"/>
  <c r="D14597" i="1"/>
  <c r="G14597" i="1"/>
  <c r="B14941" i="1"/>
  <c r="D14941" i="1"/>
  <c r="G14941" i="1"/>
  <c r="B14169" i="1"/>
  <c r="D14169" i="1"/>
  <c r="G14169" i="1"/>
  <c r="B15407" i="1"/>
  <c r="D15407" i="1"/>
  <c r="G15407" i="1"/>
  <c r="B14776" i="1"/>
  <c r="D14776" i="1"/>
  <c r="G14776" i="1"/>
  <c r="B14706" i="1"/>
  <c r="D14706" i="1"/>
  <c r="G14706" i="1"/>
  <c r="B21799" i="1"/>
  <c r="D21799" i="1"/>
  <c r="G21799" i="1"/>
  <c r="B12794" i="1"/>
  <c r="D12794" i="1"/>
  <c r="G12794" i="1"/>
  <c r="B10435" i="1"/>
  <c r="D10435" i="1"/>
  <c r="G10435" i="1"/>
  <c r="B10436" i="1"/>
  <c r="D10436" i="1"/>
  <c r="G10436" i="1"/>
  <c r="B10737" i="1"/>
  <c r="D10737" i="1"/>
  <c r="G10737" i="1"/>
  <c r="B10738" i="1"/>
  <c r="D10738" i="1"/>
  <c r="G10738" i="1"/>
  <c r="B10739" i="1"/>
  <c r="D10739" i="1"/>
  <c r="G10739" i="1"/>
  <c r="B12471" i="1"/>
  <c r="D12471" i="1"/>
  <c r="G12471" i="1"/>
  <c r="B10740" i="1"/>
  <c r="D10740" i="1"/>
  <c r="G10740" i="1"/>
  <c r="B12472" i="1"/>
  <c r="D12472" i="1"/>
  <c r="G12472" i="1"/>
  <c r="B19428" i="1"/>
  <c r="D19428" i="1"/>
  <c r="G19428" i="1"/>
  <c r="B11973" i="1"/>
  <c r="D11973" i="1"/>
  <c r="G11973" i="1"/>
  <c r="B14184" i="1"/>
  <c r="D14184" i="1"/>
  <c r="G14184" i="1"/>
  <c r="B11493" i="1"/>
  <c r="D11493" i="1"/>
  <c r="G11493" i="1"/>
  <c r="B20759" i="1"/>
  <c r="D20759" i="1"/>
  <c r="G20759" i="1"/>
  <c r="B19146" i="1"/>
  <c r="D19146" i="1"/>
  <c r="G19146" i="1"/>
  <c r="B14598" i="1"/>
  <c r="D14598" i="1"/>
  <c r="G14598" i="1"/>
  <c r="B11974" i="1"/>
  <c r="D11974" i="1"/>
  <c r="G11974" i="1"/>
  <c r="B11975" i="1"/>
  <c r="D11975" i="1"/>
  <c r="G11975" i="1"/>
  <c r="B11870" i="1"/>
  <c r="D11870" i="1"/>
  <c r="G11870" i="1"/>
  <c r="B14599" i="1"/>
  <c r="D14599" i="1"/>
  <c r="G14599" i="1"/>
  <c r="B11373" i="1"/>
  <c r="D11373" i="1"/>
  <c r="G11373" i="1"/>
  <c r="B13915" i="1"/>
  <c r="D13915" i="1"/>
  <c r="G13915" i="1"/>
  <c r="B21046" i="1"/>
  <c r="D21046" i="1"/>
  <c r="G21046" i="1"/>
  <c r="B13042" i="1"/>
  <c r="D13042" i="1"/>
  <c r="G13042" i="1"/>
  <c r="B10437" i="1"/>
  <c r="D10437" i="1"/>
  <c r="G10437" i="1"/>
  <c r="B2114" i="1"/>
  <c r="D2114" i="1"/>
  <c r="G2114" i="1"/>
  <c r="B4146" i="1"/>
  <c r="D4146" i="1"/>
  <c r="G4146" i="1"/>
  <c r="B11976" i="1"/>
  <c r="D11976" i="1"/>
  <c r="G11976" i="1"/>
  <c r="B11094" i="1"/>
  <c r="D11094" i="1"/>
  <c r="G11094" i="1"/>
  <c r="B18166" i="1"/>
  <c r="D18166" i="1"/>
  <c r="G18166" i="1"/>
  <c r="B10741" i="1"/>
  <c r="D10741" i="1"/>
  <c r="G10741" i="1"/>
  <c r="B2269" i="1"/>
  <c r="D2269" i="1"/>
  <c r="G2269" i="1"/>
  <c r="B5988" i="1"/>
  <c r="D5988" i="1"/>
  <c r="G5988" i="1"/>
  <c r="B14474" i="1"/>
  <c r="D14474" i="1"/>
  <c r="G14474" i="1"/>
  <c r="B21507" i="1"/>
  <c r="D21507" i="1"/>
  <c r="G21507" i="1"/>
  <c r="B17063" i="1"/>
  <c r="D17063" i="1"/>
  <c r="G17063" i="1"/>
  <c r="B11977" i="1"/>
  <c r="D11977" i="1"/>
  <c r="G11977" i="1"/>
  <c r="B10260" i="1"/>
  <c r="D10260" i="1"/>
  <c r="G10260" i="1"/>
  <c r="B14535" i="1"/>
  <c r="D14535" i="1"/>
  <c r="G14535" i="1"/>
  <c r="B15408" i="1"/>
  <c r="D15408" i="1"/>
  <c r="G15408" i="1"/>
  <c r="B15858" i="1"/>
  <c r="D15858" i="1"/>
  <c r="G15858" i="1"/>
  <c r="B15786" i="1"/>
  <c r="D15786" i="1"/>
  <c r="G15786" i="1"/>
  <c r="B14267" i="1"/>
  <c r="D14267" i="1"/>
  <c r="G14267" i="1"/>
  <c r="B22011" i="1"/>
  <c r="D22011" i="1"/>
  <c r="G22011" i="1"/>
  <c r="B14600" i="1"/>
  <c r="D14600" i="1"/>
  <c r="G14600" i="1"/>
  <c r="B14942" i="1"/>
  <c r="D14942" i="1"/>
  <c r="G14942" i="1"/>
  <c r="B14707" i="1"/>
  <c r="D14707" i="1"/>
  <c r="G14707" i="1"/>
  <c r="B13263" i="1"/>
  <c r="D13263" i="1"/>
  <c r="G13263" i="1"/>
  <c r="B12795" i="1"/>
  <c r="D12795" i="1"/>
  <c r="G12795" i="1"/>
  <c r="B2523" i="1"/>
  <c r="D2523" i="1"/>
  <c r="G2523" i="1"/>
  <c r="B13820" i="1"/>
  <c r="D13820" i="1"/>
  <c r="G13820" i="1"/>
  <c r="B9359" i="1"/>
  <c r="D9359" i="1"/>
  <c r="G9359" i="1"/>
  <c r="B17653" i="1"/>
  <c r="D17653" i="1"/>
  <c r="G17653" i="1"/>
  <c r="B17064" i="1"/>
  <c r="D17064" i="1"/>
  <c r="G17064" i="1"/>
  <c r="B14943" i="1"/>
  <c r="D14943" i="1"/>
  <c r="G14943" i="1"/>
  <c r="B15700" i="1"/>
  <c r="D15700" i="1"/>
  <c r="G15700" i="1"/>
  <c r="B12473" i="1"/>
  <c r="D12473" i="1"/>
  <c r="G12473" i="1"/>
  <c r="B12474" i="1"/>
  <c r="D12474" i="1"/>
  <c r="G12474" i="1"/>
  <c r="B13043" i="1"/>
  <c r="D13043" i="1"/>
  <c r="G13043" i="1"/>
  <c r="B14806" i="1"/>
  <c r="D14806" i="1"/>
  <c r="G14806" i="1"/>
  <c r="B10344" i="1"/>
  <c r="D10344" i="1"/>
  <c r="G10344" i="1"/>
  <c r="B10742" i="1"/>
  <c r="D10742" i="1"/>
  <c r="G10742" i="1"/>
  <c r="B13264" i="1"/>
  <c r="D13264" i="1"/>
  <c r="G13264" i="1"/>
  <c r="B20760" i="1"/>
  <c r="D20760" i="1"/>
  <c r="G20760" i="1"/>
  <c r="B18812" i="1"/>
  <c r="D18812" i="1"/>
  <c r="G18812" i="1"/>
  <c r="B12796" i="1"/>
  <c r="D12796" i="1"/>
  <c r="G12796" i="1"/>
  <c r="B16002" i="1"/>
  <c r="D16002" i="1"/>
  <c r="G16002" i="1"/>
  <c r="B16311" i="1"/>
  <c r="D16311" i="1"/>
  <c r="G16311" i="1"/>
  <c r="B12475" i="1"/>
  <c r="D12475" i="1"/>
  <c r="G12475" i="1"/>
  <c r="B12476" i="1"/>
  <c r="D12476" i="1"/>
  <c r="G12476" i="1"/>
  <c r="B16312" i="1"/>
  <c r="D16312" i="1"/>
  <c r="G16312" i="1"/>
  <c r="B14201" i="1"/>
  <c r="D14201" i="1"/>
  <c r="G14201" i="1"/>
  <c r="B21508" i="1"/>
  <c r="D21508" i="1"/>
  <c r="G21508" i="1"/>
  <c r="B21047" i="1"/>
  <c r="D21047" i="1"/>
  <c r="G21047" i="1"/>
  <c r="B14944" i="1"/>
  <c r="D14944" i="1"/>
  <c r="G14944" i="1"/>
  <c r="B2576" i="1"/>
  <c r="D2576" i="1"/>
  <c r="G2576" i="1"/>
  <c r="B12797" i="1"/>
  <c r="D12797" i="1"/>
  <c r="G12797" i="1"/>
  <c r="B12932" i="1"/>
  <c r="D12932" i="1"/>
  <c r="G12932" i="1"/>
  <c r="B16313" i="1"/>
  <c r="D16313" i="1"/>
  <c r="G16313" i="1"/>
  <c r="B13265" i="1"/>
  <c r="D13265" i="1"/>
  <c r="G13265" i="1"/>
  <c r="B13044" i="1"/>
  <c r="D13044" i="1"/>
  <c r="G13044" i="1"/>
  <c r="B12477" i="1"/>
  <c r="D12477" i="1"/>
  <c r="G12477" i="1"/>
  <c r="B12478" i="1"/>
  <c r="D12478" i="1"/>
  <c r="G12478" i="1"/>
  <c r="B16082" i="1"/>
  <c r="D16082" i="1"/>
  <c r="G16082" i="1"/>
  <c r="B14536" i="1"/>
  <c r="D14536" i="1"/>
  <c r="G14536" i="1"/>
  <c r="B18427" i="1"/>
  <c r="D18427" i="1"/>
  <c r="G18427" i="1"/>
  <c r="B15859" i="1"/>
  <c r="D15859" i="1"/>
  <c r="G15859" i="1"/>
  <c r="B18813" i="1"/>
  <c r="D18813" i="1"/>
  <c r="G18813" i="1"/>
  <c r="B12479" i="1"/>
  <c r="D12479" i="1"/>
  <c r="G12479" i="1"/>
  <c r="B16314" i="1"/>
  <c r="D16314" i="1"/>
  <c r="G16314" i="1"/>
  <c r="B19429" i="1"/>
  <c r="D19429" i="1"/>
  <c r="G19429" i="1"/>
  <c r="B1375" i="1"/>
  <c r="D1375" i="1"/>
  <c r="G1375" i="1"/>
  <c r="B2190" i="1"/>
  <c r="D2190" i="1"/>
  <c r="G2190" i="1"/>
  <c r="B17654" i="1"/>
  <c r="D17654" i="1"/>
  <c r="G17654" i="1"/>
  <c r="B17655" i="1"/>
  <c r="D17655" i="1"/>
  <c r="G17655" i="1"/>
  <c r="B17065" i="1"/>
  <c r="D17065" i="1"/>
  <c r="G17065" i="1"/>
  <c r="B17305" i="1"/>
  <c r="D17305" i="1"/>
  <c r="G17305" i="1"/>
  <c r="B14823" i="1"/>
  <c r="D14823" i="1"/>
  <c r="G14823" i="1"/>
  <c r="B11494" i="1"/>
  <c r="D11494" i="1"/>
  <c r="G11494" i="1"/>
  <c r="B14945" i="1"/>
  <c r="D14945" i="1"/>
  <c r="G14945" i="1"/>
  <c r="B15409" i="1"/>
  <c r="D15409" i="1"/>
  <c r="G15409" i="1"/>
  <c r="B18077" i="1"/>
  <c r="D18077" i="1"/>
  <c r="G18077" i="1"/>
  <c r="B14946" i="1"/>
  <c r="D14946" i="1"/>
  <c r="G14946" i="1"/>
  <c r="B10438" i="1"/>
  <c r="D10438" i="1"/>
  <c r="G10438" i="1"/>
  <c r="B485" i="1"/>
  <c r="D485" i="1"/>
  <c r="G485" i="1"/>
  <c r="B16315" i="1"/>
  <c r="D16315" i="1"/>
  <c r="G16315" i="1"/>
  <c r="B13217" i="1"/>
  <c r="D13217" i="1"/>
  <c r="G13217" i="1"/>
  <c r="B17066" i="1"/>
  <c r="D17066" i="1"/>
  <c r="G17066" i="1"/>
  <c r="B17656" i="1"/>
  <c r="D17656" i="1"/>
  <c r="G17656" i="1"/>
  <c r="B10743" i="1"/>
  <c r="D10743" i="1"/>
  <c r="G10743" i="1"/>
  <c r="B11095" i="1"/>
  <c r="D11095" i="1"/>
  <c r="G11095" i="1"/>
  <c r="B18997" i="1"/>
  <c r="D18997" i="1"/>
  <c r="G18997" i="1"/>
  <c r="B14947" i="1"/>
  <c r="D14947" i="1"/>
  <c r="G14947" i="1"/>
  <c r="B17657" i="1"/>
  <c r="D17657" i="1"/>
  <c r="G17657" i="1"/>
  <c r="B12480" i="1"/>
  <c r="D12480" i="1"/>
  <c r="G12480" i="1"/>
  <c r="B14824" i="1"/>
  <c r="D14824" i="1"/>
  <c r="G14824" i="1"/>
  <c r="B4291" i="1"/>
  <c r="D4291" i="1"/>
  <c r="G4291" i="1"/>
  <c r="B16316" i="1"/>
  <c r="D16316" i="1"/>
  <c r="G16316" i="1"/>
  <c r="B12415" i="1"/>
  <c r="D12415" i="1"/>
  <c r="G12415" i="1"/>
  <c r="B3072" i="1"/>
  <c r="D3072" i="1"/>
  <c r="G3072" i="1"/>
  <c r="B16966" i="1"/>
  <c r="D16966" i="1"/>
  <c r="G16966" i="1"/>
  <c r="B20761" i="1"/>
  <c r="D20761" i="1"/>
  <c r="G20761" i="1"/>
  <c r="B14948" i="1"/>
  <c r="D14948" i="1"/>
  <c r="G14948" i="1"/>
  <c r="B19147" i="1"/>
  <c r="D19147" i="1"/>
  <c r="G19147" i="1"/>
  <c r="B17233" i="1"/>
  <c r="D17233" i="1"/>
  <c r="G17233" i="1"/>
  <c r="B12481" i="1"/>
  <c r="D12481" i="1"/>
  <c r="G12481" i="1"/>
  <c r="B12482" i="1"/>
  <c r="D12482" i="1"/>
  <c r="G12482" i="1"/>
  <c r="B2577" i="1"/>
  <c r="D2577" i="1"/>
  <c r="G2577" i="1"/>
  <c r="B22117" i="1"/>
  <c r="D22117" i="1"/>
  <c r="G22117" i="1"/>
  <c r="B13821" i="1"/>
  <c r="D13821" i="1"/>
  <c r="G13821" i="1"/>
  <c r="B2325" i="1"/>
  <c r="D2325" i="1"/>
  <c r="G2325" i="1"/>
  <c r="B2426" i="1"/>
  <c r="D2426" i="1"/>
  <c r="G2426" i="1"/>
  <c r="B17371" i="1"/>
  <c r="D17371" i="1"/>
  <c r="G17371" i="1"/>
  <c r="B17372" i="1"/>
  <c r="D17372" i="1"/>
  <c r="G17372" i="1"/>
  <c r="B17373" i="1"/>
  <c r="D17373" i="1"/>
  <c r="G17373" i="1"/>
  <c r="B3438" i="1"/>
  <c r="D3438" i="1"/>
  <c r="G3438" i="1"/>
  <c r="B3439" i="1"/>
  <c r="D3439" i="1"/>
  <c r="G3439" i="1"/>
  <c r="B16317" i="1"/>
  <c r="D16317" i="1"/>
  <c r="G16317" i="1"/>
  <c r="B3201" i="1"/>
  <c r="D3201" i="1"/>
  <c r="G3201" i="1"/>
  <c r="B11978" i="1"/>
  <c r="D11978" i="1"/>
  <c r="G11978" i="1"/>
  <c r="B19430" i="1"/>
  <c r="D19430" i="1"/>
  <c r="G19430" i="1"/>
  <c r="B12483" i="1"/>
  <c r="D12483" i="1"/>
  <c r="G12483" i="1"/>
  <c r="B1046" i="1"/>
  <c r="D1046" i="1"/>
  <c r="G1046" i="1"/>
  <c r="B12484" i="1"/>
  <c r="D12484" i="1"/>
  <c r="G12484" i="1"/>
  <c r="B12485" i="1"/>
  <c r="D12485" i="1"/>
  <c r="G12485" i="1"/>
  <c r="B16083" i="1"/>
  <c r="D16083" i="1"/>
  <c r="G16083" i="1"/>
  <c r="B12486" i="1"/>
  <c r="D12486" i="1"/>
  <c r="G12486" i="1"/>
  <c r="B12487" i="1"/>
  <c r="D12487" i="1"/>
  <c r="G12487" i="1"/>
  <c r="B18221" i="1"/>
  <c r="D18221" i="1"/>
  <c r="G18221" i="1"/>
  <c r="B21509" i="1"/>
  <c r="D21509" i="1"/>
  <c r="G21509" i="1"/>
  <c r="B19148" i="1"/>
  <c r="D19148" i="1"/>
  <c r="G19148" i="1"/>
  <c r="B18814" i="1"/>
  <c r="D18814" i="1"/>
  <c r="G18814" i="1"/>
  <c r="B17067" i="1"/>
  <c r="D17067" i="1"/>
  <c r="G17067" i="1"/>
  <c r="B19431" i="1"/>
  <c r="D19431" i="1"/>
  <c r="G19431" i="1"/>
  <c r="B18655" i="1"/>
  <c r="D18655" i="1"/>
  <c r="G18655" i="1"/>
  <c r="B16318" i="1"/>
  <c r="D16318" i="1"/>
  <c r="G16318" i="1"/>
  <c r="B16033" i="1"/>
  <c r="D16033" i="1"/>
  <c r="G16033" i="1"/>
  <c r="B12488" i="1"/>
  <c r="D12488" i="1"/>
  <c r="G12488" i="1"/>
  <c r="B12489" i="1"/>
  <c r="D12489" i="1"/>
  <c r="G12489" i="1"/>
  <c r="B20546" i="1"/>
  <c r="D20546" i="1"/>
  <c r="G20546" i="1"/>
  <c r="B1376" i="1"/>
  <c r="D1376" i="1"/>
  <c r="G1376" i="1"/>
  <c r="B4188" i="1"/>
  <c r="D4188" i="1"/>
  <c r="G4188" i="1"/>
  <c r="B16319" i="1"/>
  <c r="D16319" i="1"/>
  <c r="G16319" i="1"/>
  <c r="B19432" i="1"/>
  <c r="D19432" i="1"/>
  <c r="G19432" i="1"/>
  <c r="B2326" i="1"/>
  <c r="D2326" i="1"/>
  <c r="G2326" i="1"/>
  <c r="B14825" i="1"/>
  <c r="D14825" i="1"/>
  <c r="G14825" i="1"/>
  <c r="B18428" i="1"/>
  <c r="D18428" i="1"/>
  <c r="G18428" i="1"/>
  <c r="B185" i="1"/>
  <c r="D185" i="1"/>
  <c r="G185" i="1"/>
  <c r="B14433" i="1"/>
  <c r="D14433" i="1"/>
  <c r="G14433" i="1"/>
  <c r="B18998" i="1"/>
  <c r="D18998" i="1"/>
  <c r="G18998" i="1"/>
  <c r="B19149" i="1"/>
  <c r="D19149" i="1"/>
  <c r="G19149" i="1"/>
  <c r="B14949" i="1"/>
  <c r="D14949" i="1"/>
  <c r="G14949" i="1"/>
  <c r="B16320" i="1"/>
  <c r="D16320" i="1"/>
  <c r="G16320" i="1"/>
  <c r="B17068" i="1"/>
  <c r="D17068" i="1"/>
  <c r="G17068" i="1"/>
  <c r="B14950" i="1"/>
  <c r="D14950" i="1"/>
  <c r="G14950" i="1"/>
  <c r="B20762" i="1"/>
  <c r="D20762" i="1"/>
  <c r="G20762" i="1"/>
  <c r="B15860" i="1"/>
  <c r="D15860" i="1"/>
  <c r="G15860" i="1"/>
  <c r="B18815" i="1"/>
  <c r="D18815" i="1"/>
  <c r="G18815" i="1"/>
  <c r="B15410" i="1"/>
  <c r="D15410" i="1"/>
  <c r="G15410" i="1"/>
  <c r="B14951" i="1"/>
  <c r="D14951" i="1"/>
  <c r="G14951" i="1"/>
  <c r="B16084" i="1"/>
  <c r="D16084" i="1"/>
  <c r="G16084" i="1"/>
  <c r="B3440" i="1"/>
  <c r="D3440" i="1"/>
  <c r="G3440" i="1"/>
  <c r="B14826" i="1"/>
  <c r="D14826" i="1"/>
  <c r="G14826" i="1"/>
  <c r="B16321" i="1"/>
  <c r="D16321" i="1"/>
  <c r="G16321" i="1"/>
  <c r="B18729" i="1"/>
  <c r="D18729" i="1"/>
  <c r="G18729" i="1"/>
  <c r="B2072" i="1"/>
  <c r="D2072" i="1"/>
  <c r="G2072" i="1"/>
  <c r="B18999" i="1"/>
  <c r="D18999" i="1"/>
  <c r="G18999" i="1"/>
  <c r="B18816" i="1"/>
  <c r="D18816" i="1"/>
  <c r="G18816" i="1"/>
  <c r="B3441" i="1"/>
  <c r="D3441" i="1"/>
  <c r="G3441" i="1"/>
  <c r="B3442" i="1"/>
  <c r="D3442" i="1"/>
  <c r="G3442" i="1"/>
  <c r="B20277" i="1"/>
  <c r="D20277" i="1"/>
  <c r="G20277" i="1"/>
  <c r="B20370" i="1"/>
  <c r="D20370" i="1"/>
  <c r="G20370" i="1"/>
  <c r="B16322" i="1"/>
  <c r="D16322" i="1"/>
  <c r="G16322" i="1"/>
  <c r="B3302" i="1"/>
  <c r="D3302" i="1"/>
  <c r="G3302" i="1"/>
  <c r="B13266" i="1"/>
  <c r="D13266" i="1"/>
  <c r="G13266" i="1"/>
  <c r="B18236" i="1"/>
  <c r="D18236" i="1"/>
  <c r="G18236" i="1"/>
  <c r="B19150" i="1"/>
  <c r="D19150" i="1"/>
  <c r="G19150" i="1"/>
  <c r="B16323" i="1"/>
  <c r="D16323" i="1"/>
  <c r="G16323" i="1"/>
  <c r="B4515" i="1"/>
  <c r="D4515" i="1"/>
  <c r="G4515" i="1"/>
  <c r="B21510" i="1"/>
  <c r="D21510" i="1"/>
  <c r="G21510" i="1"/>
  <c r="B4679" i="1"/>
  <c r="D4679" i="1"/>
  <c r="G4679" i="1"/>
  <c r="B17069" i="1"/>
  <c r="D17069" i="1"/>
  <c r="G17069" i="1"/>
  <c r="B16085" i="1"/>
  <c r="D16085" i="1"/>
  <c r="G16085" i="1"/>
  <c r="B2270" i="1"/>
  <c r="D2270" i="1"/>
  <c r="G2270" i="1"/>
  <c r="B5989" i="1"/>
  <c r="D5989" i="1"/>
  <c r="G5989" i="1"/>
  <c r="B2247" i="1"/>
  <c r="D2247" i="1"/>
  <c r="G2247" i="1"/>
  <c r="B3007" i="1"/>
  <c r="D3007" i="1"/>
  <c r="G3007" i="1"/>
  <c r="B1047" i="1"/>
  <c r="D1047" i="1"/>
  <c r="G1047" i="1"/>
  <c r="B17658" i="1"/>
  <c r="D17658" i="1"/>
  <c r="G17658" i="1"/>
  <c r="B17659" i="1"/>
  <c r="D17659" i="1"/>
  <c r="G17659" i="1"/>
  <c r="B797" i="1"/>
  <c r="D797" i="1"/>
  <c r="G797" i="1"/>
  <c r="B16324" i="1"/>
  <c r="D16324" i="1"/>
  <c r="G16324" i="1"/>
  <c r="B13822" i="1"/>
  <c r="D13822" i="1"/>
  <c r="G13822" i="1"/>
  <c r="B4582" i="1"/>
  <c r="D4582" i="1"/>
  <c r="G4582" i="1"/>
  <c r="B4458" i="1"/>
  <c r="D4458" i="1"/>
  <c r="G4458" i="1"/>
  <c r="B13421" i="1"/>
  <c r="D13421" i="1"/>
  <c r="G13421" i="1"/>
  <c r="B16325" i="1"/>
  <c r="D16325" i="1"/>
  <c r="G16325" i="1"/>
  <c r="B16326" i="1"/>
  <c r="D16326" i="1"/>
  <c r="G16326" i="1"/>
  <c r="B4484" i="1"/>
  <c r="D4484" i="1"/>
  <c r="G4484" i="1"/>
  <c r="B17660" i="1"/>
  <c r="D17660" i="1"/>
  <c r="G17660" i="1"/>
  <c r="B17661" i="1"/>
  <c r="D17661" i="1"/>
  <c r="G17661" i="1"/>
  <c r="B2578" i="1"/>
  <c r="D2578" i="1"/>
  <c r="G2578" i="1"/>
  <c r="B19433" i="1"/>
  <c r="D19433" i="1"/>
  <c r="G19433" i="1"/>
  <c r="B13045" i="1"/>
  <c r="D13045" i="1"/>
  <c r="G13045" i="1"/>
  <c r="B16034" i="1"/>
  <c r="D16034" i="1"/>
  <c r="G16034" i="1"/>
  <c r="B3443" i="1"/>
  <c r="D3443" i="1"/>
  <c r="G3443" i="1"/>
  <c r="B16327" i="1"/>
  <c r="D16327" i="1"/>
  <c r="G16327" i="1"/>
  <c r="B3700" i="1"/>
  <c r="D3700" i="1"/>
  <c r="G3700" i="1"/>
  <c r="B5310" i="1"/>
  <c r="D5310" i="1"/>
  <c r="G5310" i="1"/>
  <c r="B20278" i="1"/>
  <c r="D20278" i="1"/>
  <c r="G20278" i="1"/>
  <c r="B20235" i="1"/>
  <c r="D20235" i="1"/>
  <c r="G20235" i="1"/>
  <c r="B22012" i="1"/>
  <c r="D22012" i="1"/>
  <c r="G22012" i="1"/>
  <c r="B21866" i="1"/>
  <c r="D21866" i="1"/>
  <c r="G21866" i="1"/>
  <c r="B18338" i="1"/>
  <c r="D18338" i="1"/>
  <c r="G18338" i="1"/>
  <c r="B14952" i="1"/>
  <c r="D14952" i="1"/>
  <c r="G14952" i="1"/>
  <c r="B20763" i="1"/>
  <c r="D20763" i="1"/>
  <c r="G20763" i="1"/>
  <c r="B15411" i="1"/>
  <c r="D15411" i="1"/>
  <c r="G15411" i="1"/>
  <c r="B20547" i="1"/>
  <c r="D20547" i="1"/>
  <c r="G20547" i="1"/>
  <c r="B14349" i="1"/>
  <c r="D14349" i="1"/>
  <c r="G14349" i="1"/>
  <c r="B14004" i="1"/>
  <c r="D14004" i="1"/>
  <c r="G14004" i="1"/>
  <c r="B1526" i="1"/>
  <c r="D1526" i="1"/>
  <c r="G1526" i="1"/>
  <c r="B22118" i="1"/>
  <c r="D22118" i="1"/>
  <c r="G22118" i="1"/>
  <c r="B16328" i="1"/>
  <c r="D16328" i="1"/>
  <c r="G16328" i="1"/>
  <c r="B20548" i="1"/>
  <c r="D20548" i="1"/>
  <c r="G20548" i="1"/>
  <c r="B18817" i="1"/>
  <c r="D18817" i="1"/>
  <c r="G18817" i="1"/>
  <c r="B14953" i="1"/>
  <c r="D14953" i="1"/>
  <c r="G14953" i="1"/>
  <c r="B14708" i="1"/>
  <c r="D14708" i="1"/>
  <c r="G14708" i="1"/>
  <c r="B17662" i="1"/>
  <c r="D17662" i="1"/>
  <c r="G17662" i="1"/>
  <c r="B17663" i="1"/>
  <c r="D17663" i="1"/>
  <c r="G17663" i="1"/>
  <c r="B14179" i="1"/>
  <c r="D14179" i="1"/>
  <c r="G14179" i="1"/>
  <c r="B21048" i="1"/>
  <c r="D21048" i="1"/>
  <c r="G21048" i="1"/>
  <c r="B4485" i="1"/>
  <c r="D4485" i="1"/>
  <c r="G4485" i="1"/>
  <c r="B20461" i="1"/>
  <c r="D20461" i="1"/>
  <c r="G20461" i="1"/>
  <c r="B13954" i="1"/>
  <c r="D13954" i="1"/>
  <c r="G13954" i="1"/>
  <c r="B4486" i="1"/>
  <c r="D4486" i="1"/>
  <c r="G4486" i="1"/>
  <c r="B21867" i="1"/>
  <c r="D21867" i="1"/>
  <c r="G21867" i="1"/>
  <c r="B450" i="1"/>
  <c r="D450" i="1"/>
  <c r="G450" i="1"/>
  <c r="B17664" i="1"/>
  <c r="D17664" i="1"/>
  <c r="G17664" i="1"/>
  <c r="B17665" i="1"/>
  <c r="D17665" i="1"/>
  <c r="G17665" i="1"/>
  <c r="B2579" i="1"/>
  <c r="D2579" i="1"/>
  <c r="G2579" i="1"/>
  <c r="B2580" i="1"/>
  <c r="D2580" i="1"/>
  <c r="G2580" i="1"/>
  <c r="B3057" i="1"/>
  <c r="D3057" i="1"/>
  <c r="G3057" i="1"/>
  <c r="B14954" i="1"/>
  <c r="D14954" i="1"/>
  <c r="G14954" i="1"/>
  <c r="B20371" i="1"/>
  <c r="D20371" i="1"/>
  <c r="G20371" i="1"/>
  <c r="B19434" i="1"/>
  <c r="D19434" i="1"/>
  <c r="G19434" i="1"/>
  <c r="B21670" i="1"/>
  <c r="D21670" i="1"/>
  <c r="G21670" i="1"/>
  <c r="B16329" i="1"/>
  <c r="D16329" i="1"/>
  <c r="G16329" i="1"/>
  <c r="B21049" i="1"/>
  <c r="D21049" i="1"/>
  <c r="G21049" i="1"/>
  <c r="B2524" i="1"/>
  <c r="D2524" i="1"/>
  <c r="G2524" i="1"/>
  <c r="B20764" i="1"/>
  <c r="D20764" i="1"/>
  <c r="G20764" i="1"/>
  <c r="B14601" i="1"/>
  <c r="D14601" i="1"/>
  <c r="G14601" i="1"/>
  <c r="B17666" i="1"/>
  <c r="D17666" i="1"/>
  <c r="G17666" i="1"/>
  <c r="B17667" i="1"/>
  <c r="D17667" i="1"/>
  <c r="G17667" i="1"/>
  <c r="B11979" i="1"/>
  <c r="D11979" i="1"/>
  <c r="G11979" i="1"/>
  <c r="B1437" i="1"/>
  <c r="D1437" i="1"/>
  <c r="G1437" i="1"/>
  <c r="B17668" i="1"/>
  <c r="D17668" i="1"/>
  <c r="G17668" i="1"/>
  <c r="B17669" i="1"/>
  <c r="D17669" i="1"/>
  <c r="G17669" i="1"/>
  <c r="B21511" i="1"/>
  <c r="D21511" i="1"/>
  <c r="G21511" i="1"/>
  <c r="B18429" i="1"/>
  <c r="D18429" i="1"/>
  <c r="G18429" i="1"/>
  <c r="B16023" i="1"/>
  <c r="D16023" i="1"/>
  <c r="G16023" i="1"/>
  <c r="B4928" i="1"/>
  <c r="D4928" i="1"/>
  <c r="G4928" i="1"/>
  <c r="B17670" i="1"/>
  <c r="D17670" i="1"/>
  <c r="G17670" i="1"/>
  <c r="B17671" i="1"/>
  <c r="D17671" i="1"/>
  <c r="G17671" i="1"/>
  <c r="B4292" i="1"/>
  <c r="D4292" i="1"/>
  <c r="G4292" i="1"/>
  <c r="B14202" i="1"/>
  <c r="D14202" i="1"/>
  <c r="G14202" i="1"/>
  <c r="B973" i="1"/>
  <c r="D973" i="1"/>
  <c r="G973" i="1"/>
  <c r="B2581" i="1"/>
  <c r="D2581" i="1"/>
  <c r="G2581" i="1"/>
  <c r="B17672" i="1"/>
  <c r="D17672" i="1"/>
  <c r="G17672" i="1"/>
  <c r="B17673" i="1"/>
  <c r="D17673" i="1"/>
  <c r="G17673" i="1"/>
  <c r="B15720" i="1"/>
  <c r="D15720" i="1"/>
  <c r="G15720" i="1"/>
  <c r="B17674" i="1"/>
  <c r="D17674" i="1"/>
  <c r="G17674" i="1"/>
  <c r="B1377" i="1"/>
  <c r="D1377" i="1"/>
  <c r="G1377" i="1"/>
  <c r="B3444" i="1"/>
  <c r="D3444" i="1"/>
  <c r="G3444" i="1"/>
  <c r="B14434" i="1"/>
  <c r="D14434" i="1"/>
  <c r="G14434" i="1"/>
  <c r="B2582" i="1"/>
  <c r="D2582" i="1"/>
  <c r="G2582" i="1"/>
  <c r="B1048" i="1"/>
  <c r="D1048" i="1"/>
  <c r="G1048" i="1"/>
  <c r="B1049" i="1"/>
  <c r="D1049" i="1"/>
  <c r="G1049" i="1"/>
  <c r="B2583" i="1"/>
  <c r="D2583" i="1"/>
  <c r="G2583" i="1"/>
  <c r="B2584" i="1"/>
  <c r="D2584" i="1"/>
  <c r="G2584" i="1"/>
  <c r="B2327" i="1"/>
  <c r="D2327" i="1"/>
  <c r="G2327" i="1"/>
  <c r="B850" i="1"/>
  <c r="D850" i="1"/>
  <c r="G850" i="1"/>
  <c r="B5182" i="1"/>
  <c r="D5182" i="1"/>
  <c r="G5182" i="1"/>
  <c r="B2427" i="1"/>
  <c r="D2427" i="1"/>
  <c r="G2427" i="1"/>
  <c r="B16330" i="1"/>
  <c r="D16330" i="1"/>
  <c r="G16330" i="1"/>
  <c r="B5183" i="1"/>
  <c r="D5183" i="1"/>
  <c r="G5183" i="1"/>
  <c r="B13267" i="1"/>
  <c r="D13267" i="1"/>
  <c r="G13267" i="1"/>
  <c r="B17675" i="1"/>
  <c r="D17675" i="1"/>
  <c r="G17675" i="1"/>
  <c r="B17676" i="1"/>
  <c r="D17676" i="1"/>
  <c r="G17676" i="1"/>
  <c r="B3445" i="1"/>
  <c r="D3445" i="1"/>
  <c r="G3445" i="1"/>
  <c r="B3446" i="1"/>
  <c r="D3446" i="1"/>
  <c r="G3446" i="1"/>
  <c r="B19435" i="1"/>
  <c r="D19435" i="1"/>
  <c r="G19435" i="1"/>
  <c r="B2585" i="1"/>
  <c r="D2585" i="1"/>
  <c r="G2585" i="1"/>
  <c r="B2586" i="1"/>
  <c r="D2586" i="1"/>
  <c r="G2586" i="1"/>
  <c r="B2587" i="1"/>
  <c r="D2587" i="1"/>
  <c r="G2587" i="1"/>
  <c r="B1050" i="1"/>
  <c r="D1050" i="1"/>
  <c r="G1050" i="1"/>
  <c r="B1051" i="1"/>
  <c r="D1051" i="1"/>
  <c r="G1051" i="1"/>
  <c r="B15787" i="1"/>
  <c r="D15787" i="1"/>
  <c r="G15787" i="1"/>
  <c r="B5311" i="1"/>
  <c r="D5311" i="1"/>
  <c r="G5311" i="1"/>
  <c r="B17677" i="1"/>
  <c r="D17677" i="1"/>
  <c r="G17677" i="1"/>
  <c r="B17678" i="1"/>
  <c r="D17678" i="1"/>
  <c r="G17678" i="1"/>
  <c r="B1052" i="1"/>
  <c r="D1052" i="1"/>
  <c r="G1052" i="1"/>
  <c r="B19436" i="1"/>
  <c r="D19436" i="1"/>
  <c r="G19436" i="1"/>
  <c r="B3223" i="1"/>
  <c r="D3223" i="1"/>
  <c r="G3223" i="1"/>
  <c r="B17679" i="1"/>
  <c r="D17679" i="1"/>
  <c r="G17679" i="1"/>
  <c r="B17680" i="1"/>
  <c r="D17680" i="1"/>
  <c r="G17680" i="1"/>
  <c r="B5184" i="1"/>
  <c r="D5184" i="1"/>
  <c r="G5184" i="1"/>
  <c r="B20279" i="1"/>
  <c r="D20279" i="1"/>
  <c r="G20279" i="1"/>
  <c r="B20236" i="1"/>
  <c r="D20236" i="1"/>
  <c r="G20236" i="1"/>
  <c r="B17070" i="1"/>
  <c r="D17070" i="1"/>
  <c r="G17070" i="1"/>
  <c r="B22013" i="1"/>
  <c r="D22013" i="1"/>
  <c r="G22013" i="1"/>
  <c r="B20165" i="1"/>
  <c r="D20165" i="1"/>
  <c r="G20165" i="1"/>
  <c r="B9111" i="1"/>
  <c r="D9111" i="1"/>
  <c r="G9111" i="1"/>
  <c r="B14955" i="1"/>
  <c r="D14955" i="1"/>
  <c r="G14955" i="1"/>
  <c r="B20110" i="1"/>
  <c r="D20110" i="1"/>
  <c r="G20110" i="1"/>
  <c r="B15412" i="1"/>
  <c r="D15412" i="1"/>
  <c r="G15412" i="1"/>
  <c r="B17681" i="1"/>
  <c r="D17681" i="1"/>
  <c r="G17681" i="1"/>
  <c r="B17682" i="1"/>
  <c r="D17682" i="1"/>
  <c r="G17682" i="1"/>
  <c r="B4147" i="1"/>
  <c r="D4147" i="1"/>
  <c r="G4147" i="1"/>
  <c r="B7403" i="1"/>
  <c r="D7403" i="1"/>
  <c r="G7403" i="1"/>
  <c r="B2328" i="1"/>
  <c r="D2328" i="1"/>
  <c r="G2328" i="1"/>
  <c r="B21050" i="1"/>
  <c r="D21050" i="1"/>
  <c r="G21050" i="1"/>
  <c r="B2271" i="1"/>
  <c r="D2271" i="1"/>
  <c r="G2271" i="1"/>
  <c r="B5990" i="1"/>
  <c r="D5990" i="1"/>
  <c r="G5990" i="1"/>
  <c r="B17683" i="1"/>
  <c r="D17683" i="1"/>
  <c r="G17683" i="1"/>
  <c r="B21051" i="1"/>
  <c r="D21051" i="1"/>
  <c r="G21051" i="1"/>
  <c r="B20765" i="1"/>
  <c r="D20765" i="1"/>
  <c r="G20765" i="1"/>
  <c r="B3008" i="1"/>
  <c r="D3008" i="1"/>
  <c r="G3008" i="1"/>
  <c r="B486" i="1"/>
  <c r="D486" i="1"/>
  <c r="G486" i="1"/>
  <c r="B21868" i="1"/>
  <c r="D21868" i="1"/>
  <c r="G21868" i="1"/>
  <c r="B17684" i="1"/>
  <c r="D17684" i="1"/>
  <c r="G17684" i="1"/>
  <c r="B274" i="1"/>
  <c r="D274" i="1"/>
  <c r="G274" i="1"/>
  <c r="B267" i="1"/>
  <c r="D267" i="1"/>
  <c r="G267" i="1"/>
  <c r="B4293" i="1"/>
  <c r="D4293" i="1"/>
  <c r="G4293" i="1"/>
  <c r="B6145" i="1"/>
  <c r="D6145" i="1"/>
  <c r="G6145" i="1"/>
  <c r="B6146" i="1"/>
  <c r="D6146" i="1"/>
  <c r="G6146" i="1"/>
  <c r="B17685" i="1"/>
  <c r="D17685" i="1"/>
  <c r="G17685" i="1"/>
  <c r="B17686" i="1"/>
  <c r="D17686" i="1"/>
  <c r="G17686" i="1"/>
  <c r="B17687" i="1"/>
  <c r="D17687" i="1"/>
  <c r="G17687" i="1"/>
  <c r="B4451" i="1"/>
  <c r="D4451" i="1"/>
  <c r="G4451" i="1"/>
  <c r="B16331" i="1"/>
  <c r="D16331" i="1"/>
  <c r="G16331" i="1"/>
  <c r="B3447" i="1"/>
  <c r="D3447" i="1"/>
  <c r="G3447" i="1"/>
  <c r="B17688" i="1"/>
  <c r="D17688" i="1"/>
  <c r="G17688" i="1"/>
  <c r="B17689" i="1"/>
  <c r="D17689" i="1"/>
  <c r="G17689" i="1"/>
  <c r="B17690" i="1"/>
  <c r="D17690" i="1"/>
  <c r="G17690" i="1"/>
  <c r="B16967" i="1"/>
  <c r="D16967" i="1"/>
  <c r="G16967" i="1"/>
  <c r="B21052" i="1"/>
  <c r="D21052" i="1"/>
  <c r="G21052" i="1"/>
  <c r="B15721" i="1"/>
  <c r="D15721" i="1"/>
  <c r="G15721" i="1"/>
  <c r="B21655" i="1"/>
  <c r="D21655" i="1"/>
  <c r="G21655" i="1"/>
  <c r="B5312" i="1"/>
  <c r="D5312" i="1"/>
  <c r="G5312" i="1"/>
  <c r="B20120" i="1"/>
  <c r="D20120" i="1"/>
  <c r="G20120" i="1"/>
  <c r="B17691" i="1"/>
  <c r="D17691" i="1"/>
  <c r="G17691" i="1"/>
  <c r="B17692" i="1"/>
  <c r="D17692" i="1"/>
  <c r="G17692" i="1"/>
  <c r="B2551" i="1"/>
  <c r="D2551" i="1"/>
  <c r="G2551" i="1"/>
  <c r="B13823" i="1"/>
  <c r="D13823" i="1"/>
  <c r="G13823" i="1"/>
  <c r="B17693" i="1"/>
  <c r="D17693" i="1"/>
  <c r="G17693" i="1"/>
  <c r="B17694" i="1"/>
  <c r="D17694" i="1"/>
  <c r="G17694" i="1"/>
  <c r="B3448" i="1"/>
  <c r="D3448" i="1"/>
  <c r="G3448" i="1"/>
  <c r="B3449" i="1"/>
  <c r="D3449" i="1"/>
  <c r="G3449" i="1"/>
  <c r="B311" i="1"/>
  <c r="D311" i="1"/>
  <c r="G311" i="1"/>
  <c r="B16332" i="1"/>
  <c r="D16332" i="1"/>
  <c r="G16332" i="1"/>
  <c r="B4487" i="1"/>
  <c r="D4487" i="1"/>
  <c r="G4487" i="1"/>
  <c r="B851" i="1"/>
  <c r="D851" i="1"/>
  <c r="G851" i="1"/>
  <c r="B13622" i="1"/>
  <c r="D13622" i="1"/>
  <c r="G13622" i="1"/>
  <c r="B17695" i="1"/>
  <c r="D17695" i="1"/>
  <c r="G17695" i="1"/>
  <c r="B17696" i="1"/>
  <c r="D17696" i="1"/>
  <c r="G17696" i="1"/>
  <c r="B1558" i="1"/>
  <c r="D1558" i="1"/>
  <c r="G1558" i="1"/>
  <c r="B16086" i="1"/>
  <c r="D16086" i="1"/>
  <c r="G16086" i="1"/>
  <c r="B309" i="1"/>
  <c r="D309" i="1"/>
  <c r="G309" i="1"/>
  <c r="B307" i="1"/>
  <c r="D307" i="1"/>
  <c r="G307" i="1"/>
  <c r="B17697" i="1"/>
  <c r="D17697" i="1"/>
  <c r="G17697" i="1"/>
  <c r="B17698" i="1"/>
  <c r="D17698" i="1"/>
  <c r="G17698" i="1"/>
  <c r="B16955" i="1"/>
  <c r="D16955" i="1"/>
  <c r="G16955" i="1"/>
  <c r="B16956" i="1"/>
  <c r="D16956" i="1"/>
  <c r="G16956" i="1"/>
  <c r="B19437" i="1"/>
  <c r="D19437" i="1"/>
  <c r="G19437" i="1"/>
  <c r="B18430" i="1"/>
  <c r="D18430" i="1"/>
  <c r="G18430" i="1"/>
  <c r="B17699" i="1"/>
  <c r="D17699" i="1"/>
  <c r="G17699" i="1"/>
  <c r="B17700" i="1"/>
  <c r="D17700" i="1"/>
  <c r="G17700" i="1"/>
  <c r="B4680" i="1"/>
  <c r="D4680" i="1"/>
  <c r="G4680" i="1"/>
  <c r="B6147" i="1"/>
  <c r="D6147" i="1"/>
  <c r="G6147" i="1"/>
  <c r="B20121" i="1"/>
  <c r="D20121" i="1"/>
  <c r="G20121" i="1"/>
  <c r="B16333" i="1"/>
  <c r="D16333" i="1"/>
  <c r="G16333" i="1"/>
  <c r="B1053" i="1"/>
  <c r="D1053" i="1"/>
  <c r="G1053" i="1"/>
  <c r="B82" i="1"/>
  <c r="D82" i="1"/>
  <c r="G82" i="1"/>
  <c r="B8410" i="1"/>
  <c r="D8410" i="1"/>
  <c r="G8410" i="1"/>
  <c r="B6622" i="1"/>
  <c r="D6622" i="1"/>
  <c r="G6622" i="1"/>
  <c r="B1054" i="1"/>
  <c r="D1054" i="1"/>
  <c r="G1054" i="1"/>
  <c r="B4583" i="1"/>
  <c r="D4583" i="1"/>
  <c r="G4583" i="1"/>
  <c r="B17701" i="1"/>
  <c r="D17701" i="1"/>
  <c r="G17701" i="1"/>
  <c r="B4929" i="1"/>
  <c r="D4929" i="1"/>
  <c r="G4929" i="1"/>
  <c r="B17702" i="1"/>
  <c r="D17702" i="1"/>
  <c r="G17702" i="1"/>
  <c r="B5313" i="1"/>
  <c r="D5313" i="1"/>
  <c r="G5313" i="1"/>
  <c r="B5314" i="1"/>
  <c r="D5314" i="1"/>
  <c r="G5314" i="1"/>
  <c r="B17703" i="1"/>
  <c r="D17703" i="1"/>
  <c r="G17703" i="1"/>
  <c r="B5315" i="1"/>
  <c r="D5315" i="1"/>
  <c r="G5315" i="1"/>
  <c r="B5316" i="1"/>
  <c r="D5316" i="1"/>
  <c r="G5316" i="1"/>
  <c r="B5825" i="1"/>
  <c r="D5825" i="1"/>
  <c r="G5825" i="1"/>
  <c r="B6148" i="1"/>
  <c r="D6148" i="1"/>
  <c r="G6148" i="1"/>
  <c r="B6149" i="1"/>
  <c r="D6149" i="1"/>
  <c r="G6149" i="1"/>
  <c r="B2588" i="1"/>
  <c r="D2588" i="1"/>
  <c r="G2588" i="1"/>
  <c r="B763" i="1"/>
  <c r="D763" i="1"/>
  <c r="G763" i="1"/>
  <c r="B3450" i="1"/>
  <c r="D3450" i="1"/>
  <c r="G3450" i="1"/>
  <c r="B3451" i="1"/>
  <c r="D3451" i="1"/>
  <c r="G3451" i="1"/>
  <c r="B4584" i="1"/>
  <c r="D4584" i="1"/>
  <c r="G4584" i="1"/>
  <c r="B6715" i="1"/>
  <c r="D6715" i="1"/>
  <c r="G6715" i="1"/>
  <c r="B17704" i="1"/>
  <c r="D17704" i="1"/>
  <c r="G17704" i="1"/>
  <c r="B17705" i="1"/>
  <c r="D17705" i="1"/>
  <c r="G17705" i="1"/>
  <c r="B5991" i="1"/>
  <c r="D5991" i="1"/>
  <c r="G5991" i="1"/>
  <c r="B6623" i="1"/>
  <c r="D6623" i="1"/>
  <c r="G6623" i="1"/>
  <c r="B6150" i="1"/>
  <c r="D6150" i="1"/>
  <c r="G6150" i="1"/>
  <c r="B6151" i="1"/>
  <c r="D6151" i="1"/>
  <c r="G6151" i="1"/>
  <c r="B1378" i="1"/>
  <c r="D1378" i="1"/>
  <c r="G1378" i="1"/>
  <c r="B16334" i="1"/>
  <c r="D16334" i="1"/>
  <c r="G16334" i="1"/>
  <c r="B3859" i="1"/>
  <c r="D3859" i="1"/>
  <c r="G3859" i="1"/>
  <c r="B17071" i="1"/>
  <c r="D17071" i="1"/>
  <c r="G17071" i="1"/>
  <c r="B17706" i="1"/>
  <c r="D17706" i="1"/>
  <c r="G17706" i="1"/>
  <c r="B17707" i="1"/>
  <c r="D17707" i="1"/>
  <c r="G17707" i="1"/>
  <c r="B19000" i="1"/>
  <c r="D19000" i="1"/>
  <c r="G19000" i="1"/>
  <c r="B14956" i="1"/>
  <c r="D14956" i="1"/>
  <c r="G14956" i="1"/>
  <c r="B83" i="1"/>
  <c r="D83" i="1"/>
  <c r="G83" i="1"/>
  <c r="B6624" i="1"/>
  <c r="D6624" i="1"/>
  <c r="G6624" i="1"/>
  <c r="B6152" i="1"/>
  <c r="D6152" i="1"/>
  <c r="G6152" i="1"/>
  <c r="B6153" i="1"/>
  <c r="D6153" i="1"/>
  <c r="G6153" i="1"/>
  <c r="B4681" i="1"/>
  <c r="D4681" i="1"/>
  <c r="G4681" i="1"/>
  <c r="B2589" i="1"/>
  <c r="D2589" i="1"/>
  <c r="G2589" i="1"/>
  <c r="B3073" i="1"/>
  <c r="D3073" i="1"/>
  <c r="G3073" i="1"/>
  <c r="B4516" i="1"/>
  <c r="D4516" i="1"/>
  <c r="G4516" i="1"/>
  <c r="B17708" i="1"/>
  <c r="D17708" i="1"/>
  <c r="G17708" i="1"/>
  <c r="B4294" i="1"/>
  <c r="D4294" i="1"/>
  <c r="G4294" i="1"/>
  <c r="B2184" i="1"/>
  <c r="D2184" i="1"/>
  <c r="G2184" i="1"/>
  <c r="B17582" i="1"/>
  <c r="D17582" i="1"/>
  <c r="G17582" i="1"/>
  <c r="B2590" i="1"/>
  <c r="D2590" i="1"/>
  <c r="G2590" i="1"/>
  <c r="B5185" i="1"/>
  <c r="D5185" i="1"/>
  <c r="G5185" i="1"/>
  <c r="B809" i="1"/>
  <c r="D809" i="1"/>
  <c r="G809" i="1"/>
  <c r="B3452" i="1"/>
  <c r="D3452" i="1"/>
  <c r="G3452" i="1"/>
  <c r="B3074" i="1"/>
  <c r="D3074" i="1"/>
  <c r="G3074" i="1"/>
  <c r="B2591" i="1"/>
  <c r="D2591" i="1"/>
  <c r="G2591" i="1"/>
  <c r="B1055" i="1"/>
  <c r="D1055" i="1"/>
  <c r="G1055" i="1"/>
  <c r="B2592" i="1"/>
  <c r="D2592" i="1"/>
  <c r="G2592" i="1"/>
  <c r="B4148" i="1"/>
  <c r="D4148" i="1"/>
  <c r="G4148" i="1"/>
  <c r="B2329" i="1"/>
  <c r="D2329" i="1"/>
  <c r="G2329" i="1"/>
  <c r="B13904" i="1"/>
  <c r="D13904" i="1"/>
  <c r="G13904" i="1"/>
  <c r="B2428" i="1"/>
  <c r="D2428" i="1"/>
  <c r="G2428" i="1"/>
  <c r="B7001" i="1"/>
  <c r="D7001" i="1"/>
  <c r="G7001" i="1"/>
  <c r="B3453" i="1"/>
  <c r="D3453" i="1"/>
  <c r="G3453" i="1"/>
  <c r="B3454" i="1"/>
  <c r="D3454" i="1"/>
  <c r="G3454" i="1"/>
  <c r="B3832" i="1"/>
  <c r="D3832" i="1"/>
  <c r="G3832" i="1"/>
  <c r="B3833" i="1"/>
  <c r="D3833" i="1"/>
  <c r="G3833" i="1"/>
  <c r="B2272" i="1"/>
  <c r="D2272" i="1"/>
  <c r="G2272" i="1"/>
  <c r="B5992" i="1"/>
  <c r="D5992" i="1"/>
  <c r="G5992" i="1"/>
  <c r="B1559" i="1"/>
  <c r="D1559" i="1"/>
  <c r="G1559" i="1"/>
  <c r="B1560" i="1"/>
  <c r="D1560" i="1"/>
  <c r="G1560" i="1"/>
  <c r="B2593" i="1"/>
  <c r="D2593" i="1"/>
  <c r="G2593" i="1"/>
  <c r="B1056" i="1"/>
  <c r="D1056" i="1"/>
  <c r="G1056" i="1"/>
  <c r="B5317" i="1"/>
  <c r="D5317" i="1"/>
  <c r="G5317" i="1"/>
  <c r="B1057" i="1"/>
  <c r="D1057" i="1"/>
  <c r="G1057" i="1"/>
  <c r="B487" i="1"/>
  <c r="D487" i="1"/>
  <c r="G487" i="1"/>
  <c r="B19438" i="1"/>
  <c r="D19438" i="1"/>
  <c r="G19438" i="1"/>
  <c r="B18656" i="1"/>
  <c r="D18656" i="1"/>
  <c r="G18656" i="1"/>
  <c r="B5826" i="1"/>
  <c r="D5826" i="1"/>
  <c r="G5826" i="1"/>
  <c r="B1561" i="1"/>
  <c r="D1561" i="1"/>
  <c r="G1561" i="1"/>
  <c r="B1058" i="1"/>
  <c r="D1058" i="1"/>
  <c r="G1058" i="1"/>
  <c r="B452" i="1"/>
  <c r="D452" i="1"/>
  <c r="G452" i="1"/>
  <c r="B4488" i="1"/>
  <c r="D4488" i="1"/>
  <c r="G4488" i="1"/>
  <c r="B9939" i="1"/>
  <c r="D9939" i="1"/>
  <c r="G9939" i="1"/>
  <c r="B13824" i="1"/>
  <c r="D13824" i="1"/>
  <c r="G13824" i="1"/>
  <c r="B675" i="1"/>
  <c r="D675" i="1"/>
  <c r="G675" i="1"/>
  <c r="B7678" i="1"/>
  <c r="D7678" i="1"/>
  <c r="G7678" i="1"/>
  <c r="B7404" i="1"/>
  <c r="D7404" i="1"/>
  <c r="G7404" i="1"/>
  <c r="B14957" i="1"/>
  <c r="D14957" i="1"/>
  <c r="G14957" i="1"/>
  <c r="B4517" i="1"/>
  <c r="D4517" i="1"/>
  <c r="G4517" i="1"/>
  <c r="B16335" i="1"/>
  <c r="D16335" i="1"/>
  <c r="G16335" i="1"/>
  <c r="B7002" i="1"/>
  <c r="D7002" i="1"/>
  <c r="G7002" i="1"/>
  <c r="B4130" i="1"/>
  <c r="D4130" i="1"/>
  <c r="G4130" i="1"/>
  <c r="B4189" i="1"/>
  <c r="D4189" i="1"/>
  <c r="G4189" i="1"/>
  <c r="B1856" i="1"/>
  <c r="D1856" i="1"/>
  <c r="G1856" i="1"/>
  <c r="B4295" i="1"/>
  <c r="D4295" i="1"/>
  <c r="G4295" i="1"/>
  <c r="B6853" i="1"/>
  <c r="D6853" i="1"/>
  <c r="G6853" i="1"/>
  <c r="B6154" i="1"/>
  <c r="D6154" i="1"/>
  <c r="G6154" i="1"/>
  <c r="B6155" i="1"/>
  <c r="D6155" i="1"/>
  <c r="G6155" i="1"/>
  <c r="B13383" i="1"/>
  <c r="D13383" i="1"/>
  <c r="G13383" i="1"/>
  <c r="B2330" i="1"/>
  <c r="D2330" i="1"/>
  <c r="G2330" i="1"/>
  <c r="B7286" i="1"/>
  <c r="D7286" i="1"/>
  <c r="G7286" i="1"/>
  <c r="B14958" i="1"/>
  <c r="D14958" i="1"/>
  <c r="G14958" i="1"/>
  <c r="B5318" i="1"/>
  <c r="D5318" i="1"/>
  <c r="G5318" i="1"/>
  <c r="B5761" i="1"/>
  <c r="D5761" i="1"/>
  <c r="G5761" i="1"/>
  <c r="B8085" i="1"/>
  <c r="D8085" i="1"/>
  <c r="G8085" i="1"/>
  <c r="B5186" i="1"/>
  <c r="D5186" i="1"/>
  <c r="G5186" i="1"/>
  <c r="B8300" i="1"/>
  <c r="D8300" i="1"/>
  <c r="G8300" i="1"/>
  <c r="B13672" i="1"/>
  <c r="D13672" i="1"/>
  <c r="G13672" i="1"/>
  <c r="B7135" i="1"/>
  <c r="D7135" i="1"/>
  <c r="G7135" i="1"/>
  <c r="B7136" i="1"/>
  <c r="D7136" i="1"/>
  <c r="G7136" i="1"/>
  <c r="B7679" i="1"/>
  <c r="D7679" i="1"/>
  <c r="G7679" i="1"/>
  <c r="B7680" i="1"/>
  <c r="D7680" i="1"/>
  <c r="G7680" i="1"/>
  <c r="B448" i="1"/>
  <c r="D448" i="1"/>
  <c r="G448" i="1"/>
  <c r="B16336" i="1"/>
  <c r="D16336" i="1"/>
  <c r="G16336" i="1"/>
  <c r="B3455" i="1"/>
  <c r="D3455" i="1"/>
  <c r="G3455" i="1"/>
  <c r="B4978" i="1"/>
  <c r="D4978" i="1"/>
  <c r="G4978" i="1"/>
  <c r="B8411" i="1"/>
  <c r="D8411" i="1"/>
  <c r="G8411" i="1"/>
  <c r="B8412" i="1"/>
  <c r="D8412" i="1"/>
  <c r="G8412" i="1"/>
  <c r="B8413" i="1"/>
  <c r="D8413" i="1"/>
  <c r="G8413" i="1"/>
  <c r="B8414" i="1"/>
  <c r="D8414" i="1"/>
  <c r="G8414" i="1"/>
  <c r="B5109" i="1"/>
  <c r="D5109" i="1"/>
  <c r="G5109" i="1"/>
  <c r="B7405" i="1"/>
  <c r="D7405" i="1"/>
  <c r="G7405" i="1"/>
  <c r="B8086" i="1"/>
  <c r="D8086" i="1"/>
  <c r="G8086" i="1"/>
  <c r="B6156" i="1"/>
  <c r="D6156" i="1"/>
  <c r="G6156" i="1"/>
  <c r="B7137" i="1"/>
  <c r="D7137" i="1"/>
  <c r="G7137" i="1"/>
  <c r="B7138" i="1"/>
  <c r="D7138" i="1"/>
  <c r="G7138" i="1"/>
  <c r="B7681" i="1"/>
  <c r="D7681" i="1"/>
  <c r="G7681" i="1"/>
  <c r="B7682" i="1"/>
  <c r="D7682" i="1"/>
  <c r="G7682" i="1"/>
  <c r="B3053" i="1"/>
  <c r="D3053" i="1"/>
  <c r="G3053" i="1"/>
  <c r="B14959" i="1"/>
  <c r="D14959" i="1"/>
  <c r="G14959" i="1"/>
  <c r="B16337" i="1"/>
  <c r="D16337" i="1"/>
  <c r="G16337" i="1"/>
  <c r="B2014" i="1"/>
  <c r="D2014" i="1"/>
  <c r="G2014" i="1"/>
  <c r="B8415" i="1"/>
  <c r="D8415" i="1"/>
  <c r="G8415" i="1"/>
  <c r="B8416" i="1"/>
  <c r="D8416" i="1"/>
  <c r="G8416" i="1"/>
  <c r="B2594" i="1"/>
  <c r="D2594" i="1"/>
  <c r="G2594" i="1"/>
  <c r="B8417" i="1"/>
  <c r="D8417" i="1"/>
  <c r="G8417" i="1"/>
  <c r="B6157" i="1"/>
  <c r="D6157" i="1"/>
  <c r="G6157" i="1"/>
  <c r="B6625" i="1"/>
  <c r="D6625" i="1"/>
  <c r="G6625" i="1"/>
  <c r="B1059" i="1"/>
  <c r="D1059" i="1"/>
  <c r="G1059" i="1"/>
  <c r="B3456" i="1"/>
  <c r="D3456" i="1"/>
  <c r="G3456" i="1"/>
  <c r="B3457" i="1"/>
  <c r="D3457" i="1"/>
  <c r="G3457" i="1"/>
  <c r="B2495" i="1"/>
  <c r="D2495" i="1"/>
  <c r="G2495" i="1"/>
  <c r="B2505" i="1"/>
  <c r="D2505" i="1"/>
  <c r="G2505" i="1"/>
  <c r="B8659" i="1"/>
  <c r="D8659" i="1"/>
  <c r="G8659" i="1"/>
  <c r="B8418" i="1"/>
  <c r="D8418" i="1"/>
  <c r="G8418" i="1"/>
  <c r="B8419" i="1"/>
  <c r="D8419" i="1"/>
  <c r="G8419" i="1"/>
  <c r="B5319" i="1"/>
  <c r="D5319" i="1"/>
  <c r="G5319" i="1"/>
  <c r="B7287" i="1"/>
  <c r="D7287" i="1"/>
  <c r="G7287" i="1"/>
  <c r="B2273" i="1"/>
  <c r="D2273" i="1"/>
  <c r="G2273" i="1"/>
  <c r="B5993" i="1"/>
  <c r="D5993" i="1"/>
  <c r="G5993" i="1"/>
  <c r="B5320" i="1"/>
  <c r="D5320" i="1"/>
  <c r="G5320" i="1"/>
  <c r="B7139" i="1"/>
  <c r="D7139" i="1"/>
  <c r="G7139" i="1"/>
  <c r="B6158" i="1"/>
  <c r="D6158" i="1"/>
  <c r="G6158" i="1"/>
  <c r="B6159" i="1"/>
  <c r="D6159" i="1"/>
  <c r="G6159" i="1"/>
  <c r="B3860" i="1"/>
  <c r="D3860" i="1"/>
  <c r="G3860" i="1"/>
  <c r="B4774" i="1"/>
  <c r="D4774" i="1"/>
  <c r="G4774" i="1"/>
  <c r="B21512" i="1"/>
  <c r="D21512" i="1"/>
  <c r="G21512" i="1"/>
  <c r="B6716" i="1"/>
  <c r="D6716" i="1"/>
  <c r="G6716" i="1"/>
  <c r="B5994" i="1"/>
  <c r="D5994" i="1"/>
  <c r="G5994" i="1"/>
  <c r="B1562" i="1"/>
  <c r="D1562" i="1"/>
  <c r="G1562" i="1"/>
  <c r="B6160" i="1"/>
  <c r="D6160" i="1"/>
  <c r="G6160" i="1"/>
  <c r="B6161" i="1"/>
  <c r="D6161" i="1"/>
  <c r="G6161" i="1"/>
  <c r="B8660" i="1"/>
  <c r="D8660" i="1"/>
  <c r="G8660" i="1"/>
  <c r="B7683" i="1"/>
  <c r="D7683" i="1"/>
  <c r="G7683" i="1"/>
  <c r="B7684" i="1"/>
  <c r="D7684" i="1"/>
  <c r="G7684" i="1"/>
  <c r="B1492" i="1"/>
  <c r="D1492" i="1"/>
  <c r="G1492" i="1"/>
  <c r="B4682" i="1"/>
  <c r="D4682" i="1"/>
  <c r="G4682" i="1"/>
  <c r="B5762" i="1"/>
  <c r="D5762" i="1"/>
  <c r="G5762" i="1"/>
  <c r="B5763" i="1"/>
  <c r="D5763" i="1"/>
  <c r="G5763" i="1"/>
  <c r="B1563" i="1"/>
  <c r="D1563" i="1"/>
  <c r="G1563" i="1"/>
  <c r="B1564" i="1"/>
  <c r="D1564" i="1"/>
  <c r="G1564" i="1"/>
  <c r="B1060" i="1"/>
  <c r="D1060" i="1"/>
  <c r="G1060" i="1"/>
  <c r="B6626" i="1"/>
  <c r="D6626" i="1"/>
  <c r="G6626" i="1"/>
  <c r="B1379" i="1"/>
  <c r="D1379" i="1"/>
  <c r="G1379" i="1"/>
  <c r="B4585" i="1"/>
  <c r="D4585" i="1"/>
  <c r="G4585" i="1"/>
  <c r="B6162" i="1"/>
  <c r="D6162" i="1"/>
  <c r="G6162" i="1"/>
  <c r="B6163" i="1"/>
  <c r="D6163" i="1"/>
  <c r="G6163" i="1"/>
  <c r="B4683" i="1"/>
  <c r="D4683" i="1"/>
  <c r="G4683" i="1"/>
  <c r="B6702" i="1"/>
  <c r="D6702" i="1"/>
  <c r="G6702" i="1"/>
  <c r="B7406" i="1"/>
  <c r="D7406" i="1"/>
  <c r="G7406" i="1"/>
  <c r="B16338" i="1"/>
  <c r="D16338" i="1"/>
  <c r="G16338" i="1"/>
  <c r="B2429" i="1"/>
  <c r="D2429" i="1"/>
  <c r="G2429" i="1"/>
  <c r="B1527" i="1"/>
  <c r="D1527" i="1"/>
  <c r="G1527" i="1"/>
  <c r="B2595" i="1"/>
  <c r="D2595" i="1"/>
  <c r="G2595" i="1"/>
  <c r="B2274" i="1"/>
  <c r="D2274" i="1"/>
  <c r="G2274" i="1"/>
  <c r="B488" i="1"/>
  <c r="D488" i="1"/>
  <c r="G488" i="1"/>
  <c r="B8661" i="1"/>
  <c r="D8661" i="1"/>
  <c r="G8661" i="1"/>
  <c r="B489" i="1"/>
  <c r="D489" i="1"/>
  <c r="G489" i="1"/>
  <c r="B8662" i="1"/>
  <c r="D8662" i="1"/>
  <c r="G8662" i="1"/>
  <c r="B3009" i="1"/>
  <c r="D3009" i="1"/>
  <c r="G3009" i="1"/>
  <c r="B3458" i="1"/>
  <c r="D3458" i="1"/>
  <c r="G3458" i="1"/>
  <c r="B21303" i="1"/>
  <c r="D21303" i="1"/>
  <c r="G21303" i="1"/>
  <c r="B19439" i="1"/>
  <c r="D19439" i="1"/>
  <c r="G19439" i="1"/>
  <c r="B3701" i="1"/>
  <c r="D3701" i="1"/>
  <c r="G3701" i="1"/>
  <c r="B5321" i="1"/>
  <c r="D5321" i="1"/>
  <c r="G5321" i="1"/>
  <c r="B1508" i="1"/>
  <c r="D1508" i="1"/>
  <c r="G1508" i="1"/>
  <c r="B2006" i="1"/>
  <c r="D2006" i="1"/>
  <c r="G2006" i="1"/>
  <c r="B2331" i="1"/>
  <c r="D2331" i="1"/>
  <c r="G2331" i="1"/>
  <c r="B2430" i="1"/>
  <c r="D2430" i="1"/>
  <c r="G2430" i="1"/>
  <c r="B3397" i="1"/>
  <c r="D3397" i="1"/>
  <c r="G3397" i="1"/>
  <c r="B20280" i="1"/>
  <c r="D20280" i="1"/>
  <c r="G20280" i="1"/>
  <c r="B4518" i="1"/>
  <c r="D4518" i="1"/>
  <c r="G4518" i="1"/>
  <c r="B20549" i="1"/>
  <c r="D20549" i="1"/>
  <c r="G20549" i="1"/>
  <c r="B20111" i="1"/>
  <c r="D20111" i="1"/>
  <c r="G20111" i="1"/>
  <c r="B2534" i="1"/>
  <c r="D2534" i="1"/>
  <c r="G2534" i="1"/>
  <c r="B21347" i="1"/>
  <c r="D21347" i="1"/>
  <c r="G21347" i="1"/>
  <c r="B1061" i="1"/>
  <c r="D1061" i="1"/>
  <c r="G1061" i="1"/>
  <c r="B5187" i="1"/>
  <c r="D5187" i="1"/>
  <c r="G5187" i="1"/>
  <c r="B8156" i="1"/>
  <c r="D8156" i="1"/>
  <c r="G8156" i="1"/>
  <c r="B8157" i="1"/>
  <c r="D8157" i="1"/>
  <c r="G8157" i="1"/>
  <c r="B8420" i="1"/>
  <c r="D8420" i="1"/>
  <c r="G8420" i="1"/>
  <c r="B8421" i="1"/>
  <c r="D8421" i="1"/>
  <c r="G8421" i="1"/>
  <c r="B8422" i="1"/>
  <c r="D8422" i="1"/>
  <c r="G8422" i="1"/>
  <c r="B8423" i="1"/>
  <c r="D8423" i="1"/>
  <c r="G8423" i="1"/>
  <c r="B1982" i="1"/>
  <c r="D1982" i="1"/>
  <c r="G1982" i="1"/>
  <c r="B6717" i="1"/>
  <c r="D6717" i="1"/>
  <c r="G6717" i="1"/>
  <c r="B14435" i="1"/>
  <c r="D14435" i="1"/>
  <c r="G14435" i="1"/>
  <c r="B2596" i="1"/>
  <c r="D2596" i="1"/>
  <c r="G2596" i="1"/>
  <c r="B3861" i="1"/>
  <c r="D3861" i="1"/>
  <c r="G3861" i="1"/>
  <c r="B21053" i="1"/>
  <c r="D21053" i="1"/>
  <c r="G21053" i="1"/>
  <c r="B20766" i="1"/>
  <c r="D20766" i="1"/>
  <c r="G20766" i="1"/>
  <c r="B21438" i="1"/>
  <c r="D21438" i="1"/>
  <c r="G21438" i="1"/>
  <c r="B7685" i="1"/>
  <c r="D7685" i="1"/>
  <c r="G7685" i="1"/>
  <c r="B7407" i="1"/>
  <c r="D7407" i="1"/>
  <c r="G7407" i="1"/>
  <c r="B7288" i="1"/>
  <c r="D7288" i="1"/>
  <c r="G7288" i="1"/>
  <c r="B923" i="1"/>
  <c r="D923" i="1"/>
  <c r="G923" i="1"/>
  <c r="B21869" i="1"/>
  <c r="D21869" i="1"/>
  <c r="G21869" i="1"/>
  <c r="B4081" i="1"/>
  <c r="D4081" i="1"/>
  <c r="G4081" i="1"/>
  <c r="B16035" i="1"/>
  <c r="D16035" i="1"/>
  <c r="G16035" i="1"/>
  <c r="B490" i="1"/>
  <c r="D490" i="1"/>
  <c r="G490" i="1"/>
  <c r="B13598" i="1"/>
  <c r="D13598" i="1"/>
  <c r="G13598" i="1"/>
  <c r="B8158" i="1"/>
  <c r="D8158" i="1"/>
  <c r="G8158" i="1"/>
  <c r="B8159" i="1"/>
  <c r="D8159" i="1"/>
  <c r="G8159" i="1"/>
  <c r="B11850" i="1"/>
  <c r="D11850" i="1"/>
  <c r="G11850" i="1"/>
  <c r="B491" i="1"/>
  <c r="D491" i="1"/>
  <c r="G491" i="1"/>
  <c r="B21779" i="1"/>
  <c r="D21779" i="1"/>
  <c r="G21779" i="1"/>
  <c r="B4190" i="1"/>
  <c r="D4190" i="1"/>
  <c r="G4190" i="1"/>
  <c r="B7289" i="1"/>
  <c r="D7289" i="1"/>
  <c r="G7289" i="1"/>
  <c r="B3" i="1"/>
  <c r="D3" i="1"/>
  <c r="G3" i="1"/>
  <c r="B2597" i="1"/>
  <c r="D2597" i="1"/>
  <c r="G2597" i="1"/>
  <c r="B21054" i="1"/>
  <c r="D21054" i="1"/>
  <c r="G21054" i="1"/>
  <c r="B2332" i="1"/>
  <c r="D2332" i="1"/>
  <c r="G2332" i="1"/>
  <c r="B7003" i="1"/>
  <c r="D7003" i="1"/>
  <c r="G7003" i="1"/>
  <c r="B2598" i="1"/>
  <c r="D2598" i="1"/>
  <c r="G2598" i="1"/>
  <c r="B8663" i="1"/>
  <c r="D8663" i="1"/>
  <c r="G8663" i="1"/>
  <c r="B8301" i="1"/>
  <c r="D8301" i="1"/>
  <c r="G8301" i="1"/>
  <c r="B7140" i="1"/>
  <c r="D7140" i="1"/>
  <c r="G7140" i="1"/>
  <c r="B7686" i="1"/>
  <c r="D7686" i="1"/>
  <c r="G7686" i="1"/>
  <c r="B7687" i="1"/>
  <c r="D7687" i="1"/>
  <c r="G7687" i="1"/>
  <c r="B8664" i="1"/>
  <c r="D8664" i="1"/>
  <c r="G8664" i="1"/>
  <c r="B3075" i="1"/>
  <c r="D3075" i="1"/>
  <c r="G3075" i="1"/>
  <c r="B5145" i="1"/>
  <c r="D5145" i="1"/>
  <c r="G5145" i="1"/>
  <c r="B8665" i="1"/>
  <c r="D8665" i="1"/>
  <c r="G8665" i="1"/>
  <c r="B3459" i="1"/>
  <c r="D3459" i="1"/>
  <c r="G3459" i="1"/>
  <c r="B7408" i="1"/>
  <c r="D7408" i="1"/>
  <c r="G7408" i="1"/>
  <c r="B2333" i="1"/>
  <c r="D2333" i="1"/>
  <c r="G2333" i="1"/>
  <c r="B4775" i="1"/>
  <c r="D4775" i="1"/>
  <c r="G4775" i="1"/>
  <c r="B2599" i="1"/>
  <c r="D2599" i="1"/>
  <c r="G2599" i="1"/>
  <c r="B2600" i="1"/>
  <c r="D2600" i="1"/>
  <c r="G2600" i="1"/>
  <c r="B2601" i="1"/>
  <c r="D2601" i="1"/>
  <c r="G2601" i="1"/>
  <c r="B2431" i="1"/>
  <c r="D2431" i="1"/>
  <c r="G2431" i="1"/>
  <c r="B8666" i="1"/>
  <c r="D8666" i="1"/>
  <c r="G8666" i="1"/>
  <c r="B3460" i="1"/>
  <c r="D3460" i="1"/>
  <c r="G3460" i="1"/>
  <c r="B2602" i="1"/>
  <c r="D2602" i="1"/>
  <c r="G2602" i="1"/>
  <c r="B14014" i="1"/>
  <c r="D14014" i="1"/>
  <c r="G14014" i="1"/>
  <c r="B8160" i="1"/>
  <c r="D8160" i="1"/>
  <c r="G8160" i="1"/>
  <c r="B5322" i="1"/>
  <c r="D5322" i="1"/>
  <c r="G5322" i="1"/>
  <c r="B2603" i="1"/>
  <c r="D2603" i="1"/>
  <c r="G2603" i="1"/>
  <c r="B1062" i="1"/>
  <c r="D1062" i="1"/>
  <c r="G1062" i="1"/>
  <c r="B1063" i="1"/>
  <c r="D1063" i="1"/>
  <c r="G1063" i="1"/>
  <c r="B3219" i="1"/>
  <c r="D3219" i="1"/>
  <c r="G3219" i="1"/>
  <c r="B5323" i="1"/>
  <c r="D5323" i="1"/>
  <c r="G5323" i="1"/>
  <c r="B7409" i="1"/>
  <c r="D7409" i="1"/>
  <c r="G7409" i="1"/>
  <c r="B8667" i="1"/>
  <c r="D8667" i="1"/>
  <c r="G8667" i="1"/>
  <c r="B3076" i="1"/>
  <c r="D3076" i="1"/>
  <c r="G3076" i="1"/>
  <c r="B21513" i="1"/>
  <c r="D21513" i="1"/>
  <c r="G21513" i="1"/>
  <c r="B19440" i="1"/>
  <c r="D19440" i="1"/>
  <c r="G19440" i="1"/>
  <c r="B7290" i="1"/>
  <c r="D7290" i="1"/>
  <c r="G7290" i="1"/>
  <c r="B1064" i="1"/>
  <c r="D1064" i="1"/>
  <c r="G1064" i="1"/>
  <c r="B7410" i="1"/>
  <c r="D7410" i="1"/>
  <c r="G7410" i="1"/>
  <c r="B3862" i="1"/>
  <c r="D3862" i="1"/>
  <c r="G3862" i="1"/>
  <c r="B8668" i="1"/>
  <c r="D8668" i="1"/>
  <c r="G8668" i="1"/>
  <c r="B9613" i="1"/>
  <c r="D9613" i="1"/>
  <c r="G9613" i="1"/>
  <c r="B9614" i="1"/>
  <c r="D9614" i="1"/>
  <c r="G9614" i="1"/>
  <c r="B9891" i="1"/>
  <c r="D9891" i="1"/>
  <c r="G9891" i="1"/>
  <c r="B7688" i="1"/>
  <c r="D7688" i="1"/>
  <c r="G7688" i="1"/>
  <c r="B7689" i="1"/>
  <c r="D7689" i="1"/>
  <c r="G7689" i="1"/>
  <c r="B8161" i="1"/>
  <c r="D8161" i="1"/>
  <c r="G8161" i="1"/>
  <c r="B3326" i="1"/>
  <c r="D3326" i="1"/>
  <c r="G3326" i="1"/>
  <c r="B8669" i="1"/>
  <c r="D8669" i="1"/>
  <c r="G8669" i="1"/>
  <c r="B9615" i="1"/>
  <c r="D9615" i="1"/>
  <c r="G9615" i="1"/>
  <c r="B9616" i="1"/>
  <c r="D9616" i="1"/>
  <c r="G9616" i="1"/>
  <c r="B9180" i="1"/>
  <c r="D9180" i="1"/>
  <c r="G9180" i="1"/>
  <c r="B9112" i="1"/>
  <c r="D9112" i="1"/>
  <c r="G9112" i="1"/>
  <c r="B3303" i="1"/>
  <c r="D3303" i="1"/>
  <c r="G3303" i="1"/>
  <c r="B4191" i="1"/>
  <c r="D4191" i="1"/>
  <c r="G4191" i="1"/>
  <c r="B3863" i="1"/>
  <c r="D3863" i="1"/>
  <c r="G3863" i="1"/>
  <c r="B974" i="1"/>
  <c r="D974" i="1"/>
  <c r="G974" i="1"/>
  <c r="B2334" i="1"/>
  <c r="D2334" i="1"/>
  <c r="G2334" i="1"/>
  <c r="B3398" i="1"/>
  <c r="D3398" i="1"/>
  <c r="G3398" i="1"/>
  <c r="B7411" i="1"/>
  <c r="D7411" i="1"/>
  <c r="G7411" i="1"/>
  <c r="B6718" i="1"/>
  <c r="D6718" i="1"/>
  <c r="G6718" i="1"/>
  <c r="B21671" i="1"/>
  <c r="D21671" i="1"/>
  <c r="G21671" i="1"/>
  <c r="B8670" i="1"/>
  <c r="D8670" i="1"/>
  <c r="G8670" i="1"/>
  <c r="B2335" i="1"/>
  <c r="D2335" i="1"/>
  <c r="G2335" i="1"/>
  <c r="B5827" i="1"/>
  <c r="D5827" i="1"/>
  <c r="G5827" i="1"/>
  <c r="B4684" i="1"/>
  <c r="D4684" i="1"/>
  <c r="G4684" i="1"/>
  <c r="B2432" i="1"/>
  <c r="D2432" i="1"/>
  <c r="G2432" i="1"/>
  <c r="B21055" i="1"/>
  <c r="D21055" i="1"/>
  <c r="G21055" i="1"/>
  <c r="B3461" i="1"/>
  <c r="D3461" i="1"/>
  <c r="G3461" i="1"/>
  <c r="B13599" i="1"/>
  <c r="D13599" i="1"/>
  <c r="G13599" i="1"/>
  <c r="B4296" i="1"/>
  <c r="D4296" i="1"/>
  <c r="G4296" i="1"/>
  <c r="B1065" i="1"/>
  <c r="D1065" i="1"/>
  <c r="G1065" i="1"/>
  <c r="B6164" i="1"/>
  <c r="D6164" i="1"/>
  <c r="G6164" i="1"/>
  <c r="B6165" i="1"/>
  <c r="D6165" i="1"/>
  <c r="G6165" i="1"/>
  <c r="B1066" i="1"/>
  <c r="D1066" i="1"/>
  <c r="G1066" i="1"/>
  <c r="B4586" i="1"/>
  <c r="D4586" i="1"/>
  <c r="G4586" i="1"/>
  <c r="B4459" i="1"/>
  <c r="D4459" i="1"/>
  <c r="G4459" i="1"/>
  <c r="B8162" i="1"/>
  <c r="D8162" i="1"/>
  <c r="G8162" i="1"/>
  <c r="B6530" i="1"/>
  <c r="D6530" i="1"/>
  <c r="G6530" i="1"/>
  <c r="B6531" i="1"/>
  <c r="D6531" i="1"/>
  <c r="G6531" i="1"/>
  <c r="B7690" i="1"/>
  <c r="D7690" i="1"/>
  <c r="G7690" i="1"/>
  <c r="B7691" i="1"/>
  <c r="D7691" i="1"/>
  <c r="G7691" i="1"/>
  <c r="B3462" i="1"/>
  <c r="D3462" i="1"/>
  <c r="G3462" i="1"/>
  <c r="B9617" i="1"/>
  <c r="D9617" i="1"/>
  <c r="G9617" i="1"/>
  <c r="B9618" i="1"/>
  <c r="D9618" i="1"/>
  <c r="G9618" i="1"/>
  <c r="B18431" i="1"/>
  <c r="D18431" i="1"/>
  <c r="G18431" i="1"/>
  <c r="B5324" i="1"/>
  <c r="D5324" i="1"/>
  <c r="G5324" i="1"/>
  <c r="B852" i="1"/>
  <c r="D852" i="1"/>
  <c r="G852" i="1"/>
  <c r="B6719" i="1"/>
  <c r="D6719" i="1"/>
  <c r="G6719" i="1"/>
  <c r="B6854" i="1"/>
  <c r="D6854" i="1"/>
  <c r="G6854" i="1"/>
  <c r="B2604" i="1"/>
  <c r="D2604" i="1"/>
  <c r="G2604" i="1"/>
  <c r="B441" i="1"/>
  <c r="D441" i="1"/>
  <c r="G441" i="1"/>
  <c r="B9360" i="1"/>
  <c r="D9360" i="1"/>
  <c r="G9360" i="1"/>
  <c r="B9538" i="1"/>
  <c r="D9538" i="1"/>
  <c r="G9538" i="1"/>
  <c r="B9539" i="1"/>
  <c r="D9539" i="1"/>
  <c r="G9539" i="1"/>
  <c r="B2275" i="1"/>
  <c r="D2275" i="1"/>
  <c r="G2275" i="1"/>
  <c r="B8671" i="1"/>
  <c r="D8671" i="1"/>
  <c r="G8671" i="1"/>
  <c r="B21056" i="1"/>
  <c r="D21056" i="1"/>
  <c r="G21056" i="1"/>
  <c r="B2336" i="1"/>
  <c r="D2336" i="1"/>
  <c r="G2336" i="1"/>
  <c r="B4685" i="1"/>
  <c r="D4685" i="1"/>
  <c r="G4685" i="1"/>
  <c r="B5325" i="1"/>
  <c r="D5325" i="1"/>
  <c r="G5325" i="1"/>
  <c r="B6923" i="1"/>
  <c r="D6923" i="1"/>
  <c r="G6923" i="1"/>
  <c r="B810" i="1"/>
  <c r="D810" i="1"/>
  <c r="G810" i="1"/>
  <c r="B1067" i="1"/>
  <c r="D1067" i="1"/>
  <c r="G1067" i="1"/>
  <c r="B84" i="1"/>
  <c r="D84" i="1"/>
  <c r="G84" i="1"/>
  <c r="B3038" i="1"/>
  <c r="D3038" i="1"/>
  <c r="G3038" i="1"/>
  <c r="B10439" i="1"/>
  <c r="D10439" i="1"/>
  <c r="G10439" i="1"/>
  <c r="B4930" i="1"/>
  <c r="D4930" i="1"/>
  <c r="G4930" i="1"/>
  <c r="B8672" i="1"/>
  <c r="D8672" i="1"/>
  <c r="G8672" i="1"/>
  <c r="B1565" i="1"/>
  <c r="D1565" i="1"/>
  <c r="G1565" i="1"/>
  <c r="B4435" i="1"/>
  <c r="D4435" i="1"/>
  <c r="G4435" i="1"/>
  <c r="B6166" i="1"/>
  <c r="D6166" i="1"/>
  <c r="G6166" i="1"/>
  <c r="B2605" i="1"/>
  <c r="D2605" i="1"/>
  <c r="G2605" i="1"/>
  <c r="B4904" i="1"/>
  <c r="D4904" i="1"/>
  <c r="G4904" i="1"/>
  <c r="B1380" i="1"/>
  <c r="D1380" i="1"/>
  <c r="G1380" i="1"/>
  <c r="B3463" i="1"/>
  <c r="D3463" i="1"/>
  <c r="G3463" i="1"/>
  <c r="B2483" i="1"/>
  <c r="D2483" i="1"/>
  <c r="G2483" i="1"/>
  <c r="B8424" i="1"/>
  <c r="D8424" i="1"/>
  <c r="G8424" i="1"/>
  <c r="B10440" i="1"/>
  <c r="D10440" i="1"/>
  <c r="G10440" i="1"/>
  <c r="B6627" i="1"/>
  <c r="D6627" i="1"/>
  <c r="G6627" i="1"/>
  <c r="B1068" i="1"/>
  <c r="D1068" i="1"/>
  <c r="G1068" i="1"/>
  <c r="B4519" i="1"/>
  <c r="D4519" i="1"/>
  <c r="G4519" i="1"/>
  <c r="B3814" i="1"/>
  <c r="D3814" i="1"/>
  <c r="G3814" i="1"/>
  <c r="B4776" i="1"/>
  <c r="D4776" i="1"/>
  <c r="G4776" i="1"/>
  <c r="B5326" i="1"/>
  <c r="D5326" i="1"/>
  <c r="G5326" i="1"/>
  <c r="B7412" i="1"/>
  <c r="D7412" i="1"/>
  <c r="G7412" i="1"/>
  <c r="B9222" i="1"/>
  <c r="D9222" i="1"/>
  <c r="G9222" i="1"/>
  <c r="B5327" i="1"/>
  <c r="D5327" i="1"/>
  <c r="G5327" i="1"/>
  <c r="B8673" i="1"/>
  <c r="D8673" i="1"/>
  <c r="G8673" i="1"/>
  <c r="B2276" i="1"/>
  <c r="D2276" i="1"/>
  <c r="G2276" i="1"/>
  <c r="B363" i="1"/>
  <c r="D363" i="1"/>
  <c r="G363" i="1"/>
  <c r="B4918" i="1"/>
  <c r="D4918" i="1"/>
  <c r="G4918" i="1"/>
  <c r="B5328" i="1"/>
  <c r="D5328" i="1"/>
  <c r="G5328" i="1"/>
  <c r="B5329" i="1"/>
  <c r="D5329" i="1"/>
  <c r="G5329" i="1"/>
  <c r="B3464" i="1"/>
  <c r="D3464" i="1"/>
  <c r="G3464" i="1"/>
  <c r="B6167" i="1"/>
  <c r="D6167" i="1"/>
  <c r="G6167" i="1"/>
  <c r="B6168" i="1"/>
  <c r="D6168" i="1"/>
  <c r="G6168" i="1"/>
  <c r="B2525" i="1"/>
  <c r="D2525" i="1"/>
  <c r="G2525" i="1"/>
  <c r="B9619" i="1"/>
  <c r="D9619" i="1"/>
  <c r="G9619" i="1"/>
  <c r="B2606" i="1"/>
  <c r="D2606" i="1"/>
  <c r="G2606" i="1"/>
  <c r="B3864" i="1"/>
  <c r="D3864" i="1"/>
  <c r="G3864" i="1"/>
  <c r="B2607" i="1"/>
  <c r="D2607" i="1"/>
  <c r="G2607" i="1"/>
  <c r="B9620" i="1"/>
  <c r="D9620" i="1"/>
  <c r="G9620" i="1"/>
  <c r="B9621" i="1"/>
  <c r="D9621" i="1"/>
  <c r="G9621" i="1"/>
  <c r="B9622" i="1"/>
  <c r="D9622" i="1"/>
  <c r="G9622" i="1"/>
  <c r="B10101" i="1"/>
  <c r="D10101" i="1"/>
  <c r="G10101" i="1"/>
  <c r="B4436" i="1"/>
  <c r="D4436" i="1"/>
  <c r="G4436" i="1"/>
  <c r="B85" i="1"/>
  <c r="D85" i="1"/>
  <c r="G85" i="1"/>
  <c r="B6720" i="1"/>
  <c r="D6720" i="1"/>
  <c r="G6720" i="1"/>
  <c r="B6924" i="1"/>
  <c r="D6924" i="1"/>
  <c r="G6924" i="1"/>
  <c r="B1566" i="1"/>
  <c r="D1566" i="1"/>
  <c r="G1566" i="1"/>
  <c r="B5995" i="1"/>
  <c r="D5995" i="1"/>
  <c r="G5995" i="1"/>
  <c r="B1567" i="1"/>
  <c r="D1567" i="1"/>
  <c r="G1567" i="1"/>
  <c r="B6169" i="1"/>
  <c r="D6169" i="1"/>
  <c r="G6169" i="1"/>
  <c r="B6170" i="1"/>
  <c r="D6170" i="1"/>
  <c r="G6170" i="1"/>
  <c r="B9361" i="1"/>
  <c r="D9361" i="1"/>
  <c r="G9361" i="1"/>
  <c r="B2608" i="1"/>
  <c r="D2608" i="1"/>
  <c r="G2608" i="1"/>
  <c r="B6721" i="1"/>
  <c r="D6721" i="1"/>
  <c r="G6721" i="1"/>
  <c r="B2541" i="1"/>
  <c r="D2541" i="1"/>
  <c r="G2541" i="1"/>
  <c r="B4686" i="1"/>
  <c r="D4686" i="1"/>
  <c r="G4686" i="1"/>
  <c r="B10105" i="1"/>
  <c r="D10105" i="1"/>
  <c r="G10105" i="1"/>
  <c r="B7413" i="1"/>
  <c r="D7413" i="1"/>
  <c r="G7413" i="1"/>
  <c r="B6628" i="1"/>
  <c r="D6628" i="1"/>
  <c r="G6628" i="1"/>
  <c r="B1509" i="1"/>
  <c r="D1509" i="1"/>
  <c r="G1509" i="1"/>
  <c r="B4520" i="1"/>
  <c r="D4520" i="1"/>
  <c r="G4520" i="1"/>
  <c r="B3865" i="1"/>
  <c r="D3865" i="1"/>
  <c r="G3865" i="1"/>
  <c r="B1069" i="1"/>
  <c r="D1069" i="1"/>
  <c r="G1069" i="1"/>
  <c r="B1381" i="1"/>
  <c r="D1381" i="1"/>
  <c r="G1381" i="1"/>
  <c r="B4931" i="1"/>
  <c r="D4931" i="1"/>
  <c r="G4931" i="1"/>
  <c r="B6171" i="1"/>
  <c r="D6171" i="1"/>
  <c r="G6171" i="1"/>
  <c r="B6172" i="1"/>
  <c r="D6172" i="1"/>
  <c r="G6172" i="1"/>
  <c r="B9623" i="1"/>
  <c r="D9623" i="1"/>
  <c r="G9623" i="1"/>
  <c r="B9624" i="1"/>
  <c r="D9624" i="1"/>
  <c r="G9624" i="1"/>
  <c r="B11374" i="1"/>
  <c r="D11374" i="1"/>
  <c r="G11374" i="1"/>
  <c r="B2609" i="1"/>
  <c r="D2609" i="1"/>
  <c r="G2609" i="1"/>
  <c r="B4587" i="1"/>
  <c r="D4587" i="1"/>
  <c r="G4587" i="1"/>
  <c r="B4460" i="1"/>
  <c r="D4460" i="1"/>
  <c r="G4460" i="1"/>
  <c r="B268" i="1"/>
  <c r="D268" i="1"/>
  <c r="G268" i="1"/>
  <c r="B11871" i="1"/>
  <c r="D11871" i="1"/>
  <c r="G11871" i="1"/>
  <c r="B9540" i="1"/>
  <c r="D9540" i="1"/>
  <c r="G9540" i="1"/>
  <c r="B11031" i="1"/>
  <c r="D11031" i="1"/>
  <c r="G11031" i="1"/>
  <c r="B13713" i="1"/>
  <c r="D13713" i="1"/>
  <c r="G13713" i="1"/>
  <c r="B2526" i="1"/>
  <c r="D2526" i="1"/>
  <c r="G2526" i="1"/>
  <c r="B5188" i="1"/>
  <c r="D5188" i="1"/>
  <c r="G5188" i="1"/>
  <c r="B4932" i="1"/>
  <c r="D4932" i="1"/>
  <c r="G4932" i="1"/>
  <c r="B2097" i="1"/>
  <c r="D2097" i="1"/>
  <c r="G2097" i="1"/>
  <c r="B11765" i="1"/>
  <c r="D11765" i="1"/>
  <c r="G11765" i="1"/>
  <c r="B7692" i="1"/>
  <c r="D7692" i="1"/>
  <c r="G7692" i="1"/>
  <c r="B7693" i="1"/>
  <c r="D7693" i="1"/>
  <c r="G7693" i="1"/>
  <c r="B2610" i="1"/>
  <c r="D2610" i="1"/>
  <c r="G2610" i="1"/>
  <c r="B2611" i="1"/>
  <c r="D2611" i="1"/>
  <c r="G2611" i="1"/>
  <c r="B2612" i="1"/>
  <c r="D2612" i="1"/>
  <c r="G2612" i="1"/>
  <c r="B2613" i="1"/>
  <c r="D2613" i="1"/>
  <c r="G2613" i="1"/>
  <c r="B7694" i="1"/>
  <c r="D7694" i="1"/>
  <c r="G7694" i="1"/>
  <c r="B10441" i="1"/>
  <c r="D10441" i="1"/>
  <c r="G10441" i="1"/>
  <c r="B3465" i="1"/>
  <c r="D3465" i="1"/>
  <c r="G3465" i="1"/>
  <c r="B2614" i="1"/>
  <c r="D2614" i="1"/>
  <c r="G2614" i="1"/>
  <c r="B1070" i="1"/>
  <c r="D1070" i="1"/>
  <c r="G1070" i="1"/>
  <c r="B10442" i="1"/>
  <c r="D10442" i="1"/>
  <c r="G10442" i="1"/>
  <c r="B2615" i="1"/>
  <c r="D2615" i="1"/>
  <c r="G2615" i="1"/>
  <c r="B2616" i="1"/>
  <c r="D2616" i="1"/>
  <c r="G2616" i="1"/>
  <c r="B1071" i="1"/>
  <c r="D1071" i="1"/>
  <c r="G1071" i="1"/>
  <c r="B5330" i="1"/>
  <c r="D5330" i="1"/>
  <c r="G5330" i="1"/>
  <c r="B10261" i="1"/>
  <c r="D10261" i="1"/>
  <c r="G10261" i="1"/>
  <c r="B1072" i="1"/>
  <c r="D1072" i="1"/>
  <c r="G1072" i="1"/>
  <c r="B3866" i="1"/>
  <c r="D3866" i="1"/>
  <c r="G3866" i="1"/>
  <c r="B5331" i="1"/>
  <c r="D5331" i="1"/>
  <c r="G5331" i="1"/>
  <c r="B2617" i="1"/>
  <c r="D2617" i="1"/>
  <c r="G2617" i="1"/>
  <c r="B924" i="1"/>
  <c r="D924" i="1"/>
  <c r="G924" i="1"/>
  <c r="B5652" i="1"/>
  <c r="D5652" i="1"/>
  <c r="G5652" i="1"/>
  <c r="B3077" i="1"/>
  <c r="D3077" i="1"/>
  <c r="G3077" i="1"/>
  <c r="B2618" i="1"/>
  <c r="D2618" i="1"/>
  <c r="G2618" i="1"/>
  <c r="B1073" i="1"/>
  <c r="D1073" i="1"/>
  <c r="G1073" i="1"/>
  <c r="B6925" i="1"/>
  <c r="D6925" i="1"/>
  <c r="G6925" i="1"/>
  <c r="B8382" i="1"/>
  <c r="D8382" i="1"/>
  <c r="G8382" i="1"/>
  <c r="B975" i="1"/>
  <c r="D975" i="1"/>
  <c r="G975" i="1"/>
  <c r="B9940" i="1"/>
  <c r="D9940" i="1"/>
  <c r="G9940" i="1"/>
  <c r="B1857" i="1"/>
  <c r="D1857" i="1"/>
  <c r="G1857" i="1"/>
  <c r="B11495" i="1"/>
  <c r="D11495" i="1"/>
  <c r="G11495" i="1"/>
  <c r="B11496" i="1"/>
  <c r="D11496" i="1"/>
  <c r="G11496" i="1"/>
  <c r="B11654" i="1"/>
  <c r="D11654" i="1"/>
  <c r="G11654" i="1"/>
  <c r="B11655" i="1"/>
  <c r="D11655" i="1"/>
  <c r="G11655" i="1"/>
  <c r="B2619" i="1"/>
  <c r="D2619" i="1"/>
  <c r="G2619" i="1"/>
  <c r="B3867" i="1"/>
  <c r="D3867" i="1"/>
  <c r="G3867" i="1"/>
  <c r="B4521" i="1"/>
  <c r="D4521" i="1"/>
  <c r="G4521" i="1"/>
  <c r="B8674" i="1"/>
  <c r="D8674" i="1"/>
  <c r="G8674" i="1"/>
  <c r="B2484" i="1"/>
  <c r="D2484" i="1"/>
  <c r="G2484" i="1"/>
  <c r="B7695" i="1"/>
  <c r="D7695" i="1"/>
  <c r="G7695" i="1"/>
  <c r="B7414" i="1"/>
  <c r="D7414" i="1"/>
  <c r="G7414" i="1"/>
  <c r="B7291" i="1"/>
  <c r="D7291" i="1"/>
  <c r="G7291" i="1"/>
  <c r="B10443" i="1"/>
  <c r="D10443" i="1"/>
  <c r="G10443" i="1"/>
  <c r="B10444" i="1"/>
  <c r="D10444" i="1"/>
  <c r="G10444" i="1"/>
  <c r="B10744" i="1"/>
  <c r="D10744" i="1"/>
  <c r="G10744" i="1"/>
  <c r="B10745" i="1"/>
  <c r="D10745" i="1"/>
  <c r="G10745" i="1"/>
  <c r="B8049" i="1"/>
  <c r="D8049" i="1"/>
  <c r="G8049" i="1"/>
  <c r="B2620" i="1"/>
  <c r="D2620" i="1"/>
  <c r="G2620" i="1"/>
  <c r="B6722" i="1"/>
  <c r="D6722" i="1"/>
  <c r="G6722" i="1"/>
  <c r="B11096" i="1"/>
  <c r="D11096" i="1"/>
  <c r="G11096" i="1"/>
  <c r="B6173" i="1"/>
  <c r="D6173" i="1"/>
  <c r="G6173" i="1"/>
  <c r="B13384" i="1"/>
  <c r="D13384" i="1"/>
  <c r="G13384" i="1"/>
  <c r="B8230" i="1"/>
  <c r="D8230" i="1"/>
  <c r="G8230" i="1"/>
  <c r="B8231" i="1"/>
  <c r="D8231" i="1"/>
  <c r="G8231" i="1"/>
  <c r="B4933" i="1"/>
  <c r="D4933" i="1"/>
  <c r="G4933" i="1"/>
  <c r="B21672" i="1"/>
  <c r="D21672" i="1"/>
  <c r="G21672" i="1"/>
  <c r="B18730" i="1"/>
  <c r="D18730" i="1"/>
  <c r="G18730" i="1"/>
  <c r="B5332" i="1"/>
  <c r="D5332" i="1"/>
  <c r="G5332" i="1"/>
  <c r="B2621" i="1"/>
  <c r="D2621" i="1"/>
  <c r="G2621" i="1"/>
  <c r="B754" i="1"/>
  <c r="D754" i="1"/>
  <c r="G754" i="1"/>
  <c r="B11656" i="1"/>
  <c r="D11656" i="1"/>
  <c r="G11656" i="1"/>
  <c r="B11497" i="1"/>
  <c r="D11497" i="1"/>
  <c r="G11497" i="1"/>
  <c r="B11980" i="1"/>
  <c r="D11980" i="1"/>
  <c r="G11980" i="1"/>
  <c r="B86" i="1"/>
  <c r="D86" i="1"/>
  <c r="G86" i="1"/>
  <c r="B5148" i="1"/>
  <c r="D5148" i="1"/>
  <c r="G5148" i="1"/>
  <c r="B5333" i="1"/>
  <c r="D5333" i="1"/>
  <c r="G5333" i="1"/>
  <c r="B7292" i="1"/>
  <c r="D7292" i="1"/>
  <c r="G7292" i="1"/>
  <c r="B11375" i="1"/>
  <c r="D11375" i="1"/>
  <c r="G11375" i="1"/>
  <c r="B4297" i="1"/>
  <c r="D4297" i="1"/>
  <c r="G4297" i="1"/>
  <c r="B11872" i="1"/>
  <c r="D11872" i="1"/>
  <c r="G11872" i="1"/>
  <c r="B11376" i="1"/>
  <c r="D11376" i="1"/>
  <c r="G11376" i="1"/>
  <c r="B8087" i="1"/>
  <c r="D8087" i="1"/>
  <c r="G8087" i="1"/>
  <c r="B4777" i="1"/>
  <c r="D4777" i="1"/>
  <c r="G4777" i="1"/>
  <c r="B2622" i="1"/>
  <c r="D2622" i="1"/>
  <c r="G2622" i="1"/>
  <c r="B1074" i="1"/>
  <c r="D1074" i="1"/>
  <c r="G1074" i="1"/>
  <c r="B1075" i="1"/>
  <c r="D1075" i="1"/>
  <c r="G1075" i="1"/>
  <c r="B5828" i="1"/>
  <c r="D5828" i="1"/>
  <c r="G5828" i="1"/>
  <c r="B2073" i="1"/>
  <c r="D2073" i="1"/>
  <c r="G2073" i="1"/>
  <c r="B1945" i="1"/>
  <c r="D1945" i="1"/>
  <c r="G1945" i="1"/>
  <c r="B11766" i="1"/>
  <c r="D11766" i="1"/>
  <c r="G11766" i="1"/>
  <c r="B11767" i="1"/>
  <c r="D11767" i="1"/>
  <c r="G11767" i="1"/>
  <c r="B7141" i="1"/>
  <c r="D7141" i="1"/>
  <c r="G7141" i="1"/>
  <c r="B7142" i="1"/>
  <c r="D7142" i="1"/>
  <c r="G7142" i="1"/>
  <c r="B5829" i="1"/>
  <c r="D5829" i="1"/>
  <c r="G5829" i="1"/>
  <c r="B7696" i="1"/>
  <c r="D7696" i="1"/>
  <c r="G7696" i="1"/>
  <c r="B7697" i="1"/>
  <c r="D7697" i="1"/>
  <c r="G7697" i="1"/>
  <c r="B7698" i="1"/>
  <c r="D7698" i="1"/>
  <c r="G7698" i="1"/>
  <c r="B10445" i="1"/>
  <c r="D10445" i="1"/>
  <c r="G10445" i="1"/>
  <c r="B1858" i="1"/>
  <c r="D1858" i="1"/>
  <c r="G1858" i="1"/>
  <c r="B8088" i="1"/>
  <c r="D8088" i="1"/>
  <c r="G8088" i="1"/>
  <c r="B676" i="1"/>
  <c r="D676" i="1"/>
  <c r="G676" i="1"/>
  <c r="B8675" i="1"/>
  <c r="D8675" i="1"/>
  <c r="G8675" i="1"/>
  <c r="B2623" i="1"/>
  <c r="D2623" i="1"/>
  <c r="G2623" i="1"/>
  <c r="B11032" i="1"/>
  <c r="D11032" i="1"/>
  <c r="G11032" i="1"/>
  <c r="B1076" i="1"/>
  <c r="D1076" i="1"/>
  <c r="G1076" i="1"/>
  <c r="B11097" i="1"/>
  <c r="D11097" i="1"/>
  <c r="G11097" i="1"/>
  <c r="B5334" i="1"/>
  <c r="D5334" i="1"/>
  <c r="G5334" i="1"/>
  <c r="B5981" i="1"/>
  <c r="D5981" i="1"/>
  <c r="G5981" i="1"/>
  <c r="B10262" i="1"/>
  <c r="D10262" i="1"/>
  <c r="G10262" i="1"/>
  <c r="B10746" i="1"/>
  <c r="D10746" i="1"/>
  <c r="G10746" i="1"/>
  <c r="B8425" i="1"/>
  <c r="D8425" i="1"/>
  <c r="G8425" i="1"/>
  <c r="B8426" i="1"/>
  <c r="D8426" i="1"/>
  <c r="G8426" i="1"/>
  <c r="B11296" i="1"/>
  <c r="D11296" i="1"/>
  <c r="G11296" i="1"/>
  <c r="B6174" i="1"/>
  <c r="D6174" i="1"/>
  <c r="G6174" i="1"/>
  <c r="B8427" i="1"/>
  <c r="D8427" i="1"/>
  <c r="G8427" i="1"/>
  <c r="B7415" i="1"/>
  <c r="D7415" i="1"/>
  <c r="G7415" i="1"/>
  <c r="B11981" i="1"/>
  <c r="D11981" i="1"/>
  <c r="G11981" i="1"/>
  <c r="B10263" i="1"/>
  <c r="D10263" i="1"/>
  <c r="G10263" i="1"/>
  <c r="B8089" i="1"/>
  <c r="D8089" i="1"/>
  <c r="G8089" i="1"/>
  <c r="B3078" i="1"/>
  <c r="D3078" i="1"/>
  <c r="G3078" i="1"/>
  <c r="B2337" i="1"/>
  <c r="D2337" i="1"/>
  <c r="G2337" i="1"/>
  <c r="B8676" i="1"/>
  <c r="D8676" i="1"/>
  <c r="G8676" i="1"/>
  <c r="B1077" i="1"/>
  <c r="D1077" i="1"/>
  <c r="G1077" i="1"/>
  <c r="B2433" i="1"/>
  <c r="D2433" i="1"/>
  <c r="G2433" i="1"/>
  <c r="B20550" i="1"/>
  <c r="D20550" i="1"/>
  <c r="G20550" i="1"/>
  <c r="B9941" i="1"/>
  <c r="D9941" i="1"/>
  <c r="G9941" i="1"/>
  <c r="B5743" i="1"/>
  <c r="D5743" i="1"/>
  <c r="G5743" i="1"/>
  <c r="B20551" i="1"/>
  <c r="D20551" i="1"/>
  <c r="G20551" i="1"/>
  <c r="B3466" i="1"/>
  <c r="D3466" i="1"/>
  <c r="G3466" i="1"/>
  <c r="B3467" i="1"/>
  <c r="D3467" i="1"/>
  <c r="G3467" i="1"/>
  <c r="B11498" i="1"/>
  <c r="D11498" i="1"/>
  <c r="G11498" i="1"/>
  <c r="B11499" i="1"/>
  <c r="D11499" i="1"/>
  <c r="G11499" i="1"/>
  <c r="B11500" i="1"/>
  <c r="D11500" i="1"/>
  <c r="G11500" i="1"/>
  <c r="B11501" i="1"/>
  <c r="D11501" i="1"/>
  <c r="G11501" i="1"/>
  <c r="B11730" i="1"/>
  <c r="D11730" i="1"/>
  <c r="G11730" i="1"/>
  <c r="B20552" i="1"/>
  <c r="D20552" i="1"/>
  <c r="G20552" i="1"/>
  <c r="B20553" i="1"/>
  <c r="D20553" i="1"/>
  <c r="G20553" i="1"/>
  <c r="B1078" i="1"/>
  <c r="D1078" i="1"/>
  <c r="G1078" i="1"/>
  <c r="B10446" i="1"/>
  <c r="D10446" i="1"/>
  <c r="G10446" i="1"/>
  <c r="B10747" i="1"/>
  <c r="D10747" i="1"/>
  <c r="G10747" i="1"/>
  <c r="B10748" i="1"/>
  <c r="D10748" i="1"/>
  <c r="G10748" i="1"/>
  <c r="B1079" i="1"/>
  <c r="D1079" i="1"/>
  <c r="G1079" i="1"/>
  <c r="B11098" i="1"/>
  <c r="D11098" i="1"/>
  <c r="G11098" i="1"/>
  <c r="B5335" i="1"/>
  <c r="D5335" i="1"/>
  <c r="G5335" i="1"/>
  <c r="B6723" i="1"/>
  <c r="D6723" i="1"/>
  <c r="G6723" i="1"/>
  <c r="B5336" i="1"/>
  <c r="D5336" i="1"/>
  <c r="G5336" i="1"/>
  <c r="B8677" i="1"/>
  <c r="D8677" i="1"/>
  <c r="G8677" i="1"/>
  <c r="B20281" i="1"/>
  <c r="D20281" i="1"/>
  <c r="G20281" i="1"/>
  <c r="B4905" i="1"/>
  <c r="D4905" i="1"/>
  <c r="G4905" i="1"/>
  <c r="B8428" i="1"/>
  <c r="D8428" i="1"/>
  <c r="G8428" i="1"/>
  <c r="B8678" i="1"/>
  <c r="D8678" i="1"/>
  <c r="G8678" i="1"/>
  <c r="B7293" i="1"/>
  <c r="D7293" i="1"/>
  <c r="G7293" i="1"/>
  <c r="B5653" i="1"/>
  <c r="D5653" i="1"/>
  <c r="G5653" i="1"/>
  <c r="B5654" i="1"/>
  <c r="D5654" i="1"/>
  <c r="G5654" i="1"/>
  <c r="B10345" i="1"/>
  <c r="D10345" i="1"/>
  <c r="G10345" i="1"/>
  <c r="B10749" i="1"/>
  <c r="D10749" i="1"/>
  <c r="G10749" i="1"/>
  <c r="B12373" i="1"/>
  <c r="D12373" i="1"/>
  <c r="G12373" i="1"/>
  <c r="B5337" i="1"/>
  <c r="D5337" i="1"/>
  <c r="G5337" i="1"/>
  <c r="B12374" i="1"/>
  <c r="D12374" i="1"/>
  <c r="G12374" i="1"/>
  <c r="B19965" i="1"/>
  <c r="D19965" i="1"/>
  <c r="G19965" i="1"/>
  <c r="B19966" i="1"/>
  <c r="D19966" i="1"/>
  <c r="G19966" i="1"/>
  <c r="B11502" i="1"/>
  <c r="D11502" i="1"/>
  <c r="G11502" i="1"/>
  <c r="B11503" i="1"/>
  <c r="D11503" i="1"/>
  <c r="G11503" i="1"/>
  <c r="B11982" i="1"/>
  <c r="D11982" i="1"/>
  <c r="G11982" i="1"/>
  <c r="B3840" i="1"/>
  <c r="D3840" i="1"/>
  <c r="G3840" i="1"/>
  <c r="B3868" i="1"/>
  <c r="D3868" i="1"/>
  <c r="G3868" i="1"/>
  <c r="B11377" i="1"/>
  <c r="D11377" i="1"/>
  <c r="G11377" i="1"/>
  <c r="B11323" i="1"/>
  <c r="D11323" i="1"/>
  <c r="G11323" i="1"/>
  <c r="B8679" i="1"/>
  <c r="D8679" i="1"/>
  <c r="G8679" i="1"/>
  <c r="B4080" i="1"/>
  <c r="D4080" i="1"/>
  <c r="G4080" i="1"/>
  <c r="B5655" i="1"/>
  <c r="D5655" i="1"/>
  <c r="G5655" i="1"/>
  <c r="B5656" i="1"/>
  <c r="D5656" i="1"/>
  <c r="G5656" i="1"/>
  <c r="B7699" i="1"/>
  <c r="D7699" i="1"/>
  <c r="G7699" i="1"/>
  <c r="B7700" i="1"/>
  <c r="D7700" i="1"/>
  <c r="G7700" i="1"/>
  <c r="B8680" i="1"/>
  <c r="D8680" i="1"/>
  <c r="G8680" i="1"/>
  <c r="B5996" i="1"/>
  <c r="D5996" i="1"/>
  <c r="G5996" i="1"/>
  <c r="B10447" i="1"/>
  <c r="D10447" i="1"/>
  <c r="G10447" i="1"/>
  <c r="B6850" i="1"/>
  <c r="D6850" i="1"/>
  <c r="G6850" i="1"/>
  <c r="B6175" i="1"/>
  <c r="D6175" i="1"/>
  <c r="G6175" i="1"/>
  <c r="B6176" i="1"/>
  <c r="D6176" i="1"/>
  <c r="G6176" i="1"/>
  <c r="B7701" i="1"/>
  <c r="D7701" i="1"/>
  <c r="G7701" i="1"/>
  <c r="B5338" i="1"/>
  <c r="D5338" i="1"/>
  <c r="G5338" i="1"/>
  <c r="B11099" i="1"/>
  <c r="D11099" i="1"/>
  <c r="G11099" i="1"/>
  <c r="B7416" i="1"/>
  <c r="D7416" i="1"/>
  <c r="G7416" i="1"/>
  <c r="B6554" i="1"/>
  <c r="D6554" i="1"/>
  <c r="G6554" i="1"/>
  <c r="B5830" i="1"/>
  <c r="D5830" i="1"/>
  <c r="G5830" i="1"/>
  <c r="B5812" i="1"/>
  <c r="D5812" i="1"/>
  <c r="G5812" i="1"/>
  <c r="B2338" i="1"/>
  <c r="D2338" i="1"/>
  <c r="G2338" i="1"/>
  <c r="B11733" i="1"/>
  <c r="D11733" i="1"/>
  <c r="G11733" i="1"/>
  <c r="B12933" i="1"/>
  <c r="D12933" i="1"/>
  <c r="G12933" i="1"/>
  <c r="B11983" i="1"/>
  <c r="D11983" i="1"/>
  <c r="G11983" i="1"/>
  <c r="B10264" i="1"/>
  <c r="D10264" i="1"/>
  <c r="G10264" i="1"/>
  <c r="B2015" i="1"/>
  <c r="D2015" i="1"/>
  <c r="G2015" i="1"/>
  <c r="B6629" i="1"/>
  <c r="D6629" i="1"/>
  <c r="G6629" i="1"/>
  <c r="B3869" i="1"/>
  <c r="D3869" i="1"/>
  <c r="G3869" i="1"/>
  <c r="B11984" i="1"/>
  <c r="D11984" i="1"/>
  <c r="G11984" i="1"/>
  <c r="B7417" i="1"/>
  <c r="D7417" i="1"/>
  <c r="G7417" i="1"/>
  <c r="B4687" i="1"/>
  <c r="D4687" i="1"/>
  <c r="G4687" i="1"/>
  <c r="B6926" i="1"/>
  <c r="D6926" i="1"/>
  <c r="G6926" i="1"/>
  <c r="B12963" i="1"/>
  <c r="D12963" i="1"/>
  <c r="G12963" i="1"/>
  <c r="B12375" i="1"/>
  <c r="D12375" i="1"/>
  <c r="G12375" i="1"/>
  <c r="B8681" i="1"/>
  <c r="D8681" i="1"/>
  <c r="G8681" i="1"/>
  <c r="B8682" i="1"/>
  <c r="D8682" i="1"/>
  <c r="G8682" i="1"/>
  <c r="B8683" i="1"/>
  <c r="D8683" i="1"/>
  <c r="G8683" i="1"/>
  <c r="B1983" i="1"/>
  <c r="D1983" i="1"/>
  <c r="G1983" i="1"/>
  <c r="B10346" i="1"/>
  <c r="D10346" i="1"/>
  <c r="G10346" i="1"/>
  <c r="B10750" i="1"/>
  <c r="D10750" i="1"/>
  <c r="G10750" i="1"/>
  <c r="B4522" i="1"/>
  <c r="D4522" i="1"/>
  <c r="G4522" i="1"/>
  <c r="B3468" i="1"/>
  <c r="D3468" i="1"/>
  <c r="G3468" i="1"/>
  <c r="B2016" i="1"/>
  <c r="D2016" i="1"/>
  <c r="G2016" i="1"/>
  <c r="B8684" i="1"/>
  <c r="D8684" i="1"/>
  <c r="G8684" i="1"/>
  <c r="B18432" i="1"/>
  <c r="D18432" i="1"/>
  <c r="G18432" i="1"/>
  <c r="B12798" i="1"/>
  <c r="D12798" i="1"/>
  <c r="G12798" i="1"/>
  <c r="B8272" i="1"/>
  <c r="D8272" i="1"/>
  <c r="G8272" i="1"/>
  <c r="B1080" i="1"/>
  <c r="D1080" i="1"/>
  <c r="G1080" i="1"/>
  <c r="B6927" i="1"/>
  <c r="D6927" i="1"/>
  <c r="G6927" i="1"/>
  <c r="B4778" i="1"/>
  <c r="D4778" i="1"/>
  <c r="G4778" i="1"/>
  <c r="B20554" i="1"/>
  <c r="D20554" i="1"/>
  <c r="G20554" i="1"/>
  <c r="B13733" i="1"/>
  <c r="D13733" i="1"/>
  <c r="G13733" i="1"/>
  <c r="B20555" i="1"/>
  <c r="D20555" i="1"/>
  <c r="G20555" i="1"/>
  <c r="B19967" i="1"/>
  <c r="D19967" i="1"/>
  <c r="G19967" i="1"/>
  <c r="B19968" i="1"/>
  <c r="D19968" i="1"/>
  <c r="G19968" i="1"/>
  <c r="B11504" i="1"/>
  <c r="D11504" i="1"/>
  <c r="G11504" i="1"/>
  <c r="B6724" i="1"/>
  <c r="D6724" i="1"/>
  <c r="G6724" i="1"/>
  <c r="B20556" i="1"/>
  <c r="D20556" i="1"/>
  <c r="G20556" i="1"/>
  <c r="B20557" i="1"/>
  <c r="D20557" i="1"/>
  <c r="G20557" i="1"/>
  <c r="B2485" i="1"/>
  <c r="D2485" i="1"/>
  <c r="G2485" i="1"/>
  <c r="B10347" i="1"/>
  <c r="D10347" i="1"/>
  <c r="G10347" i="1"/>
  <c r="B10448" i="1"/>
  <c r="D10448" i="1"/>
  <c r="G10448" i="1"/>
  <c r="B976" i="1"/>
  <c r="D976" i="1"/>
  <c r="G976" i="1"/>
  <c r="B9113" i="1"/>
  <c r="D9113" i="1"/>
  <c r="G9113" i="1"/>
  <c r="B7702" i="1"/>
  <c r="D7702" i="1"/>
  <c r="G7702" i="1"/>
  <c r="B7646" i="1"/>
  <c r="D7646" i="1"/>
  <c r="G7646" i="1"/>
  <c r="B7294" i="1"/>
  <c r="D7294" i="1"/>
  <c r="G7294" i="1"/>
  <c r="B20282" i="1"/>
  <c r="D20282" i="1"/>
  <c r="G20282" i="1"/>
  <c r="B13046" i="1"/>
  <c r="D13046" i="1"/>
  <c r="G13046" i="1"/>
  <c r="B7004" i="1"/>
  <c r="D7004" i="1"/>
  <c r="G7004" i="1"/>
  <c r="B3469" i="1"/>
  <c r="D3469" i="1"/>
  <c r="G3469" i="1"/>
  <c r="B3470" i="1"/>
  <c r="D3470" i="1"/>
  <c r="G3470" i="1"/>
  <c r="B8429" i="1"/>
  <c r="D8429" i="1"/>
  <c r="G8429" i="1"/>
  <c r="B8430" i="1"/>
  <c r="D8430" i="1"/>
  <c r="G8430" i="1"/>
  <c r="B10751" i="1"/>
  <c r="D10751" i="1"/>
  <c r="G10751" i="1"/>
  <c r="B11100" i="1"/>
  <c r="D11100" i="1"/>
  <c r="G11100" i="1"/>
  <c r="B11985" i="1"/>
  <c r="D11985" i="1"/>
  <c r="G11985" i="1"/>
  <c r="B14475" i="1"/>
  <c r="D14475" i="1"/>
  <c r="G14475" i="1"/>
  <c r="B8431" i="1"/>
  <c r="D8431" i="1"/>
  <c r="G8431" i="1"/>
  <c r="B12649" i="1"/>
  <c r="D12649" i="1"/>
  <c r="G12649" i="1"/>
  <c r="B8432" i="1"/>
  <c r="D8432" i="1"/>
  <c r="G8432" i="1"/>
  <c r="B8433" i="1"/>
  <c r="D8433" i="1"/>
  <c r="G8433" i="1"/>
  <c r="B6725" i="1"/>
  <c r="D6725" i="1"/>
  <c r="G6725" i="1"/>
  <c r="B19969" i="1"/>
  <c r="D19969" i="1"/>
  <c r="G19969" i="1"/>
  <c r="B19970" i="1"/>
  <c r="D19970" i="1"/>
  <c r="G19970" i="1"/>
  <c r="B3327" i="1"/>
  <c r="D3327" i="1"/>
  <c r="G3327" i="1"/>
  <c r="B3328" i="1"/>
  <c r="D3328" i="1"/>
  <c r="G3328" i="1"/>
  <c r="B13047" i="1"/>
  <c r="D13047" i="1"/>
  <c r="G13047" i="1"/>
  <c r="B8685" i="1"/>
  <c r="D8685" i="1"/>
  <c r="G8685" i="1"/>
  <c r="B7295" i="1"/>
  <c r="D7295" i="1"/>
  <c r="G7295" i="1"/>
  <c r="B21870" i="1"/>
  <c r="D21870" i="1"/>
  <c r="G21870" i="1"/>
  <c r="B16339" i="1"/>
  <c r="D16339" i="1"/>
  <c r="G16339" i="1"/>
  <c r="B8686" i="1"/>
  <c r="D8686" i="1"/>
  <c r="G8686" i="1"/>
  <c r="B7703" i="1"/>
  <c r="D7703" i="1"/>
  <c r="G7703" i="1"/>
  <c r="B13268" i="1"/>
  <c r="D13268" i="1"/>
  <c r="G13268" i="1"/>
  <c r="B12799" i="1"/>
  <c r="D12799" i="1"/>
  <c r="G12799" i="1"/>
  <c r="B8302" i="1"/>
  <c r="D8302" i="1"/>
  <c r="G8302" i="1"/>
  <c r="B7143" i="1"/>
  <c r="D7143" i="1"/>
  <c r="G7143" i="1"/>
  <c r="B7144" i="1"/>
  <c r="D7144" i="1"/>
  <c r="G7144" i="1"/>
  <c r="B20767" i="1"/>
  <c r="D20767" i="1"/>
  <c r="G20767" i="1"/>
  <c r="B7704" i="1"/>
  <c r="D7704" i="1"/>
  <c r="G7704" i="1"/>
  <c r="B20768" i="1"/>
  <c r="D20768" i="1"/>
  <c r="G20768" i="1"/>
  <c r="B19151" i="1"/>
  <c r="D19151" i="1"/>
  <c r="G19151" i="1"/>
  <c r="B12964" i="1"/>
  <c r="D12964" i="1"/>
  <c r="G12964" i="1"/>
  <c r="B12800" i="1"/>
  <c r="D12800" i="1"/>
  <c r="G12800" i="1"/>
  <c r="B7705" i="1"/>
  <c r="D7705" i="1"/>
  <c r="G7705" i="1"/>
  <c r="B7418" i="1"/>
  <c r="D7418" i="1"/>
  <c r="G7418" i="1"/>
  <c r="B3039" i="1"/>
  <c r="D3039" i="1"/>
  <c r="G3039" i="1"/>
  <c r="B7296" i="1"/>
  <c r="D7296" i="1"/>
  <c r="G7296" i="1"/>
  <c r="B4688" i="1"/>
  <c r="D4688" i="1"/>
  <c r="G4688" i="1"/>
  <c r="B13016" i="1"/>
  <c r="D13016" i="1"/>
  <c r="G13016" i="1"/>
  <c r="B10348" i="1"/>
  <c r="D10348" i="1"/>
  <c r="G10348" i="1"/>
  <c r="B10449" i="1"/>
  <c r="D10449" i="1"/>
  <c r="G10449" i="1"/>
  <c r="B811" i="1"/>
  <c r="D811" i="1"/>
  <c r="G811" i="1"/>
  <c r="B7419" i="1"/>
  <c r="D7419" i="1"/>
  <c r="G7419" i="1"/>
  <c r="B22119" i="1"/>
  <c r="D22119" i="1"/>
  <c r="G22119" i="1"/>
  <c r="B11851" i="1"/>
  <c r="D11851" i="1"/>
  <c r="G11851" i="1"/>
  <c r="B1081" i="1"/>
  <c r="D1081" i="1"/>
  <c r="G1081" i="1"/>
  <c r="B5811" i="1"/>
  <c r="D5811" i="1"/>
  <c r="G5811" i="1"/>
  <c r="B453" i="1"/>
  <c r="D453" i="1"/>
  <c r="G453" i="1"/>
  <c r="B3220" i="1"/>
  <c r="D3220" i="1"/>
  <c r="G3220" i="1"/>
  <c r="B812" i="1"/>
  <c r="D812" i="1"/>
  <c r="G812" i="1"/>
  <c r="B8687" i="1"/>
  <c r="D8687" i="1"/>
  <c r="G8687" i="1"/>
  <c r="B10752" i="1"/>
  <c r="D10752" i="1"/>
  <c r="G10752" i="1"/>
  <c r="B11101" i="1"/>
  <c r="D11101" i="1"/>
  <c r="G11101" i="1"/>
  <c r="B7005" i="1"/>
  <c r="D7005" i="1"/>
  <c r="G7005" i="1"/>
  <c r="B8232" i="1"/>
  <c r="D8232" i="1"/>
  <c r="G8232" i="1"/>
  <c r="B9362" i="1"/>
  <c r="D9362" i="1"/>
  <c r="G9362" i="1"/>
  <c r="B11986" i="1"/>
  <c r="D11986" i="1"/>
  <c r="G11986" i="1"/>
  <c r="B19441" i="1"/>
  <c r="D19441" i="1"/>
  <c r="G19441" i="1"/>
  <c r="B4588" i="1"/>
  <c r="D4588" i="1"/>
  <c r="G4588" i="1"/>
  <c r="B8163" i="1"/>
  <c r="D8163" i="1"/>
  <c r="G8163" i="1"/>
  <c r="B9968" i="1"/>
  <c r="D9968" i="1"/>
  <c r="G9968" i="1"/>
  <c r="B4934" i="1"/>
  <c r="D4934" i="1"/>
  <c r="G4934" i="1"/>
  <c r="B8688" i="1"/>
  <c r="D8688" i="1"/>
  <c r="G8688" i="1"/>
  <c r="B8050" i="1"/>
  <c r="D8050" i="1"/>
  <c r="G8050" i="1"/>
  <c r="B11987" i="1"/>
  <c r="D11987" i="1"/>
  <c r="G11987" i="1"/>
  <c r="B10753" i="1"/>
  <c r="D10753" i="1"/>
  <c r="G10753" i="1"/>
  <c r="B11102" i="1"/>
  <c r="D11102" i="1"/>
  <c r="G11102" i="1"/>
  <c r="B8689" i="1"/>
  <c r="D8689" i="1"/>
  <c r="G8689" i="1"/>
  <c r="B12801" i="1"/>
  <c r="D12801" i="1"/>
  <c r="G12801" i="1"/>
  <c r="B21514" i="1"/>
  <c r="D21514" i="1"/>
  <c r="G21514" i="1"/>
  <c r="B7297" i="1"/>
  <c r="D7297" i="1"/>
  <c r="G7297" i="1"/>
  <c r="B19152" i="1"/>
  <c r="D19152" i="1"/>
  <c r="G19152" i="1"/>
  <c r="B18818" i="1"/>
  <c r="D18818" i="1"/>
  <c r="G18818" i="1"/>
  <c r="B8233" i="1"/>
  <c r="D8233" i="1"/>
  <c r="G8233" i="1"/>
  <c r="B7298" i="1"/>
  <c r="D7298" i="1"/>
  <c r="G7298" i="1"/>
  <c r="B7039" i="1"/>
  <c r="D7039" i="1"/>
  <c r="G7039" i="1"/>
  <c r="B22120" i="1"/>
  <c r="D22120" i="1"/>
  <c r="G22120" i="1"/>
  <c r="B2624" i="1"/>
  <c r="D2624" i="1"/>
  <c r="G2624" i="1"/>
  <c r="B16340" i="1"/>
  <c r="D16340" i="1"/>
  <c r="G16340" i="1"/>
  <c r="B8090" i="1"/>
  <c r="D8090" i="1"/>
  <c r="G8090" i="1"/>
  <c r="B3870" i="1"/>
  <c r="D3870" i="1"/>
  <c r="G3870" i="1"/>
  <c r="B12490" i="1"/>
  <c r="D12490" i="1"/>
  <c r="G12490" i="1"/>
  <c r="B8303" i="1"/>
  <c r="D8303" i="1"/>
  <c r="G8303" i="1"/>
  <c r="B11988" i="1"/>
  <c r="D11988" i="1"/>
  <c r="G11988" i="1"/>
  <c r="B13048" i="1"/>
  <c r="D13048" i="1"/>
  <c r="G13048" i="1"/>
  <c r="B7145" i="1"/>
  <c r="D7145" i="1"/>
  <c r="G7145" i="1"/>
  <c r="B7146" i="1"/>
  <c r="D7146" i="1"/>
  <c r="G7146" i="1"/>
  <c r="B7706" i="1"/>
  <c r="D7706" i="1"/>
  <c r="G7706" i="1"/>
  <c r="B7707" i="1"/>
  <c r="D7707" i="1"/>
  <c r="G7707" i="1"/>
  <c r="B7708" i="1"/>
  <c r="D7708" i="1"/>
  <c r="G7708" i="1"/>
  <c r="B7709" i="1"/>
  <c r="D7709" i="1"/>
  <c r="G7709" i="1"/>
  <c r="B3471" i="1"/>
  <c r="D3471" i="1"/>
  <c r="G3471" i="1"/>
  <c r="B3472" i="1"/>
  <c r="D3472" i="1"/>
  <c r="G3472" i="1"/>
  <c r="B4589" i="1"/>
  <c r="D4589" i="1"/>
  <c r="G4589" i="1"/>
  <c r="B1528" i="1"/>
  <c r="D1528" i="1"/>
  <c r="G1528" i="1"/>
  <c r="B7710" i="1"/>
  <c r="D7710" i="1"/>
  <c r="G7710" i="1"/>
  <c r="B7711" i="1"/>
  <c r="D7711" i="1"/>
  <c r="G7711" i="1"/>
  <c r="B20558" i="1"/>
  <c r="D20558" i="1"/>
  <c r="G20558" i="1"/>
  <c r="B8164" i="1"/>
  <c r="D8164" i="1"/>
  <c r="G8164" i="1"/>
  <c r="B7420" i="1"/>
  <c r="D7420" i="1"/>
  <c r="G7420" i="1"/>
  <c r="B8690" i="1"/>
  <c r="D8690" i="1"/>
  <c r="G8690" i="1"/>
  <c r="B13144" i="1"/>
  <c r="D13144" i="1"/>
  <c r="G13144" i="1"/>
  <c r="B3871" i="1"/>
  <c r="D3871" i="1"/>
  <c r="G3871" i="1"/>
  <c r="B19442" i="1"/>
  <c r="D19442" i="1"/>
  <c r="G19442" i="1"/>
  <c r="B11103" i="1"/>
  <c r="D11103" i="1"/>
  <c r="G11103" i="1"/>
  <c r="B10450" i="1"/>
  <c r="D10450" i="1"/>
  <c r="G10450" i="1"/>
  <c r="B372" i="1"/>
  <c r="D372" i="1"/>
  <c r="G372" i="1"/>
  <c r="B7712" i="1"/>
  <c r="D7712" i="1"/>
  <c r="G7712" i="1"/>
  <c r="B7421" i="1"/>
  <c r="D7421" i="1"/>
  <c r="G7421" i="1"/>
  <c r="B11989" i="1"/>
  <c r="D11989" i="1"/>
  <c r="G11989" i="1"/>
  <c r="B7422" i="1"/>
  <c r="D7422" i="1"/>
  <c r="G7422" i="1"/>
  <c r="B7299" i="1"/>
  <c r="D7299" i="1"/>
  <c r="G7299" i="1"/>
  <c r="B9892" i="1"/>
  <c r="D9892" i="1"/>
  <c r="G9892" i="1"/>
  <c r="B8051" i="1"/>
  <c r="D8051" i="1"/>
  <c r="G8051" i="1"/>
  <c r="B8091" i="1"/>
  <c r="D8091" i="1"/>
  <c r="G8091" i="1"/>
  <c r="B14456" i="1"/>
  <c r="D14456" i="1"/>
  <c r="G14456" i="1"/>
  <c r="B9625" i="1"/>
  <c r="D9625" i="1"/>
  <c r="G9625" i="1"/>
  <c r="B9626" i="1"/>
  <c r="D9626" i="1"/>
  <c r="G9626" i="1"/>
  <c r="B9893" i="1"/>
  <c r="D9893" i="1"/>
  <c r="G9893" i="1"/>
  <c r="B7423" i="1"/>
  <c r="D7423" i="1"/>
  <c r="G7423" i="1"/>
  <c r="B1859" i="1"/>
  <c r="D1859" i="1"/>
  <c r="G1859" i="1"/>
  <c r="B9627" i="1"/>
  <c r="D9627" i="1"/>
  <c r="G9627" i="1"/>
  <c r="B9628" i="1"/>
  <c r="D9628" i="1"/>
  <c r="G9628" i="1"/>
  <c r="B19001" i="1"/>
  <c r="D19001" i="1"/>
  <c r="G19001" i="1"/>
  <c r="B12802" i="1"/>
  <c r="D12802" i="1"/>
  <c r="G12802" i="1"/>
  <c r="B19153" i="1"/>
  <c r="D19153" i="1"/>
  <c r="G19153" i="1"/>
  <c r="B14960" i="1"/>
  <c r="D14960" i="1"/>
  <c r="G14960" i="1"/>
  <c r="B21673" i="1"/>
  <c r="D21673" i="1"/>
  <c r="G21673" i="1"/>
  <c r="B8691" i="1"/>
  <c r="D8691" i="1"/>
  <c r="G8691" i="1"/>
  <c r="B18433" i="1"/>
  <c r="D18433" i="1"/>
  <c r="G18433" i="1"/>
  <c r="B8692" i="1"/>
  <c r="D8692" i="1"/>
  <c r="G8692" i="1"/>
  <c r="B7300" i="1"/>
  <c r="D7300" i="1"/>
  <c r="G7300" i="1"/>
  <c r="B1860" i="1"/>
  <c r="D1860" i="1"/>
  <c r="G1860" i="1"/>
  <c r="B10754" i="1"/>
  <c r="D10754" i="1"/>
  <c r="G10754" i="1"/>
  <c r="B15413" i="1"/>
  <c r="D15413" i="1"/>
  <c r="G15413" i="1"/>
  <c r="B14961" i="1"/>
  <c r="D14961" i="1"/>
  <c r="G14961" i="1"/>
  <c r="B2625" i="1"/>
  <c r="D2625" i="1"/>
  <c r="G2625" i="1"/>
  <c r="B14962" i="1"/>
  <c r="D14962" i="1"/>
  <c r="G14962" i="1"/>
  <c r="B6726" i="1"/>
  <c r="D6726" i="1"/>
  <c r="G6726" i="1"/>
  <c r="B21871" i="1"/>
  <c r="D21871" i="1"/>
  <c r="G21871" i="1"/>
  <c r="B7147" i="1"/>
  <c r="D7147" i="1"/>
  <c r="G7147" i="1"/>
  <c r="B12803" i="1"/>
  <c r="D12803" i="1"/>
  <c r="G12803" i="1"/>
  <c r="B8693" i="1"/>
  <c r="D8693" i="1"/>
  <c r="G8693" i="1"/>
  <c r="B8304" i="1"/>
  <c r="D8304" i="1"/>
  <c r="G8304" i="1"/>
  <c r="B7148" i="1"/>
  <c r="D7148" i="1"/>
  <c r="G7148" i="1"/>
  <c r="B7149" i="1"/>
  <c r="D7149" i="1"/>
  <c r="G7149" i="1"/>
  <c r="B7713" i="1"/>
  <c r="D7713" i="1"/>
  <c r="G7713" i="1"/>
  <c r="B7714" i="1"/>
  <c r="D7714" i="1"/>
  <c r="G7714" i="1"/>
  <c r="B8694" i="1"/>
  <c r="D8694" i="1"/>
  <c r="G8694" i="1"/>
  <c r="B13206" i="1"/>
  <c r="D13206" i="1"/>
  <c r="G13206" i="1"/>
  <c r="B7715" i="1"/>
  <c r="D7715" i="1"/>
  <c r="G7715" i="1"/>
  <c r="B7716" i="1"/>
  <c r="D7716" i="1"/>
  <c r="G7716" i="1"/>
  <c r="B13011" i="1"/>
  <c r="D13011" i="1"/>
  <c r="G13011" i="1"/>
  <c r="B4523" i="1"/>
  <c r="D4523" i="1"/>
  <c r="G4523" i="1"/>
  <c r="B2017" i="1"/>
  <c r="D2017" i="1"/>
  <c r="G2017" i="1"/>
  <c r="B9629" i="1"/>
  <c r="D9629" i="1"/>
  <c r="G9629" i="1"/>
  <c r="B9630" i="1"/>
  <c r="D9630" i="1"/>
  <c r="G9630" i="1"/>
  <c r="B19002" i="1"/>
  <c r="D19002" i="1"/>
  <c r="G19002" i="1"/>
  <c r="B18819" i="1"/>
  <c r="D18819" i="1"/>
  <c r="G18819" i="1"/>
  <c r="B6727" i="1"/>
  <c r="D6727" i="1"/>
  <c r="G6727" i="1"/>
  <c r="B7424" i="1"/>
  <c r="D7424" i="1"/>
  <c r="G7424" i="1"/>
  <c r="B8695" i="1"/>
  <c r="D8695" i="1"/>
  <c r="G8695" i="1"/>
  <c r="B14709" i="1"/>
  <c r="D14709" i="1"/>
  <c r="G14709" i="1"/>
  <c r="B18820" i="1"/>
  <c r="D18820" i="1"/>
  <c r="G18820" i="1"/>
  <c r="B7717" i="1"/>
  <c r="D7717" i="1"/>
  <c r="G7717" i="1"/>
  <c r="B7718" i="1"/>
  <c r="D7718" i="1"/>
  <c r="G7718" i="1"/>
  <c r="B3329" i="1"/>
  <c r="D3329" i="1"/>
  <c r="G3329" i="1"/>
  <c r="B13636" i="1"/>
  <c r="D13636" i="1"/>
  <c r="G13636" i="1"/>
  <c r="B176" i="1"/>
  <c r="D176" i="1"/>
  <c r="G176" i="1"/>
  <c r="B21674" i="1"/>
  <c r="D21674" i="1"/>
  <c r="G21674" i="1"/>
  <c r="B21675" i="1"/>
  <c r="D21675" i="1"/>
  <c r="G21675" i="1"/>
  <c r="B4935" i="1"/>
  <c r="D4935" i="1"/>
  <c r="G4935" i="1"/>
  <c r="B8696" i="1"/>
  <c r="D8696" i="1"/>
  <c r="G8696" i="1"/>
  <c r="B9223" i="1"/>
  <c r="D9223" i="1"/>
  <c r="G9223" i="1"/>
  <c r="B5813" i="1"/>
  <c r="D5813" i="1"/>
  <c r="G5813" i="1"/>
  <c r="B2626" i="1"/>
  <c r="D2626" i="1"/>
  <c r="G2626" i="1"/>
  <c r="B7425" i="1"/>
  <c r="D7425" i="1"/>
  <c r="G7425" i="1"/>
  <c r="B13269" i="1"/>
  <c r="D13269" i="1"/>
  <c r="G13269" i="1"/>
  <c r="B5744" i="1"/>
  <c r="D5744" i="1"/>
  <c r="G5744" i="1"/>
  <c r="B310" i="1"/>
  <c r="D310" i="1"/>
  <c r="G310" i="1"/>
  <c r="B308" i="1"/>
  <c r="D308" i="1"/>
  <c r="G308" i="1"/>
  <c r="B13270" i="1"/>
  <c r="D13270" i="1"/>
  <c r="G13270" i="1"/>
  <c r="B8697" i="1"/>
  <c r="D8697" i="1"/>
  <c r="G8697" i="1"/>
  <c r="B21381" i="1"/>
  <c r="D21381" i="1"/>
  <c r="G21381" i="1"/>
  <c r="B9942" i="1"/>
  <c r="D9942" i="1"/>
  <c r="G9942" i="1"/>
  <c r="B8698" i="1"/>
  <c r="D8698" i="1"/>
  <c r="G8698" i="1"/>
  <c r="B3473" i="1"/>
  <c r="D3473" i="1"/>
  <c r="G3473" i="1"/>
  <c r="B7301" i="1"/>
  <c r="D7301" i="1"/>
  <c r="G7301" i="1"/>
  <c r="B18434" i="1"/>
  <c r="D18434" i="1"/>
  <c r="G18434" i="1"/>
  <c r="B12804" i="1"/>
  <c r="D12804" i="1"/>
  <c r="G12804" i="1"/>
  <c r="B2627" i="1"/>
  <c r="D2627" i="1"/>
  <c r="G2627" i="1"/>
  <c r="B1082" i="1"/>
  <c r="D1082" i="1"/>
  <c r="G1082" i="1"/>
  <c r="B1083" i="1"/>
  <c r="D1083" i="1"/>
  <c r="G1083" i="1"/>
  <c r="B8699" i="1"/>
  <c r="D8699" i="1"/>
  <c r="G8699" i="1"/>
  <c r="B7062" i="1"/>
  <c r="D7062" i="1"/>
  <c r="G7062" i="1"/>
  <c r="B8700" i="1"/>
  <c r="D8700" i="1"/>
  <c r="G8700" i="1"/>
  <c r="B9363" i="1"/>
  <c r="D9363" i="1"/>
  <c r="G9363" i="1"/>
  <c r="B7719" i="1"/>
  <c r="D7719" i="1"/>
  <c r="G7719" i="1"/>
  <c r="B7720" i="1"/>
  <c r="D7720" i="1"/>
  <c r="G7720" i="1"/>
  <c r="B2628" i="1"/>
  <c r="D2628" i="1"/>
  <c r="G2628" i="1"/>
  <c r="B16341" i="1"/>
  <c r="D16341" i="1"/>
  <c r="G16341" i="1"/>
  <c r="B1084" i="1"/>
  <c r="D1084" i="1"/>
  <c r="G1084" i="1"/>
  <c r="B16342" i="1"/>
  <c r="D16342" i="1"/>
  <c r="G16342" i="1"/>
  <c r="B5339" i="1"/>
  <c r="D5339" i="1"/>
  <c r="G5339" i="1"/>
  <c r="B11835" i="1"/>
  <c r="D11835" i="1"/>
  <c r="G11835" i="1"/>
  <c r="B13981" i="1"/>
  <c r="D13981" i="1"/>
  <c r="G13981" i="1"/>
  <c r="B3872" i="1"/>
  <c r="D3872" i="1"/>
  <c r="G3872" i="1"/>
  <c r="B7426" i="1"/>
  <c r="D7426" i="1"/>
  <c r="G7426" i="1"/>
  <c r="B977" i="1"/>
  <c r="D977" i="1"/>
  <c r="G977" i="1"/>
  <c r="B13049" i="1"/>
  <c r="D13049" i="1"/>
  <c r="G13049" i="1"/>
  <c r="B6928" i="1"/>
  <c r="D6928" i="1"/>
  <c r="G6928" i="1"/>
  <c r="B9155" i="1"/>
  <c r="D9155" i="1"/>
  <c r="G9155" i="1"/>
  <c r="B20077" i="1"/>
  <c r="D20077" i="1"/>
  <c r="G20077" i="1"/>
  <c r="B11990" i="1"/>
  <c r="D11990" i="1"/>
  <c r="G11990" i="1"/>
  <c r="B1085" i="1"/>
  <c r="D1085" i="1"/>
  <c r="G1085" i="1"/>
  <c r="B7427" i="1"/>
  <c r="D7427" i="1"/>
  <c r="G7427" i="1"/>
  <c r="B19443" i="1"/>
  <c r="D19443" i="1"/>
  <c r="G19443" i="1"/>
  <c r="B21872" i="1"/>
  <c r="D21872" i="1"/>
  <c r="G21872" i="1"/>
  <c r="B10050" i="1"/>
  <c r="D10050" i="1"/>
  <c r="G10050" i="1"/>
  <c r="B9631" i="1"/>
  <c r="D9631" i="1"/>
  <c r="G9631" i="1"/>
  <c r="B9632" i="1"/>
  <c r="D9632" i="1"/>
  <c r="G9632" i="1"/>
  <c r="B9943" i="1"/>
  <c r="D9943" i="1"/>
  <c r="G9943" i="1"/>
  <c r="B16343" i="1"/>
  <c r="D16343" i="1"/>
  <c r="G16343" i="1"/>
  <c r="B8701" i="1"/>
  <c r="D8701" i="1"/>
  <c r="G8701" i="1"/>
  <c r="B22121" i="1"/>
  <c r="D22121" i="1"/>
  <c r="G22121" i="1"/>
  <c r="B8702" i="1"/>
  <c r="D8702" i="1"/>
  <c r="G8702" i="1"/>
  <c r="B14268" i="1"/>
  <c r="D14268" i="1"/>
  <c r="G14268" i="1"/>
  <c r="B18167" i="1"/>
  <c r="D18167" i="1"/>
  <c r="G18167" i="1"/>
  <c r="B2629" i="1"/>
  <c r="D2629" i="1"/>
  <c r="G2629" i="1"/>
  <c r="B14602" i="1"/>
  <c r="D14602" i="1"/>
  <c r="G14602" i="1"/>
  <c r="B14963" i="1"/>
  <c r="D14963" i="1"/>
  <c r="G14963" i="1"/>
  <c r="B15414" i="1"/>
  <c r="D15414" i="1"/>
  <c r="G15414" i="1"/>
  <c r="B14777" i="1"/>
  <c r="D14777" i="1"/>
  <c r="G14777" i="1"/>
  <c r="B4524" i="1"/>
  <c r="D4524" i="1"/>
  <c r="G4524" i="1"/>
  <c r="B14710" i="1"/>
  <c r="D14710" i="1"/>
  <c r="G14710" i="1"/>
  <c r="B21382" i="1"/>
  <c r="D21382" i="1"/>
  <c r="G21382" i="1"/>
  <c r="B13271" i="1"/>
  <c r="D13271" i="1"/>
  <c r="G13271" i="1"/>
  <c r="B14350" i="1"/>
  <c r="D14350" i="1"/>
  <c r="G14350" i="1"/>
  <c r="B11991" i="1"/>
  <c r="D11991" i="1"/>
  <c r="G11991" i="1"/>
  <c r="B19444" i="1"/>
  <c r="D19444" i="1"/>
  <c r="G19444" i="1"/>
  <c r="B15960" i="1"/>
  <c r="D15960" i="1"/>
  <c r="G15960" i="1"/>
  <c r="B15680" i="1"/>
  <c r="D15680" i="1"/>
  <c r="G15680" i="1"/>
  <c r="B13614" i="1"/>
  <c r="D13614" i="1"/>
  <c r="G13614" i="1"/>
  <c r="B677" i="1"/>
  <c r="D677" i="1"/>
  <c r="G677" i="1"/>
  <c r="B22014" i="1"/>
  <c r="D22014" i="1"/>
  <c r="G22014" i="1"/>
  <c r="B18821" i="1"/>
  <c r="D18821" i="1"/>
  <c r="G18821" i="1"/>
  <c r="B14964" i="1"/>
  <c r="D14964" i="1"/>
  <c r="G14964" i="1"/>
  <c r="B15415" i="1"/>
  <c r="D15415" i="1"/>
  <c r="G15415" i="1"/>
  <c r="B22015" i="1"/>
  <c r="D22015" i="1"/>
  <c r="G22015" i="1"/>
  <c r="B11852" i="1"/>
  <c r="D11852" i="1"/>
  <c r="G11852" i="1"/>
  <c r="B6728" i="1"/>
  <c r="D6728" i="1"/>
  <c r="G6728" i="1"/>
  <c r="B13050" i="1"/>
  <c r="D13050" i="1"/>
  <c r="G13050" i="1"/>
  <c r="B18435" i="1"/>
  <c r="D18435" i="1"/>
  <c r="G18435" i="1"/>
  <c r="B9633" i="1"/>
  <c r="D9633" i="1"/>
  <c r="G9633" i="1"/>
  <c r="B2018" i="1"/>
  <c r="D2018" i="1"/>
  <c r="G2018" i="1"/>
  <c r="B7006" i="1"/>
  <c r="D7006" i="1"/>
  <c r="G7006" i="1"/>
  <c r="B21676" i="1"/>
  <c r="D21676" i="1"/>
  <c r="G21676" i="1"/>
  <c r="B21677" i="1"/>
  <c r="D21677" i="1"/>
  <c r="G21677" i="1"/>
  <c r="B5807" i="1"/>
  <c r="D5807" i="1"/>
  <c r="G5807" i="1"/>
  <c r="B5831" i="1"/>
  <c r="D5831" i="1"/>
  <c r="G5831" i="1"/>
  <c r="B20769" i="1"/>
  <c r="D20769" i="1"/>
  <c r="G20769" i="1"/>
  <c r="B19154" i="1"/>
  <c r="D19154" i="1"/>
  <c r="G19154" i="1"/>
  <c r="B18822" i="1"/>
  <c r="D18822" i="1"/>
  <c r="G18822" i="1"/>
  <c r="B12805" i="1"/>
  <c r="D12805" i="1"/>
  <c r="G12805" i="1"/>
  <c r="B14168" i="1"/>
  <c r="D14168" i="1"/>
  <c r="G14168" i="1"/>
  <c r="B8703" i="1"/>
  <c r="D8703" i="1"/>
  <c r="G8703" i="1"/>
  <c r="B11992" i="1"/>
  <c r="D11992" i="1"/>
  <c r="G11992" i="1"/>
  <c r="B14797" i="1"/>
  <c r="D14797" i="1"/>
  <c r="G14797" i="1"/>
  <c r="B7721" i="1"/>
  <c r="D7721" i="1"/>
  <c r="G7721" i="1"/>
  <c r="B7722" i="1"/>
  <c r="D7722" i="1"/>
  <c r="G7722" i="1"/>
  <c r="B9577" i="1"/>
  <c r="D9577" i="1"/>
  <c r="G9577" i="1"/>
  <c r="B5657" i="1"/>
  <c r="D5657" i="1"/>
  <c r="G5657" i="1"/>
  <c r="B5658" i="1"/>
  <c r="D5658" i="1"/>
  <c r="G5658" i="1"/>
  <c r="B802" i="1"/>
  <c r="D802" i="1"/>
  <c r="G802" i="1"/>
  <c r="B8234" i="1"/>
  <c r="D8234" i="1"/>
  <c r="G8234" i="1"/>
  <c r="B11378" i="1"/>
  <c r="D11378" i="1"/>
  <c r="G11378" i="1"/>
  <c r="B978" i="1"/>
  <c r="D978" i="1"/>
  <c r="G978" i="1"/>
  <c r="B979" i="1"/>
  <c r="D979" i="1"/>
  <c r="G979" i="1"/>
  <c r="B13051" i="1"/>
  <c r="D13051" i="1"/>
  <c r="G13051" i="1"/>
  <c r="B813" i="1"/>
  <c r="D813" i="1"/>
  <c r="G813" i="1"/>
  <c r="B10451" i="1"/>
  <c r="D10451" i="1"/>
  <c r="G10451" i="1"/>
  <c r="B980" i="1"/>
  <c r="D980" i="1"/>
  <c r="G980" i="1"/>
  <c r="B981" i="1"/>
  <c r="D981" i="1"/>
  <c r="G981" i="1"/>
  <c r="B11768" i="1"/>
  <c r="D11768" i="1"/>
  <c r="G11768" i="1"/>
  <c r="B20770" i="1"/>
  <c r="D20770" i="1"/>
  <c r="G20770" i="1"/>
  <c r="B19155" i="1"/>
  <c r="D19155" i="1"/>
  <c r="G19155" i="1"/>
  <c r="B14603" i="1"/>
  <c r="D14603" i="1"/>
  <c r="G14603" i="1"/>
  <c r="B12806" i="1"/>
  <c r="D12806" i="1"/>
  <c r="G12806" i="1"/>
  <c r="B11993" i="1"/>
  <c r="D11993" i="1"/>
  <c r="G11993" i="1"/>
  <c r="B7428" i="1"/>
  <c r="D7428" i="1"/>
  <c r="G7428" i="1"/>
  <c r="B7429" i="1"/>
  <c r="D7429" i="1"/>
  <c r="G7429" i="1"/>
  <c r="B9944" i="1"/>
  <c r="D9944" i="1"/>
  <c r="G9944" i="1"/>
  <c r="B12807" i="1"/>
  <c r="D12807" i="1"/>
  <c r="G12807" i="1"/>
  <c r="B8704" i="1"/>
  <c r="D8704" i="1"/>
  <c r="G8704" i="1"/>
  <c r="B13272" i="1"/>
  <c r="D13272" i="1"/>
  <c r="G13272" i="1"/>
  <c r="B13052" i="1"/>
  <c r="D13052" i="1"/>
  <c r="G13052" i="1"/>
  <c r="B14476" i="1"/>
  <c r="D14476" i="1"/>
  <c r="G14476" i="1"/>
  <c r="B18436" i="1"/>
  <c r="D18436" i="1"/>
  <c r="G18436" i="1"/>
  <c r="B13518" i="1"/>
  <c r="D13518" i="1"/>
  <c r="G13518" i="1"/>
  <c r="B15416" i="1"/>
  <c r="D15416" i="1"/>
  <c r="G15416" i="1"/>
  <c r="B15861" i="1"/>
  <c r="D15861" i="1"/>
  <c r="G15861" i="1"/>
  <c r="B15788" i="1"/>
  <c r="D15788" i="1"/>
  <c r="G15788" i="1"/>
  <c r="B10265" i="1"/>
  <c r="D10265" i="1"/>
  <c r="G10265" i="1"/>
  <c r="B2115" i="1"/>
  <c r="D2115" i="1"/>
  <c r="G2115" i="1"/>
  <c r="B13538" i="1"/>
  <c r="D13538" i="1"/>
  <c r="G13538" i="1"/>
  <c r="B1861" i="1"/>
  <c r="D1861" i="1"/>
  <c r="G1861" i="1"/>
  <c r="B12808" i="1"/>
  <c r="D12808" i="1"/>
  <c r="G12808" i="1"/>
  <c r="B17072" i="1"/>
  <c r="D17072" i="1"/>
  <c r="G17072" i="1"/>
  <c r="B7430" i="1"/>
  <c r="D7430" i="1"/>
  <c r="G7430" i="1"/>
  <c r="B8705" i="1"/>
  <c r="D8705" i="1"/>
  <c r="G8705" i="1"/>
  <c r="B11277" i="1"/>
  <c r="D11277" i="1"/>
  <c r="G11277" i="1"/>
  <c r="B9634" i="1"/>
  <c r="D9634" i="1"/>
  <c r="G9634" i="1"/>
  <c r="B13273" i="1"/>
  <c r="D13273" i="1"/>
  <c r="G13273" i="1"/>
  <c r="B19445" i="1"/>
  <c r="D19445" i="1"/>
  <c r="G19445" i="1"/>
  <c r="B14965" i="1"/>
  <c r="D14965" i="1"/>
  <c r="G14965" i="1"/>
  <c r="B15417" i="1"/>
  <c r="D15417" i="1"/>
  <c r="G15417" i="1"/>
  <c r="B14537" i="1"/>
  <c r="D14537" i="1"/>
  <c r="G14537" i="1"/>
  <c r="B2019" i="1"/>
  <c r="D2019" i="1"/>
  <c r="G2019" i="1"/>
  <c r="B11994" i="1"/>
  <c r="D11994" i="1"/>
  <c r="G11994" i="1"/>
  <c r="B11995" i="1"/>
  <c r="D11995" i="1"/>
  <c r="G11995" i="1"/>
  <c r="B15418" i="1"/>
  <c r="D15418" i="1"/>
  <c r="G15418" i="1"/>
  <c r="B15862" i="1"/>
  <c r="D15862" i="1"/>
  <c r="G15862" i="1"/>
  <c r="B15789" i="1"/>
  <c r="D15789" i="1"/>
  <c r="G15789" i="1"/>
  <c r="B11505" i="1"/>
  <c r="D11505" i="1"/>
  <c r="G11505" i="1"/>
  <c r="B11506" i="1"/>
  <c r="D11506" i="1"/>
  <c r="G11506" i="1"/>
  <c r="B11657" i="1"/>
  <c r="D11657" i="1"/>
  <c r="G11657" i="1"/>
  <c r="B11658" i="1"/>
  <c r="D11658" i="1"/>
  <c r="G11658" i="1"/>
  <c r="B10153" i="1"/>
  <c r="D10153" i="1"/>
  <c r="G10153" i="1"/>
  <c r="B982" i="1"/>
  <c r="D982" i="1"/>
  <c r="G982" i="1"/>
  <c r="B983" i="1"/>
  <c r="D983" i="1"/>
  <c r="G983" i="1"/>
  <c r="B8706" i="1"/>
  <c r="D8706" i="1"/>
  <c r="G8706" i="1"/>
  <c r="B6549" i="1"/>
  <c r="D6549" i="1"/>
  <c r="G6549" i="1"/>
  <c r="B21873" i="1"/>
  <c r="D21873" i="1"/>
  <c r="G21873" i="1"/>
  <c r="B984" i="1"/>
  <c r="D984" i="1"/>
  <c r="G984" i="1"/>
  <c r="B20559" i="1"/>
  <c r="D20559" i="1"/>
  <c r="G20559" i="1"/>
  <c r="B1486" i="1"/>
  <c r="D1486" i="1"/>
  <c r="G1486" i="1"/>
  <c r="B20560" i="1"/>
  <c r="D20560" i="1"/>
  <c r="G20560" i="1"/>
  <c r="B10452" i="1"/>
  <c r="D10452" i="1"/>
  <c r="G10452" i="1"/>
  <c r="B10453" i="1"/>
  <c r="D10453" i="1"/>
  <c r="G10453" i="1"/>
  <c r="B10755" i="1"/>
  <c r="D10755" i="1"/>
  <c r="G10755" i="1"/>
  <c r="B10756" i="1"/>
  <c r="D10756" i="1"/>
  <c r="G10756" i="1"/>
  <c r="B11104" i="1"/>
  <c r="D11104" i="1"/>
  <c r="G11104" i="1"/>
  <c r="B21678" i="1"/>
  <c r="D21678" i="1"/>
  <c r="G21678" i="1"/>
  <c r="B18731" i="1"/>
  <c r="D18731" i="1"/>
  <c r="G18731" i="1"/>
  <c r="B20561" i="1"/>
  <c r="D20561" i="1"/>
  <c r="G20561" i="1"/>
  <c r="B20562" i="1"/>
  <c r="D20562" i="1"/>
  <c r="G20562" i="1"/>
  <c r="B16344" i="1"/>
  <c r="D16344" i="1"/>
  <c r="G16344" i="1"/>
  <c r="B15961" i="1"/>
  <c r="D15961" i="1"/>
  <c r="G15961" i="1"/>
  <c r="B6177" i="1"/>
  <c r="D6177" i="1"/>
  <c r="G6177" i="1"/>
  <c r="B6178" i="1"/>
  <c r="D6178" i="1"/>
  <c r="G6178" i="1"/>
  <c r="B21007" i="1"/>
  <c r="D21007" i="1"/>
  <c r="G21007" i="1"/>
  <c r="B17073" i="1"/>
  <c r="D17073" i="1"/>
  <c r="G17073" i="1"/>
  <c r="B3873" i="1"/>
  <c r="D3873" i="1"/>
  <c r="G3873" i="1"/>
  <c r="B21874" i="1"/>
  <c r="D21874" i="1"/>
  <c r="G21874" i="1"/>
  <c r="B1493" i="1"/>
  <c r="D1493" i="1"/>
  <c r="G1493" i="1"/>
  <c r="B21515" i="1"/>
  <c r="D21515" i="1"/>
  <c r="G21515" i="1"/>
  <c r="B14966" i="1"/>
  <c r="D14966" i="1"/>
  <c r="G14966" i="1"/>
  <c r="B7723" i="1"/>
  <c r="D7723" i="1"/>
  <c r="G7723" i="1"/>
  <c r="B7724" i="1"/>
  <c r="D7724" i="1"/>
  <c r="G7724" i="1"/>
  <c r="B14967" i="1"/>
  <c r="D14967" i="1"/>
  <c r="G14967" i="1"/>
  <c r="B6729" i="1"/>
  <c r="D6729" i="1"/>
  <c r="G6729" i="1"/>
  <c r="B15419" i="1"/>
  <c r="D15419" i="1"/>
  <c r="G15419" i="1"/>
  <c r="B15701" i="1"/>
  <c r="D15701" i="1"/>
  <c r="G15701" i="1"/>
  <c r="B11659" i="1"/>
  <c r="D11659" i="1"/>
  <c r="G11659" i="1"/>
  <c r="B11507" i="1"/>
  <c r="D11507" i="1"/>
  <c r="G11507" i="1"/>
  <c r="B11996" i="1"/>
  <c r="D11996" i="1"/>
  <c r="G11996" i="1"/>
  <c r="B11769" i="1"/>
  <c r="D11769" i="1"/>
  <c r="G11769" i="1"/>
  <c r="B20283" i="1"/>
  <c r="D20283" i="1"/>
  <c r="G20283" i="1"/>
  <c r="B2020" i="1"/>
  <c r="D2020" i="1"/>
  <c r="G2020" i="1"/>
  <c r="B11379" i="1"/>
  <c r="D11379" i="1"/>
  <c r="G11379" i="1"/>
  <c r="B2021" i="1"/>
  <c r="D2021" i="1"/>
  <c r="G2021" i="1"/>
  <c r="B2277" i="1"/>
  <c r="D2277" i="1"/>
  <c r="G2277" i="1"/>
  <c r="B8707" i="1"/>
  <c r="D8707" i="1"/>
  <c r="G8707" i="1"/>
  <c r="B8708" i="1"/>
  <c r="D8708" i="1"/>
  <c r="G8708" i="1"/>
  <c r="B16345" i="1"/>
  <c r="D16345" i="1"/>
  <c r="G16345" i="1"/>
  <c r="B3010" i="1"/>
  <c r="D3010" i="1"/>
  <c r="G3010" i="1"/>
  <c r="B10454" i="1"/>
  <c r="D10454" i="1"/>
  <c r="G10454" i="1"/>
  <c r="B7725" i="1"/>
  <c r="D7725" i="1"/>
  <c r="G7725" i="1"/>
  <c r="B7726" i="1"/>
  <c r="D7726" i="1"/>
  <c r="G7726" i="1"/>
  <c r="B16087" i="1"/>
  <c r="D16087" i="1"/>
  <c r="G16087" i="1"/>
  <c r="B11105" i="1"/>
  <c r="D11105" i="1"/>
  <c r="G11105" i="1"/>
  <c r="B8709" i="1"/>
  <c r="D8709" i="1"/>
  <c r="G8709" i="1"/>
  <c r="B6929" i="1"/>
  <c r="D6929" i="1"/>
  <c r="G6929" i="1"/>
  <c r="B19875" i="1"/>
  <c r="D19875" i="1"/>
  <c r="G19875" i="1"/>
  <c r="B10757" i="1"/>
  <c r="D10757" i="1"/>
  <c r="G10757" i="1"/>
  <c r="B18437" i="1"/>
  <c r="D18437" i="1"/>
  <c r="G18437" i="1"/>
  <c r="B16346" i="1"/>
  <c r="D16346" i="1"/>
  <c r="G16346" i="1"/>
  <c r="B16347" i="1"/>
  <c r="D16347" i="1"/>
  <c r="G16347" i="1"/>
  <c r="B6179" i="1"/>
  <c r="D6179" i="1"/>
  <c r="G6179" i="1"/>
  <c r="B6180" i="1"/>
  <c r="D6180" i="1"/>
  <c r="G6180" i="1"/>
  <c r="B7727" i="1"/>
  <c r="D7727" i="1"/>
  <c r="G7727" i="1"/>
  <c r="B15962" i="1"/>
  <c r="D15962" i="1"/>
  <c r="G15962" i="1"/>
  <c r="B16968" i="1"/>
  <c r="D16968" i="1"/>
  <c r="G16968" i="1"/>
  <c r="B11997" i="1"/>
  <c r="D11997" i="1"/>
  <c r="G11997" i="1"/>
  <c r="B10266" i="1"/>
  <c r="D10266" i="1"/>
  <c r="G10266" i="1"/>
  <c r="B11508" i="1"/>
  <c r="D11508" i="1"/>
  <c r="G11508" i="1"/>
  <c r="B11509" i="1"/>
  <c r="D11509" i="1"/>
  <c r="G11509" i="1"/>
  <c r="B14968" i="1"/>
  <c r="D14968" i="1"/>
  <c r="G14968" i="1"/>
  <c r="B10455" i="1"/>
  <c r="D10455" i="1"/>
  <c r="G10455" i="1"/>
  <c r="B10456" i="1"/>
  <c r="D10456" i="1"/>
  <c r="G10456" i="1"/>
  <c r="B10758" i="1"/>
  <c r="D10758" i="1"/>
  <c r="G10758" i="1"/>
  <c r="B10759" i="1"/>
  <c r="D10759" i="1"/>
  <c r="G10759" i="1"/>
  <c r="B11106" i="1"/>
  <c r="D11106" i="1"/>
  <c r="G11106" i="1"/>
  <c r="B2022" i="1"/>
  <c r="D2022" i="1"/>
  <c r="G2022" i="1"/>
  <c r="B18438" i="1"/>
  <c r="D18438" i="1"/>
  <c r="G18438" i="1"/>
  <c r="B16348" i="1"/>
  <c r="D16348" i="1"/>
  <c r="G16348" i="1"/>
  <c r="B8710" i="1"/>
  <c r="D8710" i="1"/>
  <c r="G8710" i="1"/>
  <c r="B7040" i="1"/>
  <c r="D7040" i="1"/>
  <c r="G7040" i="1"/>
  <c r="B21679" i="1"/>
  <c r="D21679" i="1"/>
  <c r="G21679" i="1"/>
  <c r="B18732" i="1"/>
  <c r="D18732" i="1"/>
  <c r="G18732" i="1"/>
  <c r="B19446" i="1"/>
  <c r="D19446" i="1"/>
  <c r="G19446" i="1"/>
  <c r="B11998" i="1"/>
  <c r="D11998" i="1"/>
  <c r="G11998" i="1"/>
  <c r="B11999" i="1"/>
  <c r="D11999" i="1"/>
  <c r="G11999" i="1"/>
  <c r="B16088" i="1"/>
  <c r="D16088" i="1"/>
  <c r="G16088" i="1"/>
  <c r="B11380" i="1"/>
  <c r="D11380" i="1"/>
  <c r="G11380" i="1"/>
  <c r="B16349" i="1"/>
  <c r="D16349" i="1"/>
  <c r="G16349" i="1"/>
  <c r="B17074" i="1"/>
  <c r="D17074" i="1"/>
  <c r="G17074" i="1"/>
  <c r="B3383" i="1"/>
  <c r="D3383" i="1"/>
  <c r="G3383" i="1"/>
  <c r="B10349" i="1"/>
  <c r="D10349" i="1"/>
  <c r="G10349" i="1"/>
  <c r="B19003" i="1"/>
  <c r="D19003" i="1"/>
  <c r="G19003" i="1"/>
  <c r="B10760" i="1"/>
  <c r="D10760" i="1"/>
  <c r="G10760" i="1"/>
  <c r="B14969" i="1"/>
  <c r="D14969" i="1"/>
  <c r="G14969" i="1"/>
  <c r="B2116" i="1"/>
  <c r="D2116" i="1"/>
  <c r="G2116" i="1"/>
  <c r="B16089" i="1"/>
  <c r="D16089" i="1"/>
  <c r="G16089" i="1"/>
  <c r="B10457" i="1"/>
  <c r="D10457" i="1"/>
  <c r="G10457" i="1"/>
  <c r="B6930" i="1"/>
  <c r="D6930" i="1"/>
  <c r="G6930" i="1"/>
  <c r="B8711" i="1"/>
  <c r="D8711" i="1"/>
  <c r="G8711" i="1"/>
  <c r="B8712" i="1"/>
  <c r="D8712" i="1"/>
  <c r="G8712" i="1"/>
  <c r="B18439" i="1"/>
  <c r="D18439" i="1"/>
  <c r="G18439" i="1"/>
  <c r="B4525" i="1"/>
  <c r="D4525" i="1"/>
  <c r="G4525" i="1"/>
  <c r="B16350" i="1"/>
  <c r="D16350" i="1"/>
  <c r="G16350" i="1"/>
  <c r="B11107" i="1"/>
  <c r="D11107" i="1"/>
  <c r="G11107" i="1"/>
  <c r="B10761" i="1"/>
  <c r="D10761" i="1"/>
  <c r="G10761" i="1"/>
  <c r="B11734" i="1"/>
  <c r="D11734" i="1"/>
  <c r="G11734" i="1"/>
  <c r="B12000" i="1"/>
  <c r="D12000" i="1"/>
  <c r="G12000" i="1"/>
  <c r="B10106" i="1"/>
  <c r="D10106" i="1"/>
  <c r="G10106" i="1"/>
  <c r="B10090" i="1"/>
  <c r="D10090" i="1"/>
  <c r="G10090" i="1"/>
  <c r="B10091" i="1"/>
  <c r="D10091" i="1"/>
  <c r="G10091" i="1"/>
  <c r="B454" i="1"/>
  <c r="D454" i="1"/>
  <c r="G454" i="1"/>
  <c r="B17234" i="1"/>
  <c r="D17234" i="1"/>
  <c r="G17234" i="1"/>
  <c r="B10170" i="1"/>
  <c r="D10170" i="1"/>
  <c r="G10170" i="1"/>
  <c r="B3079" i="1"/>
  <c r="D3079" i="1"/>
  <c r="G3079" i="1"/>
  <c r="B7728" i="1"/>
  <c r="D7728" i="1"/>
  <c r="G7728" i="1"/>
  <c r="B7431" i="1"/>
  <c r="D7431" i="1"/>
  <c r="G7431" i="1"/>
  <c r="B7302" i="1"/>
  <c r="D7302" i="1"/>
  <c r="G7302" i="1"/>
  <c r="B19876" i="1"/>
  <c r="D19876" i="1"/>
  <c r="G19876" i="1"/>
  <c r="B19877" i="1"/>
  <c r="D19877" i="1"/>
  <c r="G19877" i="1"/>
  <c r="B17306" i="1"/>
  <c r="D17306" i="1"/>
  <c r="G17306" i="1"/>
  <c r="B18440" i="1"/>
  <c r="D18440" i="1"/>
  <c r="G18440" i="1"/>
  <c r="B12001" i="1"/>
  <c r="D12001" i="1"/>
  <c r="G12001" i="1"/>
  <c r="B17374" i="1"/>
  <c r="D17374" i="1"/>
  <c r="G17374" i="1"/>
  <c r="B11381" i="1"/>
  <c r="D11381" i="1"/>
  <c r="G11381" i="1"/>
  <c r="B11770" i="1"/>
  <c r="D11770" i="1"/>
  <c r="G11770" i="1"/>
  <c r="B11033" i="1"/>
  <c r="D11033" i="1"/>
  <c r="G11033" i="1"/>
  <c r="B7041" i="1"/>
  <c r="D7041" i="1"/>
  <c r="G7041" i="1"/>
  <c r="B3841" i="1"/>
  <c r="D3841" i="1"/>
  <c r="G3841" i="1"/>
  <c r="B19156" i="1"/>
  <c r="D19156" i="1"/>
  <c r="G19156" i="1"/>
  <c r="B12965" i="1"/>
  <c r="D12965" i="1"/>
  <c r="G12965" i="1"/>
  <c r="B10350" i="1"/>
  <c r="D10350" i="1"/>
  <c r="G10350" i="1"/>
  <c r="B10762" i="1"/>
  <c r="D10762" i="1"/>
  <c r="G10762" i="1"/>
  <c r="B14077" i="1"/>
  <c r="D14077" i="1"/>
  <c r="G14077" i="1"/>
  <c r="B13595" i="1"/>
  <c r="D13595" i="1"/>
  <c r="G13595" i="1"/>
  <c r="B449" i="1"/>
  <c r="D449" i="1"/>
  <c r="G449" i="1"/>
  <c r="B17075" i="1"/>
  <c r="D17075" i="1"/>
  <c r="G17075" i="1"/>
  <c r="B18657" i="1"/>
  <c r="D18657" i="1"/>
  <c r="G18657" i="1"/>
  <c r="B16351" i="1"/>
  <c r="D16351" i="1"/>
  <c r="G16351" i="1"/>
  <c r="B17709" i="1"/>
  <c r="D17709" i="1"/>
  <c r="G17709" i="1"/>
  <c r="B17076" i="1"/>
  <c r="D17076" i="1"/>
  <c r="G17076" i="1"/>
  <c r="B2023" i="1"/>
  <c r="D2023" i="1"/>
  <c r="G2023" i="1"/>
  <c r="B7303" i="1"/>
  <c r="D7303" i="1"/>
  <c r="G7303" i="1"/>
  <c r="B15863" i="1"/>
  <c r="D15863" i="1"/>
  <c r="G15863" i="1"/>
  <c r="B373" i="1"/>
  <c r="D373" i="1"/>
  <c r="G373" i="1"/>
  <c r="B15420" i="1"/>
  <c r="D15420" i="1"/>
  <c r="G15420" i="1"/>
  <c r="B14970" i="1"/>
  <c r="D14970" i="1"/>
  <c r="G14970" i="1"/>
  <c r="B21875" i="1"/>
  <c r="D21875" i="1"/>
  <c r="G21875" i="1"/>
  <c r="B18441" i="1"/>
  <c r="D18441" i="1"/>
  <c r="G18441" i="1"/>
  <c r="B9156" i="1"/>
  <c r="D9156" i="1"/>
  <c r="G9156" i="1"/>
  <c r="B12809" i="1"/>
  <c r="D12809" i="1"/>
  <c r="G12809" i="1"/>
  <c r="B2024" i="1"/>
  <c r="D2024" i="1"/>
  <c r="G2024" i="1"/>
  <c r="B8713" i="1"/>
  <c r="D8713" i="1"/>
  <c r="G8713" i="1"/>
  <c r="B3874" i="1"/>
  <c r="D3874" i="1"/>
  <c r="G3874" i="1"/>
  <c r="B19878" i="1"/>
  <c r="D19878" i="1"/>
  <c r="G19878" i="1"/>
  <c r="B10267" i="1"/>
  <c r="D10267" i="1"/>
  <c r="G10267" i="1"/>
  <c r="B8305" i="1"/>
  <c r="D8305" i="1"/>
  <c r="G8305" i="1"/>
  <c r="B7150" i="1"/>
  <c r="D7150" i="1"/>
  <c r="G7150" i="1"/>
  <c r="B7151" i="1"/>
  <c r="D7151" i="1"/>
  <c r="G7151" i="1"/>
  <c r="B10268" i="1"/>
  <c r="D10268" i="1"/>
  <c r="G10268" i="1"/>
  <c r="B7729" i="1"/>
  <c r="D7729" i="1"/>
  <c r="G7729" i="1"/>
  <c r="B7730" i="1"/>
  <c r="D7730" i="1"/>
  <c r="G7730" i="1"/>
  <c r="B11510" i="1"/>
  <c r="D11510" i="1"/>
  <c r="G11510" i="1"/>
  <c r="B16352" i="1"/>
  <c r="D16352" i="1"/>
  <c r="G16352" i="1"/>
  <c r="B14679" i="1"/>
  <c r="D14679" i="1"/>
  <c r="G14679" i="1"/>
  <c r="B20219" i="1"/>
  <c r="D20219" i="1"/>
  <c r="G20219" i="1"/>
  <c r="B14971" i="1"/>
  <c r="D14971" i="1"/>
  <c r="G14971" i="1"/>
  <c r="B10458" i="1"/>
  <c r="D10458" i="1"/>
  <c r="G10458" i="1"/>
  <c r="B12002" i="1"/>
  <c r="D12002" i="1"/>
  <c r="G12002" i="1"/>
  <c r="B2630" i="1"/>
  <c r="D2630" i="1"/>
  <c r="G2630" i="1"/>
  <c r="B6931" i="1"/>
  <c r="D6931" i="1"/>
  <c r="G6931" i="1"/>
  <c r="B11278" i="1"/>
  <c r="D11278" i="1"/>
  <c r="G11278" i="1"/>
  <c r="B17583" i="1"/>
  <c r="D17583" i="1"/>
  <c r="G17583" i="1"/>
  <c r="B19447" i="1"/>
  <c r="D19447" i="1"/>
  <c r="G19447" i="1"/>
  <c r="B10171" i="1"/>
  <c r="D10171" i="1"/>
  <c r="G10171" i="1"/>
  <c r="B10763" i="1"/>
  <c r="D10763" i="1"/>
  <c r="G10763" i="1"/>
  <c r="B11108" i="1"/>
  <c r="D11108" i="1"/>
  <c r="G11108" i="1"/>
  <c r="B374" i="1"/>
  <c r="D374" i="1"/>
  <c r="G374" i="1"/>
  <c r="B8092" i="1"/>
  <c r="D8092" i="1"/>
  <c r="G8092" i="1"/>
  <c r="B11511" i="1"/>
  <c r="D11511" i="1"/>
  <c r="G11511" i="1"/>
  <c r="B7432" i="1"/>
  <c r="D7432" i="1"/>
  <c r="G7432" i="1"/>
  <c r="B14972" i="1"/>
  <c r="D14972" i="1"/>
  <c r="G14972" i="1"/>
  <c r="B8714" i="1"/>
  <c r="D8714" i="1"/>
  <c r="G8714" i="1"/>
  <c r="B20771" i="1"/>
  <c r="D20771" i="1"/>
  <c r="G20771" i="1"/>
  <c r="B15421" i="1"/>
  <c r="D15421" i="1"/>
  <c r="G15421" i="1"/>
  <c r="B20563" i="1"/>
  <c r="D20563" i="1"/>
  <c r="G20563" i="1"/>
  <c r="B10459" i="1"/>
  <c r="D10459" i="1"/>
  <c r="G10459" i="1"/>
  <c r="B10460" i="1"/>
  <c r="D10460" i="1"/>
  <c r="G10460" i="1"/>
  <c r="B10764" i="1"/>
  <c r="D10764" i="1"/>
  <c r="G10764" i="1"/>
  <c r="B10765" i="1"/>
  <c r="D10765" i="1"/>
  <c r="G10765" i="1"/>
  <c r="B19448" i="1"/>
  <c r="D19448" i="1"/>
  <c r="G19448" i="1"/>
  <c r="B12650" i="1"/>
  <c r="D12650" i="1"/>
  <c r="G12650" i="1"/>
  <c r="B12003" i="1"/>
  <c r="D12003" i="1"/>
  <c r="G12003" i="1"/>
  <c r="B10461" i="1"/>
  <c r="D10461" i="1"/>
  <c r="G10461" i="1"/>
  <c r="B10462" i="1"/>
  <c r="D10462" i="1"/>
  <c r="G10462" i="1"/>
  <c r="B10766" i="1"/>
  <c r="D10766" i="1"/>
  <c r="G10766" i="1"/>
  <c r="B10767" i="1"/>
  <c r="D10767" i="1"/>
  <c r="G10767" i="1"/>
  <c r="B16353" i="1"/>
  <c r="D16353" i="1"/>
  <c r="G16353" i="1"/>
  <c r="B17375" i="1"/>
  <c r="D17375" i="1"/>
  <c r="G17375" i="1"/>
  <c r="B11109" i="1"/>
  <c r="D11109" i="1"/>
  <c r="G11109" i="1"/>
  <c r="B14973" i="1"/>
  <c r="D14973" i="1"/>
  <c r="G14973" i="1"/>
  <c r="B20772" i="1"/>
  <c r="D20772" i="1"/>
  <c r="G20772" i="1"/>
  <c r="B8715" i="1"/>
  <c r="D8715" i="1"/>
  <c r="G8715" i="1"/>
  <c r="B14457" i="1"/>
  <c r="D14457" i="1"/>
  <c r="G14457" i="1"/>
  <c r="B17376" i="1"/>
  <c r="D17376" i="1"/>
  <c r="G17376" i="1"/>
  <c r="B15422" i="1"/>
  <c r="D15422" i="1"/>
  <c r="G15422" i="1"/>
  <c r="B12421" i="1"/>
  <c r="D12421" i="1"/>
  <c r="G12421" i="1"/>
  <c r="B19157" i="1"/>
  <c r="D19157" i="1"/>
  <c r="G19157" i="1"/>
  <c r="B12004" i="1"/>
  <c r="D12004" i="1"/>
  <c r="G12004" i="1"/>
  <c r="B12005" i="1"/>
  <c r="D12005" i="1"/>
  <c r="G12005" i="1"/>
  <c r="B18222" i="1"/>
  <c r="D18222" i="1"/>
  <c r="G18222" i="1"/>
  <c r="B12810" i="1"/>
  <c r="D12810" i="1"/>
  <c r="G12810" i="1"/>
  <c r="B2339" i="1"/>
  <c r="D2339" i="1"/>
  <c r="G2339" i="1"/>
  <c r="B11382" i="1"/>
  <c r="D11382" i="1"/>
  <c r="G11382" i="1"/>
  <c r="B2434" i="1"/>
  <c r="D2434" i="1"/>
  <c r="G2434" i="1"/>
  <c r="B17077" i="1"/>
  <c r="D17077" i="1"/>
  <c r="G17077" i="1"/>
  <c r="B16090" i="1"/>
  <c r="D16090" i="1"/>
  <c r="G16090" i="1"/>
  <c r="B1382" i="1"/>
  <c r="D1382" i="1"/>
  <c r="G1382" i="1"/>
  <c r="B1862" i="1"/>
  <c r="D1862" i="1"/>
  <c r="G1862" i="1"/>
  <c r="B20284" i="1"/>
  <c r="D20284" i="1"/>
  <c r="G20284" i="1"/>
  <c r="B20372" i="1"/>
  <c r="D20372" i="1"/>
  <c r="G20372" i="1"/>
  <c r="B22122" i="1"/>
  <c r="D22122" i="1"/>
  <c r="G22122" i="1"/>
  <c r="B12350" i="1"/>
  <c r="D12350" i="1"/>
  <c r="G12350" i="1"/>
  <c r="B11383" i="1"/>
  <c r="D11383" i="1"/>
  <c r="G11383" i="1"/>
  <c r="B10463" i="1"/>
  <c r="D10463" i="1"/>
  <c r="G10463" i="1"/>
  <c r="B16354" i="1"/>
  <c r="D16354" i="1"/>
  <c r="G16354" i="1"/>
  <c r="B16355" i="1"/>
  <c r="D16355" i="1"/>
  <c r="G16355" i="1"/>
  <c r="B13385" i="1"/>
  <c r="D13385" i="1"/>
  <c r="G13385" i="1"/>
  <c r="B7731" i="1"/>
  <c r="D7731" i="1"/>
  <c r="G7731" i="1"/>
  <c r="B7732" i="1"/>
  <c r="D7732" i="1"/>
  <c r="G7732" i="1"/>
  <c r="B11110" i="1"/>
  <c r="D11110" i="1"/>
  <c r="G11110" i="1"/>
  <c r="B1086" i="1"/>
  <c r="D1086" i="1"/>
  <c r="G1086" i="1"/>
  <c r="B12006" i="1"/>
  <c r="D12006" i="1"/>
  <c r="G12006" i="1"/>
  <c r="B10464" i="1"/>
  <c r="D10464" i="1"/>
  <c r="G10464" i="1"/>
  <c r="B13053" i="1"/>
  <c r="D13053" i="1"/>
  <c r="G13053" i="1"/>
  <c r="B2117" i="1"/>
  <c r="D2117" i="1"/>
  <c r="G2117" i="1"/>
  <c r="B21680" i="1"/>
  <c r="D21680" i="1"/>
  <c r="G21680" i="1"/>
  <c r="B10768" i="1"/>
  <c r="D10768" i="1"/>
  <c r="G10768" i="1"/>
  <c r="B13190" i="1"/>
  <c r="D13190" i="1"/>
  <c r="G13190" i="1"/>
  <c r="B13191" i="1"/>
  <c r="D13191" i="1"/>
  <c r="G13191" i="1"/>
  <c r="B11111" i="1"/>
  <c r="D11111" i="1"/>
  <c r="G11111" i="1"/>
  <c r="B1947" i="1"/>
  <c r="D1947" i="1"/>
  <c r="G1947" i="1"/>
  <c r="B12651" i="1"/>
  <c r="D12651" i="1"/>
  <c r="G12651" i="1"/>
  <c r="B12491" i="1"/>
  <c r="D12491" i="1"/>
  <c r="G12491" i="1"/>
  <c r="B3875" i="1"/>
  <c r="D3875" i="1"/>
  <c r="G3875" i="1"/>
  <c r="B4149" i="1"/>
  <c r="D4149" i="1"/>
  <c r="G4149" i="1"/>
  <c r="B12007" i="1"/>
  <c r="D12007" i="1"/>
  <c r="G12007" i="1"/>
  <c r="B12008" i="1"/>
  <c r="D12008" i="1"/>
  <c r="G12008" i="1"/>
  <c r="B10269" i="1"/>
  <c r="D10269" i="1"/>
  <c r="G10269" i="1"/>
  <c r="B10769" i="1"/>
  <c r="D10769" i="1"/>
  <c r="G10769" i="1"/>
  <c r="B16356" i="1"/>
  <c r="D16356" i="1"/>
  <c r="G16356" i="1"/>
  <c r="B19449" i="1"/>
  <c r="D19449" i="1"/>
  <c r="G19449" i="1"/>
  <c r="B21516" i="1"/>
  <c r="D21516" i="1"/>
  <c r="G21516" i="1"/>
  <c r="B18442" i="1"/>
  <c r="D18442" i="1"/>
  <c r="G18442" i="1"/>
  <c r="B17377" i="1"/>
  <c r="D17377" i="1"/>
  <c r="G17377" i="1"/>
  <c r="B5997" i="1"/>
  <c r="D5997" i="1"/>
  <c r="G5997" i="1"/>
  <c r="B10092" i="1"/>
  <c r="D10092" i="1"/>
  <c r="G10092" i="1"/>
  <c r="B12009" i="1"/>
  <c r="D12009" i="1"/>
  <c r="G12009" i="1"/>
  <c r="B10270" i="1"/>
  <c r="D10270" i="1"/>
  <c r="G10270" i="1"/>
  <c r="B13145" i="1"/>
  <c r="D13145" i="1"/>
  <c r="G13145" i="1"/>
  <c r="B13593" i="1"/>
  <c r="D13593" i="1"/>
  <c r="G13593" i="1"/>
  <c r="B13596" i="1"/>
  <c r="D13596" i="1"/>
  <c r="G13596" i="1"/>
  <c r="B437" i="1"/>
  <c r="D437" i="1"/>
  <c r="G437" i="1"/>
  <c r="B436" i="1"/>
  <c r="D436" i="1"/>
  <c r="G436" i="1"/>
  <c r="B443" i="1"/>
  <c r="D443" i="1"/>
  <c r="G443" i="1"/>
  <c r="B447" i="1"/>
  <c r="D447" i="1"/>
  <c r="G447" i="1"/>
  <c r="B13677" i="1"/>
  <c r="D13677" i="1"/>
  <c r="G13677" i="1"/>
  <c r="B451" i="1"/>
  <c r="D451" i="1"/>
  <c r="G451" i="1"/>
  <c r="B19158" i="1"/>
  <c r="D19158" i="1"/>
  <c r="G19158" i="1"/>
  <c r="B18823" i="1"/>
  <c r="D18823" i="1"/>
  <c r="G18823" i="1"/>
  <c r="B7433" i="1"/>
  <c r="D7433" i="1"/>
  <c r="G7433" i="1"/>
  <c r="B2248" i="1"/>
  <c r="D2248" i="1"/>
  <c r="G2248" i="1"/>
  <c r="B3011" i="1"/>
  <c r="D3011" i="1"/>
  <c r="G3011" i="1"/>
  <c r="B3080" i="1"/>
  <c r="D3080" i="1"/>
  <c r="G3080" i="1"/>
  <c r="B19159" i="1"/>
  <c r="D19159" i="1"/>
  <c r="G19159" i="1"/>
  <c r="B18824" i="1"/>
  <c r="D18824" i="1"/>
  <c r="G18824" i="1"/>
  <c r="B16357" i="1"/>
  <c r="D16357" i="1"/>
  <c r="G16357" i="1"/>
  <c r="B21681" i="1"/>
  <c r="D21681" i="1"/>
  <c r="G21681" i="1"/>
  <c r="B8716" i="1"/>
  <c r="D8716" i="1"/>
  <c r="G8716" i="1"/>
  <c r="B14974" i="1"/>
  <c r="D14974" i="1"/>
  <c r="G14974" i="1"/>
  <c r="B16358" i="1"/>
  <c r="D16358" i="1"/>
  <c r="G16358" i="1"/>
  <c r="B19004" i="1"/>
  <c r="D19004" i="1"/>
  <c r="G19004" i="1"/>
  <c r="B19160" i="1"/>
  <c r="D19160" i="1"/>
  <c r="G19160" i="1"/>
  <c r="B18825" i="1"/>
  <c r="D18825" i="1"/>
  <c r="G18825" i="1"/>
  <c r="B12010" i="1"/>
  <c r="D12010" i="1"/>
  <c r="G12010" i="1"/>
  <c r="B4192" i="1"/>
  <c r="D4192" i="1"/>
  <c r="G4192" i="1"/>
  <c r="B16359" i="1"/>
  <c r="D16359" i="1"/>
  <c r="G16359" i="1"/>
  <c r="B4689" i="1"/>
  <c r="D4689" i="1"/>
  <c r="G4689" i="1"/>
  <c r="B20564" i="1"/>
  <c r="D20564" i="1"/>
  <c r="G20564" i="1"/>
  <c r="B10770" i="1"/>
  <c r="D10770" i="1"/>
  <c r="G10770" i="1"/>
  <c r="B12351" i="1"/>
  <c r="D12351" i="1"/>
  <c r="G12351" i="1"/>
  <c r="B16360" i="1"/>
  <c r="D16360" i="1"/>
  <c r="G16360" i="1"/>
  <c r="B19450" i="1"/>
  <c r="D19450" i="1"/>
  <c r="G19450" i="1"/>
  <c r="B19451" i="1"/>
  <c r="D19451" i="1"/>
  <c r="G19451" i="1"/>
  <c r="B5998" i="1"/>
  <c r="D5998" i="1"/>
  <c r="G5998" i="1"/>
  <c r="B19452" i="1"/>
  <c r="D19452" i="1"/>
  <c r="G19452" i="1"/>
  <c r="B10351" i="1"/>
  <c r="D10351" i="1"/>
  <c r="G10351" i="1"/>
  <c r="B10771" i="1"/>
  <c r="D10771" i="1"/>
  <c r="G10771" i="1"/>
  <c r="B7042" i="1"/>
  <c r="D7042" i="1"/>
  <c r="G7042" i="1"/>
  <c r="B3224" i="1"/>
  <c r="D3224" i="1"/>
  <c r="G3224" i="1"/>
  <c r="B17710" i="1"/>
  <c r="D17710" i="1"/>
  <c r="G17710" i="1"/>
  <c r="B19005" i="1"/>
  <c r="D19005" i="1"/>
  <c r="G19005" i="1"/>
  <c r="B19161" i="1"/>
  <c r="D19161" i="1"/>
  <c r="G19161" i="1"/>
  <c r="B9864" i="1"/>
  <c r="D9864" i="1"/>
  <c r="G9864" i="1"/>
  <c r="B9364" i="1"/>
  <c r="D9364" i="1"/>
  <c r="G9364" i="1"/>
  <c r="B20166" i="1"/>
  <c r="D20166" i="1"/>
  <c r="G20166" i="1"/>
  <c r="B19006" i="1"/>
  <c r="D19006" i="1"/>
  <c r="G19006" i="1"/>
  <c r="B19162" i="1"/>
  <c r="D19162" i="1"/>
  <c r="G19162" i="1"/>
  <c r="B14975" i="1"/>
  <c r="D14975" i="1"/>
  <c r="G14975" i="1"/>
  <c r="B2062" i="1"/>
  <c r="D2062" i="1"/>
  <c r="G2062" i="1"/>
  <c r="B19971" i="1"/>
  <c r="D19971" i="1"/>
  <c r="G19971" i="1"/>
  <c r="B14976" i="1"/>
  <c r="D14976" i="1"/>
  <c r="G14976" i="1"/>
  <c r="B15423" i="1"/>
  <c r="D15423" i="1"/>
  <c r="G15423" i="1"/>
  <c r="B9635" i="1"/>
  <c r="D9635" i="1"/>
  <c r="G9635" i="1"/>
  <c r="B9636" i="1"/>
  <c r="D9636" i="1"/>
  <c r="G9636" i="1"/>
  <c r="B16361" i="1"/>
  <c r="D16361" i="1"/>
  <c r="G16361" i="1"/>
  <c r="B18443" i="1"/>
  <c r="D18443" i="1"/>
  <c r="G18443" i="1"/>
  <c r="B21682" i="1"/>
  <c r="D21682" i="1"/>
  <c r="G21682" i="1"/>
  <c r="B6730" i="1"/>
  <c r="D6730" i="1"/>
  <c r="G6730" i="1"/>
  <c r="B21057" i="1"/>
  <c r="D21057" i="1"/>
  <c r="G21057" i="1"/>
  <c r="B21517" i="1"/>
  <c r="D21517" i="1"/>
  <c r="G21517" i="1"/>
  <c r="B21876" i="1"/>
  <c r="D21876" i="1"/>
  <c r="G21876" i="1"/>
  <c r="B12011" i="1"/>
  <c r="D12011" i="1"/>
  <c r="G12011" i="1"/>
  <c r="B244" i="1"/>
  <c r="D244" i="1"/>
  <c r="G244" i="1"/>
  <c r="B19007" i="1"/>
  <c r="D19007" i="1"/>
  <c r="G19007" i="1"/>
  <c r="B18826" i="1"/>
  <c r="D18826" i="1"/>
  <c r="G18826" i="1"/>
  <c r="B21683" i="1"/>
  <c r="D21683" i="1"/>
  <c r="G21683" i="1"/>
  <c r="B21684" i="1"/>
  <c r="D21684" i="1"/>
  <c r="G21684" i="1"/>
  <c r="B4372" i="1"/>
  <c r="D4372" i="1"/>
  <c r="G4372" i="1"/>
  <c r="B6932" i="1"/>
  <c r="D6932" i="1"/>
  <c r="G6932" i="1"/>
  <c r="B13571" i="1"/>
  <c r="D13571" i="1"/>
  <c r="G13571" i="1"/>
  <c r="B3040" i="1"/>
  <c r="D3040" i="1"/>
  <c r="G3040" i="1"/>
  <c r="B3004" i="1"/>
  <c r="D3004" i="1"/>
  <c r="G3004" i="1"/>
  <c r="B21685" i="1"/>
  <c r="D21685" i="1"/>
  <c r="G21685" i="1"/>
  <c r="B21518" i="1"/>
  <c r="D21518" i="1"/>
  <c r="G21518" i="1"/>
  <c r="B18444" i="1"/>
  <c r="D18444" i="1"/>
  <c r="G18444" i="1"/>
  <c r="B21058" i="1"/>
  <c r="D21058" i="1"/>
  <c r="G21058" i="1"/>
  <c r="B14977" i="1"/>
  <c r="D14977" i="1"/>
  <c r="G14977" i="1"/>
  <c r="B18827" i="1"/>
  <c r="D18827" i="1"/>
  <c r="G18827" i="1"/>
  <c r="B13274" i="1"/>
  <c r="D13274" i="1"/>
  <c r="G13274" i="1"/>
  <c r="B19008" i="1"/>
  <c r="D19008" i="1"/>
  <c r="G19008" i="1"/>
  <c r="B18828" i="1"/>
  <c r="D18828" i="1"/>
  <c r="G18828" i="1"/>
  <c r="B9945" i="1"/>
  <c r="D9945" i="1"/>
  <c r="G9945" i="1"/>
  <c r="B21348" i="1"/>
  <c r="D21348" i="1"/>
  <c r="G21348" i="1"/>
  <c r="B4779" i="1"/>
  <c r="D4779" i="1"/>
  <c r="G4779" i="1"/>
  <c r="B9637" i="1"/>
  <c r="D9637" i="1"/>
  <c r="G9637" i="1"/>
  <c r="B53" i="1"/>
  <c r="D53" i="1"/>
  <c r="G53" i="1"/>
  <c r="B13905" i="1"/>
  <c r="D13905" i="1"/>
  <c r="G13905" i="1"/>
  <c r="B3377" i="1"/>
  <c r="D3377" i="1"/>
  <c r="G3377" i="1"/>
  <c r="B3060" i="1"/>
  <c r="D3060" i="1"/>
  <c r="G3060" i="1"/>
  <c r="B14978" i="1"/>
  <c r="D14978" i="1"/>
  <c r="G14978" i="1"/>
  <c r="B10465" i="1"/>
  <c r="D10465" i="1"/>
  <c r="G10465" i="1"/>
  <c r="B13275" i="1"/>
  <c r="D13275" i="1"/>
  <c r="G13275" i="1"/>
  <c r="B8717" i="1"/>
  <c r="D8717" i="1"/>
  <c r="G8717" i="1"/>
  <c r="B16362" i="1"/>
  <c r="D16362" i="1"/>
  <c r="G16362" i="1"/>
  <c r="B16363" i="1"/>
  <c r="D16363" i="1"/>
  <c r="G16363" i="1"/>
  <c r="B16364" i="1"/>
  <c r="D16364" i="1"/>
  <c r="G16364" i="1"/>
  <c r="B4690" i="1"/>
  <c r="D4690" i="1"/>
  <c r="G4690" i="1"/>
  <c r="B19163" i="1"/>
  <c r="D19163" i="1"/>
  <c r="G19163" i="1"/>
  <c r="B36" i="1"/>
  <c r="D36" i="1"/>
  <c r="G36" i="1"/>
  <c r="B21519" i="1"/>
  <c r="D21519" i="1"/>
  <c r="G21519" i="1"/>
  <c r="B13422" i="1"/>
  <c r="D13422" i="1"/>
  <c r="G13422" i="1"/>
  <c r="B19453" i="1"/>
  <c r="D19453" i="1"/>
  <c r="G19453" i="1"/>
  <c r="B18445" i="1"/>
  <c r="D18445" i="1"/>
  <c r="G18445" i="1"/>
  <c r="B13386" i="1"/>
  <c r="D13386" i="1"/>
  <c r="G13386" i="1"/>
  <c r="B10772" i="1"/>
  <c r="D10772" i="1"/>
  <c r="G10772" i="1"/>
  <c r="B11112" i="1"/>
  <c r="D11112" i="1"/>
  <c r="G11112" i="1"/>
  <c r="B1087" i="1"/>
  <c r="D1087" i="1"/>
  <c r="G1087" i="1"/>
  <c r="B18446" i="1"/>
  <c r="D18446" i="1"/>
  <c r="G18446" i="1"/>
  <c r="B14050" i="1"/>
  <c r="D14050" i="1"/>
  <c r="G14050" i="1"/>
  <c r="B19454" i="1"/>
  <c r="D19454" i="1"/>
  <c r="G19454" i="1"/>
  <c r="B22123" i="1"/>
  <c r="D22123" i="1"/>
  <c r="G22123" i="1"/>
  <c r="B4590" i="1"/>
  <c r="D4590" i="1"/>
  <c r="G4590" i="1"/>
  <c r="B13054" i="1"/>
  <c r="D13054" i="1"/>
  <c r="G13054" i="1"/>
  <c r="B12012" i="1"/>
  <c r="D12012" i="1"/>
  <c r="G12012" i="1"/>
  <c r="B12652" i="1"/>
  <c r="D12652" i="1"/>
  <c r="G12652" i="1"/>
  <c r="B14101" i="1"/>
  <c r="D14101" i="1"/>
  <c r="G14101" i="1"/>
  <c r="B16365" i="1"/>
  <c r="D16365" i="1"/>
  <c r="G16365" i="1"/>
  <c r="B4150" i="1"/>
  <c r="D4150" i="1"/>
  <c r="G4150" i="1"/>
  <c r="B12013" i="1"/>
  <c r="D12013" i="1"/>
  <c r="G12013" i="1"/>
  <c r="B7434" i="1"/>
  <c r="D7434" i="1"/>
  <c r="G7434" i="1"/>
  <c r="B20373" i="1"/>
  <c r="D20373" i="1"/>
  <c r="G20373" i="1"/>
  <c r="B16366" i="1"/>
  <c r="D16366" i="1"/>
  <c r="G16366" i="1"/>
  <c r="B10773" i="1"/>
  <c r="D10773" i="1"/>
  <c r="G10773" i="1"/>
  <c r="B22016" i="1"/>
  <c r="D22016" i="1"/>
  <c r="G22016" i="1"/>
  <c r="B3215" i="1"/>
  <c r="D3215" i="1"/>
  <c r="G3215" i="1"/>
  <c r="B11113" i="1"/>
  <c r="D11113" i="1"/>
  <c r="G11113" i="1"/>
  <c r="B3876" i="1"/>
  <c r="D3876" i="1"/>
  <c r="G3876" i="1"/>
  <c r="B2631" i="1"/>
  <c r="D2631" i="1"/>
  <c r="G2631" i="1"/>
  <c r="B18829" i="1"/>
  <c r="D18829" i="1"/>
  <c r="G18829" i="1"/>
  <c r="B20470" i="1"/>
  <c r="D20470" i="1"/>
  <c r="G20470" i="1"/>
  <c r="B20565" i="1"/>
  <c r="D20565" i="1"/>
  <c r="G20565" i="1"/>
  <c r="B16367" i="1"/>
  <c r="D16367" i="1"/>
  <c r="G16367" i="1"/>
  <c r="B13501" i="1"/>
  <c r="D13501" i="1"/>
  <c r="G13501" i="1"/>
  <c r="B22124" i="1"/>
  <c r="D22124" i="1"/>
  <c r="G22124" i="1"/>
  <c r="B22125" i="1"/>
  <c r="D22125" i="1"/>
  <c r="G22125" i="1"/>
  <c r="B18830" i="1"/>
  <c r="D18830" i="1"/>
  <c r="G18830" i="1"/>
  <c r="B14979" i="1"/>
  <c r="D14979" i="1"/>
  <c r="G14979" i="1"/>
  <c r="B1487" i="1"/>
  <c r="D1487" i="1"/>
  <c r="G1487" i="1"/>
  <c r="B15424" i="1"/>
  <c r="D15424" i="1"/>
  <c r="G15424" i="1"/>
  <c r="B9365" i="1"/>
  <c r="D9365" i="1"/>
  <c r="G9365" i="1"/>
  <c r="B14778" i="1"/>
  <c r="D14778" i="1"/>
  <c r="G14778" i="1"/>
  <c r="B4591" i="1"/>
  <c r="D4591" i="1"/>
  <c r="G4591" i="1"/>
  <c r="B14711" i="1"/>
  <c r="D14711" i="1"/>
  <c r="G14711" i="1"/>
  <c r="B9638" i="1"/>
  <c r="D9638" i="1"/>
  <c r="G9638" i="1"/>
  <c r="B9639" i="1"/>
  <c r="D9639" i="1"/>
  <c r="G9639" i="1"/>
  <c r="B12014" i="1"/>
  <c r="D12014" i="1"/>
  <c r="G12014" i="1"/>
  <c r="B3807" i="1"/>
  <c r="D3807" i="1"/>
  <c r="G3807" i="1"/>
  <c r="B21059" i="1"/>
  <c r="D21059" i="1"/>
  <c r="G21059" i="1"/>
  <c r="B492" i="1"/>
  <c r="D492" i="1"/>
  <c r="G492" i="1"/>
  <c r="B19455" i="1"/>
  <c r="D19455" i="1"/>
  <c r="G19455" i="1"/>
  <c r="B20983" i="1"/>
  <c r="D20983" i="1"/>
  <c r="G20983" i="1"/>
  <c r="B20224" i="1"/>
  <c r="D20224" i="1"/>
  <c r="G20224" i="1"/>
  <c r="B20773" i="1"/>
  <c r="D20773" i="1"/>
  <c r="G20773" i="1"/>
  <c r="B21520" i="1"/>
  <c r="D21520" i="1"/>
  <c r="G21520" i="1"/>
  <c r="B16368" i="1"/>
  <c r="D16368" i="1"/>
  <c r="G16368" i="1"/>
  <c r="B19456" i="1"/>
  <c r="D19456" i="1"/>
  <c r="G19456" i="1"/>
  <c r="B21877" i="1"/>
  <c r="D21877" i="1"/>
  <c r="G21877" i="1"/>
  <c r="B19164" i="1"/>
  <c r="D19164" i="1"/>
  <c r="G19164" i="1"/>
  <c r="B18831" i="1"/>
  <c r="D18831" i="1"/>
  <c r="G18831" i="1"/>
  <c r="B21878" i="1"/>
  <c r="D21878" i="1"/>
  <c r="G21878" i="1"/>
  <c r="B13601" i="1"/>
  <c r="D13601" i="1"/>
  <c r="G13601" i="1"/>
  <c r="B19009" i="1"/>
  <c r="D19009" i="1"/>
  <c r="G19009" i="1"/>
  <c r="B4298" i="1"/>
  <c r="D4298" i="1"/>
  <c r="G4298" i="1"/>
  <c r="B19165" i="1"/>
  <c r="D19165" i="1"/>
  <c r="G19165" i="1"/>
  <c r="B14980" i="1"/>
  <c r="D14980" i="1"/>
  <c r="G14980" i="1"/>
  <c r="B16369" i="1"/>
  <c r="D16369" i="1"/>
  <c r="G16369" i="1"/>
  <c r="B20774" i="1"/>
  <c r="D20774" i="1"/>
  <c r="G20774" i="1"/>
  <c r="B19166" i="1"/>
  <c r="D19166" i="1"/>
  <c r="G19166" i="1"/>
  <c r="B14604" i="1"/>
  <c r="D14604" i="1"/>
  <c r="G14604" i="1"/>
  <c r="B2632" i="1"/>
  <c r="D2632" i="1"/>
  <c r="G2632" i="1"/>
  <c r="B19457" i="1"/>
  <c r="D19457" i="1"/>
  <c r="G19457" i="1"/>
  <c r="B12015" i="1"/>
  <c r="D12015" i="1"/>
  <c r="G12015" i="1"/>
  <c r="B21060" i="1"/>
  <c r="D21060" i="1"/>
  <c r="G21060" i="1"/>
  <c r="B14477" i="1"/>
  <c r="D14477" i="1"/>
  <c r="G14477" i="1"/>
  <c r="B8268" i="1"/>
  <c r="D8268" i="1"/>
  <c r="G8268" i="1"/>
  <c r="B21061" i="1"/>
  <c r="D21061" i="1"/>
  <c r="G21061" i="1"/>
  <c r="B20374" i="1"/>
  <c r="D20374" i="1"/>
  <c r="G20374" i="1"/>
  <c r="B22017" i="1"/>
  <c r="D22017" i="1"/>
  <c r="G22017" i="1"/>
  <c r="B18832" i="1"/>
  <c r="D18832" i="1"/>
  <c r="G18832" i="1"/>
  <c r="B14981" i="1"/>
  <c r="D14981" i="1"/>
  <c r="G14981" i="1"/>
  <c r="B5189" i="1"/>
  <c r="D5189" i="1"/>
  <c r="G5189" i="1"/>
  <c r="B15425" i="1"/>
  <c r="D15425" i="1"/>
  <c r="G15425" i="1"/>
  <c r="B14712" i="1"/>
  <c r="D14712" i="1"/>
  <c r="G14712" i="1"/>
  <c r="B2633" i="1"/>
  <c r="D2633" i="1"/>
  <c r="G2633" i="1"/>
  <c r="B18447" i="1"/>
  <c r="D18447" i="1"/>
  <c r="G18447" i="1"/>
  <c r="B814" i="1"/>
  <c r="D814" i="1"/>
  <c r="G814" i="1"/>
  <c r="B21686" i="1"/>
  <c r="D21686" i="1"/>
  <c r="G21686" i="1"/>
  <c r="B21687" i="1"/>
  <c r="D21687" i="1"/>
  <c r="G21687" i="1"/>
  <c r="B19010" i="1"/>
  <c r="D19010" i="1"/>
  <c r="G19010" i="1"/>
  <c r="B18833" i="1"/>
  <c r="D18833" i="1"/>
  <c r="G18833" i="1"/>
  <c r="B4936" i="1"/>
  <c r="D4936" i="1"/>
  <c r="G4936" i="1"/>
  <c r="B14463" i="1"/>
  <c r="D14463" i="1"/>
  <c r="G14463" i="1"/>
  <c r="B13630" i="1"/>
  <c r="D13630" i="1"/>
  <c r="G13630" i="1"/>
  <c r="B7733" i="1"/>
  <c r="D7733" i="1"/>
  <c r="G7733" i="1"/>
  <c r="B7734" i="1"/>
  <c r="D7734" i="1"/>
  <c r="G7734" i="1"/>
  <c r="B2340" i="1"/>
  <c r="D2340" i="1"/>
  <c r="G2340" i="1"/>
  <c r="B2435" i="1"/>
  <c r="D2435" i="1"/>
  <c r="G2435" i="1"/>
  <c r="B19011" i="1"/>
  <c r="D19011" i="1"/>
  <c r="G19011" i="1"/>
  <c r="B21521" i="1"/>
  <c r="D21521" i="1"/>
  <c r="G21521" i="1"/>
  <c r="B17078" i="1"/>
  <c r="D17078" i="1"/>
  <c r="G17078" i="1"/>
  <c r="B19167" i="1"/>
  <c r="D19167" i="1"/>
  <c r="G19167" i="1"/>
  <c r="B14982" i="1"/>
  <c r="D14982" i="1"/>
  <c r="G14982" i="1"/>
  <c r="B14538" i="1"/>
  <c r="D14538" i="1"/>
  <c r="G14538" i="1"/>
  <c r="B13055" i="1"/>
  <c r="D13055" i="1"/>
  <c r="G13055" i="1"/>
  <c r="B3474" i="1"/>
  <c r="D3474" i="1"/>
  <c r="G3474" i="1"/>
  <c r="B3475" i="1"/>
  <c r="D3475" i="1"/>
  <c r="G3475" i="1"/>
  <c r="B15426" i="1"/>
  <c r="D15426" i="1"/>
  <c r="G15426" i="1"/>
  <c r="B15790" i="1"/>
  <c r="D15790" i="1"/>
  <c r="G15790" i="1"/>
  <c r="B14060" i="1"/>
  <c r="D14060" i="1"/>
  <c r="G14060" i="1"/>
  <c r="B21522" i="1"/>
  <c r="D21522" i="1"/>
  <c r="G21522" i="1"/>
  <c r="B19458" i="1"/>
  <c r="D19458" i="1"/>
  <c r="G19458" i="1"/>
  <c r="B18448" i="1"/>
  <c r="D18448" i="1"/>
  <c r="G18448" i="1"/>
  <c r="B4937" i="1"/>
  <c r="D4937" i="1"/>
  <c r="G4937" i="1"/>
  <c r="B20775" i="1"/>
  <c r="D20775" i="1"/>
  <c r="G20775" i="1"/>
  <c r="B19168" i="1"/>
  <c r="D19168" i="1"/>
  <c r="G19168" i="1"/>
  <c r="B14605" i="1"/>
  <c r="D14605" i="1"/>
  <c r="G14605" i="1"/>
  <c r="B12811" i="1"/>
  <c r="D12811" i="1"/>
  <c r="G12811" i="1"/>
  <c r="B1088" i="1"/>
  <c r="D1088" i="1"/>
  <c r="G1088" i="1"/>
  <c r="B20375" i="1"/>
  <c r="D20375" i="1"/>
  <c r="G20375" i="1"/>
  <c r="B2634" i="1"/>
  <c r="D2634" i="1"/>
  <c r="G2634" i="1"/>
  <c r="B12016" i="1"/>
  <c r="D12016" i="1"/>
  <c r="G12016" i="1"/>
  <c r="B1568" i="1"/>
  <c r="D1568" i="1"/>
  <c r="G1568" i="1"/>
  <c r="B815" i="1"/>
  <c r="D815" i="1"/>
  <c r="G815" i="1"/>
  <c r="B2635" i="1"/>
  <c r="D2635" i="1"/>
  <c r="G2635" i="1"/>
  <c r="B14983" i="1"/>
  <c r="D14983" i="1"/>
  <c r="G14983" i="1"/>
  <c r="B4108" i="1"/>
  <c r="D4108" i="1"/>
  <c r="G4108" i="1"/>
  <c r="B11853" i="1"/>
  <c r="D11853" i="1"/>
  <c r="G11853" i="1"/>
  <c r="B16370" i="1"/>
  <c r="D16370" i="1"/>
  <c r="G16370" i="1"/>
  <c r="B1948" i="1"/>
  <c r="D1948" i="1"/>
  <c r="G1948" i="1"/>
  <c r="B3399" i="1"/>
  <c r="D3399" i="1"/>
  <c r="G3399" i="1"/>
  <c r="B14478" i="1"/>
  <c r="D14478" i="1"/>
  <c r="G14478" i="1"/>
  <c r="B2636" i="1"/>
  <c r="D2636" i="1"/>
  <c r="G2636" i="1"/>
  <c r="B4151" i="1"/>
  <c r="D4151" i="1"/>
  <c r="G4151" i="1"/>
  <c r="B1089" i="1"/>
  <c r="D1089" i="1"/>
  <c r="G1089" i="1"/>
  <c r="B2436" i="1"/>
  <c r="D2436" i="1"/>
  <c r="G2436" i="1"/>
  <c r="B19012" i="1"/>
  <c r="D19012" i="1"/>
  <c r="G19012" i="1"/>
  <c r="B18834" i="1"/>
  <c r="D18834" i="1"/>
  <c r="G18834" i="1"/>
  <c r="B2025" i="1"/>
  <c r="D2025" i="1"/>
  <c r="G2025" i="1"/>
  <c r="B958" i="1"/>
  <c r="D958" i="1"/>
  <c r="G958" i="1"/>
  <c r="B16003" i="1"/>
  <c r="D16003" i="1"/>
  <c r="G16003" i="1"/>
  <c r="B5999" i="1"/>
  <c r="D5999" i="1"/>
  <c r="G5999" i="1"/>
  <c r="B12812" i="1"/>
  <c r="D12812" i="1"/>
  <c r="G12812" i="1"/>
  <c r="B2637" i="1"/>
  <c r="D2637" i="1"/>
  <c r="G2637" i="1"/>
  <c r="B16371" i="1"/>
  <c r="D16371" i="1"/>
  <c r="G16371" i="1"/>
  <c r="B3012" i="1"/>
  <c r="D3012" i="1"/>
  <c r="G3012" i="1"/>
  <c r="B1090" i="1"/>
  <c r="D1090" i="1"/>
  <c r="G1090" i="1"/>
  <c r="B16372" i="1"/>
  <c r="D16372" i="1"/>
  <c r="G16372" i="1"/>
  <c r="B10466" i="1"/>
  <c r="D10466" i="1"/>
  <c r="G10466" i="1"/>
  <c r="B3202" i="1"/>
  <c r="D3202" i="1"/>
  <c r="G3202" i="1"/>
  <c r="B18168" i="1"/>
  <c r="D18168" i="1"/>
  <c r="G18168" i="1"/>
  <c r="B13276" i="1"/>
  <c r="D13276" i="1"/>
  <c r="G13276" i="1"/>
  <c r="B13056" i="1"/>
  <c r="D13056" i="1"/>
  <c r="G13056" i="1"/>
  <c r="B16969" i="1"/>
  <c r="D16969" i="1"/>
  <c r="G16969" i="1"/>
  <c r="B272" i="1"/>
  <c r="D272" i="1"/>
  <c r="G272" i="1"/>
  <c r="B14170" i="1"/>
  <c r="D14170" i="1"/>
  <c r="G14170" i="1"/>
  <c r="B16063" i="1"/>
  <c r="D16063" i="1"/>
  <c r="G16063" i="1"/>
  <c r="B4193" i="1"/>
  <c r="D4193" i="1"/>
  <c r="G4193" i="1"/>
  <c r="B14479" i="1"/>
  <c r="D14479" i="1"/>
  <c r="G14479" i="1"/>
  <c r="B15427" i="1"/>
  <c r="D15427" i="1"/>
  <c r="G15427" i="1"/>
  <c r="B8718" i="1"/>
  <c r="D8718" i="1"/>
  <c r="G8718" i="1"/>
  <c r="B15864" i="1"/>
  <c r="D15864" i="1"/>
  <c r="G15864" i="1"/>
  <c r="B15791" i="1"/>
  <c r="D15791" i="1"/>
  <c r="G15791" i="1"/>
  <c r="B17288" i="1"/>
  <c r="D17288" i="1"/>
  <c r="G17288" i="1"/>
  <c r="B22126" i="1"/>
  <c r="D22126" i="1"/>
  <c r="G22126" i="1"/>
  <c r="B4691" i="1"/>
  <c r="D4691" i="1"/>
  <c r="G4691" i="1"/>
  <c r="B14005" i="1"/>
  <c r="D14005" i="1"/>
  <c r="G14005" i="1"/>
  <c r="B22018" i="1"/>
  <c r="D22018" i="1"/>
  <c r="G22018" i="1"/>
  <c r="B18835" i="1"/>
  <c r="D18835" i="1"/>
  <c r="G18835" i="1"/>
  <c r="B14984" i="1"/>
  <c r="D14984" i="1"/>
  <c r="G14984" i="1"/>
  <c r="B14713" i="1"/>
  <c r="D14713" i="1"/>
  <c r="G14713" i="1"/>
  <c r="B5832" i="1"/>
  <c r="D5832" i="1"/>
  <c r="G5832" i="1"/>
  <c r="B14165" i="1"/>
  <c r="D14165" i="1"/>
  <c r="G14165" i="1"/>
  <c r="B16373" i="1"/>
  <c r="D16373" i="1"/>
  <c r="G16373" i="1"/>
  <c r="B1383" i="1"/>
  <c r="D1383" i="1"/>
  <c r="G1383" i="1"/>
  <c r="B16374" i="1"/>
  <c r="D16374" i="1"/>
  <c r="G16374" i="1"/>
  <c r="B13982" i="1"/>
  <c r="D13982" i="1"/>
  <c r="G13982" i="1"/>
  <c r="B17079" i="1"/>
  <c r="D17079" i="1"/>
  <c r="G17079" i="1"/>
  <c r="B19879" i="1"/>
  <c r="D19879" i="1"/>
  <c r="G19879" i="1"/>
  <c r="B5833" i="1"/>
  <c r="D5833" i="1"/>
  <c r="G5833" i="1"/>
  <c r="B4194" i="1"/>
  <c r="D4194" i="1"/>
  <c r="G4194" i="1"/>
  <c r="B4195" i="1"/>
  <c r="D4195" i="1"/>
  <c r="G4195" i="1"/>
  <c r="B9157" i="1"/>
  <c r="D9157" i="1"/>
  <c r="G9157" i="1"/>
  <c r="B14985" i="1"/>
  <c r="D14985" i="1"/>
  <c r="G14985" i="1"/>
  <c r="B21062" i="1"/>
  <c r="D21062" i="1"/>
  <c r="G21062" i="1"/>
  <c r="B15428" i="1"/>
  <c r="D15428" i="1"/>
  <c r="G15428" i="1"/>
  <c r="B18078" i="1"/>
  <c r="D18078" i="1"/>
  <c r="G18078" i="1"/>
  <c r="B21688" i="1"/>
  <c r="D21688" i="1"/>
  <c r="G21688" i="1"/>
  <c r="B18733" i="1"/>
  <c r="D18733" i="1"/>
  <c r="G18733" i="1"/>
  <c r="B20776" i="1"/>
  <c r="D20776" i="1"/>
  <c r="G20776" i="1"/>
  <c r="B19169" i="1"/>
  <c r="D19169" i="1"/>
  <c r="G19169" i="1"/>
  <c r="B14606" i="1"/>
  <c r="D14606" i="1"/>
  <c r="G14606" i="1"/>
  <c r="B11384" i="1"/>
  <c r="D11384" i="1"/>
  <c r="G11384" i="1"/>
  <c r="B12017" i="1"/>
  <c r="D12017" i="1"/>
  <c r="G12017" i="1"/>
  <c r="B3877" i="1"/>
  <c r="D3877" i="1"/>
  <c r="G3877" i="1"/>
  <c r="B2638" i="1"/>
  <c r="D2638" i="1"/>
  <c r="G2638" i="1"/>
  <c r="B3476" i="1"/>
  <c r="D3476" i="1"/>
  <c r="G3476" i="1"/>
  <c r="B5190" i="1"/>
  <c r="D5190" i="1"/>
  <c r="G5190" i="1"/>
  <c r="B11771" i="1"/>
  <c r="D11771" i="1"/>
  <c r="G11771" i="1"/>
  <c r="B16375" i="1"/>
  <c r="D16375" i="1"/>
  <c r="G16375" i="1"/>
  <c r="B801" i="1"/>
  <c r="D801" i="1"/>
  <c r="G801" i="1"/>
  <c r="B18169" i="1"/>
  <c r="D18169" i="1"/>
  <c r="G18169" i="1"/>
  <c r="B25" i="1"/>
  <c r="D25" i="1"/>
  <c r="G25" i="1"/>
  <c r="B10467" i="1"/>
  <c r="D10467" i="1"/>
  <c r="G10467" i="1"/>
  <c r="B16376" i="1"/>
  <c r="D16376" i="1"/>
  <c r="G16376" i="1"/>
  <c r="B4245" i="1"/>
  <c r="D4245" i="1"/>
  <c r="G4245" i="1"/>
  <c r="B16970" i="1"/>
  <c r="D16970" i="1"/>
  <c r="G16970" i="1"/>
  <c r="B22127" i="1"/>
  <c r="D22127" i="1"/>
  <c r="G22127" i="1"/>
  <c r="B18836" i="1"/>
  <c r="D18836" i="1"/>
  <c r="G18836" i="1"/>
  <c r="B14986" i="1"/>
  <c r="D14986" i="1"/>
  <c r="G14986" i="1"/>
  <c r="B19170" i="1"/>
  <c r="D19170" i="1"/>
  <c r="G19170" i="1"/>
  <c r="B17080" i="1"/>
  <c r="D17080" i="1"/>
  <c r="G17080" i="1"/>
  <c r="B14987" i="1"/>
  <c r="D14987" i="1"/>
  <c r="G14987" i="1"/>
  <c r="B14714" i="1"/>
  <c r="D14714" i="1"/>
  <c r="G14714" i="1"/>
  <c r="B14539" i="1"/>
  <c r="D14539" i="1"/>
  <c r="G14539" i="1"/>
  <c r="B15429" i="1"/>
  <c r="D15429" i="1"/>
  <c r="G15429" i="1"/>
  <c r="B15865" i="1"/>
  <c r="D15865" i="1"/>
  <c r="G15865" i="1"/>
  <c r="B15792" i="1"/>
  <c r="D15792" i="1"/>
  <c r="G15792" i="1"/>
  <c r="B3477" i="1"/>
  <c r="D3477" i="1"/>
  <c r="G3477" i="1"/>
  <c r="B3478" i="1"/>
  <c r="D3478" i="1"/>
  <c r="G3478" i="1"/>
  <c r="B375" i="1"/>
  <c r="D375" i="1"/>
  <c r="G375" i="1"/>
  <c r="B4388" i="1"/>
  <c r="D4388" i="1"/>
  <c r="G4388" i="1"/>
  <c r="B3406" i="1"/>
  <c r="D3406" i="1"/>
  <c r="G3406" i="1"/>
  <c r="B17711" i="1"/>
  <c r="D17711" i="1"/>
  <c r="G17711" i="1"/>
  <c r="B14680" i="1"/>
  <c r="D14680" i="1"/>
  <c r="G14680" i="1"/>
  <c r="B16377" i="1"/>
  <c r="D16377" i="1"/>
  <c r="G16377" i="1"/>
  <c r="B17015" i="1"/>
  <c r="D17015" i="1"/>
  <c r="G17015" i="1"/>
  <c r="B1949" i="1"/>
  <c r="D1949" i="1"/>
  <c r="G1949" i="1"/>
  <c r="B3378" i="1"/>
  <c r="D3378" i="1"/>
  <c r="G3378" i="1"/>
  <c r="B4389" i="1"/>
  <c r="D4389" i="1"/>
  <c r="G4389" i="1"/>
  <c r="B2192" i="1"/>
  <c r="D2192" i="1"/>
  <c r="G2192" i="1"/>
  <c r="B16091" i="1"/>
  <c r="D16091" i="1"/>
  <c r="G16091" i="1"/>
  <c r="B14988" i="1"/>
  <c r="D14988" i="1"/>
  <c r="G14988" i="1"/>
  <c r="B15430" i="1"/>
  <c r="D15430" i="1"/>
  <c r="G15430" i="1"/>
  <c r="B15702" i="1"/>
  <c r="D15702" i="1"/>
  <c r="G15702" i="1"/>
  <c r="B3081" i="1"/>
  <c r="D3081" i="1"/>
  <c r="G3081" i="1"/>
  <c r="B11512" i="1"/>
  <c r="D11512" i="1"/>
  <c r="G11512" i="1"/>
  <c r="B6579" i="1"/>
  <c r="D6579" i="1"/>
  <c r="G6579" i="1"/>
  <c r="B20777" i="1"/>
  <c r="D20777" i="1"/>
  <c r="G20777" i="1"/>
  <c r="B15431" i="1"/>
  <c r="D15431" i="1"/>
  <c r="G15431" i="1"/>
  <c r="B14607" i="1"/>
  <c r="D14607" i="1"/>
  <c r="G14607" i="1"/>
  <c r="B8719" i="1"/>
  <c r="D8719" i="1"/>
  <c r="G8719" i="1"/>
  <c r="B3320" i="1"/>
  <c r="D3320" i="1"/>
  <c r="G3320" i="1"/>
  <c r="B21879" i="1"/>
  <c r="D21879" i="1"/>
  <c r="G21879" i="1"/>
  <c r="B12018" i="1"/>
  <c r="D12018" i="1"/>
  <c r="G12018" i="1"/>
  <c r="B1569" i="1"/>
  <c r="D1569" i="1"/>
  <c r="G1569" i="1"/>
  <c r="B493" i="1"/>
  <c r="D493" i="1"/>
  <c r="G493" i="1"/>
  <c r="B3400" i="1"/>
  <c r="D3400" i="1"/>
  <c r="G3400" i="1"/>
  <c r="B17081" i="1"/>
  <c r="D17081" i="1"/>
  <c r="G17081" i="1"/>
  <c r="B20566" i="1"/>
  <c r="D20566" i="1"/>
  <c r="G20566" i="1"/>
  <c r="B1570" i="1"/>
  <c r="D1570" i="1"/>
  <c r="G1570" i="1"/>
  <c r="B16378" i="1"/>
  <c r="D16378" i="1"/>
  <c r="G16378" i="1"/>
  <c r="B4692" i="1"/>
  <c r="D4692" i="1"/>
  <c r="G4692" i="1"/>
  <c r="B10468" i="1"/>
  <c r="D10468" i="1"/>
  <c r="G10468" i="1"/>
  <c r="B10469" i="1"/>
  <c r="D10469" i="1"/>
  <c r="G10469" i="1"/>
  <c r="B10774" i="1"/>
  <c r="D10774" i="1"/>
  <c r="G10774" i="1"/>
  <c r="B10775" i="1"/>
  <c r="D10775" i="1"/>
  <c r="G10775" i="1"/>
  <c r="B4780" i="1"/>
  <c r="D4780" i="1"/>
  <c r="G4780" i="1"/>
  <c r="B3381" i="1"/>
  <c r="D3381" i="1"/>
  <c r="G3381" i="1"/>
  <c r="B20567" i="1"/>
  <c r="D20567" i="1"/>
  <c r="G20567" i="1"/>
  <c r="B20568" i="1"/>
  <c r="D20568" i="1"/>
  <c r="G20568" i="1"/>
  <c r="B3304" i="1"/>
  <c r="D3304" i="1"/>
  <c r="G3304" i="1"/>
  <c r="B16379" i="1"/>
  <c r="D16379" i="1"/>
  <c r="G16379" i="1"/>
  <c r="B17378" i="1"/>
  <c r="D17378" i="1"/>
  <c r="G17378" i="1"/>
  <c r="B8720" i="1"/>
  <c r="D8720" i="1"/>
  <c r="G8720" i="1"/>
  <c r="B3330" i="1"/>
  <c r="D3330" i="1"/>
  <c r="G3330" i="1"/>
  <c r="B4299" i="1"/>
  <c r="D4299" i="1"/>
  <c r="G4299" i="1"/>
  <c r="B4384" i="1"/>
  <c r="D4384" i="1"/>
  <c r="G4384" i="1"/>
  <c r="B21689" i="1"/>
  <c r="D21689" i="1"/>
  <c r="G21689" i="1"/>
  <c r="B4693" i="1"/>
  <c r="D4693" i="1"/>
  <c r="G4693" i="1"/>
  <c r="B18734" i="1"/>
  <c r="D18734" i="1"/>
  <c r="G18734" i="1"/>
  <c r="B20285" i="1"/>
  <c r="D20285" i="1"/>
  <c r="G20285" i="1"/>
  <c r="B4592" i="1"/>
  <c r="D4592" i="1"/>
  <c r="G4592" i="1"/>
  <c r="B854" i="1"/>
  <c r="D854" i="1"/>
  <c r="G854" i="1"/>
  <c r="B14989" i="1"/>
  <c r="D14989" i="1"/>
  <c r="G14989" i="1"/>
  <c r="B4461" i="1"/>
  <c r="D4461" i="1"/>
  <c r="G4461" i="1"/>
  <c r="B19459" i="1"/>
  <c r="D19459" i="1"/>
  <c r="G19459" i="1"/>
  <c r="B2063" i="1"/>
  <c r="D2063" i="1"/>
  <c r="G2063" i="1"/>
  <c r="B12019" i="1"/>
  <c r="D12019" i="1"/>
  <c r="G12019" i="1"/>
  <c r="B14024" i="1"/>
  <c r="D14024" i="1"/>
  <c r="G14024" i="1"/>
  <c r="B1384" i="1"/>
  <c r="D1384" i="1"/>
  <c r="G1384" i="1"/>
  <c r="B18170" i="1"/>
  <c r="D18170" i="1"/>
  <c r="G18170" i="1"/>
  <c r="B14827" i="1"/>
  <c r="D14827" i="1"/>
  <c r="G14827" i="1"/>
  <c r="B18449" i="1"/>
  <c r="D18449" i="1"/>
  <c r="G18449" i="1"/>
  <c r="B4593" i="1"/>
  <c r="D4593" i="1"/>
  <c r="G4593" i="1"/>
  <c r="B4462" i="1"/>
  <c r="D4462" i="1"/>
  <c r="G4462" i="1"/>
  <c r="B4594" i="1"/>
  <c r="D4594" i="1"/>
  <c r="G4594" i="1"/>
  <c r="B14540" i="1"/>
  <c r="D14540" i="1"/>
  <c r="G14540" i="1"/>
  <c r="B16380" i="1"/>
  <c r="D16380" i="1"/>
  <c r="G16380" i="1"/>
  <c r="B10470" i="1"/>
  <c r="D10470" i="1"/>
  <c r="G10470" i="1"/>
  <c r="B45" i="1"/>
  <c r="D45" i="1"/>
  <c r="G45" i="1"/>
  <c r="B2639" i="1"/>
  <c r="D2639" i="1"/>
  <c r="G2639" i="1"/>
  <c r="B19171" i="1"/>
  <c r="D19171" i="1"/>
  <c r="G19171" i="1"/>
  <c r="B15866" i="1"/>
  <c r="D15866" i="1"/>
  <c r="G15866" i="1"/>
  <c r="B8721" i="1"/>
  <c r="D8721" i="1"/>
  <c r="G8721" i="1"/>
  <c r="B15793" i="1"/>
  <c r="D15793" i="1"/>
  <c r="G15793" i="1"/>
  <c r="B1441" i="1"/>
  <c r="D1441" i="1"/>
  <c r="G1441" i="1"/>
  <c r="B11114" i="1"/>
  <c r="D11114" i="1"/>
  <c r="G11114" i="1"/>
  <c r="B18658" i="1"/>
  <c r="D18658" i="1"/>
  <c r="G18658" i="1"/>
  <c r="B21240" i="1"/>
  <c r="D21240" i="1"/>
  <c r="G21240" i="1"/>
  <c r="B6894" i="1"/>
  <c r="D6894" i="1"/>
  <c r="G6894" i="1"/>
  <c r="B7735" i="1"/>
  <c r="D7735" i="1"/>
  <c r="G7735" i="1"/>
  <c r="B2341" i="1"/>
  <c r="D2341" i="1"/>
  <c r="G2341" i="1"/>
  <c r="B10776" i="1"/>
  <c r="D10776" i="1"/>
  <c r="G10776" i="1"/>
  <c r="B2437" i="1"/>
  <c r="D2437" i="1"/>
  <c r="G2437" i="1"/>
  <c r="B16381" i="1"/>
  <c r="D16381" i="1"/>
  <c r="G16381" i="1"/>
  <c r="B4152" i="1"/>
  <c r="D4152" i="1"/>
  <c r="G4152" i="1"/>
  <c r="B17082" i="1"/>
  <c r="D17082" i="1"/>
  <c r="G17082" i="1"/>
  <c r="B2064" i="1"/>
  <c r="D2064" i="1"/>
  <c r="G2064" i="1"/>
  <c r="B2496" i="1"/>
  <c r="D2496" i="1"/>
  <c r="G2496" i="1"/>
  <c r="B1529" i="1"/>
  <c r="D1529" i="1"/>
  <c r="G1529" i="1"/>
  <c r="B376" i="1"/>
  <c r="D376" i="1"/>
  <c r="G376" i="1"/>
  <c r="B3702" i="1"/>
  <c r="D3702" i="1"/>
  <c r="G3702" i="1"/>
  <c r="B3703" i="1"/>
  <c r="D3703" i="1"/>
  <c r="G3703" i="1"/>
  <c r="B16382" i="1"/>
  <c r="D16382" i="1"/>
  <c r="G16382" i="1"/>
  <c r="B3479" i="1"/>
  <c r="D3479" i="1"/>
  <c r="G3479" i="1"/>
  <c r="B2640" i="1"/>
  <c r="D2640" i="1"/>
  <c r="G2640" i="1"/>
  <c r="B15432" i="1"/>
  <c r="D15432" i="1"/>
  <c r="G15432" i="1"/>
  <c r="B14990" i="1"/>
  <c r="D14990" i="1"/>
  <c r="G14990" i="1"/>
  <c r="B12020" i="1"/>
  <c r="D12020" i="1"/>
  <c r="G12020" i="1"/>
  <c r="B18450" i="1"/>
  <c r="D18450" i="1"/>
  <c r="G18450" i="1"/>
  <c r="B14374" i="1"/>
  <c r="D14374" i="1"/>
  <c r="G14374" i="1"/>
  <c r="B3704" i="1"/>
  <c r="D3704" i="1"/>
  <c r="G3704" i="1"/>
  <c r="B5340" i="1"/>
  <c r="D5340" i="1"/>
  <c r="G5340" i="1"/>
  <c r="B14828" i="1"/>
  <c r="D14828" i="1"/>
  <c r="G14828" i="1"/>
  <c r="B2254" i="1"/>
  <c r="D2254" i="1"/>
  <c r="G2254" i="1"/>
  <c r="B2278" i="1"/>
  <c r="D2278" i="1"/>
  <c r="G2278" i="1"/>
  <c r="B1091" i="1"/>
  <c r="D1091" i="1"/>
  <c r="G1091" i="1"/>
  <c r="B377" i="1"/>
  <c r="D377" i="1"/>
  <c r="G377" i="1"/>
  <c r="B14991" i="1"/>
  <c r="D14991" i="1"/>
  <c r="G14991" i="1"/>
  <c r="B15433" i="1"/>
  <c r="D15433" i="1"/>
  <c r="G15433" i="1"/>
  <c r="B18079" i="1"/>
  <c r="D18079" i="1"/>
  <c r="G18079" i="1"/>
  <c r="B3225" i="1"/>
  <c r="D3225" i="1"/>
  <c r="G3225" i="1"/>
  <c r="B2065" i="1"/>
  <c r="D2065" i="1"/>
  <c r="G2065" i="1"/>
  <c r="B1996" i="1"/>
  <c r="D1996" i="1"/>
  <c r="G1996" i="1"/>
  <c r="B13582" i="1"/>
  <c r="D13582" i="1"/>
  <c r="G13582" i="1"/>
  <c r="B11034" i="1"/>
  <c r="D11034" i="1"/>
  <c r="G11034" i="1"/>
  <c r="B1385" i="1"/>
  <c r="D1385" i="1"/>
  <c r="G1385" i="1"/>
  <c r="B21241" i="1"/>
  <c r="D21241" i="1"/>
  <c r="G21241" i="1"/>
  <c r="B10777" i="1"/>
  <c r="D10777" i="1"/>
  <c r="G10777" i="1"/>
  <c r="B16383" i="1"/>
  <c r="D16383" i="1"/>
  <c r="G16383" i="1"/>
  <c r="B1386" i="1"/>
  <c r="D1386" i="1"/>
  <c r="G1386" i="1"/>
  <c r="B15867" i="1"/>
  <c r="D15867" i="1"/>
  <c r="G15867" i="1"/>
  <c r="B16384" i="1"/>
  <c r="D16384" i="1"/>
  <c r="G16384" i="1"/>
  <c r="B15434" i="1"/>
  <c r="D15434" i="1"/>
  <c r="G15434" i="1"/>
  <c r="B14992" i="1"/>
  <c r="D14992" i="1"/>
  <c r="G14992" i="1"/>
  <c r="B2641" i="1"/>
  <c r="D2641" i="1"/>
  <c r="G2641" i="1"/>
  <c r="B1387" i="1"/>
  <c r="D1387" i="1"/>
  <c r="G1387" i="1"/>
  <c r="B2642" i="1"/>
  <c r="D2642" i="1"/>
  <c r="G2642" i="1"/>
  <c r="B4196" i="1"/>
  <c r="D4196" i="1"/>
  <c r="G4196" i="1"/>
  <c r="B18333" i="1"/>
  <c r="D18333" i="1"/>
  <c r="G18333" i="1"/>
  <c r="B2342" i="1"/>
  <c r="D2342" i="1"/>
  <c r="G2342" i="1"/>
  <c r="B1490" i="1"/>
  <c r="D1490" i="1"/>
  <c r="G1490" i="1"/>
  <c r="B2643" i="1"/>
  <c r="D2643" i="1"/>
  <c r="G2643" i="1"/>
  <c r="B2644" i="1"/>
  <c r="D2644" i="1"/>
  <c r="G2644" i="1"/>
  <c r="B14993" i="1"/>
  <c r="D14993" i="1"/>
  <c r="G14993" i="1"/>
  <c r="B7435" i="1"/>
  <c r="D7435" i="1"/>
  <c r="G7435" i="1"/>
  <c r="B18116" i="1"/>
  <c r="D18116" i="1"/>
  <c r="G18116" i="1"/>
  <c r="B4976" i="1"/>
  <c r="D4976" i="1"/>
  <c r="G4976" i="1"/>
  <c r="B15435" i="1"/>
  <c r="D15435" i="1"/>
  <c r="G15435" i="1"/>
  <c r="B14480" i="1"/>
  <c r="D14480" i="1"/>
  <c r="G14480" i="1"/>
  <c r="B43" i="1"/>
  <c r="D43" i="1"/>
  <c r="G43" i="1"/>
  <c r="B253" i="1"/>
  <c r="D253" i="1"/>
  <c r="G253" i="1"/>
  <c r="B16385" i="1"/>
  <c r="D16385" i="1"/>
  <c r="G16385" i="1"/>
  <c r="B17083" i="1"/>
  <c r="D17083" i="1"/>
  <c r="G17083" i="1"/>
  <c r="B16092" i="1"/>
  <c r="D16092" i="1"/>
  <c r="G16092" i="1"/>
  <c r="B12021" i="1"/>
  <c r="D12021" i="1"/>
  <c r="G12021" i="1"/>
  <c r="B17712" i="1"/>
  <c r="D17712" i="1"/>
  <c r="G17712" i="1"/>
  <c r="B17713" i="1"/>
  <c r="D17713" i="1"/>
  <c r="G17713" i="1"/>
  <c r="B17714" i="1"/>
  <c r="D17714" i="1"/>
  <c r="G17714" i="1"/>
  <c r="B3480" i="1"/>
  <c r="D3480" i="1"/>
  <c r="G3480" i="1"/>
  <c r="B2645" i="1"/>
  <c r="D2645" i="1"/>
  <c r="G2645" i="1"/>
  <c r="B5834" i="1"/>
  <c r="D5834" i="1"/>
  <c r="G5834" i="1"/>
  <c r="B15436" i="1"/>
  <c r="D15436" i="1"/>
  <c r="G15436" i="1"/>
  <c r="B757" i="1"/>
  <c r="D757" i="1"/>
  <c r="G757" i="1"/>
  <c r="B4938" i="1"/>
  <c r="D4938" i="1"/>
  <c r="G4938" i="1"/>
  <c r="B8722" i="1"/>
  <c r="D8722" i="1"/>
  <c r="G8722" i="1"/>
  <c r="B1388" i="1"/>
  <c r="D1388" i="1"/>
  <c r="G1388" i="1"/>
  <c r="B5835" i="1"/>
  <c r="D5835" i="1"/>
  <c r="G5835" i="1"/>
  <c r="B8306" i="1"/>
  <c r="D8306" i="1"/>
  <c r="G8306" i="1"/>
  <c r="B20569" i="1"/>
  <c r="D20569" i="1"/>
  <c r="G20569" i="1"/>
  <c r="B20570" i="1"/>
  <c r="D20570" i="1"/>
  <c r="G20570" i="1"/>
  <c r="B4939" i="1"/>
  <c r="D4939" i="1"/>
  <c r="G4939" i="1"/>
  <c r="B20778" i="1"/>
  <c r="D20778" i="1"/>
  <c r="G20778" i="1"/>
  <c r="B20779" i="1"/>
  <c r="D20779" i="1"/>
  <c r="G20779" i="1"/>
  <c r="B16386" i="1"/>
  <c r="D16386" i="1"/>
  <c r="G16386" i="1"/>
  <c r="B2066" i="1"/>
  <c r="D2066" i="1"/>
  <c r="G2066" i="1"/>
  <c r="B87" i="1"/>
  <c r="D87" i="1"/>
  <c r="G87" i="1"/>
  <c r="B2646" i="1"/>
  <c r="D2646" i="1"/>
  <c r="G2646" i="1"/>
  <c r="B3481" i="1"/>
  <c r="D3481" i="1"/>
  <c r="G3481" i="1"/>
  <c r="B3482" i="1"/>
  <c r="D3482" i="1"/>
  <c r="G3482" i="1"/>
  <c r="B16387" i="1"/>
  <c r="D16387" i="1"/>
  <c r="G16387" i="1"/>
  <c r="B3483" i="1"/>
  <c r="D3483" i="1"/>
  <c r="G3483" i="1"/>
  <c r="B3484" i="1"/>
  <c r="D3484" i="1"/>
  <c r="G3484" i="1"/>
  <c r="B3485" i="1"/>
  <c r="D3485" i="1"/>
  <c r="G3485" i="1"/>
  <c r="B2647" i="1"/>
  <c r="D2647" i="1"/>
  <c r="G2647" i="1"/>
  <c r="B1092" i="1"/>
  <c r="D1092" i="1"/>
  <c r="G1092" i="1"/>
  <c r="B12403" i="1"/>
  <c r="D12403" i="1"/>
  <c r="G12403" i="1"/>
  <c r="B7436" i="1"/>
  <c r="D7436" i="1"/>
  <c r="G7436" i="1"/>
  <c r="B4781" i="1"/>
  <c r="D4781" i="1"/>
  <c r="G4781" i="1"/>
  <c r="B2648" i="1"/>
  <c r="D2648" i="1"/>
  <c r="G2648" i="1"/>
  <c r="B1093" i="1"/>
  <c r="D1093" i="1"/>
  <c r="G1093" i="1"/>
  <c r="B1094" i="1"/>
  <c r="D1094" i="1"/>
  <c r="G1094" i="1"/>
  <c r="B17379" i="1"/>
  <c r="D17379" i="1"/>
  <c r="G17379" i="1"/>
  <c r="B4405" i="1"/>
  <c r="D4405" i="1"/>
  <c r="G4405" i="1"/>
  <c r="B3305" i="1"/>
  <c r="D3305" i="1"/>
  <c r="G3305" i="1"/>
  <c r="B8723" i="1"/>
  <c r="D8723" i="1"/>
  <c r="G8723" i="1"/>
  <c r="B2649" i="1"/>
  <c r="D2649" i="1"/>
  <c r="G2649" i="1"/>
  <c r="B17307" i="1"/>
  <c r="D17307" i="1"/>
  <c r="G17307" i="1"/>
  <c r="B5659" i="1"/>
  <c r="D5659" i="1"/>
  <c r="G5659" i="1"/>
  <c r="B1950" i="1"/>
  <c r="D1950" i="1"/>
  <c r="G1950" i="1"/>
  <c r="B1571" i="1"/>
  <c r="D1571" i="1"/>
  <c r="G1571" i="1"/>
  <c r="B1572" i="1"/>
  <c r="D1572" i="1"/>
  <c r="G1572" i="1"/>
  <c r="B2650" i="1"/>
  <c r="D2650" i="1"/>
  <c r="G2650" i="1"/>
  <c r="B1573" i="1"/>
  <c r="D1573" i="1"/>
  <c r="G1573" i="1"/>
  <c r="B14829" i="1"/>
  <c r="D14829" i="1"/>
  <c r="G14829" i="1"/>
  <c r="B16388" i="1"/>
  <c r="D16388" i="1"/>
  <c r="G16388" i="1"/>
  <c r="B1368" i="1"/>
  <c r="D1368" i="1"/>
  <c r="G1368" i="1"/>
  <c r="B3407" i="1"/>
  <c r="D3407" i="1"/>
  <c r="G3407" i="1"/>
  <c r="B1095" i="1"/>
  <c r="D1095" i="1"/>
  <c r="G1095" i="1"/>
  <c r="B5341" i="1"/>
  <c r="D5341" i="1"/>
  <c r="G5341" i="1"/>
  <c r="B2651" i="1"/>
  <c r="D2651" i="1"/>
  <c r="G2651" i="1"/>
  <c r="B8724" i="1"/>
  <c r="D8724" i="1"/>
  <c r="G8724" i="1"/>
  <c r="B1096" i="1"/>
  <c r="D1096" i="1"/>
  <c r="G1096" i="1"/>
  <c r="B5342" i="1"/>
  <c r="D5342" i="1"/>
  <c r="G5342" i="1"/>
  <c r="B1863" i="1"/>
  <c r="D1863" i="1"/>
  <c r="G1863" i="1"/>
  <c r="B21458" i="1"/>
  <c r="D21458" i="1"/>
  <c r="G21458" i="1"/>
  <c r="B2652" i="1"/>
  <c r="D2652" i="1"/>
  <c r="G2652" i="1"/>
  <c r="B14994" i="1"/>
  <c r="D14994" i="1"/>
  <c r="G14994" i="1"/>
  <c r="B16389" i="1"/>
  <c r="D16389" i="1"/>
  <c r="G16389" i="1"/>
  <c r="B5660" i="1"/>
  <c r="D5660" i="1"/>
  <c r="G5660" i="1"/>
  <c r="B5661" i="1"/>
  <c r="D5661" i="1"/>
  <c r="G5661" i="1"/>
  <c r="B20780" i="1"/>
  <c r="D20780" i="1"/>
  <c r="G20780" i="1"/>
  <c r="B15437" i="1"/>
  <c r="D15437" i="1"/>
  <c r="G15437" i="1"/>
  <c r="B18837" i="1"/>
  <c r="D18837" i="1"/>
  <c r="G18837" i="1"/>
  <c r="B20781" i="1"/>
  <c r="D20781" i="1"/>
  <c r="G20781" i="1"/>
  <c r="B5662" i="1"/>
  <c r="D5662" i="1"/>
  <c r="G5662" i="1"/>
  <c r="B16390" i="1"/>
  <c r="D16390" i="1"/>
  <c r="G16390" i="1"/>
  <c r="B4694" i="1"/>
  <c r="D4694" i="1"/>
  <c r="G4694" i="1"/>
  <c r="B20782" i="1"/>
  <c r="D20782" i="1"/>
  <c r="G20782" i="1"/>
  <c r="B20783" i="1"/>
  <c r="D20783" i="1"/>
  <c r="G20783" i="1"/>
  <c r="B15868" i="1"/>
  <c r="D15868" i="1"/>
  <c r="G15868" i="1"/>
  <c r="B15438" i="1"/>
  <c r="D15438" i="1"/>
  <c r="G15438" i="1"/>
  <c r="B14995" i="1"/>
  <c r="D14995" i="1"/>
  <c r="G14995" i="1"/>
  <c r="B14996" i="1"/>
  <c r="D14996" i="1"/>
  <c r="G14996" i="1"/>
  <c r="B20784" i="1"/>
  <c r="D20784" i="1"/>
  <c r="G20784" i="1"/>
  <c r="B15439" i="1"/>
  <c r="D15439" i="1"/>
  <c r="G15439" i="1"/>
  <c r="B5691" i="1"/>
  <c r="D5691" i="1"/>
  <c r="G5691" i="1"/>
  <c r="B20571" i="1"/>
  <c r="D20571" i="1"/>
  <c r="G20571" i="1"/>
  <c r="B2653" i="1"/>
  <c r="D2653" i="1"/>
  <c r="G2653" i="1"/>
  <c r="B16391" i="1"/>
  <c r="D16391" i="1"/>
  <c r="G16391" i="1"/>
  <c r="B3878" i="1"/>
  <c r="D3878" i="1"/>
  <c r="G3878" i="1"/>
  <c r="B14830" i="1"/>
  <c r="D14830" i="1"/>
  <c r="G14830" i="1"/>
  <c r="B88" i="1"/>
  <c r="D88" i="1"/>
  <c r="G88" i="1"/>
  <c r="B8383" i="1"/>
  <c r="D8383" i="1"/>
  <c r="G8383" i="1"/>
  <c r="B1864" i="1"/>
  <c r="D1864" i="1"/>
  <c r="G1864" i="1"/>
  <c r="B8384" i="1"/>
  <c r="D8384" i="1"/>
  <c r="G8384" i="1"/>
  <c r="B18117" i="1"/>
  <c r="D18117" i="1"/>
  <c r="G18117" i="1"/>
  <c r="B4109" i="1"/>
  <c r="D4109" i="1"/>
  <c r="G4109" i="1"/>
  <c r="B304" i="1"/>
  <c r="D304" i="1"/>
  <c r="G304" i="1"/>
  <c r="B16392" i="1"/>
  <c r="D16392" i="1"/>
  <c r="G16392" i="1"/>
  <c r="B4595" i="1"/>
  <c r="D4595" i="1"/>
  <c r="G4595" i="1"/>
  <c r="B4940" i="1"/>
  <c r="D4940" i="1"/>
  <c r="G4940" i="1"/>
  <c r="B16393" i="1"/>
  <c r="D16393" i="1"/>
  <c r="G16393" i="1"/>
  <c r="B1865" i="1"/>
  <c r="D1865" i="1"/>
  <c r="G1865" i="1"/>
  <c r="B1465" i="1"/>
  <c r="D1465" i="1"/>
  <c r="G1465" i="1"/>
  <c r="B468" i="1"/>
  <c r="D468" i="1"/>
  <c r="G468" i="1"/>
  <c r="B13701" i="1"/>
  <c r="D13701" i="1"/>
  <c r="G13701" i="1"/>
  <c r="B7437" i="1"/>
  <c r="D7437" i="1"/>
  <c r="G7437" i="1"/>
  <c r="B305" i="1"/>
  <c r="D305" i="1"/>
  <c r="G305" i="1"/>
  <c r="B5820" i="1"/>
  <c r="D5820" i="1"/>
  <c r="G5820" i="1"/>
  <c r="B3226" i="1"/>
  <c r="D3226" i="1"/>
  <c r="G3226" i="1"/>
  <c r="B2074" i="1"/>
  <c r="D2074" i="1"/>
  <c r="G2074" i="1"/>
  <c r="B2654" i="1"/>
  <c r="D2654" i="1"/>
  <c r="G2654" i="1"/>
  <c r="B1951" i="1"/>
  <c r="D1951" i="1"/>
  <c r="G1951" i="1"/>
  <c r="B3815" i="1"/>
  <c r="D3815" i="1"/>
  <c r="G3815" i="1"/>
  <c r="B13648" i="1"/>
  <c r="D13648" i="1"/>
  <c r="G13648" i="1"/>
  <c r="B19172" i="1"/>
  <c r="D19172" i="1"/>
  <c r="G19172" i="1"/>
  <c r="B18838" i="1"/>
  <c r="D18838" i="1"/>
  <c r="G18838" i="1"/>
  <c r="B1574" i="1"/>
  <c r="D1574" i="1"/>
  <c r="G1574" i="1"/>
  <c r="B5836" i="1"/>
  <c r="D5836" i="1"/>
  <c r="G5836" i="1"/>
  <c r="B494" i="1"/>
  <c r="D494" i="1"/>
  <c r="G494" i="1"/>
  <c r="B14997" i="1"/>
  <c r="D14997" i="1"/>
  <c r="G14997" i="1"/>
  <c r="B20376" i="1"/>
  <c r="D20376" i="1"/>
  <c r="G20376" i="1"/>
  <c r="B8725" i="1"/>
  <c r="D8725" i="1"/>
  <c r="G8725" i="1"/>
  <c r="B455" i="1"/>
  <c r="D455" i="1"/>
  <c r="G455" i="1"/>
  <c r="B3486" i="1"/>
  <c r="D3486" i="1"/>
  <c r="G3486" i="1"/>
  <c r="B20286" i="1"/>
  <c r="D20286" i="1"/>
  <c r="G20286" i="1"/>
  <c r="B15440" i="1"/>
  <c r="D15440" i="1"/>
  <c r="G15440" i="1"/>
  <c r="B323" i="1"/>
  <c r="D323" i="1"/>
  <c r="G323" i="1"/>
  <c r="B16394" i="1"/>
  <c r="D16394" i="1"/>
  <c r="G16394" i="1"/>
  <c r="B3705" i="1"/>
  <c r="D3705" i="1"/>
  <c r="G3705" i="1"/>
  <c r="B4596" i="1"/>
  <c r="D4596" i="1"/>
  <c r="G4596" i="1"/>
  <c r="B16395" i="1"/>
  <c r="D16395" i="1"/>
  <c r="G16395" i="1"/>
  <c r="B4300" i="1"/>
  <c r="D4300" i="1"/>
  <c r="G4300" i="1"/>
  <c r="B4301" i="1"/>
  <c r="D4301" i="1"/>
  <c r="G4301" i="1"/>
  <c r="B6181" i="1"/>
  <c r="D6181" i="1"/>
  <c r="G6181" i="1"/>
  <c r="B6182" i="1"/>
  <c r="D6182" i="1"/>
  <c r="G6182" i="1"/>
  <c r="B2279" i="1"/>
  <c r="D2279" i="1"/>
  <c r="G2279" i="1"/>
  <c r="B6000" i="1"/>
  <c r="D6000" i="1"/>
  <c r="G6000" i="1"/>
  <c r="B6183" i="1"/>
  <c r="D6183" i="1"/>
  <c r="G6183" i="1"/>
  <c r="B6184" i="1"/>
  <c r="D6184" i="1"/>
  <c r="G6184" i="1"/>
  <c r="B18118" i="1"/>
  <c r="D18118" i="1"/>
  <c r="G18118" i="1"/>
  <c r="B3013" i="1"/>
  <c r="D3013" i="1"/>
  <c r="G3013" i="1"/>
  <c r="B4302" i="1"/>
  <c r="D4302" i="1"/>
  <c r="G4302" i="1"/>
  <c r="B805" i="1"/>
  <c r="D805" i="1"/>
  <c r="G805" i="1"/>
  <c r="B19460" i="1"/>
  <c r="D19460" i="1"/>
  <c r="G19460" i="1"/>
  <c r="B89" i="1"/>
  <c r="D89" i="1"/>
  <c r="G89" i="1"/>
  <c r="B1952" i="1"/>
  <c r="D1952" i="1"/>
  <c r="G1952" i="1"/>
  <c r="B1389" i="1"/>
  <c r="D1389" i="1"/>
  <c r="G1389" i="1"/>
  <c r="B15441" i="1"/>
  <c r="D15441" i="1"/>
  <c r="G15441" i="1"/>
  <c r="B3816" i="1"/>
  <c r="D3816" i="1"/>
  <c r="G3816" i="1"/>
  <c r="B2655" i="1"/>
  <c r="D2655" i="1"/>
  <c r="G2655" i="1"/>
  <c r="B3817" i="1"/>
  <c r="D3817" i="1"/>
  <c r="G3817" i="1"/>
  <c r="B277" i="1"/>
  <c r="D277" i="1"/>
  <c r="G277" i="1"/>
  <c r="B495" i="1"/>
  <c r="D495" i="1"/>
  <c r="G495" i="1"/>
  <c r="B4390" i="1"/>
  <c r="D4390" i="1"/>
  <c r="G4390" i="1"/>
  <c r="B5343" i="1"/>
  <c r="D5343" i="1"/>
  <c r="G5343" i="1"/>
  <c r="B6556" i="1"/>
  <c r="D6556" i="1"/>
  <c r="G6556" i="1"/>
  <c r="B21523" i="1"/>
  <c r="D21523" i="1"/>
  <c r="G21523" i="1"/>
  <c r="B21524" i="1"/>
  <c r="D21524" i="1"/>
  <c r="G21524" i="1"/>
  <c r="B5344" i="1"/>
  <c r="D5344" i="1"/>
  <c r="G5344" i="1"/>
  <c r="B1866" i="1"/>
  <c r="D1866" i="1"/>
  <c r="G1866" i="1"/>
  <c r="B2280" i="1"/>
  <c r="D2280" i="1"/>
  <c r="G2280" i="1"/>
  <c r="B6001" i="1"/>
  <c r="D6001" i="1"/>
  <c r="G6001" i="1"/>
  <c r="B2281" i="1"/>
  <c r="D2281" i="1"/>
  <c r="G2281" i="1"/>
  <c r="B6002" i="1"/>
  <c r="D6002" i="1"/>
  <c r="G6002" i="1"/>
  <c r="B1867" i="1"/>
  <c r="D1867" i="1"/>
  <c r="G1867" i="1"/>
  <c r="B2656" i="1"/>
  <c r="D2656" i="1"/>
  <c r="G2656" i="1"/>
  <c r="B944" i="1"/>
  <c r="D944" i="1"/>
  <c r="G944" i="1"/>
  <c r="B18673" i="1"/>
  <c r="D18673" i="1"/>
  <c r="G18673" i="1"/>
  <c r="B90" i="1"/>
  <c r="D90" i="1"/>
  <c r="G90" i="1"/>
  <c r="B19013" i="1"/>
  <c r="D19013" i="1"/>
  <c r="G19013" i="1"/>
  <c r="B1868" i="1"/>
  <c r="D1868" i="1"/>
  <c r="G1868" i="1"/>
  <c r="B19173" i="1"/>
  <c r="D19173" i="1"/>
  <c r="G19173" i="1"/>
  <c r="B14998" i="1"/>
  <c r="D14998" i="1"/>
  <c r="G14998" i="1"/>
  <c r="B18211" i="1"/>
  <c r="D18211" i="1"/>
  <c r="G18211" i="1"/>
  <c r="B2657" i="1"/>
  <c r="D2657" i="1"/>
  <c r="G2657" i="1"/>
  <c r="B2518" i="1"/>
  <c r="D2518" i="1"/>
  <c r="G2518" i="1"/>
  <c r="B54" i="1"/>
  <c r="D54" i="1"/>
  <c r="G54" i="1"/>
  <c r="B1997" i="1"/>
  <c r="D1997" i="1"/>
  <c r="G1997" i="1"/>
  <c r="B16396" i="1"/>
  <c r="D16396" i="1"/>
  <c r="G16396" i="1"/>
  <c r="B3818" i="1"/>
  <c r="D3818" i="1"/>
  <c r="G3818" i="1"/>
  <c r="B2658" i="1"/>
  <c r="D2658" i="1"/>
  <c r="G2658" i="1"/>
  <c r="B6565" i="1"/>
  <c r="D6565" i="1"/>
  <c r="G6565" i="1"/>
  <c r="B16397" i="1"/>
  <c r="D16397" i="1"/>
  <c r="G16397" i="1"/>
  <c r="B3487" i="1"/>
  <c r="D3487" i="1"/>
  <c r="G3487" i="1"/>
  <c r="B2282" i="1"/>
  <c r="D2282" i="1"/>
  <c r="G2282" i="1"/>
  <c r="B6003" i="1"/>
  <c r="D6003" i="1"/>
  <c r="G6003" i="1"/>
  <c r="B688" i="1"/>
  <c r="D688" i="1"/>
  <c r="G688" i="1"/>
  <c r="B816" i="1"/>
  <c r="D816" i="1"/>
  <c r="G816" i="1"/>
  <c r="B14051" i="1"/>
  <c r="D14051" i="1"/>
  <c r="G14051" i="1"/>
  <c r="B5837" i="1"/>
  <c r="D5837" i="1"/>
  <c r="G5837" i="1"/>
  <c r="B3014" i="1"/>
  <c r="D3014" i="1"/>
  <c r="G3014" i="1"/>
  <c r="B16398" i="1"/>
  <c r="D16398" i="1"/>
  <c r="G16398" i="1"/>
  <c r="B6185" i="1"/>
  <c r="D6185" i="1"/>
  <c r="G6185" i="1"/>
  <c r="B6186" i="1"/>
  <c r="D6186" i="1"/>
  <c r="G6186" i="1"/>
  <c r="B8726" i="1"/>
  <c r="D8726" i="1"/>
  <c r="G8726" i="1"/>
  <c r="B19014" i="1"/>
  <c r="D19014" i="1"/>
  <c r="G19014" i="1"/>
  <c r="B18839" i="1"/>
  <c r="D18839" i="1"/>
  <c r="G18839" i="1"/>
  <c r="B1390" i="1"/>
  <c r="D1390" i="1"/>
  <c r="G1390" i="1"/>
  <c r="B2486" i="1"/>
  <c r="D2486" i="1"/>
  <c r="G2486" i="1"/>
  <c r="B1391" i="1"/>
  <c r="D1391" i="1"/>
  <c r="G1391" i="1"/>
  <c r="B20377" i="1"/>
  <c r="D20377" i="1"/>
  <c r="G20377" i="1"/>
  <c r="B20287" i="1"/>
  <c r="D20287" i="1"/>
  <c r="G20287" i="1"/>
  <c r="B22128" i="1"/>
  <c r="D22128" i="1"/>
  <c r="G22128" i="1"/>
  <c r="B22019" i="1"/>
  <c r="D22019" i="1"/>
  <c r="G22019" i="1"/>
  <c r="B19461" i="1"/>
  <c r="D19461" i="1"/>
  <c r="G19461" i="1"/>
  <c r="B14999" i="1"/>
  <c r="D14999" i="1"/>
  <c r="G14999" i="1"/>
  <c r="B1953" i="1"/>
  <c r="D1953" i="1"/>
  <c r="G1953" i="1"/>
  <c r="B55" i="1"/>
  <c r="D55" i="1"/>
  <c r="G55" i="1"/>
  <c r="B19174" i="1"/>
  <c r="D19174" i="1"/>
  <c r="G19174" i="1"/>
  <c r="B18840" i="1"/>
  <c r="D18840" i="1"/>
  <c r="G18840" i="1"/>
  <c r="B1434" i="1"/>
  <c r="D1434" i="1"/>
  <c r="G1434" i="1"/>
  <c r="B6474" i="1"/>
  <c r="D6474" i="1"/>
  <c r="G6474" i="1"/>
  <c r="B8434" i="1"/>
  <c r="D8434" i="1"/>
  <c r="G8434" i="1"/>
  <c r="B6187" i="1"/>
  <c r="D6187" i="1"/>
  <c r="G6187" i="1"/>
  <c r="B2659" i="1"/>
  <c r="D2659" i="1"/>
  <c r="G2659" i="1"/>
  <c r="B1097" i="1"/>
  <c r="D1097" i="1"/>
  <c r="G1097" i="1"/>
  <c r="B21308" i="1"/>
  <c r="D21308" i="1"/>
  <c r="G21308" i="1"/>
  <c r="B14006" i="1"/>
  <c r="D14006" i="1"/>
  <c r="G14006" i="1"/>
  <c r="B2660" i="1"/>
  <c r="D2660" i="1"/>
  <c r="G2660" i="1"/>
  <c r="B5345" i="1"/>
  <c r="D5345" i="1"/>
  <c r="G5345" i="1"/>
  <c r="B2343" i="1"/>
  <c r="D2343" i="1"/>
  <c r="G2343" i="1"/>
  <c r="B2255" i="1"/>
  <c r="D2255" i="1"/>
  <c r="G2255" i="1"/>
  <c r="B2438" i="1"/>
  <c r="D2438" i="1"/>
  <c r="G2438" i="1"/>
  <c r="B5346" i="1"/>
  <c r="D5346" i="1"/>
  <c r="G5346" i="1"/>
  <c r="B6004" i="1"/>
  <c r="D6004" i="1"/>
  <c r="G6004" i="1"/>
  <c r="B19880" i="1"/>
  <c r="D19880" i="1"/>
  <c r="G19880" i="1"/>
  <c r="B13382" i="1"/>
  <c r="D13382" i="1"/>
  <c r="G13382" i="1"/>
  <c r="B16399" i="1"/>
  <c r="D16399" i="1"/>
  <c r="G16399" i="1"/>
  <c r="B20378" i="1"/>
  <c r="D20378" i="1"/>
  <c r="G20378" i="1"/>
  <c r="B20288" i="1"/>
  <c r="D20288" i="1"/>
  <c r="G20288" i="1"/>
  <c r="B3015" i="1"/>
  <c r="D3015" i="1"/>
  <c r="G3015" i="1"/>
  <c r="B20237" i="1"/>
  <c r="D20237" i="1"/>
  <c r="G20237" i="1"/>
  <c r="B7438" i="1"/>
  <c r="D7438" i="1"/>
  <c r="G7438" i="1"/>
  <c r="B1392" i="1"/>
  <c r="D1392" i="1"/>
  <c r="G1392" i="1"/>
  <c r="B22020" i="1"/>
  <c r="D22020" i="1"/>
  <c r="G22020" i="1"/>
  <c r="B5663" i="1"/>
  <c r="D5663" i="1"/>
  <c r="G5663" i="1"/>
  <c r="B5664" i="1"/>
  <c r="D5664" i="1"/>
  <c r="G5664" i="1"/>
  <c r="B8435" i="1"/>
  <c r="D8435" i="1"/>
  <c r="G8435" i="1"/>
  <c r="B3488" i="1"/>
  <c r="D3488" i="1"/>
  <c r="G3488" i="1"/>
  <c r="B6630" i="1"/>
  <c r="D6630" i="1"/>
  <c r="G6630" i="1"/>
  <c r="B2661" i="1"/>
  <c r="D2661" i="1"/>
  <c r="G2661" i="1"/>
  <c r="B4270" i="1"/>
  <c r="D4270" i="1"/>
  <c r="G4270" i="1"/>
  <c r="B1098" i="1"/>
  <c r="D1098" i="1"/>
  <c r="G1098" i="1"/>
  <c r="B5347" i="1"/>
  <c r="D5347" i="1"/>
  <c r="G5347" i="1"/>
  <c r="B5348" i="1"/>
  <c r="D5348" i="1"/>
  <c r="G5348" i="1"/>
  <c r="B6188" i="1"/>
  <c r="D6188" i="1"/>
  <c r="G6188" i="1"/>
  <c r="B6189" i="1"/>
  <c r="D6189" i="1"/>
  <c r="G6189" i="1"/>
  <c r="B2662" i="1"/>
  <c r="D2662" i="1"/>
  <c r="G2662" i="1"/>
  <c r="B1099" i="1"/>
  <c r="D1099" i="1"/>
  <c r="G1099" i="1"/>
  <c r="B1100" i="1"/>
  <c r="D1100" i="1"/>
  <c r="G1100" i="1"/>
  <c r="B9224" i="1"/>
  <c r="D9224" i="1"/>
  <c r="G9224" i="1"/>
  <c r="B5349" i="1"/>
  <c r="D5349" i="1"/>
  <c r="G5349" i="1"/>
  <c r="B21063" i="1"/>
  <c r="D21063" i="1"/>
  <c r="G21063" i="1"/>
  <c r="B2663" i="1"/>
  <c r="D2663" i="1"/>
  <c r="G2663" i="1"/>
  <c r="B5350" i="1"/>
  <c r="D5350" i="1"/>
  <c r="G5350" i="1"/>
  <c r="B2543" i="1"/>
  <c r="D2543" i="1"/>
  <c r="G2543" i="1"/>
  <c r="B5191" i="1"/>
  <c r="D5191" i="1"/>
  <c r="G5191" i="1"/>
  <c r="B306" i="1"/>
  <c r="D306" i="1"/>
  <c r="G306" i="1"/>
  <c r="B20785" i="1"/>
  <c r="D20785" i="1"/>
  <c r="G20785" i="1"/>
  <c r="B6539" i="1"/>
  <c r="D6539" i="1"/>
  <c r="G6539" i="1"/>
  <c r="B19881" i="1"/>
  <c r="D19881" i="1"/>
  <c r="G19881" i="1"/>
  <c r="B6631" i="1"/>
  <c r="D6631" i="1"/>
  <c r="G6631" i="1"/>
  <c r="B5665" i="1"/>
  <c r="D5665" i="1"/>
  <c r="G5665" i="1"/>
  <c r="B4103" i="1"/>
  <c r="D4103" i="1"/>
  <c r="G4103" i="1"/>
  <c r="B2118" i="1"/>
  <c r="D2118" i="1"/>
  <c r="G2118" i="1"/>
  <c r="B21880" i="1"/>
  <c r="D21880" i="1"/>
  <c r="G21880" i="1"/>
  <c r="B6731" i="1"/>
  <c r="D6731" i="1"/>
  <c r="G6731" i="1"/>
  <c r="B20572" i="1"/>
  <c r="D20572" i="1"/>
  <c r="G20572" i="1"/>
  <c r="B5351" i="1"/>
  <c r="D5351" i="1"/>
  <c r="G5351" i="1"/>
  <c r="B5352" i="1"/>
  <c r="D5352" i="1"/>
  <c r="G5352" i="1"/>
  <c r="B1575" i="1"/>
  <c r="D1575" i="1"/>
  <c r="G1575" i="1"/>
  <c r="B5666" i="1"/>
  <c r="D5666" i="1"/>
  <c r="G5666" i="1"/>
  <c r="B5667" i="1"/>
  <c r="D5667" i="1"/>
  <c r="G5667" i="1"/>
  <c r="B2664" i="1"/>
  <c r="D2664" i="1"/>
  <c r="G2664" i="1"/>
  <c r="B6005" i="1"/>
  <c r="D6005" i="1"/>
  <c r="G6005" i="1"/>
  <c r="B16400" i="1"/>
  <c r="D16400" i="1"/>
  <c r="G16400" i="1"/>
  <c r="B6190" i="1"/>
  <c r="D6190" i="1"/>
  <c r="G6190" i="1"/>
  <c r="B6191" i="1"/>
  <c r="D6191" i="1"/>
  <c r="G6191" i="1"/>
  <c r="B2439" i="1"/>
  <c r="D2439" i="1"/>
  <c r="G2439" i="1"/>
  <c r="B21881" i="1"/>
  <c r="D21881" i="1"/>
  <c r="G21881" i="1"/>
  <c r="B6192" i="1"/>
  <c r="D6192" i="1"/>
  <c r="G6192" i="1"/>
  <c r="B6193" i="1"/>
  <c r="D6193" i="1"/>
  <c r="G6193" i="1"/>
  <c r="B2283" i="1"/>
  <c r="D2283" i="1"/>
  <c r="G2283" i="1"/>
  <c r="B22129" i="1"/>
  <c r="D22129" i="1"/>
  <c r="G22129" i="1"/>
  <c r="B5353" i="1"/>
  <c r="D5353" i="1"/>
  <c r="G5353" i="1"/>
  <c r="B15000" i="1"/>
  <c r="D15000" i="1"/>
  <c r="G15000" i="1"/>
  <c r="B15442" i="1"/>
  <c r="D15442" i="1"/>
  <c r="G15442" i="1"/>
  <c r="B2344" i="1"/>
  <c r="D2344" i="1"/>
  <c r="G2344" i="1"/>
  <c r="B19882" i="1"/>
  <c r="D19882" i="1"/>
  <c r="G19882" i="1"/>
  <c r="B16401" i="1"/>
  <c r="D16401" i="1"/>
  <c r="G16401" i="1"/>
  <c r="B21064" i="1"/>
  <c r="D21064" i="1"/>
  <c r="G21064" i="1"/>
  <c r="B3049" i="1"/>
  <c r="D3049" i="1"/>
  <c r="G3049" i="1"/>
  <c r="B21065" i="1"/>
  <c r="D21065" i="1"/>
  <c r="G21065" i="1"/>
  <c r="B6732" i="1"/>
  <c r="D6732" i="1"/>
  <c r="G6732" i="1"/>
  <c r="B5668" i="1"/>
  <c r="D5668" i="1"/>
  <c r="G5668" i="1"/>
  <c r="B6006" i="1"/>
  <c r="D6006" i="1"/>
  <c r="G6006" i="1"/>
  <c r="B1101" i="1"/>
  <c r="D1101" i="1"/>
  <c r="G1101" i="1"/>
  <c r="B6194" i="1"/>
  <c r="D6194" i="1"/>
  <c r="G6194" i="1"/>
  <c r="B6195" i="1"/>
  <c r="D6195" i="1"/>
  <c r="G6195" i="1"/>
  <c r="B20078" i="1"/>
  <c r="D20078" i="1"/>
  <c r="G20078" i="1"/>
  <c r="B3059" i="1"/>
  <c r="D3059" i="1"/>
  <c r="G3059" i="1"/>
  <c r="B1576" i="1"/>
  <c r="D1576" i="1"/>
  <c r="G1576" i="1"/>
  <c r="B5192" i="1"/>
  <c r="D5192" i="1"/>
  <c r="G5192" i="1"/>
  <c r="B21882" i="1"/>
  <c r="D21882" i="1"/>
  <c r="G21882" i="1"/>
  <c r="B5692" i="1"/>
  <c r="D5692" i="1"/>
  <c r="G5692" i="1"/>
  <c r="B6632" i="1"/>
  <c r="D6632" i="1"/>
  <c r="G6632" i="1"/>
  <c r="B1453" i="1"/>
  <c r="D1453" i="1"/>
  <c r="G1453" i="1"/>
  <c r="B16402" i="1"/>
  <c r="D16402" i="1"/>
  <c r="G16402" i="1"/>
  <c r="B6902" i="1"/>
  <c r="D6902" i="1"/>
  <c r="G6902" i="1"/>
  <c r="B21883" i="1"/>
  <c r="D21883" i="1"/>
  <c r="G21883" i="1"/>
  <c r="B5838" i="1"/>
  <c r="D5838" i="1"/>
  <c r="G5838" i="1"/>
  <c r="B6196" i="1"/>
  <c r="D6196" i="1"/>
  <c r="G6196" i="1"/>
  <c r="B6197" i="1"/>
  <c r="D6197" i="1"/>
  <c r="G6197" i="1"/>
  <c r="B4695" i="1"/>
  <c r="D4695" i="1"/>
  <c r="G4695" i="1"/>
  <c r="B2440" i="1"/>
  <c r="D2440" i="1"/>
  <c r="G2440" i="1"/>
  <c r="B2256" i="1"/>
  <c r="D2256" i="1"/>
  <c r="G2256" i="1"/>
  <c r="B7736" i="1"/>
  <c r="D7736" i="1"/>
  <c r="G7736" i="1"/>
  <c r="B7737" i="1"/>
  <c r="D7737" i="1"/>
  <c r="G7737" i="1"/>
  <c r="B2665" i="1"/>
  <c r="D2665" i="1"/>
  <c r="G2665" i="1"/>
  <c r="B1482" i="1"/>
  <c r="D1482" i="1"/>
  <c r="G1482" i="1"/>
  <c r="B6633" i="1"/>
  <c r="D6633" i="1"/>
  <c r="G6633" i="1"/>
  <c r="B3489" i="1"/>
  <c r="D3489" i="1"/>
  <c r="G3489" i="1"/>
  <c r="B21066" i="1"/>
  <c r="D21066" i="1"/>
  <c r="G21066" i="1"/>
  <c r="B22130" i="1"/>
  <c r="D22130" i="1"/>
  <c r="G22130" i="1"/>
  <c r="B1834" i="1"/>
  <c r="D1834" i="1"/>
  <c r="G1834" i="1"/>
  <c r="B22021" i="1"/>
  <c r="D22021" i="1"/>
  <c r="G22021" i="1"/>
  <c r="B14608" i="1"/>
  <c r="D14608" i="1"/>
  <c r="G14608" i="1"/>
  <c r="B15001" i="1"/>
  <c r="D15001" i="1"/>
  <c r="G15001" i="1"/>
  <c r="B15443" i="1"/>
  <c r="D15443" i="1"/>
  <c r="G15443" i="1"/>
  <c r="B14779" i="1"/>
  <c r="D14779" i="1"/>
  <c r="G14779" i="1"/>
  <c r="B1848" i="1"/>
  <c r="D1848" i="1"/>
  <c r="G1848" i="1"/>
  <c r="B6198" i="1"/>
  <c r="D6198" i="1"/>
  <c r="G6198" i="1"/>
  <c r="B6199" i="1"/>
  <c r="D6199" i="1"/>
  <c r="G6199" i="1"/>
  <c r="B4696" i="1"/>
  <c r="D4696" i="1"/>
  <c r="G4696" i="1"/>
  <c r="B21349" i="1"/>
  <c r="D21349" i="1"/>
  <c r="G21349" i="1"/>
  <c r="B1938" i="1"/>
  <c r="D1938" i="1"/>
  <c r="G1938" i="1"/>
  <c r="B3879" i="1"/>
  <c r="D3879" i="1"/>
  <c r="G3879" i="1"/>
  <c r="B2666" i="1"/>
  <c r="D2666" i="1"/>
  <c r="G2666" i="1"/>
  <c r="B3082" i="1"/>
  <c r="D3082" i="1"/>
  <c r="G3082" i="1"/>
  <c r="B13700" i="1"/>
  <c r="D13700" i="1"/>
  <c r="G13700" i="1"/>
  <c r="B16403" i="1"/>
  <c r="D16403" i="1"/>
  <c r="G16403" i="1"/>
  <c r="B5839" i="1"/>
  <c r="D5839" i="1"/>
  <c r="G5839" i="1"/>
  <c r="B2257" i="1"/>
  <c r="D2257" i="1"/>
  <c r="G2257" i="1"/>
  <c r="B21790" i="1"/>
  <c r="D21790" i="1"/>
  <c r="G21790" i="1"/>
  <c r="B496" i="1"/>
  <c r="D496" i="1"/>
  <c r="G496" i="1"/>
  <c r="B4049" i="1"/>
  <c r="D4049" i="1"/>
  <c r="G4049" i="1"/>
  <c r="B497" i="1"/>
  <c r="D497" i="1"/>
  <c r="G497" i="1"/>
  <c r="B1577" i="1"/>
  <c r="D1577" i="1"/>
  <c r="G1577" i="1"/>
  <c r="B498" i="1"/>
  <c r="D498" i="1"/>
  <c r="G498" i="1"/>
  <c r="B69" i="1"/>
  <c r="D69" i="1"/>
  <c r="G69" i="1"/>
  <c r="B2667" i="1"/>
  <c r="D2667" i="1"/>
  <c r="G2667" i="1"/>
  <c r="B4244" i="1"/>
  <c r="D4244" i="1"/>
  <c r="G4244" i="1"/>
  <c r="B2668" i="1"/>
  <c r="D2668" i="1"/>
  <c r="G2668" i="1"/>
  <c r="B1578" i="1"/>
  <c r="D1578" i="1"/>
  <c r="G1578" i="1"/>
  <c r="B4303" i="1"/>
  <c r="D4303" i="1"/>
  <c r="G4303" i="1"/>
  <c r="B3490" i="1"/>
  <c r="D3490" i="1"/>
  <c r="G3490" i="1"/>
  <c r="B3491" i="1"/>
  <c r="D3491" i="1"/>
  <c r="G3491" i="1"/>
  <c r="B5764" i="1"/>
  <c r="D5764" i="1"/>
  <c r="G5764" i="1"/>
  <c r="B21525" i="1"/>
  <c r="D21525" i="1"/>
  <c r="G21525" i="1"/>
  <c r="B5693" i="1"/>
  <c r="D5693" i="1"/>
  <c r="G5693" i="1"/>
  <c r="B5694" i="1"/>
  <c r="D5694" i="1"/>
  <c r="G5694" i="1"/>
  <c r="B3492" i="1"/>
  <c r="D3492" i="1"/>
  <c r="G3492" i="1"/>
  <c r="B3493" i="1"/>
  <c r="D3493" i="1"/>
  <c r="G3493" i="1"/>
  <c r="B3494" i="1"/>
  <c r="D3494" i="1"/>
  <c r="G3494" i="1"/>
  <c r="B19462" i="1"/>
  <c r="D19462" i="1"/>
  <c r="G19462" i="1"/>
  <c r="B18451" i="1"/>
  <c r="D18451" i="1"/>
  <c r="G18451" i="1"/>
  <c r="B2193" i="1"/>
  <c r="D2193" i="1"/>
  <c r="G2193" i="1"/>
  <c r="B709" i="1"/>
  <c r="D709" i="1"/>
  <c r="G709" i="1"/>
  <c r="B2075" i="1"/>
  <c r="D2075" i="1"/>
  <c r="G2075" i="1"/>
  <c r="B21401" i="1"/>
  <c r="D21401" i="1"/>
  <c r="G21401" i="1"/>
  <c r="B18841" i="1"/>
  <c r="D18841" i="1"/>
  <c r="G18841" i="1"/>
  <c r="B1954" i="1"/>
  <c r="D1954" i="1"/>
  <c r="G1954" i="1"/>
  <c r="B3331" i="1"/>
  <c r="D3331" i="1"/>
  <c r="G3331" i="1"/>
  <c r="B499" i="1"/>
  <c r="D499" i="1"/>
  <c r="G499" i="1"/>
  <c r="B4153" i="1"/>
  <c r="D4153" i="1"/>
  <c r="G4153" i="1"/>
  <c r="B2067" i="1"/>
  <c r="D2067" i="1"/>
  <c r="G2067" i="1"/>
  <c r="B4304" i="1"/>
  <c r="D4304" i="1"/>
  <c r="G4304" i="1"/>
  <c r="B1530" i="1"/>
  <c r="D1530" i="1"/>
  <c r="G1530" i="1"/>
  <c r="B12022" i="1"/>
  <c r="D12022" i="1"/>
  <c r="G12022" i="1"/>
  <c r="B20379" i="1"/>
  <c r="D20379" i="1"/>
  <c r="G20379" i="1"/>
  <c r="B20289" i="1"/>
  <c r="D20289" i="1"/>
  <c r="G20289" i="1"/>
  <c r="B4305" i="1"/>
  <c r="D4305" i="1"/>
  <c r="G4305" i="1"/>
  <c r="B246" i="1"/>
  <c r="D246" i="1"/>
  <c r="G246" i="1"/>
  <c r="B5354" i="1"/>
  <c r="D5354" i="1"/>
  <c r="G5354" i="1"/>
  <c r="B3819" i="1"/>
  <c r="D3819" i="1"/>
  <c r="G3819" i="1"/>
  <c r="B22022" i="1"/>
  <c r="D22022" i="1"/>
  <c r="G22022" i="1"/>
  <c r="B3083" i="1"/>
  <c r="D3083" i="1"/>
  <c r="G3083" i="1"/>
  <c r="B1579" i="1"/>
  <c r="D1579" i="1"/>
  <c r="G1579" i="1"/>
  <c r="B5765" i="1"/>
  <c r="D5765" i="1"/>
  <c r="G5765" i="1"/>
  <c r="B3203" i="1"/>
  <c r="D3203" i="1"/>
  <c r="G3203" i="1"/>
  <c r="B8727" i="1"/>
  <c r="D8727" i="1"/>
  <c r="G8727" i="1"/>
  <c r="B20573" i="1"/>
  <c r="D20573" i="1"/>
  <c r="G20573" i="1"/>
  <c r="B2284" i="1"/>
  <c r="D2284" i="1"/>
  <c r="G2284" i="1"/>
  <c r="B6007" i="1"/>
  <c r="D6007" i="1"/>
  <c r="G6007" i="1"/>
  <c r="B3084" i="1"/>
  <c r="D3084" i="1"/>
  <c r="G3084" i="1"/>
  <c r="B3016" i="1"/>
  <c r="D3016" i="1"/>
  <c r="G3016" i="1"/>
  <c r="B3204" i="1"/>
  <c r="D3204" i="1"/>
  <c r="G3204" i="1"/>
  <c r="B3332" i="1"/>
  <c r="D3332" i="1"/>
  <c r="G3332" i="1"/>
  <c r="B4" i="1"/>
  <c r="D4" i="1"/>
  <c r="G4" i="1"/>
  <c r="B1955" i="1"/>
  <c r="D1955" i="1"/>
  <c r="G1955" i="1"/>
  <c r="B2506" i="1"/>
  <c r="D2506" i="1"/>
  <c r="G2506" i="1"/>
  <c r="B2345" i="1"/>
  <c r="D2345" i="1"/>
  <c r="G2345" i="1"/>
  <c r="B1466" i="1"/>
  <c r="D1466" i="1"/>
  <c r="G1466" i="1"/>
  <c r="B2441" i="1"/>
  <c r="D2441" i="1"/>
  <c r="G2441" i="1"/>
  <c r="B21067" i="1"/>
  <c r="D21067" i="1"/>
  <c r="G21067" i="1"/>
  <c r="B322" i="1"/>
  <c r="D322" i="1"/>
  <c r="G322" i="1"/>
  <c r="B6900" i="1"/>
  <c r="D6900" i="1"/>
  <c r="G6900" i="1"/>
  <c r="B500" i="1"/>
  <c r="D500" i="1"/>
  <c r="G500" i="1"/>
  <c r="B501" i="1"/>
  <c r="D501" i="1"/>
  <c r="G501" i="1"/>
  <c r="B1454" i="1"/>
  <c r="D1454" i="1"/>
  <c r="G1454" i="1"/>
  <c r="B21068" i="1"/>
  <c r="D21068" i="1"/>
  <c r="G21068" i="1"/>
  <c r="B3495" i="1"/>
  <c r="D3495" i="1"/>
  <c r="G3495" i="1"/>
  <c r="B3706" i="1"/>
  <c r="D3706" i="1"/>
  <c r="G3706" i="1"/>
  <c r="B4697" i="1"/>
  <c r="D4697" i="1"/>
  <c r="G4697" i="1"/>
  <c r="B4197" i="1"/>
  <c r="D4197" i="1"/>
  <c r="G4197" i="1"/>
  <c r="B6008" i="1"/>
  <c r="D6008" i="1"/>
  <c r="G6008" i="1"/>
  <c r="B6580" i="1"/>
  <c r="D6580" i="1"/>
  <c r="G6580" i="1"/>
  <c r="B2285" i="1"/>
  <c r="D2285" i="1"/>
  <c r="G2285" i="1"/>
  <c r="B7738" i="1"/>
  <c r="D7738" i="1"/>
  <c r="G7738" i="1"/>
  <c r="B7439" i="1"/>
  <c r="D7439" i="1"/>
  <c r="G7439" i="1"/>
  <c r="B7304" i="1"/>
  <c r="D7304" i="1"/>
  <c r="G7304" i="1"/>
  <c r="B855" i="1"/>
  <c r="D855" i="1"/>
  <c r="G855" i="1"/>
  <c r="B20786" i="1"/>
  <c r="D20786" i="1"/>
  <c r="G20786" i="1"/>
  <c r="B17084" i="1"/>
  <c r="D17084" i="1"/>
  <c r="G17084" i="1"/>
  <c r="B1531" i="1"/>
  <c r="D1531" i="1"/>
  <c r="G1531" i="1"/>
  <c r="B1102" i="1"/>
  <c r="D1102" i="1"/>
  <c r="G1102" i="1"/>
  <c r="B2346" i="1"/>
  <c r="D2346" i="1"/>
  <c r="G2346" i="1"/>
  <c r="B21884" i="1"/>
  <c r="D21884" i="1"/>
  <c r="G21884" i="1"/>
  <c r="B14481" i="1"/>
  <c r="D14481" i="1"/>
  <c r="G14481" i="1"/>
  <c r="B14541" i="1"/>
  <c r="D14541" i="1"/>
  <c r="G14541" i="1"/>
  <c r="B3041" i="1"/>
  <c r="D3041" i="1"/>
  <c r="G3041" i="1"/>
  <c r="B2442" i="1"/>
  <c r="D2442" i="1"/>
  <c r="G2442" i="1"/>
  <c r="B2347" i="1"/>
  <c r="D2347" i="1"/>
  <c r="G2347" i="1"/>
  <c r="B6526" i="1"/>
  <c r="D6526" i="1"/>
  <c r="G6526" i="1"/>
  <c r="B1103" i="1"/>
  <c r="D1103" i="1"/>
  <c r="G1103" i="1"/>
  <c r="B18842" i="1"/>
  <c r="D18842" i="1"/>
  <c r="G18842" i="1"/>
  <c r="B3707" i="1"/>
  <c r="D3707" i="1"/>
  <c r="G3707" i="1"/>
  <c r="B3708" i="1"/>
  <c r="D3708" i="1"/>
  <c r="G3708" i="1"/>
  <c r="B2443" i="1"/>
  <c r="D2443" i="1"/>
  <c r="G2443" i="1"/>
  <c r="B2348" i="1"/>
  <c r="D2348" i="1"/>
  <c r="G2348" i="1"/>
  <c r="B2227" i="1"/>
  <c r="D2227" i="1"/>
  <c r="G2227" i="1"/>
  <c r="B91" i="1"/>
  <c r="D91" i="1"/>
  <c r="G91" i="1"/>
  <c r="B6200" i="1"/>
  <c r="D6200" i="1"/>
  <c r="G6200" i="1"/>
  <c r="B3424" i="1"/>
  <c r="D3424" i="1"/>
  <c r="G3424" i="1"/>
  <c r="B2444" i="1"/>
  <c r="D2444" i="1"/>
  <c r="G2444" i="1"/>
  <c r="B21885" i="1"/>
  <c r="D21885" i="1"/>
  <c r="G21885" i="1"/>
  <c r="B2669" i="1"/>
  <c r="D2669" i="1"/>
  <c r="G2669" i="1"/>
  <c r="B3709" i="1"/>
  <c r="D3709" i="1"/>
  <c r="G3709" i="1"/>
  <c r="B3496" i="1"/>
  <c r="D3496" i="1"/>
  <c r="G3496" i="1"/>
  <c r="B3497" i="1"/>
  <c r="D3497" i="1"/>
  <c r="G3497" i="1"/>
  <c r="B3710" i="1"/>
  <c r="D3710" i="1"/>
  <c r="G3710" i="1"/>
  <c r="B7739" i="1"/>
  <c r="D7739" i="1"/>
  <c r="G7739" i="1"/>
  <c r="B7440" i="1"/>
  <c r="D7440" i="1"/>
  <c r="G7440" i="1"/>
  <c r="B7305" i="1"/>
  <c r="D7305" i="1"/>
  <c r="G7305" i="1"/>
  <c r="B4920" i="1"/>
  <c r="D4920" i="1"/>
  <c r="G4920" i="1"/>
  <c r="B4597" i="1"/>
  <c r="D4597" i="1"/>
  <c r="G4597" i="1"/>
  <c r="B378" i="1"/>
  <c r="D378" i="1"/>
  <c r="G378" i="1"/>
  <c r="B21069" i="1"/>
  <c r="D21069" i="1"/>
  <c r="G21069" i="1"/>
  <c r="B1104" i="1"/>
  <c r="D1104" i="1"/>
  <c r="G1104" i="1"/>
  <c r="B3085" i="1"/>
  <c r="D3085" i="1"/>
  <c r="G3085" i="1"/>
  <c r="B18452" i="1"/>
  <c r="D18452" i="1"/>
  <c r="G18452" i="1"/>
  <c r="B6634" i="1"/>
  <c r="D6634" i="1"/>
  <c r="G6634" i="1"/>
  <c r="B1105" i="1"/>
  <c r="D1105" i="1"/>
  <c r="G1105" i="1"/>
  <c r="B3408" i="1"/>
  <c r="D3408" i="1"/>
  <c r="G3408" i="1"/>
  <c r="B1106" i="1"/>
  <c r="D1106" i="1"/>
  <c r="G1106" i="1"/>
  <c r="B3086" i="1"/>
  <c r="D3086" i="1"/>
  <c r="G3086" i="1"/>
  <c r="B4977" i="1"/>
  <c r="D4977" i="1"/>
  <c r="G4977" i="1"/>
  <c r="B5355" i="1"/>
  <c r="D5355" i="1"/>
  <c r="G5355" i="1"/>
  <c r="B1107" i="1"/>
  <c r="D1107" i="1"/>
  <c r="G1107" i="1"/>
  <c r="B5356" i="1"/>
  <c r="D5356" i="1"/>
  <c r="G5356" i="1"/>
  <c r="B18234" i="1"/>
  <c r="D18234" i="1"/>
  <c r="G18234" i="1"/>
  <c r="B7306" i="1"/>
  <c r="D7306" i="1"/>
  <c r="G7306" i="1"/>
  <c r="B21886" i="1"/>
  <c r="D21886" i="1"/>
  <c r="G21886" i="1"/>
  <c r="B4437" i="1"/>
  <c r="D4437" i="1"/>
  <c r="G4437" i="1"/>
  <c r="B3227" i="1"/>
  <c r="D3227" i="1"/>
  <c r="G3227" i="1"/>
  <c r="B1108" i="1"/>
  <c r="D1108" i="1"/>
  <c r="G1108" i="1"/>
  <c r="B758" i="1"/>
  <c r="D758" i="1"/>
  <c r="G758" i="1"/>
  <c r="B4198" i="1"/>
  <c r="D4198" i="1"/>
  <c r="G4198" i="1"/>
  <c r="B15002" i="1"/>
  <c r="D15002" i="1"/>
  <c r="G15002" i="1"/>
  <c r="B8093" i="1"/>
  <c r="D8093" i="1"/>
  <c r="G8093" i="1"/>
  <c r="B8094" i="1"/>
  <c r="D8094" i="1"/>
  <c r="G8094" i="1"/>
  <c r="B4698" i="1"/>
  <c r="D4698" i="1"/>
  <c r="G4698" i="1"/>
  <c r="B1393" i="1"/>
  <c r="D1393" i="1"/>
  <c r="G1393" i="1"/>
  <c r="B5357" i="1"/>
  <c r="D5357" i="1"/>
  <c r="G5357" i="1"/>
  <c r="B5358" i="1"/>
  <c r="D5358" i="1"/>
  <c r="G5358" i="1"/>
  <c r="B18080" i="1"/>
  <c r="D18080" i="1"/>
  <c r="G18080" i="1"/>
  <c r="B8307" i="1"/>
  <c r="D8307" i="1"/>
  <c r="G8307" i="1"/>
  <c r="B22131" i="1"/>
  <c r="D22131" i="1"/>
  <c r="G22131" i="1"/>
  <c r="B6201" i="1"/>
  <c r="D6201" i="1"/>
  <c r="G6201" i="1"/>
  <c r="B6202" i="1"/>
  <c r="D6202" i="1"/>
  <c r="G6202" i="1"/>
  <c r="B7152" i="1"/>
  <c r="D7152" i="1"/>
  <c r="G7152" i="1"/>
  <c r="B7153" i="1"/>
  <c r="D7153" i="1"/>
  <c r="G7153" i="1"/>
  <c r="B7154" i="1"/>
  <c r="D7154" i="1"/>
  <c r="G7154" i="1"/>
  <c r="B7155" i="1"/>
  <c r="D7155" i="1"/>
  <c r="G7155" i="1"/>
  <c r="B7740" i="1"/>
  <c r="D7740" i="1"/>
  <c r="G7740" i="1"/>
  <c r="B7741" i="1"/>
  <c r="D7741" i="1"/>
  <c r="G7741" i="1"/>
  <c r="B2249" i="1"/>
  <c r="D2249" i="1"/>
  <c r="G2249" i="1"/>
  <c r="B3711" i="1"/>
  <c r="D3711" i="1"/>
  <c r="G3711" i="1"/>
  <c r="B2670" i="1"/>
  <c r="D2670" i="1"/>
  <c r="G2670" i="1"/>
  <c r="B7742" i="1"/>
  <c r="D7742" i="1"/>
  <c r="G7742" i="1"/>
  <c r="B7743" i="1"/>
  <c r="D7743" i="1"/>
  <c r="G7743" i="1"/>
  <c r="B21070" i="1"/>
  <c r="D21070" i="1"/>
  <c r="G21070" i="1"/>
  <c r="B92" i="1"/>
  <c r="D92" i="1"/>
  <c r="G92" i="1"/>
  <c r="B1442" i="1"/>
  <c r="D1442" i="1"/>
  <c r="G1442" i="1"/>
  <c r="B93" i="1"/>
  <c r="D93" i="1"/>
  <c r="G93" i="1"/>
  <c r="B4199" i="1"/>
  <c r="D4199" i="1"/>
  <c r="G4199" i="1"/>
  <c r="B3498" i="1"/>
  <c r="D3498" i="1"/>
  <c r="G3498" i="1"/>
  <c r="B689" i="1"/>
  <c r="D689" i="1"/>
  <c r="G689" i="1"/>
  <c r="B4072" i="1"/>
  <c r="D4072" i="1"/>
  <c r="G4072" i="1"/>
  <c r="B2671" i="1"/>
  <c r="D2671" i="1"/>
  <c r="G2671" i="1"/>
  <c r="B6733" i="1"/>
  <c r="D6733" i="1"/>
  <c r="G6733" i="1"/>
  <c r="B3712" i="1"/>
  <c r="D3712" i="1"/>
  <c r="G3712" i="1"/>
  <c r="B4598" i="1"/>
  <c r="D4598" i="1"/>
  <c r="G4598" i="1"/>
  <c r="B2349" i="1"/>
  <c r="D2349" i="1"/>
  <c r="G2349" i="1"/>
  <c r="B6009" i="1"/>
  <c r="D6009" i="1"/>
  <c r="G6009" i="1"/>
  <c r="B7307" i="1"/>
  <c r="D7307" i="1"/>
  <c r="G7307" i="1"/>
  <c r="B8356" i="1"/>
  <c r="D8356" i="1"/>
  <c r="G8356" i="1"/>
  <c r="B5821" i="1"/>
  <c r="D5821" i="1"/>
  <c r="G5821" i="1"/>
  <c r="B6203" i="1"/>
  <c r="D6203" i="1"/>
  <c r="G6203" i="1"/>
  <c r="B6204" i="1"/>
  <c r="D6204" i="1"/>
  <c r="G6204" i="1"/>
  <c r="B8436" i="1"/>
  <c r="D8436" i="1"/>
  <c r="G8436" i="1"/>
  <c r="B8437" i="1"/>
  <c r="D8437" i="1"/>
  <c r="G8437" i="1"/>
  <c r="B21887" i="1"/>
  <c r="D21887" i="1"/>
  <c r="G21887" i="1"/>
  <c r="B379" i="1"/>
  <c r="D379" i="1"/>
  <c r="G379" i="1"/>
  <c r="B8438" i="1"/>
  <c r="D8438" i="1"/>
  <c r="G8438" i="1"/>
  <c r="B8439" i="1"/>
  <c r="D8439" i="1"/>
  <c r="G8439" i="1"/>
  <c r="B16018" i="1"/>
  <c r="D16018" i="1"/>
  <c r="G16018" i="1"/>
  <c r="B3087" i="1"/>
  <c r="D3087" i="1"/>
  <c r="G3087" i="1"/>
  <c r="B7441" i="1"/>
  <c r="D7441" i="1"/>
  <c r="G7441" i="1"/>
  <c r="B8095" i="1"/>
  <c r="D8095" i="1"/>
  <c r="G8095" i="1"/>
  <c r="B8096" i="1"/>
  <c r="D8096" i="1"/>
  <c r="G8096" i="1"/>
  <c r="B8097" i="1"/>
  <c r="D8097" i="1"/>
  <c r="G8097" i="1"/>
  <c r="B8098" i="1"/>
  <c r="D8098" i="1"/>
  <c r="G8098" i="1"/>
  <c r="B16404" i="1"/>
  <c r="D16404" i="1"/>
  <c r="G16404" i="1"/>
  <c r="B4200" i="1"/>
  <c r="D4200" i="1"/>
  <c r="G4200" i="1"/>
  <c r="B3499" i="1"/>
  <c r="D3499" i="1"/>
  <c r="G3499" i="1"/>
  <c r="B19972" i="1"/>
  <c r="D19972" i="1"/>
  <c r="G19972" i="1"/>
  <c r="B19973" i="1"/>
  <c r="D19973" i="1"/>
  <c r="G19973" i="1"/>
  <c r="B2350" i="1"/>
  <c r="D2350" i="1"/>
  <c r="G2350" i="1"/>
  <c r="B20574" i="1"/>
  <c r="D20574" i="1"/>
  <c r="G20574" i="1"/>
  <c r="B20787" i="1"/>
  <c r="D20787" i="1"/>
  <c r="G20787" i="1"/>
  <c r="B20788" i="1"/>
  <c r="D20788" i="1"/>
  <c r="G20788" i="1"/>
  <c r="B4201" i="1"/>
  <c r="D4201" i="1"/>
  <c r="G4201" i="1"/>
  <c r="B8308" i="1"/>
  <c r="D8308" i="1"/>
  <c r="G8308" i="1"/>
  <c r="B20380" i="1"/>
  <c r="D20380" i="1"/>
  <c r="G20380" i="1"/>
  <c r="B8273" i="1"/>
  <c r="D8273" i="1"/>
  <c r="G8273" i="1"/>
  <c r="B8274" i="1"/>
  <c r="D8274" i="1"/>
  <c r="G8274" i="1"/>
  <c r="B7156" i="1"/>
  <c r="D7156" i="1"/>
  <c r="G7156" i="1"/>
  <c r="B7157" i="1"/>
  <c r="D7157" i="1"/>
  <c r="G7157" i="1"/>
  <c r="B7744" i="1"/>
  <c r="D7744" i="1"/>
  <c r="G7744" i="1"/>
  <c r="B7745" i="1"/>
  <c r="D7745" i="1"/>
  <c r="G7745" i="1"/>
  <c r="B1580" i="1"/>
  <c r="D1580" i="1"/>
  <c r="G1580" i="1"/>
  <c r="B2351" i="1"/>
  <c r="D2351" i="1"/>
  <c r="G2351" i="1"/>
  <c r="B3500" i="1"/>
  <c r="D3500" i="1"/>
  <c r="G3500" i="1"/>
  <c r="B8728" i="1"/>
  <c r="D8728" i="1"/>
  <c r="G8728" i="1"/>
  <c r="B3055" i="1"/>
  <c r="D3055" i="1"/>
  <c r="G3055" i="1"/>
  <c r="B15003" i="1"/>
  <c r="D15003" i="1"/>
  <c r="G15003" i="1"/>
  <c r="B4699" i="1"/>
  <c r="D4699" i="1"/>
  <c r="G4699" i="1"/>
  <c r="B4154" i="1"/>
  <c r="D4154" i="1"/>
  <c r="G4154" i="1"/>
  <c r="B1581" i="1"/>
  <c r="D1581" i="1"/>
  <c r="G1581" i="1"/>
  <c r="B4526" i="1"/>
  <c r="D4526" i="1"/>
  <c r="G4526" i="1"/>
  <c r="B4155" i="1"/>
  <c r="D4155" i="1"/>
  <c r="G4155" i="1"/>
  <c r="B8729" i="1"/>
  <c r="D8729" i="1"/>
  <c r="G8729" i="1"/>
  <c r="B15722" i="1"/>
  <c r="D15722" i="1"/>
  <c r="G15722" i="1"/>
  <c r="B7746" i="1"/>
  <c r="D7746" i="1"/>
  <c r="G7746" i="1"/>
  <c r="B8440" i="1"/>
  <c r="D8440" i="1"/>
  <c r="G8440" i="1"/>
  <c r="B8441" i="1"/>
  <c r="D8441" i="1"/>
  <c r="G8441" i="1"/>
  <c r="B798" i="1"/>
  <c r="D798" i="1"/>
  <c r="G798" i="1"/>
  <c r="B795" i="1"/>
  <c r="D795" i="1"/>
  <c r="G795" i="1"/>
  <c r="B2286" i="1"/>
  <c r="D2286" i="1"/>
  <c r="G2286" i="1"/>
  <c r="B6010" i="1"/>
  <c r="D6010" i="1"/>
  <c r="G6010" i="1"/>
  <c r="B6077" i="1"/>
  <c r="D6077" i="1"/>
  <c r="G6077" i="1"/>
  <c r="B2068" i="1"/>
  <c r="D2068" i="1"/>
  <c r="G2068" i="1"/>
  <c r="B3501" i="1"/>
  <c r="D3501" i="1"/>
  <c r="G3501" i="1"/>
  <c r="B94" i="1"/>
  <c r="D94" i="1"/>
  <c r="G94" i="1"/>
  <c r="B7308" i="1"/>
  <c r="D7308" i="1"/>
  <c r="G7308" i="1"/>
  <c r="B3713" i="1"/>
  <c r="D3713" i="1"/>
  <c r="G3713" i="1"/>
  <c r="B1849" i="1"/>
  <c r="D1849" i="1"/>
  <c r="G1849" i="1"/>
  <c r="B16405" i="1"/>
  <c r="D16405" i="1"/>
  <c r="G16405" i="1"/>
  <c r="B21071" i="1"/>
  <c r="D21071" i="1"/>
  <c r="G21071" i="1"/>
  <c r="B2287" i="1"/>
  <c r="D2287" i="1"/>
  <c r="G2287" i="1"/>
  <c r="B6011" i="1"/>
  <c r="D6011" i="1"/>
  <c r="G6011" i="1"/>
  <c r="B4156" i="1"/>
  <c r="D4156" i="1"/>
  <c r="G4156" i="1"/>
  <c r="B8442" i="1"/>
  <c r="D8442" i="1"/>
  <c r="G8442" i="1"/>
  <c r="B8443" i="1"/>
  <c r="D8443" i="1"/>
  <c r="G8443" i="1"/>
  <c r="B16406" i="1"/>
  <c r="D16406" i="1"/>
  <c r="G16406" i="1"/>
  <c r="B8357" i="1"/>
  <c r="D8357" i="1"/>
  <c r="G8357" i="1"/>
  <c r="B8358" i="1"/>
  <c r="D8358" i="1"/>
  <c r="G8358" i="1"/>
  <c r="B11385" i="1"/>
  <c r="D11385" i="1"/>
  <c r="G11385" i="1"/>
  <c r="B3502" i="1"/>
  <c r="D3502" i="1"/>
  <c r="G3502" i="1"/>
  <c r="B9366" i="1"/>
  <c r="D9366" i="1"/>
  <c r="G9366" i="1"/>
  <c r="B3503" i="1"/>
  <c r="D3503" i="1"/>
  <c r="G3503" i="1"/>
  <c r="B7442" i="1"/>
  <c r="D7442" i="1"/>
  <c r="G7442" i="1"/>
  <c r="B1455" i="1"/>
  <c r="D1455" i="1"/>
  <c r="G1455" i="1"/>
  <c r="B438" i="1"/>
  <c r="D438" i="1"/>
  <c r="G438" i="1"/>
  <c r="B2211" i="1"/>
  <c r="D2211" i="1"/>
  <c r="G2211" i="1"/>
  <c r="B3880" i="1"/>
  <c r="D3880" i="1"/>
  <c r="G3880" i="1"/>
  <c r="B1582" i="1"/>
  <c r="D1582" i="1"/>
  <c r="G1582" i="1"/>
  <c r="B4110" i="1"/>
  <c r="D4110" i="1"/>
  <c r="G4110" i="1"/>
  <c r="B10471" i="1"/>
  <c r="D10471" i="1"/>
  <c r="G10471" i="1"/>
  <c r="B1456" i="1"/>
  <c r="D1456" i="1"/>
  <c r="G1456" i="1"/>
  <c r="B8099" i="1"/>
  <c r="D8099" i="1"/>
  <c r="G8099" i="1"/>
  <c r="B2288" i="1"/>
  <c r="D2288" i="1"/>
  <c r="G2288" i="1"/>
  <c r="B6012" i="1"/>
  <c r="D6012" i="1"/>
  <c r="G6012" i="1"/>
  <c r="B4782" i="1"/>
  <c r="D4782" i="1"/>
  <c r="G4782" i="1"/>
  <c r="B2672" i="1"/>
  <c r="D2672" i="1"/>
  <c r="G2672" i="1"/>
  <c r="B2673" i="1"/>
  <c r="D2673" i="1"/>
  <c r="G2673" i="1"/>
  <c r="B2497" i="1"/>
  <c r="D2497" i="1"/>
  <c r="G2497" i="1"/>
  <c r="B4406" i="1"/>
  <c r="D4406" i="1"/>
  <c r="G4406" i="1"/>
  <c r="B3504" i="1"/>
  <c r="D3504" i="1"/>
  <c r="G3504" i="1"/>
  <c r="B2507" i="1"/>
  <c r="D2507" i="1"/>
  <c r="G2507" i="1"/>
  <c r="B7747" i="1"/>
  <c r="D7747" i="1"/>
  <c r="G7747" i="1"/>
  <c r="B7748" i="1"/>
  <c r="D7748" i="1"/>
  <c r="G7748" i="1"/>
  <c r="B5695" i="1"/>
  <c r="D5695" i="1"/>
  <c r="G5695" i="1"/>
  <c r="B5696" i="1"/>
  <c r="D5696" i="1"/>
  <c r="G5696" i="1"/>
  <c r="B11115" i="1"/>
  <c r="D11115" i="1"/>
  <c r="G11115" i="1"/>
  <c r="B1956" i="1"/>
  <c r="D1956" i="1"/>
  <c r="G1956" i="1"/>
  <c r="B4700" i="1"/>
  <c r="D4700" i="1"/>
  <c r="G4700" i="1"/>
  <c r="B5193" i="1"/>
  <c r="D5193" i="1"/>
  <c r="G5193" i="1"/>
  <c r="B2289" i="1"/>
  <c r="D2289" i="1"/>
  <c r="G2289" i="1"/>
  <c r="B1109" i="1"/>
  <c r="D1109" i="1"/>
  <c r="G1109" i="1"/>
  <c r="B380" i="1"/>
  <c r="D380" i="1"/>
  <c r="G380" i="1"/>
  <c r="B2069" i="1"/>
  <c r="D2069" i="1"/>
  <c r="G2069" i="1"/>
  <c r="B16407" i="1"/>
  <c r="D16407" i="1"/>
  <c r="G16407" i="1"/>
  <c r="B4235" i="1"/>
  <c r="D4235" i="1"/>
  <c r="G4235" i="1"/>
  <c r="B12653" i="1"/>
  <c r="D12653" i="1"/>
  <c r="G12653" i="1"/>
  <c r="B12654" i="1"/>
  <c r="D12654" i="1"/>
  <c r="G12654" i="1"/>
  <c r="B4527" i="1"/>
  <c r="D4527" i="1"/>
  <c r="G4527" i="1"/>
  <c r="B12023" i="1"/>
  <c r="D12023" i="1"/>
  <c r="G12023" i="1"/>
  <c r="B22132" i="1"/>
  <c r="D22132" i="1"/>
  <c r="G22132" i="1"/>
  <c r="B8730" i="1"/>
  <c r="D8730" i="1"/>
  <c r="G8730" i="1"/>
  <c r="B3505" i="1"/>
  <c r="D3505" i="1"/>
  <c r="G3505" i="1"/>
  <c r="B8444" i="1"/>
  <c r="D8444" i="1"/>
  <c r="G8444" i="1"/>
  <c r="B8445" i="1"/>
  <c r="D8445" i="1"/>
  <c r="G8445" i="1"/>
  <c r="B4701" i="1"/>
  <c r="D4701" i="1"/>
  <c r="G4701" i="1"/>
  <c r="B4599" i="1"/>
  <c r="D4599" i="1"/>
  <c r="G4599" i="1"/>
  <c r="B7309" i="1"/>
  <c r="D7309" i="1"/>
  <c r="G7309" i="1"/>
  <c r="B1998" i="1"/>
  <c r="D1998" i="1"/>
  <c r="G1998" i="1"/>
  <c r="B21072" i="1"/>
  <c r="D21072" i="1"/>
  <c r="G21072" i="1"/>
  <c r="B1110" i="1"/>
  <c r="D1110" i="1"/>
  <c r="G1110" i="1"/>
  <c r="B2070" i="1"/>
  <c r="D2070" i="1"/>
  <c r="G2070" i="1"/>
  <c r="B3306" i="1"/>
  <c r="D3306" i="1"/>
  <c r="G3306" i="1"/>
  <c r="B956" i="1"/>
  <c r="D956" i="1"/>
  <c r="G956" i="1"/>
  <c r="B3506" i="1"/>
  <c r="D3506" i="1"/>
  <c r="G3506" i="1"/>
  <c r="B3714" i="1"/>
  <c r="D3714" i="1"/>
  <c r="G3714" i="1"/>
  <c r="B3409" i="1"/>
  <c r="D3409" i="1"/>
  <c r="G3409" i="1"/>
  <c r="B2076" i="1"/>
  <c r="D2076" i="1"/>
  <c r="G2076" i="1"/>
  <c r="B4306" i="1"/>
  <c r="D4306" i="1"/>
  <c r="G4306" i="1"/>
  <c r="B95" i="1"/>
  <c r="D95" i="1"/>
  <c r="G95" i="1"/>
  <c r="B3333" i="1"/>
  <c r="D3333" i="1"/>
  <c r="G3333" i="1"/>
  <c r="B7443" i="1"/>
  <c r="D7443" i="1"/>
  <c r="G7443" i="1"/>
  <c r="B5" i="1"/>
  <c r="D5" i="1"/>
  <c r="G5" i="1"/>
  <c r="B2674" i="1"/>
  <c r="D2674" i="1"/>
  <c r="G2674" i="1"/>
  <c r="B4941" i="1"/>
  <c r="D4941" i="1"/>
  <c r="G4941" i="1"/>
  <c r="B3222" i="1"/>
  <c r="D3222" i="1"/>
  <c r="G3222" i="1"/>
  <c r="B502" i="1"/>
  <c r="D502" i="1"/>
  <c r="G502" i="1"/>
  <c r="B503" i="1"/>
  <c r="D503" i="1"/>
  <c r="G503" i="1"/>
  <c r="B2675" i="1"/>
  <c r="D2675" i="1"/>
  <c r="G2675" i="1"/>
  <c r="B1869" i="1"/>
  <c r="D1869" i="1"/>
  <c r="G1869" i="1"/>
  <c r="B4407" i="1"/>
  <c r="D4407" i="1"/>
  <c r="G4407" i="1"/>
  <c r="B4438" i="1"/>
  <c r="D4438" i="1"/>
  <c r="G4438" i="1"/>
  <c r="B15004" i="1"/>
  <c r="D15004" i="1"/>
  <c r="G15004" i="1"/>
  <c r="B10778" i="1"/>
  <c r="D10778" i="1"/>
  <c r="G10778" i="1"/>
  <c r="B1394" i="1"/>
  <c r="D1394" i="1"/>
  <c r="G1394" i="1"/>
  <c r="B5840" i="1"/>
  <c r="D5840" i="1"/>
  <c r="G5840" i="1"/>
  <c r="B8374" i="1"/>
  <c r="D8374" i="1"/>
  <c r="G8374" i="1"/>
  <c r="B5841" i="1"/>
  <c r="D5841" i="1"/>
  <c r="G5841" i="1"/>
  <c r="B3507" i="1"/>
  <c r="D3507" i="1"/>
  <c r="G3507" i="1"/>
  <c r="B3715" i="1"/>
  <c r="D3715" i="1"/>
  <c r="G3715" i="1"/>
  <c r="B4600" i="1"/>
  <c r="D4600" i="1"/>
  <c r="G4600" i="1"/>
  <c r="B8731" i="1"/>
  <c r="D8731" i="1"/>
  <c r="G8731" i="1"/>
  <c r="B8165" i="1"/>
  <c r="D8165" i="1"/>
  <c r="G8165" i="1"/>
  <c r="B19974" i="1"/>
  <c r="D19974" i="1"/>
  <c r="G19974" i="1"/>
  <c r="B504" i="1"/>
  <c r="D504" i="1"/>
  <c r="G504" i="1"/>
  <c r="B7749" i="1"/>
  <c r="D7749" i="1"/>
  <c r="G7749" i="1"/>
  <c r="B7750" i="1"/>
  <c r="D7750" i="1"/>
  <c r="G7750" i="1"/>
  <c r="B2676" i="1"/>
  <c r="D2676" i="1"/>
  <c r="G2676" i="1"/>
  <c r="B8732" i="1"/>
  <c r="D8732" i="1"/>
  <c r="G8732" i="1"/>
  <c r="B1957" i="1"/>
  <c r="D1957" i="1"/>
  <c r="G1957" i="1"/>
  <c r="B3205" i="1"/>
  <c r="D3205" i="1"/>
  <c r="G3205" i="1"/>
  <c r="B1583" i="1"/>
  <c r="D1583" i="1"/>
  <c r="G1583" i="1"/>
  <c r="B1584" i="1"/>
  <c r="D1584" i="1"/>
  <c r="G1584" i="1"/>
  <c r="B3508" i="1"/>
  <c r="D3508" i="1"/>
  <c r="G3508" i="1"/>
  <c r="B3509" i="1"/>
  <c r="D3509" i="1"/>
  <c r="G3509" i="1"/>
  <c r="B3716" i="1"/>
  <c r="D3716" i="1"/>
  <c r="G3716" i="1"/>
  <c r="B16408" i="1"/>
  <c r="D16408" i="1"/>
  <c r="G16408" i="1"/>
  <c r="B3717" i="1"/>
  <c r="D3717" i="1"/>
  <c r="G3717" i="1"/>
  <c r="B2677" i="1"/>
  <c r="D2677" i="1"/>
  <c r="G2677" i="1"/>
  <c r="B3718" i="1"/>
  <c r="D3718" i="1"/>
  <c r="G3718" i="1"/>
  <c r="B4601" i="1"/>
  <c r="D4601" i="1"/>
  <c r="G4601" i="1"/>
  <c r="B1111" i="1"/>
  <c r="D1111" i="1"/>
  <c r="G1111" i="1"/>
  <c r="B1112" i="1"/>
  <c r="D1112" i="1"/>
  <c r="G1112" i="1"/>
  <c r="B1113" i="1"/>
  <c r="D1113" i="1"/>
  <c r="G1113" i="1"/>
  <c r="B505" i="1"/>
  <c r="D505" i="1"/>
  <c r="G505" i="1"/>
  <c r="B348" i="1"/>
  <c r="D348" i="1"/>
  <c r="G348" i="1"/>
  <c r="B4783" i="1"/>
  <c r="D4783" i="1"/>
  <c r="G4783" i="1"/>
  <c r="B2352" i="1"/>
  <c r="D2352" i="1"/>
  <c r="G2352" i="1"/>
  <c r="B19015" i="1"/>
  <c r="D19015" i="1"/>
  <c r="G19015" i="1"/>
  <c r="B817" i="1"/>
  <c r="D817" i="1"/>
  <c r="G817" i="1"/>
  <c r="B15005" i="1"/>
  <c r="D15005" i="1"/>
  <c r="G15005" i="1"/>
  <c r="B3088" i="1"/>
  <c r="D3088" i="1"/>
  <c r="G3088" i="1"/>
  <c r="B793" i="1"/>
  <c r="D793" i="1"/>
  <c r="G793" i="1"/>
  <c r="B2445" i="1"/>
  <c r="D2445" i="1"/>
  <c r="G2445" i="1"/>
  <c r="B7751" i="1"/>
  <c r="D7751" i="1"/>
  <c r="G7751" i="1"/>
  <c r="B7647" i="1"/>
  <c r="D7647" i="1"/>
  <c r="G7647" i="1"/>
  <c r="B2446" i="1"/>
  <c r="D2446" i="1"/>
  <c r="G2446" i="1"/>
  <c r="B506" i="1"/>
  <c r="D506" i="1"/>
  <c r="G506" i="1"/>
  <c r="B3510" i="1"/>
  <c r="D3510" i="1"/>
  <c r="G3510" i="1"/>
  <c r="B4702" i="1"/>
  <c r="D4702" i="1"/>
  <c r="G4702" i="1"/>
  <c r="B1585" i="1"/>
  <c r="D1585" i="1"/>
  <c r="G1585" i="1"/>
  <c r="B1586" i="1"/>
  <c r="D1586" i="1"/>
  <c r="G1586" i="1"/>
  <c r="B2678" i="1"/>
  <c r="D2678" i="1"/>
  <c r="G2678" i="1"/>
  <c r="B2353" i="1"/>
  <c r="D2353" i="1"/>
  <c r="G2353" i="1"/>
  <c r="B710" i="1"/>
  <c r="D710" i="1"/>
  <c r="G710" i="1"/>
  <c r="B1114" i="1"/>
  <c r="D1114" i="1"/>
  <c r="G1114" i="1"/>
  <c r="B2447" i="1"/>
  <c r="D2447" i="1"/>
  <c r="G2447" i="1"/>
  <c r="B4307" i="1"/>
  <c r="D4307" i="1"/>
  <c r="G4307" i="1"/>
  <c r="B16409" i="1"/>
  <c r="D16409" i="1"/>
  <c r="G16409" i="1"/>
  <c r="B1958" i="1"/>
  <c r="D1958" i="1"/>
  <c r="G1958" i="1"/>
  <c r="B1115" i="1"/>
  <c r="D1115" i="1"/>
  <c r="G1115" i="1"/>
  <c r="B3511" i="1"/>
  <c r="D3511" i="1"/>
  <c r="G3511" i="1"/>
  <c r="B3719" i="1"/>
  <c r="D3719" i="1"/>
  <c r="G3719" i="1"/>
  <c r="B1587" i="1"/>
  <c r="D1587" i="1"/>
  <c r="G1587" i="1"/>
  <c r="B8385" i="1"/>
  <c r="D8385" i="1"/>
  <c r="G8385" i="1"/>
  <c r="B7444" i="1"/>
  <c r="D7444" i="1"/>
  <c r="G7444" i="1"/>
  <c r="B1116" i="1"/>
  <c r="D1116" i="1"/>
  <c r="G1116" i="1"/>
  <c r="B4969" i="1"/>
  <c r="D4969" i="1"/>
  <c r="G4969" i="1"/>
  <c r="B1588" i="1"/>
  <c r="D1588" i="1"/>
  <c r="G1588" i="1"/>
  <c r="B2679" i="1"/>
  <c r="D2679" i="1"/>
  <c r="G2679" i="1"/>
  <c r="B2680" i="1"/>
  <c r="D2680" i="1"/>
  <c r="G2680" i="1"/>
  <c r="B6078" i="1"/>
  <c r="D6078" i="1"/>
  <c r="G6078" i="1"/>
  <c r="B96" i="1"/>
  <c r="D96" i="1"/>
  <c r="G96" i="1"/>
  <c r="B17380" i="1"/>
  <c r="D17380" i="1"/>
  <c r="G17380" i="1"/>
  <c r="B2681" i="1"/>
  <c r="D2681" i="1"/>
  <c r="G2681" i="1"/>
  <c r="B771" i="1"/>
  <c r="D771" i="1"/>
  <c r="G771" i="1"/>
  <c r="B507" i="1"/>
  <c r="D507" i="1"/>
  <c r="G507" i="1"/>
  <c r="B3881" i="1"/>
  <c r="D3881" i="1"/>
  <c r="G3881" i="1"/>
  <c r="B4784" i="1"/>
  <c r="D4784" i="1"/>
  <c r="G4784" i="1"/>
  <c r="B5095" i="1"/>
  <c r="D5095" i="1"/>
  <c r="G5095" i="1"/>
  <c r="B907" i="1"/>
  <c r="D907" i="1"/>
  <c r="G907" i="1"/>
  <c r="B1589" i="1"/>
  <c r="D1589" i="1"/>
  <c r="G1589" i="1"/>
  <c r="B4602" i="1"/>
  <c r="D4602" i="1"/>
  <c r="G4602" i="1"/>
  <c r="B869" i="1"/>
  <c r="D869" i="1"/>
  <c r="G869" i="1"/>
  <c r="B5359" i="1"/>
  <c r="D5359" i="1"/>
  <c r="G5359" i="1"/>
  <c r="B1117" i="1"/>
  <c r="D1117" i="1"/>
  <c r="G1117" i="1"/>
  <c r="B4942" i="1"/>
  <c r="D4942" i="1"/>
  <c r="G4942" i="1"/>
  <c r="B2682" i="1"/>
  <c r="D2682" i="1"/>
  <c r="G2682" i="1"/>
  <c r="B13742" i="1"/>
  <c r="D13742" i="1"/>
  <c r="G13742" i="1"/>
  <c r="B19975" i="1"/>
  <c r="D19975" i="1"/>
  <c r="G19975" i="1"/>
  <c r="B19976" i="1"/>
  <c r="D19976" i="1"/>
  <c r="G19976" i="1"/>
  <c r="B508" i="1"/>
  <c r="D508" i="1"/>
  <c r="G508" i="1"/>
  <c r="B509" i="1"/>
  <c r="D509" i="1"/>
  <c r="G509" i="1"/>
  <c r="B8733" i="1"/>
  <c r="D8733" i="1"/>
  <c r="G8733" i="1"/>
  <c r="B8734" i="1"/>
  <c r="D8734" i="1"/>
  <c r="G8734" i="1"/>
  <c r="B4703" i="1"/>
  <c r="D4703" i="1"/>
  <c r="G4703" i="1"/>
  <c r="B8446" i="1"/>
  <c r="D8446" i="1"/>
  <c r="G8446" i="1"/>
  <c r="B8447" i="1"/>
  <c r="D8447" i="1"/>
  <c r="G8447" i="1"/>
  <c r="B8448" i="1"/>
  <c r="D8448" i="1"/>
  <c r="G8448" i="1"/>
  <c r="B8449" i="1"/>
  <c r="D8449" i="1"/>
  <c r="G8449" i="1"/>
  <c r="B4076" i="1"/>
  <c r="D4076" i="1"/>
  <c r="G4076" i="1"/>
  <c r="B678" i="1"/>
  <c r="D678" i="1"/>
  <c r="G678" i="1"/>
  <c r="B856" i="1"/>
  <c r="D856" i="1"/>
  <c r="G856" i="1"/>
  <c r="B2683" i="1"/>
  <c r="D2683" i="1"/>
  <c r="G2683" i="1"/>
  <c r="B8450" i="1"/>
  <c r="D8450" i="1"/>
  <c r="G8450" i="1"/>
  <c r="B8451" i="1"/>
  <c r="D8451" i="1"/>
  <c r="G8451" i="1"/>
  <c r="B8452" i="1"/>
  <c r="D8452" i="1"/>
  <c r="G8452" i="1"/>
  <c r="B8453" i="1"/>
  <c r="D8453" i="1"/>
  <c r="G8453" i="1"/>
  <c r="B2205" i="1"/>
  <c r="D2205" i="1"/>
  <c r="G2205" i="1"/>
  <c r="B6734" i="1"/>
  <c r="D6734" i="1"/>
  <c r="G6734" i="1"/>
  <c r="B17235" i="1"/>
  <c r="D17235" i="1"/>
  <c r="G17235" i="1"/>
  <c r="B15006" i="1"/>
  <c r="D15006" i="1"/>
  <c r="G15006" i="1"/>
  <c r="B18843" i="1"/>
  <c r="D18843" i="1"/>
  <c r="G18843" i="1"/>
  <c r="B4157" i="1"/>
  <c r="D4157" i="1"/>
  <c r="G4157" i="1"/>
  <c r="B1532" i="1"/>
  <c r="D1532" i="1"/>
  <c r="G1532" i="1"/>
  <c r="B9189" i="1"/>
  <c r="D9189" i="1"/>
  <c r="G9189" i="1"/>
  <c r="B1118" i="1"/>
  <c r="D1118" i="1"/>
  <c r="G1118" i="1"/>
  <c r="B5108" i="1"/>
  <c r="D5108" i="1"/>
  <c r="G5108" i="1"/>
  <c r="B3420" i="1"/>
  <c r="D3420" i="1"/>
  <c r="G3420" i="1"/>
  <c r="B8735" i="1"/>
  <c r="D8735" i="1"/>
  <c r="G8735" i="1"/>
  <c r="B3054" i="1"/>
  <c r="D3054" i="1"/>
  <c r="G3054" i="1"/>
  <c r="B803" i="1"/>
  <c r="D803" i="1"/>
  <c r="G803" i="1"/>
  <c r="B804" i="1"/>
  <c r="D804" i="1"/>
  <c r="G804" i="1"/>
  <c r="B5194" i="1"/>
  <c r="D5194" i="1"/>
  <c r="G5194" i="1"/>
  <c r="B2180" i="1"/>
  <c r="D2180" i="1"/>
  <c r="G2180" i="1"/>
  <c r="B8309" i="1"/>
  <c r="D8309" i="1"/>
  <c r="G8309" i="1"/>
  <c r="B10472" i="1"/>
  <c r="D10472" i="1"/>
  <c r="G10472" i="1"/>
  <c r="B10473" i="1"/>
  <c r="D10473" i="1"/>
  <c r="G10473" i="1"/>
  <c r="B20789" i="1"/>
  <c r="D20789" i="1"/>
  <c r="G20789" i="1"/>
  <c r="B20790" i="1"/>
  <c r="D20790" i="1"/>
  <c r="G20790" i="1"/>
  <c r="B2684" i="1"/>
  <c r="D2684" i="1"/>
  <c r="G2684" i="1"/>
  <c r="B20791" i="1"/>
  <c r="D20791" i="1"/>
  <c r="G20791" i="1"/>
  <c r="B19175" i="1"/>
  <c r="D19175" i="1"/>
  <c r="G19175" i="1"/>
  <c r="B6" i="1"/>
  <c r="D6" i="1"/>
  <c r="G6" i="1"/>
  <c r="B2685" i="1"/>
  <c r="D2685" i="1"/>
  <c r="G2685" i="1"/>
  <c r="B9114" i="1"/>
  <c r="D9114" i="1"/>
  <c r="G9114" i="1"/>
  <c r="B2290" i="1"/>
  <c r="D2290" i="1"/>
  <c r="G2290" i="1"/>
  <c r="B6013" i="1"/>
  <c r="D6013" i="1"/>
  <c r="G6013" i="1"/>
  <c r="B3410" i="1"/>
  <c r="D3410" i="1"/>
  <c r="G3410" i="1"/>
  <c r="B5138" i="1"/>
  <c r="D5138" i="1"/>
  <c r="G5138" i="1"/>
  <c r="B4603" i="1"/>
  <c r="D4603" i="1"/>
  <c r="G4603" i="1"/>
  <c r="B6581" i="1"/>
  <c r="D6581" i="1"/>
  <c r="G6581" i="1"/>
  <c r="B2686" i="1"/>
  <c r="D2686" i="1"/>
  <c r="G2686" i="1"/>
  <c r="B1590" i="1"/>
  <c r="D1590" i="1"/>
  <c r="G1590" i="1"/>
  <c r="B4202" i="1"/>
  <c r="D4202" i="1"/>
  <c r="G4202" i="1"/>
  <c r="B4308" i="1"/>
  <c r="D4308" i="1"/>
  <c r="G4308" i="1"/>
  <c r="B2687" i="1"/>
  <c r="D2687" i="1"/>
  <c r="G2687" i="1"/>
  <c r="B4203" i="1"/>
  <c r="D4203" i="1"/>
  <c r="G4203" i="1"/>
  <c r="B3017" i="1"/>
  <c r="D3017" i="1"/>
  <c r="G3017" i="1"/>
  <c r="B6557" i="1"/>
  <c r="D6557" i="1"/>
  <c r="G6557" i="1"/>
  <c r="B2448" i="1"/>
  <c r="D2448" i="1"/>
  <c r="G2448" i="1"/>
  <c r="B4528" i="1"/>
  <c r="D4528" i="1"/>
  <c r="G4528" i="1"/>
  <c r="B7752" i="1"/>
  <c r="D7752" i="1"/>
  <c r="G7752" i="1"/>
  <c r="B3512" i="1"/>
  <c r="D3512" i="1"/>
  <c r="G3512" i="1"/>
  <c r="B12024" i="1"/>
  <c r="D12024" i="1"/>
  <c r="G12024" i="1"/>
  <c r="B3720" i="1"/>
  <c r="D3720" i="1"/>
  <c r="G3720" i="1"/>
  <c r="B3513" i="1"/>
  <c r="D3513" i="1"/>
  <c r="G3513" i="1"/>
  <c r="B7445" i="1"/>
  <c r="D7445" i="1"/>
  <c r="G7445" i="1"/>
  <c r="B2688" i="1"/>
  <c r="D2688" i="1"/>
  <c r="G2688" i="1"/>
  <c r="B4785" i="1"/>
  <c r="D4785" i="1"/>
  <c r="G4785" i="1"/>
  <c r="B2689" i="1"/>
  <c r="D2689" i="1"/>
  <c r="G2689" i="1"/>
  <c r="B1119" i="1"/>
  <c r="D1119" i="1"/>
  <c r="G1119" i="1"/>
  <c r="B1120" i="1"/>
  <c r="D1120" i="1"/>
  <c r="G1120" i="1"/>
  <c r="B20792" i="1"/>
  <c r="D20792" i="1"/>
  <c r="G20792" i="1"/>
  <c r="B9115" i="1"/>
  <c r="D9115" i="1"/>
  <c r="G9115" i="1"/>
  <c r="B19176" i="1"/>
  <c r="D19176" i="1"/>
  <c r="G19176" i="1"/>
  <c r="B9640" i="1"/>
  <c r="D9640" i="1"/>
  <c r="G9640" i="1"/>
  <c r="B1432" i="1"/>
  <c r="D1432" i="1"/>
  <c r="G1432" i="1"/>
  <c r="B7446" i="1"/>
  <c r="D7446" i="1"/>
  <c r="G7446" i="1"/>
  <c r="B818" i="1"/>
  <c r="D818" i="1"/>
  <c r="G818" i="1"/>
  <c r="B8736" i="1"/>
  <c r="D8736" i="1"/>
  <c r="G8736" i="1"/>
  <c r="B10172" i="1"/>
  <c r="D10172" i="1"/>
  <c r="G10172" i="1"/>
  <c r="B19177" i="1"/>
  <c r="D19177" i="1"/>
  <c r="G19177" i="1"/>
  <c r="B3882" i="1"/>
  <c r="D3882" i="1"/>
  <c r="G3882" i="1"/>
  <c r="B2077" i="1"/>
  <c r="D2077" i="1"/>
  <c r="G2077" i="1"/>
  <c r="B12429" i="1"/>
  <c r="D12429" i="1"/>
  <c r="G12429" i="1"/>
  <c r="B3514" i="1"/>
  <c r="D3514" i="1"/>
  <c r="G3514" i="1"/>
  <c r="B2354" i="1"/>
  <c r="D2354" i="1"/>
  <c r="G2354" i="1"/>
  <c r="B11735" i="1"/>
  <c r="D11735" i="1"/>
  <c r="G11735" i="1"/>
  <c r="B2690" i="1"/>
  <c r="D2690" i="1"/>
  <c r="G2690" i="1"/>
  <c r="B10173" i="1"/>
  <c r="D10173" i="1"/>
  <c r="G10173" i="1"/>
  <c r="B2691" i="1"/>
  <c r="D2691" i="1"/>
  <c r="G2691" i="1"/>
  <c r="B1121" i="1"/>
  <c r="D1121" i="1"/>
  <c r="G1121" i="1"/>
  <c r="B2355" i="1"/>
  <c r="D2355" i="1"/>
  <c r="G2355" i="1"/>
  <c r="B510" i="1"/>
  <c r="D510" i="1"/>
  <c r="G510" i="1"/>
  <c r="B511" i="1"/>
  <c r="D511" i="1"/>
  <c r="G511" i="1"/>
  <c r="B2692" i="1"/>
  <c r="D2692" i="1"/>
  <c r="G2692" i="1"/>
  <c r="B18237" i="1"/>
  <c r="D18237" i="1"/>
  <c r="G18237" i="1"/>
  <c r="B2449" i="1"/>
  <c r="D2449" i="1"/>
  <c r="G2449" i="1"/>
  <c r="B1122" i="1"/>
  <c r="D1122" i="1"/>
  <c r="G1122" i="1"/>
  <c r="B3401" i="1"/>
  <c r="D3401" i="1"/>
  <c r="G3401" i="1"/>
  <c r="B918" i="1"/>
  <c r="D918" i="1"/>
  <c r="G918" i="1"/>
  <c r="B5360" i="1"/>
  <c r="D5360" i="1"/>
  <c r="G5360" i="1"/>
  <c r="B8737" i="1"/>
  <c r="D8737" i="1"/>
  <c r="G8737" i="1"/>
  <c r="B8454" i="1"/>
  <c r="D8454" i="1"/>
  <c r="G8454" i="1"/>
  <c r="B8455" i="1"/>
  <c r="D8455" i="1"/>
  <c r="G8455" i="1"/>
  <c r="B12025" i="1"/>
  <c r="D12025" i="1"/>
  <c r="G12025" i="1"/>
  <c r="B5669" i="1"/>
  <c r="D5669" i="1"/>
  <c r="G5669" i="1"/>
  <c r="B5670" i="1"/>
  <c r="D5670" i="1"/>
  <c r="G5670" i="1"/>
  <c r="B8052" i="1"/>
  <c r="D8052" i="1"/>
  <c r="G8052" i="1"/>
  <c r="B3515" i="1"/>
  <c r="D3515" i="1"/>
  <c r="G3515" i="1"/>
  <c r="B1591" i="1"/>
  <c r="D1591" i="1"/>
  <c r="G1591" i="1"/>
  <c r="B1592" i="1"/>
  <c r="D1592" i="1"/>
  <c r="G1592" i="1"/>
  <c r="B19463" i="1"/>
  <c r="D19463" i="1"/>
  <c r="G19463" i="1"/>
  <c r="B4309" i="1"/>
  <c r="D4309" i="1"/>
  <c r="G4309" i="1"/>
  <c r="B6855" i="1"/>
  <c r="D6855" i="1"/>
  <c r="G6855" i="1"/>
  <c r="B1123" i="1"/>
  <c r="D1123" i="1"/>
  <c r="G1123" i="1"/>
  <c r="B12492" i="1"/>
  <c r="D12492" i="1"/>
  <c r="G12492" i="1"/>
  <c r="B12493" i="1"/>
  <c r="D12493" i="1"/>
  <c r="G12493" i="1"/>
  <c r="B6735" i="1"/>
  <c r="D6735" i="1"/>
  <c r="G6735" i="1"/>
  <c r="B6205" i="1"/>
  <c r="D6205" i="1"/>
  <c r="G6205" i="1"/>
  <c r="B6206" i="1"/>
  <c r="D6206" i="1"/>
  <c r="G6206" i="1"/>
  <c r="B3883" i="1"/>
  <c r="D3883" i="1"/>
  <c r="G3883" i="1"/>
  <c r="B2693" i="1"/>
  <c r="D2693" i="1"/>
  <c r="G2693" i="1"/>
  <c r="B3516" i="1"/>
  <c r="D3516" i="1"/>
  <c r="G3516" i="1"/>
  <c r="B1007" i="1"/>
  <c r="D1007" i="1"/>
  <c r="G1007" i="1"/>
  <c r="B5110" i="1"/>
  <c r="D5110" i="1"/>
  <c r="G5110" i="1"/>
  <c r="B1124" i="1"/>
  <c r="D1124" i="1"/>
  <c r="G1124" i="1"/>
  <c r="B2356" i="1"/>
  <c r="D2356" i="1"/>
  <c r="G2356" i="1"/>
  <c r="B3778" i="1"/>
  <c r="D3778" i="1"/>
  <c r="G3778" i="1"/>
  <c r="B8738" i="1"/>
  <c r="D8738" i="1"/>
  <c r="G8738" i="1"/>
  <c r="B5766" i="1"/>
  <c r="D5766" i="1"/>
  <c r="G5766" i="1"/>
  <c r="B5361" i="1"/>
  <c r="D5361" i="1"/>
  <c r="G5361" i="1"/>
  <c r="B2450" i="1"/>
  <c r="D2450" i="1"/>
  <c r="G2450" i="1"/>
  <c r="B3779" i="1"/>
  <c r="D3779" i="1"/>
  <c r="G3779" i="1"/>
  <c r="B97" i="1"/>
  <c r="D97" i="1"/>
  <c r="G97" i="1"/>
  <c r="B512" i="1"/>
  <c r="D512" i="1"/>
  <c r="G512" i="1"/>
  <c r="B19178" i="1"/>
  <c r="D19178" i="1"/>
  <c r="G19178" i="1"/>
  <c r="B18844" i="1"/>
  <c r="D18844" i="1"/>
  <c r="G18844" i="1"/>
  <c r="B3517" i="1"/>
  <c r="D3517" i="1"/>
  <c r="G3517" i="1"/>
  <c r="B2357" i="1"/>
  <c r="D2357" i="1"/>
  <c r="G2357" i="1"/>
  <c r="B1870" i="1"/>
  <c r="D1870" i="1"/>
  <c r="G1870" i="1"/>
  <c r="B4604" i="1"/>
  <c r="D4604" i="1"/>
  <c r="G4604" i="1"/>
  <c r="B3721" i="1"/>
  <c r="D3721" i="1"/>
  <c r="G3721" i="1"/>
  <c r="B3722" i="1"/>
  <c r="D3722" i="1"/>
  <c r="G3722" i="1"/>
  <c r="B3228" i="1"/>
  <c r="D3228" i="1"/>
  <c r="G3228" i="1"/>
  <c r="B16410" i="1"/>
  <c r="D16410" i="1"/>
  <c r="G16410" i="1"/>
  <c r="B381" i="1"/>
  <c r="D381" i="1"/>
  <c r="G381" i="1"/>
  <c r="B2451" i="1"/>
  <c r="D2451" i="1"/>
  <c r="G2451" i="1"/>
  <c r="B9116" i="1"/>
  <c r="D9116" i="1"/>
  <c r="G9116" i="1"/>
  <c r="B1125" i="1"/>
  <c r="D1125" i="1"/>
  <c r="G1125" i="1"/>
  <c r="B3518" i="1"/>
  <c r="D3518" i="1"/>
  <c r="G3518" i="1"/>
  <c r="B4134" i="1"/>
  <c r="D4134" i="1"/>
  <c r="G4134" i="1"/>
  <c r="B1395" i="1"/>
  <c r="D1395" i="1"/>
  <c r="G1395" i="1"/>
  <c r="B12655" i="1"/>
  <c r="D12655" i="1"/>
  <c r="G12655" i="1"/>
  <c r="B2026" i="1"/>
  <c r="D2026" i="1"/>
  <c r="G2026" i="1"/>
  <c r="B513" i="1"/>
  <c r="D513" i="1"/>
  <c r="G513" i="1"/>
  <c r="B3519" i="1"/>
  <c r="D3519" i="1"/>
  <c r="G3519" i="1"/>
  <c r="B5362" i="1"/>
  <c r="D5362" i="1"/>
  <c r="G5362" i="1"/>
  <c r="B5697" i="1"/>
  <c r="D5697" i="1"/>
  <c r="G5697" i="1"/>
  <c r="B3419" i="1"/>
  <c r="D3419" i="1"/>
  <c r="G3419" i="1"/>
  <c r="B2694" i="1"/>
  <c r="D2694" i="1"/>
  <c r="G2694" i="1"/>
  <c r="B1126" i="1"/>
  <c r="D1126" i="1"/>
  <c r="G1126" i="1"/>
  <c r="B3089" i="1"/>
  <c r="D3089" i="1"/>
  <c r="G3089" i="1"/>
  <c r="B12494" i="1"/>
  <c r="D12494" i="1"/>
  <c r="G12494" i="1"/>
  <c r="B7447" i="1"/>
  <c r="D7447" i="1"/>
  <c r="G7447" i="1"/>
  <c r="B2228" i="1"/>
  <c r="D2228" i="1"/>
  <c r="G2228" i="1"/>
  <c r="B1127" i="1"/>
  <c r="D1127" i="1"/>
  <c r="G1127" i="1"/>
  <c r="B12495" i="1"/>
  <c r="D12495" i="1"/>
  <c r="G12495" i="1"/>
  <c r="B5767" i="1"/>
  <c r="D5767" i="1"/>
  <c r="G5767" i="1"/>
  <c r="B4310" i="1"/>
  <c r="D4310" i="1"/>
  <c r="G4310" i="1"/>
  <c r="B16411" i="1"/>
  <c r="D16411" i="1"/>
  <c r="G16411" i="1"/>
  <c r="B514" i="1"/>
  <c r="D514" i="1"/>
  <c r="G514" i="1"/>
  <c r="B2258" i="1"/>
  <c r="D2258" i="1"/>
  <c r="G2258" i="1"/>
  <c r="B20793" i="1"/>
  <c r="D20793" i="1"/>
  <c r="G20793" i="1"/>
  <c r="B20794" i="1"/>
  <c r="D20794" i="1"/>
  <c r="G20794" i="1"/>
  <c r="B7" i="1"/>
  <c r="D7" i="1"/>
  <c r="G7" i="1"/>
  <c r="B11736" i="1"/>
  <c r="D11736" i="1"/>
  <c r="G11736" i="1"/>
  <c r="B3520" i="1"/>
  <c r="D3520" i="1"/>
  <c r="G3520" i="1"/>
  <c r="B2695" i="1"/>
  <c r="D2695" i="1"/>
  <c r="G2695" i="1"/>
  <c r="B819" i="1"/>
  <c r="D819" i="1"/>
  <c r="G819" i="1"/>
  <c r="B3307" i="1"/>
  <c r="D3307" i="1"/>
  <c r="G3307" i="1"/>
  <c r="B4311" i="1"/>
  <c r="D4311" i="1"/>
  <c r="G4311" i="1"/>
  <c r="B4066" i="1"/>
  <c r="D4066" i="1"/>
  <c r="G4066" i="1"/>
  <c r="B6207" i="1"/>
  <c r="D6207" i="1"/>
  <c r="G6207" i="1"/>
  <c r="B14203" i="1"/>
  <c r="D14203" i="1"/>
  <c r="G14203" i="1"/>
  <c r="B9807" i="1"/>
  <c r="D9807" i="1"/>
  <c r="G9807" i="1"/>
  <c r="B2696" i="1"/>
  <c r="D2696" i="1"/>
  <c r="G2696" i="1"/>
  <c r="B4859" i="1"/>
  <c r="D4859" i="1"/>
  <c r="G4859" i="1"/>
  <c r="B12430" i="1"/>
  <c r="D12430" i="1"/>
  <c r="G12430" i="1"/>
  <c r="B515" i="1"/>
  <c r="D515" i="1"/>
  <c r="G515" i="1"/>
  <c r="B19016" i="1"/>
  <c r="D19016" i="1"/>
  <c r="G19016" i="1"/>
  <c r="B19179" i="1"/>
  <c r="D19179" i="1"/>
  <c r="G19179" i="1"/>
  <c r="B15007" i="1"/>
  <c r="D15007" i="1"/>
  <c r="G15007" i="1"/>
  <c r="B9641" i="1"/>
  <c r="D9641" i="1"/>
  <c r="G9641" i="1"/>
  <c r="B9642" i="1"/>
  <c r="D9642" i="1"/>
  <c r="G9642" i="1"/>
  <c r="B9894" i="1"/>
  <c r="D9894" i="1"/>
  <c r="G9894" i="1"/>
  <c r="B9895" i="1"/>
  <c r="D9895" i="1"/>
  <c r="G9895" i="1"/>
  <c r="B4204" i="1"/>
  <c r="D4204" i="1"/>
  <c r="G4204" i="1"/>
  <c r="B516" i="1"/>
  <c r="D516" i="1"/>
  <c r="G516" i="1"/>
  <c r="B820" i="1"/>
  <c r="D820" i="1"/>
  <c r="G820" i="1"/>
  <c r="B8275" i="1"/>
  <c r="D8275" i="1"/>
  <c r="G8275" i="1"/>
  <c r="B1467" i="1"/>
  <c r="D1467" i="1"/>
  <c r="G1467" i="1"/>
  <c r="B3521" i="1"/>
  <c r="D3521" i="1"/>
  <c r="G3521" i="1"/>
  <c r="B15008" i="1"/>
  <c r="D15008" i="1"/>
  <c r="G15008" i="1"/>
  <c r="B1959" i="1"/>
  <c r="D1959" i="1"/>
  <c r="G1959" i="1"/>
  <c r="B3723" i="1"/>
  <c r="D3723" i="1"/>
  <c r="G3723" i="1"/>
  <c r="B2358" i="1"/>
  <c r="D2358" i="1"/>
  <c r="G2358" i="1"/>
  <c r="B5363" i="1"/>
  <c r="D5363" i="1"/>
  <c r="G5363" i="1"/>
  <c r="B3522" i="1"/>
  <c r="D3522" i="1"/>
  <c r="G3522" i="1"/>
  <c r="B6208" i="1"/>
  <c r="D6208" i="1"/>
  <c r="G6208" i="1"/>
  <c r="B1533" i="1"/>
  <c r="D1533" i="1"/>
  <c r="G1533" i="1"/>
  <c r="B8739" i="1"/>
  <c r="D8739" i="1"/>
  <c r="G8739" i="1"/>
  <c r="B1593" i="1"/>
  <c r="D1593" i="1"/>
  <c r="G1593" i="1"/>
  <c r="B1594" i="1"/>
  <c r="D1594" i="1"/>
  <c r="G1594" i="1"/>
  <c r="B3090" i="1"/>
  <c r="D3090" i="1"/>
  <c r="G3090" i="1"/>
  <c r="B5671" i="1"/>
  <c r="D5671" i="1"/>
  <c r="G5671" i="1"/>
  <c r="B1595" i="1"/>
  <c r="D1595" i="1"/>
  <c r="G1595" i="1"/>
  <c r="B1596" i="1"/>
  <c r="D1596" i="1"/>
  <c r="G1596" i="1"/>
  <c r="B5842" i="1"/>
  <c r="D5842" i="1"/>
  <c r="G5842" i="1"/>
  <c r="B7448" i="1"/>
  <c r="D7448" i="1"/>
  <c r="G7448" i="1"/>
  <c r="B2078" i="1"/>
  <c r="D2078" i="1"/>
  <c r="G2078" i="1"/>
  <c r="B12496" i="1"/>
  <c r="D12496" i="1"/>
  <c r="G12496" i="1"/>
  <c r="B98" i="1"/>
  <c r="D98" i="1"/>
  <c r="G98" i="1"/>
  <c r="B2359" i="1"/>
  <c r="D2359" i="1"/>
  <c r="G2359" i="1"/>
  <c r="B4158" i="1"/>
  <c r="D4158" i="1"/>
  <c r="G4158" i="1"/>
  <c r="B4704" i="1"/>
  <c r="D4704" i="1"/>
  <c r="G4704" i="1"/>
  <c r="B4705" i="1"/>
  <c r="D4705" i="1"/>
  <c r="G4705" i="1"/>
  <c r="B2452" i="1"/>
  <c r="D2452" i="1"/>
  <c r="G2452" i="1"/>
  <c r="B5817" i="1"/>
  <c r="D5817" i="1"/>
  <c r="G5817" i="1"/>
  <c r="B16412" i="1"/>
  <c r="D16412" i="1"/>
  <c r="G16412" i="1"/>
  <c r="B3402" i="1"/>
  <c r="D3402" i="1"/>
  <c r="G3402" i="1"/>
  <c r="B18735" i="1"/>
  <c r="D18735" i="1"/>
  <c r="G18735" i="1"/>
  <c r="B2697" i="1"/>
  <c r="D2697" i="1"/>
  <c r="G2697" i="1"/>
  <c r="B2291" i="1"/>
  <c r="D2291" i="1"/>
  <c r="G2291" i="1"/>
  <c r="B6014" i="1"/>
  <c r="D6014" i="1"/>
  <c r="G6014" i="1"/>
  <c r="B4205" i="1"/>
  <c r="D4205" i="1"/>
  <c r="G4205" i="1"/>
  <c r="B3523" i="1"/>
  <c r="D3523" i="1"/>
  <c r="G3523" i="1"/>
  <c r="B5364" i="1"/>
  <c r="D5364" i="1"/>
  <c r="G5364" i="1"/>
  <c r="B517" i="1"/>
  <c r="D517" i="1"/>
  <c r="G517" i="1"/>
  <c r="B8740" i="1"/>
  <c r="D8740" i="1"/>
  <c r="G8740" i="1"/>
  <c r="B3524" i="1"/>
  <c r="D3524" i="1"/>
  <c r="G3524" i="1"/>
  <c r="B6209" i="1"/>
  <c r="D6209" i="1"/>
  <c r="G6209" i="1"/>
  <c r="B518" i="1"/>
  <c r="D518" i="1"/>
  <c r="G518" i="1"/>
  <c r="B12497" i="1"/>
  <c r="D12497" i="1"/>
  <c r="G12497" i="1"/>
  <c r="B6566" i="1"/>
  <c r="D6566" i="1"/>
  <c r="G6566" i="1"/>
  <c r="B1960" i="1"/>
  <c r="D1960" i="1"/>
  <c r="G1960" i="1"/>
  <c r="B1128" i="1"/>
  <c r="D1128" i="1"/>
  <c r="G1128" i="1"/>
  <c r="B6736" i="1"/>
  <c r="D6736" i="1"/>
  <c r="G6736" i="1"/>
  <c r="B18845" i="1"/>
  <c r="D18845" i="1"/>
  <c r="G18845" i="1"/>
  <c r="B2698" i="1"/>
  <c r="D2698" i="1"/>
  <c r="G2698" i="1"/>
  <c r="B2292" i="1"/>
  <c r="D2292" i="1"/>
  <c r="G2292" i="1"/>
  <c r="B6015" i="1"/>
  <c r="D6015" i="1"/>
  <c r="G6015" i="1"/>
  <c r="B3018" i="1"/>
  <c r="D3018" i="1"/>
  <c r="G3018" i="1"/>
  <c r="B3206" i="1"/>
  <c r="D3206" i="1"/>
  <c r="G3206" i="1"/>
  <c r="B4067" i="1"/>
  <c r="D4067" i="1"/>
  <c r="G4067" i="1"/>
  <c r="B1129" i="1"/>
  <c r="D1129" i="1"/>
  <c r="G1129" i="1"/>
  <c r="B4206" i="1"/>
  <c r="D4206" i="1"/>
  <c r="G4206" i="1"/>
  <c r="B382" i="1"/>
  <c r="D382" i="1"/>
  <c r="G382" i="1"/>
  <c r="B1130" i="1"/>
  <c r="D1130" i="1"/>
  <c r="G1130" i="1"/>
  <c r="B12498" i="1"/>
  <c r="D12498" i="1"/>
  <c r="G12498" i="1"/>
  <c r="B3525" i="1"/>
  <c r="D3525" i="1"/>
  <c r="G3525" i="1"/>
  <c r="B3526" i="1"/>
  <c r="D3526" i="1"/>
  <c r="G3526" i="1"/>
  <c r="B4786" i="1"/>
  <c r="D4786" i="1"/>
  <c r="G4786" i="1"/>
  <c r="B1999" i="1"/>
  <c r="D1999" i="1"/>
  <c r="G1999" i="1"/>
  <c r="B6991" i="1"/>
  <c r="D6991" i="1"/>
  <c r="G6991" i="1"/>
  <c r="B4207" i="1"/>
  <c r="D4207" i="1"/>
  <c r="G4207" i="1"/>
  <c r="B4463" i="1"/>
  <c r="D4463" i="1"/>
  <c r="G4463" i="1"/>
  <c r="B2360" i="1"/>
  <c r="D2360" i="1"/>
  <c r="G2360" i="1"/>
  <c r="B679" i="1"/>
  <c r="D679" i="1"/>
  <c r="G679" i="1"/>
  <c r="B6527" i="1"/>
  <c r="D6527" i="1"/>
  <c r="G6527" i="1"/>
  <c r="B5843" i="1"/>
  <c r="D5843" i="1"/>
  <c r="G5843" i="1"/>
  <c r="B4787" i="1"/>
  <c r="D4787" i="1"/>
  <c r="G4787" i="1"/>
  <c r="B2699" i="1"/>
  <c r="D2699" i="1"/>
  <c r="G2699" i="1"/>
  <c r="B1131" i="1"/>
  <c r="D1131" i="1"/>
  <c r="G1131" i="1"/>
  <c r="B5844" i="1"/>
  <c r="D5844" i="1"/>
  <c r="G5844" i="1"/>
  <c r="B6635" i="1"/>
  <c r="D6635" i="1"/>
  <c r="G6635" i="1"/>
  <c r="B8456" i="1"/>
  <c r="D8456" i="1"/>
  <c r="G8456" i="1"/>
  <c r="B21888" i="1"/>
  <c r="D21888" i="1"/>
  <c r="G21888" i="1"/>
  <c r="B21889" i="1"/>
  <c r="D21889" i="1"/>
  <c r="G21889" i="1"/>
  <c r="B2361" i="1"/>
  <c r="D2361" i="1"/>
  <c r="G2361" i="1"/>
  <c r="B10010" i="1"/>
  <c r="D10010" i="1"/>
  <c r="G10010" i="1"/>
  <c r="B2498" i="1"/>
  <c r="D2498" i="1"/>
  <c r="G2498" i="1"/>
  <c r="B7449" i="1"/>
  <c r="D7449" i="1"/>
  <c r="G7449" i="1"/>
  <c r="B2508" i="1"/>
  <c r="D2508" i="1"/>
  <c r="G2508" i="1"/>
  <c r="B1457" i="1"/>
  <c r="D1457" i="1"/>
  <c r="G1457" i="1"/>
  <c r="B919" i="1"/>
  <c r="D919" i="1"/>
  <c r="G919" i="1"/>
  <c r="B4706" i="1"/>
  <c r="D4706" i="1"/>
  <c r="G4706" i="1"/>
  <c r="B5365" i="1"/>
  <c r="D5365" i="1"/>
  <c r="G5365" i="1"/>
  <c r="B5111" i="1"/>
  <c r="D5111" i="1"/>
  <c r="G5111" i="1"/>
  <c r="B6210" i="1"/>
  <c r="D6210" i="1"/>
  <c r="G6210" i="1"/>
  <c r="B5366" i="1"/>
  <c r="D5366" i="1"/>
  <c r="G5366" i="1"/>
  <c r="B20290" i="1"/>
  <c r="D20290" i="1"/>
  <c r="G20290" i="1"/>
  <c r="B1132" i="1"/>
  <c r="D1132" i="1"/>
  <c r="G1132" i="1"/>
  <c r="B2700" i="1"/>
  <c r="D2700" i="1"/>
  <c r="G2700" i="1"/>
  <c r="B2701" i="1"/>
  <c r="D2701" i="1"/>
  <c r="G2701" i="1"/>
  <c r="B1597" i="1"/>
  <c r="D1597" i="1"/>
  <c r="G1597" i="1"/>
  <c r="B1598" i="1"/>
  <c r="D1598" i="1"/>
  <c r="G1598" i="1"/>
  <c r="B1599" i="1"/>
  <c r="D1599" i="1"/>
  <c r="G1599" i="1"/>
  <c r="B5367" i="1"/>
  <c r="D5367" i="1"/>
  <c r="G5367" i="1"/>
  <c r="B14086" i="1"/>
  <c r="D14086" i="1"/>
  <c r="G14086" i="1"/>
  <c r="B2293" i="1"/>
  <c r="D2293" i="1"/>
  <c r="G2293" i="1"/>
  <c r="B16413" i="1"/>
  <c r="D16413" i="1"/>
  <c r="G16413" i="1"/>
  <c r="B3527" i="1"/>
  <c r="D3527" i="1"/>
  <c r="G3527" i="1"/>
  <c r="B1133" i="1"/>
  <c r="D1133" i="1"/>
  <c r="G1133" i="1"/>
  <c r="B10022" i="1"/>
  <c r="D10022" i="1"/>
  <c r="G10022" i="1"/>
  <c r="B264" i="1"/>
  <c r="D264" i="1"/>
  <c r="G264" i="1"/>
  <c r="B42" i="1"/>
  <c r="D42" i="1"/>
  <c r="G42" i="1"/>
  <c r="B1396" i="1"/>
  <c r="D1396" i="1"/>
  <c r="G1396" i="1"/>
  <c r="B6582" i="1"/>
  <c r="D6582" i="1"/>
  <c r="G6582" i="1"/>
  <c r="B99" i="1"/>
  <c r="D99" i="1"/>
  <c r="G99" i="1"/>
  <c r="B1366" i="1"/>
  <c r="D1366" i="1"/>
  <c r="G1366" i="1"/>
  <c r="B17715" i="1"/>
  <c r="D17715" i="1"/>
  <c r="G17715" i="1"/>
  <c r="B5368" i="1"/>
  <c r="D5368" i="1"/>
  <c r="G5368" i="1"/>
  <c r="B5369" i="1"/>
  <c r="D5369" i="1"/>
  <c r="G5369" i="1"/>
  <c r="B6475" i="1"/>
  <c r="D6475" i="1"/>
  <c r="G6475" i="1"/>
  <c r="B6476" i="1"/>
  <c r="D6476" i="1"/>
  <c r="G6476" i="1"/>
  <c r="B3884" i="1"/>
  <c r="D3884" i="1"/>
  <c r="G3884" i="1"/>
  <c r="B6636" i="1"/>
  <c r="D6636" i="1"/>
  <c r="G6636" i="1"/>
  <c r="B1600" i="1"/>
  <c r="D1600" i="1"/>
  <c r="G1600" i="1"/>
  <c r="B1601" i="1"/>
  <c r="D1601" i="1"/>
  <c r="G1601" i="1"/>
  <c r="B6211" i="1"/>
  <c r="D6211" i="1"/>
  <c r="G6211" i="1"/>
  <c r="B7753" i="1"/>
  <c r="D7753" i="1"/>
  <c r="G7753" i="1"/>
  <c r="B7754" i="1"/>
  <c r="D7754" i="1"/>
  <c r="G7754" i="1"/>
  <c r="B2702" i="1"/>
  <c r="D2702" i="1"/>
  <c r="G2702" i="1"/>
  <c r="B3528" i="1"/>
  <c r="D3528" i="1"/>
  <c r="G3528" i="1"/>
  <c r="B16414" i="1"/>
  <c r="D16414" i="1"/>
  <c r="G16414" i="1"/>
  <c r="B4605" i="1"/>
  <c r="D4605" i="1"/>
  <c r="G4605" i="1"/>
  <c r="B1134" i="1"/>
  <c r="D1134" i="1"/>
  <c r="G1134" i="1"/>
  <c r="B6212" i="1"/>
  <c r="D6212" i="1"/>
  <c r="G6212" i="1"/>
  <c r="B4788" i="1"/>
  <c r="D4788" i="1"/>
  <c r="G4788" i="1"/>
  <c r="B20575" i="1"/>
  <c r="D20575" i="1"/>
  <c r="G20575" i="1"/>
  <c r="B4606" i="1"/>
  <c r="D4606" i="1"/>
  <c r="G4606" i="1"/>
  <c r="B5195" i="1"/>
  <c r="D5195" i="1"/>
  <c r="G5195" i="1"/>
  <c r="B2212" i="1"/>
  <c r="D2212" i="1"/>
  <c r="G2212" i="1"/>
  <c r="B5370" i="1"/>
  <c r="D5370" i="1"/>
  <c r="G5370" i="1"/>
  <c r="B9643" i="1"/>
  <c r="D9643" i="1"/>
  <c r="G9643" i="1"/>
  <c r="B9644" i="1"/>
  <c r="D9644" i="1"/>
  <c r="G9644" i="1"/>
  <c r="B18453" i="1"/>
  <c r="D18453" i="1"/>
  <c r="G18453" i="1"/>
  <c r="B20576" i="1"/>
  <c r="D20576" i="1"/>
  <c r="G20576" i="1"/>
  <c r="B9645" i="1"/>
  <c r="D9645" i="1"/>
  <c r="G9645" i="1"/>
  <c r="B9646" i="1"/>
  <c r="D9646" i="1"/>
  <c r="G9646" i="1"/>
  <c r="B3091" i="1"/>
  <c r="D3091" i="1"/>
  <c r="G3091" i="1"/>
  <c r="B3885" i="1"/>
  <c r="D3885" i="1"/>
  <c r="G3885" i="1"/>
  <c r="B3886" i="1"/>
  <c r="D3886" i="1"/>
  <c r="G3886" i="1"/>
  <c r="B4849" i="1"/>
  <c r="D4849" i="1"/>
  <c r="G4849" i="1"/>
  <c r="B4607" i="1"/>
  <c r="D4607" i="1"/>
  <c r="G4607" i="1"/>
  <c r="B3529" i="1"/>
  <c r="D3529" i="1"/>
  <c r="G3529" i="1"/>
  <c r="B1135" i="1"/>
  <c r="D1135" i="1"/>
  <c r="G1135" i="1"/>
  <c r="B870" i="1"/>
  <c r="D870" i="1"/>
  <c r="G870" i="1"/>
  <c r="B2229" i="1"/>
  <c r="D2229" i="1"/>
  <c r="G2229" i="1"/>
  <c r="B4208" i="1"/>
  <c r="D4208" i="1"/>
  <c r="G4208" i="1"/>
  <c r="B4707" i="1"/>
  <c r="D4707" i="1"/>
  <c r="G4707" i="1"/>
  <c r="B6737" i="1"/>
  <c r="D6737" i="1"/>
  <c r="G6737" i="1"/>
  <c r="B871" i="1"/>
  <c r="D871" i="1"/>
  <c r="G871" i="1"/>
  <c r="B5371" i="1"/>
  <c r="D5371" i="1"/>
  <c r="G5371" i="1"/>
  <c r="B5372" i="1"/>
  <c r="D5372" i="1"/>
  <c r="G5372" i="1"/>
  <c r="B6213" i="1"/>
  <c r="D6213" i="1"/>
  <c r="G6213" i="1"/>
  <c r="B2362" i="1"/>
  <c r="D2362" i="1"/>
  <c r="G2362" i="1"/>
  <c r="B21526" i="1"/>
  <c r="D21526" i="1"/>
  <c r="G21526" i="1"/>
  <c r="B5768" i="1"/>
  <c r="D5768" i="1"/>
  <c r="G5768" i="1"/>
  <c r="B6214" i="1"/>
  <c r="D6214" i="1"/>
  <c r="G6214" i="1"/>
  <c r="B6637" i="1"/>
  <c r="D6637" i="1"/>
  <c r="G6637" i="1"/>
  <c r="B4209" i="1"/>
  <c r="D4209" i="1"/>
  <c r="G4209" i="1"/>
  <c r="B1136" i="1"/>
  <c r="D1136" i="1"/>
  <c r="G1136" i="1"/>
  <c r="B6738" i="1"/>
  <c r="D6738" i="1"/>
  <c r="G6738" i="1"/>
  <c r="B3887" i="1"/>
  <c r="D3887" i="1"/>
  <c r="G3887" i="1"/>
  <c r="B5373" i="1"/>
  <c r="D5373" i="1"/>
  <c r="G5373" i="1"/>
  <c r="B3403" i="1"/>
  <c r="D3403" i="1"/>
  <c r="G3403" i="1"/>
  <c r="B3530" i="1"/>
  <c r="D3530" i="1"/>
  <c r="G3530" i="1"/>
  <c r="B20577" i="1"/>
  <c r="D20577" i="1"/>
  <c r="G20577" i="1"/>
  <c r="B2363" i="1"/>
  <c r="D2363" i="1"/>
  <c r="G2363" i="1"/>
  <c r="B2703" i="1"/>
  <c r="D2703" i="1"/>
  <c r="G2703" i="1"/>
  <c r="B6016" i="1"/>
  <c r="D6016" i="1"/>
  <c r="G6016" i="1"/>
  <c r="B943" i="1"/>
  <c r="D943" i="1"/>
  <c r="G943" i="1"/>
  <c r="B1137" i="1"/>
  <c r="D1137" i="1"/>
  <c r="G1137" i="1"/>
  <c r="B21246" i="1"/>
  <c r="D21246" i="1"/>
  <c r="G21246" i="1"/>
  <c r="B6617" i="1"/>
  <c r="D6617" i="1"/>
  <c r="G6617" i="1"/>
  <c r="B16415" i="1"/>
  <c r="D16415" i="1"/>
  <c r="G16415" i="1"/>
  <c r="B6215" i="1"/>
  <c r="D6215" i="1"/>
  <c r="G6215" i="1"/>
  <c r="B4391" i="1"/>
  <c r="D4391" i="1"/>
  <c r="G4391" i="1"/>
  <c r="B3531" i="1"/>
  <c r="D3531" i="1"/>
  <c r="G3531" i="1"/>
  <c r="B6017" i="1"/>
  <c r="D6017" i="1"/>
  <c r="G6017" i="1"/>
  <c r="B6739" i="1"/>
  <c r="D6739" i="1"/>
  <c r="G6739" i="1"/>
  <c r="B21890" i="1"/>
  <c r="D21890" i="1"/>
  <c r="G21890" i="1"/>
  <c r="B519" i="1"/>
  <c r="D519" i="1"/>
  <c r="G519" i="1"/>
  <c r="B5374" i="1"/>
  <c r="D5374" i="1"/>
  <c r="G5374" i="1"/>
  <c r="B5375" i="1"/>
  <c r="D5375" i="1"/>
  <c r="G5375" i="1"/>
  <c r="B6018" i="1"/>
  <c r="D6018" i="1"/>
  <c r="G6018" i="1"/>
  <c r="B6216" i="1"/>
  <c r="D6216" i="1"/>
  <c r="G6216" i="1"/>
  <c r="B6217" i="1"/>
  <c r="D6217" i="1"/>
  <c r="G6217" i="1"/>
  <c r="B6218" i="1"/>
  <c r="D6218" i="1"/>
  <c r="G6218" i="1"/>
  <c r="B1961" i="1"/>
  <c r="D1961" i="1"/>
  <c r="G1961" i="1"/>
  <c r="B7063" i="1"/>
  <c r="D7063" i="1"/>
  <c r="G7063" i="1"/>
  <c r="B7064" i="1"/>
  <c r="D7064" i="1"/>
  <c r="G7064" i="1"/>
  <c r="B3532" i="1"/>
  <c r="D3532" i="1"/>
  <c r="G3532" i="1"/>
  <c r="B3533" i="1"/>
  <c r="D3533" i="1"/>
  <c r="G3533" i="1"/>
  <c r="B3820" i="1"/>
  <c r="D3820" i="1"/>
  <c r="G3820" i="1"/>
  <c r="B5698" i="1"/>
  <c r="D5698" i="1"/>
  <c r="G5698" i="1"/>
  <c r="B520" i="1"/>
  <c r="D520" i="1"/>
  <c r="G520" i="1"/>
  <c r="B6992" i="1"/>
  <c r="D6992" i="1"/>
  <c r="G6992" i="1"/>
  <c r="B4708" i="1"/>
  <c r="D4708" i="1"/>
  <c r="G4708" i="1"/>
  <c r="B3724" i="1"/>
  <c r="D3724" i="1"/>
  <c r="G3724" i="1"/>
  <c r="B22133" i="1"/>
  <c r="D22133" i="1"/>
  <c r="G22133" i="1"/>
  <c r="B4608" i="1"/>
  <c r="D4608" i="1"/>
  <c r="G4608" i="1"/>
  <c r="B4789" i="1"/>
  <c r="D4789" i="1"/>
  <c r="G4789" i="1"/>
  <c r="B2704" i="1"/>
  <c r="D2704" i="1"/>
  <c r="G2704" i="1"/>
  <c r="B15009" i="1"/>
  <c r="D15009" i="1"/>
  <c r="G15009" i="1"/>
  <c r="B1138" i="1"/>
  <c r="D1138" i="1"/>
  <c r="G1138" i="1"/>
  <c r="B19977" i="1"/>
  <c r="D19977" i="1"/>
  <c r="G19977" i="1"/>
  <c r="B6740" i="1"/>
  <c r="D6740" i="1"/>
  <c r="G6740" i="1"/>
  <c r="B1139" i="1"/>
  <c r="D1139" i="1"/>
  <c r="G1139" i="1"/>
  <c r="B3534" i="1"/>
  <c r="D3534" i="1"/>
  <c r="G3534" i="1"/>
  <c r="B1602" i="1"/>
  <c r="D1602" i="1"/>
  <c r="G1602" i="1"/>
  <c r="B6019" i="1"/>
  <c r="D6019" i="1"/>
  <c r="G6019" i="1"/>
  <c r="B14204" i="1"/>
  <c r="D14204" i="1"/>
  <c r="G14204" i="1"/>
  <c r="B14205" i="1"/>
  <c r="D14205" i="1"/>
  <c r="G14205" i="1"/>
  <c r="B7275" i="1"/>
  <c r="D7275" i="1"/>
  <c r="G7275" i="1"/>
  <c r="B6219" i="1"/>
  <c r="D6219" i="1"/>
  <c r="G6219" i="1"/>
  <c r="B6220" i="1"/>
  <c r="D6220" i="1"/>
  <c r="G6220" i="1"/>
  <c r="B186" i="1"/>
  <c r="D186" i="1"/>
  <c r="G186" i="1"/>
  <c r="B2294" i="1"/>
  <c r="D2294" i="1"/>
  <c r="G2294" i="1"/>
  <c r="B6020" i="1"/>
  <c r="D6020" i="1"/>
  <c r="G6020" i="1"/>
  <c r="B4264" i="1"/>
  <c r="D4264" i="1"/>
  <c r="G4264" i="1"/>
  <c r="B9946" i="1"/>
  <c r="D9946" i="1"/>
  <c r="G9946" i="1"/>
  <c r="B521" i="1"/>
  <c r="D521" i="1"/>
  <c r="G521" i="1"/>
  <c r="B383" i="1"/>
  <c r="D383" i="1"/>
  <c r="G383" i="1"/>
  <c r="B3334" i="1"/>
  <c r="D3334" i="1"/>
  <c r="G3334" i="1"/>
  <c r="B3535" i="1"/>
  <c r="D3535" i="1"/>
  <c r="G3535" i="1"/>
  <c r="B16416" i="1"/>
  <c r="D16416" i="1"/>
  <c r="G16416" i="1"/>
  <c r="B9367" i="1"/>
  <c r="D9367" i="1"/>
  <c r="G9367" i="1"/>
  <c r="B690" i="1"/>
  <c r="D690" i="1"/>
  <c r="G690" i="1"/>
  <c r="B1603" i="1"/>
  <c r="D1603" i="1"/>
  <c r="G1603" i="1"/>
  <c r="B1604" i="1"/>
  <c r="D1604" i="1"/>
  <c r="G1604" i="1"/>
  <c r="B14681" i="1"/>
  <c r="D14681" i="1"/>
  <c r="G14681" i="1"/>
  <c r="B4312" i="1"/>
  <c r="D4312" i="1"/>
  <c r="G4312" i="1"/>
  <c r="B5196" i="1"/>
  <c r="D5196" i="1"/>
  <c r="G5196" i="1"/>
  <c r="B4609" i="1"/>
  <c r="D4609" i="1"/>
  <c r="G4609" i="1"/>
  <c r="B4464" i="1"/>
  <c r="D4464" i="1"/>
  <c r="G4464" i="1"/>
  <c r="B6079" i="1"/>
  <c r="D6079" i="1"/>
  <c r="G6079" i="1"/>
  <c r="B6080" i="1"/>
  <c r="D6080" i="1"/>
  <c r="G6080" i="1"/>
  <c r="B8100" i="1"/>
  <c r="D8100" i="1"/>
  <c r="G8100" i="1"/>
  <c r="B4236" i="1"/>
  <c r="D4236" i="1"/>
  <c r="G4236" i="1"/>
  <c r="B6638" i="1"/>
  <c r="D6638" i="1"/>
  <c r="G6638" i="1"/>
  <c r="B17716" i="1"/>
  <c r="D17716" i="1"/>
  <c r="G17716" i="1"/>
  <c r="B3019" i="1"/>
  <c r="D3019" i="1"/>
  <c r="G3019" i="1"/>
  <c r="B1605" i="1"/>
  <c r="D1605" i="1"/>
  <c r="G1605" i="1"/>
  <c r="B1606" i="1"/>
  <c r="D1606" i="1"/>
  <c r="G1606" i="1"/>
  <c r="B2705" i="1"/>
  <c r="D2705" i="1"/>
  <c r="G2705" i="1"/>
  <c r="B2706" i="1"/>
  <c r="D2706" i="1"/>
  <c r="G2706" i="1"/>
  <c r="B2707" i="1"/>
  <c r="D2707" i="1"/>
  <c r="G2707" i="1"/>
  <c r="B3888" i="1"/>
  <c r="D3888" i="1"/>
  <c r="G3888" i="1"/>
  <c r="B1140" i="1"/>
  <c r="D1140" i="1"/>
  <c r="G1140" i="1"/>
  <c r="B20079" i="1"/>
  <c r="D20079" i="1"/>
  <c r="G20079" i="1"/>
  <c r="B4709" i="1"/>
  <c r="D4709" i="1"/>
  <c r="G4709" i="1"/>
  <c r="B10025" i="1"/>
  <c r="D10025" i="1"/>
  <c r="G10025" i="1"/>
  <c r="B6221" i="1"/>
  <c r="D6221" i="1"/>
  <c r="G6221" i="1"/>
  <c r="B3536" i="1"/>
  <c r="D3536" i="1"/>
  <c r="G3536" i="1"/>
  <c r="B1557" i="1"/>
  <c r="D1557" i="1"/>
  <c r="G1557" i="1"/>
  <c r="B14292" i="1"/>
  <c r="D14292" i="1"/>
  <c r="G14292" i="1"/>
  <c r="B14293" i="1"/>
  <c r="D14293" i="1"/>
  <c r="G14293" i="1"/>
  <c r="B14467" i="1"/>
  <c r="D14467" i="1"/>
  <c r="G14467" i="1"/>
  <c r="B8741" i="1"/>
  <c r="D8741" i="1"/>
  <c r="G8741" i="1"/>
  <c r="B4246" i="1"/>
  <c r="D4246" i="1"/>
  <c r="G4246" i="1"/>
  <c r="B4710" i="1"/>
  <c r="D4710" i="1"/>
  <c r="G4710" i="1"/>
  <c r="B857" i="1"/>
  <c r="D857" i="1"/>
  <c r="G857" i="1"/>
  <c r="B6222" i="1"/>
  <c r="D6222" i="1"/>
  <c r="G6222" i="1"/>
  <c r="B3537" i="1"/>
  <c r="D3537" i="1"/>
  <c r="G3537" i="1"/>
  <c r="B4490" i="1"/>
  <c r="D4490" i="1"/>
  <c r="G4490" i="1"/>
  <c r="B7755" i="1"/>
  <c r="D7755" i="1"/>
  <c r="G7755" i="1"/>
  <c r="B19464" i="1"/>
  <c r="D19464" i="1"/>
  <c r="G19464" i="1"/>
  <c r="B1607" i="1"/>
  <c r="D1607" i="1"/>
  <c r="G1607" i="1"/>
  <c r="B1608" i="1"/>
  <c r="D1608" i="1"/>
  <c r="G1608" i="1"/>
  <c r="B5376" i="1"/>
  <c r="D5376" i="1"/>
  <c r="G5376" i="1"/>
  <c r="B456" i="1"/>
  <c r="D456" i="1"/>
  <c r="G456" i="1"/>
  <c r="B3335" i="1"/>
  <c r="D3335" i="1"/>
  <c r="G3335" i="1"/>
  <c r="B2708" i="1"/>
  <c r="D2708" i="1"/>
  <c r="G2708" i="1"/>
  <c r="B20795" i="1"/>
  <c r="D20795" i="1"/>
  <c r="G20795" i="1"/>
  <c r="B19180" i="1"/>
  <c r="D19180" i="1"/>
  <c r="G19180" i="1"/>
  <c r="B6639" i="1"/>
  <c r="D6639" i="1"/>
  <c r="G6639" i="1"/>
  <c r="B1397" i="1"/>
  <c r="D1397" i="1"/>
  <c r="G1397" i="1"/>
  <c r="B100" i="1"/>
  <c r="D100" i="1"/>
  <c r="G100" i="1"/>
  <c r="B940" i="1"/>
  <c r="D940" i="1"/>
  <c r="G940" i="1"/>
  <c r="B247" i="1"/>
  <c r="D247" i="1"/>
  <c r="G247" i="1"/>
  <c r="B12026" i="1"/>
  <c r="D12026" i="1"/>
  <c r="G12026" i="1"/>
  <c r="B3293" i="1"/>
  <c r="D3293" i="1"/>
  <c r="G3293" i="1"/>
  <c r="B10208" i="1"/>
  <c r="D10208" i="1"/>
  <c r="G10208" i="1"/>
  <c r="B10209" i="1"/>
  <c r="D10209" i="1"/>
  <c r="G10209" i="1"/>
  <c r="B4408" i="1"/>
  <c r="D4408" i="1"/>
  <c r="G4408" i="1"/>
  <c r="B6223" i="1"/>
  <c r="D6223" i="1"/>
  <c r="G6223" i="1"/>
  <c r="B6224" i="1"/>
  <c r="D6224" i="1"/>
  <c r="G6224" i="1"/>
  <c r="B522" i="1"/>
  <c r="D522" i="1"/>
  <c r="G522" i="1"/>
  <c r="B4711" i="1"/>
  <c r="D4711" i="1"/>
  <c r="G4711" i="1"/>
  <c r="B3538" i="1"/>
  <c r="D3538" i="1"/>
  <c r="G3538" i="1"/>
  <c r="B4610" i="1"/>
  <c r="D4610" i="1"/>
  <c r="G4610" i="1"/>
  <c r="B22023" i="1"/>
  <c r="D22023" i="1"/>
  <c r="G22023" i="1"/>
  <c r="B5377" i="1"/>
  <c r="D5377" i="1"/>
  <c r="G5377" i="1"/>
  <c r="B4465" i="1"/>
  <c r="D4465" i="1"/>
  <c r="G4465" i="1"/>
  <c r="B2295" i="1"/>
  <c r="D2295" i="1"/>
  <c r="G2295" i="1"/>
  <c r="B6021" i="1"/>
  <c r="D6021" i="1"/>
  <c r="G6021" i="1"/>
  <c r="B2709" i="1"/>
  <c r="D2709" i="1"/>
  <c r="G2709" i="1"/>
  <c r="B7756" i="1"/>
  <c r="D7756" i="1"/>
  <c r="G7756" i="1"/>
  <c r="B3539" i="1"/>
  <c r="D3539" i="1"/>
  <c r="G3539" i="1"/>
  <c r="B7757" i="1"/>
  <c r="D7757" i="1"/>
  <c r="G7757" i="1"/>
  <c r="B7758" i="1"/>
  <c r="D7758" i="1"/>
  <c r="G7758" i="1"/>
  <c r="B962" i="1"/>
  <c r="D962" i="1"/>
  <c r="G962" i="1"/>
  <c r="B349" i="1"/>
  <c r="D349" i="1"/>
  <c r="G349" i="1"/>
  <c r="B4313" i="1"/>
  <c r="D4313" i="1"/>
  <c r="G4313" i="1"/>
  <c r="B6856" i="1"/>
  <c r="D6856" i="1"/>
  <c r="G6856" i="1"/>
  <c r="B8742" i="1"/>
  <c r="D8742" i="1"/>
  <c r="G8742" i="1"/>
  <c r="B3540" i="1"/>
  <c r="D3540" i="1"/>
  <c r="G3540" i="1"/>
  <c r="B6477" i="1"/>
  <c r="D6477" i="1"/>
  <c r="G6477" i="1"/>
  <c r="B1962" i="1"/>
  <c r="D1962" i="1"/>
  <c r="G1962" i="1"/>
  <c r="B2710" i="1"/>
  <c r="D2710" i="1"/>
  <c r="G2710" i="1"/>
  <c r="B13387" i="1"/>
  <c r="D13387" i="1"/>
  <c r="G13387" i="1"/>
  <c r="B3020" i="1"/>
  <c r="D3020" i="1"/>
  <c r="G3020" i="1"/>
  <c r="B2364" i="1"/>
  <c r="D2364" i="1"/>
  <c r="G2364" i="1"/>
  <c r="B1609" i="1"/>
  <c r="D1609" i="1"/>
  <c r="G1609" i="1"/>
  <c r="B5097" i="1"/>
  <c r="D5097" i="1"/>
  <c r="G5097" i="1"/>
  <c r="B5197" i="1"/>
  <c r="D5197" i="1"/>
  <c r="G5197" i="1"/>
  <c r="B5699" i="1"/>
  <c r="D5699" i="1"/>
  <c r="G5699" i="1"/>
  <c r="B2453" i="1"/>
  <c r="D2453" i="1"/>
  <c r="G2453" i="1"/>
  <c r="B7450" i="1"/>
  <c r="D7450" i="1"/>
  <c r="G7450" i="1"/>
  <c r="B2711" i="1"/>
  <c r="D2711" i="1"/>
  <c r="G2711" i="1"/>
  <c r="B10068" i="1"/>
  <c r="D10068" i="1"/>
  <c r="G10068" i="1"/>
  <c r="B3725" i="1"/>
  <c r="D3725" i="1"/>
  <c r="G3725" i="1"/>
  <c r="B3541" i="1"/>
  <c r="D3541" i="1"/>
  <c r="G3541" i="1"/>
  <c r="B5142" i="1"/>
  <c r="D5142" i="1"/>
  <c r="G5142" i="1"/>
  <c r="B3308" i="1"/>
  <c r="D3308" i="1"/>
  <c r="G3308" i="1"/>
  <c r="B3542" i="1"/>
  <c r="D3542" i="1"/>
  <c r="G3542" i="1"/>
  <c r="B4790" i="1"/>
  <c r="D4790" i="1"/>
  <c r="G4790" i="1"/>
  <c r="B2712" i="1"/>
  <c r="D2712" i="1"/>
  <c r="G2712" i="1"/>
  <c r="B5700" i="1"/>
  <c r="D5700" i="1"/>
  <c r="G5700" i="1"/>
  <c r="B5701" i="1"/>
  <c r="D5701" i="1"/>
  <c r="G5701" i="1"/>
  <c r="B9117" i="1"/>
  <c r="D9117" i="1"/>
  <c r="G9117" i="1"/>
  <c r="B46" i="1"/>
  <c r="D46" i="1"/>
  <c r="G46" i="1"/>
  <c r="B3543" i="1"/>
  <c r="D3543" i="1"/>
  <c r="G3543" i="1"/>
  <c r="B1481" i="1"/>
  <c r="D1481" i="1"/>
  <c r="G1481" i="1"/>
  <c r="B2713" i="1"/>
  <c r="D2713" i="1"/>
  <c r="G2713" i="1"/>
  <c r="B2179" i="1"/>
  <c r="D2179" i="1"/>
  <c r="G2179" i="1"/>
  <c r="B5378" i="1"/>
  <c r="D5378" i="1"/>
  <c r="G5378" i="1"/>
  <c r="B4611" i="1"/>
  <c r="D4611" i="1"/>
  <c r="G4611" i="1"/>
  <c r="B6558" i="1"/>
  <c r="D6558" i="1"/>
  <c r="G6558" i="1"/>
  <c r="B1871" i="1"/>
  <c r="D1871" i="1"/>
  <c r="G1871" i="1"/>
  <c r="B1963" i="1"/>
  <c r="D1963" i="1"/>
  <c r="G1963" i="1"/>
  <c r="B2499" i="1"/>
  <c r="D2499" i="1"/>
  <c r="G2499" i="1"/>
  <c r="B21891" i="1"/>
  <c r="D21891" i="1"/>
  <c r="G21891" i="1"/>
  <c r="B3821" i="1"/>
  <c r="D3821" i="1"/>
  <c r="G3821" i="1"/>
  <c r="B2714" i="1"/>
  <c r="D2714" i="1"/>
  <c r="G2714" i="1"/>
  <c r="B9647" i="1"/>
  <c r="D9647" i="1"/>
  <c r="G9647" i="1"/>
  <c r="B9648" i="1"/>
  <c r="D9648" i="1"/>
  <c r="G9648" i="1"/>
  <c r="B324" i="1"/>
  <c r="D324" i="1"/>
  <c r="G324" i="1"/>
  <c r="B5769" i="1"/>
  <c r="D5769" i="1"/>
  <c r="G5769" i="1"/>
  <c r="B3544" i="1"/>
  <c r="D3544" i="1"/>
  <c r="G3544" i="1"/>
  <c r="B13545" i="1"/>
  <c r="D13545" i="1"/>
  <c r="G13545" i="1"/>
  <c r="B15444" i="1"/>
  <c r="D15444" i="1"/>
  <c r="G15444" i="1"/>
  <c r="B15869" i="1"/>
  <c r="D15869" i="1"/>
  <c r="G15869" i="1"/>
  <c r="B18846" i="1"/>
  <c r="D18846" i="1"/>
  <c r="G18846" i="1"/>
  <c r="B2119" i="1"/>
  <c r="D2119" i="1"/>
  <c r="G2119" i="1"/>
  <c r="B4712" i="1"/>
  <c r="D4712" i="1"/>
  <c r="G4712" i="1"/>
  <c r="B4385" i="1"/>
  <c r="D4385" i="1"/>
  <c r="G4385" i="1"/>
  <c r="B4077" i="1"/>
  <c r="D4077" i="1"/>
  <c r="G4077" i="1"/>
  <c r="B1141" i="1"/>
  <c r="D1141" i="1"/>
  <c r="G1141" i="1"/>
  <c r="B3889" i="1"/>
  <c r="D3889" i="1"/>
  <c r="G3889" i="1"/>
  <c r="B4409" i="1"/>
  <c r="D4409" i="1"/>
  <c r="G4409" i="1"/>
  <c r="B21690" i="1"/>
  <c r="D21690" i="1"/>
  <c r="G21690" i="1"/>
  <c r="B2715" i="1"/>
  <c r="D2715" i="1"/>
  <c r="G2715" i="1"/>
  <c r="B1610" i="1"/>
  <c r="D1610" i="1"/>
  <c r="G1610" i="1"/>
  <c r="B1611" i="1"/>
  <c r="D1611" i="1"/>
  <c r="G1611" i="1"/>
  <c r="B2296" i="1"/>
  <c r="D2296" i="1"/>
  <c r="G2296" i="1"/>
  <c r="B6022" i="1"/>
  <c r="D6022" i="1"/>
  <c r="G6022" i="1"/>
  <c r="B1612" i="1"/>
  <c r="D1612" i="1"/>
  <c r="G1612" i="1"/>
  <c r="B1613" i="1"/>
  <c r="D1613" i="1"/>
  <c r="G1613" i="1"/>
  <c r="B4906" i="1"/>
  <c r="D4906" i="1"/>
  <c r="G4906" i="1"/>
  <c r="B2716" i="1"/>
  <c r="D2716" i="1"/>
  <c r="G2716" i="1"/>
  <c r="B4713" i="1"/>
  <c r="D4713" i="1"/>
  <c r="G4713" i="1"/>
  <c r="B17297" i="1"/>
  <c r="D17297" i="1"/>
  <c r="G17297" i="1"/>
  <c r="B11315" i="1"/>
  <c r="D11315" i="1"/>
  <c r="G11315" i="1"/>
  <c r="B5198" i="1"/>
  <c r="D5198" i="1"/>
  <c r="G5198" i="1"/>
  <c r="B21073" i="1"/>
  <c r="D21073" i="1"/>
  <c r="G21073" i="1"/>
  <c r="B1142" i="1"/>
  <c r="D1142" i="1"/>
  <c r="G1142" i="1"/>
  <c r="B2717" i="1"/>
  <c r="D2717" i="1"/>
  <c r="G2717" i="1"/>
  <c r="B7759" i="1"/>
  <c r="D7759" i="1"/>
  <c r="G7759" i="1"/>
  <c r="B7451" i="1"/>
  <c r="D7451" i="1"/>
  <c r="G7451" i="1"/>
  <c r="B7310" i="1"/>
  <c r="D7310" i="1"/>
  <c r="G7310" i="1"/>
  <c r="B4529" i="1"/>
  <c r="D4529" i="1"/>
  <c r="G4529" i="1"/>
  <c r="B1398" i="1"/>
  <c r="D1398" i="1"/>
  <c r="G1398" i="1"/>
  <c r="B523" i="1"/>
  <c r="D523" i="1"/>
  <c r="G523" i="1"/>
  <c r="B5702" i="1"/>
  <c r="D5702" i="1"/>
  <c r="G5702" i="1"/>
  <c r="B4714" i="1"/>
  <c r="D4714" i="1"/>
  <c r="G4714" i="1"/>
  <c r="B5276" i="1"/>
  <c r="D5276" i="1"/>
  <c r="G5276" i="1"/>
  <c r="B1143" i="1"/>
  <c r="D1143" i="1"/>
  <c r="G1143" i="1"/>
  <c r="B2718" i="1"/>
  <c r="D2718" i="1"/>
  <c r="G2718" i="1"/>
  <c r="B28" i="1"/>
  <c r="D28" i="1"/>
  <c r="G28" i="1"/>
  <c r="B1399" i="1"/>
  <c r="D1399" i="1"/>
  <c r="G1399" i="1"/>
  <c r="B524" i="1"/>
  <c r="D524" i="1"/>
  <c r="G524" i="1"/>
  <c r="B11386" i="1"/>
  <c r="D11386" i="1"/>
  <c r="G11386" i="1"/>
  <c r="B1144" i="1"/>
  <c r="D1144" i="1"/>
  <c r="G1144" i="1"/>
  <c r="B8053" i="1"/>
  <c r="D8053" i="1"/>
  <c r="G8053" i="1"/>
  <c r="B4048" i="1"/>
  <c r="D4048" i="1"/>
  <c r="G4048" i="1"/>
  <c r="B15010" i="1"/>
  <c r="D15010" i="1"/>
  <c r="G15010" i="1"/>
  <c r="B101" i="1"/>
  <c r="D101" i="1"/>
  <c r="G101" i="1"/>
  <c r="B350" i="1"/>
  <c r="D350" i="1"/>
  <c r="G350" i="1"/>
  <c r="B945" i="1"/>
  <c r="D945" i="1"/>
  <c r="G945" i="1"/>
  <c r="B17274" i="1"/>
  <c r="D17274" i="1"/>
  <c r="G17274" i="1"/>
  <c r="B15445" i="1"/>
  <c r="D15445" i="1"/>
  <c r="G15445" i="1"/>
  <c r="B4314" i="1"/>
  <c r="D4314" i="1"/>
  <c r="G4314" i="1"/>
  <c r="B6857" i="1"/>
  <c r="D6857" i="1"/>
  <c r="G6857" i="1"/>
  <c r="B3545" i="1"/>
  <c r="D3545" i="1"/>
  <c r="G3545" i="1"/>
  <c r="B3379" i="1"/>
  <c r="D3379" i="1"/>
  <c r="G3379" i="1"/>
  <c r="B1033" i="1"/>
  <c r="D1033" i="1"/>
  <c r="G1033" i="1"/>
  <c r="B8235" i="1"/>
  <c r="D8235" i="1"/>
  <c r="G8235" i="1"/>
  <c r="B6478" i="1"/>
  <c r="D6478" i="1"/>
  <c r="G6478" i="1"/>
  <c r="B2206" i="1"/>
  <c r="D2206" i="1"/>
  <c r="G2206" i="1"/>
  <c r="B187" i="1"/>
  <c r="D187" i="1"/>
  <c r="G187" i="1"/>
  <c r="B4612" i="1"/>
  <c r="D4612" i="1"/>
  <c r="G4612" i="1"/>
  <c r="B7065" i="1"/>
  <c r="D7065" i="1"/>
  <c r="G7065" i="1"/>
  <c r="B19465" i="1"/>
  <c r="D19465" i="1"/>
  <c r="G19465" i="1"/>
  <c r="B3890" i="1"/>
  <c r="D3890" i="1"/>
  <c r="G3890" i="1"/>
  <c r="B3891" i="1"/>
  <c r="D3891" i="1"/>
  <c r="G3891" i="1"/>
  <c r="B1145" i="1"/>
  <c r="D1145" i="1"/>
  <c r="G1145" i="1"/>
  <c r="B1146" i="1"/>
  <c r="D1146" i="1"/>
  <c r="G1146" i="1"/>
  <c r="B1147" i="1"/>
  <c r="D1147" i="1"/>
  <c r="G1147" i="1"/>
  <c r="B5845" i="1"/>
  <c r="D5845" i="1"/>
  <c r="G5845" i="1"/>
  <c r="B4210" i="1"/>
  <c r="D4210" i="1"/>
  <c r="G4210" i="1"/>
  <c r="B4247" i="1"/>
  <c r="D4247" i="1"/>
  <c r="G4247" i="1"/>
  <c r="B8166" i="1"/>
  <c r="D8166" i="1"/>
  <c r="G8166" i="1"/>
  <c r="B1534" i="1"/>
  <c r="D1534" i="1"/>
  <c r="G1534" i="1"/>
  <c r="B11772" i="1"/>
  <c r="D11772" i="1"/>
  <c r="G11772" i="1"/>
  <c r="B2719" i="1"/>
  <c r="D2719" i="1"/>
  <c r="G2719" i="1"/>
  <c r="B2194" i="1"/>
  <c r="D2194" i="1"/>
  <c r="G2194" i="1"/>
  <c r="B70" i="1"/>
  <c r="D70" i="1"/>
  <c r="G70" i="1"/>
  <c r="B3411" i="1"/>
  <c r="D3411" i="1"/>
  <c r="G3411" i="1"/>
  <c r="B2720" i="1"/>
  <c r="D2720" i="1"/>
  <c r="G2720" i="1"/>
  <c r="B5379" i="1"/>
  <c r="D5379" i="1"/>
  <c r="G5379" i="1"/>
  <c r="B1614" i="1"/>
  <c r="D1614" i="1"/>
  <c r="G1614" i="1"/>
  <c r="B7760" i="1"/>
  <c r="D7760" i="1"/>
  <c r="G7760" i="1"/>
  <c r="B7452" i="1"/>
  <c r="D7452" i="1"/>
  <c r="G7452" i="1"/>
  <c r="B2365" i="1"/>
  <c r="D2365" i="1"/>
  <c r="G2365" i="1"/>
  <c r="B4613" i="1"/>
  <c r="D4613" i="1"/>
  <c r="G4613" i="1"/>
  <c r="B4466" i="1"/>
  <c r="D4466" i="1"/>
  <c r="G4466" i="1"/>
  <c r="B3546" i="1"/>
  <c r="D3546" i="1"/>
  <c r="G3546" i="1"/>
  <c r="B1427" i="1"/>
  <c r="D1427" i="1"/>
  <c r="G1427" i="1"/>
  <c r="B4943" i="1"/>
  <c r="D4943" i="1"/>
  <c r="G4943" i="1"/>
  <c r="B5199" i="1"/>
  <c r="D5199" i="1"/>
  <c r="G5199" i="1"/>
  <c r="B6225" i="1"/>
  <c r="D6225" i="1"/>
  <c r="G6225" i="1"/>
  <c r="B7066" i="1"/>
  <c r="D7066" i="1"/>
  <c r="G7066" i="1"/>
  <c r="B2721" i="1"/>
  <c r="D2721" i="1"/>
  <c r="G2721" i="1"/>
  <c r="B4715" i="1"/>
  <c r="D4715" i="1"/>
  <c r="G4715" i="1"/>
  <c r="B2722" i="1"/>
  <c r="D2722" i="1"/>
  <c r="G2722" i="1"/>
  <c r="B2723" i="1"/>
  <c r="D2723" i="1"/>
  <c r="G2723" i="1"/>
  <c r="B1148" i="1"/>
  <c r="D1148" i="1"/>
  <c r="G1148" i="1"/>
  <c r="B2724" i="1"/>
  <c r="D2724" i="1"/>
  <c r="G2724" i="1"/>
  <c r="B3298" i="1"/>
  <c r="D3298" i="1"/>
  <c r="G3298" i="1"/>
  <c r="B10060" i="1"/>
  <c r="D10060" i="1"/>
  <c r="G10060" i="1"/>
  <c r="B7311" i="1"/>
  <c r="D7311" i="1"/>
  <c r="G7311" i="1"/>
  <c r="B3822" i="1"/>
  <c r="D3822" i="1"/>
  <c r="G3822" i="1"/>
  <c r="B21691" i="1"/>
  <c r="D21691" i="1"/>
  <c r="G21691" i="1"/>
  <c r="B2725" i="1"/>
  <c r="D2725" i="1"/>
  <c r="G2725" i="1"/>
  <c r="B5380" i="1"/>
  <c r="D5380" i="1"/>
  <c r="G5380" i="1"/>
  <c r="B1149" i="1"/>
  <c r="D1149" i="1"/>
  <c r="G1149" i="1"/>
  <c r="B16417" i="1"/>
  <c r="D16417" i="1"/>
  <c r="G16417" i="1"/>
  <c r="B525" i="1"/>
  <c r="D525" i="1"/>
  <c r="G525" i="1"/>
  <c r="B8101" i="1"/>
  <c r="D8101" i="1"/>
  <c r="G8101" i="1"/>
  <c r="B9118" i="1"/>
  <c r="D9118" i="1"/>
  <c r="G9118" i="1"/>
  <c r="B3892" i="1"/>
  <c r="D3892" i="1"/>
  <c r="G3892" i="1"/>
  <c r="B3893" i="1"/>
  <c r="D3893" i="1"/>
  <c r="G3893" i="1"/>
  <c r="B5381" i="1"/>
  <c r="D5381" i="1"/>
  <c r="G5381" i="1"/>
  <c r="B7761" i="1"/>
  <c r="D7761" i="1"/>
  <c r="G7761" i="1"/>
  <c r="B8310" i="1"/>
  <c r="D8310" i="1"/>
  <c r="G8310" i="1"/>
  <c r="B7453" i="1"/>
  <c r="D7453" i="1"/>
  <c r="G7453" i="1"/>
  <c r="B7312" i="1"/>
  <c r="D7312" i="1"/>
  <c r="G7312" i="1"/>
  <c r="B7158" i="1"/>
  <c r="D7158" i="1"/>
  <c r="G7158" i="1"/>
  <c r="B4315" i="1"/>
  <c r="D4315" i="1"/>
  <c r="G4315" i="1"/>
  <c r="B2297" i="1"/>
  <c r="D2297" i="1"/>
  <c r="G2297" i="1"/>
  <c r="B6023" i="1"/>
  <c r="D6023" i="1"/>
  <c r="G6023" i="1"/>
  <c r="B3547" i="1"/>
  <c r="D3547" i="1"/>
  <c r="G3547" i="1"/>
  <c r="B7762" i="1"/>
  <c r="D7762" i="1"/>
  <c r="G7762" i="1"/>
  <c r="B10210" i="1"/>
  <c r="D10210" i="1"/>
  <c r="G10210" i="1"/>
  <c r="B10211" i="1"/>
  <c r="D10211" i="1"/>
  <c r="G10211" i="1"/>
  <c r="B1615" i="1"/>
  <c r="D1615" i="1"/>
  <c r="G1615" i="1"/>
  <c r="B15011" i="1"/>
  <c r="D15011" i="1"/>
  <c r="G15011" i="1"/>
  <c r="B10271" i="1"/>
  <c r="D10271" i="1"/>
  <c r="G10271" i="1"/>
  <c r="B1150" i="1"/>
  <c r="D1150" i="1"/>
  <c r="G1150" i="1"/>
  <c r="B3548" i="1"/>
  <c r="D3548" i="1"/>
  <c r="G3548" i="1"/>
  <c r="B2726" i="1"/>
  <c r="D2726" i="1"/>
  <c r="G2726" i="1"/>
  <c r="B6479" i="1"/>
  <c r="D6479" i="1"/>
  <c r="G6479" i="1"/>
  <c r="B3214" i="1"/>
  <c r="D3214" i="1"/>
  <c r="G3214" i="1"/>
  <c r="B2727" i="1"/>
  <c r="D2727" i="1"/>
  <c r="G2727" i="1"/>
  <c r="B8743" i="1"/>
  <c r="D8743" i="1"/>
  <c r="G8743" i="1"/>
  <c r="B2728" i="1"/>
  <c r="D2728" i="1"/>
  <c r="G2728" i="1"/>
  <c r="B1151" i="1"/>
  <c r="D1151" i="1"/>
  <c r="G1151" i="1"/>
  <c r="B1152" i="1"/>
  <c r="D1152" i="1"/>
  <c r="G1152" i="1"/>
  <c r="B15" i="1"/>
  <c r="D15" i="1"/>
  <c r="G15" i="1"/>
  <c r="B4614" i="1"/>
  <c r="D4614" i="1"/>
  <c r="G4614" i="1"/>
  <c r="B17381" i="1"/>
  <c r="D17381" i="1"/>
  <c r="G17381" i="1"/>
  <c r="B11324" i="1"/>
  <c r="D11324" i="1"/>
  <c r="G11324" i="1"/>
  <c r="B11325" i="1"/>
  <c r="D11325" i="1"/>
  <c r="G11325" i="1"/>
  <c r="B3549" i="1"/>
  <c r="D3549" i="1"/>
  <c r="G3549" i="1"/>
  <c r="B38" i="1"/>
  <c r="D38" i="1"/>
  <c r="G38" i="1"/>
  <c r="B1450" i="1"/>
  <c r="D1450" i="1"/>
  <c r="G1450" i="1"/>
  <c r="B957" i="1"/>
  <c r="D957" i="1"/>
  <c r="G957" i="1"/>
  <c r="B14482" i="1"/>
  <c r="D14482" i="1"/>
  <c r="G14482" i="1"/>
  <c r="B8167" i="1"/>
  <c r="D8167" i="1"/>
  <c r="G8167" i="1"/>
  <c r="B20578" i="1"/>
  <c r="D20578" i="1"/>
  <c r="G20578" i="1"/>
  <c r="B3726" i="1"/>
  <c r="D3726" i="1"/>
  <c r="G3726" i="1"/>
  <c r="B4615" i="1"/>
  <c r="D4615" i="1"/>
  <c r="G4615" i="1"/>
  <c r="B5382" i="1"/>
  <c r="D5382" i="1"/>
  <c r="G5382" i="1"/>
  <c r="B7763" i="1"/>
  <c r="D7763" i="1"/>
  <c r="G7763" i="1"/>
  <c r="B384" i="1"/>
  <c r="D384" i="1"/>
  <c r="G384" i="1"/>
  <c r="B5846" i="1"/>
  <c r="D5846" i="1"/>
  <c r="G5846" i="1"/>
  <c r="B15723" i="1"/>
  <c r="D15723" i="1"/>
  <c r="G15723" i="1"/>
  <c r="B5703" i="1"/>
  <c r="D5703" i="1"/>
  <c r="G5703" i="1"/>
  <c r="B4944" i="1"/>
  <c r="D4944" i="1"/>
  <c r="G4944" i="1"/>
  <c r="B2729" i="1"/>
  <c r="D2729" i="1"/>
  <c r="G2729" i="1"/>
  <c r="B8457" i="1"/>
  <c r="D8457" i="1"/>
  <c r="G8457" i="1"/>
  <c r="B8458" i="1"/>
  <c r="D8458" i="1"/>
  <c r="G8458" i="1"/>
  <c r="B3550" i="1"/>
  <c r="D3550" i="1"/>
  <c r="G3550" i="1"/>
  <c r="B8744" i="1"/>
  <c r="D8744" i="1"/>
  <c r="G8744" i="1"/>
  <c r="B3336" i="1"/>
  <c r="D3336" i="1"/>
  <c r="G3336" i="1"/>
  <c r="B17382" i="1"/>
  <c r="D17382" i="1"/>
  <c r="G17382" i="1"/>
  <c r="B872" i="1"/>
  <c r="D872" i="1"/>
  <c r="G872" i="1"/>
  <c r="B873" i="1"/>
  <c r="D873" i="1"/>
  <c r="G873" i="1"/>
  <c r="B4616" i="1"/>
  <c r="D4616" i="1"/>
  <c r="G4616" i="1"/>
  <c r="B4316" i="1"/>
  <c r="D4316" i="1"/>
  <c r="G4316" i="1"/>
  <c r="B5588" i="1"/>
  <c r="D5588" i="1"/>
  <c r="G5588" i="1"/>
  <c r="B5589" i="1"/>
  <c r="D5589" i="1"/>
  <c r="G5589" i="1"/>
  <c r="B2730" i="1"/>
  <c r="D2730" i="1"/>
  <c r="G2730" i="1"/>
  <c r="B8745" i="1"/>
  <c r="D8745" i="1"/>
  <c r="G8745" i="1"/>
  <c r="B5383" i="1"/>
  <c r="D5383" i="1"/>
  <c r="G5383" i="1"/>
  <c r="B8" i="1"/>
  <c r="D8" i="1"/>
  <c r="G8" i="1"/>
  <c r="B7454" i="1"/>
  <c r="D7454" i="1"/>
  <c r="G7454" i="1"/>
  <c r="B8311" i="1"/>
  <c r="D8311" i="1"/>
  <c r="G8311" i="1"/>
  <c r="B1153" i="1"/>
  <c r="D1153" i="1"/>
  <c r="G1153" i="1"/>
  <c r="B7159" i="1"/>
  <c r="D7159" i="1"/>
  <c r="G7159" i="1"/>
  <c r="B7160" i="1"/>
  <c r="D7160" i="1"/>
  <c r="G7160" i="1"/>
  <c r="B7764" i="1"/>
  <c r="D7764" i="1"/>
  <c r="G7764" i="1"/>
  <c r="B7765" i="1"/>
  <c r="D7765" i="1"/>
  <c r="G7765" i="1"/>
  <c r="B7766" i="1"/>
  <c r="D7766" i="1"/>
  <c r="G7766" i="1"/>
  <c r="B20579" i="1"/>
  <c r="D20579" i="1"/>
  <c r="G20579" i="1"/>
  <c r="B16418" i="1"/>
  <c r="D16418" i="1"/>
  <c r="G16418" i="1"/>
  <c r="B5384" i="1"/>
  <c r="D5384" i="1"/>
  <c r="G5384" i="1"/>
  <c r="B5385" i="1"/>
  <c r="D5385" i="1"/>
  <c r="G5385" i="1"/>
  <c r="B4050" i="1"/>
  <c r="D4050" i="1"/>
  <c r="G4050" i="1"/>
  <c r="B3551" i="1"/>
  <c r="D3551" i="1"/>
  <c r="G3551" i="1"/>
  <c r="B1872" i="1"/>
  <c r="D1872" i="1"/>
  <c r="G1872" i="1"/>
  <c r="B6226" i="1"/>
  <c r="D6226" i="1"/>
  <c r="G6226" i="1"/>
  <c r="B6227" i="1"/>
  <c r="D6227" i="1"/>
  <c r="G6227" i="1"/>
  <c r="B8102" i="1"/>
  <c r="D8102" i="1"/>
  <c r="G8102" i="1"/>
  <c r="B8386" i="1"/>
  <c r="D8386" i="1"/>
  <c r="G8386" i="1"/>
  <c r="B7161" i="1"/>
  <c r="D7161" i="1"/>
  <c r="G7161" i="1"/>
  <c r="B7162" i="1"/>
  <c r="D7162" i="1"/>
  <c r="G7162" i="1"/>
  <c r="B385" i="1"/>
  <c r="D385" i="1"/>
  <c r="G385" i="1"/>
  <c r="B11279" i="1"/>
  <c r="D11279" i="1"/>
  <c r="G11279" i="1"/>
  <c r="B7455" i="1"/>
  <c r="D7455" i="1"/>
  <c r="G7455" i="1"/>
  <c r="B8236" i="1"/>
  <c r="D8236" i="1"/>
  <c r="G8236" i="1"/>
  <c r="B4159" i="1"/>
  <c r="D4159" i="1"/>
  <c r="G4159" i="1"/>
  <c r="B4317" i="1"/>
  <c r="D4317" i="1"/>
  <c r="G4317" i="1"/>
  <c r="B3552" i="1"/>
  <c r="D3552" i="1"/>
  <c r="G3552" i="1"/>
  <c r="B3894" i="1"/>
  <c r="D3894" i="1"/>
  <c r="G3894" i="1"/>
  <c r="B6228" i="1"/>
  <c r="D6228" i="1"/>
  <c r="G6228" i="1"/>
  <c r="B8103" i="1"/>
  <c r="D8103" i="1"/>
  <c r="G8103" i="1"/>
  <c r="B5672" i="1"/>
  <c r="D5672" i="1"/>
  <c r="G5672" i="1"/>
  <c r="B5673" i="1"/>
  <c r="D5673" i="1"/>
  <c r="G5673" i="1"/>
  <c r="B772" i="1"/>
  <c r="D772" i="1"/>
  <c r="G772" i="1"/>
  <c r="B2731" i="1"/>
  <c r="D2731" i="1"/>
  <c r="G2731" i="1"/>
  <c r="B1154" i="1"/>
  <c r="D1154" i="1"/>
  <c r="G1154" i="1"/>
  <c r="B8459" i="1"/>
  <c r="D8459" i="1"/>
  <c r="G8459" i="1"/>
  <c r="B8460" i="1"/>
  <c r="D8460" i="1"/>
  <c r="G8460" i="1"/>
  <c r="B2732" i="1"/>
  <c r="D2732" i="1"/>
  <c r="G2732" i="1"/>
  <c r="B773" i="1"/>
  <c r="D773" i="1"/>
  <c r="G773" i="1"/>
  <c r="B5847" i="1"/>
  <c r="D5847" i="1"/>
  <c r="G5847" i="1"/>
  <c r="B11513" i="1"/>
  <c r="D11513" i="1"/>
  <c r="G11513" i="1"/>
  <c r="B11514" i="1"/>
  <c r="D11514" i="1"/>
  <c r="G11514" i="1"/>
  <c r="B11660" i="1"/>
  <c r="D11660" i="1"/>
  <c r="G11660" i="1"/>
  <c r="B11661" i="1"/>
  <c r="D11661" i="1"/>
  <c r="G11661" i="1"/>
  <c r="B7456" i="1"/>
  <c r="D7456" i="1"/>
  <c r="G7456" i="1"/>
  <c r="B2298" i="1"/>
  <c r="D2298" i="1"/>
  <c r="G2298" i="1"/>
  <c r="B6024" i="1"/>
  <c r="D6024" i="1"/>
  <c r="G6024" i="1"/>
  <c r="B19978" i="1"/>
  <c r="D19978" i="1"/>
  <c r="G19978" i="1"/>
  <c r="B386" i="1"/>
  <c r="D386" i="1"/>
  <c r="G386" i="1"/>
  <c r="B4068" i="1"/>
  <c r="D4068" i="1"/>
  <c r="G4068" i="1"/>
  <c r="B6741" i="1"/>
  <c r="D6741" i="1"/>
  <c r="G6741" i="1"/>
  <c r="B16419" i="1"/>
  <c r="D16419" i="1"/>
  <c r="G16419" i="1"/>
  <c r="B4769" i="1"/>
  <c r="D4769" i="1"/>
  <c r="G4769" i="1"/>
  <c r="B4439" i="1"/>
  <c r="D4439" i="1"/>
  <c r="G4439" i="1"/>
  <c r="B102" i="1"/>
  <c r="D102" i="1"/>
  <c r="G102" i="1"/>
  <c r="B8746" i="1"/>
  <c r="D8746" i="1"/>
  <c r="G8746" i="1"/>
  <c r="B6025" i="1"/>
  <c r="D6025" i="1"/>
  <c r="G6025" i="1"/>
  <c r="B3042" i="1"/>
  <c r="D3042" i="1"/>
  <c r="G3042" i="1"/>
  <c r="B2366" i="1"/>
  <c r="D2366" i="1"/>
  <c r="G2366" i="1"/>
  <c r="B3337" i="1"/>
  <c r="D3337" i="1"/>
  <c r="G3337" i="1"/>
  <c r="B6229" i="1"/>
  <c r="D6229" i="1"/>
  <c r="G6229" i="1"/>
  <c r="B6230" i="1"/>
  <c r="D6230" i="1"/>
  <c r="G6230" i="1"/>
  <c r="B21" i="1"/>
  <c r="D21" i="1"/>
  <c r="G21" i="1"/>
  <c r="B32" i="1"/>
  <c r="D32" i="1"/>
  <c r="G32" i="1"/>
  <c r="B2454" i="1"/>
  <c r="D2454" i="1"/>
  <c r="G2454" i="1"/>
  <c r="B8747" i="1"/>
  <c r="D8747" i="1"/>
  <c r="G8747" i="1"/>
  <c r="B3021" i="1"/>
  <c r="D3021" i="1"/>
  <c r="G3021" i="1"/>
  <c r="B8461" i="1"/>
  <c r="D8461" i="1"/>
  <c r="G8461" i="1"/>
  <c r="B8462" i="1"/>
  <c r="D8462" i="1"/>
  <c r="G8462" i="1"/>
  <c r="B8463" i="1"/>
  <c r="D8463" i="1"/>
  <c r="G8463" i="1"/>
  <c r="B8464" i="1"/>
  <c r="D8464" i="1"/>
  <c r="G8464" i="1"/>
  <c r="B5386" i="1"/>
  <c r="D5386" i="1"/>
  <c r="G5386" i="1"/>
  <c r="B3338" i="1"/>
  <c r="D3338" i="1"/>
  <c r="G3338" i="1"/>
  <c r="B20580" i="1"/>
  <c r="D20580" i="1"/>
  <c r="G20580" i="1"/>
  <c r="B8387" i="1"/>
  <c r="D8387" i="1"/>
  <c r="G8387" i="1"/>
  <c r="B8312" i="1"/>
  <c r="D8312" i="1"/>
  <c r="G8312" i="1"/>
  <c r="B5387" i="1"/>
  <c r="D5387" i="1"/>
  <c r="G5387" i="1"/>
  <c r="B526" i="1"/>
  <c r="D526" i="1"/>
  <c r="G526" i="1"/>
  <c r="B3229" i="1"/>
  <c r="D3229" i="1"/>
  <c r="G3229" i="1"/>
  <c r="B3230" i="1"/>
  <c r="D3230" i="1"/>
  <c r="G3230" i="1"/>
  <c r="B8313" i="1"/>
  <c r="D8313" i="1"/>
  <c r="G8313" i="1"/>
  <c r="B7313" i="1"/>
  <c r="D7313" i="1"/>
  <c r="G7313" i="1"/>
  <c r="B3727" i="1"/>
  <c r="D3727" i="1"/>
  <c r="G3727" i="1"/>
  <c r="B3728" i="1"/>
  <c r="D3728" i="1"/>
  <c r="G3728" i="1"/>
  <c r="B1616" i="1"/>
  <c r="D1616" i="1"/>
  <c r="G1616" i="1"/>
  <c r="B1617" i="1"/>
  <c r="D1617" i="1"/>
  <c r="G1617" i="1"/>
  <c r="B3729" i="1"/>
  <c r="D3729" i="1"/>
  <c r="G3729" i="1"/>
  <c r="B2733" i="1"/>
  <c r="D2733" i="1"/>
  <c r="G2733" i="1"/>
  <c r="B2367" i="1"/>
  <c r="D2367" i="1"/>
  <c r="G2367" i="1"/>
  <c r="B2734" i="1"/>
  <c r="D2734" i="1"/>
  <c r="G2734" i="1"/>
  <c r="B4392" i="1"/>
  <c r="D4392" i="1"/>
  <c r="G4392" i="1"/>
  <c r="B10474" i="1"/>
  <c r="D10474" i="1"/>
  <c r="G10474" i="1"/>
  <c r="B10475" i="1"/>
  <c r="D10475" i="1"/>
  <c r="G10475" i="1"/>
  <c r="B10779" i="1"/>
  <c r="D10779" i="1"/>
  <c r="G10779" i="1"/>
  <c r="B10780" i="1"/>
  <c r="D10780" i="1"/>
  <c r="G10780" i="1"/>
  <c r="B1155" i="1"/>
  <c r="D1155" i="1"/>
  <c r="G1155" i="1"/>
  <c r="B8168" i="1"/>
  <c r="D8168" i="1"/>
  <c r="G8168" i="1"/>
  <c r="B2455" i="1"/>
  <c r="D2455" i="1"/>
  <c r="G2455" i="1"/>
  <c r="B11116" i="1"/>
  <c r="D11116" i="1"/>
  <c r="G11116" i="1"/>
  <c r="B5388" i="1"/>
  <c r="D5388" i="1"/>
  <c r="G5388" i="1"/>
  <c r="B821" i="1"/>
  <c r="D821" i="1"/>
  <c r="G821" i="1"/>
  <c r="B2735" i="1"/>
  <c r="D2735" i="1"/>
  <c r="G2735" i="1"/>
  <c r="B8104" i="1"/>
  <c r="D8104" i="1"/>
  <c r="G8104" i="1"/>
  <c r="B2736" i="1"/>
  <c r="D2736" i="1"/>
  <c r="G2736" i="1"/>
  <c r="B3895" i="1"/>
  <c r="D3895" i="1"/>
  <c r="G3895" i="1"/>
  <c r="B8105" i="1"/>
  <c r="D8105" i="1"/>
  <c r="G8105" i="1"/>
  <c r="B19883" i="1"/>
  <c r="D19883" i="1"/>
  <c r="G19883" i="1"/>
  <c r="B6231" i="1"/>
  <c r="D6231" i="1"/>
  <c r="G6231" i="1"/>
  <c r="B3730" i="1"/>
  <c r="D3730" i="1"/>
  <c r="G3730" i="1"/>
  <c r="B4318" i="1"/>
  <c r="D4318" i="1"/>
  <c r="G4318" i="1"/>
  <c r="B6858" i="1"/>
  <c r="D6858" i="1"/>
  <c r="G6858" i="1"/>
  <c r="B8314" i="1"/>
  <c r="D8314" i="1"/>
  <c r="G8314" i="1"/>
  <c r="B3553" i="1"/>
  <c r="D3553" i="1"/>
  <c r="G3553" i="1"/>
  <c r="B3554" i="1"/>
  <c r="D3554" i="1"/>
  <c r="G3554" i="1"/>
  <c r="B6232" i="1"/>
  <c r="D6232" i="1"/>
  <c r="G6232" i="1"/>
  <c r="B6233" i="1"/>
  <c r="D6233" i="1"/>
  <c r="G6233" i="1"/>
  <c r="B4160" i="1"/>
  <c r="D4160" i="1"/>
  <c r="G4160" i="1"/>
  <c r="B8748" i="1"/>
  <c r="D8748" i="1"/>
  <c r="G8748" i="1"/>
  <c r="B7163" i="1"/>
  <c r="D7163" i="1"/>
  <c r="G7163" i="1"/>
  <c r="B7767" i="1"/>
  <c r="D7767" i="1"/>
  <c r="G7767" i="1"/>
  <c r="B7768" i="1"/>
  <c r="D7768" i="1"/>
  <c r="G7768" i="1"/>
  <c r="B7769" i="1"/>
  <c r="D7769" i="1"/>
  <c r="G7769" i="1"/>
  <c r="B7164" i="1"/>
  <c r="D7164" i="1"/>
  <c r="G7164" i="1"/>
  <c r="B7165" i="1"/>
  <c r="D7165" i="1"/>
  <c r="G7165" i="1"/>
  <c r="B6480" i="1"/>
  <c r="D6480" i="1"/>
  <c r="G6480" i="1"/>
  <c r="B6481" i="1"/>
  <c r="D6481" i="1"/>
  <c r="G6481" i="1"/>
  <c r="B10202" i="1"/>
  <c r="D10202" i="1"/>
  <c r="G10202" i="1"/>
  <c r="B5770" i="1"/>
  <c r="D5770" i="1"/>
  <c r="G5770" i="1"/>
  <c r="B5771" i="1"/>
  <c r="D5771" i="1"/>
  <c r="G5771" i="1"/>
  <c r="B5772" i="1"/>
  <c r="D5772" i="1"/>
  <c r="G5772" i="1"/>
  <c r="B4265" i="1"/>
  <c r="D4265" i="1"/>
  <c r="G4265" i="1"/>
  <c r="B1618" i="1"/>
  <c r="D1618" i="1"/>
  <c r="G1618" i="1"/>
  <c r="B1964" i="1"/>
  <c r="D1964" i="1"/>
  <c r="G1964" i="1"/>
  <c r="B3823" i="1"/>
  <c r="D3823" i="1"/>
  <c r="G3823" i="1"/>
  <c r="B2368" i="1"/>
  <c r="D2368" i="1"/>
  <c r="G2368" i="1"/>
  <c r="B4365" i="1"/>
  <c r="D4365" i="1"/>
  <c r="G4365" i="1"/>
  <c r="B3339" i="1"/>
  <c r="D3339" i="1"/>
  <c r="G3339" i="1"/>
  <c r="B3340" i="1"/>
  <c r="D3340" i="1"/>
  <c r="G3340" i="1"/>
  <c r="B2299" i="1"/>
  <c r="D2299" i="1"/>
  <c r="G2299" i="1"/>
  <c r="B1619" i="1"/>
  <c r="D1619" i="1"/>
  <c r="G1619" i="1"/>
  <c r="B1620" i="1"/>
  <c r="D1620" i="1"/>
  <c r="G1620" i="1"/>
  <c r="B6026" i="1"/>
  <c r="D6026" i="1"/>
  <c r="G6026" i="1"/>
  <c r="B4530" i="1"/>
  <c r="D4530" i="1"/>
  <c r="G4530" i="1"/>
  <c r="B2213" i="1"/>
  <c r="D2213" i="1"/>
  <c r="G2213" i="1"/>
  <c r="B22134" i="1"/>
  <c r="D22134" i="1"/>
  <c r="G22134" i="1"/>
  <c r="B3896" i="1"/>
  <c r="D3896" i="1"/>
  <c r="G3896" i="1"/>
  <c r="B6640" i="1"/>
  <c r="D6640" i="1"/>
  <c r="G6640" i="1"/>
  <c r="B7770" i="1"/>
  <c r="D7770" i="1"/>
  <c r="G7770" i="1"/>
  <c r="B7771" i="1"/>
  <c r="D7771" i="1"/>
  <c r="G7771" i="1"/>
  <c r="B21242" i="1"/>
  <c r="D21242" i="1"/>
  <c r="G21242" i="1"/>
  <c r="B3555" i="1"/>
  <c r="D3555" i="1"/>
  <c r="G3555" i="1"/>
  <c r="B2737" i="1"/>
  <c r="D2737" i="1"/>
  <c r="G2737" i="1"/>
  <c r="B254" i="1"/>
  <c r="D254" i="1"/>
  <c r="G254" i="1"/>
  <c r="B11662" i="1"/>
  <c r="D11662" i="1"/>
  <c r="G11662" i="1"/>
  <c r="B11515" i="1"/>
  <c r="D11515" i="1"/>
  <c r="G11515" i="1"/>
  <c r="B3022" i="1"/>
  <c r="D3022" i="1"/>
  <c r="G3022" i="1"/>
  <c r="B5163" i="1"/>
  <c r="D5163" i="1"/>
  <c r="G5163" i="1"/>
  <c r="B16420" i="1"/>
  <c r="D16420" i="1"/>
  <c r="G16420" i="1"/>
  <c r="B12027" i="1"/>
  <c r="D12027" i="1"/>
  <c r="G12027" i="1"/>
  <c r="B6482" i="1"/>
  <c r="D6482" i="1"/>
  <c r="G6482" i="1"/>
  <c r="B3207" i="1"/>
  <c r="D3207" i="1"/>
  <c r="G3207" i="1"/>
  <c r="B822" i="1"/>
  <c r="D822" i="1"/>
  <c r="G822" i="1"/>
  <c r="B2738" i="1"/>
  <c r="D2738" i="1"/>
  <c r="G2738" i="1"/>
  <c r="B3731" i="1"/>
  <c r="D3731" i="1"/>
  <c r="G3731" i="1"/>
  <c r="B2739" i="1"/>
  <c r="D2739" i="1"/>
  <c r="G2739" i="1"/>
  <c r="B10117" i="1"/>
  <c r="D10117" i="1"/>
  <c r="G10117" i="1"/>
  <c r="B10118" i="1"/>
  <c r="D10118" i="1"/>
  <c r="G10118" i="1"/>
  <c r="B3556" i="1"/>
  <c r="D3556" i="1"/>
  <c r="G3556" i="1"/>
  <c r="B4617" i="1"/>
  <c r="D4617" i="1"/>
  <c r="G4617" i="1"/>
  <c r="B2740" i="1"/>
  <c r="D2740" i="1"/>
  <c r="G2740" i="1"/>
  <c r="B5389" i="1"/>
  <c r="D5389" i="1"/>
  <c r="G5389" i="1"/>
  <c r="B2300" i="1"/>
  <c r="D2300" i="1"/>
  <c r="G2300" i="1"/>
  <c r="B1156" i="1"/>
  <c r="D1156" i="1"/>
  <c r="G1156" i="1"/>
  <c r="B6027" i="1"/>
  <c r="D6027" i="1"/>
  <c r="G6027" i="1"/>
  <c r="B325" i="1"/>
  <c r="D325" i="1"/>
  <c r="G325" i="1"/>
  <c r="B8465" i="1"/>
  <c r="D8465" i="1"/>
  <c r="G8465" i="1"/>
  <c r="B8466" i="1"/>
  <c r="D8466" i="1"/>
  <c r="G8466" i="1"/>
  <c r="B4319" i="1"/>
  <c r="D4319" i="1"/>
  <c r="G4319" i="1"/>
  <c r="B387" i="1"/>
  <c r="D387" i="1"/>
  <c r="G387" i="1"/>
  <c r="B6234" i="1"/>
  <c r="D6234" i="1"/>
  <c r="G6234" i="1"/>
  <c r="B7772" i="1"/>
  <c r="D7772" i="1"/>
  <c r="G7772" i="1"/>
  <c r="B7773" i="1"/>
  <c r="D7773" i="1"/>
  <c r="G7773" i="1"/>
  <c r="B20796" i="1"/>
  <c r="D20796" i="1"/>
  <c r="G20796" i="1"/>
  <c r="B15446" i="1"/>
  <c r="D15446" i="1"/>
  <c r="G15446" i="1"/>
  <c r="B15012" i="1"/>
  <c r="D15012" i="1"/>
  <c r="G15012" i="1"/>
  <c r="B6903" i="1"/>
  <c r="D6903" i="1"/>
  <c r="G6903" i="1"/>
  <c r="B5200" i="1"/>
  <c r="D5200" i="1"/>
  <c r="G5200" i="1"/>
  <c r="B4791" i="1"/>
  <c r="D4791" i="1"/>
  <c r="G4791" i="1"/>
  <c r="B7055" i="1"/>
  <c r="D7055" i="1"/>
  <c r="G7055" i="1"/>
  <c r="B20581" i="1"/>
  <c r="D20581" i="1"/>
  <c r="G20581" i="1"/>
  <c r="B5773" i="1"/>
  <c r="D5773" i="1"/>
  <c r="G5773" i="1"/>
  <c r="B7067" i="1"/>
  <c r="D7067" i="1"/>
  <c r="G7067" i="1"/>
  <c r="B7457" i="1"/>
  <c r="D7457" i="1"/>
  <c r="G7457" i="1"/>
  <c r="B21074" i="1"/>
  <c r="D21074" i="1"/>
  <c r="G21074" i="1"/>
  <c r="B4320" i="1"/>
  <c r="D4320" i="1"/>
  <c r="G4320" i="1"/>
  <c r="B6235" i="1"/>
  <c r="D6235" i="1"/>
  <c r="G6235" i="1"/>
  <c r="B698" i="1"/>
  <c r="D698" i="1"/>
  <c r="G698" i="1"/>
  <c r="B5390" i="1"/>
  <c r="D5390" i="1"/>
  <c r="G5390" i="1"/>
  <c r="B12352" i="1"/>
  <c r="D12352" i="1"/>
  <c r="G12352" i="1"/>
  <c r="B11326" i="1"/>
  <c r="D11326" i="1"/>
  <c r="G11326" i="1"/>
  <c r="B1621" i="1"/>
  <c r="D1621" i="1"/>
  <c r="G1621" i="1"/>
  <c r="B11327" i="1"/>
  <c r="D11327" i="1"/>
  <c r="G11327" i="1"/>
  <c r="B8467" i="1"/>
  <c r="D8467" i="1"/>
  <c r="G8467" i="1"/>
  <c r="B11773" i="1"/>
  <c r="D11773" i="1"/>
  <c r="G11773" i="1"/>
  <c r="B3023" i="1"/>
  <c r="D3023" i="1"/>
  <c r="G3023" i="1"/>
  <c r="B8749" i="1"/>
  <c r="D8749" i="1"/>
  <c r="G8749" i="1"/>
  <c r="B8750" i="1"/>
  <c r="D8750" i="1"/>
  <c r="G8750" i="1"/>
  <c r="B3834" i="1"/>
  <c r="D3834" i="1"/>
  <c r="G3834" i="1"/>
  <c r="B6518" i="1"/>
  <c r="D6518" i="1"/>
  <c r="G6518" i="1"/>
  <c r="B4979" i="1"/>
  <c r="D4979" i="1"/>
  <c r="G4979" i="1"/>
  <c r="B4531" i="1"/>
  <c r="D4531" i="1"/>
  <c r="G4531" i="1"/>
  <c r="B6236" i="1"/>
  <c r="D6236" i="1"/>
  <c r="G6236" i="1"/>
  <c r="B4945" i="1"/>
  <c r="D4945" i="1"/>
  <c r="G4945" i="1"/>
  <c r="B5391" i="1"/>
  <c r="D5391" i="1"/>
  <c r="G5391" i="1"/>
  <c r="B5392" i="1"/>
  <c r="D5392" i="1"/>
  <c r="G5392" i="1"/>
  <c r="B2230" i="1"/>
  <c r="D2230" i="1"/>
  <c r="G2230" i="1"/>
  <c r="B1157" i="1"/>
  <c r="D1157" i="1"/>
  <c r="G1157" i="1"/>
  <c r="B6237" i="1"/>
  <c r="D6237" i="1"/>
  <c r="G6237" i="1"/>
  <c r="B6238" i="1"/>
  <c r="D6238" i="1"/>
  <c r="G6238" i="1"/>
  <c r="B6124" i="1"/>
  <c r="D6124" i="1"/>
  <c r="G6124" i="1"/>
  <c r="B8751" i="1"/>
  <c r="D8751" i="1"/>
  <c r="G8751" i="1"/>
  <c r="B8169" i="1"/>
  <c r="D8169" i="1"/>
  <c r="G8169" i="1"/>
  <c r="B10476" i="1"/>
  <c r="D10476" i="1"/>
  <c r="G10476" i="1"/>
  <c r="B8170" i="1"/>
  <c r="D8170" i="1"/>
  <c r="G8170" i="1"/>
  <c r="B188" i="1"/>
  <c r="D188" i="1"/>
  <c r="G188" i="1"/>
  <c r="B12028" i="1"/>
  <c r="D12028" i="1"/>
  <c r="G12028" i="1"/>
  <c r="B2741" i="1"/>
  <c r="D2741" i="1"/>
  <c r="G2741" i="1"/>
  <c r="B4716" i="1"/>
  <c r="D4716" i="1"/>
  <c r="G4716" i="1"/>
  <c r="B7458" i="1"/>
  <c r="D7458" i="1"/>
  <c r="G7458" i="1"/>
  <c r="B4321" i="1"/>
  <c r="D4321" i="1"/>
  <c r="G4321" i="1"/>
  <c r="B5393" i="1"/>
  <c r="D5393" i="1"/>
  <c r="G5393" i="1"/>
  <c r="B1400" i="1"/>
  <c r="D1400" i="1"/>
  <c r="G1400" i="1"/>
  <c r="B11117" i="1"/>
  <c r="D11117" i="1"/>
  <c r="G11117" i="1"/>
  <c r="B7459" i="1"/>
  <c r="D7459" i="1"/>
  <c r="G7459" i="1"/>
  <c r="B1158" i="1"/>
  <c r="D1158" i="1"/>
  <c r="G1158" i="1"/>
  <c r="B4410" i="1"/>
  <c r="D4410" i="1"/>
  <c r="G4410" i="1"/>
  <c r="B3557" i="1"/>
  <c r="D3557" i="1"/>
  <c r="G3557" i="1"/>
  <c r="B2742" i="1"/>
  <c r="D2742" i="1"/>
  <c r="G2742" i="1"/>
  <c r="B8752" i="1"/>
  <c r="D8752" i="1"/>
  <c r="G8752" i="1"/>
  <c r="B1159" i="1"/>
  <c r="D1159" i="1"/>
  <c r="G1159" i="1"/>
  <c r="B2535" i="1"/>
  <c r="D2535" i="1"/>
  <c r="G2535" i="1"/>
  <c r="B5704" i="1"/>
  <c r="D5704" i="1"/>
  <c r="G5704" i="1"/>
  <c r="B5705" i="1"/>
  <c r="D5705" i="1"/>
  <c r="G5705" i="1"/>
  <c r="B4946" i="1"/>
  <c r="D4946" i="1"/>
  <c r="G4946" i="1"/>
  <c r="B10781" i="1"/>
  <c r="D10781" i="1"/>
  <c r="G10781" i="1"/>
  <c r="B4792" i="1"/>
  <c r="D4792" i="1"/>
  <c r="G4792" i="1"/>
  <c r="B6742" i="1"/>
  <c r="D6742" i="1"/>
  <c r="G6742" i="1"/>
  <c r="B1160" i="1"/>
  <c r="D1160" i="1"/>
  <c r="G1160" i="1"/>
  <c r="B5394" i="1"/>
  <c r="D5394" i="1"/>
  <c r="G5394" i="1"/>
  <c r="B2743" i="1"/>
  <c r="D2743" i="1"/>
  <c r="G2743" i="1"/>
  <c r="B4211" i="1"/>
  <c r="D4211" i="1"/>
  <c r="G4211" i="1"/>
  <c r="B3558" i="1"/>
  <c r="D3558" i="1"/>
  <c r="G3558" i="1"/>
  <c r="B6583" i="1"/>
  <c r="D6583" i="1"/>
  <c r="G6583" i="1"/>
  <c r="B6584" i="1"/>
  <c r="D6584" i="1"/>
  <c r="G6584" i="1"/>
  <c r="B2744" i="1"/>
  <c r="D2744" i="1"/>
  <c r="G2744" i="1"/>
  <c r="B4618" i="1"/>
  <c r="D4618" i="1"/>
  <c r="G4618" i="1"/>
  <c r="B2369" i="1"/>
  <c r="D2369" i="1"/>
  <c r="G2369" i="1"/>
  <c r="B8753" i="1"/>
  <c r="D8753" i="1"/>
  <c r="G8753" i="1"/>
  <c r="B6544" i="1"/>
  <c r="D6544" i="1"/>
  <c r="G6544" i="1"/>
  <c r="B2120" i="1"/>
  <c r="D2120" i="1"/>
  <c r="G2120" i="1"/>
  <c r="B9199" i="1"/>
  <c r="D9199" i="1"/>
  <c r="G9199" i="1"/>
  <c r="B4467" i="1"/>
  <c r="D4467" i="1"/>
  <c r="G4467" i="1"/>
  <c r="B936" i="1"/>
  <c r="D936" i="1"/>
  <c r="G936" i="1"/>
  <c r="B5590" i="1"/>
  <c r="D5590" i="1"/>
  <c r="G5590" i="1"/>
  <c r="B2370" i="1"/>
  <c r="D2370" i="1"/>
  <c r="G2370" i="1"/>
  <c r="B2456" i="1"/>
  <c r="D2456" i="1"/>
  <c r="G2456" i="1"/>
  <c r="B12656" i="1"/>
  <c r="D12656" i="1"/>
  <c r="G12656" i="1"/>
  <c r="B10272" i="1"/>
  <c r="D10272" i="1"/>
  <c r="G10272" i="1"/>
  <c r="B12029" i="1"/>
  <c r="D12029" i="1"/>
  <c r="G12029" i="1"/>
  <c r="B10273" i="1"/>
  <c r="D10273" i="1"/>
  <c r="G10273" i="1"/>
  <c r="B9368" i="1"/>
  <c r="D9368" i="1"/>
  <c r="G9368" i="1"/>
  <c r="B1873" i="1"/>
  <c r="D1873" i="1"/>
  <c r="G1873" i="1"/>
  <c r="B6028" i="1"/>
  <c r="D6028" i="1"/>
  <c r="G6028" i="1"/>
  <c r="B7068" i="1"/>
  <c r="D7068" i="1"/>
  <c r="G7068" i="1"/>
  <c r="B3559" i="1"/>
  <c r="D3559" i="1"/>
  <c r="G3559" i="1"/>
  <c r="B3732" i="1"/>
  <c r="D3732" i="1"/>
  <c r="G3732" i="1"/>
  <c r="B6239" i="1"/>
  <c r="D6239" i="1"/>
  <c r="G6239" i="1"/>
  <c r="B6240" i="1"/>
  <c r="D6240" i="1"/>
  <c r="G6240" i="1"/>
  <c r="B5395" i="1"/>
  <c r="D5395" i="1"/>
  <c r="G5395" i="1"/>
  <c r="B5396" i="1"/>
  <c r="D5396" i="1"/>
  <c r="G5396" i="1"/>
  <c r="B6241" i="1"/>
  <c r="D6241" i="1"/>
  <c r="G6241" i="1"/>
  <c r="B6242" i="1"/>
  <c r="D6242" i="1"/>
  <c r="G6242" i="1"/>
  <c r="B6243" i="1"/>
  <c r="D6243" i="1"/>
  <c r="G6243" i="1"/>
  <c r="B3560" i="1"/>
  <c r="D3560" i="1"/>
  <c r="G3560" i="1"/>
  <c r="B2745" i="1"/>
  <c r="D2745" i="1"/>
  <c r="G2745" i="1"/>
  <c r="B4212" i="1"/>
  <c r="D4212" i="1"/>
  <c r="G4212" i="1"/>
  <c r="B2746" i="1"/>
  <c r="D2746" i="1"/>
  <c r="G2746" i="1"/>
  <c r="B1161" i="1"/>
  <c r="D1161" i="1"/>
  <c r="G1161" i="1"/>
  <c r="B1162" i="1"/>
  <c r="D1162" i="1"/>
  <c r="G1162" i="1"/>
  <c r="B2747" i="1"/>
  <c r="D2747" i="1"/>
  <c r="G2747" i="1"/>
  <c r="B1163" i="1"/>
  <c r="D1163" i="1"/>
  <c r="G1163" i="1"/>
  <c r="B1164" i="1"/>
  <c r="D1164" i="1"/>
  <c r="G1164" i="1"/>
  <c r="B5397" i="1"/>
  <c r="D5397" i="1"/>
  <c r="G5397" i="1"/>
  <c r="B2371" i="1"/>
  <c r="D2371" i="1"/>
  <c r="G2371" i="1"/>
  <c r="B5398" i="1"/>
  <c r="D5398" i="1"/>
  <c r="G5398" i="1"/>
  <c r="B10174" i="1"/>
  <c r="D10174" i="1"/>
  <c r="G10174" i="1"/>
  <c r="B2372" i="1"/>
  <c r="D2372" i="1"/>
  <c r="G2372" i="1"/>
  <c r="B2748" i="1"/>
  <c r="D2748" i="1"/>
  <c r="G2748" i="1"/>
  <c r="B964" i="1"/>
  <c r="D964" i="1"/>
  <c r="G964" i="1"/>
  <c r="B2457" i="1"/>
  <c r="D2457" i="1"/>
  <c r="G2457" i="1"/>
  <c r="B3092" i="1"/>
  <c r="D3092" i="1"/>
  <c r="G3092" i="1"/>
  <c r="B4980" i="1"/>
  <c r="D4980" i="1"/>
  <c r="G4980" i="1"/>
  <c r="B5164" i="1"/>
  <c r="D5164" i="1"/>
  <c r="G5164" i="1"/>
  <c r="B2749" i="1"/>
  <c r="D2749" i="1"/>
  <c r="G2749" i="1"/>
  <c r="B21075" i="1"/>
  <c r="D21075" i="1"/>
  <c r="G21075" i="1"/>
  <c r="B4793" i="1"/>
  <c r="D4793" i="1"/>
  <c r="G4793" i="1"/>
  <c r="B6081" i="1"/>
  <c r="D6081" i="1"/>
  <c r="G6081" i="1"/>
  <c r="B3561" i="1"/>
  <c r="D3561" i="1"/>
  <c r="G3561" i="1"/>
  <c r="B3733" i="1"/>
  <c r="D3733" i="1"/>
  <c r="G3733" i="1"/>
  <c r="B6483" i="1"/>
  <c r="D6483" i="1"/>
  <c r="G6483" i="1"/>
  <c r="B1165" i="1"/>
  <c r="D1165" i="1"/>
  <c r="G1165" i="1"/>
  <c r="B6641" i="1"/>
  <c r="D6641" i="1"/>
  <c r="G6641" i="1"/>
  <c r="B6743" i="1"/>
  <c r="D6743" i="1"/>
  <c r="G6743" i="1"/>
  <c r="B1166" i="1"/>
  <c r="D1166" i="1"/>
  <c r="G1166" i="1"/>
  <c r="B799" i="1"/>
  <c r="D799" i="1"/>
  <c r="G799" i="1"/>
  <c r="B6029" i="1"/>
  <c r="D6029" i="1"/>
  <c r="G6029" i="1"/>
  <c r="B19181" i="1"/>
  <c r="D19181" i="1"/>
  <c r="G19181" i="1"/>
  <c r="B2750" i="1"/>
  <c r="D2750" i="1"/>
  <c r="G2750" i="1"/>
  <c r="B6244" i="1"/>
  <c r="D6244" i="1"/>
  <c r="G6244" i="1"/>
  <c r="B6245" i="1"/>
  <c r="D6245" i="1"/>
  <c r="G6245" i="1"/>
  <c r="B4051" i="1"/>
  <c r="D4051" i="1"/>
  <c r="G4051" i="1"/>
  <c r="B7774" i="1"/>
  <c r="D7774" i="1"/>
  <c r="G7774" i="1"/>
  <c r="B6246" i="1"/>
  <c r="D6246" i="1"/>
  <c r="G6246" i="1"/>
  <c r="B4794" i="1"/>
  <c r="D4794" i="1"/>
  <c r="G4794" i="1"/>
  <c r="B5399" i="1"/>
  <c r="D5399" i="1"/>
  <c r="G5399" i="1"/>
  <c r="B1167" i="1"/>
  <c r="D1167" i="1"/>
  <c r="G1167" i="1"/>
  <c r="B6094" i="1"/>
  <c r="D6094" i="1"/>
  <c r="G6094" i="1"/>
  <c r="B8171" i="1"/>
  <c r="D8171" i="1"/>
  <c r="G8171" i="1"/>
  <c r="B5400" i="1"/>
  <c r="D5400" i="1"/>
  <c r="G5400" i="1"/>
  <c r="B9649" i="1"/>
  <c r="D9649" i="1"/>
  <c r="G9649" i="1"/>
  <c r="B9650" i="1"/>
  <c r="D9650" i="1"/>
  <c r="G9650" i="1"/>
  <c r="B8172" i="1"/>
  <c r="D8172" i="1"/>
  <c r="G8172" i="1"/>
  <c r="B5401" i="1"/>
  <c r="D5401" i="1"/>
  <c r="G5401" i="1"/>
  <c r="B9351" i="1"/>
  <c r="D9351" i="1"/>
  <c r="G9351" i="1"/>
  <c r="B12657" i="1"/>
  <c r="D12657" i="1"/>
  <c r="G12657" i="1"/>
  <c r="B7069" i="1"/>
  <c r="D7069" i="1"/>
  <c r="G7069" i="1"/>
  <c r="B4052" i="1"/>
  <c r="D4052" i="1"/>
  <c r="G4052" i="1"/>
  <c r="B3562" i="1"/>
  <c r="D3562" i="1"/>
  <c r="G3562" i="1"/>
  <c r="B9651" i="1"/>
  <c r="D9651" i="1"/>
  <c r="G9651" i="1"/>
  <c r="B9652" i="1"/>
  <c r="D9652" i="1"/>
  <c r="G9652" i="1"/>
  <c r="B1622" i="1"/>
  <c r="D1622" i="1"/>
  <c r="G1622" i="1"/>
  <c r="B527" i="1"/>
  <c r="D527" i="1"/>
  <c r="G527" i="1"/>
  <c r="B528" i="1"/>
  <c r="D528" i="1"/>
  <c r="G528" i="1"/>
  <c r="B3734" i="1"/>
  <c r="D3734" i="1"/>
  <c r="G3734" i="1"/>
  <c r="B4619" i="1"/>
  <c r="D4619" i="1"/>
  <c r="G4619" i="1"/>
  <c r="B7775" i="1"/>
  <c r="D7775" i="1"/>
  <c r="G7775" i="1"/>
  <c r="B7070" i="1"/>
  <c r="D7070" i="1"/>
  <c r="G7070" i="1"/>
  <c r="B7071" i="1"/>
  <c r="D7071" i="1"/>
  <c r="G7071" i="1"/>
  <c r="B1401" i="1"/>
  <c r="D1401" i="1"/>
  <c r="G1401" i="1"/>
  <c r="B1168" i="1"/>
  <c r="D1168" i="1"/>
  <c r="G1168" i="1"/>
  <c r="B14483" i="1"/>
  <c r="D14483" i="1"/>
  <c r="G14483" i="1"/>
  <c r="B2751" i="1"/>
  <c r="D2751" i="1"/>
  <c r="G2751" i="1"/>
  <c r="B1169" i="1"/>
  <c r="D1169" i="1"/>
  <c r="G1169" i="1"/>
  <c r="B4266" i="1"/>
  <c r="D4266" i="1"/>
  <c r="G4266" i="1"/>
  <c r="B10352" i="1"/>
  <c r="D10352" i="1"/>
  <c r="G10352" i="1"/>
  <c r="B17717" i="1"/>
  <c r="D17717" i="1"/>
  <c r="G17717" i="1"/>
  <c r="B3563" i="1"/>
  <c r="D3563" i="1"/>
  <c r="G3563" i="1"/>
  <c r="B9653" i="1"/>
  <c r="D9653" i="1"/>
  <c r="G9653" i="1"/>
  <c r="B9654" i="1"/>
  <c r="D9654" i="1"/>
  <c r="G9654" i="1"/>
  <c r="B3897" i="1"/>
  <c r="D3897" i="1"/>
  <c r="G3897" i="1"/>
  <c r="B17718" i="1"/>
  <c r="D17718" i="1"/>
  <c r="G17718" i="1"/>
  <c r="B5402" i="1"/>
  <c r="D5402" i="1"/>
  <c r="G5402" i="1"/>
  <c r="B5403" i="1"/>
  <c r="D5403" i="1"/>
  <c r="G5403" i="1"/>
  <c r="B6642" i="1"/>
  <c r="D6642" i="1"/>
  <c r="G6642" i="1"/>
  <c r="B2752" i="1"/>
  <c r="D2752" i="1"/>
  <c r="G2752" i="1"/>
  <c r="B6247" i="1"/>
  <c r="D6247" i="1"/>
  <c r="G6247" i="1"/>
  <c r="B6248" i="1"/>
  <c r="D6248" i="1"/>
  <c r="G6248" i="1"/>
  <c r="B1170" i="1"/>
  <c r="D1170" i="1"/>
  <c r="G1170" i="1"/>
  <c r="B9369" i="1"/>
  <c r="D9369" i="1"/>
  <c r="G9369" i="1"/>
  <c r="B8754" i="1"/>
  <c r="D8754" i="1"/>
  <c r="G8754" i="1"/>
  <c r="B4138" i="1"/>
  <c r="D4138" i="1"/>
  <c r="G4138" i="1"/>
  <c r="B5404" i="1"/>
  <c r="D5404" i="1"/>
  <c r="G5404" i="1"/>
  <c r="B9947" i="1"/>
  <c r="D9947" i="1"/>
  <c r="G9947" i="1"/>
  <c r="B5674" i="1"/>
  <c r="D5674" i="1"/>
  <c r="G5674" i="1"/>
  <c r="B14484" i="1"/>
  <c r="D14484" i="1"/>
  <c r="G14484" i="1"/>
  <c r="B11873" i="1"/>
  <c r="D11873" i="1"/>
  <c r="G11873" i="1"/>
  <c r="B11874" i="1"/>
  <c r="D11874" i="1"/>
  <c r="G11874" i="1"/>
  <c r="B5405" i="1"/>
  <c r="D5405" i="1"/>
  <c r="G5405" i="1"/>
  <c r="B3898" i="1"/>
  <c r="D3898" i="1"/>
  <c r="G3898" i="1"/>
  <c r="B1171" i="1"/>
  <c r="D1171" i="1"/>
  <c r="G1171" i="1"/>
  <c r="B19979" i="1"/>
  <c r="D19979" i="1"/>
  <c r="G19979" i="1"/>
  <c r="B19980" i="1"/>
  <c r="D19980" i="1"/>
  <c r="G19980" i="1"/>
  <c r="B6249" i="1"/>
  <c r="D6249" i="1"/>
  <c r="G6249" i="1"/>
  <c r="B6250" i="1"/>
  <c r="D6250" i="1"/>
  <c r="G6250" i="1"/>
  <c r="B3341" i="1"/>
  <c r="D3341" i="1"/>
  <c r="G3341" i="1"/>
  <c r="B2753" i="1"/>
  <c r="D2753" i="1"/>
  <c r="G2753" i="1"/>
  <c r="B4717" i="1"/>
  <c r="D4717" i="1"/>
  <c r="G4717" i="1"/>
  <c r="B4213" i="1"/>
  <c r="D4213" i="1"/>
  <c r="G4213" i="1"/>
  <c r="B9541" i="1"/>
  <c r="D9541" i="1"/>
  <c r="G9541" i="1"/>
  <c r="B5201" i="1"/>
  <c r="D5201" i="1"/>
  <c r="G5201" i="1"/>
  <c r="B8755" i="1"/>
  <c r="D8755" i="1"/>
  <c r="G8755" i="1"/>
  <c r="B5675" i="1"/>
  <c r="D5675" i="1"/>
  <c r="G5675" i="1"/>
  <c r="B5676" i="1"/>
  <c r="D5676" i="1"/>
  <c r="G5676" i="1"/>
  <c r="B10353" i="1"/>
  <c r="D10353" i="1"/>
  <c r="G10353" i="1"/>
  <c r="B10782" i="1"/>
  <c r="D10782" i="1"/>
  <c r="G10782" i="1"/>
  <c r="B5406" i="1"/>
  <c r="D5406" i="1"/>
  <c r="G5406" i="1"/>
  <c r="B5407" i="1"/>
  <c r="D5407" i="1"/>
  <c r="G5407" i="1"/>
  <c r="B19884" i="1"/>
  <c r="D19884" i="1"/>
  <c r="G19884" i="1"/>
  <c r="B12030" i="1"/>
  <c r="D12030" i="1"/>
  <c r="G12030" i="1"/>
  <c r="B17261" i="1"/>
  <c r="D17261" i="1"/>
  <c r="G17261" i="1"/>
  <c r="B5759" i="1"/>
  <c r="D5759" i="1"/>
  <c r="G5759" i="1"/>
  <c r="B6251" i="1"/>
  <c r="D6251" i="1"/>
  <c r="G6251" i="1"/>
  <c r="B6252" i="1"/>
  <c r="D6252" i="1"/>
  <c r="G6252" i="1"/>
  <c r="B5202" i="1"/>
  <c r="D5202" i="1"/>
  <c r="G5202" i="1"/>
  <c r="B2373" i="1"/>
  <c r="D2373" i="1"/>
  <c r="G2373" i="1"/>
  <c r="B11774" i="1"/>
  <c r="D11774" i="1"/>
  <c r="G11774" i="1"/>
  <c r="B11516" i="1"/>
  <c r="D11516" i="1"/>
  <c r="G11516" i="1"/>
  <c r="B11517" i="1"/>
  <c r="D11517" i="1"/>
  <c r="G11517" i="1"/>
  <c r="B6744" i="1"/>
  <c r="D6744" i="1"/>
  <c r="G6744" i="1"/>
  <c r="B4532" i="1"/>
  <c r="D4532" i="1"/>
  <c r="G4532" i="1"/>
  <c r="B6253" i="1"/>
  <c r="D6253" i="1"/>
  <c r="G6253" i="1"/>
  <c r="B6254" i="1"/>
  <c r="D6254" i="1"/>
  <c r="G6254" i="1"/>
  <c r="B4718" i="1"/>
  <c r="D4718" i="1"/>
  <c r="G4718" i="1"/>
  <c r="B6030" i="1"/>
  <c r="D6030" i="1"/>
  <c r="G6030" i="1"/>
  <c r="B1623" i="1"/>
  <c r="D1623" i="1"/>
  <c r="G1623" i="1"/>
  <c r="B16421" i="1"/>
  <c r="D16421" i="1"/>
  <c r="G16421" i="1"/>
  <c r="B2754" i="1"/>
  <c r="D2754" i="1"/>
  <c r="G2754" i="1"/>
  <c r="B5591" i="1"/>
  <c r="D5591" i="1"/>
  <c r="G5591" i="1"/>
  <c r="B14682" i="1"/>
  <c r="D14682" i="1"/>
  <c r="G14682" i="1"/>
  <c r="B14683" i="1"/>
  <c r="D14683" i="1"/>
  <c r="G14683" i="1"/>
  <c r="B6255" i="1"/>
  <c r="D6255" i="1"/>
  <c r="G6255" i="1"/>
  <c r="B6256" i="1"/>
  <c r="D6256" i="1"/>
  <c r="G6256" i="1"/>
  <c r="B5982" i="1"/>
  <c r="D5982" i="1"/>
  <c r="G5982" i="1"/>
  <c r="B3093" i="1"/>
  <c r="D3093" i="1"/>
  <c r="G3093" i="1"/>
  <c r="B8388" i="1"/>
  <c r="D8388" i="1"/>
  <c r="G8388" i="1"/>
  <c r="B1172" i="1"/>
  <c r="D1172" i="1"/>
  <c r="G1172" i="1"/>
  <c r="B10477" i="1"/>
  <c r="D10477" i="1"/>
  <c r="G10477" i="1"/>
  <c r="B12431" i="1"/>
  <c r="D12431" i="1"/>
  <c r="G12431" i="1"/>
  <c r="B7776" i="1"/>
  <c r="D7776" i="1"/>
  <c r="G7776" i="1"/>
  <c r="B7460" i="1"/>
  <c r="D7460" i="1"/>
  <c r="G7460" i="1"/>
  <c r="B6745" i="1"/>
  <c r="D6745" i="1"/>
  <c r="G6745" i="1"/>
  <c r="B7461" i="1"/>
  <c r="D7461" i="1"/>
  <c r="G7461" i="1"/>
  <c r="B5677" i="1"/>
  <c r="D5677" i="1"/>
  <c r="G5677" i="1"/>
  <c r="B5678" i="1"/>
  <c r="D5678" i="1"/>
  <c r="G5678" i="1"/>
  <c r="B1874" i="1"/>
  <c r="D1874" i="1"/>
  <c r="G1874" i="1"/>
  <c r="B4214" i="1"/>
  <c r="D4214" i="1"/>
  <c r="G4214" i="1"/>
  <c r="B807" i="1"/>
  <c r="D807" i="1"/>
  <c r="G807" i="1"/>
  <c r="B6031" i="1"/>
  <c r="D6031" i="1"/>
  <c r="G6031" i="1"/>
  <c r="B9808" i="1"/>
  <c r="D9808" i="1"/>
  <c r="G9808" i="1"/>
  <c r="B9809" i="1"/>
  <c r="D9809" i="1"/>
  <c r="G9809" i="1"/>
  <c r="B4111" i="1"/>
  <c r="D4111" i="1"/>
  <c r="G4111" i="1"/>
  <c r="B3094" i="1"/>
  <c r="D3094" i="1"/>
  <c r="G3094" i="1"/>
  <c r="B6257" i="1"/>
  <c r="D6257" i="1"/>
  <c r="G6257" i="1"/>
  <c r="B6258" i="1"/>
  <c r="D6258" i="1"/>
  <c r="G6258" i="1"/>
  <c r="B3095" i="1"/>
  <c r="D3095" i="1"/>
  <c r="G3095" i="1"/>
  <c r="B8756" i="1"/>
  <c r="D8756" i="1"/>
  <c r="G8756" i="1"/>
  <c r="B3899" i="1"/>
  <c r="D3899" i="1"/>
  <c r="G3899" i="1"/>
  <c r="B189" i="1"/>
  <c r="D189" i="1"/>
  <c r="G189" i="1"/>
  <c r="B3564" i="1"/>
  <c r="D3564" i="1"/>
  <c r="G3564" i="1"/>
  <c r="B6643" i="1"/>
  <c r="D6643" i="1"/>
  <c r="G6643" i="1"/>
  <c r="B6644" i="1"/>
  <c r="D6644" i="1"/>
  <c r="G6644" i="1"/>
  <c r="B774" i="1"/>
  <c r="D774" i="1"/>
  <c r="G774" i="1"/>
  <c r="B7072" i="1"/>
  <c r="D7072" i="1"/>
  <c r="G7072" i="1"/>
  <c r="B5774" i="1"/>
  <c r="D5774" i="1"/>
  <c r="G5774" i="1"/>
  <c r="B5775" i="1"/>
  <c r="D5775" i="1"/>
  <c r="G5775" i="1"/>
  <c r="B10478" i="1"/>
  <c r="D10478" i="1"/>
  <c r="G10478" i="1"/>
  <c r="B10479" i="1"/>
  <c r="D10479" i="1"/>
  <c r="G10479" i="1"/>
  <c r="B10783" i="1"/>
  <c r="D10783" i="1"/>
  <c r="G10783" i="1"/>
  <c r="B10784" i="1"/>
  <c r="D10784" i="1"/>
  <c r="G10784" i="1"/>
  <c r="B2374" i="1"/>
  <c r="D2374" i="1"/>
  <c r="G2374" i="1"/>
  <c r="B1173" i="1"/>
  <c r="D1173" i="1"/>
  <c r="G1173" i="1"/>
  <c r="B1174" i="1"/>
  <c r="D1174" i="1"/>
  <c r="G1174" i="1"/>
  <c r="B3900" i="1"/>
  <c r="D3900" i="1"/>
  <c r="G3900" i="1"/>
  <c r="B11118" i="1"/>
  <c r="D11118" i="1"/>
  <c r="G11118" i="1"/>
  <c r="B2755" i="1"/>
  <c r="D2755" i="1"/>
  <c r="G2755" i="1"/>
  <c r="B5408" i="1"/>
  <c r="D5408" i="1"/>
  <c r="G5408" i="1"/>
  <c r="B1624" i="1"/>
  <c r="D1624" i="1"/>
  <c r="G1624" i="1"/>
  <c r="B6259" i="1"/>
  <c r="D6259" i="1"/>
  <c r="G6259" i="1"/>
  <c r="B6933" i="1"/>
  <c r="D6933" i="1"/>
  <c r="G6933" i="1"/>
  <c r="B9978" i="1"/>
  <c r="D9978" i="1"/>
  <c r="G9978" i="1"/>
  <c r="B5409" i="1"/>
  <c r="D5409" i="1"/>
  <c r="G5409" i="1"/>
  <c r="B9370" i="1"/>
  <c r="D9370" i="1"/>
  <c r="G9370" i="1"/>
  <c r="B1175" i="1"/>
  <c r="D1175" i="1"/>
  <c r="G1175" i="1"/>
  <c r="B13388" i="1"/>
  <c r="D13388" i="1"/>
  <c r="G13388" i="1"/>
  <c r="B4907" i="1"/>
  <c r="D4907" i="1"/>
  <c r="G4907" i="1"/>
  <c r="B8757" i="1"/>
  <c r="D8757" i="1"/>
  <c r="G8757" i="1"/>
  <c r="B3322" i="1"/>
  <c r="D3322" i="1"/>
  <c r="G3322" i="1"/>
  <c r="B9581" i="1"/>
  <c r="D9581" i="1"/>
  <c r="G9581" i="1"/>
  <c r="B5706" i="1"/>
  <c r="D5706" i="1"/>
  <c r="G5706" i="1"/>
  <c r="B5707" i="1"/>
  <c r="D5707" i="1"/>
  <c r="G5707" i="1"/>
  <c r="B529" i="1"/>
  <c r="D529" i="1"/>
  <c r="G529" i="1"/>
  <c r="B7073" i="1"/>
  <c r="D7073" i="1"/>
  <c r="G7073" i="1"/>
  <c r="B8758" i="1"/>
  <c r="D8758" i="1"/>
  <c r="G8758" i="1"/>
  <c r="B6645" i="1"/>
  <c r="D6645" i="1"/>
  <c r="G6645" i="1"/>
  <c r="B530" i="1"/>
  <c r="D530" i="1"/>
  <c r="G530" i="1"/>
  <c r="B10274" i="1"/>
  <c r="D10274" i="1"/>
  <c r="G10274" i="1"/>
  <c r="B6646" i="1"/>
  <c r="D6646" i="1"/>
  <c r="G6646" i="1"/>
  <c r="B5757" i="1"/>
  <c r="D5757" i="1"/>
  <c r="G5757" i="1"/>
  <c r="B2756" i="1"/>
  <c r="D2756" i="1"/>
  <c r="G2756" i="1"/>
  <c r="B15013" i="1"/>
  <c r="D15013" i="1"/>
  <c r="G15013" i="1"/>
  <c r="B4100" i="1"/>
  <c r="D4100" i="1"/>
  <c r="G4100" i="1"/>
  <c r="B5410" i="1"/>
  <c r="D5410" i="1"/>
  <c r="G5410" i="1"/>
  <c r="B5411" i="1"/>
  <c r="D5411" i="1"/>
  <c r="G5411" i="1"/>
  <c r="B20797" i="1"/>
  <c r="D20797" i="1"/>
  <c r="G20797" i="1"/>
  <c r="B15447" i="1"/>
  <c r="D15447" i="1"/>
  <c r="G15447" i="1"/>
  <c r="B3901" i="1"/>
  <c r="D3901" i="1"/>
  <c r="G3901" i="1"/>
  <c r="B11297" i="1"/>
  <c r="D11297" i="1"/>
  <c r="G11297" i="1"/>
  <c r="B1625" i="1"/>
  <c r="D1625" i="1"/>
  <c r="G1625" i="1"/>
  <c r="B2085" i="1"/>
  <c r="D2085" i="1"/>
  <c r="G2085" i="1"/>
  <c r="B12934" i="1"/>
  <c r="D12934" i="1"/>
  <c r="G12934" i="1"/>
  <c r="B4322" i="1"/>
  <c r="D4322" i="1"/>
  <c r="G4322" i="1"/>
  <c r="B2757" i="1"/>
  <c r="D2757" i="1"/>
  <c r="G2757" i="1"/>
  <c r="B3565" i="1"/>
  <c r="D3565" i="1"/>
  <c r="G3565" i="1"/>
  <c r="B6260" i="1"/>
  <c r="D6260" i="1"/>
  <c r="G6260" i="1"/>
  <c r="B6261" i="1"/>
  <c r="D6261" i="1"/>
  <c r="G6261" i="1"/>
  <c r="B190" i="1"/>
  <c r="D190" i="1"/>
  <c r="G190" i="1"/>
  <c r="B7777" i="1"/>
  <c r="D7777" i="1"/>
  <c r="G7777" i="1"/>
  <c r="B6262" i="1"/>
  <c r="D6262" i="1"/>
  <c r="G6262" i="1"/>
  <c r="B6263" i="1"/>
  <c r="D6263" i="1"/>
  <c r="G6263" i="1"/>
  <c r="B5203" i="1"/>
  <c r="D5203" i="1"/>
  <c r="G5203" i="1"/>
  <c r="B3566" i="1"/>
  <c r="D3566" i="1"/>
  <c r="G3566" i="1"/>
  <c r="B4719" i="1"/>
  <c r="D4719" i="1"/>
  <c r="G4719" i="1"/>
  <c r="B4215" i="1"/>
  <c r="D4215" i="1"/>
  <c r="G4215" i="1"/>
  <c r="B3735" i="1"/>
  <c r="D3735" i="1"/>
  <c r="G3735" i="1"/>
  <c r="B265" i="1"/>
  <c r="D265" i="1"/>
  <c r="G265" i="1"/>
  <c r="B3567" i="1"/>
  <c r="D3567" i="1"/>
  <c r="G3567" i="1"/>
  <c r="B5412" i="1"/>
  <c r="D5412" i="1"/>
  <c r="G5412" i="1"/>
  <c r="B11663" i="1"/>
  <c r="D11663" i="1"/>
  <c r="G11663" i="1"/>
  <c r="B17719" i="1"/>
  <c r="D17719" i="1"/>
  <c r="G17719" i="1"/>
  <c r="B3231" i="1"/>
  <c r="D3231" i="1"/>
  <c r="G3231" i="1"/>
  <c r="B11518" i="1"/>
  <c r="D11518" i="1"/>
  <c r="G11518" i="1"/>
  <c r="B12031" i="1"/>
  <c r="D12031" i="1"/>
  <c r="G12031" i="1"/>
  <c r="B16422" i="1"/>
  <c r="D16422" i="1"/>
  <c r="G16422" i="1"/>
  <c r="B2375" i="1"/>
  <c r="D2375" i="1"/>
  <c r="G2375" i="1"/>
  <c r="B3309" i="1"/>
  <c r="D3309" i="1"/>
  <c r="G3309" i="1"/>
  <c r="B8173" i="1"/>
  <c r="D8173" i="1"/>
  <c r="G8173" i="1"/>
  <c r="B8174" i="1"/>
  <c r="D8174" i="1"/>
  <c r="G8174" i="1"/>
  <c r="B4972" i="1"/>
  <c r="D4972" i="1"/>
  <c r="G4972" i="1"/>
  <c r="B5112" i="1"/>
  <c r="D5112" i="1"/>
  <c r="G5112" i="1"/>
  <c r="B4323" i="1"/>
  <c r="D4323" i="1"/>
  <c r="G4323" i="1"/>
  <c r="B5776" i="1"/>
  <c r="D5776" i="1"/>
  <c r="G5776" i="1"/>
  <c r="B12032" i="1"/>
  <c r="D12032" i="1"/>
  <c r="G12032" i="1"/>
  <c r="B6032" i="1"/>
  <c r="D6032" i="1"/>
  <c r="G6032" i="1"/>
  <c r="B2060" i="1"/>
  <c r="D2060" i="1"/>
  <c r="G2060" i="1"/>
  <c r="B7778" i="1"/>
  <c r="D7778" i="1"/>
  <c r="G7778" i="1"/>
  <c r="B11875" i="1"/>
  <c r="D11875" i="1"/>
  <c r="G11875" i="1"/>
  <c r="B7779" i="1"/>
  <c r="D7779" i="1"/>
  <c r="G7779" i="1"/>
  <c r="B3342" i="1"/>
  <c r="D3342" i="1"/>
  <c r="G3342" i="1"/>
  <c r="B8759" i="1"/>
  <c r="D8759" i="1"/>
  <c r="G8759" i="1"/>
  <c r="B7314" i="1"/>
  <c r="D7314" i="1"/>
  <c r="G7314" i="1"/>
  <c r="B7276" i="1"/>
  <c r="D7276" i="1"/>
  <c r="G7276" i="1"/>
  <c r="B7007" i="1"/>
  <c r="D7007" i="1"/>
  <c r="G7007" i="1"/>
  <c r="B4324" i="1"/>
  <c r="D4324" i="1"/>
  <c r="G4324" i="1"/>
  <c r="B7462" i="1"/>
  <c r="D7462" i="1"/>
  <c r="G7462" i="1"/>
  <c r="B11387" i="1"/>
  <c r="D11387" i="1"/>
  <c r="G11387" i="1"/>
  <c r="B4720" i="1"/>
  <c r="D4720" i="1"/>
  <c r="G4720" i="1"/>
  <c r="B2758" i="1"/>
  <c r="D2758" i="1"/>
  <c r="G2758" i="1"/>
  <c r="B11280" i="1"/>
  <c r="D11280" i="1"/>
  <c r="G11280" i="1"/>
  <c r="B5413" i="1"/>
  <c r="D5413" i="1"/>
  <c r="G5413" i="1"/>
  <c r="B12966" i="1"/>
  <c r="D12966" i="1"/>
  <c r="G12966" i="1"/>
  <c r="B3568" i="1"/>
  <c r="D3568" i="1"/>
  <c r="G3568" i="1"/>
  <c r="B8106" i="1"/>
  <c r="D8106" i="1"/>
  <c r="G8106" i="1"/>
  <c r="B10175" i="1"/>
  <c r="D10175" i="1"/>
  <c r="G10175" i="1"/>
  <c r="B10176" i="1"/>
  <c r="D10176" i="1"/>
  <c r="G10176" i="1"/>
  <c r="B4139" i="1"/>
  <c r="D4139" i="1"/>
  <c r="G4139" i="1"/>
  <c r="B6746" i="1"/>
  <c r="D6746" i="1"/>
  <c r="G6746" i="1"/>
  <c r="B11316" i="1"/>
  <c r="D11316" i="1"/>
  <c r="G11316" i="1"/>
  <c r="B1965" i="1"/>
  <c r="D1965" i="1"/>
  <c r="G1965" i="1"/>
  <c r="B5204" i="1"/>
  <c r="D5204" i="1"/>
  <c r="G5204" i="1"/>
  <c r="B5708" i="1"/>
  <c r="D5708" i="1"/>
  <c r="G5708" i="1"/>
  <c r="B5709" i="1"/>
  <c r="D5709" i="1"/>
  <c r="G5709" i="1"/>
  <c r="B1626" i="1"/>
  <c r="D1626" i="1"/>
  <c r="G1626" i="1"/>
  <c r="B4325" i="1"/>
  <c r="D4325" i="1"/>
  <c r="G4325" i="1"/>
  <c r="B1176" i="1"/>
  <c r="D1176" i="1"/>
  <c r="G1176" i="1"/>
  <c r="B9655" i="1"/>
  <c r="D9655" i="1"/>
  <c r="G9655" i="1"/>
  <c r="B9656" i="1"/>
  <c r="D9656" i="1"/>
  <c r="G9656" i="1"/>
  <c r="B6647" i="1"/>
  <c r="D6647" i="1"/>
  <c r="G6647" i="1"/>
  <c r="B11519" i="1"/>
  <c r="D11519" i="1"/>
  <c r="G11519" i="1"/>
  <c r="B11520" i="1"/>
  <c r="D11520" i="1"/>
  <c r="G11520" i="1"/>
  <c r="B10480" i="1"/>
  <c r="D10480" i="1"/>
  <c r="G10480" i="1"/>
  <c r="B11521" i="1"/>
  <c r="D11521" i="1"/>
  <c r="G11521" i="1"/>
  <c r="B1402" i="1"/>
  <c r="D1402" i="1"/>
  <c r="G1402" i="1"/>
  <c r="B7166" i="1"/>
  <c r="D7166" i="1"/>
  <c r="G7166" i="1"/>
  <c r="B7167" i="1"/>
  <c r="D7167" i="1"/>
  <c r="G7167" i="1"/>
  <c r="B7780" i="1"/>
  <c r="D7780" i="1"/>
  <c r="G7780" i="1"/>
  <c r="B1627" i="1"/>
  <c r="D1627" i="1"/>
  <c r="G1627" i="1"/>
  <c r="B531" i="1"/>
  <c r="D531" i="1"/>
  <c r="G531" i="1"/>
  <c r="B2121" i="1"/>
  <c r="D2121" i="1"/>
  <c r="G2121" i="1"/>
  <c r="B6648" i="1"/>
  <c r="D6648" i="1"/>
  <c r="G6648" i="1"/>
  <c r="B9657" i="1"/>
  <c r="D9657" i="1"/>
  <c r="G9657" i="1"/>
  <c r="B9658" i="1"/>
  <c r="D9658" i="1"/>
  <c r="G9658" i="1"/>
  <c r="B5113" i="1"/>
  <c r="D5113" i="1"/>
  <c r="G5113" i="1"/>
  <c r="B9659" i="1"/>
  <c r="D9659" i="1"/>
  <c r="G9659" i="1"/>
  <c r="B9660" i="1"/>
  <c r="D9660" i="1"/>
  <c r="G9660" i="1"/>
  <c r="B4947" i="1"/>
  <c r="D4947" i="1"/>
  <c r="G4947" i="1"/>
  <c r="B3569" i="1"/>
  <c r="D3569" i="1"/>
  <c r="G3569" i="1"/>
  <c r="B1403" i="1"/>
  <c r="D1403" i="1"/>
  <c r="G1403" i="1"/>
  <c r="B11119" i="1"/>
  <c r="D11119" i="1"/>
  <c r="G11119" i="1"/>
  <c r="B4620" i="1"/>
  <c r="D4620" i="1"/>
  <c r="G4620" i="1"/>
  <c r="B12813" i="1"/>
  <c r="D12813" i="1"/>
  <c r="G12813" i="1"/>
  <c r="B4795" i="1"/>
  <c r="D4795" i="1"/>
  <c r="G4795" i="1"/>
  <c r="B9661" i="1"/>
  <c r="D9661" i="1"/>
  <c r="G9661" i="1"/>
  <c r="B9662" i="1"/>
  <c r="D9662" i="1"/>
  <c r="G9662" i="1"/>
  <c r="B9225" i="1"/>
  <c r="D9225" i="1"/>
  <c r="G9225" i="1"/>
  <c r="B4921" i="1"/>
  <c r="D4921" i="1"/>
  <c r="G4921" i="1"/>
  <c r="B2759" i="1"/>
  <c r="D2759" i="1"/>
  <c r="G2759" i="1"/>
  <c r="B20291" i="1"/>
  <c r="D20291" i="1"/>
  <c r="G20291" i="1"/>
  <c r="B4721" i="1"/>
  <c r="D4721" i="1"/>
  <c r="G4721" i="1"/>
  <c r="B1628" i="1"/>
  <c r="D1628" i="1"/>
  <c r="G1628" i="1"/>
  <c r="B2500" i="1"/>
  <c r="D2500" i="1"/>
  <c r="G2500" i="1"/>
  <c r="B4161" i="1"/>
  <c r="D4161" i="1"/>
  <c r="G4161" i="1"/>
  <c r="B2760" i="1"/>
  <c r="D2760" i="1"/>
  <c r="G2760" i="1"/>
  <c r="B1177" i="1"/>
  <c r="D1177" i="1"/>
  <c r="G1177" i="1"/>
  <c r="B3570" i="1"/>
  <c r="D3570" i="1"/>
  <c r="G3570" i="1"/>
  <c r="B16423" i="1"/>
  <c r="D16423" i="1"/>
  <c r="G16423" i="1"/>
  <c r="B17334" i="1"/>
  <c r="D17334" i="1"/>
  <c r="G17334" i="1"/>
  <c r="B4058" i="1"/>
  <c r="D4058" i="1"/>
  <c r="G4058" i="1"/>
  <c r="B10481" i="1"/>
  <c r="D10481" i="1"/>
  <c r="G10481" i="1"/>
  <c r="B10482" i="1"/>
  <c r="D10482" i="1"/>
  <c r="G10482" i="1"/>
  <c r="B10785" i="1"/>
  <c r="D10785" i="1"/>
  <c r="G10785" i="1"/>
  <c r="B10786" i="1"/>
  <c r="D10786" i="1"/>
  <c r="G10786" i="1"/>
  <c r="B10787" i="1"/>
  <c r="D10787" i="1"/>
  <c r="G10787" i="1"/>
  <c r="B12967" i="1"/>
  <c r="D12967" i="1"/>
  <c r="G12967" i="1"/>
  <c r="B9663" i="1"/>
  <c r="D9663" i="1"/>
  <c r="G9663" i="1"/>
  <c r="B9664" i="1"/>
  <c r="D9664" i="1"/>
  <c r="G9664" i="1"/>
  <c r="B3571" i="1"/>
  <c r="D3571" i="1"/>
  <c r="G3571" i="1"/>
  <c r="B9665" i="1"/>
  <c r="D9665" i="1"/>
  <c r="G9665" i="1"/>
  <c r="B6264" i="1"/>
  <c r="D6264" i="1"/>
  <c r="G6264" i="1"/>
  <c r="B4440" i="1"/>
  <c r="D4440" i="1"/>
  <c r="G4440" i="1"/>
  <c r="B823" i="1"/>
  <c r="D823" i="1"/>
  <c r="G823" i="1"/>
  <c r="B10212" i="1"/>
  <c r="D10212" i="1"/>
  <c r="G10212" i="1"/>
  <c r="B6747" i="1"/>
  <c r="D6747" i="1"/>
  <c r="G6747" i="1"/>
  <c r="B6859" i="1"/>
  <c r="D6859" i="1"/>
  <c r="G6859" i="1"/>
  <c r="B8468" i="1"/>
  <c r="D8468" i="1"/>
  <c r="G8468" i="1"/>
  <c r="B8469" i="1"/>
  <c r="D8469" i="1"/>
  <c r="G8469" i="1"/>
  <c r="B9542" i="1"/>
  <c r="D9542" i="1"/>
  <c r="G9542" i="1"/>
  <c r="B4722" i="1"/>
  <c r="D4722" i="1"/>
  <c r="G4722" i="1"/>
  <c r="B532" i="1"/>
  <c r="D532" i="1"/>
  <c r="G532" i="1"/>
  <c r="B3572" i="1"/>
  <c r="D3572" i="1"/>
  <c r="G3572" i="1"/>
  <c r="B7463" i="1"/>
  <c r="D7463" i="1"/>
  <c r="G7463" i="1"/>
  <c r="B9666" i="1"/>
  <c r="D9666" i="1"/>
  <c r="G9666" i="1"/>
  <c r="B12033" i="1"/>
  <c r="D12033" i="1"/>
  <c r="G12033" i="1"/>
  <c r="B2761" i="1"/>
  <c r="D2761" i="1"/>
  <c r="G2761" i="1"/>
  <c r="B6748" i="1"/>
  <c r="D6748" i="1"/>
  <c r="G6748" i="1"/>
  <c r="B10275" i="1"/>
  <c r="D10275" i="1"/>
  <c r="G10275" i="1"/>
  <c r="B15014" i="1"/>
  <c r="D15014" i="1"/>
  <c r="G15014" i="1"/>
  <c r="B10483" i="1"/>
  <c r="D10483" i="1"/>
  <c r="G10483" i="1"/>
  <c r="B2301" i="1"/>
  <c r="D2301" i="1"/>
  <c r="G2301" i="1"/>
  <c r="B388" i="1"/>
  <c r="D388" i="1"/>
  <c r="G388" i="1"/>
  <c r="B2458" i="1"/>
  <c r="D2458" i="1"/>
  <c r="G2458" i="1"/>
  <c r="B7781" i="1"/>
  <c r="D7781" i="1"/>
  <c r="G7781" i="1"/>
  <c r="B7464" i="1"/>
  <c r="D7464" i="1"/>
  <c r="G7464" i="1"/>
  <c r="B7315" i="1"/>
  <c r="D7315" i="1"/>
  <c r="G7315" i="1"/>
  <c r="B4796" i="1"/>
  <c r="D4796" i="1"/>
  <c r="G4796" i="1"/>
  <c r="B2762" i="1"/>
  <c r="D2762" i="1"/>
  <c r="G2762" i="1"/>
  <c r="B1178" i="1"/>
  <c r="D1178" i="1"/>
  <c r="G1178" i="1"/>
  <c r="B3776" i="1"/>
  <c r="D3776" i="1"/>
  <c r="G3776" i="1"/>
  <c r="B6525" i="1"/>
  <c r="D6525" i="1"/>
  <c r="G6525" i="1"/>
  <c r="B8760" i="1"/>
  <c r="D8760" i="1"/>
  <c r="G8760" i="1"/>
  <c r="B8107" i="1"/>
  <c r="D8107" i="1"/>
  <c r="G8107" i="1"/>
  <c r="B1404" i="1"/>
  <c r="D1404" i="1"/>
  <c r="G1404" i="1"/>
  <c r="B8761" i="1"/>
  <c r="D8761" i="1"/>
  <c r="G8761" i="1"/>
  <c r="B21892" i="1"/>
  <c r="D21892" i="1"/>
  <c r="G21892" i="1"/>
  <c r="B917" i="1"/>
  <c r="D917" i="1"/>
  <c r="G917" i="1"/>
  <c r="B915" i="1"/>
  <c r="D915" i="1"/>
  <c r="G915" i="1"/>
  <c r="B3573" i="1"/>
  <c r="D3573" i="1"/>
  <c r="G3573" i="1"/>
  <c r="B2376" i="1"/>
  <c r="D2376" i="1"/>
  <c r="G2376" i="1"/>
  <c r="B3574" i="1"/>
  <c r="D3574" i="1"/>
  <c r="G3574" i="1"/>
  <c r="B3736" i="1"/>
  <c r="D3736" i="1"/>
  <c r="G3736" i="1"/>
  <c r="B3343" i="1"/>
  <c r="D3343" i="1"/>
  <c r="G3343" i="1"/>
  <c r="B3737" i="1"/>
  <c r="D3737" i="1"/>
  <c r="G3737" i="1"/>
  <c r="B12034" i="1"/>
  <c r="D12034" i="1"/>
  <c r="G12034" i="1"/>
  <c r="B6749" i="1"/>
  <c r="D6749" i="1"/>
  <c r="G6749" i="1"/>
  <c r="B6860" i="1"/>
  <c r="D6860" i="1"/>
  <c r="G6860" i="1"/>
  <c r="B6934" i="1"/>
  <c r="D6934" i="1"/>
  <c r="G6934" i="1"/>
  <c r="B9667" i="1"/>
  <c r="D9667" i="1"/>
  <c r="G9667" i="1"/>
  <c r="B18454" i="1"/>
  <c r="D18454" i="1"/>
  <c r="G18454" i="1"/>
  <c r="B4326" i="1"/>
  <c r="D4326" i="1"/>
  <c r="G4326" i="1"/>
  <c r="B1179" i="1"/>
  <c r="D1179" i="1"/>
  <c r="G1179" i="1"/>
  <c r="B1629" i="1"/>
  <c r="D1629" i="1"/>
  <c r="G1629" i="1"/>
  <c r="B20582" i="1"/>
  <c r="D20582" i="1"/>
  <c r="G20582" i="1"/>
  <c r="B2763" i="1"/>
  <c r="D2763" i="1"/>
  <c r="G2763" i="1"/>
  <c r="B533" i="1"/>
  <c r="D533" i="1"/>
  <c r="G533" i="1"/>
  <c r="B2459" i="1"/>
  <c r="D2459" i="1"/>
  <c r="G2459" i="1"/>
  <c r="B20583" i="1"/>
  <c r="D20583" i="1"/>
  <c r="G20583" i="1"/>
  <c r="B1180" i="1"/>
  <c r="D1180" i="1"/>
  <c r="G1180" i="1"/>
  <c r="B2377" i="1"/>
  <c r="D2377" i="1"/>
  <c r="G2377" i="1"/>
  <c r="B7465" i="1"/>
  <c r="D7465" i="1"/>
  <c r="G7465" i="1"/>
  <c r="B7316" i="1"/>
  <c r="D7316" i="1"/>
  <c r="G7316" i="1"/>
  <c r="B8175" i="1"/>
  <c r="D8175" i="1"/>
  <c r="G8175" i="1"/>
  <c r="B3344" i="1"/>
  <c r="D3344" i="1"/>
  <c r="G3344" i="1"/>
  <c r="B3024" i="1"/>
  <c r="D3024" i="1"/>
  <c r="G3024" i="1"/>
  <c r="B4327" i="1"/>
  <c r="D4327" i="1"/>
  <c r="G4327" i="1"/>
  <c r="B6265" i="1"/>
  <c r="D6265" i="1"/>
  <c r="G6265" i="1"/>
  <c r="B3738" i="1"/>
  <c r="D3738" i="1"/>
  <c r="G3738" i="1"/>
  <c r="B5414" i="1"/>
  <c r="D5414" i="1"/>
  <c r="G5414" i="1"/>
  <c r="B11522" i="1"/>
  <c r="D11522" i="1"/>
  <c r="G11522" i="1"/>
  <c r="B11523" i="1"/>
  <c r="D11523" i="1"/>
  <c r="G11523" i="1"/>
  <c r="B3575" i="1"/>
  <c r="D3575" i="1"/>
  <c r="G3575" i="1"/>
  <c r="B2460" i="1"/>
  <c r="D2460" i="1"/>
  <c r="G2460" i="1"/>
  <c r="B8762" i="1"/>
  <c r="D8762" i="1"/>
  <c r="G8762" i="1"/>
  <c r="B10788" i="1"/>
  <c r="D10788" i="1"/>
  <c r="G10788" i="1"/>
  <c r="B7008" i="1"/>
  <c r="D7008" i="1"/>
  <c r="G7008" i="1"/>
  <c r="B12035" i="1"/>
  <c r="D12035" i="1"/>
  <c r="G12035" i="1"/>
  <c r="B11120" i="1"/>
  <c r="D11120" i="1"/>
  <c r="G11120" i="1"/>
  <c r="B7009" i="1"/>
  <c r="D7009" i="1"/>
  <c r="G7009" i="1"/>
  <c r="B4452" i="1"/>
  <c r="D4452" i="1"/>
  <c r="G4452" i="1"/>
  <c r="B1440" i="1"/>
  <c r="D1440" i="1"/>
  <c r="G1440" i="1"/>
  <c r="B4411" i="1"/>
  <c r="D4411" i="1"/>
  <c r="G4411" i="1"/>
  <c r="B8237" i="1"/>
  <c r="D8237" i="1"/>
  <c r="G8237" i="1"/>
  <c r="B874" i="1"/>
  <c r="D874" i="1"/>
  <c r="G874" i="1"/>
  <c r="B10484" i="1"/>
  <c r="D10484" i="1"/>
  <c r="G10484" i="1"/>
  <c r="B439" i="1"/>
  <c r="D439" i="1"/>
  <c r="G439" i="1"/>
  <c r="B6888" i="1"/>
  <c r="D6888" i="1"/>
  <c r="G6888" i="1"/>
  <c r="B9543" i="1"/>
  <c r="D9543" i="1"/>
  <c r="G9543" i="1"/>
  <c r="B9544" i="1"/>
  <c r="D9544" i="1"/>
  <c r="G9544" i="1"/>
  <c r="B3576" i="1"/>
  <c r="D3576" i="1"/>
  <c r="G3576" i="1"/>
  <c r="B1181" i="1"/>
  <c r="D1181" i="1"/>
  <c r="G1181" i="1"/>
  <c r="B4621" i="1"/>
  <c r="D4621" i="1"/>
  <c r="G4621" i="1"/>
  <c r="B19885" i="1"/>
  <c r="D19885" i="1"/>
  <c r="G19885" i="1"/>
  <c r="B7782" i="1"/>
  <c r="D7782" i="1"/>
  <c r="G7782" i="1"/>
  <c r="B7466" i="1"/>
  <c r="D7466" i="1"/>
  <c r="G7466" i="1"/>
  <c r="B7317" i="1"/>
  <c r="D7317" i="1"/>
  <c r="G7317" i="1"/>
  <c r="B20584" i="1"/>
  <c r="D20584" i="1"/>
  <c r="G20584" i="1"/>
  <c r="B20585" i="1"/>
  <c r="D20585" i="1"/>
  <c r="G20585" i="1"/>
  <c r="B8176" i="1"/>
  <c r="D8176" i="1"/>
  <c r="G8176" i="1"/>
  <c r="B8177" i="1"/>
  <c r="D8177" i="1"/>
  <c r="G8177" i="1"/>
  <c r="B1535" i="1"/>
  <c r="D1535" i="1"/>
  <c r="G1535" i="1"/>
  <c r="B11876" i="1"/>
  <c r="D11876" i="1"/>
  <c r="G11876" i="1"/>
  <c r="B5281" i="1"/>
  <c r="D5281" i="1"/>
  <c r="G5281" i="1"/>
  <c r="B8054" i="1"/>
  <c r="D8054" i="1"/>
  <c r="G8054" i="1"/>
  <c r="B8108" i="1"/>
  <c r="D8108" i="1"/>
  <c r="G8108" i="1"/>
  <c r="B5822" i="1"/>
  <c r="D5822" i="1"/>
  <c r="G5822" i="1"/>
  <c r="B3577" i="1"/>
  <c r="D3577" i="1"/>
  <c r="G3577" i="1"/>
  <c r="B1182" i="1"/>
  <c r="D1182" i="1"/>
  <c r="G1182" i="1"/>
  <c r="B858" i="1"/>
  <c r="D858" i="1"/>
  <c r="G858" i="1"/>
  <c r="B9226" i="1"/>
  <c r="D9226" i="1"/>
  <c r="G9226" i="1"/>
  <c r="B5415" i="1"/>
  <c r="D5415" i="1"/>
  <c r="G5415" i="1"/>
  <c r="B1405" i="1"/>
  <c r="D1405" i="1"/>
  <c r="G1405" i="1"/>
  <c r="B10213" i="1"/>
  <c r="D10213" i="1"/>
  <c r="G10213" i="1"/>
  <c r="B10214" i="1"/>
  <c r="D10214" i="1"/>
  <c r="G10214" i="1"/>
  <c r="B11388" i="1"/>
  <c r="D11388" i="1"/>
  <c r="G11388" i="1"/>
  <c r="B2185" i="1"/>
  <c r="D2185" i="1"/>
  <c r="G2185" i="1"/>
  <c r="B2214" i="1"/>
  <c r="D2214" i="1"/>
  <c r="G2214" i="1"/>
  <c r="B908" i="1"/>
  <c r="D908" i="1"/>
  <c r="G908" i="1"/>
  <c r="B4948" i="1"/>
  <c r="D4948" i="1"/>
  <c r="G4948" i="1"/>
  <c r="B1183" i="1"/>
  <c r="D1183" i="1"/>
  <c r="G1183" i="1"/>
  <c r="B9371" i="1"/>
  <c r="D9371" i="1"/>
  <c r="G9371" i="1"/>
  <c r="B1966" i="1"/>
  <c r="D1966" i="1"/>
  <c r="G1966" i="1"/>
  <c r="B255" i="1"/>
  <c r="D255" i="1"/>
  <c r="G255" i="1"/>
  <c r="B1630" i="1"/>
  <c r="D1630" i="1"/>
  <c r="G1630" i="1"/>
  <c r="B5592" i="1"/>
  <c r="D5592" i="1"/>
  <c r="G5592" i="1"/>
  <c r="B5593" i="1"/>
  <c r="D5593" i="1"/>
  <c r="G5593" i="1"/>
  <c r="B8763" i="1"/>
  <c r="D8763" i="1"/>
  <c r="G8763" i="1"/>
  <c r="B1184" i="1"/>
  <c r="D1184" i="1"/>
  <c r="G1184" i="1"/>
  <c r="B7783" i="1"/>
  <c r="D7783" i="1"/>
  <c r="G7783" i="1"/>
  <c r="B7784" i="1"/>
  <c r="D7784" i="1"/>
  <c r="G7784" i="1"/>
  <c r="B4441" i="1"/>
  <c r="D4441" i="1"/>
  <c r="G4441" i="1"/>
  <c r="B2764" i="1"/>
  <c r="D2764" i="1"/>
  <c r="G2764" i="1"/>
  <c r="B7785" i="1"/>
  <c r="D7785" i="1"/>
  <c r="G7785" i="1"/>
  <c r="B7786" i="1"/>
  <c r="D7786" i="1"/>
  <c r="G7786" i="1"/>
  <c r="B6649" i="1"/>
  <c r="D6649" i="1"/>
  <c r="G6649" i="1"/>
  <c r="B8470" i="1"/>
  <c r="D8470" i="1"/>
  <c r="G8470" i="1"/>
  <c r="B8471" i="1"/>
  <c r="D8471" i="1"/>
  <c r="G8471" i="1"/>
  <c r="B1185" i="1"/>
  <c r="D1185" i="1"/>
  <c r="G1185" i="1"/>
  <c r="B10485" i="1"/>
  <c r="D10485" i="1"/>
  <c r="G10485" i="1"/>
  <c r="B8238" i="1"/>
  <c r="D8238" i="1"/>
  <c r="G8238" i="1"/>
  <c r="B12036" i="1"/>
  <c r="D12036" i="1"/>
  <c r="G12036" i="1"/>
  <c r="B6750" i="1"/>
  <c r="D6750" i="1"/>
  <c r="G6750" i="1"/>
  <c r="B7787" i="1"/>
  <c r="D7787" i="1"/>
  <c r="G7787" i="1"/>
  <c r="B7467" i="1"/>
  <c r="D7467" i="1"/>
  <c r="G7467" i="1"/>
  <c r="B10486" i="1"/>
  <c r="D10486" i="1"/>
  <c r="G10486" i="1"/>
  <c r="B20292" i="1"/>
  <c r="D20292" i="1"/>
  <c r="G20292" i="1"/>
  <c r="B4533" i="1"/>
  <c r="D4533" i="1"/>
  <c r="G4533" i="1"/>
  <c r="B5416" i="1"/>
  <c r="D5416" i="1"/>
  <c r="G5416" i="1"/>
  <c r="B6266" i="1"/>
  <c r="D6266" i="1"/>
  <c r="G6266" i="1"/>
  <c r="B4797" i="1"/>
  <c r="D4797" i="1"/>
  <c r="G4797" i="1"/>
  <c r="B9372" i="1"/>
  <c r="D9372" i="1"/>
  <c r="G9372" i="1"/>
  <c r="B3061" i="1"/>
  <c r="D3061" i="1"/>
  <c r="G3061" i="1"/>
  <c r="B2765" i="1"/>
  <c r="D2765" i="1"/>
  <c r="G2765" i="1"/>
  <c r="B4723" i="1"/>
  <c r="D4723" i="1"/>
  <c r="G4723" i="1"/>
  <c r="B4162" i="1"/>
  <c r="D4162" i="1"/>
  <c r="G4162" i="1"/>
  <c r="B7318" i="1"/>
  <c r="D7318" i="1"/>
  <c r="G7318" i="1"/>
  <c r="B5417" i="1"/>
  <c r="D5417" i="1"/>
  <c r="G5417" i="1"/>
  <c r="B2122" i="1"/>
  <c r="D2122" i="1"/>
  <c r="G2122" i="1"/>
  <c r="B1536" i="1"/>
  <c r="D1536" i="1"/>
  <c r="G1536" i="1"/>
  <c r="B14118" i="1"/>
  <c r="D14118" i="1"/>
  <c r="G14118" i="1"/>
  <c r="B20798" i="1"/>
  <c r="D20798" i="1"/>
  <c r="G20798" i="1"/>
  <c r="B2378" i="1"/>
  <c r="D2378" i="1"/>
  <c r="G2378" i="1"/>
  <c r="B22024" i="1"/>
  <c r="D22024" i="1"/>
  <c r="G22024" i="1"/>
  <c r="B1186" i="1"/>
  <c r="D1186" i="1"/>
  <c r="G1186" i="1"/>
  <c r="B11121" i="1"/>
  <c r="D11121" i="1"/>
  <c r="G11121" i="1"/>
  <c r="B1631" i="1"/>
  <c r="D1631" i="1"/>
  <c r="G1631" i="1"/>
  <c r="B8055" i="1"/>
  <c r="D8055" i="1"/>
  <c r="G8055" i="1"/>
  <c r="B16424" i="1"/>
  <c r="D16424" i="1"/>
  <c r="G16424" i="1"/>
  <c r="B2461" i="1"/>
  <c r="D2461" i="1"/>
  <c r="G2461" i="1"/>
  <c r="B2379" i="1"/>
  <c r="D2379" i="1"/>
  <c r="G2379" i="1"/>
  <c r="B12814" i="1"/>
  <c r="D12814" i="1"/>
  <c r="G12814" i="1"/>
  <c r="B11122" i="1"/>
  <c r="D11122" i="1"/>
  <c r="G11122" i="1"/>
  <c r="B5710" i="1"/>
  <c r="D5710" i="1"/>
  <c r="G5710" i="1"/>
  <c r="B5679" i="1"/>
  <c r="D5679" i="1"/>
  <c r="G5679" i="1"/>
  <c r="B5680" i="1"/>
  <c r="D5680" i="1"/>
  <c r="G5680" i="1"/>
  <c r="B8109" i="1"/>
  <c r="D8109" i="1"/>
  <c r="G8109" i="1"/>
  <c r="B3902" i="1"/>
  <c r="D3902" i="1"/>
  <c r="G3902" i="1"/>
  <c r="B2462" i="1"/>
  <c r="D2462" i="1"/>
  <c r="G2462" i="1"/>
  <c r="B5205" i="1"/>
  <c r="D5205" i="1"/>
  <c r="G5205" i="1"/>
  <c r="B5418" i="1"/>
  <c r="D5418" i="1"/>
  <c r="G5418" i="1"/>
  <c r="B5419" i="1"/>
  <c r="D5419" i="1"/>
  <c r="G5419" i="1"/>
  <c r="B8315" i="1"/>
  <c r="D8315" i="1"/>
  <c r="G8315" i="1"/>
  <c r="B19981" i="1"/>
  <c r="D19981" i="1"/>
  <c r="G19981" i="1"/>
  <c r="B19982" i="1"/>
  <c r="D19982" i="1"/>
  <c r="G19982" i="1"/>
  <c r="B3739" i="1"/>
  <c r="D3739" i="1"/>
  <c r="G3739" i="1"/>
  <c r="B3578" i="1"/>
  <c r="D3578" i="1"/>
  <c r="G3578" i="1"/>
  <c r="B6267" i="1"/>
  <c r="D6267" i="1"/>
  <c r="G6267" i="1"/>
  <c r="B7168" i="1"/>
  <c r="D7168" i="1"/>
  <c r="G7168" i="1"/>
  <c r="B7169" i="1"/>
  <c r="D7169" i="1"/>
  <c r="G7169" i="1"/>
  <c r="B7319" i="1"/>
  <c r="D7319" i="1"/>
  <c r="G7319" i="1"/>
  <c r="B10354" i="1"/>
  <c r="D10354" i="1"/>
  <c r="G10354" i="1"/>
  <c r="B10789" i="1"/>
  <c r="D10789" i="1"/>
  <c r="G10789" i="1"/>
  <c r="B6033" i="1"/>
  <c r="D6033" i="1"/>
  <c r="G6033" i="1"/>
  <c r="B3579" i="1"/>
  <c r="D3579" i="1"/>
  <c r="G3579" i="1"/>
  <c r="B7788" i="1"/>
  <c r="D7788" i="1"/>
  <c r="G7788" i="1"/>
  <c r="B4442" i="1"/>
  <c r="D4442" i="1"/>
  <c r="G4442" i="1"/>
  <c r="B7120" i="1"/>
  <c r="D7120" i="1"/>
  <c r="G7120" i="1"/>
  <c r="B3580" i="1"/>
  <c r="D3580" i="1"/>
  <c r="G3580" i="1"/>
  <c r="B3581" i="1"/>
  <c r="D3581" i="1"/>
  <c r="G3581" i="1"/>
  <c r="B10790" i="1"/>
  <c r="D10790" i="1"/>
  <c r="G10790" i="1"/>
  <c r="B8239" i="1"/>
  <c r="D8239" i="1"/>
  <c r="G8239" i="1"/>
  <c r="B7320" i="1"/>
  <c r="D7320" i="1"/>
  <c r="G7320" i="1"/>
  <c r="B56" i="1"/>
  <c r="D56" i="1"/>
  <c r="G56" i="1"/>
  <c r="B4724" i="1"/>
  <c r="D4724" i="1"/>
  <c r="G4724" i="1"/>
  <c r="B3903" i="1"/>
  <c r="D3903" i="1"/>
  <c r="G3903" i="1"/>
  <c r="B3740" i="1"/>
  <c r="D3740" i="1"/>
  <c r="G3740" i="1"/>
  <c r="B8764" i="1"/>
  <c r="D8764" i="1"/>
  <c r="G8764" i="1"/>
  <c r="B13546" i="1"/>
  <c r="D13546" i="1"/>
  <c r="G13546" i="1"/>
  <c r="B4574" i="1"/>
  <c r="D4574" i="1"/>
  <c r="G4574" i="1"/>
  <c r="B5594" i="1"/>
  <c r="D5594" i="1"/>
  <c r="G5594" i="1"/>
  <c r="B8110" i="1"/>
  <c r="D8110" i="1"/>
  <c r="G8110" i="1"/>
  <c r="B9119" i="1"/>
  <c r="D9119" i="1"/>
  <c r="G9119" i="1"/>
  <c r="B10215" i="1"/>
  <c r="D10215" i="1"/>
  <c r="G10215" i="1"/>
  <c r="B1187" i="1"/>
  <c r="D1187" i="1"/>
  <c r="G1187" i="1"/>
  <c r="B9120" i="1"/>
  <c r="D9120" i="1"/>
  <c r="G9120" i="1"/>
  <c r="B8765" i="1"/>
  <c r="D8765" i="1"/>
  <c r="G8765" i="1"/>
  <c r="B8316" i="1"/>
  <c r="D8316" i="1"/>
  <c r="G8316" i="1"/>
  <c r="B7074" i="1"/>
  <c r="D7074" i="1"/>
  <c r="G7074" i="1"/>
  <c r="B7075" i="1"/>
  <c r="D7075" i="1"/>
  <c r="G7075" i="1"/>
  <c r="B534" i="1"/>
  <c r="D534" i="1"/>
  <c r="G534" i="1"/>
  <c r="B22135" i="1"/>
  <c r="D22135" i="1"/>
  <c r="G22135" i="1"/>
  <c r="B7170" i="1"/>
  <c r="D7170" i="1"/>
  <c r="G7170" i="1"/>
  <c r="B7171" i="1"/>
  <c r="D7171" i="1"/>
  <c r="G7171" i="1"/>
  <c r="B11737" i="1"/>
  <c r="D11737" i="1"/>
  <c r="G11737" i="1"/>
  <c r="B7789" i="1"/>
  <c r="D7789" i="1"/>
  <c r="G7789" i="1"/>
  <c r="B7790" i="1"/>
  <c r="D7790" i="1"/>
  <c r="G7790" i="1"/>
  <c r="B4893" i="1"/>
  <c r="D4893" i="1"/>
  <c r="G4893" i="1"/>
  <c r="B1012" i="1"/>
  <c r="D1012" i="1"/>
  <c r="G1012" i="1"/>
  <c r="B985" i="1"/>
  <c r="D985" i="1"/>
  <c r="G985" i="1"/>
  <c r="B1632" i="1"/>
  <c r="D1632" i="1"/>
  <c r="G1632" i="1"/>
  <c r="B4216" i="1"/>
  <c r="D4216" i="1"/>
  <c r="G4216" i="1"/>
  <c r="B8766" i="1"/>
  <c r="D8766" i="1"/>
  <c r="G8766" i="1"/>
  <c r="B4725" i="1"/>
  <c r="D4725" i="1"/>
  <c r="G4725" i="1"/>
  <c r="B3904" i="1"/>
  <c r="D3904" i="1"/>
  <c r="G3904" i="1"/>
  <c r="B1458" i="1"/>
  <c r="D1458" i="1"/>
  <c r="G1458" i="1"/>
  <c r="B3025" i="1"/>
  <c r="D3025" i="1"/>
  <c r="G3025" i="1"/>
  <c r="B12037" i="1"/>
  <c r="D12037" i="1"/>
  <c r="G12037" i="1"/>
  <c r="B7791" i="1"/>
  <c r="D7791" i="1"/>
  <c r="G7791" i="1"/>
  <c r="B7792" i="1"/>
  <c r="D7792" i="1"/>
  <c r="G7792" i="1"/>
  <c r="B4622" i="1"/>
  <c r="D4622" i="1"/>
  <c r="G4622" i="1"/>
  <c r="B22136" i="1"/>
  <c r="D22136" i="1"/>
  <c r="G22136" i="1"/>
  <c r="B4726" i="1"/>
  <c r="D4726" i="1"/>
  <c r="G4726" i="1"/>
  <c r="B103" i="1"/>
  <c r="D103" i="1"/>
  <c r="G103" i="1"/>
  <c r="B8178" i="1"/>
  <c r="D8178" i="1"/>
  <c r="G8178" i="1"/>
  <c r="B7793" i="1"/>
  <c r="D7793" i="1"/>
  <c r="G7793" i="1"/>
  <c r="B7468" i="1"/>
  <c r="D7468" i="1"/>
  <c r="G7468" i="1"/>
  <c r="B20293" i="1"/>
  <c r="D20293" i="1"/>
  <c r="G20293" i="1"/>
  <c r="B1188" i="1"/>
  <c r="D1188" i="1"/>
  <c r="G1188" i="1"/>
  <c r="B8111" i="1"/>
  <c r="D8111" i="1"/>
  <c r="G8111" i="1"/>
  <c r="B6751" i="1"/>
  <c r="D6751" i="1"/>
  <c r="G6751" i="1"/>
  <c r="B1189" i="1"/>
  <c r="D1189" i="1"/>
  <c r="G1189" i="1"/>
  <c r="B2999" i="1"/>
  <c r="D2999" i="1"/>
  <c r="G2999" i="1"/>
  <c r="B5681" i="1"/>
  <c r="D5681" i="1"/>
  <c r="G5681" i="1"/>
  <c r="B6034" i="1"/>
  <c r="D6034" i="1"/>
  <c r="G6034" i="1"/>
  <c r="B8317" i="1"/>
  <c r="D8317" i="1"/>
  <c r="G8317" i="1"/>
  <c r="B6268" i="1"/>
  <c r="D6268" i="1"/>
  <c r="G6268" i="1"/>
  <c r="B6269" i="1"/>
  <c r="D6269" i="1"/>
  <c r="G6269" i="1"/>
  <c r="B12038" i="1"/>
  <c r="D12038" i="1"/>
  <c r="G12038" i="1"/>
  <c r="B7172" i="1"/>
  <c r="D7172" i="1"/>
  <c r="G7172" i="1"/>
  <c r="B7173" i="1"/>
  <c r="D7173" i="1"/>
  <c r="G7173" i="1"/>
  <c r="B8472" i="1"/>
  <c r="D8472" i="1"/>
  <c r="G8472" i="1"/>
  <c r="B8473" i="1"/>
  <c r="D8473" i="1"/>
  <c r="G8473" i="1"/>
  <c r="B2766" i="1"/>
  <c r="D2766" i="1"/>
  <c r="G2766" i="1"/>
  <c r="B5206" i="1"/>
  <c r="D5206" i="1"/>
  <c r="G5206" i="1"/>
  <c r="B444" i="1"/>
  <c r="D444" i="1"/>
  <c r="G444" i="1"/>
  <c r="B7794" i="1"/>
  <c r="D7794" i="1"/>
  <c r="G7794" i="1"/>
  <c r="B7795" i="1"/>
  <c r="D7795" i="1"/>
  <c r="G7795" i="1"/>
  <c r="B8179" i="1"/>
  <c r="D8179" i="1"/>
  <c r="G8179" i="1"/>
  <c r="B8180" i="1"/>
  <c r="D8180" i="1"/>
  <c r="G8180" i="1"/>
  <c r="B1190" i="1"/>
  <c r="D1190" i="1"/>
  <c r="G1190" i="1"/>
  <c r="B8474" i="1"/>
  <c r="D8474" i="1"/>
  <c r="G8474" i="1"/>
  <c r="B13218" i="1"/>
  <c r="D13218" i="1"/>
  <c r="G13218" i="1"/>
  <c r="B8475" i="1"/>
  <c r="D8475" i="1"/>
  <c r="G8475" i="1"/>
  <c r="B8476" i="1"/>
  <c r="D8476" i="1"/>
  <c r="G8476" i="1"/>
  <c r="B1191" i="1"/>
  <c r="D1191" i="1"/>
  <c r="G1191" i="1"/>
  <c r="B2493" i="1"/>
  <c r="D2493" i="1"/>
  <c r="G2493" i="1"/>
  <c r="B7469" i="1"/>
  <c r="D7469" i="1"/>
  <c r="G7469" i="1"/>
  <c r="B2490" i="1"/>
  <c r="D2490" i="1"/>
  <c r="G2490" i="1"/>
  <c r="B7470" i="1"/>
  <c r="D7470" i="1"/>
  <c r="G7470" i="1"/>
  <c r="B14045" i="1"/>
  <c r="D14045" i="1"/>
  <c r="G14045" i="1"/>
  <c r="B4217" i="1"/>
  <c r="D4217" i="1"/>
  <c r="G4217" i="1"/>
  <c r="B7321" i="1"/>
  <c r="D7321" i="1"/>
  <c r="G7321" i="1"/>
  <c r="B4623" i="1"/>
  <c r="D4623" i="1"/>
  <c r="G4623" i="1"/>
  <c r="B7471" i="1"/>
  <c r="D7471" i="1"/>
  <c r="G7471" i="1"/>
  <c r="B8112" i="1"/>
  <c r="D8112" i="1"/>
  <c r="G8112" i="1"/>
  <c r="B9107" i="1"/>
  <c r="D9107" i="1"/>
  <c r="G9107" i="1"/>
  <c r="B8113" i="1"/>
  <c r="D8113" i="1"/>
  <c r="G8113" i="1"/>
  <c r="B4163" i="1"/>
  <c r="D4163" i="1"/>
  <c r="G4163" i="1"/>
  <c r="B4908" i="1"/>
  <c r="D4908" i="1"/>
  <c r="G4908" i="1"/>
  <c r="B3345" i="1"/>
  <c r="D3345" i="1"/>
  <c r="G3345" i="1"/>
  <c r="B1537" i="1"/>
  <c r="D1537" i="1"/>
  <c r="G1537" i="1"/>
  <c r="B9373" i="1"/>
  <c r="D9373" i="1"/>
  <c r="G9373" i="1"/>
  <c r="B8767" i="1"/>
  <c r="D8767" i="1"/>
  <c r="G8767" i="1"/>
  <c r="B2380" i="1"/>
  <c r="D2380" i="1"/>
  <c r="G2380" i="1"/>
  <c r="B4624" i="1"/>
  <c r="D4624" i="1"/>
  <c r="G4624" i="1"/>
  <c r="B6111" i="1"/>
  <c r="D6111" i="1"/>
  <c r="G6111" i="1"/>
  <c r="B8768" i="1"/>
  <c r="D8768" i="1"/>
  <c r="G8768" i="1"/>
  <c r="B4468" i="1"/>
  <c r="D4468" i="1"/>
  <c r="G4468" i="1"/>
  <c r="B3232" i="1"/>
  <c r="D3232" i="1"/>
  <c r="G3232" i="1"/>
  <c r="B3233" i="1"/>
  <c r="D3233" i="1"/>
  <c r="G3233" i="1"/>
  <c r="B8318" i="1"/>
  <c r="D8318" i="1"/>
  <c r="G8318" i="1"/>
  <c r="B6545" i="1"/>
  <c r="D6545" i="1"/>
  <c r="G6545" i="1"/>
  <c r="B7174" i="1"/>
  <c r="D7174" i="1"/>
  <c r="G7174" i="1"/>
  <c r="B7175" i="1"/>
  <c r="D7175" i="1"/>
  <c r="G7175" i="1"/>
  <c r="B7176" i="1"/>
  <c r="D7176" i="1"/>
  <c r="G7176" i="1"/>
  <c r="B535" i="1"/>
  <c r="D535" i="1"/>
  <c r="G535" i="1"/>
  <c r="B4534" i="1"/>
  <c r="D4534" i="1"/>
  <c r="G4534" i="1"/>
  <c r="B7796" i="1"/>
  <c r="D7796" i="1"/>
  <c r="G7796" i="1"/>
  <c r="B7797" i="1"/>
  <c r="D7797" i="1"/>
  <c r="G7797" i="1"/>
  <c r="B5848" i="1"/>
  <c r="D5848" i="1"/>
  <c r="G5848" i="1"/>
  <c r="B3346" i="1"/>
  <c r="D3346" i="1"/>
  <c r="G3346" i="1"/>
  <c r="B21527" i="1"/>
  <c r="D21527" i="1"/>
  <c r="G21527" i="1"/>
  <c r="B6650" i="1"/>
  <c r="D6650" i="1"/>
  <c r="G6650" i="1"/>
  <c r="B4218" i="1"/>
  <c r="D4218" i="1"/>
  <c r="G4218" i="1"/>
  <c r="B19182" i="1"/>
  <c r="D19182" i="1"/>
  <c r="G19182" i="1"/>
  <c r="B18847" i="1"/>
  <c r="D18847" i="1"/>
  <c r="G18847" i="1"/>
  <c r="B2302" i="1"/>
  <c r="D2302" i="1"/>
  <c r="G2302" i="1"/>
  <c r="B6035" i="1"/>
  <c r="D6035" i="1"/>
  <c r="G6035" i="1"/>
  <c r="B21076" i="1"/>
  <c r="D21076" i="1"/>
  <c r="G21076" i="1"/>
  <c r="B8362" i="1"/>
  <c r="D8362" i="1"/>
  <c r="G8362" i="1"/>
  <c r="B9668" i="1"/>
  <c r="D9668" i="1"/>
  <c r="G9668" i="1"/>
  <c r="B19886" i="1"/>
  <c r="D19886" i="1"/>
  <c r="G19886" i="1"/>
  <c r="B7472" i="1"/>
  <c r="D7472" i="1"/>
  <c r="G7472" i="1"/>
  <c r="B7473" i="1"/>
  <c r="D7473" i="1"/>
  <c r="G7473" i="1"/>
  <c r="B12935" i="1"/>
  <c r="D12935" i="1"/>
  <c r="G12935" i="1"/>
  <c r="B4328" i="1"/>
  <c r="D4328" i="1"/>
  <c r="G4328" i="1"/>
  <c r="B6861" i="1"/>
  <c r="D6861" i="1"/>
  <c r="G6861" i="1"/>
  <c r="B2027" i="1"/>
  <c r="D2027" i="1"/>
  <c r="G2027" i="1"/>
  <c r="B18674" i="1"/>
  <c r="D18674" i="1"/>
  <c r="G18674" i="1"/>
  <c r="B6270" i="1"/>
  <c r="D6270" i="1"/>
  <c r="G6270" i="1"/>
  <c r="B6484" i="1"/>
  <c r="D6484" i="1"/>
  <c r="G6484" i="1"/>
  <c r="B3096" i="1"/>
  <c r="D3096" i="1"/>
  <c r="G3096" i="1"/>
  <c r="B6993" i="1"/>
  <c r="D6993" i="1"/>
  <c r="G6993" i="1"/>
  <c r="B6485" i="1"/>
  <c r="D6485" i="1"/>
  <c r="G6485" i="1"/>
  <c r="B6082" i="1"/>
  <c r="D6082" i="1"/>
  <c r="G6082" i="1"/>
  <c r="B347" i="1"/>
  <c r="D347" i="1"/>
  <c r="G347" i="1"/>
  <c r="B8769" i="1"/>
  <c r="D8769" i="1"/>
  <c r="G8769" i="1"/>
  <c r="B21247" i="1"/>
  <c r="D21247" i="1"/>
  <c r="G21247" i="1"/>
  <c r="B12658" i="1"/>
  <c r="D12658" i="1"/>
  <c r="G12658" i="1"/>
  <c r="B3582" i="1"/>
  <c r="D3582" i="1"/>
  <c r="G3582" i="1"/>
  <c r="B8770" i="1"/>
  <c r="D8770" i="1"/>
  <c r="G8770" i="1"/>
  <c r="B7474" i="1"/>
  <c r="D7474" i="1"/>
  <c r="G7474" i="1"/>
  <c r="B133" i="1"/>
  <c r="D133" i="1"/>
  <c r="G133" i="1"/>
  <c r="B2381" i="1"/>
  <c r="D2381" i="1"/>
  <c r="G2381" i="1"/>
  <c r="B6271" i="1"/>
  <c r="D6271" i="1"/>
  <c r="G6271" i="1"/>
  <c r="B8477" i="1"/>
  <c r="D8477" i="1"/>
  <c r="G8477" i="1"/>
  <c r="B8478" i="1"/>
  <c r="D8478" i="1"/>
  <c r="G8478" i="1"/>
  <c r="B16425" i="1"/>
  <c r="D16425" i="1"/>
  <c r="G16425" i="1"/>
  <c r="B4727" i="1"/>
  <c r="D4727" i="1"/>
  <c r="G4727" i="1"/>
  <c r="B1451" i="1"/>
  <c r="D1451" i="1"/>
  <c r="G1451" i="1"/>
  <c r="B2767" i="1"/>
  <c r="D2767" i="1"/>
  <c r="G2767" i="1"/>
  <c r="B7322" i="1"/>
  <c r="D7322" i="1"/>
  <c r="G7322" i="1"/>
  <c r="B5420" i="1"/>
  <c r="D5420" i="1"/>
  <c r="G5420" i="1"/>
  <c r="B2768" i="1"/>
  <c r="D2768" i="1"/>
  <c r="G2768" i="1"/>
  <c r="B8319" i="1"/>
  <c r="D8319" i="1"/>
  <c r="G8319" i="1"/>
  <c r="B8479" i="1"/>
  <c r="D8479" i="1"/>
  <c r="G8479" i="1"/>
  <c r="B8771" i="1"/>
  <c r="D8771" i="1"/>
  <c r="G8771" i="1"/>
  <c r="B8772" i="1"/>
  <c r="D8772" i="1"/>
  <c r="G8772" i="1"/>
  <c r="B8320" i="1"/>
  <c r="D8320" i="1"/>
  <c r="G8320" i="1"/>
  <c r="B8321" i="1"/>
  <c r="D8321" i="1"/>
  <c r="G8321" i="1"/>
  <c r="B8480" i="1"/>
  <c r="D8480" i="1"/>
  <c r="G8480" i="1"/>
  <c r="B8481" i="1"/>
  <c r="D8481" i="1"/>
  <c r="G8481" i="1"/>
  <c r="B8482" i="1"/>
  <c r="D8482" i="1"/>
  <c r="G8482" i="1"/>
  <c r="B8483" i="1"/>
  <c r="D8483" i="1"/>
  <c r="G8483" i="1"/>
  <c r="B3026" i="1"/>
  <c r="D3026" i="1"/>
  <c r="G3026" i="1"/>
  <c r="B6112" i="1"/>
  <c r="D6112" i="1"/>
  <c r="G6112" i="1"/>
  <c r="B4248" i="1"/>
  <c r="D4248" i="1"/>
  <c r="G4248" i="1"/>
  <c r="B7475" i="1"/>
  <c r="D7475" i="1"/>
  <c r="G7475" i="1"/>
  <c r="B12039" i="1"/>
  <c r="D12039" i="1"/>
  <c r="G12039" i="1"/>
  <c r="B8484" i="1"/>
  <c r="D8484" i="1"/>
  <c r="G8484" i="1"/>
  <c r="B8773" i="1"/>
  <c r="D8773" i="1"/>
  <c r="G8773" i="1"/>
  <c r="B8774" i="1"/>
  <c r="D8774" i="1"/>
  <c r="G8774" i="1"/>
  <c r="B7323" i="1"/>
  <c r="D7323" i="1"/>
  <c r="G7323" i="1"/>
  <c r="B389" i="1"/>
  <c r="D389" i="1"/>
  <c r="G389" i="1"/>
  <c r="B2028" i="1"/>
  <c r="D2028" i="1"/>
  <c r="G2028" i="1"/>
  <c r="B8322" i="1"/>
  <c r="D8322" i="1"/>
  <c r="G8322" i="1"/>
  <c r="B7476" i="1"/>
  <c r="D7476" i="1"/>
  <c r="G7476" i="1"/>
  <c r="B4393" i="1"/>
  <c r="D4393" i="1"/>
  <c r="G4393" i="1"/>
  <c r="B7177" i="1"/>
  <c r="D7177" i="1"/>
  <c r="G7177" i="1"/>
  <c r="B7178" i="1"/>
  <c r="D7178" i="1"/>
  <c r="G7178" i="1"/>
  <c r="B7179" i="1"/>
  <c r="D7179" i="1"/>
  <c r="G7179" i="1"/>
  <c r="B7180" i="1"/>
  <c r="D7180" i="1"/>
  <c r="G7180" i="1"/>
  <c r="B4329" i="1"/>
  <c r="D4329" i="1"/>
  <c r="G4329" i="1"/>
  <c r="B6862" i="1"/>
  <c r="D6862" i="1"/>
  <c r="G6862" i="1"/>
  <c r="B7798" i="1"/>
  <c r="D7798" i="1"/>
  <c r="G7798" i="1"/>
  <c r="B7799" i="1"/>
  <c r="D7799" i="1"/>
  <c r="G7799" i="1"/>
  <c r="B7800" i="1"/>
  <c r="D7800" i="1"/>
  <c r="G7800" i="1"/>
  <c r="B10355" i="1"/>
  <c r="D10355" i="1"/>
  <c r="G10355" i="1"/>
  <c r="B10791" i="1"/>
  <c r="D10791" i="1"/>
  <c r="G10791" i="1"/>
  <c r="B6272" i="1"/>
  <c r="D6272" i="1"/>
  <c r="G6272" i="1"/>
  <c r="B21248" i="1"/>
  <c r="D21248" i="1"/>
  <c r="G21248" i="1"/>
  <c r="B21249" i="1"/>
  <c r="D21249" i="1"/>
  <c r="G21249" i="1"/>
  <c r="B12499" i="1"/>
  <c r="D12499" i="1"/>
  <c r="G12499" i="1"/>
  <c r="B12500" i="1"/>
  <c r="D12500" i="1"/>
  <c r="G12500" i="1"/>
  <c r="B4219" i="1"/>
  <c r="D4219" i="1"/>
  <c r="G4219" i="1"/>
  <c r="B6273" i="1"/>
  <c r="D6273" i="1"/>
  <c r="G6273" i="1"/>
  <c r="B6486" i="1"/>
  <c r="D6486" i="1"/>
  <c r="G6486" i="1"/>
  <c r="B8775" i="1"/>
  <c r="D8775" i="1"/>
  <c r="G8775" i="1"/>
  <c r="B20193" i="1"/>
  <c r="D20193" i="1"/>
  <c r="G20193" i="1"/>
  <c r="B21893" i="1"/>
  <c r="D21893" i="1"/>
  <c r="G21893" i="1"/>
  <c r="B21894" i="1"/>
  <c r="D21894" i="1"/>
  <c r="G21894" i="1"/>
  <c r="B3741" i="1"/>
  <c r="D3741" i="1"/>
  <c r="G3741" i="1"/>
  <c r="B4949" i="1"/>
  <c r="D4949" i="1"/>
  <c r="G4949" i="1"/>
  <c r="B4625" i="1"/>
  <c r="D4625" i="1"/>
  <c r="G4625" i="1"/>
  <c r="B5758" i="1"/>
  <c r="D5758" i="1"/>
  <c r="G5758" i="1"/>
  <c r="B48" i="1"/>
  <c r="D48" i="1"/>
  <c r="G48" i="1"/>
  <c r="B8776" i="1"/>
  <c r="D8776" i="1"/>
  <c r="G8776" i="1"/>
  <c r="B20586" i="1"/>
  <c r="D20586" i="1"/>
  <c r="G20586" i="1"/>
  <c r="B8777" i="1"/>
  <c r="D8777" i="1"/>
  <c r="G8777" i="1"/>
  <c r="B7010" i="1"/>
  <c r="D7010" i="1"/>
  <c r="G7010" i="1"/>
  <c r="B3742" i="1"/>
  <c r="D3742" i="1"/>
  <c r="G3742" i="1"/>
  <c r="B2769" i="1"/>
  <c r="D2769" i="1"/>
  <c r="G2769" i="1"/>
  <c r="B4626" i="1"/>
  <c r="D4626" i="1"/>
  <c r="G4626" i="1"/>
  <c r="B9669" i="1"/>
  <c r="D9669" i="1"/>
  <c r="G9669" i="1"/>
  <c r="B9670" i="1"/>
  <c r="D9670" i="1"/>
  <c r="G9670" i="1"/>
  <c r="B5152" i="1"/>
  <c r="D5152" i="1"/>
  <c r="G5152" i="1"/>
  <c r="B4728" i="1"/>
  <c r="D4728" i="1"/>
  <c r="G4728" i="1"/>
  <c r="B5421" i="1"/>
  <c r="D5421" i="1"/>
  <c r="G5421" i="1"/>
  <c r="B9671" i="1"/>
  <c r="D9671" i="1"/>
  <c r="G9671" i="1"/>
  <c r="B9672" i="1"/>
  <c r="D9672" i="1"/>
  <c r="G9672" i="1"/>
  <c r="B9934" i="1"/>
  <c r="D9934" i="1"/>
  <c r="G9934" i="1"/>
  <c r="B2770" i="1"/>
  <c r="D2770" i="1"/>
  <c r="G2770" i="1"/>
  <c r="B14485" i="1"/>
  <c r="D14485" i="1"/>
  <c r="G14485" i="1"/>
  <c r="B20587" i="1"/>
  <c r="D20587" i="1"/>
  <c r="G20587" i="1"/>
  <c r="B7801" i="1"/>
  <c r="D7801" i="1"/>
  <c r="G7801" i="1"/>
  <c r="B7802" i="1"/>
  <c r="D7802" i="1"/>
  <c r="G7802" i="1"/>
  <c r="B338" i="1"/>
  <c r="D338" i="1"/>
  <c r="G338" i="1"/>
  <c r="B2123" i="1"/>
  <c r="D2123" i="1"/>
  <c r="G2123" i="1"/>
  <c r="B10154" i="1"/>
  <c r="D10154" i="1"/>
  <c r="G10154" i="1"/>
  <c r="B4981" i="1"/>
  <c r="D4981" i="1"/>
  <c r="G4981" i="1"/>
  <c r="B875" i="1"/>
  <c r="D875" i="1"/>
  <c r="G875" i="1"/>
  <c r="B5595" i="1"/>
  <c r="D5595" i="1"/>
  <c r="G5595" i="1"/>
  <c r="B20588" i="1"/>
  <c r="D20588" i="1"/>
  <c r="G20588" i="1"/>
  <c r="B191" i="1"/>
  <c r="D191" i="1"/>
  <c r="G191" i="1"/>
  <c r="B3583" i="1"/>
  <c r="D3583" i="1"/>
  <c r="G3583" i="1"/>
  <c r="B3584" i="1"/>
  <c r="D3584" i="1"/>
  <c r="G3584" i="1"/>
  <c r="B5849" i="1"/>
  <c r="D5849" i="1"/>
  <c r="G5849" i="1"/>
  <c r="B390" i="1"/>
  <c r="D390" i="1"/>
  <c r="G390" i="1"/>
  <c r="B8181" i="1"/>
  <c r="D8181" i="1"/>
  <c r="G8181" i="1"/>
  <c r="B4535" i="1"/>
  <c r="D4535" i="1"/>
  <c r="G4535" i="1"/>
  <c r="B10075" i="1"/>
  <c r="D10075" i="1"/>
  <c r="G10075" i="1"/>
  <c r="B19466" i="1"/>
  <c r="D19466" i="1"/>
  <c r="G19466" i="1"/>
  <c r="B7477" i="1"/>
  <c r="D7477" i="1"/>
  <c r="G7477" i="1"/>
  <c r="B4909" i="1"/>
  <c r="D4909" i="1"/>
  <c r="G4909" i="1"/>
  <c r="B2550" i="1"/>
  <c r="D2550" i="1"/>
  <c r="G2550" i="1"/>
  <c r="B20040" i="1"/>
  <c r="D20040" i="1"/>
  <c r="G20040" i="1"/>
  <c r="B1633" i="1"/>
  <c r="D1633" i="1"/>
  <c r="G1633" i="1"/>
  <c r="B7478" i="1"/>
  <c r="D7478" i="1"/>
  <c r="G7478" i="1"/>
  <c r="B1634" i="1"/>
  <c r="D1634" i="1"/>
  <c r="G1634" i="1"/>
  <c r="B7803" i="1"/>
  <c r="D7803" i="1"/>
  <c r="G7803" i="1"/>
  <c r="B7804" i="1"/>
  <c r="D7804" i="1"/>
  <c r="G7804" i="1"/>
  <c r="B2382" i="1"/>
  <c r="D2382" i="1"/>
  <c r="G2382" i="1"/>
  <c r="B20589" i="1"/>
  <c r="D20589" i="1"/>
  <c r="G20589" i="1"/>
  <c r="B20590" i="1"/>
  <c r="D20590" i="1"/>
  <c r="G20590" i="1"/>
  <c r="B3585" i="1"/>
  <c r="D3585" i="1"/>
  <c r="G3585" i="1"/>
  <c r="B20220" i="1"/>
  <c r="D20220" i="1"/>
  <c r="G20220" i="1"/>
  <c r="B8778" i="1"/>
  <c r="D8778" i="1"/>
  <c r="G8778" i="1"/>
  <c r="B8779" i="1"/>
  <c r="D8779" i="1"/>
  <c r="G8779" i="1"/>
  <c r="B19983" i="1"/>
  <c r="D19983" i="1"/>
  <c r="G19983" i="1"/>
  <c r="B19984" i="1"/>
  <c r="D19984" i="1"/>
  <c r="G19984" i="1"/>
  <c r="B3063" i="1"/>
  <c r="D3063" i="1"/>
  <c r="G3063" i="1"/>
  <c r="B22237" i="1"/>
  <c r="D22237" i="1"/>
  <c r="G22237" i="1"/>
  <c r="B1367" i="1"/>
  <c r="D1367" i="1"/>
  <c r="G1367" i="1"/>
  <c r="B8780" i="1"/>
  <c r="D8780" i="1"/>
  <c r="G8780" i="1"/>
  <c r="B8485" i="1"/>
  <c r="D8485" i="1"/>
  <c r="G8485" i="1"/>
  <c r="B12815" i="1"/>
  <c r="D12815" i="1"/>
  <c r="G12815" i="1"/>
  <c r="B5711" i="1"/>
  <c r="D5711" i="1"/>
  <c r="G5711" i="1"/>
  <c r="B5712" i="1"/>
  <c r="D5712" i="1"/>
  <c r="G5712" i="1"/>
  <c r="B7324" i="1"/>
  <c r="D7324" i="1"/>
  <c r="G7324" i="1"/>
  <c r="B5422" i="1"/>
  <c r="D5422" i="1"/>
  <c r="G5422" i="1"/>
  <c r="B2771" i="1"/>
  <c r="D2771" i="1"/>
  <c r="G2771" i="1"/>
  <c r="B1192" i="1"/>
  <c r="D1192" i="1"/>
  <c r="G1192" i="1"/>
  <c r="B1193" i="1"/>
  <c r="D1193" i="1"/>
  <c r="G1193" i="1"/>
  <c r="B3586" i="1"/>
  <c r="D3586" i="1"/>
  <c r="G3586" i="1"/>
  <c r="B11389" i="1"/>
  <c r="D11389" i="1"/>
  <c r="G11389" i="1"/>
  <c r="B5207" i="1"/>
  <c r="D5207" i="1"/>
  <c r="G5207" i="1"/>
  <c r="B14072" i="1"/>
  <c r="D14072" i="1"/>
  <c r="G14072" i="1"/>
  <c r="B7479" i="1"/>
  <c r="D7479" i="1"/>
  <c r="G7479" i="1"/>
  <c r="B11390" i="1"/>
  <c r="D11390" i="1"/>
  <c r="G11390" i="1"/>
  <c r="B8781" i="1"/>
  <c r="D8781" i="1"/>
  <c r="G8781" i="1"/>
  <c r="B3905" i="1"/>
  <c r="D3905" i="1"/>
  <c r="G3905" i="1"/>
  <c r="B3906" i="1"/>
  <c r="D3906" i="1"/>
  <c r="G3906" i="1"/>
  <c r="B19467" i="1"/>
  <c r="D19467" i="1"/>
  <c r="G19467" i="1"/>
  <c r="B9374" i="1"/>
  <c r="D9374" i="1"/>
  <c r="G9374" i="1"/>
  <c r="B6863" i="1"/>
  <c r="D6863" i="1"/>
  <c r="G6863" i="1"/>
  <c r="B19183" i="1"/>
  <c r="D19183" i="1"/>
  <c r="G19183" i="1"/>
  <c r="B15015" i="1"/>
  <c r="D15015" i="1"/>
  <c r="G15015" i="1"/>
  <c r="B7805" i="1"/>
  <c r="D7805" i="1"/>
  <c r="G7805" i="1"/>
  <c r="B7480" i="1"/>
  <c r="D7480" i="1"/>
  <c r="G7480" i="1"/>
  <c r="B15016" i="1"/>
  <c r="D15016" i="1"/>
  <c r="G15016" i="1"/>
  <c r="B20294" i="1"/>
  <c r="D20294" i="1"/>
  <c r="G20294" i="1"/>
  <c r="B3587" i="1"/>
  <c r="D3587" i="1"/>
  <c r="G3587" i="1"/>
  <c r="B8782" i="1"/>
  <c r="D8782" i="1"/>
  <c r="G8782" i="1"/>
  <c r="B192" i="1"/>
  <c r="D192" i="1"/>
  <c r="G192" i="1"/>
  <c r="B8783" i="1"/>
  <c r="D8783" i="1"/>
  <c r="G8783" i="1"/>
  <c r="B3588" i="1"/>
  <c r="D3588" i="1"/>
  <c r="G3588" i="1"/>
  <c r="B11775" i="1"/>
  <c r="D11775" i="1"/>
  <c r="G11775" i="1"/>
  <c r="B1635" i="1"/>
  <c r="D1635" i="1"/>
  <c r="G1635" i="1"/>
  <c r="B11776" i="1"/>
  <c r="D11776" i="1"/>
  <c r="G11776" i="1"/>
  <c r="B2772" i="1"/>
  <c r="D2772" i="1"/>
  <c r="G2772" i="1"/>
  <c r="B7325" i="1"/>
  <c r="D7325" i="1"/>
  <c r="G7325" i="1"/>
  <c r="B3743" i="1"/>
  <c r="D3743" i="1"/>
  <c r="G3743" i="1"/>
  <c r="B4498" i="1"/>
  <c r="D4498" i="1"/>
  <c r="G4498" i="1"/>
  <c r="B4860" i="1"/>
  <c r="D4860" i="1"/>
  <c r="G4860" i="1"/>
  <c r="B15017" i="1"/>
  <c r="D15017" i="1"/>
  <c r="G15017" i="1"/>
  <c r="B10487" i="1"/>
  <c r="D10487" i="1"/>
  <c r="G10487" i="1"/>
  <c r="B18455" i="1"/>
  <c r="D18455" i="1"/>
  <c r="G18455" i="1"/>
  <c r="B2773" i="1"/>
  <c r="D2773" i="1"/>
  <c r="G2773" i="1"/>
  <c r="B1636" i="1"/>
  <c r="D1636" i="1"/>
  <c r="G1636" i="1"/>
  <c r="B1194" i="1"/>
  <c r="D1194" i="1"/>
  <c r="G1194" i="1"/>
  <c r="B2774" i="1"/>
  <c r="D2774" i="1"/>
  <c r="G2774" i="1"/>
  <c r="B5423" i="1"/>
  <c r="D5423" i="1"/>
  <c r="G5423" i="1"/>
  <c r="B3097" i="1"/>
  <c r="D3097" i="1"/>
  <c r="G3097" i="1"/>
  <c r="B7011" i="1"/>
  <c r="D7011" i="1"/>
  <c r="G7011" i="1"/>
  <c r="B1195" i="1"/>
  <c r="D1195" i="1"/>
  <c r="G1195" i="1"/>
  <c r="B8784" i="1"/>
  <c r="D8784" i="1"/>
  <c r="G8784" i="1"/>
  <c r="B7806" i="1"/>
  <c r="D7806" i="1"/>
  <c r="G7806" i="1"/>
  <c r="B7807" i="1"/>
  <c r="D7807" i="1"/>
  <c r="G7807" i="1"/>
  <c r="B12040" i="1"/>
  <c r="D12040" i="1"/>
  <c r="G12040" i="1"/>
  <c r="B8182" i="1"/>
  <c r="D8182" i="1"/>
  <c r="G8182" i="1"/>
  <c r="B6274" i="1"/>
  <c r="D6274" i="1"/>
  <c r="G6274" i="1"/>
  <c r="B7481" i="1"/>
  <c r="D7481" i="1"/>
  <c r="G7481" i="1"/>
  <c r="B13583" i="1"/>
  <c r="D13583" i="1"/>
  <c r="G13583" i="1"/>
  <c r="B2775" i="1"/>
  <c r="D2775" i="1"/>
  <c r="G2775" i="1"/>
  <c r="B4366" i="1"/>
  <c r="D4366" i="1"/>
  <c r="G4366" i="1"/>
  <c r="B4848" i="1"/>
  <c r="D4848" i="1"/>
  <c r="G4848" i="1"/>
  <c r="B536" i="1"/>
  <c r="D536" i="1"/>
  <c r="G536" i="1"/>
  <c r="B3907" i="1"/>
  <c r="D3907" i="1"/>
  <c r="G3907" i="1"/>
  <c r="B391" i="1"/>
  <c r="D391" i="1"/>
  <c r="G391" i="1"/>
  <c r="B9673" i="1"/>
  <c r="D9673" i="1"/>
  <c r="G9673" i="1"/>
  <c r="B9674" i="1"/>
  <c r="D9674" i="1"/>
  <c r="G9674" i="1"/>
  <c r="B14486" i="1"/>
  <c r="D14486" i="1"/>
  <c r="G14486" i="1"/>
  <c r="B7808" i="1"/>
  <c r="D7808" i="1"/>
  <c r="G7808" i="1"/>
  <c r="B7809" i="1"/>
  <c r="D7809" i="1"/>
  <c r="G7809" i="1"/>
  <c r="B193" i="1"/>
  <c r="D193" i="1"/>
  <c r="G193" i="1"/>
  <c r="B10792" i="1"/>
  <c r="D10792" i="1"/>
  <c r="G10792" i="1"/>
  <c r="B11123" i="1"/>
  <c r="D11123" i="1"/>
  <c r="G11123" i="1"/>
  <c r="B1406" i="1"/>
  <c r="D1406" i="1"/>
  <c r="G1406" i="1"/>
  <c r="B2029" i="1"/>
  <c r="D2029" i="1"/>
  <c r="G2029" i="1"/>
  <c r="B6864" i="1"/>
  <c r="D6864" i="1"/>
  <c r="G6864" i="1"/>
  <c r="B2231" i="1"/>
  <c r="D2231" i="1"/>
  <c r="G2231" i="1"/>
  <c r="B4841" i="1"/>
  <c r="D4841" i="1"/>
  <c r="G4841" i="1"/>
  <c r="B10276" i="1"/>
  <c r="D10276" i="1"/>
  <c r="G10276" i="1"/>
  <c r="B7810" i="1"/>
  <c r="D7810" i="1"/>
  <c r="G7810" i="1"/>
  <c r="B7811" i="1"/>
  <c r="D7811" i="1"/>
  <c r="G7811" i="1"/>
  <c r="B2776" i="1"/>
  <c r="D2776" i="1"/>
  <c r="G2776" i="1"/>
  <c r="B3908" i="1"/>
  <c r="D3908" i="1"/>
  <c r="G3908" i="1"/>
  <c r="B19468" i="1"/>
  <c r="D19468" i="1"/>
  <c r="G19468" i="1"/>
  <c r="B9545" i="1"/>
  <c r="D9545" i="1"/>
  <c r="G9545" i="1"/>
  <c r="B8785" i="1"/>
  <c r="D8785" i="1"/>
  <c r="G8785" i="1"/>
  <c r="B8786" i="1"/>
  <c r="D8786" i="1"/>
  <c r="G8786" i="1"/>
  <c r="B3589" i="1"/>
  <c r="D3589" i="1"/>
  <c r="G3589" i="1"/>
  <c r="B6487" i="1"/>
  <c r="D6487" i="1"/>
  <c r="G6487" i="1"/>
  <c r="B3590" i="1"/>
  <c r="D3590" i="1"/>
  <c r="G3590" i="1"/>
  <c r="B11035" i="1"/>
  <c r="D11035" i="1"/>
  <c r="G11035" i="1"/>
  <c r="B6651" i="1"/>
  <c r="D6651" i="1"/>
  <c r="G6651" i="1"/>
  <c r="B8183" i="1"/>
  <c r="D8183" i="1"/>
  <c r="G8183" i="1"/>
  <c r="B8184" i="1"/>
  <c r="D8184" i="1"/>
  <c r="G8184" i="1"/>
  <c r="B1637" i="1"/>
  <c r="D1637" i="1"/>
  <c r="G1637" i="1"/>
  <c r="B1967" i="1"/>
  <c r="D1967" i="1"/>
  <c r="G1967" i="1"/>
  <c r="B1196" i="1"/>
  <c r="D1196" i="1"/>
  <c r="G1196" i="1"/>
  <c r="B1638" i="1"/>
  <c r="D1638" i="1"/>
  <c r="G1638" i="1"/>
  <c r="B3591" i="1"/>
  <c r="D3591" i="1"/>
  <c r="G3591" i="1"/>
  <c r="B3744" i="1"/>
  <c r="D3744" i="1"/>
  <c r="G3744" i="1"/>
  <c r="B537" i="1"/>
  <c r="D537" i="1"/>
  <c r="G537" i="1"/>
  <c r="B13193" i="1"/>
  <c r="D13193" i="1"/>
  <c r="G13193" i="1"/>
  <c r="B3909" i="1"/>
  <c r="D3909" i="1"/>
  <c r="G3909" i="1"/>
  <c r="B8787" i="1"/>
  <c r="D8787" i="1"/>
  <c r="G8787" i="1"/>
  <c r="B9546" i="1"/>
  <c r="D9546" i="1"/>
  <c r="G9546" i="1"/>
  <c r="B4798" i="1"/>
  <c r="D4798" i="1"/>
  <c r="G4798" i="1"/>
  <c r="B5424" i="1"/>
  <c r="D5424" i="1"/>
  <c r="G5424" i="1"/>
  <c r="B2777" i="1"/>
  <c r="D2777" i="1"/>
  <c r="G2777" i="1"/>
  <c r="B1197" i="1"/>
  <c r="D1197" i="1"/>
  <c r="G1197" i="1"/>
  <c r="B1198" i="1"/>
  <c r="D1198" i="1"/>
  <c r="G1198" i="1"/>
  <c r="B3592" i="1"/>
  <c r="D3592" i="1"/>
  <c r="G3592" i="1"/>
  <c r="B3745" i="1"/>
  <c r="D3745" i="1"/>
  <c r="G3745" i="1"/>
  <c r="B2778" i="1"/>
  <c r="D2778" i="1"/>
  <c r="G2778" i="1"/>
  <c r="B5425" i="1"/>
  <c r="D5425" i="1"/>
  <c r="G5425" i="1"/>
  <c r="B194" i="1"/>
  <c r="D194" i="1"/>
  <c r="G194" i="1"/>
  <c r="B9948" i="1"/>
  <c r="D9948" i="1"/>
  <c r="G9948" i="1"/>
  <c r="B22238" i="1"/>
  <c r="D22238" i="1"/>
  <c r="G22238" i="1"/>
  <c r="B22239" i="1"/>
  <c r="D22239" i="1"/>
  <c r="G22239" i="1"/>
  <c r="B925" i="1"/>
  <c r="D925" i="1"/>
  <c r="G925" i="1"/>
  <c r="B7812" i="1"/>
  <c r="D7812" i="1"/>
  <c r="G7812" i="1"/>
  <c r="B7813" i="1"/>
  <c r="D7813" i="1"/>
  <c r="G7813" i="1"/>
  <c r="B12659" i="1"/>
  <c r="D12659" i="1"/>
  <c r="G12659" i="1"/>
  <c r="B3310" i="1"/>
  <c r="D3310" i="1"/>
  <c r="G3310" i="1"/>
  <c r="B8788" i="1"/>
  <c r="D8788" i="1"/>
  <c r="G8788" i="1"/>
  <c r="B538" i="1"/>
  <c r="D538" i="1"/>
  <c r="G538" i="1"/>
  <c r="B7482" i="1"/>
  <c r="D7482" i="1"/>
  <c r="G7482" i="1"/>
  <c r="B539" i="1"/>
  <c r="D539" i="1"/>
  <c r="G539" i="1"/>
  <c r="B7105" i="1"/>
  <c r="D7105" i="1"/>
  <c r="G7105" i="1"/>
  <c r="B21250" i="1"/>
  <c r="D21250" i="1"/>
  <c r="G21250" i="1"/>
  <c r="B7814" i="1"/>
  <c r="D7814" i="1"/>
  <c r="G7814" i="1"/>
  <c r="B7815" i="1"/>
  <c r="D7815" i="1"/>
  <c r="G7815" i="1"/>
  <c r="B7483" i="1"/>
  <c r="D7483" i="1"/>
  <c r="G7483" i="1"/>
  <c r="B7326" i="1"/>
  <c r="D7326" i="1"/>
  <c r="G7326" i="1"/>
  <c r="B8486" i="1"/>
  <c r="D8486" i="1"/>
  <c r="G8486" i="1"/>
  <c r="B8487" i="1"/>
  <c r="D8487" i="1"/>
  <c r="G8487" i="1"/>
  <c r="B19017" i="1"/>
  <c r="D19017" i="1"/>
  <c r="G19017" i="1"/>
  <c r="B18848" i="1"/>
  <c r="D18848" i="1"/>
  <c r="G18848" i="1"/>
  <c r="B8488" i="1"/>
  <c r="D8488" i="1"/>
  <c r="G8488" i="1"/>
  <c r="B8489" i="1"/>
  <c r="D8489" i="1"/>
  <c r="G8489" i="1"/>
  <c r="B8490" i="1"/>
  <c r="D8490" i="1"/>
  <c r="G8490" i="1"/>
  <c r="B8491" i="1"/>
  <c r="D8491" i="1"/>
  <c r="G8491" i="1"/>
  <c r="B5426" i="1"/>
  <c r="D5426" i="1"/>
  <c r="G5426" i="1"/>
  <c r="B5427" i="1"/>
  <c r="D5427" i="1"/>
  <c r="G5427" i="1"/>
  <c r="B14487" i="1"/>
  <c r="D14487" i="1"/>
  <c r="G14487" i="1"/>
  <c r="B33" i="1"/>
  <c r="D33" i="1"/>
  <c r="G33" i="1"/>
  <c r="B16" i="1"/>
  <c r="D16" i="1"/>
  <c r="G16" i="1"/>
  <c r="B278" i="1"/>
  <c r="D278" i="1"/>
  <c r="G278" i="1"/>
  <c r="B50" i="1"/>
  <c r="D50" i="1"/>
  <c r="G50" i="1"/>
  <c r="B20" i="1"/>
  <c r="D20" i="1"/>
  <c r="G20" i="1"/>
  <c r="B22" i="1"/>
  <c r="D22" i="1"/>
  <c r="G22" i="1"/>
  <c r="B27" i="1"/>
  <c r="D27" i="1"/>
  <c r="G27" i="1"/>
  <c r="B6275" i="1"/>
  <c r="D6275" i="1"/>
  <c r="G6275" i="1"/>
  <c r="B6276" i="1"/>
  <c r="D6276" i="1"/>
  <c r="G6276" i="1"/>
  <c r="B7181" i="1"/>
  <c r="D7181" i="1"/>
  <c r="G7181" i="1"/>
  <c r="B7182" i="1"/>
  <c r="D7182" i="1"/>
  <c r="G7182" i="1"/>
  <c r="B11524" i="1"/>
  <c r="D11524" i="1"/>
  <c r="G11524" i="1"/>
  <c r="B11525" i="1"/>
  <c r="D11525" i="1"/>
  <c r="G11525" i="1"/>
  <c r="B20799" i="1"/>
  <c r="D20799" i="1"/>
  <c r="G20799" i="1"/>
  <c r="B7816" i="1"/>
  <c r="D7816" i="1"/>
  <c r="G7816" i="1"/>
  <c r="B2779" i="1"/>
  <c r="D2779" i="1"/>
  <c r="G2779" i="1"/>
  <c r="B8789" i="1"/>
  <c r="D8789" i="1"/>
  <c r="G8789" i="1"/>
  <c r="B4536" i="1"/>
  <c r="D4536" i="1"/>
  <c r="G4536" i="1"/>
  <c r="B6559" i="1"/>
  <c r="D6559" i="1"/>
  <c r="G6559" i="1"/>
  <c r="B7183" i="1"/>
  <c r="D7183" i="1"/>
  <c r="G7183" i="1"/>
  <c r="B7184" i="1"/>
  <c r="D7184" i="1"/>
  <c r="G7184" i="1"/>
  <c r="B1435" i="1"/>
  <c r="D1435" i="1"/>
  <c r="G1435" i="1"/>
  <c r="B6752" i="1"/>
  <c r="D6752" i="1"/>
  <c r="G6752" i="1"/>
  <c r="B9375" i="1"/>
  <c r="D9375" i="1"/>
  <c r="G9375" i="1"/>
  <c r="B16426" i="1"/>
  <c r="D16426" i="1"/>
  <c r="G16426" i="1"/>
  <c r="B1639" i="1"/>
  <c r="D1639" i="1"/>
  <c r="G1639" i="1"/>
  <c r="B11713" i="1"/>
  <c r="D11713" i="1"/>
  <c r="G11713" i="1"/>
  <c r="B540" i="1"/>
  <c r="D540" i="1"/>
  <c r="G540" i="1"/>
  <c r="B6277" i="1"/>
  <c r="D6277" i="1"/>
  <c r="G6277" i="1"/>
  <c r="B11526" i="1"/>
  <c r="D11526" i="1"/>
  <c r="G11526" i="1"/>
  <c r="B11527" i="1"/>
  <c r="D11527" i="1"/>
  <c r="G11527" i="1"/>
  <c r="B11664" i="1"/>
  <c r="D11664" i="1"/>
  <c r="G11664" i="1"/>
  <c r="B11665" i="1"/>
  <c r="D11665" i="1"/>
  <c r="G11665" i="1"/>
  <c r="B1640" i="1"/>
  <c r="D1640" i="1"/>
  <c r="G1640" i="1"/>
  <c r="B1641" i="1"/>
  <c r="D1641" i="1"/>
  <c r="G1641" i="1"/>
  <c r="B2780" i="1"/>
  <c r="D2780" i="1"/>
  <c r="G2780" i="1"/>
  <c r="B7484" i="1"/>
  <c r="D7484" i="1"/>
  <c r="G7484" i="1"/>
  <c r="B541" i="1"/>
  <c r="D541" i="1"/>
  <c r="G541" i="1"/>
  <c r="B20800" i="1"/>
  <c r="D20800" i="1"/>
  <c r="G20800" i="1"/>
  <c r="B8790" i="1"/>
  <c r="D8790" i="1"/>
  <c r="G8790" i="1"/>
  <c r="B1199" i="1"/>
  <c r="D1199" i="1"/>
  <c r="G1199" i="1"/>
  <c r="B3593" i="1"/>
  <c r="D3593" i="1"/>
  <c r="G3593" i="1"/>
  <c r="B1200" i="1"/>
  <c r="D1200" i="1"/>
  <c r="G1200" i="1"/>
  <c r="B19184" i="1"/>
  <c r="D19184" i="1"/>
  <c r="G19184" i="1"/>
  <c r="B1642" i="1"/>
  <c r="D1642" i="1"/>
  <c r="G1642" i="1"/>
  <c r="B12968" i="1"/>
  <c r="D12968" i="1"/>
  <c r="G12968" i="1"/>
  <c r="B7485" i="1"/>
  <c r="D7485" i="1"/>
  <c r="G7485" i="1"/>
  <c r="B4729" i="1"/>
  <c r="D4729" i="1"/>
  <c r="G4729" i="1"/>
  <c r="B1643" i="1"/>
  <c r="D1643" i="1"/>
  <c r="G1643" i="1"/>
  <c r="B5428" i="1"/>
  <c r="D5428" i="1"/>
  <c r="G5428" i="1"/>
  <c r="B10488" i="1"/>
  <c r="D10488" i="1"/>
  <c r="G10488" i="1"/>
  <c r="B10489" i="1"/>
  <c r="D10489" i="1"/>
  <c r="G10489" i="1"/>
  <c r="B10793" i="1"/>
  <c r="D10793" i="1"/>
  <c r="G10793" i="1"/>
  <c r="B9149" i="1"/>
  <c r="D9149" i="1"/>
  <c r="G9149" i="1"/>
  <c r="B270" i="1"/>
  <c r="D270" i="1"/>
  <c r="G270" i="1"/>
  <c r="B8240" i="1"/>
  <c r="D8240" i="1"/>
  <c r="G8240" i="1"/>
  <c r="B3380" i="1"/>
  <c r="D3380" i="1"/>
  <c r="G3380" i="1"/>
  <c r="B4799" i="1"/>
  <c r="D4799" i="1"/>
  <c r="G4799" i="1"/>
  <c r="B18456" i="1"/>
  <c r="D18456" i="1"/>
  <c r="G18456" i="1"/>
  <c r="B2781" i="1"/>
  <c r="D2781" i="1"/>
  <c r="G2781" i="1"/>
  <c r="B1201" i="1"/>
  <c r="D1201" i="1"/>
  <c r="G1201" i="1"/>
  <c r="B1202" i="1"/>
  <c r="D1202" i="1"/>
  <c r="G1202" i="1"/>
  <c r="B6753" i="1"/>
  <c r="D6753" i="1"/>
  <c r="G6753" i="1"/>
  <c r="B11124" i="1"/>
  <c r="D11124" i="1"/>
  <c r="G11124" i="1"/>
  <c r="B9810" i="1"/>
  <c r="D9810" i="1"/>
  <c r="G9810" i="1"/>
  <c r="B9811" i="1"/>
  <c r="D9811" i="1"/>
  <c r="G9811" i="1"/>
  <c r="B9121" i="1"/>
  <c r="D9121" i="1"/>
  <c r="G9121" i="1"/>
  <c r="B3594" i="1"/>
  <c r="D3594" i="1"/>
  <c r="G3594" i="1"/>
  <c r="B6036" i="1"/>
  <c r="D6036" i="1"/>
  <c r="G6036" i="1"/>
  <c r="B3595" i="1"/>
  <c r="D3595" i="1"/>
  <c r="G3595" i="1"/>
  <c r="B13277" i="1"/>
  <c r="D13277" i="1"/>
  <c r="G13277" i="1"/>
  <c r="B21692" i="1"/>
  <c r="D21692" i="1"/>
  <c r="G21692" i="1"/>
  <c r="B7486" i="1"/>
  <c r="D7486" i="1"/>
  <c r="G7486" i="1"/>
  <c r="B8791" i="1"/>
  <c r="D8791" i="1"/>
  <c r="G8791" i="1"/>
  <c r="B457" i="1"/>
  <c r="D457" i="1"/>
  <c r="G457" i="1"/>
  <c r="B3294" i="1"/>
  <c r="D3294" i="1"/>
  <c r="G3294" i="1"/>
  <c r="B6278" i="1"/>
  <c r="D6278" i="1"/>
  <c r="G6278" i="1"/>
  <c r="B6279" i="1"/>
  <c r="D6279" i="1"/>
  <c r="G6279" i="1"/>
  <c r="B4627" i="1"/>
  <c r="D4627" i="1"/>
  <c r="G4627" i="1"/>
  <c r="B4800" i="1"/>
  <c r="D4800" i="1"/>
  <c r="G4800" i="1"/>
  <c r="B10490" i="1"/>
  <c r="D10490" i="1"/>
  <c r="G10490" i="1"/>
  <c r="B10491" i="1"/>
  <c r="D10491" i="1"/>
  <c r="G10491" i="1"/>
  <c r="B10794" i="1"/>
  <c r="D10794" i="1"/>
  <c r="G10794" i="1"/>
  <c r="B10795" i="1"/>
  <c r="D10795" i="1"/>
  <c r="G10795" i="1"/>
  <c r="B4469" i="1"/>
  <c r="D4469" i="1"/>
  <c r="G4469" i="1"/>
  <c r="B4249" i="1"/>
  <c r="D4249" i="1"/>
  <c r="G4249" i="1"/>
  <c r="B15018" i="1"/>
  <c r="D15018" i="1"/>
  <c r="G15018" i="1"/>
  <c r="B3910" i="1"/>
  <c r="D3910" i="1"/>
  <c r="G3910" i="1"/>
  <c r="B10492" i="1"/>
  <c r="D10492" i="1"/>
  <c r="G10492" i="1"/>
  <c r="B8792" i="1"/>
  <c r="D8792" i="1"/>
  <c r="G8792" i="1"/>
  <c r="B2079" i="1"/>
  <c r="D2079" i="1"/>
  <c r="G2079" i="1"/>
  <c r="B6754" i="1"/>
  <c r="D6754" i="1"/>
  <c r="G6754" i="1"/>
  <c r="B8793" i="1"/>
  <c r="D8793" i="1"/>
  <c r="G8793" i="1"/>
  <c r="B6280" i="1"/>
  <c r="D6280" i="1"/>
  <c r="G6280" i="1"/>
  <c r="B4730" i="1"/>
  <c r="D4730" i="1"/>
  <c r="G4730" i="1"/>
  <c r="B1203" i="1"/>
  <c r="D1203" i="1"/>
  <c r="G1203" i="1"/>
  <c r="B5850" i="1"/>
  <c r="D5850" i="1"/>
  <c r="G5850" i="1"/>
  <c r="B22137" i="1"/>
  <c r="D22137" i="1"/>
  <c r="G22137" i="1"/>
  <c r="B6488" i="1"/>
  <c r="D6488" i="1"/>
  <c r="G6488" i="1"/>
  <c r="B6489" i="1"/>
  <c r="D6489" i="1"/>
  <c r="G6489" i="1"/>
  <c r="B4330" i="1"/>
  <c r="D4330" i="1"/>
  <c r="G4330" i="1"/>
  <c r="B5596" i="1"/>
  <c r="D5596" i="1"/>
  <c r="G5596" i="1"/>
  <c r="B2782" i="1"/>
  <c r="D2782" i="1"/>
  <c r="G2782" i="1"/>
  <c r="B1875" i="1"/>
  <c r="D1875" i="1"/>
  <c r="G1875" i="1"/>
  <c r="B4495" i="1"/>
  <c r="D4495" i="1"/>
  <c r="G4495" i="1"/>
  <c r="B1204" i="1"/>
  <c r="D1204" i="1"/>
  <c r="G1204" i="1"/>
  <c r="B1644" i="1"/>
  <c r="D1644" i="1"/>
  <c r="G1644" i="1"/>
  <c r="B542" i="1"/>
  <c r="D542" i="1"/>
  <c r="G542" i="1"/>
  <c r="B2783" i="1"/>
  <c r="D2783" i="1"/>
  <c r="G2783" i="1"/>
  <c r="B2784" i="1"/>
  <c r="D2784" i="1"/>
  <c r="G2784" i="1"/>
  <c r="B8794" i="1"/>
  <c r="D8794" i="1"/>
  <c r="G8794" i="1"/>
  <c r="B8185" i="1"/>
  <c r="D8185" i="1"/>
  <c r="G8185" i="1"/>
  <c r="B8795" i="1"/>
  <c r="D8795" i="1"/>
  <c r="G8795" i="1"/>
  <c r="B4412" i="1"/>
  <c r="D4412" i="1"/>
  <c r="G4412" i="1"/>
  <c r="B4801" i="1"/>
  <c r="D4801" i="1"/>
  <c r="G4801" i="1"/>
  <c r="B11666" i="1"/>
  <c r="D11666" i="1"/>
  <c r="G11666" i="1"/>
  <c r="B1205" i="1"/>
  <c r="D1205" i="1"/>
  <c r="G1205" i="1"/>
  <c r="B12432" i="1"/>
  <c r="D12432" i="1"/>
  <c r="G12432" i="1"/>
  <c r="B12041" i="1"/>
  <c r="D12041" i="1"/>
  <c r="G12041" i="1"/>
  <c r="B5208" i="1"/>
  <c r="D5208" i="1"/>
  <c r="G5208" i="1"/>
  <c r="B5429" i="1"/>
  <c r="D5429" i="1"/>
  <c r="G5429" i="1"/>
  <c r="B195" i="1"/>
  <c r="D195" i="1"/>
  <c r="G195" i="1"/>
  <c r="B5430" i="1"/>
  <c r="D5430" i="1"/>
  <c r="G5430" i="1"/>
  <c r="B9675" i="1"/>
  <c r="D9675" i="1"/>
  <c r="G9675" i="1"/>
  <c r="B1645" i="1"/>
  <c r="D1645" i="1"/>
  <c r="G1645" i="1"/>
  <c r="B1646" i="1"/>
  <c r="D1646" i="1"/>
  <c r="G1646" i="1"/>
  <c r="B4731" i="1"/>
  <c r="D4731" i="1"/>
  <c r="G4731" i="1"/>
  <c r="B9227" i="1"/>
  <c r="D9227" i="1"/>
  <c r="G9227" i="1"/>
  <c r="B7327" i="1"/>
  <c r="D7327" i="1"/>
  <c r="G7327" i="1"/>
  <c r="B5713" i="1"/>
  <c r="D5713" i="1"/>
  <c r="G5713" i="1"/>
  <c r="B5714" i="1"/>
  <c r="D5714" i="1"/>
  <c r="G5714" i="1"/>
  <c r="B5431" i="1"/>
  <c r="D5431" i="1"/>
  <c r="G5431" i="1"/>
  <c r="B9" i="1"/>
  <c r="D9" i="1"/>
  <c r="G9" i="1"/>
  <c r="B18457" i="1"/>
  <c r="D18457" i="1"/>
  <c r="G18457" i="1"/>
  <c r="B1206" i="1"/>
  <c r="D1206" i="1"/>
  <c r="G1206" i="1"/>
  <c r="B4628" i="1"/>
  <c r="D4628" i="1"/>
  <c r="G4628" i="1"/>
  <c r="B1207" i="1"/>
  <c r="D1207" i="1"/>
  <c r="G1207" i="1"/>
  <c r="B20801" i="1"/>
  <c r="D20801" i="1"/>
  <c r="G20801" i="1"/>
  <c r="B6755" i="1"/>
  <c r="D6755" i="1"/>
  <c r="G6755" i="1"/>
  <c r="B12042" i="1"/>
  <c r="D12042" i="1"/>
  <c r="G12042" i="1"/>
  <c r="B4470" i="1"/>
  <c r="D4470" i="1"/>
  <c r="G4470" i="1"/>
  <c r="B19469" i="1"/>
  <c r="D19469" i="1"/>
  <c r="G19469" i="1"/>
  <c r="B8796" i="1"/>
  <c r="D8796" i="1"/>
  <c r="G8796" i="1"/>
  <c r="B3347" i="1"/>
  <c r="D3347" i="1"/>
  <c r="G3347" i="1"/>
  <c r="B3348" i="1"/>
  <c r="D3348" i="1"/>
  <c r="G3348" i="1"/>
  <c r="B5715" i="1"/>
  <c r="D5715" i="1"/>
  <c r="G5715" i="1"/>
  <c r="B4394" i="1"/>
  <c r="D4394" i="1"/>
  <c r="G4394" i="1"/>
  <c r="B11391" i="1"/>
  <c r="D11391" i="1"/>
  <c r="G11391" i="1"/>
  <c r="B12816" i="1"/>
  <c r="D12816" i="1"/>
  <c r="G12816" i="1"/>
  <c r="B19470" i="1"/>
  <c r="D19470" i="1"/>
  <c r="G19470" i="1"/>
  <c r="B12043" i="1"/>
  <c r="D12043" i="1"/>
  <c r="G12043" i="1"/>
  <c r="B2785" i="1"/>
  <c r="D2785" i="1"/>
  <c r="G2785" i="1"/>
  <c r="B6652" i="1"/>
  <c r="D6652" i="1"/>
  <c r="G6652" i="1"/>
  <c r="B3596" i="1"/>
  <c r="D3596" i="1"/>
  <c r="G3596" i="1"/>
  <c r="B8114" i="1"/>
  <c r="D8114" i="1"/>
  <c r="G8114" i="1"/>
  <c r="B8623" i="1"/>
  <c r="D8623" i="1"/>
  <c r="G8623" i="1"/>
  <c r="B8797" i="1"/>
  <c r="D8797" i="1"/>
  <c r="G8797" i="1"/>
  <c r="B3911" i="1"/>
  <c r="D3911" i="1"/>
  <c r="G3911" i="1"/>
  <c r="B3912" i="1"/>
  <c r="D3912" i="1"/>
  <c r="G3912" i="1"/>
  <c r="B8798" i="1"/>
  <c r="D8798" i="1"/>
  <c r="G8798" i="1"/>
  <c r="B1208" i="1"/>
  <c r="D1208" i="1"/>
  <c r="G1208" i="1"/>
  <c r="B2786" i="1"/>
  <c r="D2786" i="1"/>
  <c r="G2786" i="1"/>
  <c r="B5597" i="1"/>
  <c r="D5597" i="1"/>
  <c r="G5597" i="1"/>
  <c r="B10032" i="1"/>
  <c r="D10032" i="1"/>
  <c r="G10032" i="1"/>
  <c r="B5432" i="1"/>
  <c r="D5432" i="1"/>
  <c r="G5432" i="1"/>
  <c r="B5209" i="1"/>
  <c r="D5209" i="1"/>
  <c r="G5209" i="1"/>
  <c r="B5682" i="1"/>
  <c r="D5682" i="1"/>
  <c r="G5682" i="1"/>
  <c r="B5683" i="1"/>
  <c r="D5683" i="1"/>
  <c r="G5683" i="1"/>
  <c r="B4629" i="1"/>
  <c r="D4629" i="1"/>
  <c r="G4629" i="1"/>
  <c r="B104" i="1"/>
  <c r="D104" i="1"/>
  <c r="G104" i="1"/>
  <c r="B8323" i="1"/>
  <c r="D8323" i="1"/>
  <c r="G8323" i="1"/>
  <c r="B7328" i="1"/>
  <c r="D7328" i="1"/>
  <c r="G7328" i="1"/>
  <c r="B22025" i="1"/>
  <c r="D22025" i="1"/>
  <c r="G22025" i="1"/>
  <c r="B4802" i="1"/>
  <c r="D4802" i="1"/>
  <c r="G4802" i="1"/>
  <c r="B2787" i="1"/>
  <c r="D2787" i="1"/>
  <c r="G2787" i="1"/>
  <c r="B1209" i="1"/>
  <c r="D1209" i="1"/>
  <c r="G1209" i="1"/>
  <c r="B1210" i="1"/>
  <c r="D1210" i="1"/>
  <c r="G1210" i="1"/>
  <c r="B10493" i="1"/>
  <c r="D10493" i="1"/>
  <c r="G10493" i="1"/>
  <c r="B11392" i="1"/>
  <c r="D11392" i="1"/>
  <c r="G11392" i="1"/>
  <c r="B6281" i="1"/>
  <c r="D6281" i="1"/>
  <c r="G6281" i="1"/>
  <c r="B6282" i="1"/>
  <c r="D6282" i="1"/>
  <c r="G6282" i="1"/>
  <c r="B8186" i="1"/>
  <c r="D8186" i="1"/>
  <c r="G8186" i="1"/>
  <c r="B7185" i="1"/>
  <c r="D7185" i="1"/>
  <c r="G7185" i="1"/>
  <c r="B7186" i="1"/>
  <c r="D7186" i="1"/>
  <c r="G7186" i="1"/>
  <c r="B4803" i="1"/>
  <c r="D4803" i="1"/>
  <c r="G4803" i="1"/>
  <c r="B12422" i="1"/>
  <c r="D12422" i="1"/>
  <c r="G12422" i="1"/>
  <c r="B7817" i="1"/>
  <c r="D7817" i="1"/>
  <c r="G7817" i="1"/>
  <c r="B7818" i="1"/>
  <c r="D7818" i="1"/>
  <c r="G7818" i="1"/>
  <c r="B8241" i="1"/>
  <c r="D8241" i="1"/>
  <c r="G8241" i="1"/>
  <c r="B5433" i="1"/>
  <c r="D5433" i="1"/>
  <c r="G5433" i="1"/>
  <c r="B5434" i="1"/>
  <c r="D5434" i="1"/>
  <c r="G5434" i="1"/>
  <c r="B800" i="1"/>
  <c r="D800" i="1"/>
  <c r="G800" i="1"/>
  <c r="B3597" i="1"/>
  <c r="D3597" i="1"/>
  <c r="G3597" i="1"/>
  <c r="B4630" i="1"/>
  <c r="D4630" i="1"/>
  <c r="G4630" i="1"/>
  <c r="B824" i="1"/>
  <c r="D824" i="1"/>
  <c r="G824" i="1"/>
  <c r="B5210" i="1"/>
  <c r="D5210" i="1"/>
  <c r="G5210" i="1"/>
  <c r="B13652" i="1"/>
  <c r="D13652" i="1"/>
  <c r="G13652" i="1"/>
  <c r="B6283" i="1"/>
  <c r="D6283" i="1"/>
  <c r="G6283" i="1"/>
  <c r="B6284" i="1"/>
  <c r="D6284" i="1"/>
  <c r="G6284" i="1"/>
  <c r="B3746" i="1"/>
  <c r="D3746" i="1"/>
  <c r="G3746" i="1"/>
  <c r="B4631" i="1"/>
  <c r="D4631" i="1"/>
  <c r="G4631" i="1"/>
  <c r="B5716" i="1"/>
  <c r="D5716" i="1"/>
  <c r="G5716" i="1"/>
  <c r="B6935" i="1"/>
  <c r="D6935" i="1"/>
  <c r="G6935" i="1"/>
  <c r="B2007" i="1"/>
  <c r="D2007" i="1"/>
  <c r="G2007" i="1"/>
  <c r="B920" i="1"/>
  <c r="D920" i="1"/>
  <c r="G920" i="1"/>
  <c r="B6285" i="1"/>
  <c r="D6285" i="1"/>
  <c r="G6285" i="1"/>
  <c r="B1876" i="1"/>
  <c r="D1876" i="1"/>
  <c r="G1876" i="1"/>
  <c r="B11125" i="1"/>
  <c r="D11125" i="1"/>
  <c r="G11125" i="1"/>
  <c r="B12996" i="1"/>
  <c r="D12996" i="1"/>
  <c r="G12996" i="1"/>
  <c r="B16427" i="1"/>
  <c r="D16427" i="1"/>
  <c r="G16427" i="1"/>
  <c r="B9676" i="1"/>
  <c r="D9676" i="1"/>
  <c r="G9676" i="1"/>
  <c r="B9677" i="1"/>
  <c r="D9677" i="1"/>
  <c r="G9677" i="1"/>
  <c r="B4453" i="1"/>
  <c r="D4453" i="1"/>
  <c r="G4453" i="1"/>
  <c r="B10494" i="1"/>
  <c r="D10494" i="1"/>
  <c r="G10494" i="1"/>
  <c r="B9678" i="1"/>
  <c r="D9678" i="1"/>
  <c r="G9678" i="1"/>
  <c r="B12660" i="1"/>
  <c r="D12660" i="1"/>
  <c r="G12660" i="1"/>
  <c r="B9679" i="1"/>
  <c r="D9679" i="1"/>
  <c r="G9679" i="1"/>
  <c r="B9680" i="1"/>
  <c r="D9680" i="1"/>
  <c r="G9680" i="1"/>
  <c r="B4250" i="1"/>
  <c r="D4250" i="1"/>
  <c r="G4250" i="1"/>
  <c r="B3598" i="1"/>
  <c r="D3598" i="1"/>
  <c r="G3598" i="1"/>
  <c r="B2124" i="1"/>
  <c r="D2124" i="1"/>
  <c r="G2124" i="1"/>
  <c r="B10796" i="1"/>
  <c r="D10796" i="1"/>
  <c r="G10796" i="1"/>
  <c r="B13146" i="1"/>
  <c r="D13146" i="1"/>
  <c r="G13146" i="1"/>
  <c r="B2788" i="1"/>
  <c r="D2788" i="1"/>
  <c r="G2788" i="1"/>
  <c r="B1979" i="1"/>
  <c r="D1979" i="1"/>
  <c r="G1979" i="1"/>
  <c r="B4732" i="1"/>
  <c r="D4732" i="1"/>
  <c r="G4732" i="1"/>
  <c r="B6756" i="1"/>
  <c r="D6756" i="1"/>
  <c r="G6756" i="1"/>
  <c r="B6865" i="1"/>
  <c r="D6865" i="1"/>
  <c r="G6865" i="1"/>
  <c r="B9122" i="1"/>
  <c r="D9122" i="1"/>
  <c r="G9122" i="1"/>
  <c r="B19185" i="1"/>
  <c r="D19185" i="1"/>
  <c r="G19185" i="1"/>
  <c r="B18849" i="1"/>
  <c r="D18849" i="1"/>
  <c r="G18849" i="1"/>
  <c r="B11126" i="1"/>
  <c r="D11126" i="1"/>
  <c r="G11126" i="1"/>
  <c r="B10216" i="1"/>
  <c r="D10216" i="1"/>
  <c r="G10216" i="1"/>
  <c r="B2383" i="1"/>
  <c r="D2383" i="1"/>
  <c r="G2383" i="1"/>
  <c r="B2789" i="1"/>
  <c r="D2789" i="1"/>
  <c r="G2789" i="1"/>
  <c r="B1211" i="1"/>
  <c r="D1211" i="1"/>
  <c r="G1211" i="1"/>
  <c r="B1212" i="1"/>
  <c r="D1212" i="1"/>
  <c r="G1212" i="1"/>
  <c r="B9874" i="1"/>
  <c r="D9874" i="1"/>
  <c r="G9874" i="1"/>
  <c r="B2030" i="1"/>
  <c r="D2030" i="1"/>
  <c r="G2030" i="1"/>
  <c r="B12044" i="1"/>
  <c r="D12044" i="1"/>
  <c r="G12044" i="1"/>
  <c r="B12045" i="1"/>
  <c r="D12045" i="1"/>
  <c r="G12045" i="1"/>
  <c r="B22138" i="1"/>
  <c r="D22138" i="1"/>
  <c r="G22138" i="1"/>
  <c r="B9123" i="1"/>
  <c r="D9123" i="1"/>
  <c r="G9123" i="1"/>
  <c r="B2463" i="1"/>
  <c r="D2463" i="1"/>
  <c r="G2463" i="1"/>
  <c r="B8799" i="1"/>
  <c r="D8799" i="1"/>
  <c r="G8799" i="1"/>
  <c r="B5211" i="1"/>
  <c r="D5211" i="1"/>
  <c r="G5211" i="1"/>
  <c r="B7819" i="1"/>
  <c r="D7819" i="1"/>
  <c r="G7819" i="1"/>
  <c r="B7820" i="1"/>
  <c r="D7820" i="1"/>
  <c r="G7820" i="1"/>
  <c r="B7487" i="1"/>
  <c r="D7487" i="1"/>
  <c r="G7487" i="1"/>
  <c r="B2790" i="1"/>
  <c r="D2790" i="1"/>
  <c r="G2790" i="1"/>
  <c r="B8492" i="1"/>
  <c r="D8492" i="1"/>
  <c r="G8492" i="1"/>
  <c r="B8493" i="1"/>
  <c r="D8493" i="1"/>
  <c r="G8493" i="1"/>
  <c r="B8187" i="1"/>
  <c r="D8187" i="1"/>
  <c r="G8187" i="1"/>
  <c r="B9200" i="1"/>
  <c r="D9200" i="1"/>
  <c r="G9200" i="1"/>
  <c r="B3599" i="1"/>
  <c r="D3599" i="1"/>
  <c r="G3599" i="1"/>
  <c r="B7488" i="1"/>
  <c r="D7488" i="1"/>
  <c r="G7488" i="1"/>
  <c r="B16428" i="1"/>
  <c r="D16428" i="1"/>
  <c r="G16428" i="1"/>
  <c r="B1213" i="1"/>
  <c r="D1213" i="1"/>
  <c r="G1213" i="1"/>
  <c r="B7076" i="1"/>
  <c r="D7076" i="1"/>
  <c r="G7076" i="1"/>
  <c r="B20802" i="1"/>
  <c r="D20802" i="1"/>
  <c r="G20802" i="1"/>
  <c r="B2791" i="1"/>
  <c r="D2791" i="1"/>
  <c r="G2791" i="1"/>
  <c r="B13418" i="1"/>
  <c r="D13418" i="1"/>
  <c r="G13418" i="1"/>
  <c r="B7489" i="1"/>
  <c r="D7489" i="1"/>
  <c r="G7489" i="1"/>
  <c r="B19186" i="1"/>
  <c r="D19186" i="1"/>
  <c r="G19186" i="1"/>
  <c r="B12433" i="1"/>
  <c r="D12433" i="1"/>
  <c r="G12433" i="1"/>
  <c r="B6757" i="1"/>
  <c r="D6757" i="1"/>
  <c r="G6757" i="1"/>
  <c r="B3913" i="1"/>
  <c r="D3913" i="1"/>
  <c r="G3913" i="1"/>
  <c r="B3600" i="1"/>
  <c r="D3600" i="1"/>
  <c r="G3600" i="1"/>
  <c r="B3098" i="1"/>
  <c r="D3098" i="1"/>
  <c r="G3098" i="1"/>
  <c r="B12661" i="1"/>
  <c r="D12661" i="1"/>
  <c r="G12661" i="1"/>
  <c r="B1647" i="1"/>
  <c r="D1647" i="1"/>
  <c r="G1647" i="1"/>
  <c r="B1648" i="1"/>
  <c r="D1648" i="1"/>
  <c r="G1648" i="1"/>
  <c r="B5212" i="1"/>
  <c r="D5212" i="1"/>
  <c r="G5212" i="1"/>
  <c r="B2792" i="1"/>
  <c r="D2792" i="1"/>
  <c r="G2792" i="1"/>
  <c r="B18458" i="1"/>
  <c r="D18458" i="1"/>
  <c r="G18458" i="1"/>
  <c r="B6936" i="1"/>
  <c r="D6936" i="1"/>
  <c r="G6936" i="1"/>
  <c r="B21693" i="1"/>
  <c r="D21693" i="1"/>
  <c r="G21693" i="1"/>
  <c r="B3747" i="1"/>
  <c r="D3747" i="1"/>
  <c r="G3747" i="1"/>
  <c r="B4632" i="1"/>
  <c r="D4632" i="1"/>
  <c r="G4632" i="1"/>
  <c r="B1214" i="1"/>
  <c r="D1214" i="1"/>
  <c r="G1214" i="1"/>
  <c r="B8115" i="1"/>
  <c r="D8115" i="1"/>
  <c r="G8115" i="1"/>
  <c r="B3099" i="1"/>
  <c r="D3099" i="1"/>
  <c r="G3099" i="1"/>
  <c r="B4633" i="1"/>
  <c r="D4633" i="1"/>
  <c r="G4633" i="1"/>
  <c r="B6037" i="1"/>
  <c r="D6037" i="1"/>
  <c r="G6037" i="1"/>
  <c r="B9547" i="1"/>
  <c r="D9547" i="1"/>
  <c r="G9547" i="1"/>
  <c r="B9548" i="1"/>
  <c r="D9548" i="1"/>
  <c r="G9548" i="1"/>
  <c r="B5717" i="1"/>
  <c r="D5717" i="1"/>
  <c r="G5717" i="1"/>
  <c r="B2031" i="1"/>
  <c r="D2031" i="1"/>
  <c r="G2031" i="1"/>
  <c r="B2384" i="1"/>
  <c r="D2384" i="1"/>
  <c r="G2384" i="1"/>
  <c r="B543" i="1"/>
  <c r="D543" i="1"/>
  <c r="G543" i="1"/>
  <c r="B5598" i="1"/>
  <c r="D5598" i="1"/>
  <c r="G5598" i="1"/>
  <c r="B544" i="1"/>
  <c r="D544" i="1"/>
  <c r="G544" i="1"/>
  <c r="B7012" i="1"/>
  <c r="D7012" i="1"/>
  <c r="G7012" i="1"/>
  <c r="B7013" i="1"/>
  <c r="D7013" i="1"/>
  <c r="G7013" i="1"/>
  <c r="B3601" i="1"/>
  <c r="D3601" i="1"/>
  <c r="G3601" i="1"/>
  <c r="B2793" i="1"/>
  <c r="D2793" i="1"/>
  <c r="G2793" i="1"/>
  <c r="B5435" i="1"/>
  <c r="D5435" i="1"/>
  <c r="G5435" i="1"/>
  <c r="B1215" i="1"/>
  <c r="D1215" i="1"/>
  <c r="G1215" i="1"/>
  <c r="B545" i="1"/>
  <c r="D545" i="1"/>
  <c r="G545" i="1"/>
  <c r="B546" i="1"/>
  <c r="D546" i="1"/>
  <c r="G546" i="1"/>
  <c r="B2181" i="1"/>
  <c r="D2181" i="1"/>
  <c r="G2181" i="1"/>
  <c r="B3602" i="1"/>
  <c r="D3602" i="1"/>
  <c r="G3602" i="1"/>
  <c r="B3748" i="1"/>
  <c r="D3748" i="1"/>
  <c r="G3748" i="1"/>
  <c r="B4634" i="1"/>
  <c r="D4634" i="1"/>
  <c r="G4634" i="1"/>
  <c r="B2464" i="1"/>
  <c r="D2464" i="1"/>
  <c r="G2464" i="1"/>
  <c r="B13057" i="1"/>
  <c r="D13057" i="1"/>
  <c r="G13057" i="1"/>
  <c r="B6286" i="1"/>
  <c r="D6286" i="1"/>
  <c r="G6286" i="1"/>
  <c r="B9681" i="1"/>
  <c r="D9681" i="1"/>
  <c r="G9681" i="1"/>
  <c r="B9682" i="1"/>
  <c r="D9682" i="1"/>
  <c r="G9682" i="1"/>
  <c r="B3749" i="1"/>
  <c r="D3749" i="1"/>
  <c r="G3749" i="1"/>
  <c r="B4635" i="1"/>
  <c r="D4635" i="1"/>
  <c r="G4635" i="1"/>
  <c r="B8276" i="1"/>
  <c r="D8276" i="1"/>
  <c r="G8276" i="1"/>
  <c r="B9683" i="1"/>
  <c r="D9683" i="1"/>
  <c r="G9683" i="1"/>
  <c r="B18459" i="1"/>
  <c r="D18459" i="1"/>
  <c r="G18459" i="1"/>
  <c r="B10277" i="1"/>
  <c r="D10277" i="1"/>
  <c r="G10277" i="1"/>
  <c r="B2794" i="1"/>
  <c r="D2794" i="1"/>
  <c r="G2794" i="1"/>
  <c r="B8800" i="1"/>
  <c r="D8800" i="1"/>
  <c r="G8800" i="1"/>
  <c r="B3603" i="1"/>
  <c r="D3603" i="1"/>
  <c r="G3603" i="1"/>
  <c r="B8801" i="1"/>
  <c r="D8801" i="1"/>
  <c r="G8801" i="1"/>
  <c r="B8802" i="1"/>
  <c r="D8802" i="1"/>
  <c r="G8802" i="1"/>
  <c r="B8803" i="1"/>
  <c r="D8803" i="1"/>
  <c r="G8803" i="1"/>
  <c r="B3914" i="1"/>
  <c r="D3914" i="1"/>
  <c r="G3914" i="1"/>
  <c r="B1216" i="1"/>
  <c r="D1216" i="1"/>
  <c r="G1216" i="1"/>
  <c r="B9684" i="1"/>
  <c r="D9684" i="1"/>
  <c r="G9684" i="1"/>
  <c r="B9685" i="1"/>
  <c r="D9685" i="1"/>
  <c r="G9685" i="1"/>
  <c r="B9896" i="1"/>
  <c r="D9896" i="1"/>
  <c r="G9896" i="1"/>
  <c r="B876" i="1"/>
  <c r="D876" i="1"/>
  <c r="G876" i="1"/>
  <c r="B9228" i="1"/>
  <c r="D9228" i="1"/>
  <c r="G9228" i="1"/>
  <c r="B3100" i="1"/>
  <c r="D3100" i="1"/>
  <c r="G3100" i="1"/>
  <c r="B4331" i="1"/>
  <c r="D4331" i="1"/>
  <c r="G4331" i="1"/>
  <c r="B22139" i="1"/>
  <c r="D22139" i="1"/>
  <c r="G22139" i="1"/>
  <c r="B392" i="1"/>
  <c r="D392" i="1"/>
  <c r="G392" i="1"/>
  <c r="B5436" i="1"/>
  <c r="D5436" i="1"/>
  <c r="G5436" i="1"/>
  <c r="B6866" i="1"/>
  <c r="D6866" i="1"/>
  <c r="G6866" i="1"/>
  <c r="B1649" i="1"/>
  <c r="D1649" i="1"/>
  <c r="G1649" i="1"/>
  <c r="B6287" i="1"/>
  <c r="D6287" i="1"/>
  <c r="G6287" i="1"/>
  <c r="B18460" i="1"/>
  <c r="D18460" i="1"/>
  <c r="G18460" i="1"/>
  <c r="B105" i="1"/>
  <c r="D105" i="1"/>
  <c r="G105" i="1"/>
  <c r="B21289" i="1"/>
  <c r="D21289" i="1"/>
  <c r="G21289" i="1"/>
  <c r="B4897" i="1"/>
  <c r="D4897" i="1"/>
  <c r="G4897" i="1"/>
  <c r="B9376" i="1"/>
  <c r="D9376" i="1"/>
  <c r="G9376" i="1"/>
  <c r="B6083" i="1"/>
  <c r="D6083" i="1"/>
  <c r="G6083" i="1"/>
  <c r="B4332" i="1"/>
  <c r="D4332" i="1"/>
  <c r="G4332" i="1"/>
  <c r="B6867" i="1"/>
  <c r="D6867" i="1"/>
  <c r="G6867" i="1"/>
  <c r="B6288" i="1"/>
  <c r="D6288" i="1"/>
  <c r="G6288" i="1"/>
  <c r="B6490" i="1"/>
  <c r="D6490" i="1"/>
  <c r="G6490" i="1"/>
  <c r="B16429" i="1"/>
  <c r="D16429" i="1"/>
  <c r="G16429" i="1"/>
  <c r="B2125" i="1"/>
  <c r="D2125" i="1"/>
  <c r="G2125" i="1"/>
  <c r="B19471" i="1"/>
  <c r="D19471" i="1"/>
  <c r="G19471" i="1"/>
  <c r="B10797" i="1"/>
  <c r="D10797" i="1"/>
  <c r="G10797" i="1"/>
  <c r="B9686" i="1"/>
  <c r="D9686" i="1"/>
  <c r="G9686" i="1"/>
  <c r="B9687" i="1"/>
  <c r="D9687" i="1"/>
  <c r="G9687" i="1"/>
  <c r="B9688" i="1"/>
  <c r="D9688" i="1"/>
  <c r="G9688" i="1"/>
  <c r="B19472" i="1"/>
  <c r="D19472" i="1"/>
  <c r="G19472" i="1"/>
  <c r="B8242" i="1"/>
  <c r="D8242" i="1"/>
  <c r="G8242" i="1"/>
  <c r="B13413" i="1"/>
  <c r="D13413" i="1"/>
  <c r="G13413" i="1"/>
  <c r="B6289" i="1"/>
  <c r="D6289" i="1"/>
  <c r="G6289" i="1"/>
  <c r="B7490" i="1"/>
  <c r="D7490" i="1"/>
  <c r="G7490" i="1"/>
  <c r="B393" i="1"/>
  <c r="D393" i="1"/>
  <c r="G393" i="1"/>
  <c r="B3197" i="1"/>
  <c r="D3197" i="1"/>
  <c r="G3197" i="1"/>
  <c r="B8804" i="1"/>
  <c r="D8804" i="1"/>
  <c r="G8804" i="1"/>
  <c r="B9812" i="1"/>
  <c r="D9812" i="1"/>
  <c r="G9812" i="1"/>
  <c r="B9813" i="1"/>
  <c r="D9813" i="1"/>
  <c r="G9813" i="1"/>
  <c r="B12046" i="1"/>
  <c r="D12046" i="1"/>
  <c r="G12046" i="1"/>
  <c r="B21895" i="1"/>
  <c r="D21895" i="1"/>
  <c r="G21895" i="1"/>
  <c r="B2795" i="1"/>
  <c r="D2795" i="1"/>
  <c r="G2795" i="1"/>
  <c r="B1650" i="1"/>
  <c r="D1650" i="1"/>
  <c r="G1650" i="1"/>
  <c r="B1651" i="1"/>
  <c r="D1651" i="1"/>
  <c r="G1651" i="1"/>
  <c r="B5851" i="1"/>
  <c r="D5851" i="1"/>
  <c r="G5851" i="1"/>
  <c r="B10798" i="1"/>
  <c r="D10798" i="1"/>
  <c r="G10798" i="1"/>
  <c r="B1652" i="1"/>
  <c r="D1652" i="1"/>
  <c r="G1652" i="1"/>
  <c r="B1653" i="1"/>
  <c r="D1653" i="1"/>
  <c r="G1653" i="1"/>
  <c r="B13219" i="1"/>
  <c r="D13219" i="1"/>
  <c r="G13219" i="1"/>
  <c r="B4861" i="1"/>
  <c r="D4861" i="1"/>
  <c r="G4861" i="1"/>
  <c r="B9949" i="1"/>
  <c r="D9949" i="1"/>
  <c r="G9949" i="1"/>
  <c r="B8494" i="1"/>
  <c r="D8494" i="1"/>
  <c r="G8494" i="1"/>
  <c r="B8495" i="1"/>
  <c r="D8495" i="1"/>
  <c r="G8495" i="1"/>
  <c r="B6125" i="1"/>
  <c r="D6125" i="1"/>
  <c r="G6125" i="1"/>
  <c r="B5213" i="1"/>
  <c r="D5213" i="1"/>
  <c r="G5213" i="1"/>
  <c r="B7329" i="1"/>
  <c r="D7329" i="1"/>
  <c r="G7329" i="1"/>
  <c r="B12662" i="1"/>
  <c r="D12662" i="1"/>
  <c r="G12662" i="1"/>
  <c r="B8805" i="1"/>
  <c r="D8805" i="1"/>
  <c r="G8805" i="1"/>
  <c r="B2796" i="1"/>
  <c r="D2796" i="1"/>
  <c r="G2796" i="1"/>
  <c r="B1654" i="1"/>
  <c r="D1654" i="1"/>
  <c r="G1654" i="1"/>
  <c r="B6758" i="1"/>
  <c r="D6758" i="1"/>
  <c r="G6758" i="1"/>
  <c r="B21694" i="1"/>
  <c r="D21694" i="1"/>
  <c r="G21694" i="1"/>
  <c r="B1217" i="1"/>
  <c r="D1217" i="1"/>
  <c r="G1217" i="1"/>
  <c r="B14488" i="1"/>
  <c r="D14488" i="1"/>
  <c r="G14488" i="1"/>
  <c r="B8806" i="1"/>
  <c r="D8806" i="1"/>
  <c r="G8806" i="1"/>
  <c r="B547" i="1"/>
  <c r="D547" i="1"/>
  <c r="G547" i="1"/>
  <c r="B5852" i="1"/>
  <c r="D5852" i="1"/>
  <c r="G5852" i="1"/>
  <c r="B8807" i="1"/>
  <c r="D8807" i="1"/>
  <c r="G8807" i="1"/>
  <c r="B12501" i="1"/>
  <c r="D12501" i="1"/>
  <c r="G12501" i="1"/>
  <c r="B4982" i="1"/>
  <c r="D4982" i="1"/>
  <c r="G4982" i="1"/>
  <c r="B6585" i="1"/>
  <c r="D6585" i="1"/>
  <c r="G6585" i="1"/>
  <c r="B3604" i="1"/>
  <c r="D3604" i="1"/>
  <c r="G3604" i="1"/>
  <c r="B22140" i="1"/>
  <c r="D22140" i="1"/>
  <c r="G22140" i="1"/>
  <c r="B5437" i="1"/>
  <c r="D5437" i="1"/>
  <c r="G5437" i="1"/>
  <c r="B3750" i="1"/>
  <c r="D3750" i="1"/>
  <c r="G3750" i="1"/>
  <c r="B4636" i="1"/>
  <c r="D4636" i="1"/>
  <c r="G4636" i="1"/>
  <c r="B8808" i="1"/>
  <c r="D8808" i="1"/>
  <c r="G8808" i="1"/>
  <c r="B8809" i="1"/>
  <c r="D8809" i="1"/>
  <c r="G8809" i="1"/>
  <c r="B6653" i="1"/>
  <c r="D6653" i="1"/>
  <c r="G6653" i="1"/>
  <c r="B1218" i="1"/>
  <c r="D1218" i="1"/>
  <c r="G1218" i="1"/>
  <c r="B4107" i="1"/>
  <c r="D4107" i="1"/>
  <c r="G4107" i="1"/>
  <c r="B14269" i="1"/>
  <c r="D14269" i="1"/>
  <c r="G14269" i="1"/>
  <c r="B9124" i="1"/>
  <c r="D9124" i="1"/>
  <c r="G9124" i="1"/>
  <c r="B7491" i="1"/>
  <c r="D7491" i="1"/>
  <c r="G7491" i="1"/>
  <c r="B15019" i="1"/>
  <c r="D15019" i="1"/>
  <c r="G15019" i="1"/>
  <c r="B770" i="1"/>
  <c r="D770" i="1"/>
  <c r="G770" i="1"/>
  <c r="B1020" i="1"/>
  <c r="D1020" i="1"/>
  <c r="G1020" i="1"/>
  <c r="B8056" i="1"/>
  <c r="D8056" i="1"/>
  <c r="G8056" i="1"/>
  <c r="B15020" i="1"/>
  <c r="D15020" i="1"/>
  <c r="G15020" i="1"/>
  <c r="B15448" i="1"/>
  <c r="D15448" i="1"/>
  <c r="G15448" i="1"/>
  <c r="B20591" i="1"/>
  <c r="D20591" i="1"/>
  <c r="G20591" i="1"/>
  <c r="B548" i="1"/>
  <c r="D548" i="1"/>
  <c r="G548" i="1"/>
  <c r="B4220" i="1"/>
  <c r="D4220" i="1"/>
  <c r="G4220" i="1"/>
  <c r="B21528" i="1"/>
  <c r="D21528" i="1"/>
  <c r="G21528" i="1"/>
  <c r="B6568" i="1"/>
  <c r="D6568" i="1"/>
  <c r="G6568" i="1"/>
  <c r="B5438" i="1"/>
  <c r="D5438" i="1"/>
  <c r="G5438" i="1"/>
  <c r="B5853" i="1"/>
  <c r="D5853" i="1"/>
  <c r="G5853" i="1"/>
  <c r="B5718" i="1"/>
  <c r="D5718" i="1"/>
  <c r="G5718" i="1"/>
  <c r="B10155" i="1"/>
  <c r="D10155" i="1"/>
  <c r="G10155" i="1"/>
  <c r="B19187" i="1"/>
  <c r="D19187" i="1"/>
  <c r="G19187" i="1"/>
  <c r="B18850" i="1"/>
  <c r="D18850" i="1"/>
  <c r="G18850" i="1"/>
  <c r="B7492" i="1"/>
  <c r="D7492" i="1"/>
  <c r="G7492" i="1"/>
  <c r="B1538" i="1"/>
  <c r="D1538" i="1"/>
  <c r="G1538" i="1"/>
  <c r="B9229" i="1"/>
  <c r="D9229" i="1"/>
  <c r="G9229" i="1"/>
  <c r="B21896" i="1"/>
  <c r="D21896" i="1"/>
  <c r="G21896" i="1"/>
  <c r="B18461" i="1"/>
  <c r="D18461" i="1"/>
  <c r="G18461" i="1"/>
  <c r="B106" i="1"/>
  <c r="D106" i="1"/>
  <c r="G106" i="1"/>
  <c r="B5439" i="1"/>
  <c r="D5439" i="1"/>
  <c r="G5439" i="1"/>
  <c r="B8057" i="1"/>
  <c r="D8057" i="1"/>
  <c r="G8057" i="1"/>
  <c r="B19018" i="1"/>
  <c r="D19018" i="1"/>
  <c r="G19018" i="1"/>
  <c r="B2385" i="1"/>
  <c r="D2385" i="1"/>
  <c r="G2385" i="1"/>
  <c r="B196" i="1"/>
  <c r="D196" i="1"/>
  <c r="G196" i="1"/>
  <c r="B19188" i="1"/>
  <c r="D19188" i="1"/>
  <c r="G19188" i="1"/>
  <c r="B7821" i="1"/>
  <c r="D7821" i="1"/>
  <c r="G7821" i="1"/>
  <c r="B7822" i="1"/>
  <c r="D7822" i="1"/>
  <c r="G7822" i="1"/>
  <c r="B6290" i="1"/>
  <c r="D6290" i="1"/>
  <c r="G6290" i="1"/>
  <c r="B6291" i="1"/>
  <c r="D6291" i="1"/>
  <c r="G6291" i="1"/>
  <c r="B15021" i="1"/>
  <c r="D15021" i="1"/>
  <c r="G15021" i="1"/>
  <c r="B4733" i="1"/>
  <c r="D4733" i="1"/>
  <c r="G4733" i="1"/>
  <c r="B179" i="1"/>
  <c r="D179" i="1"/>
  <c r="G179" i="1"/>
  <c r="B10356" i="1"/>
  <c r="D10356" i="1"/>
  <c r="G10356" i="1"/>
  <c r="B10799" i="1"/>
  <c r="D10799" i="1"/>
  <c r="G10799" i="1"/>
  <c r="B9814" i="1"/>
  <c r="D9814" i="1"/>
  <c r="G9814" i="1"/>
  <c r="B9815" i="1"/>
  <c r="D9815" i="1"/>
  <c r="G9815" i="1"/>
  <c r="B2797" i="1"/>
  <c r="D2797" i="1"/>
  <c r="G2797" i="1"/>
  <c r="B20592" i="1"/>
  <c r="D20592" i="1"/>
  <c r="G20592" i="1"/>
  <c r="B20593" i="1"/>
  <c r="D20593" i="1"/>
  <c r="G20593" i="1"/>
  <c r="B2798" i="1"/>
  <c r="D2798" i="1"/>
  <c r="G2798" i="1"/>
  <c r="B3043" i="1"/>
  <c r="D3043" i="1"/>
  <c r="G3043" i="1"/>
  <c r="B12434" i="1"/>
  <c r="D12434" i="1"/>
  <c r="G12434" i="1"/>
  <c r="B6292" i="1"/>
  <c r="D6292" i="1"/>
  <c r="G6292" i="1"/>
  <c r="B6293" i="1"/>
  <c r="D6293" i="1"/>
  <c r="G6293" i="1"/>
  <c r="B16430" i="1"/>
  <c r="D16430" i="1"/>
  <c r="G16430" i="1"/>
  <c r="B8389" i="1"/>
  <c r="D8389" i="1"/>
  <c r="G8389" i="1"/>
  <c r="B549" i="1"/>
  <c r="D549" i="1"/>
  <c r="G549" i="1"/>
  <c r="B986" i="1"/>
  <c r="D986" i="1"/>
  <c r="G986" i="1"/>
  <c r="B4862" i="1"/>
  <c r="D4862" i="1"/>
  <c r="G4862" i="1"/>
  <c r="B7493" i="1"/>
  <c r="D7493" i="1"/>
  <c r="G7493" i="1"/>
  <c r="B7494" i="1"/>
  <c r="D7494" i="1"/>
  <c r="G7494" i="1"/>
  <c r="B4333" i="1"/>
  <c r="D4333" i="1"/>
  <c r="G4333" i="1"/>
  <c r="B3915" i="1"/>
  <c r="D3915" i="1"/>
  <c r="G3915" i="1"/>
  <c r="B8243" i="1"/>
  <c r="D8243" i="1"/>
  <c r="G8243" i="1"/>
  <c r="B3044" i="1"/>
  <c r="D3044" i="1"/>
  <c r="G3044" i="1"/>
  <c r="B7823" i="1"/>
  <c r="D7823" i="1"/>
  <c r="G7823" i="1"/>
  <c r="B7824" i="1"/>
  <c r="D7824" i="1"/>
  <c r="G7824" i="1"/>
  <c r="B7495" i="1"/>
  <c r="D7495" i="1"/>
  <c r="G7495" i="1"/>
  <c r="B7330" i="1"/>
  <c r="D7330" i="1"/>
  <c r="G7330" i="1"/>
  <c r="B22026" i="1"/>
  <c r="D22026" i="1"/>
  <c r="G22026" i="1"/>
  <c r="B9689" i="1"/>
  <c r="D9689" i="1"/>
  <c r="G9689" i="1"/>
  <c r="B9690" i="1"/>
  <c r="D9690" i="1"/>
  <c r="G9690" i="1"/>
  <c r="B2799" i="1"/>
  <c r="D2799" i="1"/>
  <c r="G2799" i="1"/>
  <c r="B4863" i="1"/>
  <c r="D4863" i="1"/>
  <c r="G4863" i="1"/>
  <c r="B12047" i="1"/>
  <c r="D12047" i="1"/>
  <c r="G12047" i="1"/>
  <c r="B12396" i="1"/>
  <c r="D12396" i="1"/>
  <c r="G12396" i="1"/>
  <c r="B12395" i="1"/>
  <c r="D12395" i="1"/>
  <c r="G12395" i="1"/>
  <c r="B9179" i="1"/>
  <c r="D9179" i="1"/>
  <c r="G9179" i="1"/>
  <c r="B9691" i="1"/>
  <c r="D9691" i="1"/>
  <c r="G9691" i="1"/>
  <c r="B9692" i="1"/>
  <c r="D9692" i="1"/>
  <c r="G9692" i="1"/>
  <c r="B11036" i="1"/>
  <c r="D11036" i="1"/>
  <c r="G11036" i="1"/>
  <c r="B11037" i="1"/>
  <c r="D11037" i="1"/>
  <c r="G11037" i="1"/>
  <c r="B2800" i="1"/>
  <c r="D2800" i="1"/>
  <c r="G2800" i="1"/>
  <c r="B8810" i="1"/>
  <c r="D8810" i="1"/>
  <c r="G8810" i="1"/>
  <c r="B8058" i="1"/>
  <c r="D8058" i="1"/>
  <c r="G8058" i="1"/>
  <c r="B134" i="1"/>
  <c r="D134" i="1"/>
  <c r="G134" i="1"/>
  <c r="B550" i="1"/>
  <c r="D550" i="1"/>
  <c r="G550" i="1"/>
  <c r="B6759" i="1"/>
  <c r="D6759" i="1"/>
  <c r="G6759" i="1"/>
  <c r="B8059" i="1"/>
  <c r="D8059" i="1"/>
  <c r="G8059" i="1"/>
  <c r="B13058" i="1"/>
  <c r="D13058" i="1"/>
  <c r="G13058" i="1"/>
  <c r="B2801" i="1"/>
  <c r="D2801" i="1"/>
  <c r="G2801" i="1"/>
  <c r="B1655" i="1"/>
  <c r="D1655" i="1"/>
  <c r="G1655" i="1"/>
  <c r="B5094" i="1"/>
  <c r="D5094" i="1"/>
  <c r="G5094" i="1"/>
  <c r="B9816" i="1"/>
  <c r="D9816" i="1"/>
  <c r="G9816" i="1"/>
  <c r="B9817" i="1"/>
  <c r="D9817" i="1"/>
  <c r="G9817" i="1"/>
  <c r="B394" i="1"/>
  <c r="D394" i="1"/>
  <c r="G394" i="1"/>
  <c r="B7496" i="1"/>
  <c r="D7496" i="1"/>
  <c r="G7496" i="1"/>
  <c r="B19473" i="1"/>
  <c r="D19473" i="1"/>
  <c r="G19473" i="1"/>
  <c r="B19474" i="1"/>
  <c r="D19474" i="1"/>
  <c r="G19474" i="1"/>
  <c r="B20295" i="1"/>
  <c r="D20295" i="1"/>
  <c r="G20295" i="1"/>
  <c r="B1656" i="1"/>
  <c r="D1656" i="1"/>
  <c r="G1656" i="1"/>
  <c r="B1657" i="1"/>
  <c r="D1657" i="1"/>
  <c r="G1657" i="1"/>
  <c r="B2802" i="1"/>
  <c r="D2802" i="1"/>
  <c r="G2802" i="1"/>
  <c r="B4334" i="1"/>
  <c r="D4334" i="1"/>
  <c r="G4334" i="1"/>
  <c r="B8244" i="1"/>
  <c r="D8244" i="1"/>
  <c r="G8244" i="1"/>
  <c r="B6294" i="1"/>
  <c r="D6294" i="1"/>
  <c r="G6294" i="1"/>
  <c r="B3605" i="1"/>
  <c r="D3605" i="1"/>
  <c r="G3605" i="1"/>
  <c r="B6491" i="1"/>
  <c r="D6491" i="1"/>
  <c r="G6491" i="1"/>
  <c r="B19475" i="1"/>
  <c r="D19475" i="1"/>
  <c r="G19475" i="1"/>
  <c r="B6760" i="1"/>
  <c r="D6760" i="1"/>
  <c r="G6760" i="1"/>
  <c r="B8245" i="1"/>
  <c r="D8245" i="1"/>
  <c r="G8245" i="1"/>
  <c r="B3916" i="1"/>
  <c r="D3916" i="1"/>
  <c r="G3916" i="1"/>
  <c r="B7497" i="1"/>
  <c r="D7497" i="1"/>
  <c r="G7497" i="1"/>
  <c r="B3606" i="1"/>
  <c r="D3606" i="1"/>
  <c r="G3606" i="1"/>
  <c r="B5977" i="1"/>
  <c r="D5977" i="1"/>
  <c r="G5977" i="1"/>
  <c r="B7498" i="1"/>
  <c r="D7498" i="1"/>
  <c r="G7498" i="1"/>
  <c r="B6295" i="1"/>
  <c r="D6295" i="1"/>
  <c r="G6295" i="1"/>
  <c r="B1658" i="1"/>
  <c r="D1658" i="1"/>
  <c r="G1658" i="1"/>
  <c r="B1659" i="1"/>
  <c r="D1659" i="1"/>
  <c r="G1659" i="1"/>
  <c r="B3395" i="1"/>
  <c r="D3395" i="1"/>
  <c r="G3395" i="1"/>
  <c r="B7825" i="1"/>
  <c r="D7825" i="1"/>
  <c r="G7825" i="1"/>
  <c r="B7826" i="1"/>
  <c r="D7826" i="1"/>
  <c r="G7826" i="1"/>
  <c r="B10119" i="1"/>
  <c r="D10119" i="1"/>
  <c r="G10119" i="1"/>
  <c r="B1660" i="1"/>
  <c r="D1660" i="1"/>
  <c r="G1660" i="1"/>
  <c r="B14715" i="1"/>
  <c r="D14715" i="1"/>
  <c r="G14715" i="1"/>
  <c r="B19189" i="1"/>
  <c r="D19189" i="1"/>
  <c r="G19189" i="1"/>
  <c r="B10120" i="1"/>
  <c r="D10120" i="1"/>
  <c r="G10120" i="1"/>
  <c r="B14609" i="1"/>
  <c r="D14609" i="1"/>
  <c r="G14609" i="1"/>
  <c r="B18462" i="1"/>
  <c r="D18462" i="1"/>
  <c r="G18462" i="1"/>
  <c r="B12817" i="1"/>
  <c r="D12817" i="1"/>
  <c r="G12817" i="1"/>
  <c r="B3311" i="1"/>
  <c r="D3311" i="1"/>
  <c r="G3311" i="1"/>
  <c r="B765" i="1"/>
  <c r="D765" i="1"/>
  <c r="G765" i="1"/>
  <c r="B6120" i="1"/>
  <c r="D6120" i="1"/>
  <c r="G6120" i="1"/>
  <c r="B4537" i="1"/>
  <c r="D4537" i="1"/>
  <c r="G4537" i="1"/>
  <c r="B2032" i="1"/>
  <c r="D2032" i="1"/>
  <c r="G2032" i="1"/>
  <c r="B3607" i="1"/>
  <c r="D3607" i="1"/>
  <c r="G3607" i="1"/>
  <c r="B4221" i="1"/>
  <c r="D4221" i="1"/>
  <c r="G4221" i="1"/>
  <c r="B12936" i="1"/>
  <c r="D12936" i="1"/>
  <c r="G12936" i="1"/>
  <c r="B12048" i="1"/>
  <c r="D12048" i="1"/>
  <c r="G12048" i="1"/>
  <c r="B3234" i="1"/>
  <c r="D3234" i="1"/>
  <c r="G3234" i="1"/>
  <c r="B6761" i="1"/>
  <c r="D6761" i="1"/>
  <c r="G6761" i="1"/>
  <c r="B5114" i="1"/>
  <c r="D5114" i="1"/>
  <c r="G5114" i="1"/>
  <c r="B4804" i="1"/>
  <c r="D4804" i="1"/>
  <c r="G4804" i="1"/>
  <c r="B2803" i="1"/>
  <c r="D2803" i="1"/>
  <c r="G2803" i="1"/>
  <c r="B1219" i="1"/>
  <c r="D1219" i="1"/>
  <c r="G1219" i="1"/>
  <c r="B2804" i="1"/>
  <c r="D2804" i="1"/>
  <c r="G2804" i="1"/>
  <c r="B2386" i="1"/>
  <c r="D2386" i="1"/>
  <c r="G2386" i="1"/>
  <c r="B7331" i="1"/>
  <c r="D7331" i="1"/>
  <c r="G7331" i="1"/>
  <c r="B11777" i="1"/>
  <c r="D11777" i="1"/>
  <c r="G11777" i="1"/>
  <c r="B9693" i="1"/>
  <c r="D9693" i="1"/>
  <c r="G9693" i="1"/>
  <c r="B9694" i="1"/>
  <c r="D9694" i="1"/>
  <c r="G9694" i="1"/>
  <c r="B9695" i="1"/>
  <c r="D9695" i="1"/>
  <c r="G9695" i="1"/>
  <c r="B11778" i="1"/>
  <c r="D11778" i="1"/>
  <c r="G11778" i="1"/>
  <c r="B4413" i="1"/>
  <c r="D4413" i="1"/>
  <c r="G4413" i="1"/>
  <c r="B551" i="1"/>
  <c r="D551" i="1"/>
  <c r="G551" i="1"/>
  <c r="B8811" i="1"/>
  <c r="D8811" i="1"/>
  <c r="G8811" i="1"/>
  <c r="B4575" i="1"/>
  <c r="D4575" i="1"/>
  <c r="G4575" i="1"/>
  <c r="B4335" i="1"/>
  <c r="D4335" i="1"/>
  <c r="G4335" i="1"/>
  <c r="B12049" i="1"/>
  <c r="D12049" i="1"/>
  <c r="G12049" i="1"/>
  <c r="B3349" i="1"/>
  <c r="D3349" i="1"/>
  <c r="G3349" i="1"/>
  <c r="B2232" i="1"/>
  <c r="D2232" i="1"/>
  <c r="G2232" i="1"/>
  <c r="B1661" i="1"/>
  <c r="D1661" i="1"/>
  <c r="G1661" i="1"/>
  <c r="B1662" i="1"/>
  <c r="D1662" i="1"/>
  <c r="G1662" i="1"/>
  <c r="B4899" i="1"/>
  <c r="D4899" i="1"/>
  <c r="G4899" i="1"/>
  <c r="B10495" i="1"/>
  <c r="D10495" i="1"/>
  <c r="G10495" i="1"/>
  <c r="B6296" i="1"/>
  <c r="D6296" i="1"/>
  <c r="G6296" i="1"/>
  <c r="B6492" i="1"/>
  <c r="D6492" i="1"/>
  <c r="G6492" i="1"/>
  <c r="B6493" i="1"/>
  <c r="D6493" i="1"/>
  <c r="G6493" i="1"/>
  <c r="B7332" i="1"/>
  <c r="D7332" i="1"/>
  <c r="G7332" i="1"/>
  <c r="B21695" i="1"/>
  <c r="D21695" i="1"/>
  <c r="G21695" i="1"/>
  <c r="B21696" i="1"/>
  <c r="D21696" i="1"/>
  <c r="G21696" i="1"/>
  <c r="B6654" i="1"/>
  <c r="D6654" i="1"/>
  <c r="G6654" i="1"/>
  <c r="B3824" i="1"/>
  <c r="D3824" i="1"/>
  <c r="G3824" i="1"/>
  <c r="B1220" i="1"/>
  <c r="D1220" i="1"/>
  <c r="G1220" i="1"/>
  <c r="B4454" i="1"/>
  <c r="D4454" i="1"/>
  <c r="G4454" i="1"/>
  <c r="B4864" i="1"/>
  <c r="D4864" i="1"/>
  <c r="G4864" i="1"/>
  <c r="B21897" i="1"/>
  <c r="D21897" i="1"/>
  <c r="G21897" i="1"/>
  <c r="B5440" i="1"/>
  <c r="D5440" i="1"/>
  <c r="G5440" i="1"/>
  <c r="B19821" i="1"/>
  <c r="D19821" i="1"/>
  <c r="G19821" i="1"/>
  <c r="B8812" i="1"/>
  <c r="D8812" i="1"/>
  <c r="G8812" i="1"/>
  <c r="B19019" i="1"/>
  <c r="D19019" i="1"/>
  <c r="G19019" i="1"/>
  <c r="B18851" i="1"/>
  <c r="D18851" i="1"/>
  <c r="G18851" i="1"/>
  <c r="B4805" i="1"/>
  <c r="D4805" i="1"/>
  <c r="G4805" i="1"/>
  <c r="B5441" i="1"/>
  <c r="D5441" i="1"/>
  <c r="G5441" i="1"/>
  <c r="B8813" i="1"/>
  <c r="D8813" i="1"/>
  <c r="G8813" i="1"/>
  <c r="B12414" i="1"/>
  <c r="D12414" i="1"/>
  <c r="G12414" i="1"/>
  <c r="B2033" i="1"/>
  <c r="D2033" i="1"/>
  <c r="G2033" i="1"/>
  <c r="B2034" i="1"/>
  <c r="D2034" i="1"/>
  <c r="G2034" i="1"/>
  <c r="B19020" i="1"/>
  <c r="D19020" i="1"/>
  <c r="G19020" i="1"/>
  <c r="B8324" i="1"/>
  <c r="D8324" i="1"/>
  <c r="G8324" i="1"/>
  <c r="B7499" i="1"/>
  <c r="D7499" i="1"/>
  <c r="G7499" i="1"/>
  <c r="B8246" i="1"/>
  <c r="D8246" i="1"/>
  <c r="G8246" i="1"/>
  <c r="B2805" i="1"/>
  <c r="D2805" i="1"/>
  <c r="G2805" i="1"/>
  <c r="B15022" i="1"/>
  <c r="D15022" i="1"/>
  <c r="G15022" i="1"/>
  <c r="B8116" i="1"/>
  <c r="D8116" i="1"/>
  <c r="G8116" i="1"/>
  <c r="B266" i="1"/>
  <c r="D266" i="1"/>
  <c r="G266" i="1"/>
  <c r="B5818" i="1"/>
  <c r="D5818" i="1"/>
  <c r="G5818" i="1"/>
  <c r="B11127" i="1"/>
  <c r="D11127" i="1"/>
  <c r="G11127" i="1"/>
  <c r="B6537" i="1"/>
  <c r="D6537" i="1"/>
  <c r="G6537" i="1"/>
  <c r="B19476" i="1"/>
  <c r="D19476" i="1"/>
  <c r="G19476" i="1"/>
  <c r="B2806" i="1"/>
  <c r="D2806" i="1"/>
  <c r="G2806" i="1"/>
  <c r="B7187" i="1"/>
  <c r="D7187" i="1"/>
  <c r="G7187" i="1"/>
  <c r="B7188" i="1"/>
  <c r="D7188" i="1"/>
  <c r="G7188" i="1"/>
  <c r="B8325" i="1"/>
  <c r="D8325" i="1"/>
  <c r="G8325" i="1"/>
  <c r="B2387" i="1"/>
  <c r="D2387" i="1"/>
  <c r="G2387" i="1"/>
  <c r="B3350" i="1"/>
  <c r="D3350" i="1"/>
  <c r="G3350" i="1"/>
  <c r="B2303" i="1"/>
  <c r="D2303" i="1"/>
  <c r="G2303" i="1"/>
  <c r="B6038" i="1"/>
  <c r="D6038" i="1"/>
  <c r="G6038" i="1"/>
  <c r="B2807" i="1"/>
  <c r="D2807" i="1"/>
  <c r="G2807" i="1"/>
  <c r="B7827" i="1"/>
  <c r="D7827" i="1"/>
  <c r="G7827" i="1"/>
  <c r="B8188" i="1"/>
  <c r="D8188" i="1"/>
  <c r="G8188" i="1"/>
  <c r="B7189" i="1"/>
  <c r="D7189" i="1"/>
  <c r="G7189" i="1"/>
  <c r="B7190" i="1"/>
  <c r="D7190" i="1"/>
  <c r="G7190" i="1"/>
  <c r="B6297" i="1"/>
  <c r="D6297" i="1"/>
  <c r="G6297" i="1"/>
  <c r="B6298" i="1"/>
  <c r="D6298" i="1"/>
  <c r="G6298" i="1"/>
  <c r="B11038" i="1"/>
  <c r="D11038" i="1"/>
  <c r="G11038" i="1"/>
  <c r="B3608" i="1"/>
  <c r="D3608" i="1"/>
  <c r="G3608" i="1"/>
  <c r="B7828" i="1"/>
  <c r="D7828" i="1"/>
  <c r="G7828" i="1"/>
  <c r="B7829" i="1"/>
  <c r="D7829" i="1"/>
  <c r="G7829" i="1"/>
  <c r="B20803" i="1"/>
  <c r="D20803" i="1"/>
  <c r="G20803" i="1"/>
  <c r="B20804" i="1"/>
  <c r="D20804" i="1"/>
  <c r="G20804" i="1"/>
  <c r="B6299" i="1"/>
  <c r="D6299" i="1"/>
  <c r="G6299" i="1"/>
  <c r="B1221" i="1"/>
  <c r="D1221" i="1"/>
  <c r="G1221" i="1"/>
  <c r="B5442" i="1"/>
  <c r="D5442" i="1"/>
  <c r="G5442" i="1"/>
  <c r="B8117" i="1"/>
  <c r="D8117" i="1"/>
  <c r="G8117" i="1"/>
  <c r="B5443" i="1"/>
  <c r="D5443" i="1"/>
  <c r="G5443" i="1"/>
  <c r="B5444" i="1"/>
  <c r="D5444" i="1"/>
  <c r="G5444" i="1"/>
  <c r="B2465" i="1"/>
  <c r="D2465" i="1"/>
  <c r="G2465" i="1"/>
  <c r="B2808" i="1"/>
  <c r="D2808" i="1"/>
  <c r="G2808" i="1"/>
  <c r="B6300" i="1"/>
  <c r="D6300" i="1"/>
  <c r="G6300" i="1"/>
  <c r="B6301" i="1"/>
  <c r="D6301" i="1"/>
  <c r="G6301" i="1"/>
  <c r="B395" i="1"/>
  <c r="D395" i="1"/>
  <c r="G395" i="1"/>
  <c r="B3027" i="1"/>
  <c r="D3027" i="1"/>
  <c r="G3027" i="1"/>
  <c r="B12818" i="1"/>
  <c r="D12818" i="1"/>
  <c r="G12818" i="1"/>
  <c r="B9950" i="1"/>
  <c r="D9950" i="1"/>
  <c r="G9950" i="1"/>
  <c r="B5854" i="1"/>
  <c r="D5854" i="1"/>
  <c r="G5854" i="1"/>
  <c r="B3609" i="1"/>
  <c r="D3609" i="1"/>
  <c r="G3609" i="1"/>
  <c r="B4950" i="1"/>
  <c r="D4950" i="1"/>
  <c r="G4950" i="1"/>
  <c r="B3917" i="1"/>
  <c r="D3917" i="1"/>
  <c r="G3917" i="1"/>
  <c r="B6551" i="1"/>
  <c r="D6551" i="1"/>
  <c r="G6551" i="1"/>
  <c r="B9549" i="1"/>
  <c r="D9549" i="1"/>
  <c r="G9549" i="1"/>
  <c r="B12050" i="1"/>
  <c r="D12050" i="1"/>
  <c r="G12050" i="1"/>
  <c r="B177" i="1"/>
  <c r="D177" i="1"/>
  <c r="G177" i="1"/>
  <c r="B5445" i="1"/>
  <c r="D5445" i="1"/>
  <c r="G5445" i="1"/>
  <c r="B3918" i="1"/>
  <c r="D3918" i="1"/>
  <c r="G3918" i="1"/>
  <c r="B13278" i="1"/>
  <c r="D13278" i="1"/>
  <c r="G13278" i="1"/>
  <c r="B3610" i="1"/>
  <c r="D3610" i="1"/>
  <c r="G3610" i="1"/>
  <c r="B3751" i="1"/>
  <c r="D3751" i="1"/>
  <c r="G3751" i="1"/>
  <c r="B4173" i="1"/>
  <c r="D4173" i="1"/>
  <c r="G4173" i="1"/>
  <c r="B8814" i="1"/>
  <c r="D8814" i="1"/>
  <c r="G8814" i="1"/>
  <c r="B6762" i="1"/>
  <c r="D6762" i="1"/>
  <c r="G6762" i="1"/>
  <c r="B13900" i="1"/>
  <c r="D13900" i="1"/>
  <c r="G13900" i="1"/>
  <c r="B10800" i="1"/>
  <c r="D10800" i="1"/>
  <c r="G10800" i="1"/>
  <c r="B5139" i="1"/>
  <c r="D5139" i="1"/>
  <c r="G5139" i="1"/>
  <c r="B7014" i="1"/>
  <c r="D7014" i="1"/>
  <c r="G7014" i="1"/>
  <c r="B946" i="1"/>
  <c r="D946" i="1"/>
  <c r="G946" i="1"/>
  <c r="B4770" i="1"/>
  <c r="D4770" i="1"/>
  <c r="G4770" i="1"/>
  <c r="B326" i="1"/>
  <c r="D326" i="1"/>
  <c r="G326" i="1"/>
  <c r="B2809" i="1"/>
  <c r="D2809" i="1"/>
  <c r="G2809" i="1"/>
  <c r="B37" i="1"/>
  <c r="D37" i="1"/>
  <c r="G37" i="1"/>
  <c r="B11128" i="1"/>
  <c r="D11128" i="1"/>
  <c r="G11128" i="1"/>
  <c r="B12819" i="1"/>
  <c r="D12819" i="1"/>
  <c r="G12819" i="1"/>
  <c r="B12969" i="1"/>
  <c r="D12969" i="1"/>
  <c r="G12969" i="1"/>
  <c r="B7830" i="1"/>
  <c r="D7830" i="1"/>
  <c r="G7830" i="1"/>
  <c r="B7831" i="1"/>
  <c r="D7831" i="1"/>
  <c r="G7831" i="1"/>
  <c r="B8496" i="1"/>
  <c r="D8496" i="1"/>
  <c r="G8496" i="1"/>
  <c r="B8497" i="1"/>
  <c r="D8497" i="1"/>
  <c r="G8497" i="1"/>
  <c r="B8815" i="1"/>
  <c r="D8815" i="1"/>
  <c r="G8815" i="1"/>
  <c r="B949" i="1"/>
  <c r="D949" i="1"/>
  <c r="G949" i="1"/>
  <c r="B9230" i="1"/>
  <c r="D9230" i="1"/>
  <c r="G9230" i="1"/>
  <c r="B9231" i="1"/>
  <c r="D9231" i="1"/>
  <c r="G9231" i="1"/>
  <c r="B9696" i="1"/>
  <c r="D9696" i="1"/>
  <c r="G9696" i="1"/>
  <c r="B9697" i="1"/>
  <c r="D9697" i="1"/>
  <c r="G9697" i="1"/>
  <c r="B9897" i="1"/>
  <c r="D9897" i="1"/>
  <c r="G9897" i="1"/>
  <c r="B4806" i="1"/>
  <c r="D4806" i="1"/>
  <c r="G4806" i="1"/>
  <c r="B2810" i="1"/>
  <c r="D2810" i="1"/>
  <c r="G2810" i="1"/>
  <c r="B1222" i="1"/>
  <c r="D1222" i="1"/>
  <c r="G1222" i="1"/>
  <c r="B7077" i="1"/>
  <c r="D7077" i="1"/>
  <c r="G7077" i="1"/>
  <c r="B6763" i="1"/>
  <c r="D6763" i="1"/>
  <c r="G6763" i="1"/>
  <c r="B9698" i="1"/>
  <c r="D9698" i="1"/>
  <c r="G9698" i="1"/>
  <c r="B3919" i="1"/>
  <c r="D3919" i="1"/>
  <c r="G3919" i="1"/>
  <c r="B1663" i="1"/>
  <c r="D1663" i="1"/>
  <c r="G1663" i="1"/>
  <c r="B11298" i="1"/>
  <c r="D11298" i="1"/>
  <c r="G11298" i="1"/>
  <c r="B7832" i="1"/>
  <c r="D7832" i="1"/>
  <c r="G7832" i="1"/>
  <c r="B1664" i="1"/>
  <c r="D1664" i="1"/>
  <c r="G1664" i="1"/>
  <c r="B11299" i="1"/>
  <c r="D11299" i="1"/>
  <c r="G11299" i="1"/>
  <c r="B13059" i="1"/>
  <c r="D13059" i="1"/>
  <c r="G13059" i="1"/>
  <c r="B3101" i="1"/>
  <c r="D3101" i="1"/>
  <c r="G3101" i="1"/>
  <c r="B5599" i="1"/>
  <c r="D5599" i="1"/>
  <c r="G5599" i="1"/>
  <c r="B7500" i="1"/>
  <c r="D7500" i="1"/>
  <c r="G7500" i="1"/>
  <c r="B6494" i="1"/>
  <c r="D6494" i="1"/>
  <c r="G6494" i="1"/>
  <c r="B11738" i="1"/>
  <c r="D11738" i="1"/>
  <c r="G11738" i="1"/>
  <c r="B9699" i="1"/>
  <c r="D9699" i="1"/>
  <c r="G9699" i="1"/>
  <c r="B9700" i="1"/>
  <c r="D9700" i="1"/>
  <c r="G9700" i="1"/>
  <c r="B6039" i="1"/>
  <c r="D6039" i="1"/>
  <c r="G6039" i="1"/>
  <c r="B2000" i="1"/>
  <c r="D2000" i="1"/>
  <c r="G2000" i="1"/>
  <c r="B20594" i="1"/>
  <c r="D20594" i="1"/>
  <c r="G20594" i="1"/>
  <c r="B20595" i="1"/>
  <c r="D20595" i="1"/>
  <c r="G20595" i="1"/>
  <c r="B2811" i="1"/>
  <c r="D2811" i="1"/>
  <c r="G2811" i="1"/>
  <c r="B2812" i="1"/>
  <c r="D2812" i="1"/>
  <c r="G2812" i="1"/>
  <c r="B8498" i="1"/>
  <c r="D8498" i="1"/>
  <c r="G8498" i="1"/>
  <c r="B2126" i="1"/>
  <c r="D2126" i="1"/>
  <c r="G2126" i="1"/>
  <c r="B6302" i="1"/>
  <c r="D6302" i="1"/>
  <c r="G6302" i="1"/>
  <c r="B6303" i="1"/>
  <c r="D6303" i="1"/>
  <c r="G6303" i="1"/>
  <c r="B15023" i="1"/>
  <c r="D15023" i="1"/>
  <c r="G15023" i="1"/>
  <c r="B135" i="1"/>
  <c r="D135" i="1"/>
  <c r="G135" i="1"/>
  <c r="B10496" i="1"/>
  <c r="D10496" i="1"/>
  <c r="G10496" i="1"/>
  <c r="B1223" i="1"/>
  <c r="D1223" i="1"/>
  <c r="G1223" i="1"/>
  <c r="B1407" i="1"/>
  <c r="D1407" i="1"/>
  <c r="G1407" i="1"/>
  <c r="B2813" i="1"/>
  <c r="D2813" i="1"/>
  <c r="G2813" i="1"/>
  <c r="B1013" i="1"/>
  <c r="D1013" i="1"/>
  <c r="G1013" i="1"/>
  <c r="B4807" i="1"/>
  <c r="D4807" i="1"/>
  <c r="G4807" i="1"/>
  <c r="B21529" i="1"/>
  <c r="D21529" i="1"/>
  <c r="G21529" i="1"/>
  <c r="B19477" i="1"/>
  <c r="D19477" i="1"/>
  <c r="G19477" i="1"/>
  <c r="B8816" i="1"/>
  <c r="D8816" i="1"/>
  <c r="G8816" i="1"/>
  <c r="B10497" i="1"/>
  <c r="D10497" i="1"/>
  <c r="G10497" i="1"/>
  <c r="B2814" i="1"/>
  <c r="D2814" i="1"/>
  <c r="G2814" i="1"/>
  <c r="B7501" i="1"/>
  <c r="D7501" i="1"/>
  <c r="G7501" i="1"/>
  <c r="B4181" i="1"/>
  <c r="D4181" i="1"/>
  <c r="G4181" i="1"/>
  <c r="B1665" i="1"/>
  <c r="D1665" i="1"/>
  <c r="G1665" i="1"/>
  <c r="B3611" i="1"/>
  <c r="D3611" i="1"/>
  <c r="G3611" i="1"/>
  <c r="B14542" i="1"/>
  <c r="D14542" i="1"/>
  <c r="G14542" i="1"/>
  <c r="B2207" i="1"/>
  <c r="D2207" i="1"/>
  <c r="G2207" i="1"/>
  <c r="B4577" i="1"/>
  <c r="D4577" i="1"/>
  <c r="G4577" i="1"/>
  <c r="B4808" i="1"/>
  <c r="D4808" i="1"/>
  <c r="G4808" i="1"/>
  <c r="B5446" i="1"/>
  <c r="D5446" i="1"/>
  <c r="G5446" i="1"/>
  <c r="B3612" i="1"/>
  <c r="D3612" i="1"/>
  <c r="G3612" i="1"/>
  <c r="B22141" i="1"/>
  <c r="D22141" i="1"/>
  <c r="G22141" i="1"/>
  <c r="B1666" i="1"/>
  <c r="D1666" i="1"/>
  <c r="G1666" i="1"/>
  <c r="B1667" i="1"/>
  <c r="D1667" i="1"/>
  <c r="G1667" i="1"/>
  <c r="B2815" i="1"/>
  <c r="D2815" i="1"/>
  <c r="G2815" i="1"/>
  <c r="B13519" i="1"/>
  <c r="D13519" i="1"/>
  <c r="G13519" i="1"/>
  <c r="B13520" i="1"/>
  <c r="D13520" i="1"/>
  <c r="G13520" i="1"/>
  <c r="B5447" i="1"/>
  <c r="D5447" i="1"/>
  <c r="G5447" i="1"/>
  <c r="B2816" i="1"/>
  <c r="D2816" i="1"/>
  <c r="G2816" i="1"/>
  <c r="B19190" i="1"/>
  <c r="D19190" i="1"/>
  <c r="G19190" i="1"/>
  <c r="B20805" i="1"/>
  <c r="D20805" i="1"/>
  <c r="G20805" i="1"/>
  <c r="B15794" i="1"/>
  <c r="D15794" i="1"/>
  <c r="G15794" i="1"/>
  <c r="B3613" i="1"/>
  <c r="D3613" i="1"/>
  <c r="G3613" i="1"/>
  <c r="B2817" i="1"/>
  <c r="D2817" i="1"/>
  <c r="G2817" i="1"/>
  <c r="B3351" i="1"/>
  <c r="D3351" i="1"/>
  <c r="G3351" i="1"/>
  <c r="B5214" i="1"/>
  <c r="D5214" i="1"/>
  <c r="G5214" i="1"/>
  <c r="B7106" i="1"/>
  <c r="D7106" i="1"/>
  <c r="G7106" i="1"/>
  <c r="B8118" i="1"/>
  <c r="D8118" i="1"/>
  <c r="G8118" i="1"/>
  <c r="B1224" i="1"/>
  <c r="D1224" i="1"/>
  <c r="G1224" i="1"/>
  <c r="B5855" i="1"/>
  <c r="D5855" i="1"/>
  <c r="G5855" i="1"/>
  <c r="B4910" i="1"/>
  <c r="D4910" i="1"/>
  <c r="G4910" i="1"/>
  <c r="B13955" i="1"/>
  <c r="D13955" i="1"/>
  <c r="G13955" i="1"/>
  <c r="B10801" i="1"/>
  <c r="D10801" i="1"/>
  <c r="G10801" i="1"/>
  <c r="B8499" i="1"/>
  <c r="D8499" i="1"/>
  <c r="G8499" i="1"/>
  <c r="B11129" i="1"/>
  <c r="D11129" i="1"/>
  <c r="G11129" i="1"/>
  <c r="B916" i="1"/>
  <c r="D916" i="1"/>
  <c r="G916" i="1"/>
  <c r="B8060" i="1"/>
  <c r="D8060" i="1"/>
  <c r="G8060" i="1"/>
  <c r="B2818" i="1"/>
  <c r="D2818" i="1"/>
  <c r="G2818" i="1"/>
  <c r="B1225" i="1"/>
  <c r="D1225" i="1"/>
  <c r="G1225" i="1"/>
  <c r="B1226" i="1"/>
  <c r="D1226" i="1"/>
  <c r="G1226" i="1"/>
  <c r="B5448" i="1"/>
  <c r="D5448" i="1"/>
  <c r="G5448" i="1"/>
  <c r="B4263" i="1"/>
  <c r="D4263" i="1"/>
  <c r="G4263" i="1"/>
  <c r="B4809" i="1"/>
  <c r="D4809" i="1"/>
  <c r="G4809" i="1"/>
  <c r="B8500" i="1"/>
  <c r="D8500" i="1"/>
  <c r="G8500" i="1"/>
  <c r="B8501" i="1"/>
  <c r="D8501" i="1"/>
  <c r="G8501" i="1"/>
  <c r="B2819" i="1"/>
  <c r="D2819" i="1"/>
  <c r="G2819" i="1"/>
  <c r="B1227" i="1"/>
  <c r="D1227" i="1"/>
  <c r="G1227" i="1"/>
  <c r="B1228" i="1"/>
  <c r="D1228" i="1"/>
  <c r="G1228" i="1"/>
  <c r="B4395" i="1"/>
  <c r="D4395" i="1"/>
  <c r="G4395" i="1"/>
  <c r="B9125" i="1"/>
  <c r="D9125" i="1"/>
  <c r="G9125" i="1"/>
  <c r="B4734" i="1"/>
  <c r="D4734" i="1"/>
  <c r="G4734" i="1"/>
  <c r="B12051" i="1"/>
  <c r="D12051" i="1"/>
  <c r="G12051" i="1"/>
  <c r="B10026" i="1"/>
  <c r="D10026" i="1"/>
  <c r="G10026" i="1"/>
  <c r="B12663" i="1"/>
  <c r="D12663" i="1"/>
  <c r="G12663" i="1"/>
  <c r="B552" i="1"/>
  <c r="D552" i="1"/>
  <c r="G552" i="1"/>
  <c r="B553" i="1"/>
  <c r="D553" i="1"/>
  <c r="G553" i="1"/>
  <c r="B6764" i="1"/>
  <c r="D6764" i="1"/>
  <c r="G6764" i="1"/>
  <c r="B13686" i="1"/>
  <c r="D13686" i="1"/>
  <c r="G13686" i="1"/>
  <c r="B2035" i="1"/>
  <c r="D2035" i="1"/>
  <c r="G2035" i="1"/>
  <c r="B6532" i="1"/>
  <c r="D6532" i="1"/>
  <c r="G6532" i="1"/>
  <c r="B3752" i="1"/>
  <c r="D3752" i="1"/>
  <c r="G3752" i="1"/>
  <c r="B12664" i="1"/>
  <c r="D12664" i="1"/>
  <c r="G12664" i="1"/>
  <c r="B2820" i="1"/>
  <c r="D2820" i="1"/>
  <c r="G2820" i="1"/>
  <c r="B1668" i="1"/>
  <c r="D1668" i="1"/>
  <c r="G1668" i="1"/>
  <c r="B1229" i="1"/>
  <c r="D1229" i="1"/>
  <c r="G1229" i="1"/>
  <c r="B5449" i="1"/>
  <c r="D5449" i="1"/>
  <c r="G5449" i="1"/>
  <c r="B5450" i="1"/>
  <c r="D5450" i="1"/>
  <c r="G5450" i="1"/>
  <c r="B10217" i="1"/>
  <c r="D10217" i="1"/>
  <c r="G10217" i="1"/>
  <c r="B10218" i="1"/>
  <c r="D10218" i="1"/>
  <c r="G10218" i="1"/>
  <c r="B6304" i="1"/>
  <c r="D6304" i="1"/>
  <c r="G6304" i="1"/>
  <c r="B6305" i="1"/>
  <c r="D6305" i="1"/>
  <c r="G6305" i="1"/>
  <c r="B3614" i="1"/>
  <c r="D3614" i="1"/>
  <c r="G3614" i="1"/>
  <c r="B6655" i="1"/>
  <c r="D6655" i="1"/>
  <c r="G6655" i="1"/>
  <c r="B6306" i="1"/>
  <c r="D6306" i="1"/>
  <c r="G6306" i="1"/>
  <c r="B8817" i="1"/>
  <c r="D8817" i="1"/>
  <c r="G8817" i="1"/>
  <c r="B7121" i="1"/>
  <c r="D7121" i="1"/>
  <c r="G7121" i="1"/>
  <c r="B5153" i="1"/>
  <c r="D5153" i="1"/>
  <c r="G5153" i="1"/>
  <c r="B8502" i="1"/>
  <c r="D8502" i="1"/>
  <c r="G8502" i="1"/>
  <c r="B8503" i="1"/>
  <c r="D8503" i="1"/>
  <c r="G8503" i="1"/>
  <c r="B4414" i="1"/>
  <c r="D4414" i="1"/>
  <c r="G4414" i="1"/>
  <c r="B7502" i="1"/>
  <c r="D7502" i="1"/>
  <c r="G7502" i="1"/>
  <c r="B6765" i="1"/>
  <c r="D6765" i="1"/>
  <c r="G6765" i="1"/>
  <c r="B19021" i="1"/>
  <c r="D19021" i="1"/>
  <c r="G19021" i="1"/>
  <c r="B10498" i="1"/>
  <c r="D10498" i="1"/>
  <c r="G10498" i="1"/>
  <c r="B1230" i="1"/>
  <c r="D1230" i="1"/>
  <c r="G1230" i="1"/>
  <c r="B8818" i="1"/>
  <c r="D8818" i="1"/>
  <c r="G8818" i="1"/>
  <c r="B16431" i="1"/>
  <c r="D16431" i="1"/>
  <c r="G16431" i="1"/>
  <c r="B6550" i="1"/>
  <c r="D6550" i="1"/>
  <c r="G6550" i="1"/>
  <c r="B7333" i="1"/>
  <c r="D7333" i="1"/>
  <c r="G7333" i="1"/>
  <c r="B16432" i="1"/>
  <c r="D16432" i="1"/>
  <c r="G16432" i="1"/>
  <c r="B197" i="1"/>
  <c r="D197" i="1"/>
  <c r="G197" i="1"/>
  <c r="B11528" i="1"/>
  <c r="D11528" i="1"/>
  <c r="G11528" i="1"/>
  <c r="B11529" i="1"/>
  <c r="D11529" i="1"/>
  <c r="G11529" i="1"/>
  <c r="B11530" i="1"/>
  <c r="D11530" i="1"/>
  <c r="G11530" i="1"/>
  <c r="B11531" i="1"/>
  <c r="D11531" i="1"/>
  <c r="G11531" i="1"/>
  <c r="B3920" i="1"/>
  <c r="D3920" i="1"/>
  <c r="G3920" i="1"/>
  <c r="B1231" i="1"/>
  <c r="D1231" i="1"/>
  <c r="G1231" i="1"/>
  <c r="B107" i="1"/>
  <c r="D107" i="1"/>
  <c r="G107" i="1"/>
  <c r="B825" i="1"/>
  <c r="D825" i="1"/>
  <c r="G825" i="1"/>
  <c r="B13453" i="1"/>
  <c r="D13453" i="1"/>
  <c r="G13453" i="1"/>
  <c r="B1669" i="1"/>
  <c r="D1669" i="1"/>
  <c r="G1669" i="1"/>
  <c r="B1670" i="1"/>
  <c r="D1670" i="1"/>
  <c r="G1670" i="1"/>
  <c r="B5600" i="1"/>
  <c r="D5600" i="1"/>
  <c r="G5600" i="1"/>
  <c r="B5601" i="1"/>
  <c r="D5601" i="1"/>
  <c r="G5601" i="1"/>
  <c r="B6307" i="1"/>
  <c r="D6307" i="1"/>
  <c r="G6307" i="1"/>
  <c r="B14426" i="1"/>
  <c r="D14426" i="1"/>
  <c r="G14426" i="1"/>
  <c r="B6937" i="1"/>
  <c r="D6937" i="1"/>
  <c r="G6937" i="1"/>
  <c r="B4735" i="1"/>
  <c r="D4735" i="1"/>
  <c r="G4735" i="1"/>
  <c r="B11393" i="1"/>
  <c r="D11393" i="1"/>
  <c r="G11393" i="1"/>
  <c r="B2821" i="1"/>
  <c r="D2821" i="1"/>
  <c r="G2821" i="1"/>
  <c r="B7833" i="1"/>
  <c r="D7833" i="1"/>
  <c r="G7833" i="1"/>
  <c r="B7834" i="1"/>
  <c r="D7834" i="1"/>
  <c r="G7834" i="1"/>
  <c r="B2822" i="1"/>
  <c r="D2822" i="1"/>
  <c r="G2822" i="1"/>
  <c r="B19191" i="1"/>
  <c r="D19191" i="1"/>
  <c r="G19191" i="1"/>
  <c r="B1232" i="1"/>
  <c r="D1232" i="1"/>
  <c r="G1232" i="1"/>
  <c r="B10499" i="1"/>
  <c r="D10499" i="1"/>
  <c r="G10499" i="1"/>
  <c r="B14375" i="1"/>
  <c r="D14375" i="1"/>
  <c r="G14375" i="1"/>
  <c r="B22142" i="1"/>
  <c r="D22142" i="1"/>
  <c r="G22142" i="1"/>
  <c r="B859" i="1"/>
  <c r="D859" i="1"/>
  <c r="G859" i="1"/>
  <c r="B20806" i="1"/>
  <c r="D20806" i="1"/>
  <c r="G20806" i="1"/>
  <c r="B5602" i="1"/>
  <c r="D5602" i="1"/>
  <c r="G5602" i="1"/>
  <c r="B4637" i="1"/>
  <c r="D4637" i="1"/>
  <c r="G4637" i="1"/>
  <c r="B2250" i="1"/>
  <c r="D2250" i="1"/>
  <c r="G2250" i="1"/>
  <c r="B17085" i="1"/>
  <c r="D17085" i="1"/>
  <c r="G17085" i="1"/>
  <c r="B5451" i="1"/>
  <c r="D5451" i="1"/>
  <c r="G5451" i="1"/>
  <c r="B19192" i="1"/>
  <c r="D19192" i="1"/>
  <c r="G19192" i="1"/>
  <c r="B6586" i="1"/>
  <c r="D6586" i="1"/>
  <c r="G6586" i="1"/>
  <c r="B554" i="1"/>
  <c r="D554" i="1"/>
  <c r="G554" i="1"/>
  <c r="B19887" i="1"/>
  <c r="D19887" i="1"/>
  <c r="G19887" i="1"/>
  <c r="B1233" i="1"/>
  <c r="D1233" i="1"/>
  <c r="G1233" i="1"/>
  <c r="B8363" i="1"/>
  <c r="D8363" i="1"/>
  <c r="G8363" i="1"/>
  <c r="B5856" i="1"/>
  <c r="D5856" i="1"/>
  <c r="G5856" i="1"/>
  <c r="B4538" i="1"/>
  <c r="D4538" i="1"/>
  <c r="G4538" i="1"/>
  <c r="B5719" i="1"/>
  <c r="D5719" i="1"/>
  <c r="G5719" i="1"/>
  <c r="B6495" i="1"/>
  <c r="D6495" i="1"/>
  <c r="G6495" i="1"/>
  <c r="B6496" i="1"/>
  <c r="D6496" i="1"/>
  <c r="G6496" i="1"/>
  <c r="B18463" i="1"/>
  <c r="D18463" i="1"/>
  <c r="G18463" i="1"/>
  <c r="B445" i="1"/>
  <c r="D445" i="1"/>
  <c r="G445" i="1"/>
  <c r="B2191" i="1"/>
  <c r="D2191" i="1"/>
  <c r="G2191" i="1"/>
  <c r="B2823" i="1"/>
  <c r="D2823" i="1"/>
  <c r="G2823" i="1"/>
  <c r="B5452" i="1"/>
  <c r="D5452" i="1"/>
  <c r="G5452" i="1"/>
  <c r="B6766" i="1"/>
  <c r="D6766" i="1"/>
  <c r="G6766" i="1"/>
  <c r="B19478" i="1"/>
  <c r="D19478" i="1"/>
  <c r="G19478" i="1"/>
  <c r="B19479" i="1"/>
  <c r="D19479" i="1"/>
  <c r="G19479" i="1"/>
  <c r="B12052" i="1"/>
  <c r="D12052" i="1"/>
  <c r="G12052" i="1"/>
  <c r="B1234" i="1"/>
  <c r="D1234" i="1"/>
  <c r="G1234" i="1"/>
  <c r="B1235" i="1"/>
  <c r="D1235" i="1"/>
  <c r="G1235" i="1"/>
  <c r="B7078" i="1"/>
  <c r="D7078" i="1"/>
  <c r="G7078" i="1"/>
  <c r="B8819" i="1"/>
  <c r="D8819" i="1"/>
  <c r="G8819" i="1"/>
  <c r="B2824" i="1"/>
  <c r="D2824" i="1"/>
  <c r="G2824" i="1"/>
  <c r="B1236" i="1"/>
  <c r="D1236" i="1"/>
  <c r="G1236" i="1"/>
  <c r="B2233" i="1"/>
  <c r="D2233" i="1"/>
  <c r="G2233" i="1"/>
  <c r="B6040" i="1"/>
  <c r="D6040" i="1"/>
  <c r="G6040" i="1"/>
  <c r="B555" i="1"/>
  <c r="D555" i="1"/>
  <c r="G555" i="1"/>
  <c r="B2825" i="1"/>
  <c r="D2825" i="1"/>
  <c r="G2825" i="1"/>
  <c r="B8504" i="1"/>
  <c r="D8504" i="1"/>
  <c r="G8504" i="1"/>
  <c r="B8820" i="1"/>
  <c r="D8820" i="1"/>
  <c r="G8820" i="1"/>
  <c r="B6308" i="1"/>
  <c r="D6308" i="1"/>
  <c r="G6308" i="1"/>
  <c r="B6309" i="1"/>
  <c r="D6309" i="1"/>
  <c r="G6309" i="1"/>
  <c r="B4810" i="1"/>
  <c r="D4810" i="1"/>
  <c r="G4810" i="1"/>
  <c r="B5453" i="1"/>
  <c r="D5453" i="1"/>
  <c r="G5453" i="1"/>
  <c r="B11779" i="1"/>
  <c r="D11779" i="1"/>
  <c r="G11779" i="1"/>
  <c r="B3921" i="1"/>
  <c r="D3921" i="1"/>
  <c r="G3921" i="1"/>
  <c r="B19480" i="1"/>
  <c r="D19480" i="1"/>
  <c r="G19480" i="1"/>
  <c r="B19481" i="1"/>
  <c r="D19481" i="1"/>
  <c r="G19481" i="1"/>
  <c r="B238" i="1"/>
  <c r="D238" i="1"/>
  <c r="G238" i="1"/>
  <c r="B9914" i="1"/>
  <c r="D9914" i="1"/>
  <c r="G9914" i="1"/>
  <c r="B5454" i="1"/>
  <c r="D5454" i="1"/>
  <c r="G5454" i="1"/>
  <c r="B13279" i="1"/>
  <c r="D13279" i="1"/>
  <c r="G13279" i="1"/>
  <c r="B10500" i="1"/>
  <c r="D10500" i="1"/>
  <c r="G10500" i="1"/>
  <c r="B10501" i="1"/>
  <c r="D10501" i="1"/>
  <c r="G10501" i="1"/>
  <c r="B10802" i="1"/>
  <c r="D10802" i="1"/>
  <c r="G10802" i="1"/>
  <c r="B10803" i="1"/>
  <c r="D10803" i="1"/>
  <c r="G10803" i="1"/>
  <c r="B15449" i="1"/>
  <c r="D15449" i="1"/>
  <c r="G15449" i="1"/>
  <c r="B10804" i="1"/>
  <c r="D10804" i="1"/>
  <c r="G10804" i="1"/>
  <c r="B10502" i="1"/>
  <c r="D10502" i="1"/>
  <c r="G10502" i="1"/>
  <c r="B7334" i="1"/>
  <c r="D7334" i="1"/>
  <c r="G7334" i="1"/>
  <c r="B18081" i="1"/>
  <c r="D18081" i="1"/>
  <c r="G18081" i="1"/>
  <c r="B9126" i="1"/>
  <c r="D9126" i="1"/>
  <c r="G9126" i="1"/>
  <c r="B2215" i="1"/>
  <c r="D2215" i="1"/>
  <c r="G2215" i="1"/>
  <c r="B1671" i="1"/>
  <c r="D1671" i="1"/>
  <c r="G1671" i="1"/>
  <c r="B1672" i="1"/>
  <c r="D1672" i="1"/>
  <c r="G1672" i="1"/>
  <c r="B826" i="1"/>
  <c r="D826" i="1"/>
  <c r="G826" i="1"/>
  <c r="B3615" i="1"/>
  <c r="D3615" i="1"/>
  <c r="G3615" i="1"/>
  <c r="B9232" i="1"/>
  <c r="D9232" i="1"/>
  <c r="G9232" i="1"/>
  <c r="B7835" i="1"/>
  <c r="D7835" i="1"/>
  <c r="G7835" i="1"/>
  <c r="B7836" i="1"/>
  <c r="D7836" i="1"/>
  <c r="G7836" i="1"/>
  <c r="B1237" i="1"/>
  <c r="D1237" i="1"/>
  <c r="G1237" i="1"/>
  <c r="B9818" i="1"/>
  <c r="D9818" i="1"/>
  <c r="G9818" i="1"/>
  <c r="B9819" i="1"/>
  <c r="D9819" i="1"/>
  <c r="G9819" i="1"/>
  <c r="B2826" i="1"/>
  <c r="D2826" i="1"/>
  <c r="G2826" i="1"/>
  <c r="B4336" i="1"/>
  <c r="D4336" i="1"/>
  <c r="G4336" i="1"/>
  <c r="B7837" i="1"/>
  <c r="D7837" i="1"/>
  <c r="G7837" i="1"/>
  <c r="B5455" i="1"/>
  <c r="D5455" i="1"/>
  <c r="G5455" i="1"/>
  <c r="B6084" i="1"/>
  <c r="D6084" i="1"/>
  <c r="G6084" i="1"/>
  <c r="B12435" i="1"/>
  <c r="D12435" i="1"/>
  <c r="G12435" i="1"/>
  <c r="B6310" i="1"/>
  <c r="D6310" i="1"/>
  <c r="G6310" i="1"/>
  <c r="B13916" i="1"/>
  <c r="D13916" i="1"/>
  <c r="G13916" i="1"/>
  <c r="B556" i="1"/>
  <c r="D556" i="1"/>
  <c r="G556" i="1"/>
  <c r="B12053" i="1"/>
  <c r="D12053" i="1"/>
  <c r="G12053" i="1"/>
  <c r="B9820" i="1"/>
  <c r="D9820" i="1"/>
  <c r="G9820" i="1"/>
  <c r="B9821" i="1"/>
  <c r="D9821" i="1"/>
  <c r="G9821" i="1"/>
  <c r="B19482" i="1"/>
  <c r="D19482" i="1"/>
  <c r="G19482" i="1"/>
  <c r="B7503" i="1"/>
  <c r="D7503" i="1"/>
  <c r="G7503" i="1"/>
  <c r="B7335" i="1"/>
  <c r="D7335" i="1"/>
  <c r="G7335" i="1"/>
  <c r="B6311" i="1"/>
  <c r="D6311" i="1"/>
  <c r="G6311" i="1"/>
  <c r="B5456" i="1"/>
  <c r="D5456" i="1"/>
  <c r="G5456" i="1"/>
  <c r="B5457" i="1"/>
  <c r="D5457" i="1"/>
  <c r="G5457" i="1"/>
  <c r="B8061" i="1"/>
  <c r="D8061" i="1"/>
  <c r="G8061" i="1"/>
  <c r="B6126" i="1"/>
  <c r="D6126" i="1"/>
  <c r="G6126" i="1"/>
  <c r="B6312" i="1"/>
  <c r="D6312" i="1"/>
  <c r="G6312" i="1"/>
  <c r="B6313" i="1"/>
  <c r="D6313" i="1"/>
  <c r="G6313" i="1"/>
  <c r="B5154" i="1"/>
  <c r="D5154" i="1"/>
  <c r="G5154" i="1"/>
  <c r="B19483" i="1"/>
  <c r="D19483" i="1"/>
  <c r="G19483" i="1"/>
  <c r="B10278" i="1"/>
  <c r="D10278" i="1"/>
  <c r="G10278" i="1"/>
  <c r="B7079" i="1"/>
  <c r="D7079" i="1"/>
  <c r="G7079" i="1"/>
  <c r="B5720" i="1"/>
  <c r="D5720" i="1"/>
  <c r="G5720" i="1"/>
  <c r="B5721" i="1"/>
  <c r="D5721" i="1"/>
  <c r="G5721" i="1"/>
  <c r="B3616" i="1"/>
  <c r="D3616" i="1"/>
  <c r="G3616" i="1"/>
  <c r="B7838" i="1"/>
  <c r="D7838" i="1"/>
  <c r="G7838" i="1"/>
  <c r="B7839" i="1"/>
  <c r="D7839" i="1"/>
  <c r="G7839" i="1"/>
  <c r="B2127" i="1"/>
  <c r="D2127" i="1"/>
  <c r="G2127" i="1"/>
  <c r="B2827" i="1"/>
  <c r="D2827" i="1"/>
  <c r="G2827" i="1"/>
  <c r="B5603" i="1"/>
  <c r="D5603" i="1"/>
  <c r="G5603" i="1"/>
  <c r="B4415" i="1"/>
  <c r="D4415" i="1"/>
  <c r="G4415" i="1"/>
  <c r="B5458" i="1"/>
  <c r="D5458" i="1"/>
  <c r="G5458" i="1"/>
  <c r="B13220" i="1"/>
  <c r="D13220" i="1"/>
  <c r="G13220" i="1"/>
  <c r="B8821" i="1"/>
  <c r="D8821" i="1"/>
  <c r="G8821" i="1"/>
  <c r="B3922" i="1"/>
  <c r="D3922" i="1"/>
  <c r="G3922" i="1"/>
  <c r="B766" i="1"/>
  <c r="D766" i="1"/>
  <c r="G766" i="1"/>
  <c r="B12376" i="1"/>
  <c r="D12376" i="1"/>
  <c r="G12376" i="1"/>
  <c r="B13485" i="1"/>
  <c r="D13485" i="1"/>
  <c r="G13485" i="1"/>
  <c r="B19484" i="1"/>
  <c r="D19484" i="1"/>
  <c r="G19484" i="1"/>
  <c r="B8822" i="1"/>
  <c r="D8822" i="1"/>
  <c r="G8822" i="1"/>
  <c r="B5684" i="1"/>
  <c r="D5684" i="1"/>
  <c r="G5684" i="1"/>
  <c r="B12377" i="1"/>
  <c r="D12377" i="1"/>
  <c r="G12377" i="1"/>
  <c r="B1673" i="1"/>
  <c r="D1673" i="1"/>
  <c r="G1673" i="1"/>
  <c r="B21530" i="1"/>
  <c r="D21530" i="1"/>
  <c r="G21530" i="1"/>
  <c r="B7840" i="1"/>
  <c r="D7840" i="1"/>
  <c r="G7840" i="1"/>
  <c r="B6113" i="1"/>
  <c r="D6113" i="1"/>
  <c r="G6113" i="1"/>
  <c r="B7107" i="1"/>
  <c r="D7107" i="1"/>
  <c r="G7107" i="1"/>
  <c r="B21251" i="1"/>
  <c r="D21251" i="1"/>
  <c r="G21251" i="1"/>
  <c r="B10805" i="1"/>
  <c r="D10805" i="1"/>
  <c r="G10805" i="1"/>
  <c r="B5215" i="1"/>
  <c r="D5215" i="1"/>
  <c r="G5215" i="1"/>
  <c r="B19193" i="1"/>
  <c r="D19193" i="1"/>
  <c r="G19193" i="1"/>
  <c r="B18852" i="1"/>
  <c r="D18852" i="1"/>
  <c r="G18852" i="1"/>
  <c r="B5857" i="1"/>
  <c r="D5857" i="1"/>
  <c r="G5857" i="1"/>
  <c r="B7504" i="1"/>
  <c r="D7504" i="1"/>
  <c r="G7504" i="1"/>
  <c r="B5459" i="1"/>
  <c r="D5459" i="1"/>
  <c r="G5459" i="1"/>
  <c r="B6656" i="1"/>
  <c r="D6656" i="1"/>
  <c r="G6656" i="1"/>
  <c r="B5155" i="1"/>
  <c r="D5155" i="1"/>
  <c r="G5155" i="1"/>
  <c r="B11667" i="1"/>
  <c r="D11667" i="1"/>
  <c r="G11667" i="1"/>
  <c r="B11532" i="1"/>
  <c r="D11532" i="1"/>
  <c r="G11532" i="1"/>
  <c r="B9127" i="1"/>
  <c r="D9127" i="1"/>
  <c r="G9127" i="1"/>
  <c r="B12054" i="1"/>
  <c r="D12054" i="1"/>
  <c r="G12054" i="1"/>
  <c r="B12055" i="1"/>
  <c r="D12055" i="1"/>
  <c r="G12055" i="1"/>
  <c r="B1984" i="1"/>
  <c r="D1984" i="1"/>
  <c r="G1984" i="1"/>
  <c r="B8247" i="1"/>
  <c r="D8247" i="1"/>
  <c r="G8247" i="1"/>
  <c r="B15450" i="1"/>
  <c r="D15450" i="1"/>
  <c r="G15450" i="1"/>
  <c r="B6767" i="1"/>
  <c r="D6767" i="1"/>
  <c r="G6767" i="1"/>
  <c r="B7031" i="1"/>
  <c r="D7031" i="1"/>
  <c r="G7031" i="1"/>
  <c r="B910" i="1"/>
  <c r="D910" i="1"/>
  <c r="G910" i="1"/>
  <c r="B9128" i="1"/>
  <c r="D9128" i="1"/>
  <c r="G9128" i="1"/>
  <c r="B6657" i="1"/>
  <c r="D6657" i="1"/>
  <c r="G6657" i="1"/>
  <c r="B8248" i="1"/>
  <c r="D8248" i="1"/>
  <c r="G8248" i="1"/>
  <c r="B20807" i="1"/>
  <c r="D20807" i="1"/>
  <c r="G20807" i="1"/>
  <c r="B20808" i="1"/>
  <c r="D20808" i="1"/>
  <c r="G20808" i="1"/>
  <c r="B3923" i="1"/>
  <c r="D3923" i="1"/>
  <c r="G3923" i="1"/>
  <c r="B1238" i="1"/>
  <c r="D1238" i="1"/>
  <c r="G1238" i="1"/>
  <c r="B21898" i="1"/>
  <c r="D21898" i="1"/>
  <c r="G21898" i="1"/>
  <c r="B5777" i="1"/>
  <c r="D5777" i="1"/>
  <c r="G5777" i="1"/>
  <c r="B5216" i="1"/>
  <c r="D5216" i="1"/>
  <c r="G5216" i="1"/>
  <c r="B16433" i="1"/>
  <c r="D16433" i="1"/>
  <c r="G16433" i="1"/>
  <c r="B6041" i="1"/>
  <c r="D6041" i="1"/>
  <c r="G6041" i="1"/>
  <c r="B7505" i="1"/>
  <c r="D7505" i="1"/>
  <c r="G7505" i="1"/>
  <c r="B10177" i="1"/>
  <c r="D10177" i="1"/>
  <c r="G10177" i="1"/>
  <c r="B8823" i="1"/>
  <c r="D8823" i="1"/>
  <c r="G8823" i="1"/>
  <c r="B4337" i="1"/>
  <c r="D4337" i="1"/>
  <c r="G4337" i="1"/>
  <c r="B6868" i="1"/>
  <c r="D6868" i="1"/>
  <c r="G6868" i="1"/>
  <c r="B1674" i="1"/>
  <c r="D1674" i="1"/>
  <c r="G1674" i="1"/>
  <c r="B11877" i="1"/>
  <c r="D11877" i="1"/>
  <c r="G11877" i="1"/>
  <c r="B6314" i="1"/>
  <c r="D6314" i="1"/>
  <c r="G6314" i="1"/>
  <c r="B6497" i="1"/>
  <c r="D6497" i="1"/>
  <c r="G6497" i="1"/>
  <c r="B6315" i="1"/>
  <c r="D6315" i="1"/>
  <c r="G6315" i="1"/>
  <c r="B6316" i="1"/>
  <c r="D6316" i="1"/>
  <c r="G6316" i="1"/>
  <c r="B5460" i="1"/>
  <c r="D5460" i="1"/>
  <c r="G5460" i="1"/>
  <c r="B2036" i="1"/>
  <c r="D2036" i="1"/>
  <c r="G2036" i="1"/>
  <c r="B16434" i="1"/>
  <c r="D16434" i="1"/>
  <c r="G16434" i="1"/>
  <c r="B5461" i="1"/>
  <c r="D5461" i="1"/>
  <c r="G5461" i="1"/>
  <c r="B6317" i="1"/>
  <c r="D6317" i="1"/>
  <c r="G6317" i="1"/>
  <c r="B17584" i="1"/>
  <c r="D17584" i="1"/>
  <c r="G17584" i="1"/>
  <c r="B4736" i="1"/>
  <c r="D4736" i="1"/>
  <c r="G4736" i="1"/>
  <c r="B4911" i="1"/>
  <c r="D4911" i="1"/>
  <c r="G4911" i="1"/>
  <c r="B11394" i="1"/>
  <c r="D11394" i="1"/>
  <c r="G11394" i="1"/>
  <c r="B11300" i="1"/>
  <c r="D11300" i="1"/>
  <c r="G11300" i="1"/>
  <c r="B12056" i="1"/>
  <c r="D12056" i="1"/>
  <c r="G12056" i="1"/>
  <c r="B14452" i="1"/>
  <c r="D14452" i="1"/>
  <c r="G14452" i="1"/>
  <c r="B14448" i="1"/>
  <c r="D14448" i="1"/>
  <c r="G14448" i="1"/>
  <c r="B4164" i="1"/>
  <c r="D4164" i="1"/>
  <c r="G4164" i="1"/>
  <c r="B5462" i="1"/>
  <c r="D5462" i="1"/>
  <c r="G5462" i="1"/>
  <c r="B21383" i="1"/>
  <c r="D21383" i="1"/>
  <c r="G21383" i="1"/>
  <c r="B11533" i="1"/>
  <c r="D11533" i="1"/>
  <c r="G11533" i="1"/>
  <c r="B11534" i="1"/>
  <c r="D11534" i="1"/>
  <c r="G11534" i="1"/>
  <c r="B13533" i="1"/>
  <c r="D13533" i="1"/>
  <c r="G13533" i="1"/>
  <c r="B17308" i="1"/>
  <c r="D17308" i="1"/>
  <c r="G17308" i="1"/>
  <c r="B711" i="1"/>
  <c r="D711" i="1"/>
  <c r="G711" i="1"/>
  <c r="B1968" i="1"/>
  <c r="D1968" i="1"/>
  <c r="G1968" i="1"/>
  <c r="B7506" i="1"/>
  <c r="D7506" i="1"/>
  <c r="G7506" i="1"/>
  <c r="B4539" i="1"/>
  <c r="D4539" i="1"/>
  <c r="G4539" i="1"/>
  <c r="B16971" i="1"/>
  <c r="D16971" i="1"/>
  <c r="G16971" i="1"/>
  <c r="B4165" i="1"/>
  <c r="D4165" i="1"/>
  <c r="G4165" i="1"/>
  <c r="B7277" i="1"/>
  <c r="D7277" i="1"/>
  <c r="G7277" i="1"/>
  <c r="B21697" i="1"/>
  <c r="D21697" i="1"/>
  <c r="G21697" i="1"/>
  <c r="B21698" i="1"/>
  <c r="D21698" i="1"/>
  <c r="G21698" i="1"/>
  <c r="B13958" i="1"/>
  <c r="D13958" i="1"/>
  <c r="G13958" i="1"/>
  <c r="B9377" i="1"/>
  <c r="D9377" i="1"/>
  <c r="G9377" i="1"/>
  <c r="B14489" i="1"/>
  <c r="D14489" i="1"/>
  <c r="G14489" i="1"/>
  <c r="B11836" i="1"/>
  <c r="D11836" i="1"/>
  <c r="G11836" i="1"/>
  <c r="B5463" i="1"/>
  <c r="D5463" i="1"/>
  <c r="G5463" i="1"/>
  <c r="B5464" i="1"/>
  <c r="D5464" i="1"/>
  <c r="G5464" i="1"/>
  <c r="B15681" i="1"/>
  <c r="D15681" i="1"/>
  <c r="G15681" i="1"/>
  <c r="B19485" i="1"/>
  <c r="D19485" i="1"/>
  <c r="G19485" i="1"/>
  <c r="B6318" i="1"/>
  <c r="D6318" i="1"/>
  <c r="G6318" i="1"/>
  <c r="B6319" i="1"/>
  <c r="D6319" i="1"/>
  <c r="G6319" i="1"/>
  <c r="B8824" i="1"/>
  <c r="D8824" i="1"/>
  <c r="G8824" i="1"/>
  <c r="B10503" i="1"/>
  <c r="D10503" i="1"/>
  <c r="G10503" i="1"/>
  <c r="B10504" i="1"/>
  <c r="D10504" i="1"/>
  <c r="G10504" i="1"/>
  <c r="B10505" i="1"/>
  <c r="D10505" i="1"/>
  <c r="G10505" i="1"/>
  <c r="B10806" i="1"/>
  <c r="D10806" i="1"/>
  <c r="G10806" i="1"/>
  <c r="B10807" i="1"/>
  <c r="D10807" i="1"/>
  <c r="G10807" i="1"/>
  <c r="B7507" i="1"/>
  <c r="D7507" i="1"/>
  <c r="G7507" i="1"/>
  <c r="B8825" i="1"/>
  <c r="D8825" i="1"/>
  <c r="G8825" i="1"/>
  <c r="B108" i="1"/>
  <c r="D108" i="1"/>
  <c r="G108" i="1"/>
  <c r="B11130" i="1"/>
  <c r="D11130" i="1"/>
  <c r="G11130" i="1"/>
  <c r="B2388" i="1"/>
  <c r="D2388" i="1"/>
  <c r="G2388" i="1"/>
  <c r="B680" i="1"/>
  <c r="D680" i="1"/>
  <c r="G680" i="1"/>
  <c r="B10506" i="1"/>
  <c r="D10506" i="1"/>
  <c r="G10506" i="1"/>
  <c r="B18853" i="1"/>
  <c r="D18853" i="1"/>
  <c r="G18853" i="1"/>
  <c r="B15024" i="1"/>
  <c r="D15024" i="1"/>
  <c r="G15024" i="1"/>
  <c r="B4737" i="1"/>
  <c r="D4737" i="1"/>
  <c r="G4737" i="1"/>
  <c r="B7841" i="1"/>
  <c r="D7841" i="1"/>
  <c r="G7841" i="1"/>
  <c r="B7842" i="1"/>
  <c r="D7842" i="1"/>
  <c r="G7842" i="1"/>
  <c r="B15451" i="1"/>
  <c r="D15451" i="1"/>
  <c r="G15451" i="1"/>
  <c r="B5465" i="1"/>
  <c r="D5465" i="1"/>
  <c r="G5465" i="1"/>
  <c r="B11395" i="1"/>
  <c r="D11395" i="1"/>
  <c r="G11395" i="1"/>
  <c r="B2008" i="1"/>
  <c r="D2008" i="1"/>
  <c r="G2008" i="1"/>
  <c r="B1675" i="1"/>
  <c r="D1675" i="1"/>
  <c r="G1675" i="1"/>
  <c r="B1676" i="1"/>
  <c r="D1676" i="1"/>
  <c r="G1676" i="1"/>
  <c r="B14052" i="1"/>
  <c r="D14052" i="1"/>
  <c r="G14052" i="1"/>
  <c r="B7336" i="1"/>
  <c r="D7336" i="1"/>
  <c r="G7336" i="1"/>
  <c r="B5858" i="1"/>
  <c r="D5858" i="1"/>
  <c r="G5858" i="1"/>
  <c r="B5778" i="1"/>
  <c r="D5778" i="1"/>
  <c r="G5778" i="1"/>
  <c r="B6042" i="1"/>
  <c r="D6042" i="1"/>
  <c r="G6042" i="1"/>
  <c r="B8826" i="1"/>
  <c r="D8826" i="1"/>
  <c r="G8826" i="1"/>
  <c r="B11131" i="1"/>
  <c r="D11131" i="1"/>
  <c r="G11131" i="1"/>
  <c r="B21699" i="1"/>
  <c r="D21699" i="1"/>
  <c r="G21699" i="1"/>
  <c r="B18736" i="1"/>
  <c r="D18736" i="1"/>
  <c r="G18736" i="1"/>
  <c r="B10121" i="1"/>
  <c r="D10121" i="1"/>
  <c r="G10121" i="1"/>
  <c r="B11878" i="1"/>
  <c r="D11878" i="1"/>
  <c r="G11878" i="1"/>
  <c r="B4338" i="1"/>
  <c r="D4338" i="1"/>
  <c r="G4338" i="1"/>
  <c r="B6869" i="1"/>
  <c r="D6869" i="1"/>
  <c r="G6869" i="1"/>
  <c r="B6938" i="1"/>
  <c r="D6938" i="1"/>
  <c r="G6938" i="1"/>
  <c r="B14436" i="1"/>
  <c r="D14436" i="1"/>
  <c r="G14436" i="1"/>
  <c r="B431" i="1"/>
  <c r="D431" i="1"/>
  <c r="G431" i="1"/>
  <c r="B2828" i="1"/>
  <c r="D2828" i="1"/>
  <c r="G2828" i="1"/>
  <c r="B17720" i="1"/>
  <c r="D17720" i="1"/>
  <c r="G17720" i="1"/>
  <c r="B3617" i="1"/>
  <c r="D3617" i="1"/>
  <c r="G3617" i="1"/>
  <c r="B6498" i="1"/>
  <c r="D6498" i="1"/>
  <c r="G6498" i="1"/>
  <c r="B557" i="1"/>
  <c r="D557" i="1"/>
  <c r="G557" i="1"/>
  <c r="B19022" i="1"/>
  <c r="D19022" i="1"/>
  <c r="G19022" i="1"/>
  <c r="B14610" i="1"/>
  <c r="D14610" i="1"/>
  <c r="G14610" i="1"/>
  <c r="B13692" i="1"/>
  <c r="D13692" i="1"/>
  <c r="G13692" i="1"/>
  <c r="B796" i="1"/>
  <c r="D796" i="1"/>
  <c r="G796" i="1"/>
  <c r="B13756" i="1"/>
  <c r="D13756" i="1"/>
  <c r="G13756" i="1"/>
  <c r="B13623" i="1"/>
  <c r="D13623" i="1"/>
  <c r="G13623" i="1"/>
  <c r="B4499" i="1"/>
  <c r="D4499" i="1"/>
  <c r="G4499" i="1"/>
  <c r="B2242" i="1"/>
  <c r="D2242" i="1"/>
  <c r="G2242" i="1"/>
  <c r="B4251" i="1"/>
  <c r="D4251" i="1"/>
  <c r="G4251" i="1"/>
  <c r="B6768" i="1"/>
  <c r="D6768" i="1"/>
  <c r="G6768" i="1"/>
  <c r="B9192" i="1"/>
  <c r="D9192" i="1"/>
  <c r="G9192" i="1"/>
  <c r="B2304" i="1"/>
  <c r="D2304" i="1"/>
  <c r="G2304" i="1"/>
  <c r="B11535" i="1"/>
  <c r="D11535" i="1"/>
  <c r="G11535" i="1"/>
  <c r="B6043" i="1"/>
  <c r="D6043" i="1"/>
  <c r="G6043" i="1"/>
  <c r="B12057" i="1"/>
  <c r="D12057" i="1"/>
  <c r="G12057" i="1"/>
  <c r="B10178" i="1"/>
  <c r="D10178" i="1"/>
  <c r="G10178" i="1"/>
  <c r="B21899" i="1"/>
  <c r="D21899" i="1"/>
  <c r="G21899" i="1"/>
  <c r="B21900" i="1"/>
  <c r="D21900" i="1"/>
  <c r="G21900" i="1"/>
  <c r="B9701" i="1"/>
  <c r="D9701" i="1"/>
  <c r="G9701" i="1"/>
  <c r="B9702" i="1"/>
  <c r="D9702" i="1"/>
  <c r="G9702" i="1"/>
  <c r="B6320" i="1"/>
  <c r="D6320" i="1"/>
  <c r="G6320" i="1"/>
  <c r="B6321" i="1"/>
  <c r="D6321" i="1"/>
  <c r="G6321" i="1"/>
  <c r="B11396" i="1"/>
  <c r="D11396" i="1"/>
  <c r="G11396" i="1"/>
  <c r="B6044" i="1"/>
  <c r="D6044" i="1"/>
  <c r="G6044" i="1"/>
  <c r="B19194" i="1"/>
  <c r="D19194" i="1"/>
  <c r="G19194" i="1"/>
  <c r="B4738" i="1"/>
  <c r="D4738" i="1"/>
  <c r="G4738" i="1"/>
  <c r="B6322" i="1"/>
  <c r="D6322" i="1"/>
  <c r="G6322" i="1"/>
  <c r="B15025" i="1"/>
  <c r="D15025" i="1"/>
  <c r="G15025" i="1"/>
  <c r="B8119" i="1"/>
  <c r="D8119" i="1"/>
  <c r="G8119" i="1"/>
  <c r="B10808" i="1"/>
  <c r="D10808" i="1"/>
  <c r="G10808" i="1"/>
  <c r="B6538" i="1"/>
  <c r="D6538" i="1"/>
  <c r="G6538" i="1"/>
  <c r="B2243" i="1"/>
  <c r="D2243" i="1"/>
  <c r="G2243" i="1"/>
  <c r="B8120" i="1"/>
  <c r="D8120" i="1"/>
  <c r="G8120" i="1"/>
  <c r="B6939" i="1"/>
  <c r="D6939" i="1"/>
  <c r="G6939" i="1"/>
  <c r="B11780" i="1"/>
  <c r="D11780" i="1"/>
  <c r="G11780" i="1"/>
  <c r="B11781" i="1"/>
  <c r="D11781" i="1"/>
  <c r="G11781" i="1"/>
  <c r="B4339" i="1"/>
  <c r="D4339" i="1"/>
  <c r="G4339" i="1"/>
  <c r="B13060" i="1"/>
  <c r="D13060" i="1"/>
  <c r="G13060" i="1"/>
  <c r="B5859" i="1"/>
  <c r="D5859" i="1"/>
  <c r="G5859" i="1"/>
  <c r="B6323" i="1"/>
  <c r="D6323" i="1"/>
  <c r="G6323" i="1"/>
  <c r="B6324" i="1"/>
  <c r="D6324" i="1"/>
  <c r="G6324" i="1"/>
  <c r="B16435" i="1"/>
  <c r="D16435" i="1"/>
  <c r="G16435" i="1"/>
  <c r="B19486" i="1"/>
  <c r="D19486" i="1"/>
  <c r="G19486" i="1"/>
  <c r="B5860" i="1"/>
  <c r="D5860" i="1"/>
  <c r="G5860" i="1"/>
  <c r="B14490" i="1"/>
  <c r="D14490" i="1"/>
  <c r="G14490" i="1"/>
  <c r="B7508" i="1"/>
  <c r="D7508" i="1"/>
  <c r="G7508" i="1"/>
  <c r="B3618" i="1"/>
  <c r="D3618" i="1"/>
  <c r="G3618" i="1"/>
  <c r="B6499" i="1"/>
  <c r="D6499" i="1"/>
  <c r="G6499" i="1"/>
  <c r="B12353" i="1"/>
  <c r="D12353" i="1"/>
  <c r="G12353" i="1"/>
  <c r="B11739" i="1"/>
  <c r="D11739" i="1"/>
  <c r="G11739" i="1"/>
  <c r="B8326" i="1"/>
  <c r="D8326" i="1"/>
  <c r="G8326" i="1"/>
  <c r="B11397" i="1"/>
  <c r="D11397" i="1"/>
  <c r="G11397" i="1"/>
  <c r="B8827" i="1"/>
  <c r="D8827" i="1"/>
  <c r="G8827" i="1"/>
  <c r="B5604" i="1"/>
  <c r="D5604" i="1"/>
  <c r="G5604" i="1"/>
  <c r="B3924" i="1"/>
  <c r="D3924" i="1"/>
  <c r="G3924" i="1"/>
  <c r="B12058" i="1"/>
  <c r="D12058" i="1"/>
  <c r="G12058" i="1"/>
  <c r="B5722" i="1"/>
  <c r="D5722" i="1"/>
  <c r="G5722" i="1"/>
  <c r="B5723" i="1"/>
  <c r="D5723" i="1"/>
  <c r="G5723" i="1"/>
  <c r="B4242" i="1"/>
  <c r="D4242" i="1"/>
  <c r="G4242" i="1"/>
  <c r="B10279" i="1"/>
  <c r="D10279" i="1"/>
  <c r="G10279" i="1"/>
  <c r="B7191" i="1"/>
  <c r="D7191" i="1"/>
  <c r="G7191" i="1"/>
  <c r="B7192" i="1"/>
  <c r="D7192" i="1"/>
  <c r="G7192" i="1"/>
  <c r="B8327" i="1"/>
  <c r="D8327" i="1"/>
  <c r="G8327" i="1"/>
  <c r="B7193" i="1"/>
  <c r="D7193" i="1"/>
  <c r="G7193" i="1"/>
  <c r="B7194" i="1"/>
  <c r="D7194" i="1"/>
  <c r="G7194" i="1"/>
  <c r="B18464" i="1"/>
  <c r="D18464" i="1"/>
  <c r="G18464" i="1"/>
  <c r="B10280" i="1"/>
  <c r="D10280" i="1"/>
  <c r="G10280" i="1"/>
  <c r="B10203" i="1"/>
  <c r="D10203" i="1"/>
  <c r="G10203" i="1"/>
  <c r="B9129" i="1"/>
  <c r="D9129" i="1"/>
  <c r="G9129" i="1"/>
  <c r="B691" i="1"/>
  <c r="D691" i="1"/>
  <c r="G691" i="1"/>
  <c r="B7843" i="1"/>
  <c r="D7843" i="1"/>
  <c r="G7843" i="1"/>
  <c r="B7844" i="1"/>
  <c r="D7844" i="1"/>
  <c r="G7844" i="1"/>
  <c r="B7195" i="1"/>
  <c r="D7195" i="1"/>
  <c r="G7195" i="1"/>
  <c r="B7196" i="1"/>
  <c r="D7196" i="1"/>
  <c r="G7196" i="1"/>
  <c r="B279" i="1"/>
  <c r="D279" i="1"/>
  <c r="G279" i="1"/>
  <c r="B7845" i="1"/>
  <c r="D7845" i="1"/>
  <c r="G7845" i="1"/>
  <c r="B7846" i="1"/>
  <c r="D7846" i="1"/>
  <c r="G7846" i="1"/>
  <c r="B10107" i="1"/>
  <c r="D10107" i="1"/>
  <c r="G10107" i="1"/>
  <c r="B10108" i="1"/>
  <c r="D10108" i="1"/>
  <c r="G10108" i="1"/>
  <c r="B7847" i="1"/>
  <c r="D7847" i="1"/>
  <c r="G7847" i="1"/>
  <c r="B20809" i="1"/>
  <c r="D20809" i="1"/>
  <c r="G20809" i="1"/>
  <c r="B4638" i="1"/>
  <c r="D4638" i="1"/>
  <c r="G4638" i="1"/>
  <c r="B7848" i="1"/>
  <c r="D7848" i="1"/>
  <c r="G7848" i="1"/>
  <c r="B7849" i="1"/>
  <c r="D7849" i="1"/>
  <c r="G7849" i="1"/>
  <c r="B13631" i="1"/>
  <c r="D13631" i="1"/>
  <c r="G13631" i="1"/>
  <c r="B3619" i="1"/>
  <c r="D3619" i="1"/>
  <c r="G3619" i="1"/>
  <c r="B10507" i="1"/>
  <c r="D10507" i="1"/>
  <c r="G10507" i="1"/>
  <c r="B4951" i="1"/>
  <c r="D4951" i="1"/>
  <c r="G4951" i="1"/>
  <c r="B7509" i="1"/>
  <c r="D7509" i="1"/>
  <c r="G7509" i="1"/>
  <c r="B7337" i="1"/>
  <c r="D7337" i="1"/>
  <c r="G7337" i="1"/>
  <c r="B3198" i="1"/>
  <c r="D3198" i="1"/>
  <c r="G3198" i="1"/>
  <c r="B2829" i="1"/>
  <c r="D2829" i="1"/>
  <c r="G2829" i="1"/>
  <c r="B9204" i="1"/>
  <c r="D9204" i="1"/>
  <c r="G9204" i="1"/>
  <c r="B17282" i="1"/>
  <c r="D17282" i="1"/>
  <c r="G17282" i="1"/>
  <c r="B16093" i="1"/>
  <c r="D16093" i="1"/>
  <c r="G16093" i="1"/>
  <c r="B4136" i="1"/>
  <c r="D4136" i="1"/>
  <c r="G4136" i="1"/>
  <c r="B3620" i="1"/>
  <c r="D3620" i="1"/>
  <c r="G3620" i="1"/>
  <c r="B16436" i="1"/>
  <c r="D16436" i="1"/>
  <c r="G16436" i="1"/>
  <c r="B4340" i="1"/>
  <c r="D4340" i="1"/>
  <c r="G4340" i="1"/>
  <c r="B6870" i="1"/>
  <c r="D6870" i="1"/>
  <c r="G6870" i="1"/>
  <c r="B6658" i="1"/>
  <c r="D6658" i="1"/>
  <c r="G6658" i="1"/>
  <c r="B6325" i="1"/>
  <c r="D6325" i="1"/>
  <c r="G6325" i="1"/>
  <c r="B6326" i="1"/>
  <c r="D6326" i="1"/>
  <c r="G6326" i="1"/>
  <c r="B1239" i="1"/>
  <c r="D1239" i="1"/>
  <c r="G1239" i="1"/>
  <c r="B1240" i="1"/>
  <c r="D1240" i="1"/>
  <c r="G1240" i="1"/>
  <c r="B11132" i="1"/>
  <c r="D11132" i="1"/>
  <c r="G11132" i="1"/>
  <c r="B5466" i="1"/>
  <c r="D5466" i="1"/>
  <c r="G5466" i="1"/>
  <c r="B4865" i="1"/>
  <c r="D4865" i="1"/>
  <c r="G4865" i="1"/>
  <c r="B8062" i="1"/>
  <c r="D8062" i="1"/>
  <c r="G8062" i="1"/>
  <c r="B2037" i="1"/>
  <c r="D2037" i="1"/>
  <c r="G2037" i="1"/>
  <c r="B11398" i="1"/>
  <c r="D11398" i="1"/>
  <c r="G11398" i="1"/>
  <c r="B6552" i="1"/>
  <c r="D6552" i="1"/>
  <c r="G6552" i="1"/>
  <c r="B9875" i="1"/>
  <c r="D9875" i="1"/>
  <c r="G9875" i="1"/>
  <c r="B4811" i="1"/>
  <c r="D4811" i="1"/>
  <c r="G4811" i="1"/>
  <c r="B5467" i="1"/>
  <c r="D5467" i="1"/>
  <c r="G5467" i="1"/>
  <c r="B902" i="1"/>
  <c r="D902" i="1"/>
  <c r="G902" i="1"/>
  <c r="B17721" i="1"/>
  <c r="D17721" i="1"/>
  <c r="G17721" i="1"/>
  <c r="B17722" i="1"/>
  <c r="D17722" i="1"/>
  <c r="G17722" i="1"/>
  <c r="B18171" i="1"/>
  <c r="D18171" i="1"/>
  <c r="G18171" i="1"/>
  <c r="B198" i="1"/>
  <c r="D198" i="1"/>
  <c r="G198" i="1"/>
  <c r="B558" i="1"/>
  <c r="D558" i="1"/>
  <c r="G558" i="1"/>
  <c r="B13061" i="1"/>
  <c r="D13061" i="1"/>
  <c r="G13061" i="1"/>
  <c r="B5468" i="1"/>
  <c r="D5468" i="1"/>
  <c r="G5468" i="1"/>
  <c r="B8828" i="1"/>
  <c r="D8828" i="1"/>
  <c r="G8828" i="1"/>
  <c r="B3925" i="1"/>
  <c r="D3925" i="1"/>
  <c r="G3925" i="1"/>
  <c r="B13727" i="1"/>
  <c r="D13727" i="1"/>
  <c r="G13727" i="1"/>
  <c r="B8829" i="1"/>
  <c r="D8829" i="1"/>
  <c r="G8829" i="1"/>
  <c r="B2198" i="1"/>
  <c r="D2198" i="1"/>
  <c r="G2198" i="1"/>
  <c r="B1241" i="1"/>
  <c r="D1241" i="1"/>
  <c r="G1241" i="1"/>
  <c r="B1024" i="1"/>
  <c r="D1024" i="1"/>
  <c r="G1024" i="1"/>
  <c r="B1483" i="1"/>
  <c r="D1483" i="1"/>
  <c r="G1483" i="1"/>
  <c r="B10809" i="1"/>
  <c r="D10809" i="1"/>
  <c r="G10809" i="1"/>
  <c r="B7015" i="1"/>
  <c r="D7015" i="1"/>
  <c r="G7015" i="1"/>
  <c r="B7016" i="1"/>
  <c r="D7016" i="1"/>
  <c r="G7016" i="1"/>
  <c r="B7017" i="1"/>
  <c r="D7017" i="1"/>
  <c r="G7017" i="1"/>
  <c r="B9703" i="1"/>
  <c r="D9703" i="1"/>
  <c r="G9703" i="1"/>
  <c r="B9704" i="1"/>
  <c r="D9704" i="1"/>
  <c r="G9704" i="1"/>
  <c r="B4850" i="1"/>
  <c r="D4850" i="1"/>
  <c r="G4850" i="1"/>
  <c r="B3926" i="1"/>
  <c r="D3926" i="1"/>
  <c r="G3926" i="1"/>
  <c r="B14351" i="1"/>
  <c r="D14351" i="1"/>
  <c r="G14351" i="1"/>
  <c r="B21700" i="1"/>
  <c r="D21700" i="1"/>
  <c r="G21700" i="1"/>
  <c r="B6769" i="1"/>
  <c r="D6769" i="1"/>
  <c r="G6769" i="1"/>
  <c r="B5469" i="1"/>
  <c r="D5469" i="1"/>
  <c r="G5469" i="1"/>
  <c r="B911" i="1"/>
  <c r="D911" i="1"/>
  <c r="G911" i="1"/>
  <c r="B1521" i="1"/>
  <c r="D1521" i="1"/>
  <c r="G1521" i="1"/>
  <c r="B752" i="1"/>
  <c r="D752" i="1"/>
  <c r="G752" i="1"/>
  <c r="B5217" i="1"/>
  <c r="D5217" i="1"/>
  <c r="G5217" i="1"/>
  <c r="B6560" i="1"/>
  <c r="D6560" i="1"/>
  <c r="G6560" i="1"/>
  <c r="B5861" i="1"/>
  <c r="D5861" i="1"/>
  <c r="G5861" i="1"/>
  <c r="B17086" i="1"/>
  <c r="D17086" i="1"/>
  <c r="G17086" i="1"/>
  <c r="B5470" i="1"/>
  <c r="D5470" i="1"/>
  <c r="G5470" i="1"/>
  <c r="B5471" i="1"/>
  <c r="D5471" i="1"/>
  <c r="G5471" i="1"/>
  <c r="B4952" i="1"/>
  <c r="D4952" i="1"/>
  <c r="G4952" i="1"/>
  <c r="B5605" i="1"/>
  <c r="D5605" i="1"/>
  <c r="G5605" i="1"/>
  <c r="B7510" i="1"/>
  <c r="D7510" i="1"/>
  <c r="G7510" i="1"/>
  <c r="B6327" i="1"/>
  <c r="D6327" i="1"/>
  <c r="G6327" i="1"/>
  <c r="B6659" i="1"/>
  <c r="D6659" i="1"/>
  <c r="G6659" i="1"/>
  <c r="B12059" i="1"/>
  <c r="D12059" i="1"/>
  <c r="G12059" i="1"/>
  <c r="B16437" i="1"/>
  <c r="D16437" i="1"/>
  <c r="G16437" i="1"/>
  <c r="B6770" i="1"/>
  <c r="D6770" i="1"/>
  <c r="G6770" i="1"/>
  <c r="B6871" i="1"/>
  <c r="D6871" i="1"/>
  <c r="G6871" i="1"/>
  <c r="B10281" i="1"/>
  <c r="D10281" i="1"/>
  <c r="G10281" i="1"/>
  <c r="B8505" i="1"/>
  <c r="D8505" i="1"/>
  <c r="G8505" i="1"/>
  <c r="B8506" i="1"/>
  <c r="D8506" i="1"/>
  <c r="G8506" i="1"/>
  <c r="B11782" i="1"/>
  <c r="D11782" i="1"/>
  <c r="G11782" i="1"/>
  <c r="B14491" i="1"/>
  <c r="D14491" i="1"/>
  <c r="G14491" i="1"/>
  <c r="B2830" i="1"/>
  <c r="D2830" i="1"/>
  <c r="G2830" i="1"/>
  <c r="B8507" i="1"/>
  <c r="D8507" i="1"/>
  <c r="G8507" i="1"/>
  <c r="B8508" i="1"/>
  <c r="D8508" i="1"/>
  <c r="G8508" i="1"/>
  <c r="B20810" i="1"/>
  <c r="D20810" i="1"/>
  <c r="G20810" i="1"/>
  <c r="B15452" i="1"/>
  <c r="D15452" i="1"/>
  <c r="G15452" i="1"/>
  <c r="B14611" i="1"/>
  <c r="D14611" i="1"/>
  <c r="G14611" i="1"/>
  <c r="B2831" i="1"/>
  <c r="D2831" i="1"/>
  <c r="G2831" i="1"/>
  <c r="B12060" i="1"/>
  <c r="D12060" i="1"/>
  <c r="G12060" i="1"/>
  <c r="B3927" i="1"/>
  <c r="D3927" i="1"/>
  <c r="G3927" i="1"/>
  <c r="B22143" i="1"/>
  <c r="D22143" i="1"/>
  <c r="G22143" i="1"/>
  <c r="B7511" i="1"/>
  <c r="D7511" i="1"/>
  <c r="G7511" i="1"/>
  <c r="B14016" i="1"/>
  <c r="D14016" i="1"/>
  <c r="G14016" i="1"/>
  <c r="B8830" i="1"/>
  <c r="D8830" i="1"/>
  <c r="G8830" i="1"/>
  <c r="B5606" i="1"/>
  <c r="D5606" i="1"/>
  <c r="G5606" i="1"/>
  <c r="B5607" i="1"/>
  <c r="D5607" i="1"/>
  <c r="G5607" i="1"/>
  <c r="B3621" i="1"/>
  <c r="D3621" i="1"/>
  <c r="G3621" i="1"/>
  <c r="B11328" i="1"/>
  <c r="D11328" i="1"/>
  <c r="G11328" i="1"/>
  <c r="B11329" i="1"/>
  <c r="D11329" i="1"/>
  <c r="G11329" i="1"/>
  <c r="B22144" i="1"/>
  <c r="D22144" i="1"/>
  <c r="G22144" i="1"/>
  <c r="B3352" i="1"/>
  <c r="D3352" i="1"/>
  <c r="G3352" i="1"/>
  <c r="B5472" i="1"/>
  <c r="D5472" i="1"/>
  <c r="G5472" i="1"/>
  <c r="B11301" i="1"/>
  <c r="D11301" i="1"/>
  <c r="G11301" i="1"/>
  <c r="B12061" i="1"/>
  <c r="D12061" i="1"/>
  <c r="G12061" i="1"/>
  <c r="B6328" i="1"/>
  <c r="D6328" i="1"/>
  <c r="G6328" i="1"/>
  <c r="B6329" i="1"/>
  <c r="D6329" i="1"/>
  <c r="G6329" i="1"/>
  <c r="B4739" i="1"/>
  <c r="D4739" i="1"/>
  <c r="G4739" i="1"/>
  <c r="B20167" i="1"/>
  <c r="D20167" i="1"/>
  <c r="G20167" i="1"/>
  <c r="B14185" i="1"/>
  <c r="D14185" i="1"/>
  <c r="G14185" i="1"/>
  <c r="B8831" i="1"/>
  <c r="D8831" i="1"/>
  <c r="G8831" i="1"/>
  <c r="B19023" i="1"/>
  <c r="D19023" i="1"/>
  <c r="G19023" i="1"/>
  <c r="B18854" i="1"/>
  <c r="D18854" i="1"/>
  <c r="G18854" i="1"/>
  <c r="B13576" i="1"/>
  <c r="D13576" i="1"/>
  <c r="G13576" i="1"/>
  <c r="B5862" i="1"/>
  <c r="D5862" i="1"/>
  <c r="G5862" i="1"/>
  <c r="B1408" i="1"/>
  <c r="D1408" i="1"/>
  <c r="G1408" i="1"/>
  <c r="B18855" i="1"/>
  <c r="D18855" i="1"/>
  <c r="G18855" i="1"/>
  <c r="B15026" i="1"/>
  <c r="D15026" i="1"/>
  <c r="G15026" i="1"/>
  <c r="B12062" i="1"/>
  <c r="D12062" i="1"/>
  <c r="G12062" i="1"/>
  <c r="B8121" i="1"/>
  <c r="D8121" i="1"/>
  <c r="G8121" i="1"/>
  <c r="B5863" i="1"/>
  <c r="D5863" i="1"/>
  <c r="G5863" i="1"/>
  <c r="B8397" i="1"/>
  <c r="D8397" i="1"/>
  <c r="G8397" i="1"/>
  <c r="B12378" i="1"/>
  <c r="D12378" i="1"/>
  <c r="G12378" i="1"/>
  <c r="B6771" i="1"/>
  <c r="D6771" i="1"/>
  <c r="G6771" i="1"/>
  <c r="B14716" i="1"/>
  <c r="D14716" i="1"/>
  <c r="G14716" i="1"/>
  <c r="B3622" i="1"/>
  <c r="D3622" i="1"/>
  <c r="G3622" i="1"/>
  <c r="B109" i="1"/>
  <c r="D109" i="1"/>
  <c r="G109" i="1"/>
  <c r="B3623" i="1"/>
  <c r="D3623" i="1"/>
  <c r="G3623" i="1"/>
  <c r="B5864" i="1"/>
  <c r="D5864" i="1"/>
  <c r="G5864" i="1"/>
  <c r="B6045" i="1"/>
  <c r="D6045" i="1"/>
  <c r="G6045" i="1"/>
  <c r="B1491" i="1"/>
  <c r="D1491" i="1"/>
  <c r="G1491" i="1"/>
  <c r="B12820" i="1"/>
  <c r="D12820" i="1"/>
  <c r="G12820" i="1"/>
  <c r="B4812" i="1"/>
  <c r="D4812" i="1"/>
  <c r="G4812" i="1"/>
  <c r="B6330" i="1"/>
  <c r="D6330" i="1"/>
  <c r="G6330" i="1"/>
  <c r="B6331" i="1"/>
  <c r="D6331" i="1"/>
  <c r="G6331" i="1"/>
  <c r="B5473" i="1"/>
  <c r="D5473" i="1"/>
  <c r="G5473" i="1"/>
  <c r="B7338" i="1"/>
  <c r="D7338" i="1"/>
  <c r="G7338" i="1"/>
  <c r="B2832" i="1"/>
  <c r="D2832" i="1"/>
  <c r="G2832" i="1"/>
  <c r="B6587" i="1"/>
  <c r="D6587" i="1"/>
  <c r="G6587" i="1"/>
  <c r="B6588" i="1"/>
  <c r="D6588" i="1"/>
  <c r="G6588" i="1"/>
  <c r="B6589" i="1"/>
  <c r="D6589" i="1"/>
  <c r="G6589" i="1"/>
  <c r="B6590" i="1"/>
  <c r="D6590" i="1"/>
  <c r="G6590" i="1"/>
  <c r="B6591" i="1"/>
  <c r="D6591" i="1"/>
  <c r="G6591" i="1"/>
  <c r="B5608" i="1"/>
  <c r="D5608" i="1"/>
  <c r="G5608" i="1"/>
  <c r="B396" i="1"/>
  <c r="D396" i="1"/>
  <c r="G396" i="1"/>
  <c r="B559" i="1"/>
  <c r="D559" i="1"/>
  <c r="G559" i="1"/>
  <c r="B560" i="1"/>
  <c r="D560" i="1"/>
  <c r="G560" i="1"/>
  <c r="B21901" i="1"/>
  <c r="D21901" i="1"/>
  <c r="G21901" i="1"/>
  <c r="B4508" i="1"/>
  <c r="D4508" i="1"/>
  <c r="G4508" i="1"/>
  <c r="B6500" i="1"/>
  <c r="D6500" i="1"/>
  <c r="G6500" i="1"/>
  <c r="B13454" i="1"/>
  <c r="D13454" i="1"/>
  <c r="G13454" i="1"/>
  <c r="B2833" i="1"/>
  <c r="D2833" i="1"/>
  <c r="G2833" i="1"/>
  <c r="B21902" i="1"/>
  <c r="D21902" i="1"/>
  <c r="G21902" i="1"/>
  <c r="B4416" i="1"/>
  <c r="D4416" i="1"/>
  <c r="G4416" i="1"/>
  <c r="B14206" i="1"/>
  <c r="D14206" i="1"/>
  <c r="G14206" i="1"/>
  <c r="B9378" i="1"/>
  <c r="D9378" i="1"/>
  <c r="G9378" i="1"/>
  <c r="B12354" i="1"/>
  <c r="D12354" i="1"/>
  <c r="G12354" i="1"/>
  <c r="B8832" i="1"/>
  <c r="D8832" i="1"/>
  <c r="G8832" i="1"/>
  <c r="B10219" i="1"/>
  <c r="D10219" i="1"/>
  <c r="G10219" i="1"/>
  <c r="B10220" i="1"/>
  <c r="D10220" i="1"/>
  <c r="G10220" i="1"/>
  <c r="B13280" i="1"/>
  <c r="D13280" i="1"/>
  <c r="G13280" i="1"/>
  <c r="B351" i="1"/>
  <c r="D351" i="1"/>
  <c r="G351" i="1"/>
  <c r="B6940" i="1"/>
  <c r="D6940" i="1"/>
  <c r="G6940" i="1"/>
  <c r="B8833" i="1"/>
  <c r="D8833" i="1"/>
  <c r="G8833" i="1"/>
  <c r="B20596" i="1"/>
  <c r="D20596" i="1"/>
  <c r="G20596" i="1"/>
  <c r="B8834" i="1"/>
  <c r="D8834" i="1"/>
  <c r="G8834" i="1"/>
  <c r="B10282" i="1"/>
  <c r="D10282" i="1"/>
  <c r="G10282" i="1"/>
  <c r="B397" i="1"/>
  <c r="D397" i="1"/>
  <c r="G397" i="1"/>
  <c r="B10810" i="1"/>
  <c r="D10810" i="1"/>
  <c r="G10810" i="1"/>
  <c r="B20597" i="1"/>
  <c r="D20597" i="1"/>
  <c r="G20597" i="1"/>
  <c r="B18465" i="1"/>
  <c r="D18465" i="1"/>
  <c r="G18465" i="1"/>
  <c r="B11399" i="1"/>
  <c r="D11399" i="1"/>
  <c r="G11399" i="1"/>
  <c r="B19985" i="1"/>
  <c r="D19985" i="1"/>
  <c r="G19985" i="1"/>
  <c r="B4847" i="1"/>
  <c r="D4847" i="1"/>
  <c r="G4847" i="1"/>
  <c r="B5218" i="1"/>
  <c r="D5218" i="1"/>
  <c r="G5218" i="1"/>
  <c r="B10357" i="1"/>
  <c r="D10357" i="1"/>
  <c r="G10357" i="1"/>
  <c r="B12063" i="1"/>
  <c r="D12063" i="1"/>
  <c r="G12063" i="1"/>
  <c r="B10811" i="1"/>
  <c r="D10811" i="1"/>
  <c r="G10811" i="1"/>
  <c r="B18153" i="1"/>
  <c r="D18153" i="1"/>
  <c r="G18153" i="1"/>
  <c r="B11330" i="1"/>
  <c r="D11330" i="1"/>
  <c r="G11330" i="1"/>
  <c r="B11331" i="1"/>
  <c r="D11331" i="1"/>
  <c r="G11331" i="1"/>
  <c r="B2128" i="1"/>
  <c r="D2128" i="1"/>
  <c r="G2128" i="1"/>
  <c r="B22027" i="1"/>
  <c r="D22027" i="1"/>
  <c r="G22027" i="1"/>
  <c r="B3928" i="1"/>
  <c r="D3928" i="1"/>
  <c r="G3928" i="1"/>
  <c r="B6941" i="1"/>
  <c r="D6941" i="1"/>
  <c r="G6941" i="1"/>
  <c r="B8328" i="1"/>
  <c r="D8328" i="1"/>
  <c r="G8328" i="1"/>
  <c r="B1677" i="1"/>
  <c r="D1677" i="1"/>
  <c r="G1677" i="1"/>
  <c r="B1678" i="1"/>
  <c r="D1678" i="1"/>
  <c r="G1678" i="1"/>
  <c r="B2080" i="1"/>
  <c r="D2080" i="1"/>
  <c r="G2080" i="1"/>
  <c r="B9379" i="1"/>
  <c r="D9379" i="1"/>
  <c r="G9379" i="1"/>
  <c r="B2834" i="1"/>
  <c r="D2834" i="1"/>
  <c r="G2834" i="1"/>
  <c r="B7850" i="1"/>
  <c r="D7850" i="1"/>
  <c r="G7850" i="1"/>
  <c r="B7851" i="1"/>
  <c r="D7851" i="1"/>
  <c r="G7851" i="1"/>
  <c r="B12436" i="1"/>
  <c r="D12436" i="1"/>
  <c r="G12436" i="1"/>
  <c r="B7197" i="1"/>
  <c r="D7197" i="1"/>
  <c r="G7197" i="1"/>
  <c r="B7198" i="1"/>
  <c r="D7198" i="1"/>
  <c r="G7198" i="1"/>
  <c r="B1242" i="1"/>
  <c r="D1242" i="1"/>
  <c r="G1242" i="1"/>
  <c r="B4882" i="1"/>
  <c r="D4882" i="1"/>
  <c r="G4882" i="1"/>
  <c r="B7852" i="1"/>
  <c r="D7852" i="1"/>
  <c r="G7852" i="1"/>
  <c r="B7853" i="1"/>
  <c r="D7853" i="1"/>
  <c r="G7853" i="1"/>
  <c r="B9233" i="1"/>
  <c r="D9233" i="1"/>
  <c r="G9233" i="1"/>
  <c r="B9234" i="1"/>
  <c r="D9234" i="1"/>
  <c r="G9234" i="1"/>
  <c r="B18466" i="1"/>
  <c r="D18466" i="1"/>
  <c r="G18466" i="1"/>
  <c r="B5474" i="1"/>
  <c r="D5474" i="1"/>
  <c r="G5474" i="1"/>
  <c r="B7199" i="1"/>
  <c r="D7199" i="1"/>
  <c r="G7199" i="1"/>
  <c r="B4166" i="1"/>
  <c r="D4166" i="1"/>
  <c r="G4166" i="1"/>
  <c r="B8835" i="1"/>
  <c r="D8835" i="1"/>
  <c r="G8835" i="1"/>
  <c r="B4341" i="1"/>
  <c r="D4341" i="1"/>
  <c r="G4341" i="1"/>
  <c r="B8836" i="1"/>
  <c r="D8836" i="1"/>
  <c r="G8836" i="1"/>
  <c r="B2234" i="1"/>
  <c r="D2234" i="1"/>
  <c r="G2234" i="1"/>
  <c r="B10179" i="1"/>
  <c r="D10179" i="1"/>
  <c r="G10179" i="1"/>
  <c r="B5475" i="1"/>
  <c r="D5475" i="1"/>
  <c r="G5475" i="1"/>
  <c r="B5476" i="1"/>
  <c r="D5476" i="1"/>
  <c r="G5476" i="1"/>
  <c r="B10180" i="1"/>
  <c r="D10180" i="1"/>
  <c r="G10180" i="1"/>
  <c r="B6332" i="1"/>
  <c r="D6332" i="1"/>
  <c r="G6332" i="1"/>
  <c r="B6333" i="1"/>
  <c r="D6333" i="1"/>
  <c r="G6333" i="1"/>
  <c r="B8509" i="1"/>
  <c r="D8509" i="1"/>
  <c r="G8509" i="1"/>
  <c r="B8510" i="1"/>
  <c r="D8510" i="1"/>
  <c r="G8510" i="1"/>
  <c r="B21252" i="1"/>
  <c r="D21252" i="1"/>
  <c r="G21252" i="1"/>
  <c r="B6334" i="1"/>
  <c r="D6334" i="1"/>
  <c r="G6334" i="1"/>
  <c r="B6942" i="1"/>
  <c r="D6942" i="1"/>
  <c r="G6942" i="1"/>
  <c r="B358" i="1"/>
  <c r="D358" i="1"/>
  <c r="G358" i="1"/>
  <c r="B19888" i="1"/>
  <c r="D19888" i="1"/>
  <c r="G19888" i="1"/>
  <c r="B178" i="1"/>
  <c r="D178" i="1"/>
  <c r="G178" i="1"/>
  <c r="B19487" i="1"/>
  <c r="D19487" i="1"/>
  <c r="G19487" i="1"/>
  <c r="B11536" i="1"/>
  <c r="D11536" i="1"/>
  <c r="G11536" i="1"/>
  <c r="B11537" i="1"/>
  <c r="D11537" i="1"/>
  <c r="G11537" i="1"/>
  <c r="B11668" i="1"/>
  <c r="D11668" i="1"/>
  <c r="G11668" i="1"/>
  <c r="B11669" i="1"/>
  <c r="D11669" i="1"/>
  <c r="G11669" i="1"/>
  <c r="B3929" i="1"/>
  <c r="D3929" i="1"/>
  <c r="G3929" i="1"/>
  <c r="B5724" i="1"/>
  <c r="D5724" i="1"/>
  <c r="G5724" i="1"/>
  <c r="B5725" i="1"/>
  <c r="D5725" i="1"/>
  <c r="G5725" i="1"/>
  <c r="B2305" i="1"/>
  <c r="D2305" i="1"/>
  <c r="G2305" i="1"/>
  <c r="B6046" i="1"/>
  <c r="D6046" i="1"/>
  <c r="G6046" i="1"/>
  <c r="B7339" i="1"/>
  <c r="D7339" i="1"/>
  <c r="G7339" i="1"/>
  <c r="B11783" i="1"/>
  <c r="D11783" i="1"/>
  <c r="G11783" i="1"/>
  <c r="B11784" i="1"/>
  <c r="D11784" i="1"/>
  <c r="G11784" i="1"/>
  <c r="B22145" i="1"/>
  <c r="D22145" i="1"/>
  <c r="G22145" i="1"/>
  <c r="B8837" i="1"/>
  <c r="D8837" i="1"/>
  <c r="G8837" i="1"/>
  <c r="B20811" i="1"/>
  <c r="D20811" i="1"/>
  <c r="G20811" i="1"/>
  <c r="B14612" i="1"/>
  <c r="D14612" i="1"/>
  <c r="G14612" i="1"/>
  <c r="B17087" i="1"/>
  <c r="D17087" i="1"/>
  <c r="G17087" i="1"/>
  <c r="B4500" i="1"/>
  <c r="D4500" i="1"/>
  <c r="G4500" i="1"/>
  <c r="B10508" i="1"/>
  <c r="D10508" i="1"/>
  <c r="G10508" i="1"/>
  <c r="B10509" i="1"/>
  <c r="D10509" i="1"/>
  <c r="G10509" i="1"/>
  <c r="B10812" i="1"/>
  <c r="D10812" i="1"/>
  <c r="G10812" i="1"/>
  <c r="B10813" i="1"/>
  <c r="D10813" i="1"/>
  <c r="G10813" i="1"/>
  <c r="B8063" i="1"/>
  <c r="D8063" i="1"/>
  <c r="G8063" i="1"/>
  <c r="B3624" i="1"/>
  <c r="D3624" i="1"/>
  <c r="G3624" i="1"/>
  <c r="B469" i="1"/>
  <c r="D469" i="1"/>
  <c r="G469" i="1"/>
  <c r="B16438" i="1"/>
  <c r="D16438" i="1"/>
  <c r="G16438" i="1"/>
  <c r="B12999" i="1"/>
  <c r="D12999" i="1"/>
  <c r="G12999" i="1"/>
  <c r="B11133" i="1"/>
  <c r="D11133" i="1"/>
  <c r="G11133" i="1"/>
  <c r="B19488" i="1"/>
  <c r="D19488" i="1"/>
  <c r="G19488" i="1"/>
  <c r="B19489" i="1"/>
  <c r="D19489" i="1"/>
  <c r="G19489" i="1"/>
  <c r="B18467" i="1"/>
  <c r="D18467" i="1"/>
  <c r="G18467" i="1"/>
  <c r="B14492" i="1"/>
  <c r="D14492" i="1"/>
  <c r="G14492" i="1"/>
  <c r="B6592" i="1"/>
  <c r="D6592" i="1"/>
  <c r="G6592" i="1"/>
  <c r="B2038" i="1"/>
  <c r="D2038" i="1"/>
  <c r="G2038" i="1"/>
  <c r="B7854" i="1"/>
  <c r="D7854" i="1"/>
  <c r="G7854" i="1"/>
  <c r="B7512" i="1"/>
  <c r="D7512" i="1"/>
  <c r="G7512" i="1"/>
  <c r="B7340" i="1"/>
  <c r="D7340" i="1"/>
  <c r="G7340" i="1"/>
  <c r="B7855" i="1"/>
  <c r="D7855" i="1"/>
  <c r="G7855" i="1"/>
  <c r="B7856" i="1"/>
  <c r="D7856" i="1"/>
  <c r="G7856" i="1"/>
  <c r="B8511" i="1"/>
  <c r="D8511" i="1"/>
  <c r="G8511" i="1"/>
  <c r="B8512" i="1"/>
  <c r="D8512" i="1"/>
  <c r="G8512" i="1"/>
  <c r="B8249" i="1"/>
  <c r="D8249" i="1"/>
  <c r="G8249" i="1"/>
  <c r="B16439" i="1"/>
  <c r="D16439" i="1"/>
  <c r="G16439" i="1"/>
  <c r="B11845" i="1"/>
  <c r="D11845" i="1"/>
  <c r="G11845" i="1"/>
  <c r="B6335" i="1"/>
  <c r="D6335" i="1"/>
  <c r="G6335" i="1"/>
  <c r="B10181" i="1"/>
  <c r="D10181" i="1"/>
  <c r="G10181" i="1"/>
  <c r="B17088" i="1"/>
  <c r="D17088" i="1"/>
  <c r="G17088" i="1"/>
  <c r="B19889" i="1"/>
  <c r="D19889" i="1"/>
  <c r="G19889" i="1"/>
  <c r="B5865" i="1"/>
  <c r="D5865" i="1"/>
  <c r="G5865" i="1"/>
  <c r="B6772" i="1"/>
  <c r="D6772" i="1"/>
  <c r="G6772" i="1"/>
  <c r="B13281" i="1"/>
  <c r="D13281" i="1"/>
  <c r="G13281" i="1"/>
  <c r="B7513" i="1"/>
  <c r="D7513" i="1"/>
  <c r="G7513" i="1"/>
  <c r="B20812" i="1"/>
  <c r="D20812" i="1"/>
  <c r="G20812" i="1"/>
  <c r="B19490" i="1"/>
  <c r="D19490" i="1"/>
  <c r="G19490" i="1"/>
  <c r="B14613" i="1"/>
  <c r="D14613" i="1"/>
  <c r="G14613" i="1"/>
  <c r="B12821" i="1"/>
  <c r="D12821" i="1"/>
  <c r="G12821" i="1"/>
  <c r="B6593" i="1"/>
  <c r="D6593" i="1"/>
  <c r="G6593" i="1"/>
  <c r="B6594" i="1"/>
  <c r="D6594" i="1"/>
  <c r="G6594" i="1"/>
  <c r="B6773" i="1"/>
  <c r="D6773" i="1"/>
  <c r="G6773" i="1"/>
  <c r="B6047" i="1"/>
  <c r="D6047" i="1"/>
  <c r="G6047" i="1"/>
  <c r="B12937" i="1"/>
  <c r="D12937" i="1"/>
  <c r="G12937" i="1"/>
  <c r="B21253" i="1"/>
  <c r="D21253" i="1"/>
  <c r="G21253" i="1"/>
  <c r="B15870" i="1"/>
  <c r="D15870" i="1"/>
  <c r="G15870" i="1"/>
  <c r="B21254" i="1"/>
  <c r="D21254" i="1"/>
  <c r="G21254" i="1"/>
  <c r="B12665" i="1"/>
  <c r="D12665" i="1"/>
  <c r="G12665" i="1"/>
  <c r="B11538" i="1"/>
  <c r="D11538" i="1"/>
  <c r="G11538" i="1"/>
  <c r="B14543" i="1"/>
  <c r="D14543" i="1"/>
  <c r="G14543" i="1"/>
  <c r="B6336" i="1"/>
  <c r="D6336" i="1"/>
  <c r="G6336" i="1"/>
  <c r="B6337" i="1"/>
  <c r="D6337" i="1"/>
  <c r="G6337" i="1"/>
  <c r="B15453" i="1"/>
  <c r="D15453" i="1"/>
  <c r="G15453" i="1"/>
  <c r="B15027" i="1"/>
  <c r="D15027" i="1"/>
  <c r="G15027" i="1"/>
  <c r="B6338" i="1"/>
  <c r="D6338" i="1"/>
  <c r="G6338" i="1"/>
  <c r="B10510" i="1"/>
  <c r="D10510" i="1"/>
  <c r="G10510" i="1"/>
  <c r="B10511" i="1"/>
  <c r="D10511" i="1"/>
  <c r="G10511" i="1"/>
  <c r="B10814" i="1"/>
  <c r="D10814" i="1"/>
  <c r="G10814" i="1"/>
  <c r="B10815" i="1"/>
  <c r="D10815" i="1"/>
  <c r="G10815" i="1"/>
  <c r="B12379" i="1"/>
  <c r="D12379" i="1"/>
  <c r="G12379" i="1"/>
  <c r="B987" i="1"/>
  <c r="D987" i="1"/>
  <c r="G987" i="1"/>
  <c r="B12064" i="1"/>
  <c r="D12064" i="1"/>
  <c r="G12064" i="1"/>
  <c r="B8064" i="1"/>
  <c r="D8064" i="1"/>
  <c r="G8064" i="1"/>
  <c r="B12380" i="1"/>
  <c r="D12380" i="1"/>
  <c r="G12380" i="1"/>
  <c r="B8122" i="1"/>
  <c r="D8122" i="1"/>
  <c r="G8122" i="1"/>
  <c r="B6501" i="1"/>
  <c r="D6501" i="1"/>
  <c r="G6501" i="1"/>
  <c r="B6502" i="1"/>
  <c r="D6502" i="1"/>
  <c r="G6502" i="1"/>
  <c r="B6660" i="1"/>
  <c r="D6660" i="1"/>
  <c r="G6660" i="1"/>
  <c r="B110" i="1"/>
  <c r="D110" i="1"/>
  <c r="G110" i="1"/>
  <c r="B1243" i="1"/>
  <c r="D1243" i="1"/>
  <c r="G1243" i="1"/>
  <c r="B19195" i="1"/>
  <c r="D19195" i="1"/>
  <c r="G19195" i="1"/>
  <c r="B15871" i="1"/>
  <c r="D15871" i="1"/>
  <c r="G15871" i="1"/>
  <c r="B1244" i="1"/>
  <c r="D1244" i="1"/>
  <c r="G1244" i="1"/>
  <c r="B398" i="1"/>
  <c r="D398" i="1"/>
  <c r="G398" i="1"/>
  <c r="B15795" i="1"/>
  <c r="D15795" i="1"/>
  <c r="G15795" i="1"/>
  <c r="B8390" i="1"/>
  <c r="D8390" i="1"/>
  <c r="G8390" i="1"/>
  <c r="B2251" i="1"/>
  <c r="D2251" i="1"/>
  <c r="G2251" i="1"/>
  <c r="B12065" i="1"/>
  <c r="D12065" i="1"/>
  <c r="G12065" i="1"/>
  <c r="B21701" i="1"/>
  <c r="D21701" i="1"/>
  <c r="G21701" i="1"/>
  <c r="B18737" i="1"/>
  <c r="D18737" i="1"/>
  <c r="G18737" i="1"/>
  <c r="B13147" i="1"/>
  <c r="D13147" i="1"/>
  <c r="G13147" i="1"/>
  <c r="B4813" i="1"/>
  <c r="D4813" i="1"/>
  <c r="G4813" i="1"/>
  <c r="B21702" i="1"/>
  <c r="D21702" i="1"/>
  <c r="G21702" i="1"/>
  <c r="B10109" i="1"/>
  <c r="D10109" i="1"/>
  <c r="G10109" i="1"/>
  <c r="B5477" i="1"/>
  <c r="D5477" i="1"/>
  <c r="G5477" i="1"/>
  <c r="B12066" i="1"/>
  <c r="D12066" i="1"/>
  <c r="G12066" i="1"/>
  <c r="B7857" i="1"/>
  <c r="D7857" i="1"/>
  <c r="G7857" i="1"/>
  <c r="B7858" i="1"/>
  <c r="D7858" i="1"/>
  <c r="G7858" i="1"/>
  <c r="B19491" i="1"/>
  <c r="D19491" i="1"/>
  <c r="G19491" i="1"/>
  <c r="B11400" i="1"/>
  <c r="D11400" i="1"/>
  <c r="G11400" i="1"/>
  <c r="B5478" i="1"/>
  <c r="D5478" i="1"/>
  <c r="G5478" i="1"/>
  <c r="B13062" i="1"/>
  <c r="D13062" i="1"/>
  <c r="G13062" i="1"/>
  <c r="B5609" i="1"/>
  <c r="D5609" i="1"/>
  <c r="G5609" i="1"/>
  <c r="B5610" i="1"/>
  <c r="D5610" i="1"/>
  <c r="G5610" i="1"/>
  <c r="B6595" i="1"/>
  <c r="D6595" i="1"/>
  <c r="G6595" i="1"/>
  <c r="B7859" i="1"/>
  <c r="D7859" i="1"/>
  <c r="G7859" i="1"/>
  <c r="B2389" i="1"/>
  <c r="D2389" i="1"/>
  <c r="G2389" i="1"/>
  <c r="B10283" i="1"/>
  <c r="D10283" i="1"/>
  <c r="G10283" i="1"/>
  <c r="B8250" i="1"/>
  <c r="D8250" i="1"/>
  <c r="G8250" i="1"/>
  <c r="B1969" i="1"/>
  <c r="D1969" i="1"/>
  <c r="G1969" i="1"/>
  <c r="B12666" i="1"/>
  <c r="D12666" i="1"/>
  <c r="G12666" i="1"/>
  <c r="B4814" i="1"/>
  <c r="D4814" i="1"/>
  <c r="G4814" i="1"/>
  <c r="B1369" i="1"/>
  <c r="D1369" i="1"/>
  <c r="G1369" i="1"/>
  <c r="B10512" i="1"/>
  <c r="D10512" i="1"/>
  <c r="G10512" i="1"/>
  <c r="B10513" i="1"/>
  <c r="D10513" i="1"/>
  <c r="G10513" i="1"/>
  <c r="B10816" i="1"/>
  <c r="D10816" i="1"/>
  <c r="G10816" i="1"/>
  <c r="B10817" i="1"/>
  <c r="D10817" i="1"/>
  <c r="G10817" i="1"/>
  <c r="B7514" i="1"/>
  <c r="D7514" i="1"/>
  <c r="G7514" i="1"/>
  <c r="B15028" i="1"/>
  <c r="D15028" i="1"/>
  <c r="G15028" i="1"/>
  <c r="B2835" i="1"/>
  <c r="D2835" i="1"/>
  <c r="G2835" i="1"/>
  <c r="B7515" i="1"/>
  <c r="D7515" i="1"/>
  <c r="G7515" i="1"/>
  <c r="B7080" i="1"/>
  <c r="D7080" i="1"/>
  <c r="G7080" i="1"/>
  <c r="B1245" i="1"/>
  <c r="D1245" i="1"/>
  <c r="G1245" i="1"/>
  <c r="B11401" i="1"/>
  <c r="D11401" i="1"/>
  <c r="G11401" i="1"/>
  <c r="B5779" i="1"/>
  <c r="D5779" i="1"/>
  <c r="G5779" i="1"/>
  <c r="B19986" i="1"/>
  <c r="D19986" i="1"/>
  <c r="G19986" i="1"/>
  <c r="B11302" i="1"/>
  <c r="D11302" i="1"/>
  <c r="G11302" i="1"/>
  <c r="B2466" i="1"/>
  <c r="D2466" i="1"/>
  <c r="G2466" i="1"/>
  <c r="B11402" i="1"/>
  <c r="D11402" i="1"/>
  <c r="G11402" i="1"/>
  <c r="B9971" i="1"/>
  <c r="D9971" i="1"/>
  <c r="G9971" i="1"/>
  <c r="B5104" i="1"/>
  <c r="D5104" i="1"/>
  <c r="G5104" i="1"/>
  <c r="B11134" i="1"/>
  <c r="D11134" i="1"/>
  <c r="G11134" i="1"/>
  <c r="B10122" i="1"/>
  <c r="D10122" i="1"/>
  <c r="G10122" i="1"/>
  <c r="B10123" i="1"/>
  <c r="D10123" i="1"/>
  <c r="G10123" i="1"/>
  <c r="B12954" i="1"/>
  <c r="D12954" i="1"/>
  <c r="G12954" i="1"/>
  <c r="B12067" i="1"/>
  <c r="D12067" i="1"/>
  <c r="G12067" i="1"/>
  <c r="B14207" i="1"/>
  <c r="D14207" i="1"/>
  <c r="G14207" i="1"/>
  <c r="B883" i="1"/>
  <c r="D883" i="1"/>
  <c r="G883" i="1"/>
  <c r="B12970" i="1"/>
  <c r="D12970" i="1"/>
  <c r="G12970" i="1"/>
  <c r="B18856" i="1"/>
  <c r="D18856" i="1"/>
  <c r="G18856" i="1"/>
  <c r="B16440" i="1"/>
  <c r="D16440" i="1"/>
  <c r="G16440" i="1"/>
  <c r="B5479" i="1"/>
  <c r="D5479" i="1"/>
  <c r="G5479" i="1"/>
  <c r="B5480" i="1"/>
  <c r="D5480" i="1"/>
  <c r="G5480" i="1"/>
  <c r="B9174" i="1"/>
  <c r="D9174" i="1"/>
  <c r="G9174" i="1"/>
  <c r="B9380" i="1"/>
  <c r="D9380" i="1"/>
  <c r="G9380" i="1"/>
  <c r="B6339" i="1"/>
  <c r="D6339" i="1"/>
  <c r="G6339" i="1"/>
  <c r="B6340" i="1"/>
  <c r="D6340" i="1"/>
  <c r="G6340" i="1"/>
  <c r="B3753" i="1"/>
  <c r="D3753" i="1"/>
  <c r="G3753" i="1"/>
  <c r="B3625" i="1"/>
  <c r="D3625" i="1"/>
  <c r="G3625" i="1"/>
  <c r="B14684" i="1"/>
  <c r="D14684" i="1"/>
  <c r="G14684" i="1"/>
  <c r="B12068" i="1"/>
  <c r="D12068" i="1"/>
  <c r="G12068" i="1"/>
  <c r="B429" i="1"/>
  <c r="D429" i="1"/>
  <c r="G429" i="1"/>
  <c r="B6503" i="1"/>
  <c r="D6503" i="1"/>
  <c r="G6503" i="1"/>
  <c r="B6504" i="1"/>
  <c r="D6504" i="1"/>
  <c r="G6504" i="1"/>
  <c r="B2836" i="1"/>
  <c r="D2836" i="1"/>
  <c r="G2836" i="1"/>
  <c r="B18172" i="1"/>
  <c r="D18172" i="1"/>
  <c r="G18172" i="1"/>
  <c r="B2837" i="1"/>
  <c r="D2837" i="1"/>
  <c r="G2837" i="1"/>
  <c r="B1679" i="1"/>
  <c r="D1679" i="1"/>
  <c r="G1679" i="1"/>
  <c r="B11670" i="1"/>
  <c r="D11670" i="1"/>
  <c r="G11670" i="1"/>
  <c r="B4815" i="1"/>
  <c r="D4815" i="1"/>
  <c r="G4815" i="1"/>
  <c r="B1246" i="1"/>
  <c r="D1246" i="1"/>
  <c r="G1246" i="1"/>
  <c r="B10514" i="1"/>
  <c r="D10514" i="1"/>
  <c r="G10514" i="1"/>
  <c r="B6596" i="1"/>
  <c r="D6596" i="1"/>
  <c r="G6596" i="1"/>
  <c r="B12069" i="1"/>
  <c r="D12069" i="1"/>
  <c r="G12069" i="1"/>
  <c r="B8838" i="1"/>
  <c r="D8838" i="1"/>
  <c r="G8838" i="1"/>
  <c r="B8513" i="1"/>
  <c r="D8513" i="1"/>
  <c r="G8513" i="1"/>
  <c r="B8514" i="1"/>
  <c r="D8514" i="1"/>
  <c r="G8514" i="1"/>
  <c r="B11785" i="1"/>
  <c r="D11785" i="1"/>
  <c r="G11785" i="1"/>
  <c r="B11786" i="1"/>
  <c r="D11786" i="1"/>
  <c r="G11786" i="1"/>
  <c r="B6661" i="1"/>
  <c r="D6661" i="1"/>
  <c r="G6661" i="1"/>
  <c r="B5481" i="1"/>
  <c r="D5481" i="1"/>
  <c r="G5481" i="1"/>
  <c r="B8839" i="1"/>
  <c r="D8839" i="1"/>
  <c r="G8839" i="1"/>
  <c r="B1247" i="1"/>
  <c r="D1247" i="1"/>
  <c r="G1247" i="1"/>
  <c r="B11787" i="1"/>
  <c r="D11787" i="1"/>
  <c r="G11787" i="1"/>
  <c r="B5482" i="1"/>
  <c r="D5482" i="1"/>
  <c r="G5482" i="1"/>
  <c r="B561" i="1"/>
  <c r="D561" i="1"/>
  <c r="G561" i="1"/>
  <c r="B7516" i="1"/>
  <c r="D7516" i="1"/>
  <c r="G7516" i="1"/>
  <c r="B7341" i="1"/>
  <c r="D7341" i="1"/>
  <c r="G7341" i="1"/>
  <c r="B11879" i="1"/>
  <c r="D11879" i="1"/>
  <c r="G11879" i="1"/>
  <c r="B11135" i="1"/>
  <c r="D11135" i="1"/>
  <c r="G11135" i="1"/>
  <c r="B4816" i="1"/>
  <c r="D4816" i="1"/>
  <c r="G4816" i="1"/>
  <c r="B5483" i="1"/>
  <c r="D5483" i="1"/>
  <c r="G5483" i="1"/>
  <c r="B8251" i="1"/>
  <c r="D8251" i="1"/>
  <c r="G8251" i="1"/>
  <c r="B15682" i="1"/>
  <c r="D15682" i="1"/>
  <c r="G15682" i="1"/>
  <c r="B14208" i="1"/>
  <c r="D14208" i="1"/>
  <c r="G14208" i="1"/>
  <c r="B17089" i="1"/>
  <c r="D17089" i="1"/>
  <c r="G17089" i="1"/>
  <c r="B5484" i="1"/>
  <c r="D5484" i="1"/>
  <c r="G5484" i="1"/>
  <c r="B11332" i="1"/>
  <c r="D11332" i="1"/>
  <c r="G11332" i="1"/>
  <c r="B9705" i="1"/>
  <c r="D9705" i="1"/>
  <c r="G9705" i="1"/>
  <c r="B9706" i="1"/>
  <c r="D9706" i="1"/>
  <c r="G9706" i="1"/>
  <c r="B9898" i="1"/>
  <c r="D9898" i="1"/>
  <c r="G9898" i="1"/>
  <c r="B22028" i="1"/>
  <c r="D22028" i="1"/>
  <c r="G22028" i="1"/>
  <c r="B14614" i="1"/>
  <c r="D14614" i="1"/>
  <c r="G14614" i="1"/>
  <c r="B15029" i="1"/>
  <c r="D15029" i="1"/>
  <c r="G15029" i="1"/>
  <c r="B13724" i="1"/>
  <c r="D13724" i="1"/>
  <c r="G13724" i="1"/>
  <c r="B15454" i="1"/>
  <c r="D15454" i="1"/>
  <c r="G15454" i="1"/>
  <c r="B11539" i="1"/>
  <c r="D11539" i="1"/>
  <c r="G11539" i="1"/>
  <c r="B6943" i="1"/>
  <c r="D6943" i="1"/>
  <c r="G6943" i="1"/>
  <c r="B6597" i="1"/>
  <c r="D6597" i="1"/>
  <c r="G6597" i="1"/>
  <c r="B6598" i="1"/>
  <c r="D6598" i="1"/>
  <c r="G6598" i="1"/>
  <c r="B1248" i="1"/>
  <c r="D1248" i="1"/>
  <c r="G1248" i="1"/>
  <c r="B12070" i="1"/>
  <c r="D12070" i="1"/>
  <c r="G12070" i="1"/>
  <c r="B4866" i="1"/>
  <c r="D4866" i="1"/>
  <c r="G4866" i="1"/>
  <c r="B6341" i="1"/>
  <c r="D6341" i="1"/>
  <c r="G6341" i="1"/>
  <c r="B6342" i="1"/>
  <c r="D6342" i="1"/>
  <c r="G6342" i="1"/>
  <c r="B10818" i="1"/>
  <c r="D10818" i="1"/>
  <c r="G10818" i="1"/>
  <c r="B4342" i="1"/>
  <c r="D4342" i="1"/>
  <c r="G4342" i="1"/>
  <c r="B14717" i="1"/>
  <c r="D14717" i="1"/>
  <c r="G14717" i="1"/>
  <c r="B20813" i="1"/>
  <c r="D20813" i="1"/>
  <c r="G20813" i="1"/>
  <c r="B6774" i="1"/>
  <c r="D6774" i="1"/>
  <c r="G6774" i="1"/>
  <c r="B6343" i="1"/>
  <c r="D6343" i="1"/>
  <c r="G6343" i="1"/>
  <c r="B7342" i="1"/>
  <c r="D7342" i="1"/>
  <c r="G7342" i="1"/>
  <c r="B4740" i="1"/>
  <c r="D4740" i="1"/>
  <c r="G4740" i="1"/>
  <c r="B11540" i="1"/>
  <c r="D11540" i="1"/>
  <c r="G11540" i="1"/>
  <c r="B4540" i="1"/>
  <c r="D4540" i="1"/>
  <c r="G4540" i="1"/>
  <c r="B2129" i="1"/>
  <c r="D2129" i="1"/>
  <c r="G2129" i="1"/>
  <c r="B562" i="1"/>
  <c r="D562" i="1"/>
  <c r="G562" i="1"/>
  <c r="B18468" i="1"/>
  <c r="D18468" i="1"/>
  <c r="G18468" i="1"/>
  <c r="B6048" i="1"/>
  <c r="D6048" i="1"/>
  <c r="G6048" i="1"/>
  <c r="B21782" i="1"/>
  <c r="D21782" i="1"/>
  <c r="G21782" i="1"/>
  <c r="B11039" i="1"/>
  <c r="D11039" i="1"/>
  <c r="G11039" i="1"/>
  <c r="B1452" i="1"/>
  <c r="D1452" i="1"/>
  <c r="G1452" i="1"/>
  <c r="B12822" i="1"/>
  <c r="D12822" i="1"/>
  <c r="G12822" i="1"/>
  <c r="B6344" i="1"/>
  <c r="D6344" i="1"/>
  <c r="G6344" i="1"/>
  <c r="B6345" i="1"/>
  <c r="D6345" i="1"/>
  <c r="G6345" i="1"/>
  <c r="B1249" i="1"/>
  <c r="D1249" i="1"/>
  <c r="G1249" i="1"/>
  <c r="B15030" i="1"/>
  <c r="D15030" i="1"/>
  <c r="G15030" i="1"/>
  <c r="B5780" i="1"/>
  <c r="D5780" i="1"/>
  <c r="G5780" i="1"/>
  <c r="B14209" i="1"/>
  <c r="D14209" i="1"/>
  <c r="G14209" i="1"/>
  <c r="B14210" i="1"/>
  <c r="D14210" i="1"/>
  <c r="G14210" i="1"/>
  <c r="B399" i="1"/>
  <c r="D399" i="1"/>
  <c r="G399" i="1"/>
  <c r="B11040" i="1"/>
  <c r="D11040" i="1"/>
  <c r="G11040" i="1"/>
  <c r="B1409" i="1"/>
  <c r="D1409" i="1"/>
  <c r="G1409" i="1"/>
  <c r="B5485" i="1"/>
  <c r="D5485" i="1"/>
  <c r="G5485" i="1"/>
  <c r="B5486" i="1"/>
  <c r="D5486" i="1"/>
  <c r="G5486" i="1"/>
  <c r="B13282" i="1"/>
  <c r="D13282" i="1"/>
  <c r="G13282" i="1"/>
  <c r="B14157" i="1"/>
  <c r="D14157" i="1"/>
  <c r="G14157" i="1"/>
  <c r="B12071" i="1"/>
  <c r="D12071" i="1"/>
  <c r="G12071" i="1"/>
  <c r="B5487" i="1"/>
  <c r="D5487" i="1"/>
  <c r="G5487" i="1"/>
  <c r="B5488" i="1"/>
  <c r="D5488" i="1"/>
  <c r="G5488" i="1"/>
  <c r="B21703" i="1"/>
  <c r="D21703" i="1"/>
  <c r="G21703" i="1"/>
  <c r="B8840" i="1"/>
  <c r="D8840" i="1"/>
  <c r="G8840" i="1"/>
  <c r="B10284" i="1"/>
  <c r="D10284" i="1"/>
  <c r="G10284" i="1"/>
  <c r="B11403" i="1"/>
  <c r="D11403" i="1"/>
  <c r="G11403" i="1"/>
  <c r="B6346" i="1"/>
  <c r="D6346" i="1"/>
  <c r="G6346" i="1"/>
  <c r="B6347" i="1"/>
  <c r="D6347" i="1"/>
  <c r="G6347" i="1"/>
  <c r="B20168" i="1"/>
  <c r="D20168" i="1"/>
  <c r="G20168" i="1"/>
  <c r="B2390" i="1"/>
  <c r="D2390" i="1"/>
  <c r="G2390" i="1"/>
  <c r="B6348" i="1"/>
  <c r="D6348" i="1"/>
  <c r="G6348" i="1"/>
  <c r="B6349" i="1"/>
  <c r="D6349" i="1"/>
  <c r="G6349" i="1"/>
  <c r="B400" i="1"/>
  <c r="D400" i="1"/>
  <c r="G400" i="1"/>
  <c r="B15455" i="1"/>
  <c r="D15455" i="1"/>
  <c r="G15455" i="1"/>
  <c r="B10515" i="1"/>
  <c r="D10515" i="1"/>
  <c r="G10515" i="1"/>
  <c r="B15031" i="1"/>
  <c r="D15031" i="1"/>
  <c r="G15031" i="1"/>
  <c r="B10516" i="1"/>
  <c r="D10516" i="1"/>
  <c r="G10516" i="1"/>
  <c r="B18082" i="1"/>
  <c r="D18082" i="1"/>
  <c r="G18082" i="1"/>
  <c r="B11541" i="1"/>
  <c r="D11541" i="1"/>
  <c r="G11541" i="1"/>
  <c r="B11542" i="1"/>
  <c r="D11542" i="1"/>
  <c r="G11542" i="1"/>
  <c r="B11671" i="1"/>
  <c r="D11671" i="1"/>
  <c r="G11671" i="1"/>
  <c r="B11543" i="1"/>
  <c r="D11543" i="1"/>
  <c r="G11543" i="1"/>
  <c r="B8123" i="1"/>
  <c r="D8123" i="1"/>
  <c r="G8123" i="1"/>
  <c r="B15677" i="1"/>
  <c r="D15677" i="1"/>
  <c r="G15677" i="1"/>
  <c r="B3930" i="1"/>
  <c r="D3930" i="1"/>
  <c r="G3930" i="1"/>
  <c r="B3931" i="1"/>
  <c r="D3931" i="1"/>
  <c r="G3931" i="1"/>
  <c r="B6599" i="1"/>
  <c r="D6599" i="1"/>
  <c r="G6599" i="1"/>
  <c r="B6600" i="1"/>
  <c r="D6600" i="1"/>
  <c r="G6600" i="1"/>
  <c r="B1250" i="1"/>
  <c r="D1250" i="1"/>
  <c r="G1250" i="1"/>
  <c r="B2130" i="1"/>
  <c r="D2130" i="1"/>
  <c r="G2130" i="1"/>
  <c r="B8329" i="1"/>
  <c r="D8329" i="1"/>
  <c r="G8329" i="1"/>
  <c r="B10285" i="1"/>
  <c r="D10285" i="1"/>
  <c r="G10285" i="1"/>
  <c r="B2838" i="1"/>
  <c r="D2838" i="1"/>
  <c r="G2838" i="1"/>
  <c r="B8277" i="1"/>
  <c r="D8277" i="1"/>
  <c r="G8277" i="1"/>
  <c r="B7200" i="1"/>
  <c r="D7200" i="1"/>
  <c r="G7200" i="1"/>
  <c r="B7201" i="1"/>
  <c r="D7201" i="1"/>
  <c r="G7201" i="1"/>
  <c r="B3102" i="1"/>
  <c r="D3102" i="1"/>
  <c r="G3102" i="1"/>
  <c r="B13283" i="1"/>
  <c r="D13283" i="1"/>
  <c r="G13283" i="1"/>
  <c r="B7860" i="1"/>
  <c r="D7860" i="1"/>
  <c r="G7860" i="1"/>
  <c r="B7861" i="1"/>
  <c r="D7861" i="1"/>
  <c r="G7861" i="1"/>
  <c r="B8841" i="1"/>
  <c r="D8841" i="1"/>
  <c r="G8841" i="1"/>
  <c r="B7862" i="1"/>
  <c r="D7862" i="1"/>
  <c r="G7862" i="1"/>
  <c r="B7863" i="1"/>
  <c r="D7863" i="1"/>
  <c r="G7863" i="1"/>
  <c r="B19492" i="1"/>
  <c r="D19492" i="1"/>
  <c r="G19492" i="1"/>
  <c r="B11333" i="1"/>
  <c r="D11333" i="1"/>
  <c r="G11333" i="1"/>
  <c r="B7517" i="1"/>
  <c r="D7517" i="1"/>
  <c r="G7517" i="1"/>
  <c r="B2839" i="1"/>
  <c r="D2839" i="1"/>
  <c r="G2839" i="1"/>
  <c r="B8124" i="1"/>
  <c r="D8124" i="1"/>
  <c r="G8124" i="1"/>
  <c r="B5781" i="1"/>
  <c r="D5781" i="1"/>
  <c r="G5781" i="1"/>
  <c r="B7864" i="1"/>
  <c r="D7864" i="1"/>
  <c r="G7864" i="1"/>
  <c r="B7518" i="1"/>
  <c r="D7518" i="1"/>
  <c r="G7518" i="1"/>
  <c r="B7343" i="1"/>
  <c r="D7343" i="1"/>
  <c r="G7343" i="1"/>
  <c r="B1014" i="1"/>
  <c r="D1014" i="1"/>
  <c r="G1014" i="1"/>
  <c r="B10517" i="1"/>
  <c r="D10517" i="1"/>
  <c r="G10517" i="1"/>
  <c r="B3932" i="1"/>
  <c r="D3932" i="1"/>
  <c r="G3932" i="1"/>
  <c r="B12971" i="1"/>
  <c r="D12971" i="1"/>
  <c r="G12971" i="1"/>
  <c r="B10819" i="1"/>
  <c r="D10819" i="1"/>
  <c r="G10819" i="1"/>
  <c r="B11136" i="1"/>
  <c r="D11136" i="1"/>
  <c r="G11136" i="1"/>
  <c r="B16972" i="1"/>
  <c r="D16972" i="1"/>
  <c r="G16972" i="1"/>
  <c r="B17090" i="1"/>
  <c r="D17090" i="1"/>
  <c r="G17090" i="1"/>
  <c r="B11137" i="1"/>
  <c r="D11137" i="1"/>
  <c r="G11137" i="1"/>
  <c r="B8842" i="1"/>
  <c r="D8842" i="1"/>
  <c r="G8842" i="1"/>
  <c r="B5489" i="1"/>
  <c r="D5489" i="1"/>
  <c r="G5489" i="1"/>
  <c r="B1510" i="1"/>
  <c r="D1510" i="1"/>
  <c r="G1510" i="1"/>
  <c r="B19493" i="1"/>
  <c r="D19493" i="1"/>
  <c r="G19493" i="1"/>
  <c r="B15872" i="1"/>
  <c r="D15872" i="1"/>
  <c r="G15872" i="1"/>
  <c r="B8278" i="1"/>
  <c r="D8278" i="1"/>
  <c r="G8278" i="1"/>
  <c r="B3353" i="1"/>
  <c r="D3353" i="1"/>
  <c r="G3353" i="1"/>
  <c r="B3354" i="1"/>
  <c r="D3354" i="1"/>
  <c r="G3354" i="1"/>
  <c r="B7865" i="1"/>
  <c r="D7865" i="1"/>
  <c r="G7865" i="1"/>
  <c r="B15796" i="1"/>
  <c r="D15796" i="1"/>
  <c r="G15796" i="1"/>
  <c r="B8065" i="1"/>
  <c r="D8065" i="1"/>
  <c r="G8065" i="1"/>
  <c r="B7344" i="1"/>
  <c r="D7344" i="1"/>
  <c r="G7344" i="1"/>
  <c r="B7202" i="1"/>
  <c r="D7202" i="1"/>
  <c r="G7202" i="1"/>
  <c r="B7203" i="1"/>
  <c r="D7203" i="1"/>
  <c r="G7203" i="1"/>
  <c r="B6601" i="1"/>
  <c r="D6601" i="1"/>
  <c r="G6601" i="1"/>
  <c r="B6602" i="1"/>
  <c r="D6602" i="1"/>
  <c r="G6602" i="1"/>
  <c r="B6775" i="1"/>
  <c r="D6775" i="1"/>
  <c r="G6775" i="1"/>
  <c r="B6776" i="1"/>
  <c r="D6776" i="1"/>
  <c r="G6776" i="1"/>
  <c r="B11138" i="1"/>
  <c r="D11138" i="1"/>
  <c r="G11138" i="1"/>
  <c r="B18857" i="1"/>
  <c r="D18857" i="1"/>
  <c r="G18857" i="1"/>
  <c r="B7122" i="1"/>
  <c r="D7122" i="1"/>
  <c r="G7122" i="1"/>
  <c r="B5782" i="1"/>
  <c r="D5782" i="1"/>
  <c r="G5782" i="1"/>
  <c r="B6777" i="1"/>
  <c r="D6777" i="1"/>
  <c r="G6777" i="1"/>
  <c r="B6662" i="1"/>
  <c r="D6662" i="1"/>
  <c r="G6662" i="1"/>
  <c r="B10518" i="1"/>
  <c r="D10518" i="1"/>
  <c r="G10518" i="1"/>
  <c r="B10820" i="1"/>
  <c r="D10820" i="1"/>
  <c r="G10820" i="1"/>
  <c r="B10821" i="1"/>
  <c r="D10821" i="1"/>
  <c r="G10821" i="1"/>
  <c r="B1251" i="1"/>
  <c r="D1251" i="1"/>
  <c r="G1251" i="1"/>
  <c r="B4639" i="1"/>
  <c r="D4639" i="1"/>
  <c r="G4639" i="1"/>
  <c r="B13017" i="1"/>
  <c r="D13017" i="1"/>
  <c r="G13017" i="1"/>
  <c r="B6049" i="1"/>
  <c r="D6049" i="1"/>
  <c r="G6049" i="1"/>
  <c r="B18238" i="1"/>
  <c r="D18238" i="1"/>
  <c r="G18238" i="1"/>
  <c r="B10822" i="1"/>
  <c r="D10822" i="1"/>
  <c r="G10822" i="1"/>
  <c r="B6050" i="1"/>
  <c r="D6050" i="1"/>
  <c r="G6050" i="1"/>
  <c r="B5726" i="1"/>
  <c r="D5726" i="1"/>
  <c r="G5726" i="1"/>
  <c r="B5727" i="1"/>
  <c r="D5727" i="1"/>
  <c r="G5727" i="1"/>
  <c r="B20381" i="1"/>
  <c r="D20381" i="1"/>
  <c r="G20381" i="1"/>
  <c r="B3933" i="1"/>
  <c r="D3933" i="1"/>
  <c r="G3933" i="1"/>
  <c r="B3934" i="1"/>
  <c r="D3934" i="1"/>
  <c r="G3934" i="1"/>
  <c r="B5156" i="1"/>
  <c r="D5156" i="1"/>
  <c r="G5156" i="1"/>
  <c r="B6350" i="1"/>
  <c r="D6350" i="1"/>
  <c r="G6350" i="1"/>
  <c r="B6351" i="1"/>
  <c r="D6351" i="1"/>
  <c r="G6351" i="1"/>
  <c r="B15456" i="1"/>
  <c r="D15456" i="1"/>
  <c r="G15456" i="1"/>
  <c r="B4471" i="1"/>
  <c r="D4471" i="1"/>
  <c r="G4471" i="1"/>
  <c r="B10519" i="1"/>
  <c r="D10519" i="1"/>
  <c r="G10519" i="1"/>
  <c r="B6352" i="1"/>
  <c r="D6352" i="1"/>
  <c r="G6352" i="1"/>
  <c r="B6353" i="1"/>
  <c r="D6353" i="1"/>
  <c r="G6353" i="1"/>
  <c r="B20814" i="1"/>
  <c r="D20814" i="1"/>
  <c r="G20814" i="1"/>
  <c r="B19196" i="1"/>
  <c r="D19196" i="1"/>
  <c r="G19196" i="1"/>
  <c r="B10823" i="1"/>
  <c r="D10823" i="1"/>
  <c r="G10823" i="1"/>
  <c r="B12823" i="1"/>
  <c r="D12823" i="1"/>
  <c r="G12823" i="1"/>
  <c r="B280" i="1"/>
  <c r="D280" i="1"/>
  <c r="G280" i="1"/>
  <c r="B22146" i="1"/>
  <c r="D22146" i="1"/>
  <c r="G22146" i="1"/>
  <c r="B6603" i="1"/>
  <c r="D6603" i="1"/>
  <c r="G6603" i="1"/>
  <c r="B6604" i="1"/>
  <c r="D6604" i="1"/>
  <c r="G6604" i="1"/>
  <c r="B16441" i="1"/>
  <c r="D16441" i="1"/>
  <c r="G16441" i="1"/>
  <c r="B10221" i="1"/>
  <c r="D10221" i="1"/>
  <c r="G10221" i="1"/>
  <c r="B8125" i="1"/>
  <c r="D8125" i="1"/>
  <c r="G8125" i="1"/>
  <c r="B7866" i="1"/>
  <c r="D7866" i="1"/>
  <c r="G7866" i="1"/>
  <c r="B7519" i="1"/>
  <c r="D7519" i="1"/>
  <c r="G7519" i="1"/>
  <c r="B7345" i="1"/>
  <c r="D7345" i="1"/>
  <c r="G7345" i="1"/>
  <c r="B563" i="1"/>
  <c r="D563" i="1"/>
  <c r="G563" i="1"/>
  <c r="B8843" i="1"/>
  <c r="D8843" i="1"/>
  <c r="G8843" i="1"/>
  <c r="B8844" i="1"/>
  <c r="D8844" i="1"/>
  <c r="G8844" i="1"/>
  <c r="B2840" i="1"/>
  <c r="D2840" i="1"/>
  <c r="G2840" i="1"/>
  <c r="B6354" i="1"/>
  <c r="D6354" i="1"/>
  <c r="G6354" i="1"/>
  <c r="B6355" i="1"/>
  <c r="D6355" i="1"/>
  <c r="G6355" i="1"/>
  <c r="B5219" i="1"/>
  <c r="D5219" i="1"/>
  <c r="G5219" i="1"/>
  <c r="B8515" i="1"/>
  <c r="D8515" i="1"/>
  <c r="G8515" i="1"/>
  <c r="B8516" i="1"/>
  <c r="D8516" i="1"/>
  <c r="G8516" i="1"/>
  <c r="B4741" i="1"/>
  <c r="D4741" i="1"/>
  <c r="G4741" i="1"/>
  <c r="B12381" i="1"/>
  <c r="D12381" i="1"/>
  <c r="G12381" i="1"/>
  <c r="B8330" i="1"/>
  <c r="D8330" i="1"/>
  <c r="G8330" i="1"/>
  <c r="B9876" i="1"/>
  <c r="D9876" i="1"/>
  <c r="G9876" i="1"/>
  <c r="B7204" i="1"/>
  <c r="D7204" i="1"/>
  <c r="G7204" i="1"/>
  <c r="B7205" i="1"/>
  <c r="D7205" i="1"/>
  <c r="G7205" i="1"/>
  <c r="B8155" i="1"/>
  <c r="D8155" i="1"/>
  <c r="G8155" i="1"/>
  <c r="B17723" i="1"/>
  <c r="D17723" i="1"/>
  <c r="G17723" i="1"/>
  <c r="B17724" i="1"/>
  <c r="D17724" i="1"/>
  <c r="G17724" i="1"/>
  <c r="B17725" i="1"/>
  <c r="D17725" i="1"/>
  <c r="G17725" i="1"/>
  <c r="B17726" i="1"/>
  <c r="D17726" i="1"/>
  <c r="G17726" i="1"/>
  <c r="B17727" i="1"/>
  <c r="D17727" i="1"/>
  <c r="G17727" i="1"/>
  <c r="B564" i="1"/>
  <c r="D564" i="1"/>
  <c r="G564" i="1"/>
  <c r="B7867" i="1"/>
  <c r="D7867" i="1"/>
  <c r="G7867" i="1"/>
  <c r="B7868" i="1"/>
  <c r="D7868" i="1"/>
  <c r="G7868" i="1"/>
  <c r="B12072" i="1"/>
  <c r="D12072" i="1"/>
  <c r="G12072" i="1"/>
  <c r="B2841" i="1"/>
  <c r="D2841" i="1"/>
  <c r="G2841" i="1"/>
  <c r="B20815" i="1"/>
  <c r="D20815" i="1"/>
  <c r="G20815" i="1"/>
  <c r="B7520" i="1"/>
  <c r="D7520" i="1"/>
  <c r="G7520" i="1"/>
  <c r="B22248" i="1"/>
  <c r="D22248" i="1"/>
  <c r="G22248" i="1"/>
  <c r="B8066" i="1"/>
  <c r="D8066" i="1"/>
  <c r="G8066" i="1"/>
  <c r="B12073" i="1"/>
  <c r="D12073" i="1"/>
  <c r="G12073" i="1"/>
  <c r="B19197" i="1"/>
  <c r="D19197" i="1"/>
  <c r="G19197" i="1"/>
  <c r="B10286" i="1"/>
  <c r="D10286" i="1"/>
  <c r="G10286" i="1"/>
  <c r="B9235" i="1"/>
  <c r="D9235" i="1"/>
  <c r="G9235" i="1"/>
  <c r="B7206" i="1"/>
  <c r="D7206" i="1"/>
  <c r="G7206" i="1"/>
  <c r="B7207" i="1"/>
  <c r="D7207" i="1"/>
  <c r="G7207" i="1"/>
  <c r="B17091" i="1"/>
  <c r="D17091" i="1"/>
  <c r="G17091" i="1"/>
  <c r="B16094" i="1"/>
  <c r="D16094" i="1"/>
  <c r="G16094" i="1"/>
  <c r="B10824" i="1"/>
  <c r="D10824" i="1"/>
  <c r="G10824" i="1"/>
  <c r="B273" i="1"/>
  <c r="D273" i="1"/>
  <c r="G273" i="1"/>
  <c r="B11139" i="1"/>
  <c r="D11139" i="1"/>
  <c r="G11139" i="1"/>
  <c r="B11544" i="1"/>
  <c r="D11544" i="1"/>
  <c r="G11544" i="1"/>
  <c r="B19494" i="1"/>
  <c r="D19494" i="1"/>
  <c r="G19494" i="1"/>
  <c r="B8126" i="1"/>
  <c r="D8126" i="1"/>
  <c r="G8126" i="1"/>
  <c r="B17518" i="1"/>
  <c r="D17518" i="1"/>
  <c r="G17518" i="1"/>
  <c r="B16442" i="1"/>
  <c r="D16442" i="1"/>
  <c r="G16442" i="1"/>
  <c r="B17383" i="1"/>
  <c r="D17383" i="1"/>
  <c r="G17383" i="1"/>
  <c r="B17092" i="1"/>
  <c r="D17092" i="1"/>
  <c r="G17092" i="1"/>
  <c r="B8517" i="1"/>
  <c r="D8517" i="1"/>
  <c r="G8517" i="1"/>
  <c r="B7521" i="1"/>
  <c r="D7521" i="1"/>
  <c r="G7521" i="1"/>
  <c r="B827" i="1"/>
  <c r="D827" i="1"/>
  <c r="G827" i="1"/>
  <c r="B8252" i="1"/>
  <c r="D8252" i="1"/>
  <c r="G8252" i="1"/>
  <c r="B10358" i="1"/>
  <c r="D10358" i="1"/>
  <c r="G10358" i="1"/>
  <c r="B10825" i="1"/>
  <c r="D10825" i="1"/>
  <c r="G10825" i="1"/>
  <c r="B11672" i="1"/>
  <c r="D11672" i="1"/>
  <c r="G11672" i="1"/>
  <c r="B11545" i="1"/>
  <c r="D11545" i="1"/>
  <c r="G11545" i="1"/>
  <c r="B755" i="1"/>
  <c r="D755" i="1"/>
  <c r="G755" i="1"/>
  <c r="B13624" i="1"/>
  <c r="D13624" i="1"/>
  <c r="G13624" i="1"/>
  <c r="B401" i="1"/>
  <c r="D401" i="1"/>
  <c r="G401" i="1"/>
  <c r="B13625" i="1"/>
  <c r="D13625" i="1"/>
  <c r="G13625" i="1"/>
  <c r="B9381" i="1"/>
  <c r="D9381" i="1"/>
  <c r="G9381" i="1"/>
  <c r="B9382" i="1"/>
  <c r="D9382" i="1"/>
  <c r="G9382" i="1"/>
  <c r="B9383" i="1"/>
  <c r="D9383" i="1"/>
  <c r="G9383" i="1"/>
  <c r="B199" i="1"/>
  <c r="D199" i="1"/>
  <c r="G199" i="1"/>
  <c r="B6944" i="1"/>
  <c r="D6944" i="1"/>
  <c r="G6944" i="1"/>
  <c r="B12074" i="1"/>
  <c r="D12074" i="1"/>
  <c r="G12074" i="1"/>
  <c r="B17093" i="1"/>
  <c r="D17093" i="1"/>
  <c r="G17093" i="1"/>
  <c r="B22029" i="1"/>
  <c r="D22029" i="1"/>
  <c r="G22029" i="1"/>
  <c r="B14493" i="1"/>
  <c r="D14493" i="1"/>
  <c r="G14493" i="1"/>
  <c r="B15457" i="1"/>
  <c r="D15457" i="1"/>
  <c r="G15457" i="1"/>
  <c r="B22147" i="1"/>
  <c r="D22147" i="1"/>
  <c r="G22147" i="1"/>
  <c r="B1680" i="1"/>
  <c r="D1680" i="1"/>
  <c r="G1680" i="1"/>
  <c r="B1681" i="1"/>
  <c r="D1681" i="1"/>
  <c r="G1681" i="1"/>
  <c r="B2842" i="1"/>
  <c r="D2842" i="1"/>
  <c r="G2842" i="1"/>
  <c r="B7869" i="1"/>
  <c r="D7869" i="1"/>
  <c r="G7869" i="1"/>
  <c r="B7870" i="1"/>
  <c r="D7870" i="1"/>
  <c r="G7870" i="1"/>
  <c r="B6605" i="1"/>
  <c r="D6605" i="1"/>
  <c r="G6605" i="1"/>
  <c r="B6663" i="1"/>
  <c r="D6663" i="1"/>
  <c r="G6663" i="1"/>
  <c r="B4817" i="1"/>
  <c r="D4817" i="1"/>
  <c r="G4817" i="1"/>
  <c r="B2843" i="1"/>
  <c r="D2843" i="1"/>
  <c r="G2843" i="1"/>
  <c r="B1252" i="1"/>
  <c r="D1252" i="1"/>
  <c r="G1252" i="1"/>
  <c r="B11880" i="1"/>
  <c r="D11880" i="1"/>
  <c r="G11880" i="1"/>
  <c r="B16973" i="1"/>
  <c r="D16973" i="1"/>
  <c r="G16973" i="1"/>
  <c r="B10520" i="1"/>
  <c r="D10520" i="1"/>
  <c r="G10520" i="1"/>
  <c r="B10521" i="1"/>
  <c r="D10521" i="1"/>
  <c r="G10521" i="1"/>
  <c r="B10826" i="1"/>
  <c r="D10826" i="1"/>
  <c r="G10826" i="1"/>
  <c r="B10827" i="1"/>
  <c r="D10827" i="1"/>
  <c r="G10827" i="1"/>
  <c r="B12502" i="1"/>
  <c r="D12502" i="1"/>
  <c r="G12502" i="1"/>
  <c r="B4252" i="1"/>
  <c r="D4252" i="1"/>
  <c r="G4252" i="1"/>
  <c r="B17519" i="1"/>
  <c r="D17519" i="1"/>
  <c r="G17519" i="1"/>
  <c r="B6664" i="1"/>
  <c r="D6664" i="1"/>
  <c r="G6664" i="1"/>
  <c r="B5157" i="1"/>
  <c r="D5157" i="1"/>
  <c r="G5157" i="1"/>
  <c r="B1025" i="1"/>
  <c r="D1025" i="1"/>
  <c r="G1025" i="1"/>
  <c r="B11140" i="1"/>
  <c r="D11140" i="1"/>
  <c r="G11140" i="1"/>
  <c r="B7346" i="1"/>
  <c r="D7346" i="1"/>
  <c r="G7346" i="1"/>
  <c r="B8845" i="1"/>
  <c r="D8845" i="1"/>
  <c r="G8845" i="1"/>
  <c r="B5808" i="1"/>
  <c r="D5808" i="1"/>
  <c r="G5808" i="1"/>
  <c r="B11404" i="1"/>
  <c r="D11404" i="1"/>
  <c r="G11404" i="1"/>
  <c r="B8846" i="1"/>
  <c r="D8846" i="1"/>
  <c r="G8846" i="1"/>
  <c r="B21255" i="1"/>
  <c r="D21255" i="1"/>
  <c r="G21255" i="1"/>
  <c r="B21256" i="1"/>
  <c r="D21256" i="1"/>
  <c r="G21256" i="1"/>
  <c r="B12398" i="1"/>
  <c r="D12398" i="1"/>
  <c r="G12398" i="1"/>
  <c r="B8518" i="1"/>
  <c r="D8518" i="1"/>
  <c r="G8518" i="1"/>
  <c r="B8519" i="1"/>
  <c r="D8519" i="1"/>
  <c r="G8519" i="1"/>
  <c r="B15032" i="1"/>
  <c r="D15032" i="1"/>
  <c r="G15032" i="1"/>
  <c r="B11714" i="1"/>
  <c r="D11714" i="1"/>
  <c r="G11714" i="1"/>
  <c r="B1253" i="1"/>
  <c r="D1253" i="1"/>
  <c r="G1253" i="1"/>
  <c r="B12075" i="1"/>
  <c r="D12075" i="1"/>
  <c r="G12075" i="1"/>
  <c r="B19495" i="1"/>
  <c r="D19495" i="1"/>
  <c r="G19495" i="1"/>
  <c r="B3935" i="1"/>
  <c r="D3935" i="1"/>
  <c r="G3935" i="1"/>
  <c r="B11546" i="1"/>
  <c r="D11546" i="1"/>
  <c r="G11546" i="1"/>
  <c r="B11547" i="1"/>
  <c r="D11547" i="1"/>
  <c r="G11547" i="1"/>
  <c r="B7522" i="1"/>
  <c r="D7522" i="1"/>
  <c r="G7522" i="1"/>
  <c r="B11673" i="1"/>
  <c r="D11673" i="1"/>
  <c r="G11673" i="1"/>
  <c r="B11674" i="1"/>
  <c r="D11674" i="1"/>
  <c r="G11674" i="1"/>
  <c r="B14437" i="1"/>
  <c r="D14437" i="1"/>
  <c r="G14437" i="1"/>
  <c r="B20100" i="1"/>
  <c r="D20100" i="1"/>
  <c r="G20100" i="1"/>
  <c r="B15033" i="1"/>
  <c r="D15033" i="1"/>
  <c r="G15033" i="1"/>
  <c r="B6606" i="1"/>
  <c r="D6606" i="1"/>
  <c r="G6606" i="1"/>
  <c r="B8189" i="1"/>
  <c r="D8189" i="1"/>
  <c r="G8189" i="1"/>
  <c r="B6356" i="1"/>
  <c r="D6356" i="1"/>
  <c r="G6356" i="1"/>
  <c r="B6505" i="1"/>
  <c r="D6505" i="1"/>
  <c r="G6505" i="1"/>
  <c r="B7523" i="1"/>
  <c r="D7523" i="1"/>
  <c r="G7523" i="1"/>
  <c r="B6357" i="1"/>
  <c r="D6357" i="1"/>
  <c r="G6357" i="1"/>
  <c r="B7524" i="1"/>
  <c r="D7524" i="1"/>
  <c r="G7524" i="1"/>
  <c r="B18675" i="1"/>
  <c r="D18675" i="1"/>
  <c r="G18675" i="1"/>
  <c r="B12824" i="1"/>
  <c r="D12824" i="1"/>
  <c r="G12824" i="1"/>
  <c r="B11405" i="1"/>
  <c r="D11405" i="1"/>
  <c r="G11405" i="1"/>
  <c r="B19496" i="1"/>
  <c r="D19496" i="1"/>
  <c r="G19496" i="1"/>
  <c r="B19497" i="1"/>
  <c r="D19497" i="1"/>
  <c r="G19497" i="1"/>
  <c r="B12076" i="1"/>
  <c r="D12076" i="1"/>
  <c r="G12076" i="1"/>
  <c r="B6358" i="1"/>
  <c r="D6358" i="1"/>
  <c r="G6358" i="1"/>
  <c r="B6359" i="1"/>
  <c r="D6359" i="1"/>
  <c r="G6359" i="1"/>
  <c r="B8520" i="1"/>
  <c r="D8520" i="1"/>
  <c r="G8520" i="1"/>
  <c r="B3936" i="1"/>
  <c r="D3936" i="1"/>
  <c r="G3936" i="1"/>
  <c r="B3937" i="1"/>
  <c r="D3937" i="1"/>
  <c r="G3937" i="1"/>
  <c r="B19498" i="1"/>
  <c r="D19498" i="1"/>
  <c r="G19498" i="1"/>
  <c r="B19499" i="1"/>
  <c r="D19499" i="1"/>
  <c r="G19499" i="1"/>
  <c r="B4742" i="1"/>
  <c r="D4742" i="1"/>
  <c r="G4742" i="1"/>
  <c r="B8127" i="1"/>
  <c r="D8127" i="1"/>
  <c r="G8127" i="1"/>
  <c r="B8128" i="1"/>
  <c r="D8128" i="1"/>
  <c r="G8128" i="1"/>
  <c r="B2391" i="1"/>
  <c r="D2391" i="1"/>
  <c r="G2391" i="1"/>
  <c r="B3626" i="1"/>
  <c r="D3626" i="1"/>
  <c r="G3626" i="1"/>
  <c r="B7347" i="1"/>
  <c r="D7347" i="1"/>
  <c r="G7347" i="1"/>
  <c r="B8847" i="1"/>
  <c r="D8847" i="1"/>
  <c r="G8847" i="1"/>
  <c r="B10522" i="1"/>
  <c r="D10522" i="1"/>
  <c r="G10522" i="1"/>
  <c r="B8848" i="1"/>
  <c r="D8848" i="1"/>
  <c r="G8848" i="1"/>
  <c r="B828" i="1"/>
  <c r="D828" i="1"/>
  <c r="G828" i="1"/>
  <c r="B21704" i="1"/>
  <c r="D21704" i="1"/>
  <c r="G21704" i="1"/>
  <c r="B8331" i="1"/>
  <c r="D8331" i="1"/>
  <c r="G8331" i="1"/>
  <c r="B1254" i="1"/>
  <c r="D1254" i="1"/>
  <c r="G1254" i="1"/>
  <c r="B8521" i="1"/>
  <c r="D8521" i="1"/>
  <c r="G8521" i="1"/>
  <c r="B8522" i="1"/>
  <c r="D8522" i="1"/>
  <c r="G8522" i="1"/>
  <c r="B19987" i="1"/>
  <c r="D19987" i="1"/>
  <c r="G19987" i="1"/>
  <c r="B11881" i="1"/>
  <c r="D11881" i="1"/>
  <c r="G11881" i="1"/>
  <c r="B10124" i="1"/>
  <c r="D10124" i="1"/>
  <c r="G10124" i="1"/>
  <c r="B18738" i="1"/>
  <c r="D18738" i="1"/>
  <c r="G18738" i="1"/>
  <c r="B21531" i="1"/>
  <c r="D21531" i="1"/>
  <c r="G21531" i="1"/>
  <c r="B7208" i="1"/>
  <c r="D7208" i="1"/>
  <c r="G7208" i="1"/>
  <c r="B7209" i="1"/>
  <c r="D7209" i="1"/>
  <c r="G7209" i="1"/>
  <c r="B21532" i="1"/>
  <c r="D21532" i="1"/>
  <c r="G21532" i="1"/>
  <c r="B2844" i="1"/>
  <c r="D2844" i="1"/>
  <c r="G2844" i="1"/>
  <c r="B3754" i="1"/>
  <c r="D3754" i="1"/>
  <c r="G3754" i="1"/>
  <c r="B10828" i="1"/>
  <c r="D10828" i="1"/>
  <c r="G10828" i="1"/>
  <c r="B19500" i="1"/>
  <c r="D19500" i="1"/>
  <c r="G19500" i="1"/>
  <c r="B1410" i="1"/>
  <c r="D1410" i="1"/>
  <c r="G1410" i="1"/>
  <c r="B4640" i="1"/>
  <c r="D4640" i="1"/>
  <c r="G4640" i="1"/>
  <c r="B7871" i="1"/>
  <c r="D7871" i="1"/>
  <c r="G7871" i="1"/>
  <c r="B7872" i="1"/>
  <c r="D7872" i="1"/>
  <c r="G7872" i="1"/>
  <c r="B7348" i="1"/>
  <c r="D7348" i="1"/>
  <c r="G7348" i="1"/>
  <c r="B7873" i="1"/>
  <c r="D7873" i="1"/>
  <c r="G7873" i="1"/>
  <c r="B18858" i="1"/>
  <c r="D18858" i="1"/>
  <c r="G18858" i="1"/>
  <c r="B14544" i="1"/>
  <c r="D14544" i="1"/>
  <c r="G14544" i="1"/>
  <c r="B1255" i="1"/>
  <c r="D1255" i="1"/>
  <c r="G1255" i="1"/>
  <c r="B19501" i="1"/>
  <c r="D19501" i="1"/>
  <c r="G19501" i="1"/>
  <c r="B5220" i="1"/>
  <c r="D5220" i="1"/>
  <c r="G5220" i="1"/>
  <c r="B11141" i="1"/>
  <c r="D11141" i="1"/>
  <c r="G11141" i="1"/>
  <c r="B16443" i="1"/>
  <c r="D16443" i="1"/>
  <c r="G16443" i="1"/>
  <c r="B12077" i="1"/>
  <c r="D12077" i="1"/>
  <c r="G12077" i="1"/>
  <c r="B14395" i="1"/>
  <c r="D14395" i="1"/>
  <c r="G14395" i="1"/>
  <c r="B12404" i="1"/>
  <c r="D12404" i="1"/>
  <c r="G12404" i="1"/>
  <c r="B8129" i="1"/>
  <c r="D8129" i="1"/>
  <c r="G8129" i="1"/>
  <c r="B10523" i="1"/>
  <c r="D10523" i="1"/>
  <c r="G10523" i="1"/>
  <c r="B3938" i="1"/>
  <c r="D3938" i="1"/>
  <c r="G3938" i="1"/>
  <c r="B3939" i="1"/>
  <c r="D3939" i="1"/>
  <c r="G3939" i="1"/>
  <c r="B11142" i="1"/>
  <c r="D11142" i="1"/>
  <c r="G11142" i="1"/>
  <c r="B13577" i="1"/>
  <c r="D13577" i="1"/>
  <c r="G13577" i="1"/>
  <c r="B12825" i="1"/>
  <c r="D12825" i="1"/>
  <c r="G12825" i="1"/>
  <c r="B16444" i="1"/>
  <c r="D16444" i="1"/>
  <c r="G16444" i="1"/>
  <c r="B15873" i="1"/>
  <c r="D15873" i="1"/>
  <c r="G15873" i="1"/>
  <c r="B15797" i="1"/>
  <c r="D15797" i="1"/>
  <c r="G15797" i="1"/>
  <c r="B6665" i="1"/>
  <c r="D6665" i="1"/>
  <c r="G6665" i="1"/>
  <c r="B8332" i="1"/>
  <c r="D8332" i="1"/>
  <c r="G8332" i="1"/>
  <c r="B11788" i="1"/>
  <c r="D11788" i="1"/>
  <c r="G11788" i="1"/>
  <c r="B1256" i="1"/>
  <c r="D1256" i="1"/>
  <c r="G1256" i="1"/>
  <c r="B71" i="1"/>
  <c r="D71" i="1"/>
  <c r="G71" i="1"/>
  <c r="B13455" i="1"/>
  <c r="D13455" i="1"/>
  <c r="G13455" i="1"/>
  <c r="B7210" i="1"/>
  <c r="D7210" i="1"/>
  <c r="G7210" i="1"/>
  <c r="B7211" i="1"/>
  <c r="D7211" i="1"/>
  <c r="G7211" i="1"/>
  <c r="B6607" i="1"/>
  <c r="D6607" i="1"/>
  <c r="G6607" i="1"/>
  <c r="B7874" i="1"/>
  <c r="D7874" i="1"/>
  <c r="G7874" i="1"/>
  <c r="B7875" i="1"/>
  <c r="D7875" i="1"/>
  <c r="G7875" i="1"/>
  <c r="B16445" i="1"/>
  <c r="D16445" i="1"/>
  <c r="G16445" i="1"/>
  <c r="B12667" i="1"/>
  <c r="D12667" i="1"/>
  <c r="G12667" i="1"/>
  <c r="B10359" i="1"/>
  <c r="D10359" i="1"/>
  <c r="G10359" i="1"/>
  <c r="B10524" i="1"/>
  <c r="D10524" i="1"/>
  <c r="G10524" i="1"/>
  <c r="B10525" i="1"/>
  <c r="D10525" i="1"/>
  <c r="G10525" i="1"/>
  <c r="B10829" i="1"/>
  <c r="D10829" i="1"/>
  <c r="G10829" i="1"/>
  <c r="B10830" i="1"/>
  <c r="D10830" i="1"/>
  <c r="G10830" i="1"/>
  <c r="B10831" i="1"/>
  <c r="D10831" i="1"/>
  <c r="G10831" i="1"/>
  <c r="B3940" i="1"/>
  <c r="D3940" i="1"/>
  <c r="G3940" i="1"/>
  <c r="B4818" i="1"/>
  <c r="D4818" i="1"/>
  <c r="G4818" i="1"/>
  <c r="B5490" i="1"/>
  <c r="D5490" i="1"/>
  <c r="G5490" i="1"/>
  <c r="B402" i="1"/>
  <c r="D402" i="1"/>
  <c r="G402" i="1"/>
  <c r="B11143" i="1"/>
  <c r="D11143" i="1"/>
  <c r="G11143" i="1"/>
  <c r="B13666" i="1"/>
  <c r="D13666" i="1"/>
  <c r="G13666" i="1"/>
  <c r="B5491" i="1"/>
  <c r="D5491" i="1"/>
  <c r="G5491" i="1"/>
  <c r="B13825" i="1"/>
  <c r="D13825" i="1"/>
  <c r="G13825" i="1"/>
  <c r="B5288" i="1"/>
  <c r="D5288" i="1"/>
  <c r="G5288" i="1"/>
  <c r="B5287" i="1"/>
  <c r="D5287" i="1"/>
  <c r="G5287" i="1"/>
  <c r="B13221" i="1"/>
  <c r="D13221" i="1"/>
  <c r="G13221" i="1"/>
  <c r="B21705" i="1"/>
  <c r="D21705" i="1"/>
  <c r="G21705" i="1"/>
  <c r="B21706" i="1"/>
  <c r="D21706" i="1"/>
  <c r="G21706" i="1"/>
  <c r="B6666" i="1"/>
  <c r="D6666" i="1"/>
  <c r="G6666" i="1"/>
  <c r="B13743" i="1"/>
  <c r="D13743" i="1"/>
  <c r="G13743" i="1"/>
  <c r="B3941" i="1"/>
  <c r="D3941" i="1"/>
  <c r="G3941" i="1"/>
  <c r="B6994" i="1"/>
  <c r="D6994" i="1"/>
  <c r="G6994" i="1"/>
  <c r="B9130" i="1"/>
  <c r="D9130" i="1"/>
  <c r="G9130" i="1"/>
  <c r="B16446" i="1"/>
  <c r="D16446" i="1"/>
  <c r="G16446" i="1"/>
  <c r="B14211" i="1"/>
  <c r="D14211" i="1"/>
  <c r="G14211" i="1"/>
  <c r="B19502" i="1"/>
  <c r="D19502" i="1"/>
  <c r="G19502" i="1"/>
  <c r="B18469" i="1"/>
  <c r="D18469" i="1"/>
  <c r="G18469" i="1"/>
  <c r="B7018" i="1"/>
  <c r="D7018" i="1"/>
  <c r="G7018" i="1"/>
  <c r="B11740" i="1"/>
  <c r="D11740" i="1"/>
  <c r="G11740" i="1"/>
  <c r="B6608" i="1"/>
  <c r="D6608" i="1"/>
  <c r="G6608" i="1"/>
  <c r="B12078" i="1"/>
  <c r="D12078" i="1"/>
  <c r="G12078" i="1"/>
  <c r="B863" i="1"/>
  <c r="D863" i="1"/>
  <c r="G863" i="1"/>
  <c r="B7525" i="1"/>
  <c r="D7525" i="1"/>
  <c r="G7525" i="1"/>
  <c r="B7349" i="1"/>
  <c r="D7349" i="1"/>
  <c r="G7349" i="1"/>
  <c r="B22148" i="1"/>
  <c r="D22148" i="1"/>
  <c r="G22148" i="1"/>
  <c r="B12079" i="1"/>
  <c r="D12079" i="1"/>
  <c r="G12079" i="1"/>
  <c r="B256" i="1"/>
  <c r="D256" i="1"/>
  <c r="G256" i="1"/>
  <c r="B10287" i="1"/>
  <c r="D10287" i="1"/>
  <c r="G10287" i="1"/>
  <c r="B14401" i="1"/>
  <c r="D14401" i="1"/>
  <c r="G14401" i="1"/>
  <c r="B5611" i="1"/>
  <c r="D5611" i="1"/>
  <c r="G5611" i="1"/>
  <c r="B12410" i="1"/>
  <c r="D12410" i="1"/>
  <c r="G12410" i="1"/>
  <c r="B9707" i="1"/>
  <c r="D9707" i="1"/>
  <c r="G9707" i="1"/>
  <c r="B19503" i="1"/>
  <c r="D19503" i="1"/>
  <c r="G19503" i="1"/>
  <c r="B18470" i="1"/>
  <c r="D18470" i="1"/>
  <c r="G18470" i="1"/>
  <c r="B5492" i="1"/>
  <c r="D5492" i="1"/>
  <c r="G5492" i="1"/>
  <c r="B5493" i="1"/>
  <c r="D5493" i="1"/>
  <c r="G5493" i="1"/>
  <c r="B10832" i="1"/>
  <c r="D10832" i="1"/>
  <c r="G10832" i="1"/>
  <c r="B9384" i="1"/>
  <c r="D9384" i="1"/>
  <c r="G9384" i="1"/>
  <c r="B8523" i="1"/>
  <c r="D8523" i="1"/>
  <c r="G8523" i="1"/>
  <c r="B8524" i="1"/>
  <c r="D8524" i="1"/>
  <c r="G8524" i="1"/>
  <c r="B13983" i="1"/>
  <c r="D13983" i="1"/>
  <c r="G13983" i="1"/>
  <c r="B6360" i="1"/>
  <c r="D6360" i="1"/>
  <c r="G6360" i="1"/>
  <c r="B6361" i="1"/>
  <c r="D6361" i="1"/>
  <c r="G6361" i="1"/>
  <c r="B8849" i="1"/>
  <c r="D8849" i="1"/>
  <c r="G8849" i="1"/>
  <c r="B10526" i="1"/>
  <c r="D10526" i="1"/>
  <c r="G10526" i="1"/>
  <c r="B19504" i="1"/>
  <c r="D19504" i="1"/>
  <c r="G19504" i="1"/>
  <c r="B8525" i="1"/>
  <c r="D8525" i="1"/>
  <c r="G8525" i="1"/>
  <c r="B8526" i="1"/>
  <c r="D8526" i="1"/>
  <c r="G8526" i="1"/>
  <c r="B4237" i="1"/>
  <c r="D4237" i="1"/>
  <c r="G4237" i="1"/>
  <c r="B7526" i="1"/>
  <c r="D7526" i="1"/>
  <c r="G7526" i="1"/>
  <c r="B8067" i="1"/>
  <c r="D8067" i="1"/>
  <c r="G8067" i="1"/>
  <c r="B8527" i="1"/>
  <c r="D8527" i="1"/>
  <c r="G8527" i="1"/>
  <c r="B8528" i="1"/>
  <c r="D8528" i="1"/>
  <c r="G8528" i="1"/>
  <c r="B16095" i="1"/>
  <c r="D16095" i="1"/>
  <c r="G16095" i="1"/>
  <c r="B7350" i="1"/>
  <c r="D7350" i="1"/>
  <c r="G7350" i="1"/>
  <c r="B3942" i="1"/>
  <c r="D3942" i="1"/>
  <c r="G3942" i="1"/>
  <c r="B3943" i="1"/>
  <c r="D3943" i="1"/>
  <c r="G3943" i="1"/>
  <c r="B11467" i="1"/>
  <c r="D11467" i="1"/>
  <c r="G11467" i="1"/>
  <c r="B1411" i="1"/>
  <c r="D1411" i="1"/>
  <c r="G1411" i="1"/>
  <c r="B926" i="1"/>
  <c r="D926" i="1"/>
  <c r="G926" i="1"/>
  <c r="B1370" i="1"/>
  <c r="D1370" i="1"/>
  <c r="G1370" i="1"/>
  <c r="B7876" i="1"/>
  <c r="D7876" i="1"/>
  <c r="G7876" i="1"/>
  <c r="B7877" i="1"/>
  <c r="D7877" i="1"/>
  <c r="G7877" i="1"/>
  <c r="B1682" i="1"/>
  <c r="D1682" i="1"/>
  <c r="G1682" i="1"/>
  <c r="B1683" i="1"/>
  <c r="D1683" i="1"/>
  <c r="G1683" i="1"/>
  <c r="B12080" i="1"/>
  <c r="D12080" i="1"/>
  <c r="G12080" i="1"/>
  <c r="B6778" i="1"/>
  <c r="D6778" i="1"/>
  <c r="G6778" i="1"/>
  <c r="B6872" i="1"/>
  <c r="D6872" i="1"/>
  <c r="G6872" i="1"/>
  <c r="B7527" i="1"/>
  <c r="D7527" i="1"/>
  <c r="G7527" i="1"/>
  <c r="B5728" i="1"/>
  <c r="D5728" i="1"/>
  <c r="G5728" i="1"/>
  <c r="B5729" i="1"/>
  <c r="D5729" i="1"/>
  <c r="G5729" i="1"/>
  <c r="B17728" i="1"/>
  <c r="D17728" i="1"/>
  <c r="G17728" i="1"/>
  <c r="B5221" i="1"/>
  <c r="D5221" i="1"/>
  <c r="G5221" i="1"/>
  <c r="B8529" i="1"/>
  <c r="D8529" i="1"/>
  <c r="G8529" i="1"/>
  <c r="B8530" i="1"/>
  <c r="D8530" i="1"/>
  <c r="G8530" i="1"/>
  <c r="B8531" i="1"/>
  <c r="D8531" i="1"/>
  <c r="G8531" i="1"/>
  <c r="B9708" i="1"/>
  <c r="D9708" i="1"/>
  <c r="G9708" i="1"/>
  <c r="B18471" i="1"/>
  <c r="D18471" i="1"/>
  <c r="G18471" i="1"/>
  <c r="B11144" i="1"/>
  <c r="D11144" i="1"/>
  <c r="G11144" i="1"/>
  <c r="B16447" i="1"/>
  <c r="D16447" i="1"/>
  <c r="G16447" i="1"/>
  <c r="B7081" i="1"/>
  <c r="D7081" i="1"/>
  <c r="G7081" i="1"/>
  <c r="B3944" i="1"/>
  <c r="D3944" i="1"/>
  <c r="G3944" i="1"/>
  <c r="B5612" i="1"/>
  <c r="D5612" i="1"/>
  <c r="G5612" i="1"/>
  <c r="B11675" i="1"/>
  <c r="D11675" i="1"/>
  <c r="G11675" i="1"/>
  <c r="B11548" i="1"/>
  <c r="D11548" i="1"/>
  <c r="G11548" i="1"/>
  <c r="B16448" i="1"/>
  <c r="D16448" i="1"/>
  <c r="G16448" i="1"/>
  <c r="B17094" i="1"/>
  <c r="D17094" i="1"/>
  <c r="G17094" i="1"/>
  <c r="B12081" i="1"/>
  <c r="D12081" i="1"/>
  <c r="G12081" i="1"/>
  <c r="B8130" i="1"/>
  <c r="D8130" i="1"/>
  <c r="G8130" i="1"/>
  <c r="B9951" i="1"/>
  <c r="D9951" i="1"/>
  <c r="G9951" i="1"/>
  <c r="B10288" i="1"/>
  <c r="D10288" i="1"/>
  <c r="G10288" i="1"/>
  <c r="B8850" i="1"/>
  <c r="D8850" i="1"/>
  <c r="G8850" i="1"/>
  <c r="B699" i="1"/>
  <c r="D699" i="1"/>
  <c r="G699" i="1"/>
  <c r="B7082" i="1"/>
  <c r="D7082" i="1"/>
  <c r="G7082" i="1"/>
  <c r="B15034" i="1"/>
  <c r="D15034" i="1"/>
  <c r="G15034" i="1"/>
  <c r="B20816" i="1"/>
  <c r="D20816" i="1"/>
  <c r="G20816" i="1"/>
  <c r="B19198" i="1"/>
  <c r="D19198" i="1"/>
  <c r="G19198" i="1"/>
  <c r="B20598" i="1"/>
  <c r="D20598" i="1"/>
  <c r="G20598" i="1"/>
  <c r="B6779" i="1"/>
  <c r="D6779" i="1"/>
  <c r="G6779" i="1"/>
  <c r="B10833" i="1"/>
  <c r="D10833" i="1"/>
  <c r="G10833" i="1"/>
  <c r="B8622" i="1"/>
  <c r="D8622" i="1"/>
  <c r="G8622" i="1"/>
  <c r="B6051" i="1"/>
  <c r="D6051" i="1"/>
  <c r="G6051" i="1"/>
  <c r="B9923" i="1"/>
  <c r="D9923" i="1"/>
  <c r="G9923" i="1"/>
  <c r="B11882" i="1"/>
  <c r="D11882" i="1"/>
  <c r="G11882" i="1"/>
  <c r="B8190" i="1"/>
  <c r="D8190" i="1"/>
  <c r="G8190" i="1"/>
  <c r="B18659" i="1"/>
  <c r="D18659" i="1"/>
  <c r="G18659" i="1"/>
  <c r="B15035" i="1"/>
  <c r="D15035" i="1"/>
  <c r="G15035" i="1"/>
  <c r="B19024" i="1"/>
  <c r="D19024" i="1"/>
  <c r="G19024" i="1"/>
  <c r="B16974" i="1"/>
  <c r="D16974" i="1"/>
  <c r="G16974" i="1"/>
  <c r="B1877" i="1"/>
  <c r="D1877" i="1"/>
  <c r="G1877" i="1"/>
  <c r="B6780" i="1"/>
  <c r="D6780" i="1"/>
  <c r="G6780" i="1"/>
  <c r="B6781" i="1"/>
  <c r="D6781" i="1"/>
  <c r="G6781" i="1"/>
  <c r="B6362" i="1"/>
  <c r="D6362" i="1"/>
  <c r="G6362" i="1"/>
  <c r="B6363" i="1"/>
  <c r="D6363" i="1"/>
  <c r="G6363" i="1"/>
  <c r="B19199" i="1"/>
  <c r="D19199" i="1"/>
  <c r="G19199" i="1"/>
  <c r="B11741" i="1"/>
  <c r="D11741" i="1"/>
  <c r="G11741" i="1"/>
  <c r="B15036" i="1"/>
  <c r="D15036" i="1"/>
  <c r="G15036" i="1"/>
  <c r="B2845" i="1"/>
  <c r="D2845" i="1"/>
  <c r="G2845" i="1"/>
  <c r="B8851" i="1"/>
  <c r="D8851" i="1"/>
  <c r="G8851" i="1"/>
  <c r="B11406" i="1"/>
  <c r="D11406" i="1"/>
  <c r="G11406" i="1"/>
  <c r="B10051" i="1"/>
  <c r="D10051" i="1"/>
  <c r="G10051" i="1"/>
  <c r="B15458" i="1"/>
  <c r="D15458" i="1"/>
  <c r="G15458" i="1"/>
  <c r="B20169" i="1"/>
  <c r="D20169" i="1"/>
  <c r="G20169" i="1"/>
  <c r="B15703" i="1"/>
  <c r="D15703" i="1"/>
  <c r="G15703" i="1"/>
  <c r="B12082" i="1"/>
  <c r="D12082" i="1"/>
  <c r="G12082" i="1"/>
  <c r="B16449" i="1"/>
  <c r="D16449" i="1"/>
  <c r="G16449" i="1"/>
  <c r="B20471" i="1"/>
  <c r="D20471" i="1"/>
  <c r="G20471" i="1"/>
  <c r="B10289" i="1"/>
  <c r="D10289" i="1"/>
  <c r="G10289" i="1"/>
  <c r="B3627" i="1"/>
  <c r="D3627" i="1"/>
  <c r="G3627" i="1"/>
  <c r="B7083" i="1"/>
  <c r="D7083" i="1"/>
  <c r="G7083" i="1"/>
  <c r="B1684" i="1"/>
  <c r="D1684" i="1"/>
  <c r="G1684" i="1"/>
  <c r="B15037" i="1"/>
  <c r="D15037" i="1"/>
  <c r="G15037" i="1"/>
  <c r="B8852" i="1"/>
  <c r="D8852" i="1"/>
  <c r="G8852" i="1"/>
  <c r="B8191" i="1"/>
  <c r="D8191" i="1"/>
  <c r="G8191" i="1"/>
  <c r="B13148" i="1"/>
  <c r="D13148" i="1"/>
  <c r="G13148" i="1"/>
  <c r="B19505" i="1"/>
  <c r="D19505" i="1"/>
  <c r="G19505" i="1"/>
  <c r="B565" i="1"/>
  <c r="D565" i="1"/>
  <c r="G565" i="1"/>
  <c r="B566" i="1"/>
  <c r="D566" i="1"/>
  <c r="G566" i="1"/>
  <c r="B16450" i="1"/>
  <c r="D16450" i="1"/>
  <c r="G16450" i="1"/>
  <c r="B13578" i="1"/>
  <c r="D13578" i="1"/>
  <c r="G13578" i="1"/>
  <c r="B567" i="1"/>
  <c r="D567" i="1"/>
  <c r="G567" i="1"/>
  <c r="B11145" i="1"/>
  <c r="D11145" i="1"/>
  <c r="G11145" i="1"/>
  <c r="B10527" i="1"/>
  <c r="D10527" i="1"/>
  <c r="G10527" i="1"/>
  <c r="B7878" i="1"/>
  <c r="D7878" i="1"/>
  <c r="G7878" i="1"/>
  <c r="B7879" i="1"/>
  <c r="D7879" i="1"/>
  <c r="G7879" i="1"/>
  <c r="B18472" i="1"/>
  <c r="D18472" i="1"/>
  <c r="G18472" i="1"/>
  <c r="B4819" i="1"/>
  <c r="D4819" i="1"/>
  <c r="G4819" i="1"/>
  <c r="B4092" i="1"/>
  <c r="D4092" i="1"/>
  <c r="G4092" i="1"/>
  <c r="B16451" i="1"/>
  <c r="D16451" i="1"/>
  <c r="G16451" i="1"/>
  <c r="B13018" i="1"/>
  <c r="D13018" i="1"/>
  <c r="G13018" i="1"/>
  <c r="B1443" i="1"/>
  <c r="D1443" i="1"/>
  <c r="G1443" i="1"/>
  <c r="B5783" i="1"/>
  <c r="D5783" i="1"/>
  <c r="G5783" i="1"/>
  <c r="B5784" i="1"/>
  <c r="D5784" i="1"/>
  <c r="G5784" i="1"/>
  <c r="B10360" i="1"/>
  <c r="D10360" i="1"/>
  <c r="G10360" i="1"/>
  <c r="B10528" i="1"/>
  <c r="D10528" i="1"/>
  <c r="G10528" i="1"/>
  <c r="B7880" i="1"/>
  <c r="D7880" i="1"/>
  <c r="G7880" i="1"/>
  <c r="B7528" i="1"/>
  <c r="D7528" i="1"/>
  <c r="G7528" i="1"/>
  <c r="B7351" i="1"/>
  <c r="D7351" i="1"/>
  <c r="G7351" i="1"/>
  <c r="B12938" i="1"/>
  <c r="D12938" i="1"/>
  <c r="G12938" i="1"/>
  <c r="B1685" i="1"/>
  <c r="D1685" i="1"/>
  <c r="G1685" i="1"/>
  <c r="B7352" i="1"/>
  <c r="D7352" i="1"/>
  <c r="G7352" i="1"/>
  <c r="B8853" i="1"/>
  <c r="D8853" i="1"/>
  <c r="G8853" i="1"/>
  <c r="B10529" i="1"/>
  <c r="D10529" i="1"/>
  <c r="G10529" i="1"/>
  <c r="B8854" i="1"/>
  <c r="D8854" i="1"/>
  <c r="G8854" i="1"/>
  <c r="B15724" i="1"/>
  <c r="D15724" i="1"/>
  <c r="G15724" i="1"/>
  <c r="B8532" i="1"/>
  <c r="D8532" i="1"/>
  <c r="G8532" i="1"/>
  <c r="B8533" i="1"/>
  <c r="D8533" i="1"/>
  <c r="G8533" i="1"/>
  <c r="B17729" i="1"/>
  <c r="D17729" i="1"/>
  <c r="G17729" i="1"/>
  <c r="B1686" i="1"/>
  <c r="D1686" i="1"/>
  <c r="G1686" i="1"/>
  <c r="B2131" i="1"/>
  <c r="D2131" i="1"/>
  <c r="G2131" i="1"/>
  <c r="B4541" i="1"/>
  <c r="D4541" i="1"/>
  <c r="G4541" i="1"/>
  <c r="B7353" i="1"/>
  <c r="D7353" i="1"/>
  <c r="G7353" i="1"/>
  <c r="B1687" i="1"/>
  <c r="D1687" i="1"/>
  <c r="G1687" i="1"/>
  <c r="B12083" i="1"/>
  <c r="D12083" i="1"/>
  <c r="G12083" i="1"/>
  <c r="B1878" i="1"/>
  <c r="D1878" i="1"/>
  <c r="G1878" i="1"/>
  <c r="B7529" i="1"/>
  <c r="D7529" i="1"/>
  <c r="G7529" i="1"/>
  <c r="B6667" i="1"/>
  <c r="D6667" i="1"/>
  <c r="G6667" i="1"/>
  <c r="B568" i="1"/>
  <c r="D568" i="1"/>
  <c r="G568" i="1"/>
  <c r="B8131" i="1"/>
  <c r="D8131" i="1"/>
  <c r="G8131" i="1"/>
  <c r="B8855" i="1"/>
  <c r="D8855" i="1"/>
  <c r="G8855" i="1"/>
  <c r="B11146" i="1"/>
  <c r="D11146" i="1"/>
  <c r="G11146" i="1"/>
  <c r="B10361" i="1"/>
  <c r="D10361" i="1"/>
  <c r="G10361" i="1"/>
  <c r="B8856" i="1"/>
  <c r="D8856" i="1"/>
  <c r="G8856" i="1"/>
  <c r="B12084" i="1"/>
  <c r="D12084" i="1"/>
  <c r="G12084" i="1"/>
  <c r="B10834" i="1"/>
  <c r="D10834" i="1"/>
  <c r="G10834" i="1"/>
  <c r="B8534" i="1"/>
  <c r="D8534" i="1"/>
  <c r="G8534" i="1"/>
  <c r="B8535" i="1"/>
  <c r="D8535" i="1"/>
  <c r="G8535" i="1"/>
  <c r="B3945" i="1"/>
  <c r="D3945" i="1"/>
  <c r="G3945" i="1"/>
  <c r="B3946" i="1"/>
  <c r="D3946" i="1"/>
  <c r="G3946" i="1"/>
  <c r="B20817" i="1"/>
  <c r="D20817" i="1"/>
  <c r="G20817" i="1"/>
  <c r="B8333" i="1"/>
  <c r="D8333" i="1"/>
  <c r="G8333" i="1"/>
  <c r="B11147" i="1"/>
  <c r="D11147" i="1"/>
  <c r="G11147" i="1"/>
  <c r="B1688" i="1"/>
  <c r="D1688" i="1"/>
  <c r="G1688" i="1"/>
  <c r="B712" i="1"/>
  <c r="D712" i="1"/>
  <c r="G712" i="1"/>
  <c r="B713" i="1"/>
  <c r="D713" i="1"/>
  <c r="G713" i="1"/>
  <c r="B7212" i="1"/>
  <c r="D7212" i="1"/>
  <c r="G7212" i="1"/>
  <c r="B7213" i="1"/>
  <c r="D7213" i="1"/>
  <c r="G7213" i="1"/>
  <c r="B12409" i="1"/>
  <c r="D12409" i="1"/>
  <c r="G12409" i="1"/>
  <c r="B15038" i="1"/>
  <c r="D15038" i="1"/>
  <c r="G15038" i="1"/>
  <c r="B11549" i="1"/>
  <c r="D11549" i="1"/>
  <c r="G11549" i="1"/>
  <c r="B11550" i="1"/>
  <c r="D11550" i="1"/>
  <c r="G11550" i="1"/>
  <c r="B7881" i="1"/>
  <c r="D7881" i="1"/>
  <c r="G7881" i="1"/>
  <c r="B7882" i="1"/>
  <c r="D7882" i="1"/>
  <c r="G7882" i="1"/>
  <c r="B7883" i="1"/>
  <c r="D7883" i="1"/>
  <c r="G7883" i="1"/>
  <c r="B7214" i="1"/>
  <c r="D7214" i="1"/>
  <c r="G7214" i="1"/>
  <c r="B7215" i="1"/>
  <c r="D7215" i="1"/>
  <c r="G7215" i="1"/>
  <c r="B180" i="1"/>
  <c r="D180" i="1"/>
  <c r="G180" i="1"/>
  <c r="B7123" i="1"/>
  <c r="D7123" i="1"/>
  <c r="G7123" i="1"/>
  <c r="B17384" i="1"/>
  <c r="D17384" i="1"/>
  <c r="G17384" i="1"/>
  <c r="B9385" i="1"/>
  <c r="D9385" i="1"/>
  <c r="G9385" i="1"/>
  <c r="B7216" i="1"/>
  <c r="D7216" i="1"/>
  <c r="G7216" i="1"/>
  <c r="B7217" i="1"/>
  <c r="D7217" i="1"/>
  <c r="G7217" i="1"/>
  <c r="B2182" i="1"/>
  <c r="D2182" i="1"/>
  <c r="G2182" i="1"/>
  <c r="B6364" i="1"/>
  <c r="D6364" i="1"/>
  <c r="G6364" i="1"/>
  <c r="B6365" i="1"/>
  <c r="D6365" i="1"/>
  <c r="G6365" i="1"/>
  <c r="B16452" i="1"/>
  <c r="D16452" i="1"/>
  <c r="G16452" i="1"/>
  <c r="B10835" i="1"/>
  <c r="D10835" i="1"/>
  <c r="G10835" i="1"/>
  <c r="B9822" i="1"/>
  <c r="D9822" i="1"/>
  <c r="G9822" i="1"/>
  <c r="B9823" i="1"/>
  <c r="D9823" i="1"/>
  <c r="G9823" i="1"/>
  <c r="B7019" i="1"/>
  <c r="D7019" i="1"/>
  <c r="G7019" i="1"/>
  <c r="B4743" i="1"/>
  <c r="D4743" i="1"/>
  <c r="G4743" i="1"/>
  <c r="B7884" i="1"/>
  <c r="D7884" i="1"/>
  <c r="G7884" i="1"/>
  <c r="B7885" i="1"/>
  <c r="D7885" i="1"/>
  <c r="G7885" i="1"/>
  <c r="B2132" i="1"/>
  <c r="D2132" i="1"/>
  <c r="G2132" i="1"/>
  <c r="B9386" i="1"/>
  <c r="D9386" i="1"/>
  <c r="G9386" i="1"/>
  <c r="B1985" i="1"/>
  <c r="D1985" i="1"/>
  <c r="G1985" i="1"/>
  <c r="B569" i="1"/>
  <c r="D569" i="1"/>
  <c r="G569" i="1"/>
  <c r="B570" i="1"/>
  <c r="D570" i="1"/>
  <c r="G570" i="1"/>
  <c r="B12437" i="1"/>
  <c r="D12437" i="1"/>
  <c r="G12437" i="1"/>
  <c r="B3295" i="1"/>
  <c r="D3295" i="1"/>
  <c r="G3295" i="1"/>
  <c r="B12939" i="1"/>
  <c r="D12939" i="1"/>
  <c r="G12939" i="1"/>
  <c r="B16453" i="1"/>
  <c r="D16453" i="1"/>
  <c r="G16453" i="1"/>
  <c r="B403" i="1"/>
  <c r="D403" i="1"/>
  <c r="G403" i="1"/>
  <c r="B10222" i="1"/>
  <c r="D10222" i="1"/>
  <c r="G10222" i="1"/>
  <c r="B12972" i="1"/>
  <c r="D12972" i="1"/>
  <c r="G12972" i="1"/>
  <c r="B12438" i="1"/>
  <c r="D12438" i="1"/>
  <c r="G12438" i="1"/>
  <c r="B8857" i="1"/>
  <c r="D8857" i="1"/>
  <c r="G8857" i="1"/>
  <c r="B19025" i="1"/>
  <c r="D19025" i="1"/>
  <c r="G19025" i="1"/>
  <c r="B18859" i="1"/>
  <c r="D18859" i="1"/>
  <c r="G18859" i="1"/>
  <c r="B17385" i="1"/>
  <c r="D17385" i="1"/>
  <c r="G17385" i="1"/>
  <c r="B8132" i="1"/>
  <c r="D8132" i="1"/>
  <c r="G8132" i="1"/>
  <c r="B3777" i="1"/>
  <c r="D3777" i="1"/>
  <c r="G3777" i="1"/>
  <c r="B571" i="1"/>
  <c r="D571" i="1"/>
  <c r="G571" i="1"/>
  <c r="B18473" i="1"/>
  <c r="D18473" i="1"/>
  <c r="G18473" i="1"/>
  <c r="B2846" i="1"/>
  <c r="D2846" i="1"/>
  <c r="G2846" i="1"/>
  <c r="B714" i="1"/>
  <c r="D714" i="1"/>
  <c r="G714" i="1"/>
  <c r="B7020" i="1"/>
  <c r="D7020" i="1"/>
  <c r="G7020" i="1"/>
  <c r="B7021" i="1"/>
  <c r="D7021" i="1"/>
  <c r="G7021" i="1"/>
  <c r="B404" i="1"/>
  <c r="D404" i="1"/>
  <c r="G404" i="1"/>
  <c r="B14386" i="1"/>
  <c r="D14386" i="1"/>
  <c r="G14386" i="1"/>
  <c r="B14831" i="1"/>
  <c r="D14831" i="1"/>
  <c r="G14831" i="1"/>
  <c r="B11041" i="1"/>
  <c r="D11041" i="1"/>
  <c r="G11041" i="1"/>
  <c r="B18474" i="1"/>
  <c r="D18474" i="1"/>
  <c r="G18474" i="1"/>
  <c r="B14079" i="1"/>
  <c r="D14079" i="1"/>
  <c r="G14079" i="1"/>
  <c r="B12085" i="1"/>
  <c r="D12085" i="1"/>
  <c r="G12085" i="1"/>
  <c r="B17262" i="1"/>
  <c r="D17262" i="1"/>
  <c r="G17262" i="1"/>
  <c r="B10290" i="1"/>
  <c r="D10290" i="1"/>
  <c r="G10290" i="1"/>
  <c r="B572" i="1"/>
  <c r="D572" i="1"/>
  <c r="G572" i="1"/>
  <c r="B7530" i="1"/>
  <c r="D7530" i="1"/>
  <c r="G7530" i="1"/>
  <c r="B16975" i="1"/>
  <c r="D16975" i="1"/>
  <c r="G16975" i="1"/>
  <c r="B20296" i="1"/>
  <c r="D20296" i="1"/>
  <c r="G20296" i="1"/>
  <c r="B15459" i="1"/>
  <c r="D15459" i="1"/>
  <c r="G15459" i="1"/>
  <c r="B12826" i="1"/>
  <c r="D12826" i="1"/>
  <c r="G12826" i="1"/>
  <c r="B14390" i="1"/>
  <c r="D14390" i="1"/>
  <c r="G14390" i="1"/>
  <c r="B14212" i="1"/>
  <c r="D14212" i="1"/>
  <c r="G14212" i="1"/>
  <c r="B7886" i="1"/>
  <c r="D7886" i="1"/>
  <c r="G7886" i="1"/>
  <c r="B7887" i="1"/>
  <c r="D7887" i="1"/>
  <c r="G7887" i="1"/>
  <c r="B16096" i="1"/>
  <c r="D16096" i="1"/>
  <c r="G16096" i="1"/>
  <c r="B2847" i="1"/>
  <c r="D2847" i="1"/>
  <c r="G2847" i="1"/>
  <c r="B9877" i="1"/>
  <c r="D9877" i="1"/>
  <c r="G9877" i="1"/>
  <c r="B12086" i="1"/>
  <c r="D12086" i="1"/>
  <c r="G12086" i="1"/>
  <c r="B9236" i="1"/>
  <c r="D9236" i="1"/>
  <c r="G9236" i="1"/>
  <c r="B9237" i="1"/>
  <c r="D9237" i="1"/>
  <c r="G9237" i="1"/>
  <c r="B9238" i="1"/>
  <c r="D9238" i="1"/>
  <c r="G9238" i="1"/>
  <c r="B9239" i="1"/>
  <c r="D9239" i="1"/>
  <c r="G9239" i="1"/>
  <c r="B9240" i="1"/>
  <c r="D9240" i="1"/>
  <c r="G9240" i="1"/>
  <c r="B12087" i="1"/>
  <c r="D12087" i="1"/>
  <c r="G12087" i="1"/>
  <c r="B10836" i="1"/>
  <c r="D10836" i="1"/>
  <c r="G10836" i="1"/>
  <c r="B9241" i="1"/>
  <c r="D9241" i="1"/>
  <c r="G9241" i="1"/>
  <c r="B9242" i="1"/>
  <c r="D9242" i="1"/>
  <c r="G9242" i="1"/>
  <c r="B7531" i="1"/>
  <c r="D7531" i="1"/>
  <c r="G7531" i="1"/>
  <c r="B7354" i="1"/>
  <c r="D7354" i="1"/>
  <c r="G7354" i="1"/>
  <c r="B9243" i="1"/>
  <c r="D9243" i="1"/>
  <c r="G9243" i="1"/>
  <c r="B10182" i="1"/>
  <c r="D10182" i="1"/>
  <c r="G10182" i="1"/>
  <c r="B8858" i="1"/>
  <c r="D8858" i="1"/>
  <c r="G8858" i="1"/>
  <c r="B8192" i="1"/>
  <c r="D8192" i="1"/>
  <c r="G8192" i="1"/>
  <c r="B4343" i="1"/>
  <c r="D4343" i="1"/>
  <c r="G4343" i="1"/>
  <c r="B15039" i="1"/>
  <c r="D15039" i="1"/>
  <c r="G15039" i="1"/>
  <c r="B8624" i="1"/>
  <c r="D8624" i="1"/>
  <c r="G8624" i="1"/>
  <c r="B8068" i="1"/>
  <c r="D8068" i="1"/>
  <c r="G8068" i="1"/>
  <c r="B10530" i="1"/>
  <c r="D10530" i="1"/>
  <c r="G10530" i="1"/>
  <c r="B10531" i="1"/>
  <c r="D10531" i="1"/>
  <c r="G10531" i="1"/>
  <c r="B10837" i="1"/>
  <c r="D10837" i="1"/>
  <c r="G10837" i="1"/>
  <c r="B10838" i="1"/>
  <c r="D10838" i="1"/>
  <c r="G10838" i="1"/>
  <c r="B8536" i="1"/>
  <c r="D8536" i="1"/>
  <c r="G8536" i="1"/>
  <c r="B6366" i="1"/>
  <c r="D6366" i="1"/>
  <c r="G6366" i="1"/>
  <c r="B16454" i="1"/>
  <c r="D16454" i="1"/>
  <c r="G16454" i="1"/>
  <c r="B10839" i="1"/>
  <c r="D10839" i="1"/>
  <c r="G10839" i="1"/>
  <c r="B17386" i="1"/>
  <c r="D17386" i="1"/>
  <c r="G17386" i="1"/>
  <c r="B15991" i="1"/>
  <c r="D15991" i="1"/>
  <c r="G15991" i="1"/>
  <c r="B7532" i="1"/>
  <c r="D7532" i="1"/>
  <c r="G7532" i="1"/>
  <c r="B11148" i="1"/>
  <c r="D11148" i="1"/>
  <c r="G11148" i="1"/>
  <c r="B6367" i="1"/>
  <c r="D6367" i="1"/>
  <c r="G6367" i="1"/>
  <c r="B11149" i="1"/>
  <c r="D11149" i="1"/>
  <c r="G11149" i="1"/>
  <c r="B72" i="1"/>
  <c r="D72" i="1"/>
  <c r="G72" i="1"/>
  <c r="B10362" i="1"/>
  <c r="D10362" i="1"/>
  <c r="G10362" i="1"/>
  <c r="B10840" i="1"/>
  <c r="D10840" i="1"/>
  <c r="G10840" i="1"/>
  <c r="B7533" i="1"/>
  <c r="D7533" i="1"/>
  <c r="G7533" i="1"/>
  <c r="B3628" i="1"/>
  <c r="D3628" i="1"/>
  <c r="G3628" i="1"/>
  <c r="B14801" i="1"/>
  <c r="D14801" i="1"/>
  <c r="G14801" i="1"/>
  <c r="B5866" i="1"/>
  <c r="D5866" i="1"/>
  <c r="G5866" i="1"/>
  <c r="B13284" i="1"/>
  <c r="D13284" i="1"/>
  <c r="G13284" i="1"/>
  <c r="B6945" i="1"/>
  <c r="D6945" i="1"/>
  <c r="G6945" i="1"/>
  <c r="B3755" i="1"/>
  <c r="D3755" i="1"/>
  <c r="G3755" i="1"/>
  <c r="B13389" i="1"/>
  <c r="D13389" i="1"/>
  <c r="G13389" i="1"/>
  <c r="B8859" i="1"/>
  <c r="D8859" i="1"/>
  <c r="G8859" i="1"/>
  <c r="B2039" i="1"/>
  <c r="D2039" i="1"/>
  <c r="G2039" i="1"/>
  <c r="B5867" i="1"/>
  <c r="D5867" i="1"/>
  <c r="G5867" i="1"/>
  <c r="B7888" i="1"/>
  <c r="D7888" i="1"/>
  <c r="G7888" i="1"/>
  <c r="B7889" i="1"/>
  <c r="D7889" i="1"/>
  <c r="G7889" i="1"/>
  <c r="B9244" i="1"/>
  <c r="D9244" i="1"/>
  <c r="G9244" i="1"/>
  <c r="B16455" i="1"/>
  <c r="D16455" i="1"/>
  <c r="G16455" i="1"/>
  <c r="B7084" i="1"/>
  <c r="D7084" i="1"/>
  <c r="G7084" i="1"/>
  <c r="B8860" i="1"/>
  <c r="D8860" i="1"/>
  <c r="G8860" i="1"/>
  <c r="B257" i="1"/>
  <c r="D257" i="1"/>
  <c r="G257" i="1"/>
  <c r="B17095" i="1"/>
  <c r="D17095" i="1"/>
  <c r="G17095" i="1"/>
  <c r="B8537" i="1"/>
  <c r="D8537" i="1"/>
  <c r="G8537" i="1"/>
  <c r="B8538" i="1"/>
  <c r="D8538" i="1"/>
  <c r="G8538" i="1"/>
  <c r="B3384" i="1"/>
  <c r="D3384" i="1"/>
  <c r="G3384" i="1"/>
  <c r="B12973" i="1"/>
  <c r="D12973" i="1"/>
  <c r="G12973" i="1"/>
  <c r="B7355" i="1"/>
  <c r="D7355" i="1"/>
  <c r="G7355" i="1"/>
  <c r="B4142" i="1"/>
  <c r="D4142" i="1"/>
  <c r="G4142" i="1"/>
  <c r="B19026" i="1"/>
  <c r="D19026" i="1"/>
  <c r="G19026" i="1"/>
  <c r="B11312" i="1"/>
  <c r="D11312" i="1"/>
  <c r="G11312" i="1"/>
  <c r="B13937" i="1"/>
  <c r="D13937" i="1"/>
  <c r="G13937" i="1"/>
  <c r="B1257" i="1"/>
  <c r="D1257" i="1"/>
  <c r="G1257" i="1"/>
  <c r="B15040" i="1"/>
  <c r="D15040" i="1"/>
  <c r="G15040" i="1"/>
  <c r="B17096" i="1"/>
  <c r="D17096" i="1"/>
  <c r="G17096" i="1"/>
  <c r="B12974" i="1"/>
  <c r="D12974" i="1"/>
  <c r="G12974" i="1"/>
  <c r="B19506" i="1"/>
  <c r="D19506" i="1"/>
  <c r="G19506" i="1"/>
  <c r="B19507" i="1"/>
  <c r="D19507" i="1"/>
  <c r="G19507" i="1"/>
  <c r="B8861" i="1"/>
  <c r="D8861" i="1"/>
  <c r="G8861" i="1"/>
  <c r="B8193" i="1"/>
  <c r="D8193" i="1"/>
  <c r="G8193" i="1"/>
  <c r="B16456" i="1"/>
  <c r="D16456" i="1"/>
  <c r="G16456" i="1"/>
  <c r="B22149" i="1"/>
  <c r="D22149" i="1"/>
  <c r="G22149" i="1"/>
  <c r="B16457" i="1"/>
  <c r="D16457" i="1"/>
  <c r="G16457" i="1"/>
  <c r="B8253" i="1"/>
  <c r="D8253" i="1"/>
  <c r="G8253" i="1"/>
  <c r="B13149" i="1"/>
  <c r="D13149" i="1"/>
  <c r="G13149" i="1"/>
  <c r="B14307" i="1"/>
  <c r="D14307" i="1"/>
  <c r="G14307" i="1"/>
  <c r="B16458" i="1"/>
  <c r="D16458" i="1"/>
  <c r="G16458" i="1"/>
  <c r="B17097" i="1"/>
  <c r="D17097" i="1"/>
  <c r="G17097" i="1"/>
  <c r="B8133" i="1"/>
  <c r="D8133" i="1"/>
  <c r="G8133" i="1"/>
  <c r="B11551" i="1"/>
  <c r="D11551" i="1"/>
  <c r="G11551" i="1"/>
  <c r="B18154" i="1"/>
  <c r="D18154" i="1"/>
  <c r="G18154" i="1"/>
  <c r="B878" i="1"/>
  <c r="D878" i="1"/>
  <c r="G878" i="1"/>
  <c r="B12088" i="1"/>
  <c r="D12088" i="1"/>
  <c r="G12088" i="1"/>
  <c r="B7890" i="1"/>
  <c r="D7890" i="1"/>
  <c r="G7890" i="1"/>
  <c r="B7534" i="1"/>
  <c r="D7534" i="1"/>
  <c r="G7534" i="1"/>
  <c r="B8334" i="1"/>
  <c r="D8334" i="1"/>
  <c r="G8334" i="1"/>
  <c r="B12089" i="1"/>
  <c r="D12089" i="1"/>
  <c r="G12089" i="1"/>
  <c r="B17010" i="1"/>
  <c r="D17010" i="1"/>
  <c r="G17010" i="1"/>
  <c r="B15041" i="1"/>
  <c r="D15041" i="1"/>
  <c r="G15041" i="1"/>
  <c r="B5494" i="1"/>
  <c r="D5494" i="1"/>
  <c r="G5494" i="1"/>
  <c r="B15460" i="1"/>
  <c r="D15460" i="1"/>
  <c r="G15460" i="1"/>
  <c r="B16097" i="1"/>
  <c r="D16097" i="1"/>
  <c r="G16097" i="1"/>
  <c r="B10841" i="1"/>
  <c r="D10841" i="1"/>
  <c r="G10841" i="1"/>
  <c r="B7218" i="1"/>
  <c r="D7218" i="1"/>
  <c r="G7218" i="1"/>
  <c r="B7219" i="1"/>
  <c r="D7219" i="1"/>
  <c r="G7219" i="1"/>
  <c r="B15874" i="1"/>
  <c r="D15874" i="1"/>
  <c r="G15874" i="1"/>
  <c r="B10532" i="1"/>
  <c r="D10532" i="1"/>
  <c r="G10532" i="1"/>
  <c r="B4344" i="1"/>
  <c r="D4344" i="1"/>
  <c r="G4344" i="1"/>
  <c r="B7891" i="1"/>
  <c r="D7891" i="1"/>
  <c r="G7891" i="1"/>
  <c r="B7892" i="1"/>
  <c r="D7892" i="1"/>
  <c r="G7892" i="1"/>
  <c r="B21533" i="1"/>
  <c r="D21533" i="1"/>
  <c r="G21533" i="1"/>
  <c r="B15461" i="1"/>
  <c r="D15461" i="1"/>
  <c r="G15461" i="1"/>
  <c r="B15042" i="1"/>
  <c r="D15042" i="1"/>
  <c r="G15042" i="1"/>
  <c r="B11789" i="1"/>
  <c r="D11789" i="1"/>
  <c r="G11789" i="1"/>
  <c r="B11790" i="1"/>
  <c r="D11790" i="1"/>
  <c r="G11790" i="1"/>
  <c r="B11883" i="1"/>
  <c r="D11883" i="1"/>
  <c r="G11883" i="1"/>
  <c r="B12090" i="1"/>
  <c r="D12090" i="1"/>
  <c r="G12090" i="1"/>
  <c r="B7535" i="1"/>
  <c r="D7535" i="1"/>
  <c r="G7535" i="1"/>
  <c r="B1412" i="1"/>
  <c r="D1412" i="1"/>
  <c r="G1412" i="1"/>
  <c r="B1689" i="1"/>
  <c r="D1689" i="1"/>
  <c r="G1689" i="1"/>
  <c r="B8364" i="1"/>
  <c r="D8364" i="1"/>
  <c r="G8364" i="1"/>
  <c r="B1690" i="1"/>
  <c r="D1690" i="1"/>
  <c r="G1690" i="1"/>
  <c r="B1691" i="1"/>
  <c r="D1691" i="1"/>
  <c r="G1691" i="1"/>
  <c r="B12355" i="1"/>
  <c r="D12355" i="1"/>
  <c r="G12355" i="1"/>
  <c r="B12393" i="1"/>
  <c r="D12393" i="1"/>
  <c r="G12393" i="1"/>
  <c r="B16459" i="1"/>
  <c r="D16459" i="1"/>
  <c r="G16459" i="1"/>
  <c r="B11407" i="1"/>
  <c r="D11407" i="1"/>
  <c r="G11407" i="1"/>
  <c r="B8862" i="1"/>
  <c r="D8862" i="1"/>
  <c r="G8862" i="1"/>
  <c r="B8295" i="1"/>
  <c r="D8295" i="1"/>
  <c r="G8295" i="1"/>
  <c r="B9878" i="1"/>
  <c r="D9878" i="1"/>
  <c r="G9878" i="1"/>
  <c r="B5785" i="1"/>
  <c r="D5785" i="1"/>
  <c r="G5785" i="1"/>
  <c r="B10033" i="1"/>
  <c r="D10033" i="1"/>
  <c r="G10033" i="1"/>
  <c r="B12827" i="1"/>
  <c r="D12827" i="1"/>
  <c r="G12827" i="1"/>
  <c r="B8539" i="1"/>
  <c r="D8539" i="1"/>
  <c r="G8539" i="1"/>
  <c r="B8540" i="1"/>
  <c r="D8540" i="1"/>
  <c r="G8540" i="1"/>
  <c r="B11791" i="1"/>
  <c r="D11791" i="1"/>
  <c r="G11791" i="1"/>
  <c r="B1034" i="1"/>
  <c r="D1034" i="1"/>
  <c r="G1034" i="1"/>
  <c r="B2494" i="1"/>
  <c r="D2494" i="1"/>
  <c r="G2494" i="1"/>
  <c r="B2491" i="1"/>
  <c r="D2491" i="1"/>
  <c r="G2491" i="1"/>
  <c r="B200" i="1"/>
  <c r="D200" i="1"/>
  <c r="G200" i="1"/>
  <c r="B6946" i="1"/>
  <c r="D6946" i="1"/>
  <c r="G6946" i="1"/>
  <c r="B14832" i="1"/>
  <c r="D14832" i="1"/>
  <c r="G14832" i="1"/>
  <c r="B6947" i="1"/>
  <c r="D6947" i="1"/>
  <c r="G6947" i="1"/>
  <c r="B9245" i="1"/>
  <c r="D9245" i="1"/>
  <c r="G9245" i="1"/>
  <c r="B2509" i="1"/>
  <c r="D2509" i="1"/>
  <c r="G2509" i="1"/>
  <c r="B18173" i="1"/>
  <c r="D18173" i="1"/>
  <c r="G18173" i="1"/>
  <c r="B7356" i="1"/>
  <c r="D7356" i="1"/>
  <c r="G7356" i="1"/>
  <c r="B18475" i="1"/>
  <c r="D18475" i="1"/>
  <c r="G18475" i="1"/>
  <c r="B7357" i="1"/>
  <c r="D7357" i="1"/>
  <c r="G7357" i="1"/>
  <c r="B3103" i="1"/>
  <c r="D3103" i="1"/>
  <c r="G3103" i="1"/>
  <c r="B14119" i="1"/>
  <c r="D14119" i="1"/>
  <c r="G14119" i="1"/>
  <c r="B16460" i="1"/>
  <c r="D16460" i="1"/>
  <c r="G16460" i="1"/>
  <c r="B8335" i="1"/>
  <c r="D8335" i="1"/>
  <c r="G8335" i="1"/>
  <c r="B4820" i="1"/>
  <c r="D4820" i="1"/>
  <c r="G4820" i="1"/>
  <c r="B13063" i="1"/>
  <c r="D13063" i="1"/>
  <c r="G13063" i="1"/>
  <c r="B7220" i="1"/>
  <c r="D7220" i="1"/>
  <c r="G7220" i="1"/>
  <c r="B7221" i="1"/>
  <c r="D7221" i="1"/>
  <c r="G7221" i="1"/>
  <c r="B7893" i="1"/>
  <c r="D7893" i="1"/>
  <c r="G7893" i="1"/>
  <c r="B7894" i="1"/>
  <c r="D7894" i="1"/>
  <c r="G7894" i="1"/>
  <c r="B11150" i="1"/>
  <c r="D11150" i="1"/>
  <c r="G11150" i="1"/>
  <c r="B10533" i="1"/>
  <c r="D10533" i="1"/>
  <c r="G10533" i="1"/>
  <c r="B11552" i="1"/>
  <c r="D11552" i="1"/>
  <c r="G11552" i="1"/>
  <c r="B10534" i="1"/>
  <c r="D10534" i="1"/>
  <c r="G10534" i="1"/>
  <c r="B8863" i="1"/>
  <c r="D8863" i="1"/>
  <c r="G8863" i="1"/>
  <c r="B19508" i="1"/>
  <c r="D19508" i="1"/>
  <c r="G19508" i="1"/>
  <c r="B9709" i="1"/>
  <c r="D9709" i="1"/>
  <c r="G9709" i="1"/>
  <c r="B10842" i="1"/>
  <c r="D10842" i="1"/>
  <c r="G10842" i="1"/>
  <c r="B11151" i="1"/>
  <c r="D11151" i="1"/>
  <c r="G11151" i="1"/>
  <c r="B7536" i="1"/>
  <c r="D7536" i="1"/>
  <c r="G7536" i="1"/>
  <c r="B7537" i="1"/>
  <c r="D7537" i="1"/>
  <c r="G7537" i="1"/>
  <c r="B11152" i="1"/>
  <c r="D11152" i="1"/>
  <c r="G11152" i="1"/>
  <c r="B13207" i="1"/>
  <c r="D13207" i="1"/>
  <c r="G13207" i="1"/>
  <c r="B10069" i="1"/>
  <c r="D10069" i="1"/>
  <c r="G10069" i="1"/>
  <c r="B20112" i="1"/>
  <c r="D20112" i="1"/>
  <c r="G20112" i="1"/>
  <c r="B8864" i="1"/>
  <c r="D8864" i="1"/>
  <c r="G8864" i="1"/>
  <c r="B9246" i="1"/>
  <c r="D9246" i="1"/>
  <c r="G9246" i="1"/>
  <c r="B6897" i="1"/>
  <c r="D6897" i="1"/>
  <c r="G6897" i="1"/>
  <c r="B10363" i="1"/>
  <c r="D10363" i="1"/>
  <c r="G10363" i="1"/>
  <c r="B10843" i="1"/>
  <c r="D10843" i="1"/>
  <c r="G10843" i="1"/>
  <c r="B2306" i="1"/>
  <c r="D2306" i="1"/>
  <c r="G2306" i="1"/>
  <c r="B6782" i="1"/>
  <c r="D6782" i="1"/>
  <c r="G6782" i="1"/>
  <c r="B12091" i="1"/>
  <c r="D12091" i="1"/>
  <c r="G12091" i="1"/>
  <c r="B573" i="1"/>
  <c r="D573" i="1"/>
  <c r="G573" i="1"/>
  <c r="B5222" i="1"/>
  <c r="D5222" i="1"/>
  <c r="G5222" i="1"/>
  <c r="B8336" i="1"/>
  <c r="D8336" i="1"/>
  <c r="G8336" i="1"/>
  <c r="B446" i="1"/>
  <c r="D446" i="1"/>
  <c r="G446" i="1"/>
  <c r="B7538" i="1"/>
  <c r="D7538" i="1"/>
  <c r="G7538" i="1"/>
  <c r="B7222" i="1"/>
  <c r="D7222" i="1"/>
  <c r="G7222" i="1"/>
  <c r="B7223" i="1"/>
  <c r="D7223" i="1"/>
  <c r="G7223" i="1"/>
  <c r="B3387" i="1"/>
  <c r="D3387" i="1"/>
  <c r="G3387" i="1"/>
  <c r="B7895" i="1"/>
  <c r="D7895" i="1"/>
  <c r="G7895" i="1"/>
  <c r="B7896" i="1"/>
  <c r="D7896" i="1"/>
  <c r="G7896" i="1"/>
  <c r="B8541" i="1"/>
  <c r="D8541" i="1"/>
  <c r="G8541" i="1"/>
  <c r="B8542" i="1"/>
  <c r="D8542" i="1"/>
  <c r="G8542" i="1"/>
  <c r="B7539" i="1"/>
  <c r="D7539" i="1"/>
  <c r="G7539" i="1"/>
  <c r="B2392" i="1"/>
  <c r="D2392" i="1"/>
  <c r="G2392" i="1"/>
  <c r="B10291" i="1"/>
  <c r="D10291" i="1"/>
  <c r="G10291" i="1"/>
  <c r="B11153" i="1"/>
  <c r="D11153" i="1"/>
  <c r="G11153" i="1"/>
  <c r="B13064" i="1"/>
  <c r="D13064" i="1"/>
  <c r="G13064" i="1"/>
  <c r="B6703" i="1"/>
  <c r="D6703" i="1"/>
  <c r="G6703" i="1"/>
  <c r="B7540" i="1"/>
  <c r="D7540" i="1"/>
  <c r="G7540" i="1"/>
  <c r="B22030" i="1"/>
  <c r="D22030" i="1"/>
  <c r="G22030" i="1"/>
  <c r="B18860" i="1"/>
  <c r="D18860" i="1"/>
  <c r="G18860" i="1"/>
  <c r="B14213" i="1"/>
  <c r="D14213" i="1"/>
  <c r="G14213" i="1"/>
  <c r="B4744" i="1"/>
  <c r="D4744" i="1"/>
  <c r="G4744" i="1"/>
  <c r="B3418" i="1"/>
  <c r="D3418" i="1"/>
  <c r="G3418" i="1"/>
  <c r="B12975" i="1"/>
  <c r="D12975" i="1"/>
  <c r="G12975" i="1"/>
  <c r="B14833" i="1"/>
  <c r="D14833" i="1"/>
  <c r="G14833" i="1"/>
  <c r="B2467" i="1"/>
  <c r="D2467" i="1"/>
  <c r="G2467" i="1"/>
  <c r="B13150" i="1"/>
  <c r="D13150" i="1"/>
  <c r="G13150" i="1"/>
  <c r="B12828" i="1"/>
  <c r="D12828" i="1"/>
  <c r="G12828" i="1"/>
  <c r="B18476" i="1"/>
  <c r="D18476" i="1"/>
  <c r="G18476" i="1"/>
  <c r="B2501" i="1"/>
  <c r="D2501" i="1"/>
  <c r="G2501" i="1"/>
  <c r="B3825" i="1"/>
  <c r="D3825" i="1"/>
  <c r="G3825" i="1"/>
  <c r="B5786" i="1"/>
  <c r="D5786" i="1"/>
  <c r="G5786" i="1"/>
  <c r="B5787" i="1"/>
  <c r="D5787" i="1"/>
  <c r="G5787" i="1"/>
  <c r="B1539" i="1"/>
  <c r="D1539" i="1"/>
  <c r="G1539" i="1"/>
  <c r="B1540" i="1"/>
  <c r="D1540" i="1"/>
  <c r="G1540" i="1"/>
  <c r="B8865" i="1"/>
  <c r="D8865" i="1"/>
  <c r="G8865" i="1"/>
  <c r="B10844" i="1"/>
  <c r="D10844" i="1"/>
  <c r="G10844" i="1"/>
  <c r="B8866" i="1"/>
  <c r="D8866" i="1"/>
  <c r="G8866" i="1"/>
  <c r="B8867" i="1"/>
  <c r="D8867" i="1"/>
  <c r="G8867" i="1"/>
  <c r="B9247" i="1"/>
  <c r="D9247" i="1"/>
  <c r="G9247" i="1"/>
  <c r="B9248" i="1"/>
  <c r="D9248" i="1"/>
  <c r="G9248" i="1"/>
  <c r="B9249" i="1"/>
  <c r="D9249" i="1"/>
  <c r="G9249" i="1"/>
  <c r="B9250" i="1"/>
  <c r="D9250" i="1"/>
  <c r="G9250" i="1"/>
  <c r="B9251" i="1"/>
  <c r="D9251" i="1"/>
  <c r="G9251" i="1"/>
  <c r="B19890" i="1"/>
  <c r="D19890" i="1"/>
  <c r="G19890" i="1"/>
  <c r="B9387" i="1"/>
  <c r="D9387" i="1"/>
  <c r="G9387" i="1"/>
  <c r="B3355" i="1"/>
  <c r="D3355" i="1"/>
  <c r="G3355" i="1"/>
  <c r="B302" i="1"/>
  <c r="D302" i="1"/>
  <c r="G302" i="1"/>
  <c r="B4542" i="1"/>
  <c r="D4542" i="1"/>
  <c r="G4542" i="1"/>
  <c r="B3826" i="1"/>
  <c r="D3826" i="1"/>
  <c r="G3826" i="1"/>
  <c r="B12092" i="1"/>
  <c r="D12092" i="1"/>
  <c r="G12092" i="1"/>
  <c r="B10223" i="1"/>
  <c r="D10223" i="1"/>
  <c r="G10223" i="1"/>
  <c r="B9710" i="1"/>
  <c r="D9710" i="1"/>
  <c r="G9710" i="1"/>
  <c r="B9711" i="1"/>
  <c r="D9711" i="1"/>
  <c r="G9711" i="1"/>
  <c r="B9899" i="1"/>
  <c r="D9899" i="1"/>
  <c r="G9899" i="1"/>
  <c r="B9900" i="1"/>
  <c r="D9900" i="1"/>
  <c r="G9900" i="1"/>
  <c r="B16461" i="1"/>
  <c r="D16461" i="1"/>
  <c r="G16461" i="1"/>
  <c r="B3629" i="1"/>
  <c r="D3629" i="1"/>
  <c r="G3629" i="1"/>
  <c r="B3756" i="1"/>
  <c r="D3756" i="1"/>
  <c r="G3756" i="1"/>
  <c r="B17585" i="1"/>
  <c r="D17585" i="1"/>
  <c r="G17585" i="1"/>
  <c r="B18676" i="1"/>
  <c r="D18676" i="1"/>
  <c r="G18676" i="1"/>
  <c r="B3630" i="1"/>
  <c r="D3630" i="1"/>
  <c r="G3630" i="1"/>
  <c r="B12093" i="1"/>
  <c r="D12093" i="1"/>
  <c r="G12093" i="1"/>
  <c r="B2001" i="1"/>
  <c r="D2001" i="1"/>
  <c r="G2001" i="1"/>
  <c r="B6948" i="1"/>
  <c r="D6948" i="1"/>
  <c r="G6948" i="1"/>
  <c r="B21903" i="1"/>
  <c r="D21903" i="1"/>
  <c r="G21903" i="1"/>
  <c r="B9252" i="1"/>
  <c r="D9252" i="1"/>
  <c r="G9252" i="1"/>
  <c r="B5868" i="1"/>
  <c r="D5868" i="1"/>
  <c r="G5868" i="1"/>
  <c r="B8543" i="1"/>
  <c r="D8543" i="1"/>
  <c r="G8543" i="1"/>
  <c r="B8544" i="1"/>
  <c r="D8544" i="1"/>
  <c r="G8544" i="1"/>
  <c r="B12094" i="1"/>
  <c r="D12094" i="1"/>
  <c r="G12094" i="1"/>
  <c r="B10292" i="1"/>
  <c r="D10292" i="1"/>
  <c r="G10292" i="1"/>
  <c r="B3356" i="1"/>
  <c r="D3356" i="1"/>
  <c r="G3356" i="1"/>
  <c r="B1258" i="1"/>
  <c r="D1258" i="1"/>
  <c r="G1258" i="1"/>
  <c r="B829" i="1"/>
  <c r="D829" i="1"/>
  <c r="G829" i="1"/>
  <c r="B18477" i="1"/>
  <c r="D18477" i="1"/>
  <c r="G18477" i="1"/>
  <c r="B574" i="1"/>
  <c r="D574" i="1"/>
  <c r="G574" i="1"/>
  <c r="B11154" i="1"/>
  <c r="D11154" i="1"/>
  <c r="G11154" i="1"/>
  <c r="B12095" i="1"/>
  <c r="D12095" i="1"/>
  <c r="G12095" i="1"/>
  <c r="B4222" i="1"/>
  <c r="D4222" i="1"/>
  <c r="G4222" i="1"/>
  <c r="B13656" i="1"/>
  <c r="D13656" i="1"/>
  <c r="G13656" i="1"/>
  <c r="B8545" i="1"/>
  <c r="D8545" i="1"/>
  <c r="G8545" i="1"/>
  <c r="B8546" i="1"/>
  <c r="D8546" i="1"/>
  <c r="G8546" i="1"/>
  <c r="B405" i="1"/>
  <c r="D405" i="1"/>
  <c r="G405" i="1"/>
  <c r="B4821" i="1"/>
  <c r="D4821" i="1"/>
  <c r="G4821" i="1"/>
  <c r="B2848" i="1"/>
  <c r="D2848" i="1"/>
  <c r="G2848" i="1"/>
  <c r="B1259" i="1"/>
  <c r="D1259" i="1"/>
  <c r="G1259" i="1"/>
  <c r="B1260" i="1"/>
  <c r="D1260" i="1"/>
  <c r="G1260" i="1"/>
  <c r="B5141" i="1"/>
  <c r="D5141" i="1"/>
  <c r="G5141" i="1"/>
  <c r="B1261" i="1"/>
  <c r="D1261" i="1"/>
  <c r="G1261" i="1"/>
  <c r="B20818" i="1"/>
  <c r="D20818" i="1"/>
  <c r="G20818" i="1"/>
  <c r="B1692" i="1"/>
  <c r="D1692" i="1"/>
  <c r="G1692" i="1"/>
  <c r="B5223" i="1"/>
  <c r="D5223" i="1"/>
  <c r="G5223" i="1"/>
  <c r="B8391" i="1"/>
  <c r="D8391" i="1"/>
  <c r="G8391" i="1"/>
  <c r="B473" i="1"/>
  <c r="D473" i="1"/>
  <c r="G473" i="1"/>
  <c r="B19806" i="1"/>
  <c r="D19806" i="1"/>
  <c r="G19806" i="1"/>
  <c r="B9712" i="1"/>
  <c r="D9712" i="1"/>
  <c r="G9712" i="1"/>
  <c r="B9713" i="1"/>
  <c r="D9713" i="1"/>
  <c r="G9713" i="1"/>
  <c r="B9714" i="1"/>
  <c r="D9714" i="1"/>
  <c r="G9714" i="1"/>
  <c r="B9901" i="1"/>
  <c r="D9901" i="1"/>
  <c r="G9901" i="1"/>
  <c r="B9715" i="1"/>
  <c r="D9715" i="1"/>
  <c r="G9715" i="1"/>
  <c r="B9716" i="1"/>
  <c r="D9716" i="1"/>
  <c r="G9716" i="1"/>
  <c r="B11155" i="1"/>
  <c r="D11155" i="1"/>
  <c r="G11155" i="1"/>
  <c r="B1693" i="1"/>
  <c r="D1693" i="1"/>
  <c r="G1693" i="1"/>
  <c r="B20197" i="1"/>
  <c r="D20197" i="1"/>
  <c r="G20197" i="1"/>
  <c r="B2040" i="1"/>
  <c r="D2040" i="1"/>
  <c r="G2040" i="1"/>
  <c r="B9717" i="1"/>
  <c r="D9717" i="1"/>
  <c r="G9717" i="1"/>
  <c r="B9718" i="1"/>
  <c r="D9718" i="1"/>
  <c r="G9718" i="1"/>
  <c r="B10535" i="1"/>
  <c r="D10535" i="1"/>
  <c r="G10535" i="1"/>
  <c r="B8365" i="1"/>
  <c r="D8365" i="1"/>
  <c r="G8365" i="1"/>
  <c r="B7897" i="1"/>
  <c r="D7897" i="1"/>
  <c r="G7897" i="1"/>
  <c r="B7541" i="1"/>
  <c r="D7541" i="1"/>
  <c r="G7541" i="1"/>
  <c r="B7358" i="1"/>
  <c r="D7358" i="1"/>
  <c r="G7358" i="1"/>
  <c r="B14718" i="1"/>
  <c r="D14718" i="1"/>
  <c r="G14718" i="1"/>
  <c r="B11281" i="1"/>
  <c r="D11281" i="1"/>
  <c r="G11281" i="1"/>
  <c r="B6121" i="1"/>
  <c r="D6121" i="1"/>
  <c r="G6121" i="1"/>
  <c r="B575" i="1"/>
  <c r="D575" i="1"/>
  <c r="G575" i="1"/>
  <c r="B6052" i="1"/>
  <c r="D6052" i="1"/>
  <c r="G6052" i="1"/>
  <c r="B22150" i="1"/>
  <c r="D22150" i="1"/>
  <c r="G22150" i="1"/>
  <c r="B19509" i="1"/>
  <c r="D19509" i="1"/>
  <c r="G19509" i="1"/>
  <c r="B10364" i="1"/>
  <c r="D10364" i="1"/>
  <c r="G10364" i="1"/>
  <c r="B10536" i="1"/>
  <c r="D10536" i="1"/>
  <c r="G10536" i="1"/>
  <c r="B11676" i="1"/>
  <c r="D11676" i="1"/>
  <c r="G11676" i="1"/>
  <c r="B7898" i="1"/>
  <c r="D7898" i="1"/>
  <c r="G7898" i="1"/>
  <c r="B7899" i="1"/>
  <c r="D7899" i="1"/>
  <c r="G7899" i="1"/>
  <c r="B3104" i="1"/>
  <c r="D3104" i="1"/>
  <c r="G3104" i="1"/>
  <c r="B21707" i="1"/>
  <c r="D21707" i="1"/>
  <c r="G21707" i="1"/>
  <c r="B21708" i="1"/>
  <c r="D21708" i="1"/>
  <c r="G21708" i="1"/>
  <c r="B8612" i="1"/>
  <c r="D8612" i="1"/>
  <c r="G8612" i="1"/>
  <c r="B8868" i="1"/>
  <c r="D8868" i="1"/>
  <c r="G8868" i="1"/>
  <c r="B19510" i="1"/>
  <c r="D19510" i="1"/>
  <c r="G19510" i="1"/>
  <c r="B4641" i="1"/>
  <c r="D4641" i="1"/>
  <c r="G4641" i="1"/>
  <c r="B2133" i="1"/>
  <c r="D2133" i="1"/>
  <c r="G2133" i="1"/>
  <c r="B17730" i="1"/>
  <c r="D17730" i="1"/>
  <c r="G17730" i="1"/>
  <c r="B22031" i="1"/>
  <c r="D22031" i="1"/>
  <c r="G22031" i="1"/>
  <c r="B8869" i="1"/>
  <c r="D8869" i="1"/>
  <c r="G8869" i="1"/>
  <c r="B14615" i="1"/>
  <c r="D14615" i="1"/>
  <c r="G14615" i="1"/>
  <c r="B15043" i="1"/>
  <c r="D15043" i="1"/>
  <c r="G15043" i="1"/>
  <c r="B8134" i="1"/>
  <c r="D8134" i="1"/>
  <c r="G8134" i="1"/>
  <c r="B6783" i="1"/>
  <c r="D6783" i="1"/>
  <c r="G6783" i="1"/>
  <c r="B3947" i="1"/>
  <c r="D3947" i="1"/>
  <c r="G3947" i="1"/>
  <c r="B8625" i="1"/>
  <c r="D8625" i="1"/>
  <c r="G8625" i="1"/>
  <c r="B8194" i="1"/>
  <c r="D8194" i="1"/>
  <c r="G8194" i="1"/>
  <c r="B15462" i="1"/>
  <c r="D15462" i="1"/>
  <c r="G15462" i="1"/>
  <c r="B3028" i="1"/>
  <c r="D3028" i="1"/>
  <c r="G3028" i="1"/>
  <c r="B201" i="1"/>
  <c r="D201" i="1"/>
  <c r="G201" i="1"/>
  <c r="B4472" i="1"/>
  <c r="D4472" i="1"/>
  <c r="G4472" i="1"/>
  <c r="B19511" i="1"/>
  <c r="D19511" i="1"/>
  <c r="G19511" i="1"/>
  <c r="B12096" i="1"/>
  <c r="D12096" i="1"/>
  <c r="G12096" i="1"/>
  <c r="B14719" i="1"/>
  <c r="D14719" i="1"/>
  <c r="G14719" i="1"/>
  <c r="B8337" i="1"/>
  <c r="D8337" i="1"/>
  <c r="G8337" i="1"/>
  <c r="B8870" i="1"/>
  <c r="D8870" i="1"/>
  <c r="G8870" i="1"/>
  <c r="B8069" i="1"/>
  <c r="D8069" i="1"/>
  <c r="G8069" i="1"/>
  <c r="B11313" i="1"/>
  <c r="D11313" i="1"/>
  <c r="G11313" i="1"/>
  <c r="B7224" i="1"/>
  <c r="D7224" i="1"/>
  <c r="G7224" i="1"/>
  <c r="B7225" i="1"/>
  <c r="D7225" i="1"/>
  <c r="G7225" i="1"/>
  <c r="B8547" i="1"/>
  <c r="D8547" i="1"/>
  <c r="G8547" i="1"/>
  <c r="B8548" i="1"/>
  <c r="D8548" i="1"/>
  <c r="G8548" i="1"/>
  <c r="B16462" i="1"/>
  <c r="D16462" i="1"/>
  <c r="G16462" i="1"/>
  <c r="B21257" i="1"/>
  <c r="D21257" i="1"/>
  <c r="G21257" i="1"/>
  <c r="B21258" i="1"/>
  <c r="D21258" i="1"/>
  <c r="G21258" i="1"/>
  <c r="B3105" i="1"/>
  <c r="D3105" i="1"/>
  <c r="G3105" i="1"/>
  <c r="B13019" i="1"/>
  <c r="D13019" i="1"/>
  <c r="G13019" i="1"/>
  <c r="B7900" i="1"/>
  <c r="D7900" i="1"/>
  <c r="G7900" i="1"/>
  <c r="B7901" i="1"/>
  <c r="D7901" i="1"/>
  <c r="G7901" i="1"/>
  <c r="B1694" i="1"/>
  <c r="D1694" i="1"/>
  <c r="G1694" i="1"/>
  <c r="B1262" i="1"/>
  <c r="D1262" i="1"/>
  <c r="G1262" i="1"/>
  <c r="B15044" i="1"/>
  <c r="D15044" i="1"/>
  <c r="G15044" i="1"/>
  <c r="B1511" i="1"/>
  <c r="D1511" i="1"/>
  <c r="G1511" i="1"/>
  <c r="B10537" i="1"/>
  <c r="D10537" i="1"/>
  <c r="G10537" i="1"/>
  <c r="B17098" i="1"/>
  <c r="D17098" i="1"/>
  <c r="G17098" i="1"/>
  <c r="B11553" i="1"/>
  <c r="D11553" i="1"/>
  <c r="G11553" i="1"/>
  <c r="B11554" i="1"/>
  <c r="D11554" i="1"/>
  <c r="G11554" i="1"/>
  <c r="B11677" i="1"/>
  <c r="D11677" i="1"/>
  <c r="G11677" i="1"/>
  <c r="B11678" i="1"/>
  <c r="D11678" i="1"/>
  <c r="G11678" i="1"/>
  <c r="B2393" i="1"/>
  <c r="D2393" i="1"/>
  <c r="G2393" i="1"/>
  <c r="B2394" i="1"/>
  <c r="D2394" i="1"/>
  <c r="G2394" i="1"/>
  <c r="B8549" i="1"/>
  <c r="D8549" i="1"/>
  <c r="G8549" i="1"/>
  <c r="B8550" i="1"/>
  <c r="D8550" i="1"/>
  <c r="G8550" i="1"/>
  <c r="B9105" i="1"/>
  <c r="D9105" i="1"/>
  <c r="G9105" i="1"/>
  <c r="B17387" i="1"/>
  <c r="D17387" i="1"/>
  <c r="G17387" i="1"/>
  <c r="B10061" i="1"/>
  <c r="D10061" i="1"/>
  <c r="G10061" i="1"/>
  <c r="B11156" i="1"/>
  <c r="D11156" i="1"/>
  <c r="G11156" i="1"/>
  <c r="B10845" i="1"/>
  <c r="D10845" i="1"/>
  <c r="G10845" i="1"/>
  <c r="B8871" i="1"/>
  <c r="D8871" i="1"/>
  <c r="G8871" i="1"/>
  <c r="B11157" i="1"/>
  <c r="D11157" i="1"/>
  <c r="G11157" i="1"/>
  <c r="B9824" i="1"/>
  <c r="D9824" i="1"/>
  <c r="G9824" i="1"/>
  <c r="B7359" i="1"/>
  <c r="D7359" i="1"/>
  <c r="G7359" i="1"/>
  <c r="B15045" i="1"/>
  <c r="D15045" i="1"/>
  <c r="G15045" i="1"/>
  <c r="B2468" i="1"/>
  <c r="D2468" i="1"/>
  <c r="G2468" i="1"/>
  <c r="B3235" i="1"/>
  <c r="D3235" i="1"/>
  <c r="G3235" i="1"/>
  <c r="B406" i="1"/>
  <c r="D406" i="1"/>
  <c r="G406" i="1"/>
  <c r="B2134" i="1"/>
  <c r="D2134" i="1"/>
  <c r="G2134" i="1"/>
  <c r="B22151" i="1"/>
  <c r="D22151" i="1"/>
  <c r="G22151" i="1"/>
  <c r="B12097" i="1"/>
  <c r="D12097" i="1"/>
  <c r="G12097" i="1"/>
  <c r="B6546" i="1"/>
  <c r="D6546" i="1"/>
  <c r="G6546" i="1"/>
  <c r="B6368" i="1"/>
  <c r="D6368" i="1"/>
  <c r="G6368" i="1"/>
  <c r="B4851" i="1"/>
  <c r="D4851" i="1"/>
  <c r="G4851" i="1"/>
  <c r="B16463" i="1"/>
  <c r="D16463" i="1"/>
  <c r="G16463" i="1"/>
  <c r="B2469" i="1"/>
  <c r="D2469" i="1"/>
  <c r="G2469" i="1"/>
  <c r="B6784" i="1"/>
  <c r="D6784" i="1"/>
  <c r="G6784" i="1"/>
  <c r="B8254" i="1"/>
  <c r="D8254" i="1"/>
  <c r="G8254" i="1"/>
  <c r="B19027" i="1"/>
  <c r="D19027" i="1"/>
  <c r="G19027" i="1"/>
  <c r="B13976" i="1"/>
  <c r="D13976" i="1"/>
  <c r="G13976" i="1"/>
  <c r="B17099" i="1"/>
  <c r="D17099" i="1"/>
  <c r="G17099" i="1"/>
  <c r="B13594" i="1"/>
  <c r="D13594" i="1"/>
  <c r="G13594" i="1"/>
  <c r="B6785" i="1"/>
  <c r="D6785" i="1"/>
  <c r="G6785" i="1"/>
  <c r="B2849" i="1"/>
  <c r="D2849" i="1"/>
  <c r="G2849" i="1"/>
  <c r="B21350" i="1"/>
  <c r="D21350" i="1"/>
  <c r="G21350" i="1"/>
  <c r="B10846" i="1"/>
  <c r="D10846" i="1"/>
  <c r="G10846" i="1"/>
  <c r="B15046" i="1"/>
  <c r="D15046" i="1"/>
  <c r="G15046" i="1"/>
  <c r="B11158" i="1"/>
  <c r="D11158" i="1"/>
  <c r="G11158" i="1"/>
  <c r="B26" i="1"/>
  <c r="D26" i="1"/>
  <c r="G26" i="1"/>
  <c r="B3831" i="1"/>
  <c r="D3831" i="1"/>
  <c r="G3831" i="1"/>
  <c r="B1263" i="1"/>
  <c r="D1263" i="1"/>
  <c r="G1263" i="1"/>
  <c r="B13285" i="1"/>
  <c r="D13285" i="1"/>
  <c r="G13285" i="1"/>
  <c r="B19028" i="1"/>
  <c r="D19028" i="1"/>
  <c r="G19028" i="1"/>
  <c r="B18770" i="1"/>
  <c r="D18770" i="1"/>
  <c r="G18770" i="1"/>
  <c r="B18771" i="1"/>
  <c r="D18771" i="1"/>
  <c r="G18771" i="1"/>
  <c r="B15047" i="1"/>
  <c r="D15047" i="1"/>
  <c r="G15047" i="1"/>
  <c r="B20819" i="1"/>
  <c r="D20819" i="1"/>
  <c r="G20819" i="1"/>
  <c r="B10293" i="1"/>
  <c r="D10293" i="1"/>
  <c r="G10293" i="1"/>
  <c r="B20297" i="1"/>
  <c r="D20297" i="1"/>
  <c r="G20297" i="1"/>
  <c r="B5495" i="1"/>
  <c r="D5495" i="1"/>
  <c r="G5495" i="1"/>
  <c r="B12940" i="1"/>
  <c r="D12940" i="1"/>
  <c r="G12940" i="1"/>
  <c r="B3631" i="1"/>
  <c r="D3631" i="1"/>
  <c r="G3631" i="1"/>
  <c r="B3757" i="1"/>
  <c r="D3757" i="1"/>
  <c r="G3757" i="1"/>
  <c r="B19200" i="1"/>
  <c r="D19200" i="1"/>
  <c r="G19200" i="1"/>
  <c r="B18478" i="1"/>
  <c r="D18478" i="1"/>
  <c r="G18478" i="1"/>
  <c r="B3632" i="1"/>
  <c r="D3632" i="1"/>
  <c r="G3632" i="1"/>
  <c r="B3633" i="1"/>
  <c r="D3633" i="1"/>
  <c r="G3633" i="1"/>
  <c r="B8279" i="1"/>
  <c r="D8279" i="1"/>
  <c r="G8279" i="1"/>
  <c r="B12356" i="1"/>
  <c r="D12356" i="1"/>
  <c r="G12356" i="1"/>
  <c r="B22032" i="1"/>
  <c r="D22032" i="1"/>
  <c r="G22032" i="1"/>
  <c r="B12098" i="1"/>
  <c r="D12098" i="1"/>
  <c r="G12098" i="1"/>
  <c r="B19512" i="1"/>
  <c r="D19512" i="1"/>
  <c r="G19512" i="1"/>
  <c r="B14834" i="1"/>
  <c r="D14834" i="1"/>
  <c r="G14834" i="1"/>
  <c r="B12829" i="1"/>
  <c r="D12829" i="1"/>
  <c r="G12829" i="1"/>
  <c r="B1459" i="1"/>
  <c r="D1459" i="1"/>
  <c r="G1459" i="1"/>
  <c r="B19513" i="1"/>
  <c r="D19513" i="1"/>
  <c r="G19513" i="1"/>
  <c r="B10538" i="1"/>
  <c r="D10538" i="1"/>
  <c r="G10538" i="1"/>
  <c r="B10539" i="1"/>
  <c r="D10539" i="1"/>
  <c r="G10539" i="1"/>
  <c r="B10847" i="1"/>
  <c r="D10847" i="1"/>
  <c r="G10847" i="1"/>
  <c r="B10848" i="1"/>
  <c r="D10848" i="1"/>
  <c r="G10848" i="1"/>
  <c r="B8872" i="1"/>
  <c r="D8872" i="1"/>
  <c r="G8872" i="1"/>
  <c r="B11884" i="1"/>
  <c r="D11884" i="1"/>
  <c r="G11884" i="1"/>
  <c r="B2850" i="1"/>
  <c r="D2850" i="1"/>
  <c r="G2850" i="1"/>
  <c r="B12099" i="1"/>
  <c r="D12099" i="1"/>
  <c r="G12099" i="1"/>
  <c r="B3948" i="1"/>
  <c r="D3948" i="1"/>
  <c r="G3948" i="1"/>
  <c r="B5613" i="1"/>
  <c r="D5613" i="1"/>
  <c r="G5613" i="1"/>
  <c r="B11159" i="1"/>
  <c r="D11159" i="1"/>
  <c r="G11159" i="1"/>
  <c r="B988" i="1"/>
  <c r="D988" i="1"/>
  <c r="G988" i="1"/>
  <c r="B13208" i="1"/>
  <c r="D13208" i="1"/>
  <c r="G13208" i="1"/>
  <c r="B7085" i="1"/>
  <c r="D7085" i="1"/>
  <c r="G7085" i="1"/>
  <c r="B20080" i="1"/>
  <c r="D20080" i="1"/>
  <c r="G20080" i="1"/>
  <c r="B1695" i="1"/>
  <c r="D1695" i="1"/>
  <c r="G1695" i="1"/>
  <c r="B12100" i="1"/>
  <c r="D12100" i="1"/>
  <c r="G12100" i="1"/>
  <c r="B15463" i="1"/>
  <c r="D15463" i="1"/>
  <c r="G15463" i="1"/>
  <c r="B12503" i="1"/>
  <c r="D12503" i="1"/>
  <c r="G12503" i="1"/>
  <c r="B12504" i="1"/>
  <c r="D12504" i="1"/>
  <c r="G12504" i="1"/>
  <c r="B12505" i="1"/>
  <c r="D12505" i="1"/>
  <c r="G12505" i="1"/>
  <c r="B7360" i="1"/>
  <c r="D7360" i="1"/>
  <c r="G7360" i="1"/>
  <c r="B13938" i="1"/>
  <c r="D13938" i="1"/>
  <c r="G13938" i="1"/>
  <c r="B2851" i="1"/>
  <c r="D2851" i="1"/>
  <c r="G2851" i="1"/>
  <c r="B8195" i="1"/>
  <c r="D8195" i="1"/>
  <c r="G8195" i="1"/>
  <c r="B8196" i="1"/>
  <c r="D8196" i="1"/>
  <c r="G8196" i="1"/>
  <c r="B13939" i="1"/>
  <c r="D13939" i="1"/>
  <c r="G13939" i="1"/>
  <c r="B20599" i="1"/>
  <c r="D20599" i="1"/>
  <c r="G20599" i="1"/>
  <c r="B6949" i="1"/>
  <c r="D6949" i="1"/>
  <c r="G6949" i="1"/>
  <c r="B18119" i="1"/>
  <c r="D18119" i="1"/>
  <c r="G18119" i="1"/>
  <c r="B16464" i="1"/>
  <c r="D16464" i="1"/>
  <c r="G16464" i="1"/>
  <c r="B3949" i="1"/>
  <c r="D3949" i="1"/>
  <c r="G3949" i="1"/>
  <c r="B22033" i="1"/>
  <c r="D22033" i="1"/>
  <c r="G22033" i="1"/>
  <c r="B2852" i="1"/>
  <c r="D2852" i="1"/>
  <c r="G2852" i="1"/>
  <c r="B10365" i="1"/>
  <c r="D10365" i="1"/>
  <c r="G10365" i="1"/>
  <c r="B10849" i="1"/>
  <c r="D10849" i="1"/>
  <c r="G10849" i="1"/>
  <c r="B13065" i="1"/>
  <c r="D13065" i="1"/>
  <c r="G13065" i="1"/>
  <c r="B14720" i="1"/>
  <c r="D14720" i="1"/>
  <c r="G14720" i="1"/>
  <c r="B19201" i="1"/>
  <c r="D19201" i="1"/>
  <c r="G19201" i="1"/>
  <c r="B18861" i="1"/>
  <c r="D18861" i="1"/>
  <c r="G18861" i="1"/>
  <c r="B6786" i="1"/>
  <c r="D6786" i="1"/>
  <c r="G6786" i="1"/>
  <c r="B7542" i="1"/>
  <c r="D7542" i="1"/>
  <c r="G7542" i="1"/>
  <c r="B21904" i="1"/>
  <c r="D21904" i="1"/>
  <c r="G21904" i="1"/>
  <c r="B15048" i="1"/>
  <c r="D15048" i="1"/>
  <c r="G15048" i="1"/>
  <c r="B21351" i="1"/>
  <c r="D21351" i="1"/>
  <c r="G21351" i="1"/>
  <c r="B7361" i="1"/>
  <c r="D7361" i="1"/>
  <c r="G7361" i="1"/>
  <c r="B17520" i="1"/>
  <c r="D17520" i="1"/>
  <c r="G17520" i="1"/>
  <c r="B9253" i="1"/>
  <c r="D9253" i="1"/>
  <c r="G9253" i="1"/>
  <c r="B14102" i="1"/>
  <c r="D14102" i="1"/>
  <c r="G14102" i="1"/>
  <c r="B9254" i="1"/>
  <c r="D9254" i="1"/>
  <c r="G9254" i="1"/>
  <c r="B16465" i="1"/>
  <c r="D16465" i="1"/>
  <c r="G16465" i="1"/>
  <c r="B6108" i="1"/>
  <c r="D6108" i="1"/>
  <c r="G6108" i="1"/>
  <c r="B12101" i="1"/>
  <c r="D12101" i="1"/>
  <c r="G12101" i="1"/>
  <c r="B12102" i="1"/>
  <c r="D12102" i="1"/>
  <c r="G12102" i="1"/>
  <c r="B8551" i="1"/>
  <c r="D8551" i="1"/>
  <c r="G8551" i="1"/>
  <c r="B8552" i="1"/>
  <c r="D8552" i="1"/>
  <c r="G8552" i="1"/>
  <c r="B8553" i="1"/>
  <c r="D8553" i="1"/>
  <c r="G8553" i="1"/>
  <c r="B8554" i="1"/>
  <c r="D8554" i="1"/>
  <c r="G8554" i="1"/>
  <c r="B8555" i="1"/>
  <c r="D8555" i="1"/>
  <c r="G8555" i="1"/>
  <c r="B8556" i="1"/>
  <c r="D8556" i="1"/>
  <c r="G8556" i="1"/>
  <c r="B4543" i="1"/>
  <c r="D4543" i="1"/>
  <c r="G4543" i="1"/>
  <c r="B4167" i="1"/>
  <c r="D4167" i="1"/>
  <c r="G4167" i="1"/>
  <c r="B8557" i="1"/>
  <c r="D8557" i="1"/>
  <c r="G8557" i="1"/>
  <c r="B10224" i="1"/>
  <c r="D10224" i="1"/>
  <c r="G10224" i="1"/>
  <c r="B10225" i="1"/>
  <c r="D10225" i="1"/>
  <c r="G10225" i="1"/>
  <c r="B21534" i="1"/>
  <c r="D21534" i="1"/>
  <c r="G21534" i="1"/>
  <c r="B12506" i="1"/>
  <c r="D12506" i="1"/>
  <c r="G12506" i="1"/>
  <c r="B20600" i="1"/>
  <c r="D20600" i="1"/>
  <c r="G20600" i="1"/>
  <c r="B19202" i="1"/>
  <c r="D19202" i="1"/>
  <c r="G19202" i="1"/>
  <c r="B18862" i="1"/>
  <c r="D18862" i="1"/>
  <c r="G18862" i="1"/>
  <c r="B245" i="1"/>
  <c r="D245" i="1"/>
  <c r="G245" i="1"/>
  <c r="B20601" i="1"/>
  <c r="D20601" i="1"/>
  <c r="G20601" i="1"/>
  <c r="B12976" i="1"/>
  <c r="D12976" i="1"/>
  <c r="G12976" i="1"/>
  <c r="B9972" i="1"/>
  <c r="D9972" i="1"/>
  <c r="G9972" i="1"/>
  <c r="B7902" i="1"/>
  <c r="D7902" i="1"/>
  <c r="G7902" i="1"/>
  <c r="B7903" i="1"/>
  <c r="D7903" i="1"/>
  <c r="G7903" i="1"/>
  <c r="B6787" i="1"/>
  <c r="D6787" i="1"/>
  <c r="G6787" i="1"/>
  <c r="B7543" i="1"/>
  <c r="D7543" i="1"/>
  <c r="G7543" i="1"/>
  <c r="B10850" i="1"/>
  <c r="D10850" i="1"/>
  <c r="G10850" i="1"/>
  <c r="B8135" i="1"/>
  <c r="D8135" i="1"/>
  <c r="G8135" i="1"/>
  <c r="B11679" i="1"/>
  <c r="D11679" i="1"/>
  <c r="G11679" i="1"/>
  <c r="B11555" i="1"/>
  <c r="D11555" i="1"/>
  <c r="G11555" i="1"/>
  <c r="B21077" i="1"/>
  <c r="D21077" i="1"/>
  <c r="G21077" i="1"/>
  <c r="B12103" i="1"/>
  <c r="D12103" i="1"/>
  <c r="G12103" i="1"/>
  <c r="B3950" i="1"/>
  <c r="D3950" i="1"/>
  <c r="G3950" i="1"/>
  <c r="B3951" i="1"/>
  <c r="D3951" i="1"/>
  <c r="G3951" i="1"/>
  <c r="B13759" i="1"/>
  <c r="D13759" i="1"/>
  <c r="G13759" i="1"/>
  <c r="B11160" i="1"/>
  <c r="D11160" i="1"/>
  <c r="G11160" i="1"/>
  <c r="B17100" i="1"/>
  <c r="D17100" i="1"/>
  <c r="G17100" i="1"/>
  <c r="B16098" i="1"/>
  <c r="D16098" i="1"/>
  <c r="G16098" i="1"/>
  <c r="B3758" i="1"/>
  <c r="D3758" i="1"/>
  <c r="G3758" i="1"/>
  <c r="B4642" i="1"/>
  <c r="D4642" i="1"/>
  <c r="G4642" i="1"/>
  <c r="B8338" i="1"/>
  <c r="D8338" i="1"/>
  <c r="G8338" i="1"/>
  <c r="B1264" i="1"/>
  <c r="D1264" i="1"/>
  <c r="G1264" i="1"/>
  <c r="B19822" i="1"/>
  <c r="D19822" i="1"/>
  <c r="G19822" i="1"/>
  <c r="B7226" i="1"/>
  <c r="D7226" i="1"/>
  <c r="G7226" i="1"/>
  <c r="B7227" i="1"/>
  <c r="D7227" i="1"/>
  <c r="G7227" i="1"/>
  <c r="B8873" i="1"/>
  <c r="D8873" i="1"/>
  <c r="G8873" i="1"/>
  <c r="B12830" i="1"/>
  <c r="D12830" i="1"/>
  <c r="G12830" i="1"/>
  <c r="B7904" i="1"/>
  <c r="D7904" i="1"/>
  <c r="G7904" i="1"/>
  <c r="B18371" i="1"/>
  <c r="D18371" i="1"/>
  <c r="G18371" i="1"/>
  <c r="B7905" i="1"/>
  <c r="D7905" i="1"/>
  <c r="G7905" i="1"/>
  <c r="B7906" i="1"/>
  <c r="D7906" i="1"/>
  <c r="G7906" i="1"/>
  <c r="B16466" i="1"/>
  <c r="D16466" i="1"/>
  <c r="G16466" i="1"/>
  <c r="B8136" i="1"/>
  <c r="D8136" i="1"/>
  <c r="G8136" i="1"/>
  <c r="B8874" i="1"/>
  <c r="D8874" i="1"/>
  <c r="G8874" i="1"/>
  <c r="B8255" i="1"/>
  <c r="D8255" i="1"/>
  <c r="G8255" i="1"/>
  <c r="B5224" i="1"/>
  <c r="D5224" i="1"/>
  <c r="G5224" i="1"/>
  <c r="B13222" i="1"/>
  <c r="D13222" i="1"/>
  <c r="G13222" i="1"/>
  <c r="B20820" i="1"/>
  <c r="D20820" i="1"/>
  <c r="G20820" i="1"/>
  <c r="B12439" i="1"/>
  <c r="D12439" i="1"/>
  <c r="G12439" i="1"/>
  <c r="B5730" i="1"/>
  <c r="D5730" i="1"/>
  <c r="G5730" i="1"/>
  <c r="B19029" i="1"/>
  <c r="D19029" i="1"/>
  <c r="G19029" i="1"/>
  <c r="B10540" i="1"/>
  <c r="D10540" i="1"/>
  <c r="G10540" i="1"/>
  <c r="B11408" i="1"/>
  <c r="D11408" i="1"/>
  <c r="G11408" i="1"/>
  <c r="B6053" i="1"/>
  <c r="D6053" i="1"/>
  <c r="G6053" i="1"/>
  <c r="B17388" i="1"/>
  <c r="D17388" i="1"/>
  <c r="G17388" i="1"/>
  <c r="B20602" i="1"/>
  <c r="D20602" i="1"/>
  <c r="G20602" i="1"/>
  <c r="B20603" i="1"/>
  <c r="D20603" i="1"/>
  <c r="G20603" i="1"/>
  <c r="B7907" i="1"/>
  <c r="D7907" i="1"/>
  <c r="G7907" i="1"/>
  <c r="B7908" i="1"/>
  <c r="D7908" i="1"/>
  <c r="G7908" i="1"/>
  <c r="B1265" i="1"/>
  <c r="D1265" i="1"/>
  <c r="G1265" i="1"/>
  <c r="B21905" i="1"/>
  <c r="D21905" i="1"/>
  <c r="G21905" i="1"/>
  <c r="B8875" i="1"/>
  <c r="D8875" i="1"/>
  <c r="G8875" i="1"/>
  <c r="B22152" i="1"/>
  <c r="D22152" i="1"/>
  <c r="G22152" i="1"/>
  <c r="B6995" i="1"/>
  <c r="D6995" i="1"/>
  <c r="G6995" i="1"/>
  <c r="B848" i="1"/>
  <c r="D848" i="1"/>
  <c r="G848" i="1"/>
  <c r="B17389" i="1"/>
  <c r="D17389" i="1"/>
  <c r="G17389" i="1"/>
  <c r="B849" i="1"/>
  <c r="D849" i="1"/>
  <c r="G849" i="1"/>
  <c r="B18479" i="1"/>
  <c r="D18479" i="1"/>
  <c r="G18479" i="1"/>
  <c r="B13531" i="1"/>
  <c r="D13531" i="1"/>
  <c r="G13531" i="1"/>
  <c r="B12831" i="1"/>
  <c r="D12831" i="1"/>
  <c r="G12831" i="1"/>
  <c r="B1696" i="1"/>
  <c r="D1696" i="1"/>
  <c r="G1696" i="1"/>
  <c r="B1697" i="1"/>
  <c r="D1697" i="1"/>
  <c r="G1697" i="1"/>
  <c r="B2199" i="1"/>
  <c r="D2199" i="1"/>
  <c r="G2199" i="1"/>
  <c r="B2041" i="1"/>
  <c r="D2041" i="1"/>
  <c r="G2041" i="1"/>
  <c r="B10294" i="1"/>
  <c r="D10294" i="1"/>
  <c r="G10294" i="1"/>
  <c r="B10080" i="1"/>
  <c r="D10080" i="1"/>
  <c r="G10080" i="1"/>
  <c r="B19891" i="1"/>
  <c r="D19891" i="1"/>
  <c r="G19891" i="1"/>
  <c r="B2104" i="1"/>
  <c r="D2104" i="1"/>
  <c r="G2104" i="1"/>
  <c r="B806" i="1"/>
  <c r="D806" i="1"/>
  <c r="G806" i="1"/>
  <c r="B5614" i="1"/>
  <c r="D5614" i="1"/>
  <c r="G5614" i="1"/>
  <c r="B5615" i="1"/>
  <c r="D5615" i="1"/>
  <c r="G5615" i="1"/>
  <c r="B5746" i="1"/>
  <c r="D5746" i="1"/>
  <c r="G5746" i="1"/>
  <c r="B352" i="1"/>
  <c r="D352" i="1"/>
  <c r="G352" i="1"/>
  <c r="B57" i="1"/>
  <c r="D57" i="1"/>
  <c r="G57" i="1"/>
  <c r="B12104" i="1"/>
  <c r="D12104" i="1"/>
  <c r="G12104" i="1"/>
  <c r="B10541" i="1"/>
  <c r="D10541" i="1"/>
  <c r="G10541" i="1"/>
  <c r="B20604" i="1"/>
  <c r="D20604" i="1"/>
  <c r="G20604" i="1"/>
  <c r="B20113" i="1"/>
  <c r="D20113" i="1"/>
  <c r="G20113" i="1"/>
  <c r="B5979" i="1"/>
  <c r="D5979" i="1"/>
  <c r="G5979" i="1"/>
  <c r="B2004" i="1"/>
  <c r="D2004" i="1"/>
  <c r="G2004" i="1"/>
  <c r="B13423" i="1"/>
  <c r="D13423" i="1"/>
  <c r="G13423" i="1"/>
  <c r="B2186" i="1"/>
  <c r="D2186" i="1"/>
  <c r="G2186" i="1"/>
  <c r="B12105" i="1"/>
  <c r="D12105" i="1"/>
  <c r="G12105" i="1"/>
  <c r="B16467" i="1"/>
  <c r="D16467" i="1"/>
  <c r="G16467" i="1"/>
  <c r="B10366" i="1"/>
  <c r="D10366" i="1"/>
  <c r="G10366" i="1"/>
  <c r="B13390" i="1"/>
  <c r="D13390" i="1"/>
  <c r="G13390" i="1"/>
  <c r="B13391" i="1"/>
  <c r="D13391" i="1"/>
  <c r="G13391" i="1"/>
  <c r="B8876" i="1"/>
  <c r="D8876" i="1"/>
  <c r="G8876" i="1"/>
  <c r="B3029" i="1"/>
  <c r="D3029" i="1"/>
  <c r="G3029" i="1"/>
  <c r="B3952" i="1"/>
  <c r="D3952" i="1"/>
  <c r="G3952" i="1"/>
  <c r="B1031" i="1"/>
  <c r="D1031" i="1"/>
  <c r="G1031" i="1"/>
  <c r="B2135" i="1"/>
  <c r="D2135" i="1"/>
  <c r="G2135" i="1"/>
  <c r="B2533" i="1"/>
  <c r="D2533" i="1"/>
  <c r="G2533" i="1"/>
  <c r="B8558" i="1"/>
  <c r="D8558" i="1"/>
  <c r="G8558" i="1"/>
  <c r="B8559" i="1"/>
  <c r="D8559" i="1"/>
  <c r="G8559" i="1"/>
  <c r="B1698" i="1"/>
  <c r="D1698" i="1"/>
  <c r="G1698" i="1"/>
  <c r="B1699" i="1"/>
  <c r="D1699" i="1"/>
  <c r="G1699" i="1"/>
  <c r="B21535" i="1"/>
  <c r="D21535" i="1"/>
  <c r="G21535" i="1"/>
  <c r="B17586" i="1"/>
  <c r="D17586" i="1"/>
  <c r="G17586" i="1"/>
  <c r="B8256" i="1"/>
  <c r="D8256" i="1"/>
  <c r="G8256" i="1"/>
  <c r="B6904" i="1"/>
  <c r="D6904" i="1"/>
  <c r="G6904" i="1"/>
  <c r="B19203" i="1"/>
  <c r="D19203" i="1"/>
  <c r="G19203" i="1"/>
  <c r="B12106" i="1"/>
  <c r="D12106" i="1"/>
  <c r="G12106" i="1"/>
  <c r="B18863" i="1"/>
  <c r="D18863" i="1"/>
  <c r="G18863" i="1"/>
  <c r="B13066" i="1"/>
  <c r="D13066" i="1"/>
  <c r="G13066" i="1"/>
  <c r="B7544" i="1"/>
  <c r="D7544" i="1"/>
  <c r="G7544" i="1"/>
  <c r="B19795" i="1"/>
  <c r="D19795" i="1"/>
  <c r="G19795" i="1"/>
  <c r="B11161" i="1"/>
  <c r="D11161" i="1"/>
  <c r="G11161" i="1"/>
  <c r="B2002" i="1"/>
  <c r="D2002" i="1"/>
  <c r="G2002" i="1"/>
  <c r="B21384" i="1"/>
  <c r="D21384" i="1"/>
  <c r="G21384" i="1"/>
  <c r="B11556" i="1"/>
  <c r="D11556" i="1"/>
  <c r="G11556" i="1"/>
  <c r="B12941" i="1"/>
  <c r="D12941" i="1"/>
  <c r="G12941" i="1"/>
  <c r="B4223" i="1"/>
  <c r="D4223" i="1"/>
  <c r="G4223" i="1"/>
  <c r="B7086" i="1"/>
  <c r="D7086" i="1"/>
  <c r="G7086" i="1"/>
  <c r="B7545" i="1"/>
  <c r="D7545" i="1"/>
  <c r="G7545" i="1"/>
  <c r="B4578" i="1"/>
  <c r="D4578" i="1"/>
  <c r="G4578" i="1"/>
  <c r="B11715" i="1"/>
  <c r="D11715" i="1"/>
  <c r="G11715" i="1"/>
  <c r="B8257" i="1"/>
  <c r="D8257" i="1"/>
  <c r="G8257" i="1"/>
  <c r="B13286" i="1"/>
  <c r="D13286" i="1"/>
  <c r="G13286" i="1"/>
  <c r="B10196" i="1"/>
  <c r="D10196" i="1"/>
  <c r="G10196" i="1"/>
  <c r="B17101" i="1"/>
  <c r="D17101" i="1"/>
  <c r="G17101" i="1"/>
  <c r="B2042" i="1"/>
  <c r="D2042" i="1"/>
  <c r="G2042" i="1"/>
  <c r="B8137" i="1"/>
  <c r="D8137" i="1"/>
  <c r="G8137" i="1"/>
  <c r="B13584" i="1"/>
  <c r="D13584" i="1"/>
  <c r="G13584" i="1"/>
  <c r="B8877" i="1"/>
  <c r="D8877" i="1"/>
  <c r="G8877" i="1"/>
  <c r="B6788" i="1"/>
  <c r="D6788" i="1"/>
  <c r="G6788" i="1"/>
  <c r="B9388" i="1"/>
  <c r="D9388" i="1"/>
  <c r="G9388" i="1"/>
  <c r="B8878" i="1"/>
  <c r="D8878" i="1"/>
  <c r="G8878" i="1"/>
  <c r="B9389" i="1"/>
  <c r="D9389" i="1"/>
  <c r="G9389" i="1"/>
  <c r="B11854" i="1"/>
  <c r="D11854" i="1"/>
  <c r="G11854" i="1"/>
  <c r="B10851" i="1"/>
  <c r="D10851" i="1"/>
  <c r="G10851" i="1"/>
  <c r="B8560" i="1"/>
  <c r="D8560" i="1"/>
  <c r="G8560" i="1"/>
  <c r="B8561" i="1"/>
  <c r="D8561" i="1"/>
  <c r="G8561" i="1"/>
  <c r="B9255" i="1"/>
  <c r="D9255" i="1"/>
  <c r="G9255" i="1"/>
  <c r="B9390" i="1"/>
  <c r="D9390" i="1"/>
  <c r="G9390" i="1"/>
  <c r="B9929" i="1"/>
  <c r="D9929" i="1"/>
  <c r="G9929" i="1"/>
  <c r="B7546" i="1"/>
  <c r="D7546" i="1"/>
  <c r="G7546" i="1"/>
  <c r="B7909" i="1"/>
  <c r="D7909" i="1"/>
  <c r="G7909" i="1"/>
  <c r="B7910" i="1"/>
  <c r="D7910" i="1"/>
  <c r="G7910" i="1"/>
  <c r="B13151" i="1"/>
  <c r="D13151" i="1"/>
  <c r="G13151" i="1"/>
  <c r="B14214" i="1"/>
  <c r="D14214" i="1"/>
  <c r="G14214" i="1"/>
  <c r="B13678" i="1"/>
  <c r="D13678" i="1"/>
  <c r="G13678" i="1"/>
  <c r="B4867" i="1"/>
  <c r="D4867" i="1"/>
  <c r="G4867" i="1"/>
  <c r="B2395" i="1"/>
  <c r="D2395" i="1"/>
  <c r="G2395" i="1"/>
  <c r="B15464" i="1"/>
  <c r="D15464" i="1"/>
  <c r="G15464" i="1"/>
  <c r="B20298" i="1"/>
  <c r="D20298" i="1"/>
  <c r="G20298" i="1"/>
  <c r="B15875" i="1"/>
  <c r="D15875" i="1"/>
  <c r="G15875" i="1"/>
  <c r="B16468" i="1"/>
  <c r="D16468" i="1"/>
  <c r="G16468" i="1"/>
  <c r="B15798" i="1"/>
  <c r="D15798" i="1"/>
  <c r="G15798" i="1"/>
  <c r="B3953" i="1"/>
  <c r="D3953" i="1"/>
  <c r="G3953" i="1"/>
  <c r="B8197" i="1"/>
  <c r="D8197" i="1"/>
  <c r="G8197" i="1"/>
  <c r="B19204" i="1"/>
  <c r="D19204" i="1"/>
  <c r="G19204" i="1"/>
  <c r="B18864" i="1"/>
  <c r="D18864" i="1"/>
  <c r="G18864" i="1"/>
  <c r="B7228" i="1"/>
  <c r="D7228" i="1"/>
  <c r="G7228" i="1"/>
  <c r="B7229" i="1"/>
  <c r="D7229" i="1"/>
  <c r="G7229" i="1"/>
  <c r="B7911" i="1"/>
  <c r="D7911" i="1"/>
  <c r="G7911" i="1"/>
  <c r="B20821" i="1"/>
  <c r="D20821" i="1"/>
  <c r="G20821" i="1"/>
  <c r="B16469" i="1"/>
  <c r="D16469" i="1"/>
  <c r="G16469" i="1"/>
  <c r="B10542" i="1"/>
  <c r="D10542" i="1"/>
  <c r="G10542" i="1"/>
  <c r="B12107" i="1"/>
  <c r="D12107" i="1"/>
  <c r="G12107" i="1"/>
  <c r="B13826" i="1"/>
  <c r="D13826" i="1"/>
  <c r="G13826" i="1"/>
  <c r="B830" i="1"/>
  <c r="D830" i="1"/>
  <c r="G830" i="1"/>
  <c r="B12108" i="1"/>
  <c r="D12108" i="1"/>
  <c r="G12108" i="1"/>
  <c r="B10295" i="1"/>
  <c r="D10295" i="1"/>
  <c r="G10295" i="1"/>
  <c r="B9825" i="1"/>
  <c r="D9825" i="1"/>
  <c r="G9825" i="1"/>
  <c r="B19205" i="1"/>
  <c r="D19205" i="1"/>
  <c r="G19205" i="1"/>
  <c r="B2043" i="1"/>
  <c r="D2043" i="1"/>
  <c r="G2043" i="1"/>
  <c r="B6106" i="1"/>
  <c r="D6106" i="1"/>
  <c r="G6106" i="1"/>
  <c r="B2044" i="1"/>
  <c r="D2044" i="1"/>
  <c r="G2044" i="1"/>
  <c r="B12109" i="1"/>
  <c r="D12109" i="1"/>
  <c r="G12109" i="1"/>
  <c r="B9391" i="1"/>
  <c r="D9391" i="1"/>
  <c r="G9391" i="1"/>
  <c r="B12977" i="1"/>
  <c r="D12977" i="1"/>
  <c r="G12977" i="1"/>
  <c r="B13152" i="1"/>
  <c r="D13152" i="1"/>
  <c r="G13152" i="1"/>
  <c r="B9392" i="1"/>
  <c r="D9392" i="1"/>
  <c r="G9392" i="1"/>
  <c r="B13787" i="1"/>
  <c r="D13787" i="1"/>
  <c r="G13787" i="1"/>
  <c r="B13067" i="1"/>
  <c r="D13067" i="1"/>
  <c r="G13067" i="1"/>
  <c r="B11855" i="1"/>
  <c r="D11855" i="1"/>
  <c r="G11855" i="1"/>
  <c r="B3046" i="1"/>
  <c r="D3046" i="1"/>
  <c r="G3046" i="1"/>
  <c r="B11162" i="1"/>
  <c r="D11162" i="1"/>
  <c r="G11162" i="1"/>
  <c r="B10543" i="1"/>
  <c r="D10543" i="1"/>
  <c r="G10543" i="1"/>
  <c r="B12507" i="1"/>
  <c r="D12507" i="1"/>
  <c r="G12507" i="1"/>
  <c r="B5616" i="1"/>
  <c r="D5616" i="1"/>
  <c r="G5616" i="1"/>
  <c r="B11716" i="1"/>
  <c r="D11716" i="1"/>
  <c r="G11716" i="1"/>
  <c r="B7547" i="1"/>
  <c r="D7547" i="1"/>
  <c r="G7547" i="1"/>
  <c r="B19514" i="1"/>
  <c r="D19514" i="1"/>
  <c r="G19514" i="1"/>
  <c r="B12668" i="1"/>
  <c r="D12668" i="1"/>
  <c r="G12668" i="1"/>
  <c r="B3221" i="1"/>
  <c r="D3221" i="1"/>
  <c r="G3221" i="1"/>
  <c r="B16470" i="1"/>
  <c r="D16470" i="1"/>
  <c r="G16470" i="1"/>
  <c r="B8879" i="1"/>
  <c r="D8879" i="1"/>
  <c r="G8879" i="1"/>
  <c r="B9719" i="1"/>
  <c r="D9719" i="1"/>
  <c r="G9719" i="1"/>
  <c r="B9720" i="1"/>
  <c r="D9720" i="1"/>
  <c r="G9720" i="1"/>
  <c r="B7548" i="1"/>
  <c r="D7548" i="1"/>
  <c r="G7548" i="1"/>
  <c r="B8562" i="1"/>
  <c r="D8562" i="1"/>
  <c r="G8562" i="1"/>
  <c r="B8563" i="1"/>
  <c r="D8563" i="1"/>
  <c r="G8563" i="1"/>
  <c r="B8880" i="1"/>
  <c r="D8880" i="1"/>
  <c r="G8880" i="1"/>
  <c r="B111" i="1"/>
  <c r="D111" i="1"/>
  <c r="G111" i="1"/>
  <c r="B7549" i="1"/>
  <c r="D7549" i="1"/>
  <c r="G7549" i="1"/>
  <c r="B19030" i="1"/>
  <c r="D19030" i="1"/>
  <c r="G19030" i="1"/>
  <c r="B17102" i="1"/>
  <c r="D17102" i="1"/>
  <c r="G17102" i="1"/>
  <c r="B16099" i="1"/>
  <c r="D16099" i="1"/>
  <c r="G16099" i="1"/>
  <c r="B13956" i="1"/>
  <c r="D13956" i="1"/>
  <c r="G13956" i="1"/>
  <c r="B9721" i="1"/>
  <c r="D9721" i="1"/>
  <c r="G9721" i="1"/>
  <c r="B9722" i="1"/>
  <c r="D9722" i="1"/>
  <c r="G9722" i="1"/>
  <c r="B9723" i="1"/>
  <c r="D9723" i="1"/>
  <c r="G9723" i="1"/>
  <c r="B10852" i="1"/>
  <c r="D10852" i="1"/>
  <c r="G10852" i="1"/>
  <c r="B19206" i="1"/>
  <c r="D19206" i="1"/>
  <c r="G19206" i="1"/>
  <c r="B11163" i="1"/>
  <c r="D11163" i="1"/>
  <c r="G11163" i="1"/>
  <c r="B15049" i="1"/>
  <c r="D15049" i="1"/>
  <c r="G15049" i="1"/>
  <c r="B14376" i="1"/>
  <c r="D14376" i="1"/>
  <c r="G14376" i="1"/>
  <c r="B12110" i="1"/>
  <c r="D12110" i="1"/>
  <c r="G12110" i="1"/>
  <c r="B4174" i="1"/>
  <c r="D4174" i="1"/>
  <c r="G4174" i="1"/>
  <c r="B19988" i="1"/>
  <c r="D19988" i="1"/>
  <c r="G19988" i="1"/>
  <c r="B19989" i="1"/>
  <c r="D19989" i="1"/>
  <c r="G19989" i="1"/>
  <c r="B7362" i="1"/>
  <c r="D7362" i="1"/>
  <c r="G7362" i="1"/>
  <c r="B7550" i="1"/>
  <c r="D7550" i="1"/>
  <c r="G7550" i="1"/>
  <c r="B12111" i="1"/>
  <c r="D12111" i="1"/>
  <c r="G12111" i="1"/>
  <c r="B20605" i="1"/>
  <c r="D20605" i="1"/>
  <c r="G20605" i="1"/>
  <c r="B6789" i="1"/>
  <c r="D6789" i="1"/>
  <c r="G6789" i="1"/>
  <c r="B8881" i="1"/>
  <c r="D8881" i="1"/>
  <c r="G8881" i="1"/>
  <c r="B8627" i="1"/>
  <c r="D8627" i="1"/>
  <c r="G8627" i="1"/>
  <c r="B12112" i="1"/>
  <c r="D12112" i="1"/>
  <c r="G12112" i="1"/>
  <c r="B17390" i="1"/>
  <c r="D17390" i="1"/>
  <c r="G17390" i="1"/>
  <c r="B18174" i="1"/>
  <c r="D18174" i="1"/>
  <c r="G18174" i="1"/>
  <c r="B14082" i="1"/>
  <c r="D14082" i="1"/>
  <c r="G14082" i="1"/>
  <c r="B19515" i="1"/>
  <c r="D19515" i="1"/>
  <c r="G19515" i="1"/>
  <c r="B8882" i="1"/>
  <c r="D8882" i="1"/>
  <c r="G8882" i="1"/>
  <c r="B21259" i="1"/>
  <c r="D21259" i="1"/>
  <c r="G21259" i="1"/>
  <c r="B7912" i="1"/>
  <c r="D7912" i="1"/>
  <c r="G7912" i="1"/>
  <c r="B7913" i="1"/>
  <c r="D7913" i="1"/>
  <c r="G7913" i="1"/>
  <c r="B15050" i="1"/>
  <c r="D15050" i="1"/>
  <c r="G15050" i="1"/>
  <c r="B1700" i="1"/>
  <c r="D1700" i="1"/>
  <c r="G1700" i="1"/>
  <c r="B1701" i="1"/>
  <c r="D1701" i="1"/>
  <c r="G1701" i="1"/>
  <c r="B13585" i="1"/>
  <c r="D13585" i="1"/>
  <c r="G13585" i="1"/>
  <c r="B1702" i="1"/>
  <c r="D1702" i="1"/>
  <c r="G1702" i="1"/>
  <c r="B8258" i="1"/>
  <c r="D8258" i="1"/>
  <c r="G8258" i="1"/>
  <c r="B15465" i="1"/>
  <c r="D15465" i="1"/>
  <c r="G15465" i="1"/>
  <c r="B15704" i="1"/>
  <c r="D15704" i="1"/>
  <c r="G15704" i="1"/>
  <c r="B14352" i="1"/>
  <c r="D14352" i="1"/>
  <c r="G14352" i="1"/>
  <c r="B14081" i="1"/>
  <c r="D14081" i="1"/>
  <c r="G14081" i="1"/>
  <c r="B8883" i="1"/>
  <c r="D8883" i="1"/>
  <c r="G8883" i="1"/>
  <c r="B10544" i="1"/>
  <c r="D10544" i="1"/>
  <c r="G10544" i="1"/>
  <c r="B11409" i="1"/>
  <c r="D11409" i="1"/>
  <c r="G11409" i="1"/>
  <c r="B15051" i="1"/>
  <c r="D15051" i="1"/>
  <c r="G15051" i="1"/>
  <c r="B2853" i="1"/>
  <c r="D2853" i="1"/>
  <c r="G2853" i="1"/>
  <c r="B9393" i="1"/>
  <c r="D9393" i="1"/>
  <c r="G9393" i="1"/>
  <c r="B9724" i="1"/>
  <c r="D9724" i="1"/>
  <c r="G9724" i="1"/>
  <c r="B9725" i="1"/>
  <c r="D9725" i="1"/>
  <c r="G9725" i="1"/>
  <c r="B20382" i="1"/>
  <c r="D20382" i="1"/>
  <c r="G20382" i="1"/>
  <c r="B20822" i="1"/>
  <c r="D20822" i="1"/>
  <c r="G20822" i="1"/>
  <c r="B19207" i="1"/>
  <c r="D19207" i="1"/>
  <c r="G19207" i="1"/>
  <c r="B18865" i="1"/>
  <c r="D18865" i="1"/>
  <c r="G18865" i="1"/>
  <c r="B4345" i="1"/>
  <c r="D4345" i="1"/>
  <c r="G4345" i="1"/>
  <c r="B4224" i="1"/>
  <c r="D4224" i="1"/>
  <c r="G4224" i="1"/>
  <c r="B1371" i="1"/>
  <c r="D1371" i="1"/>
  <c r="G1371" i="1"/>
  <c r="B9969" i="1"/>
  <c r="D9969" i="1"/>
  <c r="G9969" i="1"/>
  <c r="B3954" i="1"/>
  <c r="D3954" i="1"/>
  <c r="G3954" i="1"/>
  <c r="B989" i="1"/>
  <c r="D989" i="1"/>
  <c r="G989" i="1"/>
  <c r="B9181" i="1"/>
  <c r="D9181" i="1"/>
  <c r="G9181" i="1"/>
  <c r="B14353" i="1"/>
  <c r="D14353" i="1"/>
  <c r="G14353" i="1"/>
  <c r="B4888" i="1"/>
  <c r="D4888" i="1"/>
  <c r="G4888" i="1"/>
  <c r="B9726" i="1"/>
  <c r="D9726" i="1"/>
  <c r="G9726" i="1"/>
  <c r="B9727" i="1"/>
  <c r="D9727" i="1"/>
  <c r="G9727" i="1"/>
  <c r="B9902" i="1"/>
  <c r="D9902" i="1"/>
  <c r="G9902" i="1"/>
  <c r="B9728" i="1"/>
  <c r="D9728" i="1"/>
  <c r="G9728" i="1"/>
  <c r="B9729" i="1"/>
  <c r="D9729" i="1"/>
  <c r="G9729" i="1"/>
  <c r="B6369" i="1"/>
  <c r="D6369" i="1"/>
  <c r="G6369" i="1"/>
  <c r="B6370" i="1"/>
  <c r="D6370" i="1"/>
  <c r="G6370" i="1"/>
  <c r="B18239" i="1"/>
  <c r="D18239" i="1"/>
  <c r="G18239" i="1"/>
  <c r="B18677" i="1"/>
  <c r="D18677" i="1"/>
  <c r="G18677" i="1"/>
  <c r="B17289" i="1"/>
  <c r="D17289" i="1"/>
  <c r="G17289" i="1"/>
  <c r="B13068" i="1"/>
  <c r="D13068" i="1"/>
  <c r="G13068" i="1"/>
  <c r="B12113" i="1"/>
  <c r="D12113" i="1"/>
  <c r="G12113" i="1"/>
  <c r="B16471" i="1"/>
  <c r="D16471" i="1"/>
  <c r="G16471" i="1"/>
  <c r="B11557" i="1"/>
  <c r="D11557" i="1"/>
  <c r="G11557" i="1"/>
  <c r="B1541" i="1"/>
  <c r="D1541" i="1"/>
  <c r="G1541" i="1"/>
  <c r="B22153" i="1"/>
  <c r="D22153" i="1"/>
  <c r="G22153" i="1"/>
  <c r="B6096" i="1"/>
  <c r="D6096" i="1"/>
  <c r="G6096" i="1"/>
  <c r="B17731" i="1"/>
  <c r="D17731" i="1"/>
  <c r="G17731" i="1"/>
  <c r="B17732" i="1"/>
  <c r="D17732" i="1"/>
  <c r="G17732" i="1"/>
  <c r="B17733" i="1"/>
  <c r="D17733" i="1"/>
  <c r="G17733" i="1"/>
  <c r="B1497" i="1"/>
  <c r="D1497" i="1"/>
  <c r="G1497" i="1"/>
  <c r="B14215" i="1"/>
  <c r="D14215" i="1"/>
  <c r="G14215" i="1"/>
  <c r="B7914" i="1"/>
  <c r="D7914" i="1"/>
  <c r="G7914" i="1"/>
  <c r="B7915" i="1"/>
  <c r="D7915" i="1"/>
  <c r="G7915" i="1"/>
  <c r="B19516" i="1"/>
  <c r="D19516" i="1"/>
  <c r="G19516" i="1"/>
  <c r="B18480" i="1"/>
  <c r="D18480" i="1"/>
  <c r="G18480" i="1"/>
  <c r="B236" i="1"/>
  <c r="D236" i="1"/>
  <c r="G236" i="1"/>
  <c r="B6950" i="1"/>
  <c r="D6950" i="1"/>
  <c r="G6950" i="1"/>
  <c r="B6371" i="1"/>
  <c r="D6371" i="1"/>
  <c r="G6371" i="1"/>
  <c r="B14270" i="1"/>
  <c r="D14270" i="1"/>
  <c r="G14270" i="1"/>
  <c r="B2396" i="1"/>
  <c r="D2396" i="1"/>
  <c r="G2396" i="1"/>
  <c r="B15052" i="1"/>
  <c r="D15052" i="1"/>
  <c r="G15052" i="1"/>
  <c r="B8884" i="1"/>
  <c r="D8884" i="1"/>
  <c r="G8884" i="1"/>
  <c r="B10853" i="1"/>
  <c r="D10853" i="1"/>
  <c r="G10853" i="1"/>
  <c r="B8198" i="1"/>
  <c r="D8198" i="1"/>
  <c r="G8198" i="1"/>
  <c r="B16472" i="1"/>
  <c r="D16472" i="1"/>
  <c r="G16472" i="1"/>
  <c r="B22034" i="1"/>
  <c r="D22034" i="1"/>
  <c r="G22034" i="1"/>
  <c r="B14616" i="1"/>
  <c r="D14616" i="1"/>
  <c r="G14616" i="1"/>
  <c r="B15053" i="1"/>
  <c r="D15053" i="1"/>
  <c r="G15053" i="1"/>
  <c r="B20823" i="1"/>
  <c r="D20823" i="1"/>
  <c r="G20823" i="1"/>
  <c r="B10156" i="1"/>
  <c r="D10156" i="1"/>
  <c r="G10156" i="1"/>
  <c r="B20065" i="1"/>
  <c r="D20065" i="1"/>
  <c r="G20065" i="1"/>
  <c r="B15466" i="1"/>
  <c r="D15466" i="1"/>
  <c r="G15466" i="1"/>
  <c r="B14780" i="1"/>
  <c r="D14780" i="1"/>
  <c r="G14780" i="1"/>
  <c r="B576" i="1"/>
  <c r="D576" i="1"/>
  <c r="G576" i="1"/>
  <c r="B1879" i="1"/>
  <c r="D1879" i="1"/>
  <c r="G1879" i="1"/>
  <c r="B11164" i="1"/>
  <c r="D11164" i="1"/>
  <c r="G11164" i="1"/>
  <c r="B8564" i="1"/>
  <c r="D8564" i="1"/>
  <c r="G8564" i="1"/>
  <c r="B8565" i="1"/>
  <c r="D8565" i="1"/>
  <c r="G8565" i="1"/>
  <c r="B19031" i="1"/>
  <c r="D19031" i="1"/>
  <c r="G19031" i="1"/>
  <c r="B9131" i="1"/>
  <c r="D9131" i="1"/>
  <c r="G9131" i="1"/>
  <c r="B1703" i="1"/>
  <c r="D1703" i="1"/>
  <c r="G1703" i="1"/>
  <c r="B1704" i="1"/>
  <c r="D1704" i="1"/>
  <c r="G1704" i="1"/>
  <c r="B19208" i="1"/>
  <c r="D19208" i="1"/>
  <c r="G19208" i="1"/>
  <c r="B9256" i="1"/>
  <c r="D9256" i="1"/>
  <c r="G9256" i="1"/>
  <c r="B13813" i="1"/>
  <c r="D13813" i="1"/>
  <c r="G13813" i="1"/>
  <c r="B16473" i="1"/>
  <c r="D16473" i="1"/>
  <c r="G16473" i="1"/>
  <c r="B6790" i="1"/>
  <c r="D6790" i="1"/>
  <c r="G6790" i="1"/>
  <c r="B1705" i="1"/>
  <c r="D1705" i="1"/>
  <c r="G1705" i="1"/>
  <c r="B1706" i="1"/>
  <c r="D1706" i="1"/>
  <c r="G1706" i="1"/>
  <c r="B9257" i="1"/>
  <c r="D9257" i="1"/>
  <c r="G9257" i="1"/>
  <c r="B13287" i="1"/>
  <c r="D13287" i="1"/>
  <c r="G13287" i="1"/>
  <c r="B17734" i="1"/>
  <c r="D17734" i="1"/>
  <c r="G17734" i="1"/>
  <c r="B12832" i="1"/>
  <c r="D12832" i="1"/>
  <c r="G12832" i="1"/>
  <c r="B9730" i="1"/>
  <c r="D9730" i="1"/>
  <c r="G9730" i="1"/>
  <c r="B9731" i="1"/>
  <c r="D9731" i="1"/>
  <c r="G9731" i="1"/>
  <c r="B19807" i="1"/>
  <c r="D19807" i="1"/>
  <c r="G19807" i="1"/>
  <c r="B19032" i="1"/>
  <c r="D19032" i="1"/>
  <c r="G19032" i="1"/>
  <c r="B15054" i="1"/>
  <c r="D15054" i="1"/>
  <c r="G15054" i="1"/>
  <c r="B10545" i="1"/>
  <c r="D10545" i="1"/>
  <c r="G10545" i="1"/>
  <c r="B11792" i="1"/>
  <c r="D11792" i="1"/>
  <c r="G11792" i="1"/>
  <c r="B11793" i="1"/>
  <c r="D11793" i="1"/>
  <c r="G11793" i="1"/>
  <c r="B202" i="1"/>
  <c r="D202" i="1"/>
  <c r="G202" i="1"/>
  <c r="B2536" i="1"/>
  <c r="D2536" i="1"/>
  <c r="G2536" i="1"/>
  <c r="B19209" i="1"/>
  <c r="D19209" i="1"/>
  <c r="G19209" i="1"/>
  <c r="B12833" i="1"/>
  <c r="D12833" i="1"/>
  <c r="G12833" i="1"/>
  <c r="B17391" i="1"/>
  <c r="D17391" i="1"/>
  <c r="G17391" i="1"/>
  <c r="B13628" i="1"/>
  <c r="D13628" i="1"/>
  <c r="G13628" i="1"/>
  <c r="B3634" i="1"/>
  <c r="D3634" i="1"/>
  <c r="G3634" i="1"/>
  <c r="B16474" i="1"/>
  <c r="D16474" i="1"/>
  <c r="G16474" i="1"/>
  <c r="B4225" i="1"/>
  <c r="D4225" i="1"/>
  <c r="G4225" i="1"/>
  <c r="B9826" i="1"/>
  <c r="D9826" i="1"/>
  <c r="G9826" i="1"/>
  <c r="B9827" i="1"/>
  <c r="D9827" i="1"/>
  <c r="G9827" i="1"/>
  <c r="B17103" i="1"/>
  <c r="D17103" i="1"/>
  <c r="G17103" i="1"/>
  <c r="B1880" i="1"/>
  <c r="D1880" i="1"/>
  <c r="G1880" i="1"/>
  <c r="B16100" i="1"/>
  <c r="D16100" i="1"/>
  <c r="G16100" i="1"/>
  <c r="B8199" i="1"/>
  <c r="D8199" i="1"/>
  <c r="G8199" i="1"/>
  <c r="B9952" i="1"/>
  <c r="D9952" i="1"/>
  <c r="G9952" i="1"/>
  <c r="B22035" i="1"/>
  <c r="D22035" i="1"/>
  <c r="G22035" i="1"/>
  <c r="B11165" i="1"/>
  <c r="D11165" i="1"/>
  <c r="G11165" i="1"/>
  <c r="B12114" i="1"/>
  <c r="D12114" i="1"/>
  <c r="G12114" i="1"/>
  <c r="B16976" i="1"/>
  <c r="D16976" i="1"/>
  <c r="G16976" i="1"/>
  <c r="B17521" i="1"/>
  <c r="D17521" i="1"/>
  <c r="G17521" i="1"/>
  <c r="B887" i="1"/>
  <c r="D887" i="1"/>
  <c r="G887" i="1"/>
  <c r="B13827" i="1"/>
  <c r="D13827" i="1"/>
  <c r="G13827" i="1"/>
  <c r="B7551" i="1"/>
  <c r="D7551" i="1"/>
  <c r="G7551" i="1"/>
  <c r="B13828" i="1"/>
  <c r="D13828" i="1"/>
  <c r="G13828" i="1"/>
  <c r="B7552" i="1"/>
  <c r="D7552" i="1"/>
  <c r="G7552" i="1"/>
  <c r="B18481" i="1"/>
  <c r="D18481" i="1"/>
  <c r="G18481" i="1"/>
  <c r="B19033" i="1"/>
  <c r="D19033" i="1"/>
  <c r="G19033" i="1"/>
  <c r="B18866" i="1"/>
  <c r="D18866" i="1"/>
  <c r="G18866" i="1"/>
  <c r="B16475" i="1"/>
  <c r="D16475" i="1"/>
  <c r="G16475" i="1"/>
  <c r="B18678" i="1"/>
  <c r="D18678" i="1"/>
  <c r="G18678" i="1"/>
  <c r="B2397" i="1"/>
  <c r="D2397" i="1"/>
  <c r="G2397" i="1"/>
  <c r="B6791" i="1"/>
  <c r="D6791" i="1"/>
  <c r="G6791" i="1"/>
  <c r="B9732" i="1"/>
  <c r="D9732" i="1"/>
  <c r="G9732" i="1"/>
  <c r="B18175" i="1"/>
  <c r="D18175" i="1"/>
  <c r="G18175" i="1"/>
  <c r="B10854" i="1"/>
  <c r="D10854" i="1"/>
  <c r="G10854" i="1"/>
  <c r="B11166" i="1"/>
  <c r="D11166" i="1"/>
  <c r="G11166" i="1"/>
  <c r="B21709" i="1"/>
  <c r="D21709" i="1"/>
  <c r="G21709" i="1"/>
  <c r="B10855" i="1"/>
  <c r="D10855" i="1"/>
  <c r="G10855" i="1"/>
  <c r="B15055" i="1"/>
  <c r="D15055" i="1"/>
  <c r="G15055" i="1"/>
  <c r="B21710" i="1"/>
  <c r="D21710" i="1"/>
  <c r="G21710" i="1"/>
  <c r="B18739" i="1"/>
  <c r="D18739" i="1"/>
  <c r="G18739" i="1"/>
  <c r="B15467" i="1"/>
  <c r="D15467" i="1"/>
  <c r="G15467" i="1"/>
  <c r="B15056" i="1"/>
  <c r="D15056" i="1"/>
  <c r="G15056" i="1"/>
  <c r="B6792" i="1"/>
  <c r="D6792" i="1"/>
  <c r="G6792" i="1"/>
  <c r="B6873" i="1"/>
  <c r="D6873" i="1"/>
  <c r="G6873" i="1"/>
  <c r="B14296" i="1"/>
  <c r="D14296" i="1"/>
  <c r="G14296" i="1"/>
  <c r="B12508" i="1"/>
  <c r="D12508" i="1"/>
  <c r="G12508" i="1"/>
  <c r="B12834" i="1"/>
  <c r="D12834" i="1"/>
  <c r="G12834" i="1"/>
  <c r="B8885" i="1"/>
  <c r="D8885" i="1"/>
  <c r="G8885" i="1"/>
  <c r="B6793" i="1"/>
  <c r="D6793" i="1"/>
  <c r="G6793" i="1"/>
  <c r="B6123" i="1"/>
  <c r="D6123" i="1"/>
  <c r="G6123" i="1"/>
  <c r="B8070" i="1"/>
  <c r="D8070" i="1"/>
  <c r="G8070" i="1"/>
  <c r="B5496" i="1"/>
  <c r="D5496" i="1"/>
  <c r="G5496" i="1"/>
  <c r="B1707" i="1"/>
  <c r="D1707" i="1"/>
  <c r="G1707" i="1"/>
  <c r="B1708" i="1"/>
  <c r="D1708" i="1"/>
  <c r="G1708" i="1"/>
  <c r="B7553" i="1"/>
  <c r="D7553" i="1"/>
  <c r="G7553" i="1"/>
  <c r="B21314" i="1"/>
  <c r="D21314" i="1"/>
  <c r="G21314" i="1"/>
  <c r="B5225" i="1"/>
  <c r="D5225" i="1"/>
  <c r="G5225" i="1"/>
  <c r="B18240" i="1"/>
  <c r="D18240" i="1"/>
  <c r="G18240" i="1"/>
  <c r="B11410" i="1"/>
  <c r="D11410" i="1"/>
  <c r="G11410" i="1"/>
  <c r="B9733" i="1"/>
  <c r="D9733" i="1"/>
  <c r="G9733" i="1"/>
  <c r="B9734" i="1"/>
  <c r="D9734" i="1"/>
  <c r="G9734" i="1"/>
  <c r="B18482" i="1"/>
  <c r="D18482" i="1"/>
  <c r="G18482" i="1"/>
  <c r="B19517" i="1"/>
  <c r="D19517" i="1"/>
  <c r="G19517" i="1"/>
  <c r="B577" i="1"/>
  <c r="D577" i="1"/>
  <c r="G577" i="1"/>
  <c r="B8886" i="1"/>
  <c r="D8886" i="1"/>
  <c r="G8886" i="1"/>
  <c r="B16476" i="1"/>
  <c r="D16476" i="1"/>
  <c r="G16476" i="1"/>
  <c r="B12835" i="1"/>
  <c r="D12835" i="1"/>
  <c r="G12835" i="1"/>
  <c r="B1709" i="1"/>
  <c r="D1709" i="1"/>
  <c r="G1709" i="1"/>
  <c r="B1710" i="1"/>
  <c r="D1710" i="1"/>
  <c r="G1710" i="1"/>
  <c r="B13003" i="1"/>
  <c r="D13003" i="1"/>
  <c r="G13003" i="1"/>
  <c r="B19518" i="1"/>
  <c r="D19518" i="1"/>
  <c r="G19518" i="1"/>
  <c r="B3955" i="1"/>
  <c r="D3955" i="1"/>
  <c r="G3955" i="1"/>
  <c r="B14271" i="1"/>
  <c r="D14271" i="1"/>
  <c r="G14271" i="1"/>
  <c r="B2045" i="1"/>
  <c r="D2045" i="1"/>
  <c r="G2045" i="1"/>
  <c r="B13069" i="1"/>
  <c r="D13069" i="1"/>
  <c r="G13069" i="1"/>
  <c r="B14617" i="1"/>
  <c r="D14617" i="1"/>
  <c r="G14617" i="1"/>
  <c r="B15057" i="1"/>
  <c r="D15057" i="1"/>
  <c r="G15057" i="1"/>
  <c r="B12115" i="1"/>
  <c r="D12115" i="1"/>
  <c r="G12115" i="1"/>
  <c r="B15468" i="1"/>
  <c r="D15468" i="1"/>
  <c r="G15468" i="1"/>
  <c r="B14781" i="1"/>
  <c r="D14781" i="1"/>
  <c r="G14781" i="1"/>
  <c r="B11317" i="1"/>
  <c r="D11317" i="1"/>
  <c r="G11317" i="1"/>
  <c r="B6794" i="1"/>
  <c r="D6794" i="1"/>
  <c r="G6794" i="1"/>
  <c r="B6874" i="1"/>
  <c r="D6874" i="1"/>
  <c r="G6874" i="1"/>
  <c r="B9735" i="1"/>
  <c r="D9735" i="1"/>
  <c r="G9735" i="1"/>
  <c r="B9736" i="1"/>
  <c r="D9736" i="1"/>
  <c r="G9736" i="1"/>
  <c r="B15058" i="1"/>
  <c r="D15058" i="1"/>
  <c r="G15058" i="1"/>
  <c r="B9737" i="1"/>
  <c r="D9737" i="1"/>
  <c r="G9737" i="1"/>
  <c r="B9738" i="1"/>
  <c r="D9738" i="1"/>
  <c r="G9738" i="1"/>
  <c r="B4953" i="1"/>
  <c r="D4953" i="1"/>
  <c r="G4953" i="1"/>
  <c r="B20824" i="1"/>
  <c r="D20824" i="1"/>
  <c r="G20824" i="1"/>
  <c r="B15469" i="1"/>
  <c r="D15469" i="1"/>
  <c r="G15469" i="1"/>
  <c r="B14721" i="1"/>
  <c r="D14721" i="1"/>
  <c r="G14721" i="1"/>
  <c r="B20606" i="1"/>
  <c r="D20606" i="1"/>
  <c r="G20606" i="1"/>
  <c r="B9828" i="1"/>
  <c r="D9828" i="1"/>
  <c r="G9828" i="1"/>
  <c r="B10226" i="1"/>
  <c r="D10226" i="1"/>
  <c r="G10226" i="1"/>
  <c r="B203" i="1"/>
  <c r="D203" i="1"/>
  <c r="G203" i="1"/>
  <c r="B9394" i="1"/>
  <c r="D9394" i="1"/>
  <c r="G9394" i="1"/>
  <c r="B3635" i="1"/>
  <c r="D3635" i="1"/>
  <c r="G3635" i="1"/>
  <c r="B16477" i="1"/>
  <c r="D16477" i="1"/>
  <c r="G16477" i="1"/>
  <c r="B13288" i="1"/>
  <c r="D13288" i="1"/>
  <c r="G13288" i="1"/>
  <c r="B578" i="1"/>
  <c r="D578" i="1"/>
  <c r="G578" i="1"/>
  <c r="B8887" i="1"/>
  <c r="D8887" i="1"/>
  <c r="G8887" i="1"/>
  <c r="B8888" i="1"/>
  <c r="D8888" i="1"/>
  <c r="G8888" i="1"/>
  <c r="B15059" i="1"/>
  <c r="D15059" i="1"/>
  <c r="G15059" i="1"/>
  <c r="B5973" i="1"/>
  <c r="D5973" i="1"/>
  <c r="G5973" i="1"/>
  <c r="B15470" i="1"/>
  <c r="D15470" i="1"/>
  <c r="G15470" i="1"/>
  <c r="B12116" i="1"/>
  <c r="D12116" i="1"/>
  <c r="G12116" i="1"/>
  <c r="B5869" i="1"/>
  <c r="D5869" i="1"/>
  <c r="G5869" i="1"/>
  <c r="B2854" i="1"/>
  <c r="D2854" i="1"/>
  <c r="G2854" i="1"/>
  <c r="B2136" i="1"/>
  <c r="D2136" i="1"/>
  <c r="G2136" i="1"/>
  <c r="B6983" i="1"/>
  <c r="D6983" i="1"/>
  <c r="G6983" i="1"/>
  <c r="B19034" i="1"/>
  <c r="D19034" i="1"/>
  <c r="G19034" i="1"/>
  <c r="B13931" i="1"/>
  <c r="D13931" i="1"/>
  <c r="G13931" i="1"/>
  <c r="B10110" i="1"/>
  <c r="D10110" i="1"/>
  <c r="G10110" i="1"/>
  <c r="B10111" i="1"/>
  <c r="D10111" i="1"/>
  <c r="G10111" i="1"/>
  <c r="B12117" i="1"/>
  <c r="D12117" i="1"/>
  <c r="G12117" i="1"/>
  <c r="B11794" i="1"/>
  <c r="D11794" i="1"/>
  <c r="G11794" i="1"/>
  <c r="B5870" i="1"/>
  <c r="D5870" i="1"/>
  <c r="G5870" i="1"/>
  <c r="B2855" i="1"/>
  <c r="D2855" i="1"/>
  <c r="G2855" i="1"/>
  <c r="B17735" i="1"/>
  <c r="D17735" i="1"/>
  <c r="G17735" i="1"/>
  <c r="B13289" i="1"/>
  <c r="D13289" i="1"/>
  <c r="G13289" i="1"/>
  <c r="B16101" i="1"/>
  <c r="D16101" i="1"/>
  <c r="G16101" i="1"/>
  <c r="B775" i="1"/>
  <c r="D775" i="1"/>
  <c r="G775" i="1"/>
  <c r="B16478" i="1"/>
  <c r="D16478" i="1"/>
  <c r="G16478" i="1"/>
  <c r="B20825" i="1"/>
  <c r="D20825" i="1"/>
  <c r="G20825" i="1"/>
  <c r="B19210" i="1"/>
  <c r="D19210" i="1"/>
  <c r="G19210" i="1"/>
  <c r="B14618" i="1"/>
  <c r="D14618" i="1"/>
  <c r="G14618" i="1"/>
  <c r="B7916" i="1"/>
  <c r="D7916" i="1"/>
  <c r="G7916" i="1"/>
  <c r="B7917" i="1"/>
  <c r="D7917" i="1"/>
  <c r="G7917" i="1"/>
  <c r="B12836" i="1"/>
  <c r="D12836" i="1"/>
  <c r="G12836" i="1"/>
  <c r="B2856" i="1"/>
  <c r="D2856" i="1"/>
  <c r="G2856" i="1"/>
  <c r="B16479" i="1"/>
  <c r="D16479" i="1"/>
  <c r="G16479" i="1"/>
  <c r="B5871" i="1"/>
  <c r="D5871" i="1"/>
  <c r="G5871" i="1"/>
  <c r="B12382" i="1"/>
  <c r="D12382" i="1"/>
  <c r="G12382" i="1"/>
  <c r="B19211" i="1"/>
  <c r="D19211" i="1"/>
  <c r="G19211" i="1"/>
  <c r="B14171" i="1"/>
  <c r="D14171" i="1"/>
  <c r="G14171" i="1"/>
  <c r="B16480" i="1"/>
  <c r="D16480" i="1"/>
  <c r="G16480" i="1"/>
  <c r="B10367" i="1"/>
  <c r="D10367" i="1"/>
  <c r="G10367" i="1"/>
  <c r="B10546" i="1"/>
  <c r="D10546" i="1"/>
  <c r="G10546" i="1"/>
  <c r="B1881" i="1"/>
  <c r="D1881" i="1"/>
  <c r="G1881" i="1"/>
  <c r="B2046" i="1"/>
  <c r="D2046" i="1"/>
  <c r="G2046" i="1"/>
  <c r="B12118" i="1"/>
  <c r="D12118" i="1"/>
  <c r="G12118" i="1"/>
  <c r="B7918" i="1"/>
  <c r="D7918" i="1"/>
  <c r="G7918" i="1"/>
  <c r="B11411" i="1"/>
  <c r="D11411" i="1"/>
  <c r="G11411" i="1"/>
  <c r="B11303" i="1"/>
  <c r="D11303" i="1"/>
  <c r="G11303" i="1"/>
  <c r="B8889" i="1"/>
  <c r="D8889" i="1"/>
  <c r="G8889" i="1"/>
  <c r="B2047" i="1"/>
  <c r="D2047" i="1"/>
  <c r="G2047" i="1"/>
  <c r="B14405" i="1"/>
  <c r="D14405" i="1"/>
  <c r="G14405" i="1"/>
  <c r="B19212" i="1"/>
  <c r="D19212" i="1"/>
  <c r="G19212" i="1"/>
  <c r="B18867" i="1"/>
  <c r="D18867" i="1"/>
  <c r="G18867" i="1"/>
  <c r="B19519" i="1"/>
  <c r="D19519" i="1"/>
  <c r="G19519" i="1"/>
  <c r="B3759" i="1"/>
  <c r="D3759" i="1"/>
  <c r="G3759" i="1"/>
  <c r="B3760" i="1"/>
  <c r="D3760" i="1"/>
  <c r="G3760" i="1"/>
  <c r="B16481" i="1"/>
  <c r="D16481" i="1"/>
  <c r="G16481" i="1"/>
  <c r="B12440" i="1"/>
  <c r="D12440" i="1"/>
  <c r="G12440" i="1"/>
  <c r="B17104" i="1"/>
  <c r="D17104" i="1"/>
  <c r="G17104" i="1"/>
  <c r="B3636" i="1"/>
  <c r="D3636" i="1"/>
  <c r="G3636" i="1"/>
  <c r="B2048" i="1"/>
  <c r="D2048" i="1"/>
  <c r="G2048" i="1"/>
  <c r="B18868" i="1"/>
  <c r="D18868" i="1"/>
  <c r="G18868" i="1"/>
  <c r="B13290" i="1"/>
  <c r="D13290" i="1"/>
  <c r="G13290" i="1"/>
  <c r="B17392" i="1"/>
  <c r="D17392" i="1"/>
  <c r="G17392" i="1"/>
  <c r="B2857" i="1"/>
  <c r="D2857" i="1"/>
  <c r="G2857" i="1"/>
  <c r="B5872" i="1"/>
  <c r="D5872" i="1"/>
  <c r="G5872" i="1"/>
  <c r="B5226" i="1"/>
  <c r="D5226" i="1"/>
  <c r="G5226" i="1"/>
  <c r="B5115" i="1"/>
  <c r="D5115" i="1"/>
  <c r="G5115" i="1"/>
  <c r="B6105" i="1"/>
  <c r="D6105" i="1"/>
  <c r="G6105" i="1"/>
  <c r="B21800" i="1"/>
  <c r="D21800" i="1"/>
  <c r="G21800" i="1"/>
  <c r="B579" i="1"/>
  <c r="D579" i="1"/>
  <c r="G579" i="1"/>
  <c r="B21078" i="1"/>
  <c r="D21078" i="1"/>
  <c r="G21078" i="1"/>
  <c r="B22154" i="1"/>
  <c r="D22154" i="1"/>
  <c r="G22154" i="1"/>
  <c r="B13765" i="1"/>
  <c r="D13765" i="1"/>
  <c r="G13765" i="1"/>
  <c r="B10145" i="1"/>
  <c r="D10145" i="1"/>
  <c r="G10145" i="1"/>
  <c r="B16482" i="1"/>
  <c r="D16482" i="1"/>
  <c r="G16482" i="1"/>
  <c r="B3000" i="1"/>
  <c r="D3000" i="1"/>
  <c r="G3000" i="1"/>
  <c r="B1436" i="1"/>
  <c r="D1436" i="1"/>
  <c r="G1436" i="1"/>
  <c r="B17027" i="1"/>
  <c r="D17027" i="1"/>
  <c r="G17027" i="1"/>
  <c r="B4822" i="1"/>
  <c r="D4822" i="1"/>
  <c r="G4822" i="1"/>
  <c r="B10004" i="1"/>
  <c r="D10004" i="1"/>
  <c r="G10004" i="1"/>
  <c r="B7919" i="1"/>
  <c r="D7919" i="1"/>
  <c r="G7919" i="1"/>
  <c r="B2858" i="1"/>
  <c r="D2858" i="1"/>
  <c r="G2858" i="1"/>
  <c r="B1266" i="1"/>
  <c r="D1266" i="1"/>
  <c r="G1266" i="1"/>
  <c r="B1267" i="1"/>
  <c r="D1267" i="1"/>
  <c r="G1267" i="1"/>
  <c r="B11795" i="1"/>
  <c r="D11795" i="1"/>
  <c r="G11795" i="1"/>
  <c r="B14722" i="1"/>
  <c r="D14722" i="1"/>
  <c r="G14722" i="1"/>
  <c r="B14723" i="1"/>
  <c r="D14723" i="1"/>
  <c r="G14723" i="1"/>
  <c r="B11796" i="1"/>
  <c r="D11796" i="1"/>
  <c r="G11796" i="1"/>
  <c r="B6074" i="1"/>
  <c r="D6074" i="1"/>
  <c r="G6074" i="1"/>
  <c r="B13291" i="1"/>
  <c r="D13291" i="1"/>
  <c r="G13291" i="1"/>
  <c r="B11461" i="1"/>
  <c r="D11461" i="1"/>
  <c r="G11461" i="1"/>
  <c r="B12837" i="1"/>
  <c r="D12837" i="1"/>
  <c r="G12837" i="1"/>
  <c r="B13414" i="1"/>
  <c r="D13414" i="1"/>
  <c r="G13414" i="1"/>
  <c r="B5873" i="1"/>
  <c r="D5873" i="1"/>
  <c r="G5873" i="1"/>
  <c r="B4378" i="1"/>
  <c r="D4378" i="1"/>
  <c r="G4378" i="1"/>
  <c r="B8392" i="1"/>
  <c r="D8392" i="1"/>
  <c r="G8392" i="1"/>
  <c r="B8890" i="1"/>
  <c r="D8890" i="1"/>
  <c r="G8890" i="1"/>
  <c r="B2859" i="1"/>
  <c r="D2859" i="1"/>
  <c r="G2859" i="1"/>
  <c r="B9395" i="1"/>
  <c r="D9395" i="1"/>
  <c r="G9395" i="1"/>
  <c r="B1970" i="1"/>
  <c r="D1970" i="1"/>
  <c r="G1970" i="1"/>
  <c r="B20826" i="1"/>
  <c r="D20826" i="1"/>
  <c r="G20826" i="1"/>
  <c r="B19213" i="1"/>
  <c r="D19213" i="1"/>
  <c r="G19213" i="1"/>
  <c r="B14619" i="1"/>
  <c r="D14619" i="1"/>
  <c r="G14619" i="1"/>
  <c r="B6795" i="1"/>
  <c r="D6795" i="1"/>
  <c r="G6795" i="1"/>
  <c r="B1711" i="1"/>
  <c r="D1711" i="1"/>
  <c r="G1711" i="1"/>
  <c r="B6553" i="1"/>
  <c r="D6553" i="1"/>
  <c r="G6553" i="1"/>
  <c r="B4417" i="1"/>
  <c r="D4417" i="1"/>
  <c r="G4417" i="1"/>
  <c r="B21906" i="1"/>
  <c r="D21906" i="1"/>
  <c r="G21906" i="1"/>
  <c r="B3312" i="1"/>
  <c r="D3312" i="1"/>
  <c r="G3312" i="1"/>
  <c r="B5874" i="1"/>
  <c r="D5874" i="1"/>
  <c r="G5874" i="1"/>
  <c r="B12119" i="1"/>
  <c r="D12119" i="1"/>
  <c r="G12119" i="1"/>
  <c r="B2510" i="1"/>
  <c r="D2510" i="1"/>
  <c r="G2510" i="1"/>
  <c r="B19520" i="1"/>
  <c r="D19520" i="1"/>
  <c r="G19520" i="1"/>
  <c r="B18679" i="1"/>
  <c r="D18679" i="1"/>
  <c r="G18679" i="1"/>
  <c r="B17393" i="1"/>
  <c r="D17393" i="1"/>
  <c r="G17393" i="1"/>
  <c r="B16483" i="1"/>
  <c r="D16483" i="1"/>
  <c r="G16483" i="1"/>
  <c r="B12978" i="1"/>
  <c r="D12978" i="1"/>
  <c r="G12978" i="1"/>
  <c r="B10856" i="1"/>
  <c r="D10856" i="1"/>
  <c r="G10856" i="1"/>
  <c r="B10296" i="1"/>
  <c r="D10296" i="1"/>
  <c r="G10296" i="1"/>
  <c r="B11167" i="1"/>
  <c r="D11167" i="1"/>
  <c r="G11167" i="1"/>
  <c r="B21536" i="1"/>
  <c r="D21536" i="1"/>
  <c r="G21536" i="1"/>
  <c r="B8891" i="1"/>
  <c r="D8891" i="1"/>
  <c r="G8891" i="1"/>
  <c r="B4544" i="1"/>
  <c r="D4544" i="1"/>
  <c r="G4544" i="1"/>
  <c r="B3637" i="1"/>
  <c r="D3637" i="1"/>
  <c r="G3637" i="1"/>
  <c r="B3761" i="1"/>
  <c r="D3761" i="1"/>
  <c r="G3761" i="1"/>
  <c r="B12120" i="1"/>
  <c r="D12120" i="1"/>
  <c r="G12120" i="1"/>
  <c r="B6575" i="1"/>
  <c r="D6575" i="1"/>
  <c r="G6575" i="1"/>
  <c r="B17522" i="1"/>
  <c r="D17522" i="1"/>
  <c r="G17522" i="1"/>
  <c r="B14494" i="1"/>
  <c r="D14494" i="1"/>
  <c r="G14494" i="1"/>
  <c r="B9739" i="1"/>
  <c r="D9739" i="1"/>
  <c r="G9739" i="1"/>
  <c r="B9740" i="1"/>
  <c r="D9740" i="1"/>
  <c r="G9740" i="1"/>
  <c r="B9903" i="1"/>
  <c r="D9903" i="1"/>
  <c r="G9903" i="1"/>
  <c r="B715" i="1"/>
  <c r="D715" i="1"/>
  <c r="G715" i="1"/>
  <c r="B12408" i="1"/>
  <c r="D12408" i="1"/>
  <c r="G12408" i="1"/>
  <c r="B13292" i="1"/>
  <c r="D13292" i="1"/>
  <c r="G13292" i="1"/>
  <c r="B8892" i="1"/>
  <c r="D8892" i="1"/>
  <c r="G8892" i="1"/>
  <c r="B20607" i="1"/>
  <c r="D20607" i="1"/>
  <c r="G20607" i="1"/>
  <c r="B11334" i="1"/>
  <c r="D11334" i="1"/>
  <c r="G11334" i="1"/>
  <c r="B11335" i="1"/>
  <c r="D11335" i="1"/>
  <c r="G11335" i="1"/>
  <c r="B15060" i="1"/>
  <c r="D15060" i="1"/>
  <c r="G15060" i="1"/>
  <c r="B20383" i="1"/>
  <c r="D20383" i="1"/>
  <c r="G20383" i="1"/>
  <c r="B1971" i="1"/>
  <c r="D1971" i="1"/>
  <c r="G1971" i="1"/>
  <c r="B20081" i="1"/>
  <c r="D20081" i="1"/>
  <c r="G20081" i="1"/>
  <c r="B2511" i="1"/>
  <c r="D2511" i="1"/>
  <c r="G2511" i="1"/>
  <c r="B3956" i="1"/>
  <c r="D3956" i="1"/>
  <c r="G3956" i="1"/>
  <c r="B3638" i="1"/>
  <c r="D3638" i="1"/>
  <c r="G3638" i="1"/>
  <c r="B580" i="1"/>
  <c r="D580" i="1"/>
  <c r="G580" i="1"/>
  <c r="B15061" i="1"/>
  <c r="D15061" i="1"/>
  <c r="G15061" i="1"/>
  <c r="B990" i="1"/>
  <c r="D990" i="1"/>
  <c r="G990" i="1"/>
  <c r="B15062" i="1"/>
  <c r="D15062" i="1"/>
  <c r="G15062" i="1"/>
  <c r="B10547" i="1"/>
  <c r="D10547" i="1"/>
  <c r="G10547" i="1"/>
  <c r="B17263" i="1"/>
  <c r="D17263" i="1"/>
  <c r="G17263" i="1"/>
  <c r="B8375" i="1"/>
  <c r="D8375" i="1"/>
  <c r="G8375" i="1"/>
  <c r="B14216" i="1"/>
  <c r="D14216" i="1"/>
  <c r="G14216" i="1"/>
  <c r="B20608" i="1"/>
  <c r="D20608" i="1"/>
  <c r="G20608" i="1"/>
  <c r="B2860" i="1"/>
  <c r="D2860" i="1"/>
  <c r="G2860" i="1"/>
  <c r="B8566" i="1"/>
  <c r="D8566" i="1"/>
  <c r="G8566" i="1"/>
  <c r="B8567" i="1"/>
  <c r="D8567" i="1"/>
  <c r="G8567" i="1"/>
  <c r="B16484" i="1"/>
  <c r="D16484" i="1"/>
  <c r="G16484" i="1"/>
  <c r="B10157" i="1"/>
  <c r="D10157" i="1"/>
  <c r="G10157" i="1"/>
  <c r="B13293" i="1"/>
  <c r="D13293" i="1"/>
  <c r="G13293" i="1"/>
  <c r="B716" i="1"/>
  <c r="D716" i="1"/>
  <c r="G716" i="1"/>
  <c r="B1268" i="1"/>
  <c r="D1268" i="1"/>
  <c r="G1268" i="1"/>
  <c r="B2307" i="1"/>
  <c r="D2307" i="1"/>
  <c r="G2307" i="1"/>
  <c r="B16485" i="1"/>
  <c r="D16485" i="1"/>
  <c r="G16485" i="1"/>
  <c r="B1269" i="1"/>
  <c r="D1269" i="1"/>
  <c r="G1269" i="1"/>
  <c r="B1972" i="1"/>
  <c r="D1972" i="1"/>
  <c r="G1972" i="1"/>
  <c r="B9741" i="1"/>
  <c r="D9741" i="1"/>
  <c r="G9741" i="1"/>
  <c r="B9742" i="1"/>
  <c r="D9742" i="1"/>
  <c r="G9742" i="1"/>
  <c r="B18483" i="1"/>
  <c r="D18483" i="1"/>
  <c r="G18483" i="1"/>
  <c r="B19521" i="1"/>
  <c r="D19521" i="1"/>
  <c r="G19521" i="1"/>
  <c r="B10005" i="1"/>
  <c r="D10005" i="1"/>
  <c r="G10005" i="1"/>
  <c r="B1712" i="1"/>
  <c r="D1712" i="1"/>
  <c r="G1712" i="1"/>
  <c r="B1713" i="1"/>
  <c r="D1713" i="1"/>
  <c r="G1713" i="1"/>
  <c r="B19522" i="1"/>
  <c r="D19522" i="1"/>
  <c r="G19522" i="1"/>
  <c r="B19523" i="1"/>
  <c r="D19523" i="1"/>
  <c r="G19523" i="1"/>
  <c r="B18484" i="1"/>
  <c r="D18484" i="1"/>
  <c r="G18484" i="1"/>
  <c r="B18485" i="1"/>
  <c r="D18485" i="1"/>
  <c r="G18485" i="1"/>
  <c r="B5497" i="1"/>
  <c r="D5497" i="1"/>
  <c r="G5497" i="1"/>
  <c r="B1714" i="1"/>
  <c r="D1714" i="1"/>
  <c r="G1714" i="1"/>
  <c r="B1715" i="1"/>
  <c r="D1715" i="1"/>
  <c r="G1715" i="1"/>
  <c r="B1716" i="1"/>
  <c r="D1716" i="1"/>
  <c r="G1716" i="1"/>
  <c r="B6796" i="1"/>
  <c r="D6796" i="1"/>
  <c r="G6796" i="1"/>
  <c r="B6985" i="1"/>
  <c r="D6985" i="1"/>
  <c r="G6985" i="1"/>
  <c r="B7034" i="1"/>
  <c r="D7034" i="1"/>
  <c r="G7034" i="1"/>
  <c r="B717" i="1"/>
  <c r="D717" i="1"/>
  <c r="G717" i="1"/>
  <c r="B12838" i="1"/>
  <c r="D12838" i="1"/>
  <c r="G12838" i="1"/>
  <c r="B2308" i="1"/>
  <c r="D2308" i="1"/>
  <c r="G2308" i="1"/>
  <c r="B19990" i="1"/>
  <c r="D19990" i="1"/>
  <c r="G19990" i="1"/>
  <c r="B19524" i="1"/>
  <c r="D19524" i="1"/>
  <c r="G19524" i="1"/>
  <c r="B19991" i="1"/>
  <c r="D19991" i="1"/>
  <c r="G19991" i="1"/>
  <c r="B14186" i="1"/>
  <c r="D14186" i="1"/>
  <c r="G14186" i="1"/>
  <c r="B21079" i="1"/>
  <c r="D21079" i="1"/>
  <c r="G21079" i="1"/>
  <c r="B13392" i="1"/>
  <c r="D13392" i="1"/>
  <c r="G13392" i="1"/>
  <c r="B21537" i="1"/>
  <c r="D21537" i="1"/>
  <c r="G21537" i="1"/>
  <c r="B13800" i="1"/>
  <c r="D13800" i="1"/>
  <c r="G13800" i="1"/>
  <c r="B21080" i="1"/>
  <c r="D21080" i="1"/>
  <c r="G21080" i="1"/>
  <c r="B6797" i="1"/>
  <c r="D6797" i="1"/>
  <c r="G6797" i="1"/>
  <c r="B6798" i="1"/>
  <c r="D6798" i="1"/>
  <c r="G6798" i="1"/>
  <c r="B6951" i="1"/>
  <c r="D6951" i="1"/>
  <c r="G6951" i="1"/>
  <c r="B19214" i="1"/>
  <c r="D19214" i="1"/>
  <c r="G19214" i="1"/>
  <c r="B18869" i="1"/>
  <c r="D18869" i="1"/>
  <c r="G18869" i="1"/>
  <c r="B18486" i="1"/>
  <c r="D18486" i="1"/>
  <c r="G18486" i="1"/>
  <c r="B1717" i="1"/>
  <c r="D1717" i="1"/>
  <c r="G1717" i="1"/>
  <c r="B3957" i="1"/>
  <c r="D3957" i="1"/>
  <c r="G3957" i="1"/>
  <c r="B10857" i="1"/>
  <c r="D10857" i="1"/>
  <c r="G10857" i="1"/>
  <c r="B11168" i="1"/>
  <c r="D11168" i="1"/>
  <c r="G11168" i="1"/>
  <c r="B19525" i="1"/>
  <c r="D19525" i="1"/>
  <c r="G19525" i="1"/>
  <c r="B19526" i="1"/>
  <c r="D19526" i="1"/>
  <c r="G19526" i="1"/>
  <c r="B20122" i="1"/>
  <c r="D20122" i="1"/>
  <c r="G20122" i="1"/>
  <c r="B24" i="1"/>
  <c r="D24" i="1"/>
  <c r="G24" i="1"/>
  <c r="B16486" i="1"/>
  <c r="D16486" i="1"/>
  <c r="G16486" i="1"/>
  <c r="B13917" i="1"/>
  <c r="D13917" i="1"/>
  <c r="G13917" i="1"/>
  <c r="B15725" i="1"/>
  <c r="D15725" i="1"/>
  <c r="G15725" i="1"/>
  <c r="B6952" i="1"/>
  <c r="D6952" i="1"/>
  <c r="G6952" i="1"/>
  <c r="B3030" i="1"/>
  <c r="D3030" i="1"/>
  <c r="G3030" i="1"/>
  <c r="B21538" i="1"/>
  <c r="D21538" i="1"/>
  <c r="G21538" i="1"/>
  <c r="B14406" i="1"/>
  <c r="D14406" i="1"/>
  <c r="G14406" i="1"/>
  <c r="B19527" i="1"/>
  <c r="D19527" i="1"/>
  <c r="G19527" i="1"/>
  <c r="B12839" i="1"/>
  <c r="D12839" i="1"/>
  <c r="G12839" i="1"/>
  <c r="B16487" i="1"/>
  <c r="D16487" i="1"/>
  <c r="G16487" i="1"/>
  <c r="B4823" i="1"/>
  <c r="D4823" i="1"/>
  <c r="G4823" i="1"/>
  <c r="B10227" i="1"/>
  <c r="D10227" i="1"/>
  <c r="G10227" i="1"/>
  <c r="B10228" i="1"/>
  <c r="D10228" i="1"/>
  <c r="G10228" i="1"/>
  <c r="B2049" i="1"/>
  <c r="D2049" i="1"/>
  <c r="G2049" i="1"/>
  <c r="B3031" i="1"/>
  <c r="D3031" i="1"/>
  <c r="G3031" i="1"/>
  <c r="B7554" i="1"/>
  <c r="D7554" i="1"/>
  <c r="G7554" i="1"/>
  <c r="B17105" i="1"/>
  <c r="D17105" i="1"/>
  <c r="G17105" i="1"/>
  <c r="B136" i="1"/>
  <c r="D136" i="1"/>
  <c r="G136" i="1"/>
  <c r="B13070" i="1"/>
  <c r="D13070" i="1"/>
  <c r="G13070" i="1"/>
  <c r="B9997" i="1"/>
  <c r="D9997" i="1"/>
  <c r="G9997" i="1"/>
  <c r="B16488" i="1"/>
  <c r="D16488" i="1"/>
  <c r="G16488" i="1"/>
  <c r="B18487" i="1"/>
  <c r="D18487" i="1"/>
  <c r="G18487" i="1"/>
  <c r="B14438" i="1"/>
  <c r="D14438" i="1"/>
  <c r="G14438" i="1"/>
  <c r="B14197" i="1"/>
  <c r="D14197" i="1"/>
  <c r="G14197" i="1"/>
  <c r="B14455" i="1"/>
  <c r="D14455" i="1"/>
  <c r="G14455" i="1"/>
  <c r="B15876" i="1"/>
  <c r="D15876" i="1"/>
  <c r="G15876" i="1"/>
  <c r="B10183" i="1"/>
  <c r="D10183" i="1"/>
  <c r="G10183" i="1"/>
  <c r="B13527" i="1"/>
  <c r="D13527" i="1"/>
  <c r="G13527" i="1"/>
  <c r="B15471" i="1"/>
  <c r="D15471" i="1"/>
  <c r="G15471" i="1"/>
  <c r="B15063" i="1"/>
  <c r="D15063" i="1"/>
  <c r="G15063" i="1"/>
  <c r="B4346" i="1"/>
  <c r="D4346" i="1"/>
  <c r="G4346" i="1"/>
  <c r="B19215" i="1"/>
  <c r="D19215" i="1"/>
  <c r="G19215" i="1"/>
  <c r="B15877" i="1"/>
  <c r="D15877" i="1"/>
  <c r="G15877" i="1"/>
  <c r="B2861" i="1"/>
  <c r="D2861" i="1"/>
  <c r="G2861" i="1"/>
  <c r="B15799" i="1"/>
  <c r="D15799" i="1"/>
  <c r="G15799" i="1"/>
  <c r="B7032" i="1"/>
  <c r="D7032" i="1"/>
  <c r="G7032" i="1"/>
  <c r="B865" i="1"/>
  <c r="D865" i="1"/>
  <c r="G865" i="1"/>
  <c r="B21260" i="1"/>
  <c r="D21260" i="1"/>
  <c r="G21260" i="1"/>
  <c r="B6799" i="1"/>
  <c r="D6799" i="1"/>
  <c r="G6799" i="1"/>
  <c r="B20609" i="1"/>
  <c r="D20609" i="1"/>
  <c r="G20609" i="1"/>
  <c r="B20827" i="1"/>
  <c r="D20827" i="1"/>
  <c r="G20827" i="1"/>
  <c r="B20828" i="1"/>
  <c r="D20828" i="1"/>
  <c r="G20828" i="1"/>
  <c r="B6372" i="1"/>
  <c r="D6372" i="1"/>
  <c r="G6372" i="1"/>
  <c r="B11558" i="1"/>
  <c r="D11558" i="1"/>
  <c r="G11558" i="1"/>
  <c r="B11559" i="1"/>
  <c r="D11559" i="1"/>
  <c r="G11559" i="1"/>
  <c r="B1460" i="1"/>
  <c r="D1460" i="1"/>
  <c r="G1460" i="1"/>
  <c r="B19528" i="1"/>
  <c r="D19528" i="1"/>
  <c r="G19528" i="1"/>
  <c r="B12121" i="1"/>
  <c r="D12121" i="1"/>
  <c r="G12121" i="1"/>
  <c r="B20384" i="1"/>
  <c r="D20384" i="1"/>
  <c r="G20384" i="1"/>
  <c r="B16489" i="1"/>
  <c r="D16489" i="1"/>
  <c r="G16489" i="1"/>
  <c r="B4745" i="1"/>
  <c r="D4745" i="1"/>
  <c r="G4745" i="1"/>
  <c r="B9550" i="1"/>
  <c r="D9550" i="1"/>
  <c r="G9550" i="1"/>
  <c r="B581" i="1"/>
  <c r="D581" i="1"/>
  <c r="G581" i="1"/>
  <c r="B19035" i="1"/>
  <c r="D19035" i="1"/>
  <c r="G19035" i="1"/>
  <c r="B7920" i="1"/>
  <c r="D7920" i="1"/>
  <c r="G7920" i="1"/>
  <c r="B7555" i="1"/>
  <c r="D7555" i="1"/>
  <c r="G7555" i="1"/>
  <c r="B7921" i="1"/>
  <c r="D7921" i="1"/>
  <c r="G7921" i="1"/>
  <c r="B7922" i="1"/>
  <c r="D7922" i="1"/>
  <c r="G7922" i="1"/>
  <c r="B16490" i="1"/>
  <c r="D16490" i="1"/>
  <c r="G16490" i="1"/>
  <c r="B1986" i="1"/>
  <c r="D1986" i="1"/>
  <c r="G1986" i="1"/>
  <c r="B2517" i="1"/>
  <c r="D2517" i="1"/>
  <c r="G2517" i="1"/>
  <c r="B1882" i="1"/>
  <c r="D1882" i="1"/>
  <c r="G1882" i="1"/>
  <c r="B19216" i="1"/>
  <c r="D19216" i="1"/>
  <c r="G19216" i="1"/>
  <c r="B582" i="1"/>
  <c r="D582" i="1"/>
  <c r="G582" i="1"/>
  <c r="B11282" i="1"/>
  <c r="D11282" i="1"/>
  <c r="G11282" i="1"/>
  <c r="B14092" i="1"/>
  <c r="D14092" i="1"/>
  <c r="G14092" i="1"/>
  <c r="B16491" i="1"/>
  <c r="D16491" i="1"/>
  <c r="G16491" i="1"/>
  <c r="B15064" i="1"/>
  <c r="D15064" i="1"/>
  <c r="G15064" i="1"/>
  <c r="B12122" i="1"/>
  <c r="D12122" i="1"/>
  <c r="G12122" i="1"/>
  <c r="B14814" i="1"/>
  <c r="D14814" i="1"/>
  <c r="G14814" i="1"/>
  <c r="B12123" i="1"/>
  <c r="D12123" i="1"/>
  <c r="G12123" i="1"/>
  <c r="B13712" i="1"/>
  <c r="D13712" i="1"/>
  <c r="G13712" i="1"/>
  <c r="B13949" i="1"/>
  <c r="D13949" i="1"/>
  <c r="G13949" i="1"/>
  <c r="B20829" i="1"/>
  <c r="D20829" i="1"/>
  <c r="G20829" i="1"/>
  <c r="B5972" i="1"/>
  <c r="D5972" i="1"/>
  <c r="G5972" i="1"/>
  <c r="B9396" i="1"/>
  <c r="D9396" i="1"/>
  <c r="G9396" i="1"/>
  <c r="B13602" i="1"/>
  <c r="D13602" i="1"/>
  <c r="G13602" i="1"/>
  <c r="B6561" i="1"/>
  <c r="D6561" i="1"/>
  <c r="G6561" i="1"/>
  <c r="B21907" i="1"/>
  <c r="D21907" i="1"/>
  <c r="G21907" i="1"/>
  <c r="B583" i="1"/>
  <c r="D583" i="1"/>
  <c r="G583" i="1"/>
  <c r="B16492" i="1"/>
  <c r="D16492" i="1"/>
  <c r="G16492" i="1"/>
  <c r="B13984" i="1"/>
  <c r="D13984" i="1"/>
  <c r="G13984" i="1"/>
  <c r="B831" i="1"/>
  <c r="D831" i="1"/>
  <c r="G831" i="1"/>
  <c r="B11412" i="1"/>
  <c r="D11412" i="1"/>
  <c r="G11412" i="1"/>
  <c r="B19217" i="1"/>
  <c r="D19217" i="1"/>
  <c r="G19217" i="1"/>
  <c r="B1270" i="1"/>
  <c r="D1270" i="1"/>
  <c r="G1270" i="1"/>
  <c r="B12124" i="1"/>
  <c r="D12124" i="1"/>
  <c r="G12124" i="1"/>
  <c r="B11856" i="1"/>
  <c r="D11856" i="1"/>
  <c r="G11856" i="1"/>
  <c r="B20830" i="1"/>
  <c r="D20830" i="1"/>
  <c r="G20830" i="1"/>
  <c r="B584" i="1"/>
  <c r="D584" i="1"/>
  <c r="G584" i="1"/>
  <c r="B9132" i="1"/>
  <c r="D9132" i="1"/>
  <c r="G9132" i="1"/>
  <c r="B8071" i="1"/>
  <c r="D8071" i="1"/>
  <c r="G8071" i="1"/>
  <c r="B4746" i="1"/>
  <c r="D4746" i="1"/>
  <c r="G4746" i="1"/>
  <c r="B19218" i="1"/>
  <c r="D19218" i="1"/>
  <c r="G19218" i="1"/>
  <c r="B13393" i="1"/>
  <c r="D13393" i="1"/>
  <c r="G13393" i="1"/>
  <c r="B11560" i="1"/>
  <c r="D11560" i="1"/>
  <c r="G11560" i="1"/>
  <c r="B11561" i="1"/>
  <c r="D11561" i="1"/>
  <c r="G11561" i="1"/>
  <c r="B11680" i="1"/>
  <c r="D11680" i="1"/>
  <c r="G11680" i="1"/>
  <c r="B11681" i="1"/>
  <c r="D11681" i="1"/>
  <c r="G11681" i="1"/>
  <c r="B13565" i="1"/>
  <c r="D13565" i="1"/>
  <c r="G13565" i="1"/>
  <c r="B12441" i="1"/>
  <c r="D12441" i="1"/>
  <c r="G12441" i="1"/>
  <c r="B17587" i="1"/>
  <c r="D17587" i="1"/>
  <c r="G17587" i="1"/>
  <c r="B18488" i="1"/>
  <c r="D18488" i="1"/>
  <c r="G18488" i="1"/>
  <c r="B11562" i="1"/>
  <c r="D11562" i="1"/>
  <c r="G11562" i="1"/>
  <c r="B585" i="1"/>
  <c r="D585" i="1"/>
  <c r="G585" i="1"/>
  <c r="B1444" i="1"/>
  <c r="D1444" i="1"/>
  <c r="G1444" i="1"/>
  <c r="B21908" i="1"/>
  <c r="D21908" i="1"/>
  <c r="G21908" i="1"/>
  <c r="B3639" i="1"/>
  <c r="D3639" i="1"/>
  <c r="G3639" i="1"/>
  <c r="B15472" i="1"/>
  <c r="D15472" i="1"/>
  <c r="G15472" i="1"/>
  <c r="B15878" i="1"/>
  <c r="D15878" i="1"/>
  <c r="G15878" i="1"/>
  <c r="B13985" i="1"/>
  <c r="D13985" i="1"/>
  <c r="G13985" i="1"/>
  <c r="B15800" i="1"/>
  <c r="D15800" i="1"/>
  <c r="G15800" i="1"/>
  <c r="B18489" i="1"/>
  <c r="D18489" i="1"/>
  <c r="G18489" i="1"/>
  <c r="B10125" i="1"/>
  <c r="D10125" i="1"/>
  <c r="G10125" i="1"/>
  <c r="B19529" i="1"/>
  <c r="D19529" i="1"/>
  <c r="G19529" i="1"/>
  <c r="B792" i="1"/>
  <c r="D792" i="1"/>
  <c r="G792" i="1"/>
  <c r="B10548" i="1"/>
  <c r="D10548" i="1"/>
  <c r="G10548" i="1"/>
  <c r="B10549" i="1"/>
  <c r="D10549" i="1"/>
  <c r="G10549" i="1"/>
  <c r="B10858" i="1"/>
  <c r="D10858" i="1"/>
  <c r="G10858" i="1"/>
  <c r="B9743" i="1"/>
  <c r="D9743" i="1"/>
  <c r="G9743" i="1"/>
  <c r="B9744" i="1"/>
  <c r="D9744" i="1"/>
  <c r="G9744" i="1"/>
  <c r="B9745" i="1"/>
  <c r="D9745" i="1"/>
  <c r="G9745" i="1"/>
  <c r="B9904" i="1"/>
  <c r="D9904" i="1"/>
  <c r="G9904" i="1"/>
  <c r="B4643" i="1"/>
  <c r="D4643" i="1"/>
  <c r="G4643" i="1"/>
  <c r="B4347" i="1"/>
  <c r="D4347" i="1"/>
  <c r="G4347" i="1"/>
  <c r="B5617" i="1"/>
  <c r="D5617" i="1"/>
  <c r="G5617" i="1"/>
  <c r="B5618" i="1"/>
  <c r="D5618" i="1"/>
  <c r="G5618" i="1"/>
  <c r="B13394" i="1"/>
  <c r="D13394" i="1"/>
  <c r="G13394" i="1"/>
  <c r="B11169" i="1"/>
  <c r="D11169" i="1"/>
  <c r="G11169" i="1"/>
  <c r="B9258" i="1"/>
  <c r="D9258" i="1"/>
  <c r="G9258" i="1"/>
  <c r="B6982" i="1"/>
  <c r="D6982" i="1"/>
  <c r="G6982" i="1"/>
  <c r="B8893" i="1"/>
  <c r="D8893" i="1"/>
  <c r="G8893" i="1"/>
  <c r="B6506" i="1"/>
  <c r="D6506" i="1"/>
  <c r="G6506" i="1"/>
  <c r="B6548" i="1"/>
  <c r="D6548" i="1"/>
  <c r="G6548" i="1"/>
  <c r="B6507" i="1"/>
  <c r="D6507" i="1"/>
  <c r="G6507" i="1"/>
  <c r="B6668" i="1"/>
  <c r="D6668" i="1"/>
  <c r="G6668" i="1"/>
  <c r="B2520" i="1"/>
  <c r="D2520" i="1"/>
  <c r="G2520" i="1"/>
  <c r="B19530" i="1"/>
  <c r="D19530" i="1"/>
  <c r="G19530" i="1"/>
  <c r="B11170" i="1"/>
  <c r="D11170" i="1"/>
  <c r="G11170" i="1"/>
  <c r="B10062" i="1"/>
  <c r="D10062" i="1"/>
  <c r="G10062" i="1"/>
  <c r="B9829" i="1"/>
  <c r="D9829" i="1"/>
  <c r="G9829" i="1"/>
  <c r="B9830" i="1"/>
  <c r="D9830" i="1"/>
  <c r="G9830" i="1"/>
  <c r="B1271" i="1"/>
  <c r="D1271" i="1"/>
  <c r="G1271" i="1"/>
  <c r="B18490" i="1"/>
  <c r="D18490" i="1"/>
  <c r="G18490" i="1"/>
  <c r="B204" i="1"/>
  <c r="D204" i="1"/>
  <c r="G204" i="1"/>
  <c r="B19531" i="1"/>
  <c r="D19531" i="1"/>
  <c r="G19531" i="1"/>
  <c r="B20385" i="1"/>
  <c r="D20385" i="1"/>
  <c r="G20385" i="1"/>
  <c r="B1272" i="1"/>
  <c r="D1272" i="1"/>
  <c r="G1272" i="1"/>
  <c r="B9992" i="1"/>
  <c r="D9992" i="1"/>
  <c r="G9992" i="1"/>
  <c r="B8269" i="1"/>
  <c r="D8269" i="1"/>
  <c r="G8269" i="1"/>
  <c r="B10229" i="1"/>
  <c r="D10229" i="1"/>
  <c r="G10229" i="1"/>
  <c r="B10230" i="1"/>
  <c r="D10230" i="1"/>
  <c r="G10230" i="1"/>
  <c r="B16493" i="1"/>
  <c r="D16493" i="1"/>
  <c r="G16493" i="1"/>
  <c r="B22155" i="1"/>
  <c r="D22155" i="1"/>
  <c r="G22155" i="1"/>
  <c r="B20123" i="1"/>
  <c r="D20123" i="1"/>
  <c r="G20123" i="1"/>
  <c r="B9746" i="1"/>
  <c r="D9746" i="1"/>
  <c r="G9746" i="1"/>
  <c r="B9747" i="1"/>
  <c r="D9747" i="1"/>
  <c r="G9747" i="1"/>
  <c r="B9748" i="1"/>
  <c r="D9748" i="1"/>
  <c r="G9748" i="1"/>
  <c r="B12442" i="1"/>
  <c r="D12442" i="1"/>
  <c r="G12442" i="1"/>
  <c r="B17106" i="1"/>
  <c r="D17106" i="1"/>
  <c r="G17106" i="1"/>
  <c r="B20299" i="1"/>
  <c r="D20299" i="1"/>
  <c r="G20299" i="1"/>
  <c r="B20386" i="1"/>
  <c r="D20386" i="1"/>
  <c r="G20386" i="1"/>
  <c r="B586" i="1"/>
  <c r="D586" i="1"/>
  <c r="G586" i="1"/>
  <c r="B5809" i="1"/>
  <c r="D5809" i="1"/>
  <c r="G5809" i="1"/>
  <c r="B17394" i="1"/>
  <c r="D17394" i="1"/>
  <c r="G17394" i="1"/>
  <c r="B11797" i="1"/>
  <c r="D11797" i="1"/>
  <c r="G11797" i="1"/>
  <c r="B11798" i="1"/>
  <c r="D11798" i="1"/>
  <c r="G11798" i="1"/>
  <c r="B2050" i="1"/>
  <c r="D2050" i="1"/>
  <c r="G2050" i="1"/>
  <c r="B8894" i="1"/>
  <c r="D8894" i="1"/>
  <c r="G8894" i="1"/>
  <c r="B3958" i="1"/>
  <c r="D3958" i="1"/>
  <c r="G3958" i="1"/>
  <c r="B10550" i="1"/>
  <c r="D10550" i="1"/>
  <c r="G10550" i="1"/>
  <c r="B1883" i="1"/>
  <c r="D1883" i="1"/>
  <c r="G1883" i="1"/>
  <c r="B10859" i="1"/>
  <c r="D10859" i="1"/>
  <c r="G10859" i="1"/>
  <c r="B10860" i="1"/>
  <c r="D10860" i="1"/>
  <c r="G10860" i="1"/>
  <c r="B407" i="1"/>
  <c r="D407" i="1"/>
  <c r="G407" i="1"/>
  <c r="B16494" i="1"/>
  <c r="D16494" i="1"/>
  <c r="G16494" i="1"/>
  <c r="B20170" i="1"/>
  <c r="D20170" i="1"/>
  <c r="G20170" i="1"/>
  <c r="B8072" i="1"/>
  <c r="D8072" i="1"/>
  <c r="G8072" i="1"/>
  <c r="B22036" i="1"/>
  <c r="D22036" i="1"/>
  <c r="G22036" i="1"/>
  <c r="B4824" i="1"/>
  <c r="D4824" i="1"/>
  <c r="G4824" i="1"/>
  <c r="B5498" i="1"/>
  <c r="D5498" i="1"/>
  <c r="G5498" i="1"/>
  <c r="B15065" i="1"/>
  <c r="D15065" i="1"/>
  <c r="G15065" i="1"/>
  <c r="B22156" i="1"/>
  <c r="D22156" i="1"/>
  <c r="G22156" i="1"/>
  <c r="B1718" i="1"/>
  <c r="D1718" i="1"/>
  <c r="G1718" i="1"/>
  <c r="B1719" i="1"/>
  <c r="D1719" i="1"/>
  <c r="G1719" i="1"/>
  <c r="B19219" i="1"/>
  <c r="D19219" i="1"/>
  <c r="G19219" i="1"/>
  <c r="B22037" i="1"/>
  <c r="D22037" i="1"/>
  <c r="G22037" i="1"/>
  <c r="B14724" i="1"/>
  <c r="D14724" i="1"/>
  <c r="G14724" i="1"/>
  <c r="B15066" i="1"/>
  <c r="D15066" i="1"/>
  <c r="G15066" i="1"/>
  <c r="B5499" i="1"/>
  <c r="D5499" i="1"/>
  <c r="G5499" i="1"/>
  <c r="B2398" i="1"/>
  <c r="D2398" i="1"/>
  <c r="G2398" i="1"/>
  <c r="B15473" i="1"/>
  <c r="D15473" i="1"/>
  <c r="G15473" i="1"/>
  <c r="B14782" i="1"/>
  <c r="D14782" i="1"/>
  <c r="G14782" i="1"/>
  <c r="B12125" i="1"/>
  <c r="D12125" i="1"/>
  <c r="G12125" i="1"/>
  <c r="B19532" i="1"/>
  <c r="D19532" i="1"/>
  <c r="G19532" i="1"/>
  <c r="B14725" i="1"/>
  <c r="D14725" i="1"/>
  <c r="G14725" i="1"/>
  <c r="B2862" i="1"/>
  <c r="D2862" i="1"/>
  <c r="G2862" i="1"/>
  <c r="B16495" i="1"/>
  <c r="D16495" i="1"/>
  <c r="G16495" i="1"/>
  <c r="B1273" i="1"/>
  <c r="D1273" i="1"/>
  <c r="G1273" i="1"/>
  <c r="B21711" i="1"/>
  <c r="D21711" i="1"/>
  <c r="G21711" i="1"/>
  <c r="B21352" i="1"/>
  <c r="D21352" i="1"/>
  <c r="G21352" i="1"/>
  <c r="B7923" i="1"/>
  <c r="D7923" i="1"/>
  <c r="G7923" i="1"/>
  <c r="B7924" i="1"/>
  <c r="D7924" i="1"/>
  <c r="G7924" i="1"/>
  <c r="B13395" i="1"/>
  <c r="D13395" i="1"/>
  <c r="G13395" i="1"/>
  <c r="B258" i="1"/>
  <c r="D258" i="1"/>
  <c r="G258" i="1"/>
  <c r="B14726" i="1"/>
  <c r="D14726" i="1"/>
  <c r="G14726" i="1"/>
  <c r="B18740" i="1"/>
  <c r="D18740" i="1"/>
  <c r="G18740" i="1"/>
  <c r="B9397" i="1"/>
  <c r="D9397" i="1"/>
  <c r="G9397" i="1"/>
  <c r="B4348" i="1"/>
  <c r="D4348" i="1"/>
  <c r="G4348" i="1"/>
  <c r="B8259" i="1"/>
  <c r="D8259" i="1"/>
  <c r="G8259" i="1"/>
  <c r="B3640" i="1"/>
  <c r="D3640" i="1"/>
  <c r="G3640" i="1"/>
  <c r="B2470" i="1"/>
  <c r="D2470" i="1"/>
  <c r="G2470" i="1"/>
  <c r="B18176" i="1"/>
  <c r="D18176" i="1"/>
  <c r="G18176" i="1"/>
  <c r="B8895" i="1"/>
  <c r="D8895" i="1"/>
  <c r="G8895" i="1"/>
  <c r="B3641" i="1"/>
  <c r="D3641" i="1"/>
  <c r="G3641" i="1"/>
  <c r="B13829" i="1"/>
  <c r="D13829" i="1"/>
  <c r="G13829" i="1"/>
  <c r="B20171" i="1"/>
  <c r="D20171" i="1"/>
  <c r="G20171" i="1"/>
  <c r="B17736" i="1"/>
  <c r="D17736" i="1"/>
  <c r="G17736" i="1"/>
  <c r="B20082" i="1"/>
  <c r="D20082" i="1"/>
  <c r="G20082" i="1"/>
  <c r="B14377" i="1"/>
  <c r="D14377" i="1"/>
  <c r="G14377" i="1"/>
  <c r="B13071" i="1"/>
  <c r="D13071" i="1"/>
  <c r="G13071" i="1"/>
  <c r="B4644" i="1"/>
  <c r="D4644" i="1"/>
  <c r="G4644" i="1"/>
  <c r="B19533" i="1"/>
  <c r="D19533" i="1"/>
  <c r="G19533" i="1"/>
  <c r="B21081" i="1"/>
  <c r="D21081" i="1"/>
  <c r="G21081" i="1"/>
  <c r="B9398" i="1"/>
  <c r="D9398" i="1"/>
  <c r="G9398" i="1"/>
  <c r="B2863" i="1"/>
  <c r="D2863" i="1"/>
  <c r="G2863" i="1"/>
  <c r="B587" i="1"/>
  <c r="D587" i="1"/>
  <c r="G587" i="1"/>
  <c r="B16496" i="1"/>
  <c r="D16496" i="1"/>
  <c r="G16496" i="1"/>
  <c r="B18083" i="1"/>
  <c r="D18083" i="1"/>
  <c r="G18083" i="1"/>
  <c r="B19036" i="1"/>
  <c r="D19036" i="1"/>
  <c r="G19036" i="1"/>
  <c r="B4473" i="1"/>
  <c r="D4473" i="1"/>
  <c r="G4473" i="1"/>
  <c r="B8896" i="1"/>
  <c r="D8896" i="1"/>
  <c r="G8896" i="1"/>
  <c r="B2492" i="1"/>
  <c r="D2492" i="1"/>
  <c r="G2492" i="1"/>
  <c r="B19220" i="1"/>
  <c r="D19220" i="1"/>
  <c r="G19220" i="1"/>
  <c r="B13072" i="1"/>
  <c r="D13072" i="1"/>
  <c r="G13072" i="1"/>
  <c r="B15067" i="1"/>
  <c r="D15067" i="1"/>
  <c r="G15067" i="1"/>
  <c r="B12126" i="1"/>
  <c r="D12126" i="1"/>
  <c r="G12126" i="1"/>
  <c r="B1720" i="1"/>
  <c r="D1720" i="1"/>
  <c r="G1720" i="1"/>
  <c r="B1721" i="1"/>
  <c r="D1721" i="1"/>
  <c r="G1721" i="1"/>
  <c r="B4101" i="1"/>
  <c r="D4101" i="1"/>
  <c r="G4101" i="1"/>
  <c r="B8200" i="1"/>
  <c r="D8200" i="1"/>
  <c r="G8200" i="1"/>
  <c r="B8201" i="1"/>
  <c r="D8201" i="1"/>
  <c r="G8201" i="1"/>
  <c r="B2399" i="1"/>
  <c r="D2399" i="1"/>
  <c r="G2399" i="1"/>
  <c r="B20387" i="1"/>
  <c r="D20387" i="1"/>
  <c r="G20387" i="1"/>
  <c r="B20300" i="1"/>
  <c r="D20300" i="1"/>
  <c r="G20300" i="1"/>
  <c r="B718" i="1"/>
  <c r="D718" i="1"/>
  <c r="G718" i="1"/>
  <c r="B5500" i="1"/>
  <c r="D5500" i="1"/>
  <c r="G5500" i="1"/>
  <c r="B5501" i="1"/>
  <c r="D5501" i="1"/>
  <c r="G5501" i="1"/>
  <c r="B15068" i="1"/>
  <c r="D15068" i="1"/>
  <c r="G15068" i="1"/>
  <c r="B20238" i="1"/>
  <c r="D20238" i="1"/>
  <c r="G20238" i="1"/>
  <c r="B13294" i="1"/>
  <c r="D13294" i="1"/>
  <c r="G13294" i="1"/>
  <c r="B4349" i="1"/>
  <c r="D4349" i="1"/>
  <c r="G4349" i="1"/>
  <c r="B13788" i="1"/>
  <c r="D13788" i="1"/>
  <c r="G13788" i="1"/>
  <c r="B6373" i="1"/>
  <c r="D6373" i="1"/>
  <c r="G6373" i="1"/>
  <c r="B6374" i="1"/>
  <c r="D6374" i="1"/>
  <c r="G6374" i="1"/>
  <c r="B12127" i="1"/>
  <c r="D12127" i="1"/>
  <c r="G12127" i="1"/>
  <c r="B2471" i="1"/>
  <c r="D2471" i="1"/>
  <c r="G2471" i="1"/>
  <c r="B3642" i="1"/>
  <c r="D3642" i="1"/>
  <c r="G3642" i="1"/>
  <c r="B19534" i="1"/>
  <c r="D19534" i="1"/>
  <c r="G19534" i="1"/>
  <c r="B11413" i="1"/>
  <c r="D11413" i="1"/>
  <c r="G11413" i="1"/>
  <c r="B22038" i="1"/>
  <c r="D22038" i="1"/>
  <c r="G22038" i="1"/>
  <c r="B9983" i="1"/>
  <c r="D9983" i="1"/>
  <c r="G9983" i="1"/>
  <c r="B19221" i="1"/>
  <c r="D19221" i="1"/>
  <c r="G19221" i="1"/>
  <c r="B18870" i="1"/>
  <c r="D18870" i="1"/>
  <c r="G18870" i="1"/>
  <c r="B11682" i="1"/>
  <c r="D11682" i="1"/>
  <c r="G11682" i="1"/>
  <c r="B11563" i="1"/>
  <c r="D11563" i="1"/>
  <c r="G11563" i="1"/>
  <c r="B16497" i="1"/>
  <c r="D16497" i="1"/>
  <c r="G16497" i="1"/>
  <c r="B15474" i="1"/>
  <c r="D15474" i="1"/>
  <c r="G15474" i="1"/>
  <c r="B3236" i="1"/>
  <c r="D3236" i="1"/>
  <c r="G3236" i="1"/>
  <c r="B6953" i="1"/>
  <c r="D6953" i="1"/>
  <c r="G6953" i="1"/>
  <c r="B12128" i="1"/>
  <c r="D12128" i="1"/>
  <c r="G12128" i="1"/>
  <c r="B8897" i="1"/>
  <c r="D8897" i="1"/>
  <c r="G8897" i="1"/>
  <c r="B6800" i="1"/>
  <c r="D6800" i="1"/>
  <c r="G6800" i="1"/>
  <c r="B10551" i="1"/>
  <c r="D10551" i="1"/>
  <c r="G10551" i="1"/>
  <c r="B13223" i="1"/>
  <c r="D13223" i="1"/>
  <c r="G13223" i="1"/>
  <c r="B5788" i="1"/>
  <c r="D5788" i="1"/>
  <c r="G5788" i="1"/>
  <c r="B8568" i="1"/>
  <c r="D8568" i="1"/>
  <c r="G8568" i="1"/>
  <c r="B8569" i="1"/>
  <c r="D8569" i="1"/>
  <c r="G8569" i="1"/>
  <c r="B8570" i="1"/>
  <c r="D8570" i="1"/>
  <c r="G8570" i="1"/>
  <c r="B3643" i="1"/>
  <c r="D3643" i="1"/>
  <c r="G3643" i="1"/>
  <c r="B17395" i="1"/>
  <c r="D17395" i="1"/>
  <c r="G17395" i="1"/>
  <c r="B21909" i="1"/>
  <c r="D21909" i="1"/>
  <c r="G21909" i="1"/>
  <c r="B12129" i="1"/>
  <c r="D12129" i="1"/>
  <c r="G12129" i="1"/>
  <c r="B3644" i="1"/>
  <c r="D3644" i="1"/>
  <c r="G3644" i="1"/>
  <c r="B18177" i="1"/>
  <c r="D18177" i="1"/>
  <c r="G18177" i="1"/>
  <c r="B3762" i="1"/>
  <c r="D3762" i="1"/>
  <c r="G3762" i="1"/>
  <c r="B4645" i="1"/>
  <c r="D4645" i="1"/>
  <c r="G4645" i="1"/>
  <c r="B20301" i="1"/>
  <c r="D20301" i="1"/>
  <c r="G20301" i="1"/>
  <c r="B6801" i="1"/>
  <c r="D6801" i="1"/>
  <c r="G6801" i="1"/>
  <c r="B16498" i="1"/>
  <c r="D16498" i="1"/>
  <c r="G16498" i="1"/>
  <c r="B21006" i="1"/>
  <c r="D21006" i="1"/>
  <c r="G21006" i="1"/>
  <c r="B22039" i="1"/>
  <c r="D22039" i="1"/>
  <c r="G22039" i="1"/>
  <c r="B4379" i="1"/>
  <c r="D4379" i="1"/>
  <c r="G4379" i="1"/>
  <c r="B11414" i="1"/>
  <c r="D11414" i="1"/>
  <c r="G11414" i="1"/>
  <c r="B11336" i="1"/>
  <c r="D11336" i="1"/>
  <c r="G11336" i="1"/>
  <c r="B21910" i="1"/>
  <c r="D21910" i="1"/>
  <c r="G21910" i="1"/>
  <c r="B19037" i="1"/>
  <c r="D19037" i="1"/>
  <c r="G19037" i="1"/>
  <c r="B2864" i="1"/>
  <c r="D2864" i="1"/>
  <c r="G2864" i="1"/>
  <c r="B18871" i="1"/>
  <c r="D18871" i="1"/>
  <c r="G18871" i="1"/>
  <c r="B2865" i="1"/>
  <c r="D2865" i="1"/>
  <c r="G2865" i="1"/>
  <c r="B2866" i="1"/>
  <c r="D2866" i="1"/>
  <c r="G2866" i="1"/>
  <c r="B9399" i="1"/>
  <c r="D9399" i="1"/>
  <c r="G9399" i="1"/>
  <c r="B10552" i="1"/>
  <c r="D10552" i="1"/>
  <c r="G10552" i="1"/>
  <c r="B17588" i="1"/>
  <c r="D17588" i="1"/>
  <c r="G17588" i="1"/>
  <c r="B909" i="1"/>
  <c r="D909" i="1"/>
  <c r="G909" i="1"/>
  <c r="B2472" i="1"/>
  <c r="D2472" i="1"/>
  <c r="G2472" i="1"/>
  <c r="B20610" i="1"/>
  <c r="D20610" i="1"/>
  <c r="G20610" i="1"/>
  <c r="B11171" i="1"/>
  <c r="D11171" i="1"/>
  <c r="G11171" i="1"/>
  <c r="B7556" i="1"/>
  <c r="D7556" i="1"/>
  <c r="G7556" i="1"/>
  <c r="B947" i="1"/>
  <c r="D947" i="1"/>
  <c r="G947" i="1"/>
  <c r="B17107" i="1"/>
  <c r="D17107" i="1"/>
  <c r="G17107" i="1"/>
  <c r="B16102" i="1"/>
  <c r="D16102" i="1"/>
  <c r="G16102" i="1"/>
  <c r="B8898" i="1"/>
  <c r="D8898" i="1"/>
  <c r="G8898" i="1"/>
  <c r="B13073" i="1"/>
  <c r="D13073" i="1"/>
  <c r="G13073" i="1"/>
  <c r="B3959" i="1"/>
  <c r="D3959" i="1"/>
  <c r="G3959" i="1"/>
  <c r="B3960" i="1"/>
  <c r="D3960" i="1"/>
  <c r="G3960" i="1"/>
  <c r="B5227" i="1"/>
  <c r="D5227" i="1"/>
  <c r="G5227" i="1"/>
  <c r="B13074" i="1"/>
  <c r="D13074" i="1"/>
  <c r="G13074" i="1"/>
  <c r="B912" i="1"/>
  <c r="D912" i="1"/>
  <c r="G912" i="1"/>
  <c r="B10297" i="1"/>
  <c r="D10297" i="1"/>
  <c r="G10297" i="1"/>
  <c r="B8339" i="1"/>
  <c r="D8339" i="1"/>
  <c r="G8339" i="1"/>
  <c r="B17589" i="1"/>
  <c r="D17589" i="1"/>
  <c r="G17589" i="1"/>
  <c r="B6954" i="1"/>
  <c r="D6954" i="1"/>
  <c r="G6954" i="1"/>
  <c r="B16004" i="1"/>
  <c r="D16004" i="1"/>
  <c r="G16004" i="1"/>
  <c r="B8280" i="1"/>
  <c r="D8280" i="1"/>
  <c r="G8280" i="1"/>
  <c r="B21539" i="1"/>
  <c r="D21539" i="1"/>
  <c r="G21539" i="1"/>
  <c r="B7230" i="1"/>
  <c r="D7230" i="1"/>
  <c r="G7230" i="1"/>
  <c r="B7231" i="1"/>
  <c r="D7231" i="1"/>
  <c r="G7231" i="1"/>
  <c r="B22157" i="1"/>
  <c r="D22157" i="1"/>
  <c r="G22157" i="1"/>
  <c r="B20831" i="1"/>
  <c r="D20831" i="1"/>
  <c r="G20831" i="1"/>
  <c r="B7925" i="1"/>
  <c r="D7925" i="1"/>
  <c r="G7925" i="1"/>
  <c r="B18680" i="1"/>
  <c r="D18680" i="1"/>
  <c r="G18680" i="1"/>
  <c r="B7232" i="1"/>
  <c r="D7232" i="1"/>
  <c r="G7232" i="1"/>
  <c r="B1274" i="1"/>
  <c r="D1274" i="1"/>
  <c r="G1274" i="1"/>
  <c r="B6802" i="1"/>
  <c r="D6802" i="1"/>
  <c r="G6802" i="1"/>
  <c r="B10158" i="1"/>
  <c r="D10158" i="1"/>
  <c r="G10158" i="1"/>
  <c r="B10553" i="1"/>
  <c r="D10553" i="1"/>
  <c r="G10553" i="1"/>
  <c r="B10861" i="1"/>
  <c r="D10861" i="1"/>
  <c r="G10861" i="1"/>
  <c r="B11172" i="1"/>
  <c r="D11172" i="1"/>
  <c r="G11172" i="1"/>
  <c r="B2867" i="1"/>
  <c r="D2867" i="1"/>
  <c r="G2867" i="1"/>
  <c r="B4144" i="1"/>
  <c r="D4144" i="1"/>
  <c r="G4144" i="1"/>
  <c r="B20611" i="1"/>
  <c r="D20611" i="1"/>
  <c r="G20611" i="1"/>
  <c r="B21261" i="1"/>
  <c r="D21261" i="1"/>
  <c r="G21261" i="1"/>
  <c r="B19892" i="1"/>
  <c r="D19892" i="1"/>
  <c r="G19892" i="1"/>
  <c r="B17034" i="1"/>
  <c r="D17034" i="1"/>
  <c r="G17034" i="1"/>
  <c r="B5502" i="1"/>
  <c r="D5502" i="1"/>
  <c r="G5502" i="1"/>
  <c r="B6054" i="1"/>
  <c r="D6054" i="1"/>
  <c r="G6054" i="1"/>
  <c r="B4087" i="1"/>
  <c r="D4087" i="1"/>
  <c r="G4087" i="1"/>
  <c r="B16005" i="1"/>
  <c r="D16005" i="1"/>
  <c r="G16005" i="1"/>
  <c r="B11415" i="1"/>
  <c r="D11415" i="1"/>
  <c r="G11415" i="1"/>
  <c r="B10231" i="1"/>
  <c r="D10231" i="1"/>
  <c r="G10231" i="1"/>
  <c r="B1884" i="1"/>
  <c r="D1884" i="1"/>
  <c r="G1884" i="1"/>
  <c r="B832" i="1"/>
  <c r="D832" i="1"/>
  <c r="G832" i="1"/>
  <c r="B20832" i="1"/>
  <c r="D20832" i="1"/>
  <c r="G20832" i="1"/>
  <c r="B19222" i="1"/>
  <c r="D19222" i="1"/>
  <c r="G19222" i="1"/>
  <c r="B14620" i="1"/>
  <c r="D14620" i="1"/>
  <c r="G14620" i="1"/>
  <c r="B17290" i="1"/>
  <c r="D17290" i="1"/>
  <c r="G17290" i="1"/>
  <c r="B1275" i="1"/>
  <c r="D1275" i="1"/>
  <c r="G1275" i="1"/>
  <c r="B14385" i="1"/>
  <c r="D14385" i="1"/>
  <c r="G14385" i="1"/>
  <c r="B6375" i="1"/>
  <c r="D6375" i="1"/>
  <c r="G6375" i="1"/>
  <c r="B6376" i="1"/>
  <c r="D6376" i="1"/>
  <c r="G6376" i="1"/>
  <c r="B950" i="1"/>
  <c r="D950" i="1"/>
  <c r="G950" i="1"/>
  <c r="B3961" i="1"/>
  <c r="D3961" i="1"/>
  <c r="G3961" i="1"/>
  <c r="B3962" i="1"/>
  <c r="D3962" i="1"/>
  <c r="G3962" i="1"/>
  <c r="B14217" i="1"/>
  <c r="D14217" i="1"/>
  <c r="G14217" i="1"/>
  <c r="B22158" i="1"/>
  <c r="D22158" i="1"/>
  <c r="G22158" i="1"/>
  <c r="B19535" i="1"/>
  <c r="D19535" i="1"/>
  <c r="G19535" i="1"/>
  <c r="B20612" i="1"/>
  <c r="D20612" i="1"/>
  <c r="G20612" i="1"/>
  <c r="B14272" i="1"/>
  <c r="D14272" i="1"/>
  <c r="G14272" i="1"/>
  <c r="B11173" i="1"/>
  <c r="D11173" i="1"/>
  <c r="G11173" i="1"/>
  <c r="B10862" i="1"/>
  <c r="D10862" i="1"/>
  <c r="G10862" i="1"/>
  <c r="B16499" i="1"/>
  <c r="D16499" i="1"/>
  <c r="G16499" i="1"/>
  <c r="B4494" i="1"/>
  <c r="D4494" i="1"/>
  <c r="G4494" i="1"/>
  <c r="B15475" i="1"/>
  <c r="D15475" i="1"/>
  <c r="G15475" i="1"/>
  <c r="B14621" i="1"/>
  <c r="D14621" i="1"/>
  <c r="G14621" i="1"/>
  <c r="B14622" i="1"/>
  <c r="D14622" i="1"/>
  <c r="G14622" i="1"/>
  <c r="B5789" i="1"/>
  <c r="D5789" i="1"/>
  <c r="G5789" i="1"/>
  <c r="B13547" i="1"/>
  <c r="D13547" i="1"/>
  <c r="G13547" i="1"/>
  <c r="B13500" i="1"/>
  <c r="D13500" i="1"/>
  <c r="G13500" i="1"/>
  <c r="B12130" i="1"/>
  <c r="D12130" i="1"/>
  <c r="G12130" i="1"/>
  <c r="B13503" i="1"/>
  <c r="D13503" i="1"/>
  <c r="G13503" i="1"/>
  <c r="B13508" i="1"/>
  <c r="D13508" i="1"/>
  <c r="G13508" i="1"/>
  <c r="B14038" i="1"/>
  <c r="D14038" i="1"/>
  <c r="G14038" i="1"/>
  <c r="B21082" i="1"/>
  <c r="D21082" i="1"/>
  <c r="G21082" i="1"/>
  <c r="B13655" i="1"/>
  <c r="D13655" i="1"/>
  <c r="G13655" i="1"/>
  <c r="B39" i="1"/>
  <c r="D39" i="1"/>
  <c r="G39" i="1"/>
  <c r="B51" i="1"/>
  <c r="D51" i="1"/>
  <c r="G51" i="1"/>
  <c r="B22159" i="1"/>
  <c r="D22159" i="1"/>
  <c r="G22159" i="1"/>
  <c r="B1276" i="1"/>
  <c r="D1276" i="1"/>
  <c r="G1276" i="1"/>
  <c r="B9749" i="1"/>
  <c r="D9749" i="1"/>
  <c r="G9749" i="1"/>
  <c r="B9750" i="1"/>
  <c r="D9750" i="1"/>
  <c r="G9750" i="1"/>
  <c r="B2051" i="1"/>
  <c r="D2051" i="1"/>
  <c r="G2051" i="1"/>
  <c r="B14623" i="1"/>
  <c r="D14623" i="1"/>
  <c r="G14623" i="1"/>
  <c r="B15069" i="1"/>
  <c r="D15069" i="1"/>
  <c r="G15069" i="1"/>
  <c r="B13670" i="1"/>
  <c r="D13670" i="1"/>
  <c r="G13670" i="1"/>
  <c r="B7557" i="1"/>
  <c r="D7557" i="1"/>
  <c r="G7557" i="1"/>
  <c r="B12131" i="1"/>
  <c r="D12131" i="1"/>
  <c r="G12131" i="1"/>
  <c r="B7558" i="1"/>
  <c r="D7558" i="1"/>
  <c r="G7558" i="1"/>
  <c r="B10863" i="1"/>
  <c r="D10863" i="1"/>
  <c r="G10863" i="1"/>
  <c r="B14727" i="1"/>
  <c r="D14727" i="1"/>
  <c r="G14727" i="1"/>
  <c r="B16500" i="1"/>
  <c r="D16500" i="1"/>
  <c r="G16500" i="1"/>
  <c r="B1277" i="1"/>
  <c r="D1277" i="1"/>
  <c r="G1277" i="1"/>
  <c r="B13295" i="1"/>
  <c r="D13295" i="1"/>
  <c r="G13295" i="1"/>
  <c r="B19223" i="1"/>
  <c r="D19223" i="1"/>
  <c r="G19223" i="1"/>
  <c r="B18872" i="1"/>
  <c r="D18872" i="1"/>
  <c r="G18872" i="1"/>
  <c r="B13296" i="1"/>
  <c r="D13296" i="1"/>
  <c r="G13296" i="1"/>
  <c r="B12132" i="1"/>
  <c r="D12132" i="1"/>
  <c r="G12132" i="1"/>
  <c r="B3005" i="1"/>
  <c r="D3005" i="1"/>
  <c r="G3005" i="1"/>
  <c r="B13000" i="1"/>
  <c r="D13000" i="1"/>
  <c r="G13000" i="1"/>
  <c r="B10298" i="1"/>
  <c r="D10298" i="1"/>
  <c r="G10298" i="1"/>
  <c r="B12669" i="1"/>
  <c r="D12669" i="1"/>
  <c r="G12669" i="1"/>
  <c r="B20833" i="1"/>
  <c r="D20833" i="1"/>
  <c r="G20833" i="1"/>
  <c r="B10232" i="1"/>
  <c r="D10232" i="1"/>
  <c r="G10232" i="1"/>
  <c r="B2137" i="1"/>
  <c r="D2137" i="1"/>
  <c r="G2137" i="1"/>
  <c r="B12840" i="1"/>
  <c r="D12840" i="1"/>
  <c r="G12840" i="1"/>
  <c r="B18491" i="1"/>
  <c r="D18491" i="1"/>
  <c r="G18491" i="1"/>
  <c r="B21083" i="1"/>
  <c r="D21083" i="1"/>
  <c r="G21083" i="1"/>
  <c r="B11799" i="1"/>
  <c r="D11799" i="1"/>
  <c r="G11799" i="1"/>
  <c r="B3645" i="1"/>
  <c r="D3645" i="1"/>
  <c r="G3645" i="1"/>
  <c r="B19038" i="1"/>
  <c r="D19038" i="1"/>
  <c r="G19038" i="1"/>
  <c r="B18873" i="1"/>
  <c r="D18873" i="1"/>
  <c r="G18873" i="1"/>
  <c r="B16977" i="1"/>
  <c r="D16977" i="1"/>
  <c r="G16977" i="1"/>
  <c r="B8899" i="1"/>
  <c r="D8899" i="1"/>
  <c r="G8899" i="1"/>
  <c r="B1722" i="1"/>
  <c r="D1722" i="1"/>
  <c r="G1722" i="1"/>
  <c r="B12133" i="1"/>
  <c r="D12133" i="1"/>
  <c r="G12133" i="1"/>
  <c r="B16501" i="1"/>
  <c r="D16501" i="1"/>
  <c r="G16501" i="1"/>
  <c r="B7926" i="1"/>
  <c r="D7926" i="1"/>
  <c r="G7926" i="1"/>
  <c r="B7927" i="1"/>
  <c r="D7927" i="1"/>
  <c r="G7927" i="1"/>
  <c r="B205" i="1"/>
  <c r="D205" i="1"/>
  <c r="G205" i="1"/>
  <c r="B2400" i="1"/>
  <c r="D2400" i="1"/>
  <c r="G2400" i="1"/>
  <c r="B353" i="1"/>
  <c r="D353" i="1"/>
  <c r="G353" i="1"/>
  <c r="B354" i="1"/>
  <c r="D354" i="1"/>
  <c r="G354" i="1"/>
  <c r="B1723" i="1"/>
  <c r="D1723" i="1"/>
  <c r="G1723" i="1"/>
  <c r="B1724" i="1"/>
  <c r="D1724" i="1"/>
  <c r="G1724" i="1"/>
  <c r="B21911" i="1"/>
  <c r="D21911" i="1"/>
  <c r="G21911" i="1"/>
  <c r="B719" i="1"/>
  <c r="D719" i="1"/>
  <c r="G719" i="1"/>
  <c r="B3763" i="1"/>
  <c r="D3763" i="1"/>
  <c r="G3763" i="1"/>
  <c r="B20834" i="1"/>
  <c r="D20834" i="1"/>
  <c r="G20834" i="1"/>
  <c r="B4646" i="1"/>
  <c r="D4646" i="1"/>
  <c r="G4646" i="1"/>
  <c r="B4868" i="1"/>
  <c r="D4868" i="1"/>
  <c r="G4868" i="1"/>
  <c r="B7559" i="1"/>
  <c r="D7559" i="1"/>
  <c r="G7559" i="1"/>
  <c r="B2473" i="1"/>
  <c r="D2473" i="1"/>
  <c r="G2473" i="1"/>
  <c r="B3237" i="1"/>
  <c r="D3237" i="1"/>
  <c r="G3237" i="1"/>
  <c r="B15726" i="1"/>
  <c r="D15726" i="1"/>
  <c r="G15726" i="1"/>
  <c r="B7928" i="1"/>
  <c r="D7928" i="1"/>
  <c r="G7928" i="1"/>
  <c r="B7929" i="1"/>
  <c r="D7929" i="1"/>
  <c r="G7929" i="1"/>
  <c r="B3238" i="1"/>
  <c r="D3238" i="1"/>
  <c r="G3238" i="1"/>
  <c r="B17298" i="1"/>
  <c r="D17298" i="1"/>
  <c r="G17298" i="1"/>
  <c r="B15070" i="1"/>
  <c r="D15070" i="1"/>
  <c r="G15070" i="1"/>
  <c r="B15071" i="1"/>
  <c r="D15071" i="1"/>
  <c r="G15071" i="1"/>
  <c r="B16502" i="1"/>
  <c r="D16502" i="1"/>
  <c r="G16502" i="1"/>
  <c r="B4102" i="1"/>
  <c r="D4102" i="1"/>
  <c r="G4102" i="1"/>
  <c r="B21912" i="1"/>
  <c r="D21912" i="1"/>
  <c r="G21912" i="1"/>
  <c r="B19039" i="1"/>
  <c r="D19039" i="1"/>
  <c r="G19039" i="1"/>
  <c r="B3764" i="1"/>
  <c r="D3764" i="1"/>
  <c r="G3764" i="1"/>
  <c r="B19224" i="1"/>
  <c r="D19224" i="1"/>
  <c r="G19224" i="1"/>
  <c r="B18120" i="1"/>
  <c r="D18120" i="1"/>
  <c r="G18120" i="1"/>
  <c r="B6085" i="1"/>
  <c r="D6085" i="1"/>
  <c r="G6085" i="1"/>
  <c r="B15072" i="1"/>
  <c r="D15072" i="1"/>
  <c r="G15072" i="1"/>
  <c r="B8900" i="1"/>
  <c r="D8900" i="1"/>
  <c r="G8900" i="1"/>
  <c r="B692" i="1"/>
  <c r="D692" i="1"/>
  <c r="G692" i="1"/>
  <c r="B18121" i="1"/>
  <c r="D18121" i="1"/>
  <c r="G18121" i="1"/>
  <c r="B11416" i="1"/>
  <c r="D11416" i="1"/>
  <c r="G11416" i="1"/>
  <c r="B11459" i="1"/>
  <c r="D11459" i="1"/>
  <c r="G11459" i="1"/>
  <c r="B8901" i="1"/>
  <c r="D8901" i="1"/>
  <c r="G8901" i="1"/>
  <c r="B10164" i="1"/>
  <c r="D10164" i="1"/>
  <c r="G10164" i="1"/>
  <c r="B4168" i="1"/>
  <c r="D4168" i="1"/>
  <c r="G4168" i="1"/>
  <c r="B1413" i="1"/>
  <c r="D1413" i="1"/>
  <c r="G1413" i="1"/>
  <c r="B21459" i="1"/>
  <c r="D21459" i="1"/>
  <c r="G21459" i="1"/>
  <c r="B15963" i="1"/>
  <c r="D15963" i="1"/>
  <c r="G15963" i="1"/>
  <c r="B16036" i="1"/>
  <c r="D16036" i="1"/>
  <c r="G16036" i="1"/>
  <c r="B19893" i="1"/>
  <c r="D19893" i="1"/>
  <c r="G19893" i="1"/>
  <c r="B3963" i="1"/>
  <c r="D3963" i="1"/>
  <c r="G3963" i="1"/>
  <c r="B18492" i="1"/>
  <c r="D18492" i="1"/>
  <c r="G18492" i="1"/>
  <c r="B14046" i="1"/>
  <c r="D14046" i="1"/>
  <c r="G14046" i="1"/>
  <c r="B9751" i="1"/>
  <c r="D9751" i="1"/>
  <c r="G9751" i="1"/>
  <c r="B9752" i="1"/>
  <c r="D9752" i="1"/>
  <c r="G9752" i="1"/>
  <c r="B9905" i="1"/>
  <c r="D9905" i="1"/>
  <c r="G9905" i="1"/>
  <c r="B15727" i="1"/>
  <c r="D15727" i="1"/>
  <c r="G15727" i="1"/>
  <c r="B11564" i="1"/>
  <c r="D11564" i="1"/>
  <c r="G11564" i="1"/>
  <c r="B11565" i="1"/>
  <c r="D11565" i="1"/>
  <c r="G11565" i="1"/>
  <c r="B11683" i="1"/>
  <c r="D11683" i="1"/>
  <c r="G11683" i="1"/>
  <c r="B11684" i="1"/>
  <c r="D11684" i="1"/>
  <c r="G11684" i="1"/>
  <c r="B10126" i="1"/>
  <c r="D10126" i="1"/>
  <c r="G10126" i="1"/>
  <c r="B18493" i="1"/>
  <c r="D18493" i="1"/>
  <c r="G18493" i="1"/>
  <c r="B1414" i="1"/>
  <c r="D1414" i="1"/>
  <c r="G1414" i="1"/>
  <c r="B8202" i="1"/>
  <c r="D8202" i="1"/>
  <c r="G8202" i="1"/>
  <c r="B8902" i="1"/>
  <c r="D8902" i="1"/>
  <c r="G8902" i="1"/>
  <c r="B16503" i="1"/>
  <c r="D16503" i="1"/>
  <c r="G16503" i="1"/>
  <c r="B13297" i="1"/>
  <c r="D13297" i="1"/>
  <c r="G13297" i="1"/>
  <c r="B15073" i="1"/>
  <c r="D15073" i="1"/>
  <c r="G15073" i="1"/>
  <c r="B6803" i="1"/>
  <c r="D6803" i="1"/>
  <c r="G6803" i="1"/>
  <c r="B18241" i="1"/>
  <c r="D18241" i="1"/>
  <c r="G18241" i="1"/>
  <c r="B2138" i="1"/>
  <c r="D2138" i="1"/>
  <c r="G2138" i="1"/>
  <c r="B11463" i="1"/>
  <c r="D11463" i="1"/>
  <c r="G11463" i="1"/>
  <c r="B9753" i="1"/>
  <c r="D9753" i="1"/>
  <c r="G9753" i="1"/>
  <c r="B9754" i="1"/>
  <c r="D9754" i="1"/>
  <c r="G9754" i="1"/>
  <c r="B1485" i="1"/>
  <c r="D1485" i="1"/>
  <c r="G1485" i="1"/>
  <c r="B20835" i="1"/>
  <c r="D20835" i="1"/>
  <c r="G20835" i="1"/>
  <c r="B15476" i="1"/>
  <c r="D15476" i="1"/>
  <c r="G15476" i="1"/>
  <c r="B18874" i="1"/>
  <c r="D18874" i="1"/>
  <c r="G18874" i="1"/>
  <c r="B13830" i="1"/>
  <c r="D13830" i="1"/>
  <c r="G13830" i="1"/>
  <c r="B13831" i="1"/>
  <c r="D13831" i="1"/>
  <c r="G13831" i="1"/>
  <c r="B5748" i="1"/>
  <c r="D5748" i="1"/>
  <c r="G5748" i="1"/>
  <c r="B19894" i="1"/>
  <c r="D19894" i="1"/>
  <c r="G19894" i="1"/>
  <c r="B5228" i="1"/>
  <c r="D5228" i="1"/>
  <c r="G5228" i="1"/>
  <c r="B13075" i="1"/>
  <c r="D13075" i="1"/>
  <c r="G13075" i="1"/>
  <c r="B13586" i="1"/>
  <c r="D13586" i="1"/>
  <c r="G13586" i="1"/>
  <c r="B10299" i="1"/>
  <c r="D10299" i="1"/>
  <c r="G10299" i="1"/>
  <c r="B1725" i="1"/>
  <c r="D1725" i="1"/>
  <c r="G1725" i="1"/>
  <c r="B1726" i="1"/>
  <c r="D1726" i="1"/>
  <c r="G1726" i="1"/>
  <c r="B11417" i="1"/>
  <c r="D11417" i="1"/>
  <c r="G11417" i="1"/>
  <c r="B1447" i="1"/>
  <c r="D1447" i="1"/>
  <c r="G1447" i="1"/>
  <c r="B20388" i="1"/>
  <c r="D20388" i="1"/>
  <c r="G20388" i="1"/>
  <c r="B8903" i="1"/>
  <c r="D8903" i="1"/>
  <c r="G8903" i="1"/>
  <c r="B11042" i="1"/>
  <c r="D11042" i="1"/>
  <c r="G11042" i="1"/>
  <c r="B1727" i="1"/>
  <c r="D1727" i="1"/>
  <c r="G1727" i="1"/>
  <c r="B1728" i="1"/>
  <c r="D1728" i="1"/>
  <c r="G1728" i="1"/>
  <c r="B9879" i="1"/>
  <c r="D9879" i="1"/>
  <c r="G9879" i="1"/>
  <c r="B2309" i="1"/>
  <c r="D2309" i="1"/>
  <c r="G2309" i="1"/>
  <c r="B6055" i="1"/>
  <c r="D6055" i="1"/>
  <c r="G6055" i="1"/>
  <c r="B17" i="1"/>
  <c r="D17" i="1"/>
  <c r="G17" i="1"/>
  <c r="B9259" i="1"/>
  <c r="D9259" i="1"/>
  <c r="G9259" i="1"/>
  <c r="B137" i="1"/>
  <c r="D137" i="1"/>
  <c r="G137" i="1"/>
  <c r="B21801" i="1"/>
  <c r="D21801" i="1"/>
  <c r="G21801" i="1"/>
  <c r="B21084" i="1"/>
  <c r="D21084" i="1"/>
  <c r="G21084" i="1"/>
  <c r="B16504" i="1"/>
  <c r="D16504" i="1"/>
  <c r="G16504" i="1"/>
  <c r="B1278" i="1"/>
  <c r="D1278" i="1"/>
  <c r="G1278" i="1"/>
  <c r="B11800" i="1"/>
  <c r="D11800" i="1"/>
  <c r="G11800" i="1"/>
  <c r="B21085" i="1"/>
  <c r="D21085" i="1"/>
  <c r="G21085" i="1"/>
  <c r="B21262" i="1"/>
  <c r="D21262" i="1"/>
  <c r="G21262" i="1"/>
  <c r="B16505" i="1"/>
  <c r="D16505" i="1"/>
  <c r="G16505" i="1"/>
  <c r="B2868" i="1"/>
  <c r="D2868" i="1"/>
  <c r="G2868" i="1"/>
  <c r="B20836" i="1"/>
  <c r="D20836" i="1"/>
  <c r="G20836" i="1"/>
  <c r="B13832" i="1"/>
  <c r="D13832" i="1"/>
  <c r="G13832" i="1"/>
  <c r="B1885" i="1"/>
  <c r="D1885" i="1"/>
  <c r="G1885" i="1"/>
  <c r="B13298" i="1"/>
  <c r="D13298" i="1"/>
  <c r="G13298" i="1"/>
  <c r="B6377" i="1"/>
  <c r="D6377" i="1"/>
  <c r="G6377" i="1"/>
  <c r="B19536" i="1"/>
  <c r="D19536" i="1"/>
  <c r="G19536" i="1"/>
  <c r="B2244" i="1"/>
  <c r="D2244" i="1"/>
  <c r="G2244" i="1"/>
  <c r="B16506" i="1"/>
  <c r="D16506" i="1"/>
  <c r="G16506" i="1"/>
  <c r="B13671" i="1"/>
  <c r="D13671" i="1"/>
  <c r="G13671" i="1"/>
  <c r="B14407" i="1"/>
  <c r="D14407" i="1"/>
  <c r="G14407" i="1"/>
  <c r="B14545" i="1"/>
  <c r="D14545" i="1"/>
  <c r="G14545" i="1"/>
  <c r="B17523" i="1"/>
  <c r="D17523" i="1"/>
  <c r="G17523" i="1"/>
  <c r="B8904" i="1"/>
  <c r="D8904" i="1"/>
  <c r="G8904" i="1"/>
  <c r="B2139" i="1"/>
  <c r="D2139" i="1"/>
  <c r="G2139" i="1"/>
  <c r="B2310" i="1"/>
  <c r="D2310" i="1"/>
  <c r="G2310" i="1"/>
  <c r="B16507" i="1"/>
  <c r="D16507" i="1"/>
  <c r="G16507" i="1"/>
  <c r="B13299" i="1"/>
  <c r="D13299" i="1"/>
  <c r="G13299" i="1"/>
  <c r="B13196" i="1"/>
  <c r="D13196" i="1"/>
  <c r="G13196" i="1"/>
  <c r="B5229" i="1"/>
  <c r="D5229" i="1"/>
  <c r="G5229" i="1"/>
  <c r="B4106" i="1"/>
  <c r="D4106" i="1"/>
  <c r="G4106" i="1"/>
  <c r="B19225" i="1"/>
  <c r="D19225" i="1"/>
  <c r="G19225" i="1"/>
  <c r="B18875" i="1"/>
  <c r="D18875" i="1"/>
  <c r="G18875" i="1"/>
  <c r="B12841" i="1"/>
  <c r="D12841" i="1"/>
  <c r="G12841" i="1"/>
  <c r="B10368" i="1"/>
  <c r="D10368" i="1"/>
  <c r="G10368" i="1"/>
  <c r="B10864" i="1"/>
  <c r="D10864" i="1"/>
  <c r="G10864" i="1"/>
  <c r="B13521" i="1"/>
  <c r="D13521" i="1"/>
  <c r="G13521" i="1"/>
  <c r="B303" i="1"/>
  <c r="D303" i="1"/>
  <c r="G303" i="1"/>
  <c r="B15477" i="1"/>
  <c r="D15477" i="1"/>
  <c r="G15477" i="1"/>
  <c r="B10554" i="1"/>
  <c r="D10554" i="1"/>
  <c r="G10554" i="1"/>
  <c r="B10555" i="1"/>
  <c r="D10555" i="1"/>
  <c r="G10555" i="1"/>
  <c r="B10865" i="1"/>
  <c r="D10865" i="1"/>
  <c r="G10865" i="1"/>
  <c r="B10866" i="1"/>
  <c r="D10866" i="1"/>
  <c r="G10866" i="1"/>
  <c r="B6955" i="1"/>
  <c r="D6955" i="1"/>
  <c r="G6955" i="1"/>
  <c r="B15801" i="1"/>
  <c r="D15801" i="1"/>
  <c r="G15801" i="1"/>
  <c r="B10867" i="1"/>
  <c r="D10867" i="1"/>
  <c r="G10867" i="1"/>
  <c r="B18876" i="1"/>
  <c r="D18876" i="1"/>
  <c r="G18876" i="1"/>
  <c r="B19537" i="1"/>
  <c r="D19537" i="1"/>
  <c r="G19537" i="1"/>
  <c r="B12842" i="1"/>
  <c r="D12842" i="1"/>
  <c r="G12842" i="1"/>
  <c r="B19538" i="1"/>
  <c r="D19538" i="1"/>
  <c r="G19538" i="1"/>
  <c r="B2401" i="1"/>
  <c r="D2401" i="1"/>
  <c r="G2401" i="1"/>
  <c r="B1279" i="1"/>
  <c r="D1279" i="1"/>
  <c r="G1279" i="1"/>
  <c r="B13300" i="1"/>
  <c r="D13300" i="1"/>
  <c r="G13300" i="1"/>
  <c r="B7363" i="1"/>
  <c r="D7363" i="1"/>
  <c r="G7363" i="1"/>
  <c r="B11174" i="1"/>
  <c r="D11174" i="1"/>
  <c r="G11174" i="1"/>
  <c r="B3052" i="1"/>
  <c r="D3052" i="1"/>
  <c r="G3052" i="1"/>
  <c r="B19539" i="1"/>
  <c r="D19539" i="1"/>
  <c r="G19539" i="1"/>
  <c r="B15074" i="1"/>
  <c r="D15074" i="1"/>
  <c r="G15074" i="1"/>
  <c r="B12134" i="1"/>
  <c r="D12134" i="1"/>
  <c r="G12134" i="1"/>
  <c r="B10868" i="1"/>
  <c r="D10868" i="1"/>
  <c r="G10868" i="1"/>
  <c r="B3032" i="1"/>
  <c r="D3032" i="1"/>
  <c r="G3032" i="1"/>
  <c r="B2052" i="1"/>
  <c r="D2052" i="1"/>
  <c r="G2052" i="1"/>
  <c r="B16103" i="1"/>
  <c r="D16103" i="1"/>
  <c r="G16103" i="1"/>
  <c r="B11801" i="1"/>
  <c r="D11801" i="1"/>
  <c r="G11801" i="1"/>
  <c r="B44" i="1"/>
  <c r="D44" i="1"/>
  <c r="G44" i="1"/>
  <c r="B17309" i="1"/>
  <c r="D17309" i="1"/>
  <c r="G17309" i="1"/>
  <c r="B14061" i="1"/>
  <c r="D14061" i="1"/>
  <c r="G14061" i="1"/>
  <c r="B14546" i="1"/>
  <c r="D14546" i="1"/>
  <c r="G14546" i="1"/>
  <c r="B12135" i="1"/>
  <c r="D12135" i="1"/>
  <c r="G12135" i="1"/>
  <c r="B18681" i="1"/>
  <c r="D18681" i="1"/>
  <c r="G18681" i="1"/>
  <c r="B4226" i="1"/>
  <c r="D4226" i="1"/>
  <c r="G4226" i="1"/>
  <c r="B11283" i="1"/>
  <c r="D11283" i="1"/>
  <c r="G11283" i="1"/>
  <c r="B13723" i="1"/>
  <c r="D13723" i="1"/>
  <c r="G13723" i="1"/>
  <c r="B2311" i="1"/>
  <c r="D2311" i="1"/>
  <c r="G2311" i="1"/>
  <c r="B19040" i="1"/>
  <c r="D19040" i="1"/>
  <c r="G19040" i="1"/>
  <c r="B14728" i="1"/>
  <c r="D14728" i="1"/>
  <c r="G14728" i="1"/>
  <c r="B19226" i="1"/>
  <c r="D19226" i="1"/>
  <c r="G19226" i="1"/>
  <c r="B15879" i="1"/>
  <c r="D15879" i="1"/>
  <c r="G15879" i="1"/>
  <c r="B2869" i="1"/>
  <c r="D2869" i="1"/>
  <c r="G2869" i="1"/>
  <c r="B15802" i="1"/>
  <c r="D15802" i="1"/>
  <c r="G15802" i="1"/>
  <c r="B4869" i="1"/>
  <c r="D4869" i="1"/>
  <c r="G4869" i="1"/>
  <c r="B2402" i="1"/>
  <c r="D2402" i="1"/>
  <c r="G2402" i="1"/>
  <c r="B21913" i="1"/>
  <c r="D21913" i="1"/>
  <c r="G21913" i="1"/>
  <c r="B17524" i="1"/>
  <c r="D17524" i="1"/>
  <c r="G17524" i="1"/>
  <c r="B2403" i="1"/>
  <c r="D2403" i="1"/>
  <c r="G2403" i="1"/>
  <c r="B16508" i="1"/>
  <c r="D16508" i="1"/>
  <c r="G16508" i="1"/>
  <c r="B6804" i="1"/>
  <c r="D6804" i="1"/>
  <c r="G6804" i="1"/>
  <c r="B6669" i="1"/>
  <c r="D6669" i="1"/>
  <c r="G6669" i="1"/>
  <c r="B4647" i="1"/>
  <c r="D4647" i="1"/>
  <c r="G4647" i="1"/>
  <c r="B1280" i="1"/>
  <c r="D1280" i="1"/>
  <c r="G1280" i="1"/>
  <c r="B16509" i="1"/>
  <c r="D16509" i="1"/>
  <c r="G16509" i="1"/>
  <c r="B11717" i="1"/>
  <c r="D11717" i="1"/>
  <c r="G11717" i="1"/>
  <c r="B20389" i="1"/>
  <c r="D20389" i="1"/>
  <c r="G20389" i="1"/>
  <c r="B14218" i="1"/>
  <c r="D14218" i="1"/>
  <c r="G14218" i="1"/>
  <c r="B7930" i="1"/>
  <c r="D7930" i="1"/>
  <c r="G7930" i="1"/>
  <c r="B7931" i="1"/>
  <c r="D7931" i="1"/>
  <c r="G7931" i="1"/>
  <c r="B3056" i="1"/>
  <c r="D3056" i="1"/>
  <c r="G3056" i="1"/>
  <c r="B11566" i="1"/>
  <c r="D11566" i="1"/>
  <c r="G11566" i="1"/>
  <c r="B11567" i="1"/>
  <c r="D11567" i="1"/>
  <c r="G11567" i="1"/>
  <c r="B4922" i="1"/>
  <c r="D4922" i="1"/>
  <c r="G4922" i="1"/>
  <c r="B8905" i="1"/>
  <c r="D8905" i="1"/>
  <c r="G8905" i="1"/>
  <c r="B5875" i="1"/>
  <c r="D5875" i="1"/>
  <c r="G5875" i="1"/>
  <c r="B18494" i="1"/>
  <c r="D18494" i="1"/>
  <c r="G18494" i="1"/>
  <c r="B3388" i="1"/>
  <c r="D3388" i="1"/>
  <c r="G3388" i="1"/>
  <c r="B4825" i="1"/>
  <c r="D4825" i="1"/>
  <c r="G4825" i="1"/>
  <c r="B5503" i="1"/>
  <c r="D5503" i="1"/>
  <c r="G5503" i="1"/>
  <c r="B14219" i="1"/>
  <c r="D14219" i="1"/>
  <c r="G14219" i="1"/>
  <c r="B16510" i="1"/>
  <c r="D16510" i="1"/>
  <c r="G16510" i="1"/>
  <c r="B5504" i="1"/>
  <c r="D5504" i="1"/>
  <c r="G5504" i="1"/>
  <c r="B29" i="1"/>
  <c r="D29" i="1"/>
  <c r="G29" i="1"/>
  <c r="B16511" i="1"/>
  <c r="D16511" i="1"/>
  <c r="G16511" i="1"/>
  <c r="B2547" i="1"/>
  <c r="D2547" i="1"/>
  <c r="G2547" i="1"/>
  <c r="B10093" i="1"/>
  <c r="D10093" i="1"/>
  <c r="G10093" i="1"/>
  <c r="B17108" i="1"/>
  <c r="D17108" i="1"/>
  <c r="G17108" i="1"/>
  <c r="B20239" i="1"/>
  <c r="D20239" i="1"/>
  <c r="G20239" i="1"/>
  <c r="B19895" i="1"/>
  <c r="D19895" i="1"/>
  <c r="G19895" i="1"/>
  <c r="B3239" i="1"/>
  <c r="D3239" i="1"/>
  <c r="G3239" i="1"/>
  <c r="B21540" i="1"/>
  <c r="D21540" i="1"/>
  <c r="G21540" i="1"/>
  <c r="B13301" i="1"/>
  <c r="D13301" i="1"/>
  <c r="G13301" i="1"/>
  <c r="B17737" i="1"/>
  <c r="D17737" i="1"/>
  <c r="G17737" i="1"/>
  <c r="B408" i="1"/>
  <c r="D408" i="1"/>
  <c r="G408" i="1"/>
  <c r="B11685" i="1"/>
  <c r="D11685" i="1"/>
  <c r="G11685" i="1"/>
  <c r="B11568" i="1"/>
  <c r="D11568" i="1"/>
  <c r="G11568" i="1"/>
  <c r="B4971" i="1"/>
  <c r="D4971" i="1"/>
  <c r="G4971" i="1"/>
  <c r="B12136" i="1"/>
  <c r="D12136" i="1"/>
  <c r="G12136" i="1"/>
  <c r="B7932" i="1"/>
  <c r="D7932" i="1"/>
  <c r="G7932" i="1"/>
  <c r="B7933" i="1"/>
  <c r="D7933" i="1"/>
  <c r="G7933" i="1"/>
  <c r="B17525" i="1"/>
  <c r="D17525" i="1"/>
  <c r="G17525" i="1"/>
  <c r="B2997" i="1"/>
  <c r="D2997" i="1"/>
  <c r="G2997" i="1"/>
  <c r="B15075" i="1"/>
  <c r="D15075" i="1"/>
  <c r="G15075" i="1"/>
  <c r="B3240" i="1"/>
  <c r="D3240" i="1"/>
  <c r="G3240" i="1"/>
  <c r="B8203" i="1"/>
  <c r="D8203" i="1"/>
  <c r="G8203" i="1"/>
  <c r="B6956" i="1"/>
  <c r="D6956" i="1"/>
  <c r="G6956" i="1"/>
  <c r="B15728" i="1"/>
  <c r="D15728" i="1"/>
  <c r="G15728" i="1"/>
  <c r="B20390" i="1"/>
  <c r="D20390" i="1"/>
  <c r="G20390" i="1"/>
  <c r="B9980" i="1"/>
  <c r="D9980" i="1"/>
  <c r="G9980" i="1"/>
  <c r="B5505" i="1"/>
  <c r="D5505" i="1"/>
  <c r="G5505" i="1"/>
  <c r="B5506" i="1"/>
  <c r="D5506" i="1"/>
  <c r="G5506" i="1"/>
  <c r="B11418" i="1"/>
  <c r="D11418" i="1"/>
  <c r="G11418" i="1"/>
  <c r="B10556" i="1"/>
  <c r="D10556" i="1"/>
  <c r="G10556" i="1"/>
  <c r="B10557" i="1"/>
  <c r="D10557" i="1"/>
  <c r="G10557" i="1"/>
  <c r="B10869" i="1"/>
  <c r="D10869" i="1"/>
  <c r="G10869" i="1"/>
  <c r="B10870" i="1"/>
  <c r="D10870" i="1"/>
  <c r="G10870" i="1"/>
  <c r="B6378" i="1"/>
  <c r="D6378" i="1"/>
  <c r="G6378" i="1"/>
  <c r="B6379" i="1"/>
  <c r="D6379" i="1"/>
  <c r="G6379" i="1"/>
  <c r="B15478" i="1"/>
  <c r="D15478" i="1"/>
  <c r="G15478" i="1"/>
  <c r="B10300" i="1"/>
  <c r="D10300" i="1"/>
  <c r="G10300" i="1"/>
  <c r="B11885" i="1"/>
  <c r="D11885" i="1"/>
  <c r="G11885" i="1"/>
  <c r="B2870" i="1"/>
  <c r="D2870" i="1"/>
  <c r="G2870" i="1"/>
  <c r="B11419" i="1"/>
  <c r="D11419" i="1"/>
  <c r="G11419" i="1"/>
  <c r="B18084" i="1"/>
  <c r="D18084" i="1"/>
  <c r="G18084" i="1"/>
  <c r="B12942" i="1"/>
  <c r="D12942" i="1"/>
  <c r="G12942" i="1"/>
  <c r="B21541" i="1"/>
  <c r="D21541" i="1"/>
  <c r="G21541" i="1"/>
  <c r="B11175" i="1"/>
  <c r="D11175" i="1"/>
  <c r="G11175" i="1"/>
  <c r="B19041" i="1"/>
  <c r="D19041" i="1"/>
  <c r="G19041" i="1"/>
  <c r="B13076" i="1"/>
  <c r="D13076" i="1"/>
  <c r="G13076" i="1"/>
  <c r="B5731" i="1"/>
  <c r="D5731" i="1"/>
  <c r="G5731" i="1"/>
  <c r="B138" i="1"/>
  <c r="D138" i="1"/>
  <c r="G138" i="1"/>
  <c r="B19540" i="1"/>
  <c r="D19540" i="1"/>
  <c r="G19540" i="1"/>
  <c r="B17109" i="1"/>
  <c r="D17109" i="1"/>
  <c r="G17109" i="1"/>
  <c r="B19227" i="1"/>
  <c r="D19227" i="1"/>
  <c r="G19227" i="1"/>
  <c r="B833" i="1"/>
  <c r="D833" i="1"/>
  <c r="G833" i="1"/>
  <c r="B15076" i="1"/>
  <c r="D15076" i="1"/>
  <c r="G15076" i="1"/>
  <c r="B10127" i="1"/>
  <c r="D10127" i="1"/>
  <c r="G10127" i="1"/>
  <c r="B11420" i="1"/>
  <c r="D11420" i="1"/>
  <c r="G11420" i="1"/>
  <c r="B3964" i="1"/>
  <c r="D3964" i="1"/>
  <c r="G3964" i="1"/>
  <c r="B20172" i="1"/>
  <c r="D20172" i="1"/>
  <c r="G20172" i="1"/>
  <c r="B11337" i="1"/>
  <c r="D11337" i="1"/>
  <c r="G11337" i="1"/>
  <c r="B11338" i="1"/>
  <c r="D11338" i="1"/>
  <c r="G11338" i="1"/>
  <c r="B12843" i="1"/>
  <c r="D12843" i="1"/>
  <c r="G12843" i="1"/>
  <c r="B2871" i="1"/>
  <c r="D2871" i="1"/>
  <c r="G2871" i="1"/>
  <c r="B13918" i="1"/>
  <c r="D13918" i="1"/>
  <c r="G13918" i="1"/>
  <c r="B19992" i="1"/>
  <c r="D19992" i="1"/>
  <c r="G19992" i="1"/>
  <c r="B12844" i="1"/>
  <c r="D12844" i="1"/>
  <c r="G12844" i="1"/>
  <c r="B312" i="1"/>
  <c r="D312" i="1"/>
  <c r="G312" i="1"/>
  <c r="B8906" i="1"/>
  <c r="D8906" i="1"/>
  <c r="G8906" i="1"/>
  <c r="B21542" i="1"/>
  <c r="D21542" i="1"/>
  <c r="G21542" i="1"/>
  <c r="B3646" i="1"/>
  <c r="D3646" i="1"/>
  <c r="G3646" i="1"/>
  <c r="B12137" i="1"/>
  <c r="D12137" i="1"/>
  <c r="G12137" i="1"/>
  <c r="B21460" i="1"/>
  <c r="D21460" i="1"/>
  <c r="G21460" i="1"/>
  <c r="B3195" i="1"/>
  <c r="D3195" i="1"/>
  <c r="G3195" i="1"/>
  <c r="B13077" i="1"/>
  <c r="D13077" i="1"/>
  <c r="G13077" i="1"/>
  <c r="B4177" i="1"/>
  <c r="D4177" i="1"/>
  <c r="G4177" i="1"/>
  <c r="B12845" i="1"/>
  <c r="D12845" i="1"/>
  <c r="G12845" i="1"/>
  <c r="B3647" i="1"/>
  <c r="D3647" i="1"/>
  <c r="G3647" i="1"/>
  <c r="B9831" i="1"/>
  <c r="D9831" i="1"/>
  <c r="G9831" i="1"/>
  <c r="B9832" i="1"/>
  <c r="D9832" i="1"/>
  <c r="G9832" i="1"/>
  <c r="B9551" i="1"/>
  <c r="D9551" i="1"/>
  <c r="G9551" i="1"/>
  <c r="B6957" i="1"/>
  <c r="D6957" i="1"/>
  <c r="G6957" i="1"/>
  <c r="B11802" i="1"/>
  <c r="D11802" i="1"/>
  <c r="G11802" i="1"/>
  <c r="B12138" i="1"/>
  <c r="D12138" i="1"/>
  <c r="G12138" i="1"/>
  <c r="B58" i="1"/>
  <c r="D58" i="1"/>
  <c r="G58" i="1"/>
  <c r="B2872" i="1"/>
  <c r="D2872" i="1"/>
  <c r="G2872" i="1"/>
  <c r="B17310" i="1"/>
  <c r="D17310" i="1"/>
  <c r="G17310" i="1"/>
  <c r="B11284" i="1"/>
  <c r="D11284" i="1"/>
  <c r="G11284" i="1"/>
  <c r="B6122" i="1"/>
  <c r="D6122" i="1"/>
  <c r="G6122" i="1"/>
  <c r="B9165" i="1"/>
  <c r="D9165" i="1"/>
  <c r="G9165" i="1"/>
  <c r="B11840" i="1"/>
  <c r="D11840" i="1"/>
  <c r="G11840" i="1"/>
  <c r="B2873" i="1"/>
  <c r="D2873" i="1"/>
  <c r="G2873" i="1"/>
  <c r="B11803" i="1"/>
  <c r="D11803" i="1"/>
  <c r="G11803" i="1"/>
  <c r="B15479" i="1"/>
  <c r="D15479" i="1"/>
  <c r="G15479" i="1"/>
  <c r="B13302" i="1"/>
  <c r="D13302" i="1"/>
  <c r="G13302" i="1"/>
  <c r="B11804" i="1"/>
  <c r="D11804" i="1"/>
  <c r="G11804" i="1"/>
  <c r="B18085" i="1"/>
  <c r="D18085" i="1"/>
  <c r="G18085" i="1"/>
  <c r="B19541" i="1"/>
  <c r="D19541" i="1"/>
  <c r="G19541" i="1"/>
  <c r="B6805" i="1"/>
  <c r="D6805" i="1"/>
  <c r="G6805" i="1"/>
  <c r="B3648" i="1"/>
  <c r="D3648" i="1"/>
  <c r="G3648" i="1"/>
  <c r="B139" i="1"/>
  <c r="D139" i="1"/>
  <c r="G139" i="1"/>
  <c r="B3965" i="1"/>
  <c r="D3965" i="1"/>
  <c r="G3965" i="1"/>
  <c r="B8907" i="1"/>
  <c r="D8907" i="1"/>
  <c r="G8907" i="1"/>
  <c r="B14835" i="1"/>
  <c r="D14835" i="1"/>
  <c r="G14835" i="1"/>
  <c r="B21543" i="1"/>
  <c r="D21543" i="1"/>
  <c r="G21543" i="1"/>
  <c r="B18495" i="1"/>
  <c r="D18495" i="1"/>
  <c r="G18495" i="1"/>
  <c r="B20124" i="1"/>
  <c r="D20124" i="1"/>
  <c r="G20124" i="1"/>
  <c r="B18178" i="1"/>
  <c r="D18178" i="1"/>
  <c r="G18178" i="1"/>
  <c r="B10165" i="1"/>
  <c r="D10165" i="1"/>
  <c r="G10165" i="1"/>
  <c r="B11857" i="1"/>
  <c r="D11857" i="1"/>
  <c r="G11857" i="1"/>
  <c r="B12979" i="1"/>
  <c r="D12979" i="1"/>
  <c r="G12979" i="1"/>
  <c r="B16064" i="1"/>
  <c r="D16064" i="1"/>
  <c r="G16064" i="1"/>
  <c r="B6056" i="1"/>
  <c r="D6056" i="1"/>
  <c r="G6056" i="1"/>
  <c r="B11569" i="1"/>
  <c r="D11569" i="1"/>
  <c r="G11569" i="1"/>
  <c r="B13419" i="1"/>
  <c r="D13419" i="1"/>
  <c r="G13419" i="1"/>
  <c r="B12139" i="1"/>
  <c r="D12139" i="1"/>
  <c r="G12139" i="1"/>
  <c r="B16512" i="1"/>
  <c r="D16512" i="1"/>
  <c r="G16512" i="1"/>
  <c r="B7934" i="1"/>
  <c r="D7934" i="1"/>
  <c r="G7934" i="1"/>
  <c r="B7935" i="1"/>
  <c r="D7935" i="1"/>
  <c r="G7935" i="1"/>
  <c r="B16006" i="1"/>
  <c r="D16006" i="1"/>
  <c r="G16006" i="1"/>
  <c r="B21086" i="1"/>
  <c r="D21086" i="1"/>
  <c r="G21086" i="1"/>
  <c r="B16513" i="1"/>
  <c r="D16513" i="1"/>
  <c r="G16513" i="1"/>
  <c r="B13303" i="1"/>
  <c r="D13303" i="1"/>
  <c r="G13303" i="1"/>
  <c r="B2874" i="1"/>
  <c r="D2874" i="1"/>
  <c r="G2874" i="1"/>
  <c r="B7560" i="1"/>
  <c r="D7560" i="1"/>
  <c r="G7560" i="1"/>
  <c r="B19542" i="1"/>
  <c r="D19542" i="1"/>
  <c r="G19542" i="1"/>
  <c r="B2140" i="1"/>
  <c r="D2140" i="1"/>
  <c r="G2140" i="1"/>
  <c r="B14354" i="1"/>
  <c r="D14354" i="1"/>
  <c r="G14354" i="1"/>
  <c r="B15880" i="1"/>
  <c r="D15880" i="1"/>
  <c r="G15880" i="1"/>
  <c r="B9164" i="1"/>
  <c r="D9164" i="1"/>
  <c r="G9164" i="1"/>
  <c r="B6380" i="1"/>
  <c r="D6380" i="1"/>
  <c r="G6380" i="1"/>
  <c r="B6381" i="1"/>
  <c r="D6381" i="1"/>
  <c r="G6381" i="1"/>
  <c r="B4178" i="1"/>
  <c r="D4178" i="1"/>
  <c r="G4178" i="1"/>
  <c r="B1281" i="1"/>
  <c r="D1281" i="1"/>
  <c r="G1281" i="1"/>
  <c r="B21781" i="1"/>
  <c r="D21781" i="1"/>
  <c r="G21781" i="1"/>
  <c r="B7033" i="1"/>
  <c r="D7033" i="1"/>
  <c r="G7033" i="1"/>
  <c r="B14836" i="1"/>
  <c r="D14836" i="1"/>
  <c r="G14836" i="1"/>
  <c r="B12140" i="1"/>
  <c r="D12140" i="1"/>
  <c r="G12140" i="1"/>
  <c r="B11718" i="1"/>
  <c r="D11718" i="1"/>
  <c r="G11718" i="1"/>
  <c r="B18496" i="1"/>
  <c r="D18496" i="1"/>
  <c r="G18496" i="1"/>
  <c r="B1372" i="1"/>
  <c r="D1372" i="1"/>
  <c r="G1372" i="1"/>
  <c r="B21914" i="1"/>
  <c r="D21914" i="1"/>
  <c r="G21914" i="1"/>
  <c r="B20041" i="1"/>
  <c r="D20041" i="1"/>
  <c r="G20041" i="1"/>
  <c r="B13608" i="1"/>
  <c r="D13608" i="1"/>
  <c r="G13608" i="1"/>
  <c r="B11570" i="1"/>
  <c r="D11570" i="1"/>
  <c r="G11570" i="1"/>
  <c r="B11571" i="1"/>
  <c r="D11571" i="1"/>
  <c r="G11571" i="1"/>
  <c r="B11686" i="1"/>
  <c r="D11686" i="1"/>
  <c r="G11686" i="1"/>
  <c r="B11421" i="1"/>
  <c r="D11421" i="1"/>
  <c r="G11421" i="1"/>
  <c r="B2404" i="1"/>
  <c r="D2404" i="1"/>
  <c r="G2404" i="1"/>
  <c r="B9260" i="1"/>
  <c r="D9260" i="1"/>
  <c r="G9260" i="1"/>
  <c r="B11176" i="1"/>
  <c r="D11176" i="1"/>
  <c r="G11176" i="1"/>
  <c r="B14495" i="1"/>
  <c r="D14495" i="1"/>
  <c r="G14495" i="1"/>
  <c r="B140" i="1"/>
  <c r="D140" i="1"/>
  <c r="G140" i="1"/>
  <c r="B15480" i="1"/>
  <c r="D15480" i="1"/>
  <c r="G15480" i="1"/>
  <c r="B14496" i="1"/>
  <c r="D14496" i="1"/>
  <c r="G14496" i="1"/>
  <c r="B9989" i="1"/>
  <c r="D9989" i="1"/>
  <c r="G9989" i="1"/>
  <c r="B15803" i="1"/>
  <c r="D15803" i="1"/>
  <c r="G15803" i="1"/>
  <c r="B12670" i="1"/>
  <c r="D12670" i="1"/>
  <c r="G12670" i="1"/>
  <c r="B21439" i="1"/>
  <c r="D21439" i="1"/>
  <c r="G21439" i="1"/>
  <c r="B12141" i="1"/>
  <c r="D12141" i="1"/>
  <c r="G12141" i="1"/>
  <c r="B21087" i="1"/>
  <c r="D21087" i="1"/>
  <c r="G21087" i="1"/>
  <c r="B14355" i="1"/>
  <c r="D14355" i="1"/>
  <c r="G14355" i="1"/>
  <c r="B12671" i="1"/>
  <c r="D12671" i="1"/>
  <c r="G12671" i="1"/>
  <c r="B16514" i="1"/>
  <c r="D16514" i="1"/>
  <c r="G16514" i="1"/>
  <c r="B13153" i="1"/>
  <c r="D13153" i="1"/>
  <c r="G13153" i="1"/>
  <c r="B12846" i="1"/>
  <c r="D12846" i="1"/>
  <c r="G12846" i="1"/>
  <c r="B14396" i="1"/>
  <c r="D14396" i="1"/>
  <c r="G14396" i="1"/>
  <c r="B15683" i="1"/>
  <c r="D15683" i="1"/>
  <c r="G15683" i="1"/>
  <c r="B21712" i="1"/>
  <c r="D21712" i="1"/>
  <c r="G21712" i="1"/>
  <c r="B7561" i="1"/>
  <c r="D7561" i="1"/>
  <c r="G7561" i="1"/>
  <c r="B21915" i="1"/>
  <c r="D21915" i="1"/>
  <c r="G21915" i="1"/>
  <c r="B1973" i="1"/>
  <c r="D1973" i="1"/>
  <c r="G1973" i="1"/>
  <c r="B20173" i="1"/>
  <c r="D20173" i="1"/>
  <c r="G20173" i="1"/>
  <c r="B10871" i="1"/>
  <c r="D10871" i="1"/>
  <c r="G10871" i="1"/>
  <c r="B13797" i="1"/>
  <c r="D13797" i="1"/>
  <c r="G13797" i="1"/>
  <c r="B3218" i="1"/>
  <c r="D3218" i="1"/>
  <c r="G3218" i="1"/>
  <c r="B4169" i="1"/>
  <c r="D4169" i="1"/>
  <c r="G4169" i="1"/>
  <c r="B1729" i="1"/>
  <c r="D1729" i="1"/>
  <c r="G1729" i="1"/>
  <c r="B1730" i="1"/>
  <c r="D1730" i="1"/>
  <c r="G1730" i="1"/>
  <c r="B1731" i="1"/>
  <c r="D1731" i="1"/>
  <c r="G1731" i="1"/>
  <c r="B22040" i="1"/>
  <c r="D22040" i="1"/>
  <c r="G22040" i="1"/>
  <c r="B4253" i="1"/>
  <c r="D4253" i="1"/>
  <c r="G4253" i="1"/>
  <c r="B2875" i="1"/>
  <c r="D2875" i="1"/>
  <c r="G2875" i="1"/>
  <c r="B18877" i="1"/>
  <c r="D18877" i="1"/>
  <c r="G18877" i="1"/>
  <c r="B15077" i="1"/>
  <c r="D15077" i="1"/>
  <c r="G15077" i="1"/>
  <c r="B15481" i="1"/>
  <c r="D15481" i="1"/>
  <c r="G15481" i="1"/>
  <c r="B10558" i="1"/>
  <c r="D10558" i="1"/>
  <c r="G10558" i="1"/>
  <c r="B10184" i="1"/>
  <c r="D10184" i="1"/>
  <c r="G10184" i="1"/>
  <c r="B1282" i="1"/>
  <c r="D1282" i="1"/>
  <c r="G1282" i="1"/>
  <c r="B11572" i="1"/>
  <c r="D11572" i="1"/>
  <c r="G11572" i="1"/>
  <c r="B11687" i="1"/>
  <c r="D11687" i="1"/>
  <c r="G11687" i="1"/>
  <c r="B11688" i="1"/>
  <c r="D11688" i="1"/>
  <c r="G11688" i="1"/>
  <c r="B16978" i="1"/>
  <c r="D16978" i="1"/>
  <c r="G16978" i="1"/>
  <c r="B3966" i="1"/>
  <c r="D3966" i="1"/>
  <c r="G3966" i="1"/>
  <c r="B11573" i="1"/>
  <c r="D11573" i="1"/>
  <c r="G11573" i="1"/>
  <c r="B14729" i="1"/>
  <c r="D14729" i="1"/>
  <c r="G14729" i="1"/>
  <c r="B16515" i="1"/>
  <c r="D16515" i="1"/>
  <c r="G16515" i="1"/>
  <c r="B5507" i="1"/>
  <c r="D5507" i="1"/>
  <c r="G5507" i="1"/>
  <c r="B18497" i="1"/>
  <c r="D18497" i="1"/>
  <c r="G18497" i="1"/>
  <c r="B14497" i="1"/>
  <c r="D14497" i="1"/>
  <c r="G14497" i="1"/>
  <c r="B3649" i="1"/>
  <c r="D3649" i="1"/>
  <c r="G3649" i="1"/>
  <c r="B2876" i="1"/>
  <c r="D2876" i="1"/>
  <c r="G2876" i="1"/>
  <c r="B19993" i="1"/>
  <c r="D19993" i="1"/>
  <c r="G19993" i="1"/>
  <c r="B10559" i="1"/>
  <c r="D10559" i="1"/>
  <c r="G10559" i="1"/>
  <c r="B10560" i="1"/>
  <c r="D10560" i="1"/>
  <c r="G10560" i="1"/>
  <c r="B10872" i="1"/>
  <c r="D10872" i="1"/>
  <c r="G10872" i="1"/>
  <c r="B10873" i="1"/>
  <c r="D10873" i="1"/>
  <c r="G10873" i="1"/>
  <c r="B18498" i="1"/>
  <c r="D18498" i="1"/>
  <c r="G18498" i="1"/>
  <c r="B3650" i="1"/>
  <c r="D3650" i="1"/>
  <c r="G3650" i="1"/>
  <c r="B19543" i="1"/>
  <c r="D19543" i="1"/>
  <c r="G19543" i="1"/>
  <c r="B12142" i="1"/>
  <c r="D12142" i="1"/>
  <c r="G12142" i="1"/>
  <c r="B22041" i="1"/>
  <c r="D22041" i="1"/>
  <c r="G22041" i="1"/>
  <c r="B18878" i="1"/>
  <c r="D18878" i="1"/>
  <c r="G18878" i="1"/>
  <c r="B15078" i="1"/>
  <c r="D15078" i="1"/>
  <c r="G15078" i="1"/>
  <c r="B9108" i="1"/>
  <c r="D9108" i="1"/>
  <c r="G9108" i="1"/>
  <c r="B3651" i="1"/>
  <c r="D3651" i="1"/>
  <c r="G3651" i="1"/>
  <c r="B10301" i="1"/>
  <c r="D10301" i="1"/>
  <c r="G10301" i="1"/>
  <c r="B15482" i="1"/>
  <c r="D15482" i="1"/>
  <c r="G15482" i="1"/>
  <c r="B11177" i="1"/>
  <c r="D11177" i="1"/>
  <c r="G11177" i="1"/>
  <c r="B19544" i="1"/>
  <c r="D19544" i="1"/>
  <c r="G19544" i="1"/>
  <c r="B15079" i="1"/>
  <c r="D15079" i="1"/>
  <c r="G15079" i="1"/>
  <c r="B206" i="1"/>
  <c r="D206" i="1"/>
  <c r="G206" i="1"/>
  <c r="B15881" i="1"/>
  <c r="D15881" i="1"/>
  <c r="G15881" i="1"/>
  <c r="B7043" i="1"/>
  <c r="D7043" i="1"/>
  <c r="G7043" i="1"/>
  <c r="B14730" i="1"/>
  <c r="D14730" i="1"/>
  <c r="G14730" i="1"/>
  <c r="B11339" i="1"/>
  <c r="D11339" i="1"/>
  <c r="G11339" i="1"/>
  <c r="B11340" i="1"/>
  <c r="D11340" i="1"/>
  <c r="G11340" i="1"/>
  <c r="B15483" i="1"/>
  <c r="D15483" i="1"/>
  <c r="G15483" i="1"/>
  <c r="B15080" i="1"/>
  <c r="D15080" i="1"/>
  <c r="G15080" i="1"/>
  <c r="B3765" i="1"/>
  <c r="D3765" i="1"/>
  <c r="G3765" i="1"/>
  <c r="B15081" i="1"/>
  <c r="D15081" i="1"/>
  <c r="G15081" i="1"/>
  <c r="B10561" i="1"/>
  <c r="D10561" i="1"/>
  <c r="G10561" i="1"/>
  <c r="B4648" i="1"/>
  <c r="D4648" i="1"/>
  <c r="G4648" i="1"/>
  <c r="B16516" i="1"/>
  <c r="D16516" i="1"/>
  <c r="G16516" i="1"/>
  <c r="B8908" i="1"/>
  <c r="D8908" i="1"/>
  <c r="G8908" i="1"/>
  <c r="B14025" i="1"/>
  <c r="D14025" i="1"/>
  <c r="G14025" i="1"/>
  <c r="B17110" i="1"/>
  <c r="D17110" i="1"/>
  <c r="G17110" i="1"/>
  <c r="B16517" i="1"/>
  <c r="D16517" i="1"/>
  <c r="G16517" i="1"/>
  <c r="B17111" i="1"/>
  <c r="D17111" i="1"/>
  <c r="G17111" i="1"/>
  <c r="B21088" i="1"/>
  <c r="D21088" i="1"/>
  <c r="G21088" i="1"/>
  <c r="B2312" i="1"/>
  <c r="D2312" i="1"/>
  <c r="G2312" i="1"/>
  <c r="B6057" i="1"/>
  <c r="D6057" i="1"/>
  <c r="G6057" i="1"/>
  <c r="B16518" i="1"/>
  <c r="D16518" i="1"/>
  <c r="G16518" i="1"/>
  <c r="B10874" i="1"/>
  <c r="D10874" i="1"/>
  <c r="G10874" i="1"/>
  <c r="B8909" i="1"/>
  <c r="D8909" i="1"/>
  <c r="G8909" i="1"/>
  <c r="B8910" i="1"/>
  <c r="D8910" i="1"/>
  <c r="G8910" i="1"/>
  <c r="B14837" i="1"/>
  <c r="D14837" i="1"/>
  <c r="G14837" i="1"/>
  <c r="B19545" i="1"/>
  <c r="D19545" i="1"/>
  <c r="G19545" i="1"/>
  <c r="B11422" i="1"/>
  <c r="D11422" i="1"/>
  <c r="G11422" i="1"/>
  <c r="B19042" i="1"/>
  <c r="D19042" i="1"/>
  <c r="G19042" i="1"/>
  <c r="B3296" i="1"/>
  <c r="D3296" i="1"/>
  <c r="G3296" i="1"/>
  <c r="B15484" i="1"/>
  <c r="D15484" i="1"/>
  <c r="G15484" i="1"/>
  <c r="B21916" i="1"/>
  <c r="D21916" i="1"/>
  <c r="G21916" i="1"/>
  <c r="B15082" i="1"/>
  <c r="D15082" i="1"/>
  <c r="G15082" i="1"/>
  <c r="B4418" i="1"/>
  <c r="D4418" i="1"/>
  <c r="G4418" i="1"/>
  <c r="B11837" i="1"/>
  <c r="D11837" i="1"/>
  <c r="G11837" i="1"/>
  <c r="B259" i="1"/>
  <c r="D259" i="1"/>
  <c r="G259" i="1"/>
  <c r="B10562" i="1"/>
  <c r="D10562" i="1"/>
  <c r="G10562" i="1"/>
  <c r="B10563" i="1"/>
  <c r="D10563" i="1"/>
  <c r="G10563" i="1"/>
  <c r="B10875" i="1"/>
  <c r="D10875" i="1"/>
  <c r="G10875" i="1"/>
  <c r="B10876" i="1"/>
  <c r="D10876" i="1"/>
  <c r="G10876" i="1"/>
  <c r="B20391" i="1"/>
  <c r="D20391" i="1"/>
  <c r="G20391" i="1"/>
  <c r="B20302" i="1"/>
  <c r="D20302" i="1"/>
  <c r="G20302" i="1"/>
  <c r="B15083" i="1"/>
  <c r="D15083" i="1"/>
  <c r="G15083" i="1"/>
  <c r="B16979" i="1"/>
  <c r="D16979" i="1"/>
  <c r="G16979" i="1"/>
  <c r="B12143" i="1"/>
  <c r="D12143" i="1"/>
  <c r="G12143" i="1"/>
  <c r="B16104" i="1"/>
  <c r="D16104" i="1"/>
  <c r="G16104" i="1"/>
  <c r="B10204" i="1"/>
  <c r="D10204" i="1"/>
  <c r="G10204" i="1"/>
  <c r="B21802" i="1"/>
  <c r="D21802" i="1"/>
  <c r="G21802" i="1"/>
  <c r="B17112" i="1"/>
  <c r="D17112" i="1"/>
  <c r="G17112" i="1"/>
  <c r="B10302" i="1"/>
  <c r="D10302" i="1"/>
  <c r="G10302" i="1"/>
  <c r="B22042" i="1"/>
  <c r="D22042" i="1"/>
  <c r="G22042" i="1"/>
  <c r="B11178" i="1"/>
  <c r="D11178" i="1"/>
  <c r="G11178" i="1"/>
  <c r="B2245" i="1"/>
  <c r="D2245" i="1"/>
  <c r="G2245" i="1"/>
  <c r="B10877" i="1"/>
  <c r="D10877" i="1"/>
  <c r="G10877" i="1"/>
  <c r="B21089" i="1"/>
  <c r="D21089" i="1"/>
  <c r="G21089" i="1"/>
  <c r="B11179" i="1"/>
  <c r="D11179" i="1"/>
  <c r="G11179" i="1"/>
  <c r="B18122" i="1"/>
  <c r="D18122" i="1"/>
  <c r="G18122" i="1"/>
  <c r="B6382" i="1"/>
  <c r="D6382" i="1"/>
  <c r="G6382" i="1"/>
  <c r="B13209" i="1"/>
  <c r="D13209" i="1"/>
  <c r="G13209" i="1"/>
  <c r="B20837" i="1"/>
  <c r="D20837" i="1"/>
  <c r="G20837" i="1"/>
  <c r="B15485" i="1"/>
  <c r="D15485" i="1"/>
  <c r="G15485" i="1"/>
  <c r="B15084" i="1"/>
  <c r="D15084" i="1"/>
  <c r="G15084" i="1"/>
  <c r="B15705" i="1"/>
  <c r="D15705" i="1"/>
  <c r="G15705" i="1"/>
  <c r="B14838" i="1"/>
  <c r="D14838" i="1"/>
  <c r="G14838" i="1"/>
  <c r="B14498" i="1"/>
  <c r="D14498" i="1"/>
  <c r="G14498" i="1"/>
  <c r="B18499" i="1"/>
  <c r="D18499" i="1"/>
  <c r="G18499" i="1"/>
  <c r="B18500" i="1"/>
  <c r="D18500" i="1"/>
  <c r="G18500" i="1"/>
  <c r="B141" i="1"/>
  <c r="D141" i="1"/>
  <c r="G141" i="1"/>
  <c r="B5143" i="1"/>
  <c r="D5143" i="1"/>
  <c r="G5143" i="1"/>
  <c r="B8911" i="1"/>
  <c r="D8911" i="1"/>
  <c r="G8911" i="1"/>
  <c r="B16519" i="1"/>
  <c r="D16519" i="1"/>
  <c r="G16519" i="1"/>
  <c r="B15085" i="1"/>
  <c r="D15085" i="1"/>
  <c r="G15085" i="1"/>
  <c r="B11423" i="1"/>
  <c r="D11423" i="1"/>
  <c r="G11423" i="1"/>
  <c r="B20101" i="1"/>
  <c r="D20101" i="1"/>
  <c r="G20101" i="1"/>
  <c r="B14017" i="1"/>
  <c r="D14017" i="1"/>
  <c r="G14017" i="1"/>
  <c r="B1542" i="1"/>
  <c r="D1542" i="1"/>
  <c r="G1542" i="1"/>
  <c r="B11285" i="1"/>
  <c r="D11285" i="1"/>
  <c r="G11285" i="1"/>
  <c r="B20613" i="1"/>
  <c r="D20613" i="1"/>
  <c r="G20613" i="1"/>
  <c r="B11689" i="1"/>
  <c r="D11689" i="1"/>
  <c r="G11689" i="1"/>
  <c r="B19546" i="1"/>
  <c r="D19546" i="1"/>
  <c r="G19546" i="1"/>
  <c r="B11805" i="1"/>
  <c r="D11805" i="1"/>
  <c r="G11805" i="1"/>
  <c r="B11806" i="1"/>
  <c r="D11806" i="1"/>
  <c r="G11806" i="1"/>
  <c r="B18123" i="1"/>
  <c r="D18123" i="1"/>
  <c r="G18123" i="1"/>
  <c r="B22160" i="1"/>
  <c r="D22160" i="1"/>
  <c r="G22160" i="1"/>
  <c r="B12144" i="1"/>
  <c r="D12144" i="1"/>
  <c r="G12144" i="1"/>
  <c r="B3967" i="1"/>
  <c r="D3967" i="1"/>
  <c r="G3967" i="1"/>
  <c r="B20125" i="1"/>
  <c r="D20125" i="1"/>
  <c r="G20125" i="1"/>
  <c r="B9133" i="1"/>
  <c r="D9133" i="1"/>
  <c r="G9133" i="1"/>
  <c r="B2877" i="1"/>
  <c r="D2877" i="1"/>
  <c r="G2877" i="1"/>
  <c r="B6958" i="1"/>
  <c r="D6958" i="1"/>
  <c r="G6958" i="1"/>
  <c r="B877" i="1"/>
  <c r="D877" i="1"/>
  <c r="G877" i="1"/>
  <c r="B21090" i="1"/>
  <c r="D21090" i="1"/>
  <c r="G21090" i="1"/>
  <c r="B22043" i="1"/>
  <c r="D22043" i="1"/>
  <c r="G22043" i="1"/>
  <c r="B18879" i="1"/>
  <c r="D18879" i="1"/>
  <c r="G18879" i="1"/>
  <c r="B15086" i="1"/>
  <c r="D15086" i="1"/>
  <c r="G15086" i="1"/>
  <c r="B15486" i="1"/>
  <c r="D15486" i="1"/>
  <c r="G15486" i="1"/>
  <c r="B13632" i="1"/>
  <c r="D13632" i="1"/>
  <c r="G13632" i="1"/>
  <c r="B15487" i="1"/>
  <c r="D15487" i="1"/>
  <c r="G15487" i="1"/>
  <c r="B15964" i="1"/>
  <c r="D15964" i="1"/>
  <c r="G15964" i="1"/>
  <c r="B18124" i="1"/>
  <c r="D18124" i="1"/>
  <c r="G18124" i="1"/>
  <c r="B17590" i="1"/>
  <c r="D17590" i="1"/>
  <c r="G17590" i="1"/>
  <c r="B11574" i="1"/>
  <c r="D11574" i="1"/>
  <c r="G11574" i="1"/>
  <c r="B5230" i="1"/>
  <c r="D5230" i="1"/>
  <c r="G5230" i="1"/>
  <c r="B14731" i="1"/>
  <c r="D14731" i="1"/>
  <c r="G14731" i="1"/>
  <c r="B16105" i="1"/>
  <c r="D16105" i="1"/>
  <c r="G16105" i="1"/>
  <c r="B13304" i="1"/>
  <c r="D13304" i="1"/>
  <c r="G13304" i="1"/>
  <c r="B19043" i="1"/>
  <c r="D19043" i="1"/>
  <c r="G19043" i="1"/>
  <c r="B18880" i="1"/>
  <c r="D18880" i="1"/>
  <c r="G18880" i="1"/>
  <c r="B3652" i="1"/>
  <c r="D3652" i="1"/>
  <c r="G3652" i="1"/>
  <c r="B11575" i="1"/>
  <c r="D11575" i="1"/>
  <c r="G11575" i="1"/>
  <c r="B11576" i="1"/>
  <c r="D11576" i="1"/>
  <c r="G11576" i="1"/>
  <c r="B11577" i="1"/>
  <c r="D11577" i="1"/>
  <c r="G11577" i="1"/>
  <c r="B11690" i="1"/>
  <c r="D11690" i="1"/>
  <c r="G11690" i="1"/>
  <c r="B409" i="1"/>
  <c r="D409" i="1"/>
  <c r="G409" i="1"/>
  <c r="B10878" i="1"/>
  <c r="D10878" i="1"/>
  <c r="G10878" i="1"/>
  <c r="B14342" i="1"/>
  <c r="D14342" i="1"/>
  <c r="G14342" i="1"/>
  <c r="B9158" i="1"/>
  <c r="D9158" i="1"/>
  <c r="G9158" i="1"/>
  <c r="B11180" i="1"/>
  <c r="D11180" i="1"/>
  <c r="G11180" i="1"/>
  <c r="B18501" i="1"/>
  <c r="D18501" i="1"/>
  <c r="G18501" i="1"/>
  <c r="B9880" i="1"/>
  <c r="D9880" i="1"/>
  <c r="G9880" i="1"/>
  <c r="B16520" i="1"/>
  <c r="D16520" i="1"/>
  <c r="G16520" i="1"/>
  <c r="B11424" i="1"/>
  <c r="D11424" i="1"/>
  <c r="G11424" i="1"/>
  <c r="B3357" i="1"/>
  <c r="D3357" i="1"/>
  <c r="G3357" i="1"/>
  <c r="B11341" i="1"/>
  <c r="D11341" i="1"/>
  <c r="G11341" i="1"/>
  <c r="B11807" i="1"/>
  <c r="D11807" i="1"/>
  <c r="G11807" i="1"/>
  <c r="B11808" i="1"/>
  <c r="D11808" i="1"/>
  <c r="G11808" i="1"/>
  <c r="B17236" i="1"/>
  <c r="D17236" i="1"/>
  <c r="G17236" i="1"/>
  <c r="B720" i="1"/>
  <c r="D720" i="1"/>
  <c r="G720" i="1"/>
  <c r="B588" i="1"/>
  <c r="D588" i="1"/>
  <c r="G588" i="1"/>
  <c r="B4747" i="1"/>
  <c r="D4747" i="1"/>
  <c r="G4747" i="1"/>
  <c r="B260" i="1"/>
  <c r="D260" i="1"/>
  <c r="G260" i="1"/>
  <c r="B4078" i="1"/>
  <c r="D4078" i="1"/>
  <c r="G4078" i="1"/>
  <c r="B19547" i="1"/>
  <c r="D19547" i="1"/>
  <c r="G19547" i="1"/>
  <c r="B10163" i="1"/>
  <c r="D10163" i="1"/>
  <c r="G10163" i="1"/>
  <c r="B11578" i="1"/>
  <c r="D11578" i="1"/>
  <c r="G11578" i="1"/>
  <c r="B17526" i="1"/>
  <c r="D17526" i="1"/>
  <c r="G17526" i="1"/>
  <c r="B10027" i="1"/>
  <c r="D10027" i="1"/>
  <c r="G10027" i="1"/>
  <c r="B3241" i="1"/>
  <c r="D3241" i="1"/>
  <c r="G3241" i="1"/>
  <c r="B12145" i="1"/>
  <c r="D12145" i="1"/>
  <c r="G12145" i="1"/>
  <c r="B9201" i="1"/>
  <c r="D9201" i="1"/>
  <c r="G9201" i="1"/>
  <c r="B1438" i="1"/>
  <c r="D1438" i="1"/>
  <c r="G1438" i="1"/>
  <c r="B11861" i="1"/>
  <c r="D11861" i="1"/>
  <c r="G11861" i="1"/>
  <c r="B11846" i="1"/>
  <c r="D11846" i="1"/>
  <c r="G11846" i="1"/>
  <c r="B13833" i="1"/>
  <c r="D13833" i="1"/>
  <c r="G13833" i="1"/>
  <c r="B2141" i="1"/>
  <c r="D2141" i="1"/>
  <c r="G2141" i="1"/>
  <c r="B4112" i="1"/>
  <c r="D4112" i="1"/>
  <c r="G4112" i="1"/>
  <c r="B11579" i="1"/>
  <c r="D11579" i="1"/>
  <c r="G11579" i="1"/>
  <c r="B11580" i="1"/>
  <c r="D11580" i="1"/>
  <c r="G11580" i="1"/>
  <c r="B3653" i="1"/>
  <c r="D3653" i="1"/>
  <c r="G3653" i="1"/>
  <c r="B10879" i="1"/>
  <c r="D10879" i="1"/>
  <c r="G10879" i="1"/>
  <c r="B10564" i="1"/>
  <c r="D10564" i="1"/>
  <c r="G10564" i="1"/>
  <c r="B21917" i="1"/>
  <c r="D21917" i="1"/>
  <c r="G21917" i="1"/>
  <c r="B1461" i="1"/>
  <c r="D1461" i="1"/>
  <c r="G1461" i="1"/>
  <c r="B16521" i="1"/>
  <c r="D16521" i="1"/>
  <c r="G16521" i="1"/>
  <c r="B11181" i="1"/>
  <c r="D11181" i="1"/>
  <c r="G11181" i="1"/>
  <c r="B9881" i="1"/>
  <c r="D9881" i="1"/>
  <c r="G9881" i="1"/>
  <c r="B10565" i="1"/>
  <c r="D10565" i="1"/>
  <c r="G10565" i="1"/>
  <c r="B10566" i="1"/>
  <c r="D10566" i="1"/>
  <c r="G10566" i="1"/>
  <c r="B10880" i="1"/>
  <c r="D10880" i="1"/>
  <c r="G10880" i="1"/>
  <c r="B10881" i="1"/>
  <c r="D10881" i="1"/>
  <c r="G10881" i="1"/>
  <c r="B12146" i="1"/>
  <c r="D12146" i="1"/>
  <c r="G12146" i="1"/>
  <c r="B7936" i="1"/>
  <c r="D7936" i="1"/>
  <c r="G7936" i="1"/>
  <c r="B9191" i="1"/>
  <c r="D9191" i="1"/>
  <c r="G9191" i="1"/>
  <c r="B10567" i="1"/>
  <c r="D10567" i="1"/>
  <c r="G10567" i="1"/>
  <c r="B17591" i="1"/>
  <c r="D17591" i="1"/>
  <c r="G17591" i="1"/>
  <c r="B18502" i="1"/>
  <c r="D18502" i="1"/>
  <c r="G18502" i="1"/>
  <c r="B11182" i="1"/>
  <c r="D11182" i="1"/>
  <c r="G11182" i="1"/>
  <c r="B12847" i="1"/>
  <c r="D12847" i="1"/>
  <c r="G12847" i="1"/>
  <c r="B7648" i="1"/>
  <c r="D7648" i="1"/>
  <c r="G7648" i="1"/>
  <c r="B15087" i="1"/>
  <c r="D15087" i="1"/>
  <c r="G15087" i="1"/>
  <c r="B20838" i="1"/>
  <c r="D20838" i="1"/>
  <c r="G20838" i="1"/>
  <c r="B112" i="1"/>
  <c r="D112" i="1"/>
  <c r="G112" i="1"/>
  <c r="B19228" i="1"/>
  <c r="D19228" i="1"/>
  <c r="G19228" i="1"/>
  <c r="B13224" i="1"/>
  <c r="D13224" i="1"/>
  <c r="G13224" i="1"/>
  <c r="B14624" i="1"/>
  <c r="D14624" i="1"/>
  <c r="G14624" i="1"/>
  <c r="B14810" i="1"/>
  <c r="D14810" i="1"/>
  <c r="G14810" i="1"/>
  <c r="B12848" i="1"/>
  <c r="D12848" i="1"/>
  <c r="G12848" i="1"/>
  <c r="B1944" i="1"/>
  <c r="D1944" i="1"/>
  <c r="G1944" i="1"/>
  <c r="B2878" i="1"/>
  <c r="D2878" i="1"/>
  <c r="G2878" i="1"/>
  <c r="B4748" i="1"/>
  <c r="D4748" i="1"/>
  <c r="G4748" i="1"/>
  <c r="B20839" i="1"/>
  <c r="D20839" i="1"/>
  <c r="G20839" i="1"/>
  <c r="B19229" i="1"/>
  <c r="D19229" i="1"/>
  <c r="G19229" i="1"/>
  <c r="B14625" i="1"/>
  <c r="D14625" i="1"/>
  <c r="G14625" i="1"/>
  <c r="B1026" i="1"/>
  <c r="D1026" i="1"/>
  <c r="G1026" i="1"/>
  <c r="B11342" i="1"/>
  <c r="D11342" i="1"/>
  <c r="G11342" i="1"/>
  <c r="B1283" i="1"/>
  <c r="D1283" i="1"/>
  <c r="G1283" i="1"/>
  <c r="B1284" i="1"/>
  <c r="D1284" i="1"/>
  <c r="G1284" i="1"/>
  <c r="B9214" i="1"/>
  <c r="D9214" i="1"/>
  <c r="G9214" i="1"/>
  <c r="B10303" i="1"/>
  <c r="D10303" i="1"/>
  <c r="G10303" i="1"/>
  <c r="B12672" i="1"/>
  <c r="D12672" i="1"/>
  <c r="G12672" i="1"/>
  <c r="B17237" i="1"/>
  <c r="D17237" i="1"/>
  <c r="G17237" i="1"/>
  <c r="B13420" i="1"/>
  <c r="D13420" i="1"/>
  <c r="G13420" i="1"/>
  <c r="B16522" i="1"/>
  <c r="D16522" i="1"/>
  <c r="G16522" i="1"/>
  <c r="B10369" i="1"/>
  <c r="D10369" i="1"/>
  <c r="G10369" i="1"/>
  <c r="B16523" i="1"/>
  <c r="D16523" i="1"/>
  <c r="G16523" i="1"/>
  <c r="B10882" i="1"/>
  <c r="D10882" i="1"/>
  <c r="G10882" i="1"/>
  <c r="B12147" i="1"/>
  <c r="D12147" i="1"/>
  <c r="G12147" i="1"/>
  <c r="B12148" i="1"/>
  <c r="D12148" i="1"/>
  <c r="G12148" i="1"/>
  <c r="B4954" i="1"/>
  <c r="D4954" i="1"/>
  <c r="G4954" i="1"/>
  <c r="B16106" i="1"/>
  <c r="D16106" i="1"/>
  <c r="G16106" i="1"/>
  <c r="B1512" i="1"/>
  <c r="D1512" i="1"/>
  <c r="G1512" i="1"/>
  <c r="B11183" i="1"/>
  <c r="D11183" i="1"/>
  <c r="G11183" i="1"/>
  <c r="B19548" i="1"/>
  <c r="D19548" i="1"/>
  <c r="G19548" i="1"/>
  <c r="B3289" i="1"/>
  <c r="D3289" i="1"/>
  <c r="G3289" i="1"/>
  <c r="B10370" i="1"/>
  <c r="D10370" i="1"/>
  <c r="G10370" i="1"/>
  <c r="B10883" i="1"/>
  <c r="D10883" i="1"/>
  <c r="G10883" i="1"/>
  <c r="B17738" i="1"/>
  <c r="D17738" i="1"/>
  <c r="G17738" i="1"/>
  <c r="B20840" i="1"/>
  <c r="D20840" i="1"/>
  <c r="G20840" i="1"/>
  <c r="B18125" i="1"/>
  <c r="D18125" i="1"/>
  <c r="G18125" i="1"/>
  <c r="B20841" i="1"/>
  <c r="D20841" i="1"/>
  <c r="G20841" i="1"/>
  <c r="B11184" i="1"/>
  <c r="D11184" i="1"/>
  <c r="G11184" i="1"/>
  <c r="B12509" i="1"/>
  <c r="D12509" i="1"/>
  <c r="G12509" i="1"/>
  <c r="B2502" i="1"/>
  <c r="D2502" i="1"/>
  <c r="G2502" i="1"/>
  <c r="B12510" i="1"/>
  <c r="D12510" i="1"/>
  <c r="G12510" i="1"/>
  <c r="B17739" i="1"/>
  <c r="D17739" i="1"/>
  <c r="G17739" i="1"/>
  <c r="B10" i="1"/>
  <c r="D10" i="1"/>
  <c r="G10" i="1"/>
  <c r="B12511" i="1"/>
  <c r="D12511" i="1"/>
  <c r="G12511" i="1"/>
  <c r="B21091" i="1"/>
  <c r="D21091" i="1"/>
  <c r="G21091" i="1"/>
  <c r="B4870" i="1"/>
  <c r="D4870" i="1"/>
  <c r="G4870" i="1"/>
  <c r="B10568" i="1"/>
  <c r="D10568" i="1"/>
  <c r="G10568" i="1"/>
  <c r="B10569" i="1"/>
  <c r="D10569" i="1"/>
  <c r="G10569" i="1"/>
  <c r="B10884" i="1"/>
  <c r="D10884" i="1"/>
  <c r="G10884" i="1"/>
  <c r="B10885" i="1"/>
  <c r="D10885" i="1"/>
  <c r="G10885" i="1"/>
  <c r="B5231" i="1"/>
  <c r="D5231" i="1"/>
  <c r="G5231" i="1"/>
  <c r="B21092" i="1"/>
  <c r="D21092" i="1"/>
  <c r="G21092" i="1"/>
  <c r="B5232" i="1"/>
  <c r="D5232" i="1"/>
  <c r="G5232" i="1"/>
  <c r="B10570" i="1"/>
  <c r="D10570" i="1"/>
  <c r="G10570" i="1"/>
  <c r="B13305" i="1"/>
  <c r="D13305" i="1"/>
  <c r="G13305" i="1"/>
  <c r="B11" i="1"/>
  <c r="D11" i="1"/>
  <c r="G11" i="1"/>
  <c r="B19549" i="1"/>
  <c r="D19549" i="1"/>
  <c r="G19549" i="1"/>
  <c r="B19550" i="1"/>
  <c r="D19550" i="1"/>
  <c r="G19550" i="1"/>
  <c r="B3654" i="1"/>
  <c r="D3654" i="1"/>
  <c r="G3654" i="1"/>
  <c r="B6508" i="1"/>
  <c r="D6508" i="1"/>
  <c r="G6508" i="1"/>
  <c r="B11185" i="1"/>
  <c r="D11185" i="1"/>
  <c r="G11185" i="1"/>
  <c r="B248" i="1"/>
  <c r="D248" i="1"/>
  <c r="G248" i="1"/>
  <c r="B10886" i="1"/>
  <c r="D10886" i="1"/>
  <c r="G10886" i="1"/>
  <c r="B16980" i="1"/>
  <c r="D16980" i="1"/>
  <c r="G16980" i="1"/>
  <c r="B3313" i="1"/>
  <c r="D3313" i="1"/>
  <c r="G3313" i="1"/>
  <c r="B10304" i="1"/>
  <c r="D10304" i="1"/>
  <c r="G10304" i="1"/>
  <c r="B3412" i="1"/>
  <c r="D3412" i="1"/>
  <c r="G3412" i="1"/>
  <c r="B4443" i="1"/>
  <c r="D4443" i="1"/>
  <c r="G4443" i="1"/>
  <c r="B19551" i="1"/>
  <c r="D19551" i="1"/>
  <c r="G19551" i="1"/>
  <c r="B18503" i="1"/>
  <c r="D18503" i="1"/>
  <c r="G18503" i="1"/>
  <c r="B8912" i="1"/>
  <c r="D8912" i="1"/>
  <c r="G8912" i="1"/>
  <c r="B17527" i="1"/>
  <c r="D17527" i="1"/>
  <c r="G17527" i="1"/>
  <c r="B13306" i="1"/>
  <c r="D13306" i="1"/>
  <c r="G13306" i="1"/>
  <c r="B11691" i="1"/>
  <c r="D11691" i="1"/>
  <c r="G11691" i="1"/>
  <c r="B17528" i="1"/>
  <c r="D17528" i="1"/>
  <c r="G17528" i="1"/>
  <c r="B11581" i="1"/>
  <c r="D11581" i="1"/>
  <c r="G11581" i="1"/>
  <c r="B20842" i="1"/>
  <c r="D20842" i="1"/>
  <c r="G20842" i="1"/>
  <c r="B721" i="1"/>
  <c r="D721" i="1"/>
  <c r="G721" i="1"/>
  <c r="B19230" i="1"/>
  <c r="D19230" i="1"/>
  <c r="G19230" i="1"/>
  <c r="B14626" i="1"/>
  <c r="D14626" i="1"/>
  <c r="G14626" i="1"/>
  <c r="B12849" i="1"/>
  <c r="D12849" i="1"/>
  <c r="G12849" i="1"/>
  <c r="B6806" i="1"/>
  <c r="D6806" i="1"/>
  <c r="G6806" i="1"/>
  <c r="B10233" i="1"/>
  <c r="D10233" i="1"/>
  <c r="G10233" i="1"/>
  <c r="B16524" i="1"/>
  <c r="D16524" i="1"/>
  <c r="G16524" i="1"/>
  <c r="B4113" i="1"/>
  <c r="D4113" i="1"/>
  <c r="G4113" i="1"/>
  <c r="B14220" i="1"/>
  <c r="D14220" i="1"/>
  <c r="G14220" i="1"/>
  <c r="B14221" i="1"/>
  <c r="D14221" i="1"/>
  <c r="G14221" i="1"/>
  <c r="B3242" i="1"/>
  <c r="D3242" i="1"/>
  <c r="G3242" i="1"/>
  <c r="B22161" i="1"/>
  <c r="D22161" i="1"/>
  <c r="G22161" i="1"/>
  <c r="B12149" i="1"/>
  <c r="D12149" i="1"/>
  <c r="G12149" i="1"/>
  <c r="B13078" i="1"/>
  <c r="D13078" i="1"/>
  <c r="G13078" i="1"/>
  <c r="B4649" i="1"/>
  <c r="D4649" i="1"/>
  <c r="G4649" i="1"/>
  <c r="B15088" i="1"/>
  <c r="D15088" i="1"/>
  <c r="G15088" i="1"/>
  <c r="B11186" i="1"/>
  <c r="D11186" i="1"/>
  <c r="G11186" i="1"/>
  <c r="B12150" i="1"/>
  <c r="D12150" i="1"/>
  <c r="G12150" i="1"/>
  <c r="B4955" i="1"/>
  <c r="D4955" i="1"/>
  <c r="G4955" i="1"/>
  <c r="B5619" i="1"/>
  <c r="D5619" i="1"/>
  <c r="G5619" i="1"/>
  <c r="B16525" i="1"/>
  <c r="D16525" i="1"/>
  <c r="G16525" i="1"/>
  <c r="B2313" i="1"/>
  <c r="D2313" i="1"/>
  <c r="G2313" i="1"/>
  <c r="B4894" i="1"/>
  <c r="D4894" i="1"/>
  <c r="G4894" i="1"/>
  <c r="B142" i="1"/>
  <c r="D142" i="1"/>
  <c r="G142" i="1"/>
  <c r="B14839" i="1"/>
  <c r="D14839" i="1"/>
  <c r="G14839" i="1"/>
  <c r="B14103" i="1"/>
  <c r="D14103" i="1"/>
  <c r="G14103" i="1"/>
  <c r="B2879" i="1"/>
  <c r="D2879" i="1"/>
  <c r="G2879" i="1"/>
  <c r="B410" i="1"/>
  <c r="D410" i="1"/>
  <c r="G410" i="1"/>
  <c r="B1732" i="1"/>
  <c r="D1732" i="1"/>
  <c r="G1732" i="1"/>
  <c r="B12512" i="1"/>
  <c r="D12512" i="1"/>
  <c r="G12512" i="1"/>
  <c r="B2880" i="1"/>
  <c r="D2880" i="1"/>
  <c r="G2880" i="1"/>
  <c r="B11425" i="1"/>
  <c r="D11425" i="1"/>
  <c r="G11425" i="1"/>
  <c r="B22162" i="1"/>
  <c r="D22162" i="1"/>
  <c r="G22162" i="1"/>
  <c r="B1285" i="1"/>
  <c r="D1285" i="1"/>
  <c r="G1285" i="1"/>
  <c r="B14466" i="1"/>
  <c r="D14466" i="1"/>
  <c r="G14466" i="1"/>
  <c r="B18179" i="1"/>
  <c r="D18179" i="1"/>
  <c r="G18179" i="1"/>
  <c r="B10887" i="1"/>
  <c r="D10887" i="1"/>
  <c r="G10887" i="1"/>
  <c r="B19896" i="1"/>
  <c r="D19896" i="1"/>
  <c r="G19896" i="1"/>
  <c r="B411" i="1"/>
  <c r="D411" i="1"/>
  <c r="G411" i="1"/>
  <c r="B11343" i="1"/>
  <c r="D11343" i="1"/>
  <c r="G11343" i="1"/>
  <c r="B16981" i="1"/>
  <c r="D16981" i="1"/>
  <c r="G16981" i="1"/>
  <c r="B21385" i="1"/>
  <c r="D21385" i="1"/>
  <c r="G21385" i="1"/>
  <c r="B5508" i="1"/>
  <c r="D5508" i="1"/>
  <c r="G5508" i="1"/>
  <c r="B834" i="1"/>
  <c r="D834" i="1"/>
  <c r="G834" i="1"/>
  <c r="B15729" i="1"/>
  <c r="D15729" i="1"/>
  <c r="G15729" i="1"/>
  <c r="B11886" i="1"/>
  <c r="D11886" i="1"/>
  <c r="G11886" i="1"/>
  <c r="B18126" i="1"/>
  <c r="D18126" i="1"/>
  <c r="G18126" i="1"/>
  <c r="B6542" i="1"/>
  <c r="D6542" i="1"/>
  <c r="G6542" i="1"/>
  <c r="B14308" i="1"/>
  <c r="D14308" i="1"/>
  <c r="G14308" i="1"/>
  <c r="B20126" i="1"/>
  <c r="D20126" i="1"/>
  <c r="G20126" i="1"/>
  <c r="B14499" i="1"/>
  <c r="D14499" i="1"/>
  <c r="G14499" i="1"/>
  <c r="B14309" i="1"/>
  <c r="D14309" i="1"/>
  <c r="G14309" i="1"/>
  <c r="B18682" i="1"/>
  <c r="D18682" i="1"/>
  <c r="G18682" i="1"/>
  <c r="B10185" i="1"/>
  <c r="D10185" i="1"/>
  <c r="G10185" i="1"/>
  <c r="B10186" i="1"/>
  <c r="D10186" i="1"/>
  <c r="G10186" i="1"/>
  <c r="B12151" i="1"/>
  <c r="D12151" i="1"/>
  <c r="G12151" i="1"/>
  <c r="B3655" i="1"/>
  <c r="D3655" i="1"/>
  <c r="G3655" i="1"/>
  <c r="B10305" i="1"/>
  <c r="D10305" i="1"/>
  <c r="G10305" i="1"/>
  <c r="B12152" i="1"/>
  <c r="D12152" i="1"/>
  <c r="G12152" i="1"/>
  <c r="B3766" i="1"/>
  <c r="D3766" i="1"/>
  <c r="G3766" i="1"/>
  <c r="B2881" i="1"/>
  <c r="D2881" i="1"/>
  <c r="G2881" i="1"/>
  <c r="B3243" i="1"/>
  <c r="D3243" i="1"/>
  <c r="G3243" i="1"/>
  <c r="B3656" i="1"/>
  <c r="D3656" i="1"/>
  <c r="G3656" i="1"/>
  <c r="B21713" i="1"/>
  <c r="D21713" i="1"/>
  <c r="G21713" i="1"/>
  <c r="B21714" i="1"/>
  <c r="D21714" i="1"/>
  <c r="G21714" i="1"/>
  <c r="B11582" i="1"/>
  <c r="D11582" i="1"/>
  <c r="G11582" i="1"/>
  <c r="B2405" i="1"/>
  <c r="D2405" i="1"/>
  <c r="G2405" i="1"/>
  <c r="B2142" i="1"/>
  <c r="D2142" i="1"/>
  <c r="G2142" i="1"/>
  <c r="B12153" i="1"/>
  <c r="D12153" i="1"/>
  <c r="G12153" i="1"/>
  <c r="B11583" i="1"/>
  <c r="D11583" i="1"/>
  <c r="G11583" i="1"/>
  <c r="B11584" i="1"/>
  <c r="D11584" i="1"/>
  <c r="G11584" i="1"/>
  <c r="B11692" i="1"/>
  <c r="D11692" i="1"/>
  <c r="G11692" i="1"/>
  <c r="B11693" i="1"/>
  <c r="D11693" i="1"/>
  <c r="G11693" i="1"/>
  <c r="B17740" i="1"/>
  <c r="D17740" i="1"/>
  <c r="G17740" i="1"/>
  <c r="B17741" i="1"/>
  <c r="D17741" i="1"/>
  <c r="G17741" i="1"/>
  <c r="B18504" i="1"/>
  <c r="D18504" i="1"/>
  <c r="G18504" i="1"/>
  <c r="B3767" i="1"/>
  <c r="D3767" i="1"/>
  <c r="G3767" i="1"/>
  <c r="B4650" i="1"/>
  <c r="D4650" i="1"/>
  <c r="G4650" i="1"/>
  <c r="B11809" i="1"/>
  <c r="D11809" i="1"/>
  <c r="G11809" i="1"/>
  <c r="B15488" i="1"/>
  <c r="D15488" i="1"/>
  <c r="G15488" i="1"/>
  <c r="B2882" i="1"/>
  <c r="D2882" i="1"/>
  <c r="G2882" i="1"/>
  <c r="B2474" i="1"/>
  <c r="D2474" i="1"/>
  <c r="G2474" i="1"/>
  <c r="B21544" i="1"/>
  <c r="D21544" i="1"/>
  <c r="G21544" i="1"/>
  <c r="B10888" i="1"/>
  <c r="D10888" i="1"/>
  <c r="G10888" i="1"/>
  <c r="B19994" i="1"/>
  <c r="D19994" i="1"/>
  <c r="G19994" i="1"/>
  <c r="B16526" i="1"/>
  <c r="D16526" i="1"/>
  <c r="G16526" i="1"/>
  <c r="B5747" i="1"/>
  <c r="D5747" i="1"/>
  <c r="G5747" i="1"/>
  <c r="B19231" i="1"/>
  <c r="D19231" i="1"/>
  <c r="G19231" i="1"/>
  <c r="B17592" i="1"/>
  <c r="D17592" i="1"/>
  <c r="G17592" i="1"/>
  <c r="B589" i="1"/>
  <c r="D589" i="1"/>
  <c r="G589" i="1"/>
  <c r="B4749" i="1"/>
  <c r="D4749" i="1"/>
  <c r="G4749" i="1"/>
  <c r="B14439" i="1"/>
  <c r="D14439" i="1"/>
  <c r="G14439" i="1"/>
  <c r="B11719" i="1"/>
  <c r="D11719" i="1"/>
  <c r="G11719" i="1"/>
  <c r="B860" i="1"/>
  <c r="D860" i="1"/>
  <c r="G860" i="1"/>
  <c r="B3968" i="1"/>
  <c r="D3968" i="1"/>
  <c r="G3968" i="1"/>
  <c r="B2883" i="1"/>
  <c r="D2883" i="1"/>
  <c r="G2883" i="1"/>
  <c r="B12513" i="1"/>
  <c r="D12513" i="1"/>
  <c r="G12513" i="1"/>
  <c r="B15730" i="1"/>
  <c r="D15730" i="1"/>
  <c r="G15730" i="1"/>
  <c r="B16527" i="1"/>
  <c r="D16527" i="1"/>
  <c r="G16527" i="1"/>
  <c r="B12943" i="1"/>
  <c r="D12943" i="1"/>
  <c r="G12943" i="1"/>
  <c r="B13834" i="1"/>
  <c r="D13834" i="1"/>
  <c r="G13834" i="1"/>
  <c r="B17113" i="1"/>
  <c r="D17113" i="1"/>
  <c r="G17113" i="1"/>
  <c r="B5810" i="1"/>
  <c r="D5810" i="1"/>
  <c r="G5810" i="1"/>
  <c r="B18505" i="1"/>
  <c r="D18505" i="1"/>
  <c r="G18505" i="1"/>
  <c r="B14310" i="1"/>
  <c r="D14310" i="1"/>
  <c r="G14310" i="1"/>
  <c r="B13673" i="1"/>
  <c r="D13673" i="1"/>
  <c r="G13673" i="1"/>
  <c r="B12850" i="1"/>
  <c r="D12850" i="1"/>
  <c r="G12850" i="1"/>
  <c r="B249" i="1"/>
  <c r="D249" i="1"/>
  <c r="G249" i="1"/>
  <c r="B11426" i="1"/>
  <c r="D11426" i="1"/>
  <c r="G11426" i="1"/>
  <c r="B11187" i="1"/>
  <c r="D11187" i="1"/>
  <c r="G11187" i="1"/>
  <c r="B2884" i="1"/>
  <c r="D2884" i="1"/>
  <c r="G2884" i="1"/>
  <c r="B5509" i="1"/>
  <c r="D5509" i="1"/>
  <c r="G5509" i="1"/>
  <c r="B21545" i="1"/>
  <c r="D21545" i="1"/>
  <c r="G21545" i="1"/>
  <c r="B15882" i="1"/>
  <c r="D15882" i="1"/>
  <c r="G15882" i="1"/>
  <c r="B11585" i="1"/>
  <c r="D11585" i="1"/>
  <c r="G11585" i="1"/>
  <c r="B11586" i="1"/>
  <c r="D11586" i="1"/>
  <c r="G11586" i="1"/>
  <c r="B11694" i="1"/>
  <c r="D11694" i="1"/>
  <c r="G11694" i="1"/>
  <c r="B11695" i="1"/>
  <c r="D11695" i="1"/>
  <c r="G11695" i="1"/>
  <c r="B15489" i="1"/>
  <c r="D15489" i="1"/>
  <c r="G15489" i="1"/>
  <c r="B15089" i="1"/>
  <c r="D15089" i="1"/>
  <c r="G15089" i="1"/>
  <c r="B19232" i="1"/>
  <c r="D19232" i="1"/>
  <c r="G19232" i="1"/>
  <c r="B18881" i="1"/>
  <c r="D18881" i="1"/>
  <c r="G18881" i="1"/>
  <c r="B13835" i="1"/>
  <c r="D13835" i="1"/>
  <c r="G13835" i="1"/>
  <c r="B13307" i="1"/>
  <c r="D13307" i="1"/>
  <c r="G13307" i="1"/>
  <c r="B19552" i="1"/>
  <c r="D19552" i="1"/>
  <c r="G19552" i="1"/>
  <c r="B5574" i="1"/>
  <c r="D5574" i="1"/>
  <c r="G5574" i="1"/>
  <c r="B5620" i="1"/>
  <c r="D5620" i="1"/>
  <c r="G5620" i="1"/>
  <c r="B1286" i="1"/>
  <c r="D1286" i="1"/>
  <c r="G1286" i="1"/>
  <c r="B15090" i="1"/>
  <c r="D15090" i="1"/>
  <c r="G15090" i="1"/>
  <c r="B4419" i="1"/>
  <c r="D4419" i="1"/>
  <c r="G4419" i="1"/>
  <c r="B12154" i="1"/>
  <c r="D12154" i="1"/>
  <c r="G12154" i="1"/>
  <c r="B19553" i="1"/>
  <c r="D19553" i="1"/>
  <c r="G19553" i="1"/>
  <c r="B18660" i="1"/>
  <c r="D18660" i="1"/>
  <c r="G18660" i="1"/>
  <c r="B12944" i="1"/>
  <c r="D12944" i="1"/>
  <c r="G12944" i="1"/>
  <c r="B12851" i="1"/>
  <c r="D12851" i="1"/>
  <c r="G12851" i="1"/>
  <c r="B16107" i="1"/>
  <c r="D16107" i="1"/>
  <c r="G16107" i="1"/>
  <c r="B10571" i="1"/>
  <c r="D10571" i="1"/>
  <c r="G10571" i="1"/>
  <c r="B10572" i="1"/>
  <c r="D10572" i="1"/>
  <c r="G10572" i="1"/>
  <c r="B10889" i="1"/>
  <c r="D10889" i="1"/>
  <c r="G10889" i="1"/>
  <c r="B10890" i="1"/>
  <c r="D10890" i="1"/>
  <c r="G10890" i="1"/>
  <c r="B10891" i="1"/>
  <c r="D10891" i="1"/>
  <c r="G10891" i="1"/>
  <c r="B14840" i="1"/>
  <c r="D14840" i="1"/>
  <c r="G14840" i="1"/>
  <c r="B13308" i="1"/>
  <c r="D13308" i="1"/>
  <c r="G13308" i="1"/>
  <c r="B6117" i="1"/>
  <c r="D6117" i="1"/>
  <c r="G6117" i="1"/>
  <c r="B19995" i="1"/>
  <c r="D19995" i="1"/>
  <c r="G19995" i="1"/>
  <c r="B19996" i="1"/>
  <c r="D19996" i="1"/>
  <c r="G19996" i="1"/>
  <c r="B1886" i="1"/>
  <c r="D1886" i="1"/>
  <c r="G1886" i="1"/>
  <c r="B20392" i="1"/>
  <c r="D20392" i="1"/>
  <c r="G20392" i="1"/>
  <c r="B19233" i="1"/>
  <c r="D19233" i="1"/>
  <c r="G19233" i="1"/>
  <c r="B10573" i="1"/>
  <c r="D10573" i="1"/>
  <c r="G10573" i="1"/>
  <c r="B16528" i="1"/>
  <c r="D16528" i="1"/>
  <c r="G16528" i="1"/>
  <c r="B16529" i="1"/>
  <c r="D16529" i="1"/>
  <c r="G16529" i="1"/>
  <c r="B14547" i="1"/>
  <c r="D14547" i="1"/>
  <c r="G14547" i="1"/>
  <c r="B16530" i="1"/>
  <c r="D16530" i="1"/>
  <c r="G16530" i="1"/>
  <c r="B10234" i="1"/>
  <c r="D10234" i="1"/>
  <c r="G10234" i="1"/>
  <c r="B13309" i="1"/>
  <c r="D13309" i="1"/>
  <c r="G13309" i="1"/>
  <c r="B10574" i="1"/>
  <c r="D10574" i="1"/>
  <c r="G10574" i="1"/>
  <c r="B18683" i="1"/>
  <c r="D18683" i="1"/>
  <c r="G18683" i="1"/>
  <c r="B22163" i="1"/>
  <c r="D22163" i="1"/>
  <c r="G22163" i="1"/>
  <c r="B17270" i="1"/>
  <c r="D17270" i="1"/>
  <c r="G17270" i="1"/>
  <c r="B9882" i="1"/>
  <c r="D9882" i="1"/>
  <c r="G9882" i="1"/>
  <c r="B22249" i="1"/>
  <c r="D22249" i="1"/>
  <c r="G22249" i="1"/>
  <c r="B4651" i="1"/>
  <c r="D4651" i="1"/>
  <c r="G4651" i="1"/>
  <c r="B11742" i="1"/>
  <c r="D11742" i="1"/>
  <c r="G11742" i="1"/>
  <c r="B18684" i="1"/>
  <c r="D18684" i="1"/>
  <c r="G18684" i="1"/>
  <c r="B5291" i="1"/>
  <c r="D5291" i="1"/>
  <c r="G5291" i="1"/>
  <c r="B5233" i="1"/>
  <c r="D5233" i="1"/>
  <c r="G5233" i="1"/>
  <c r="B4474" i="1"/>
  <c r="D4474" i="1"/>
  <c r="G4474" i="1"/>
  <c r="B13310" i="1"/>
  <c r="D13310" i="1"/>
  <c r="G13310" i="1"/>
  <c r="B12980" i="1"/>
  <c r="D12980" i="1"/>
  <c r="G12980" i="1"/>
  <c r="B19554" i="1"/>
  <c r="D19554" i="1"/>
  <c r="G19554" i="1"/>
  <c r="B1287" i="1"/>
  <c r="D1287" i="1"/>
  <c r="G1287" i="1"/>
  <c r="B2143" i="1"/>
  <c r="D2143" i="1"/>
  <c r="G2143" i="1"/>
  <c r="B15490" i="1"/>
  <c r="D15490" i="1"/>
  <c r="G15490" i="1"/>
  <c r="B15883" i="1"/>
  <c r="D15883" i="1"/>
  <c r="G15883" i="1"/>
  <c r="B13667" i="1"/>
  <c r="D13667" i="1"/>
  <c r="G13667" i="1"/>
  <c r="B14548" i="1"/>
  <c r="D14548" i="1"/>
  <c r="G14548" i="1"/>
  <c r="B16531" i="1"/>
  <c r="D16531" i="1"/>
  <c r="G16531" i="1"/>
  <c r="B17396" i="1"/>
  <c r="D17396" i="1"/>
  <c r="G17396" i="1"/>
  <c r="B18506" i="1"/>
  <c r="D18506" i="1"/>
  <c r="G18506" i="1"/>
  <c r="B2406" i="1"/>
  <c r="D2406" i="1"/>
  <c r="G2406" i="1"/>
  <c r="B470" i="1"/>
  <c r="D470" i="1"/>
  <c r="G470" i="1"/>
  <c r="B471" i="1"/>
  <c r="D471" i="1"/>
  <c r="G471" i="1"/>
  <c r="B8913" i="1"/>
  <c r="D8913" i="1"/>
  <c r="G8913" i="1"/>
  <c r="B12155" i="1"/>
  <c r="D12155" i="1"/>
  <c r="G12155" i="1"/>
  <c r="B12156" i="1"/>
  <c r="D12156" i="1"/>
  <c r="G12156" i="1"/>
  <c r="B5732" i="1"/>
  <c r="D5732" i="1"/>
  <c r="G5732" i="1"/>
  <c r="B12626" i="1"/>
  <c r="D12626" i="1"/>
  <c r="G12626" i="1"/>
  <c r="B21400" i="1"/>
  <c r="D21400" i="1"/>
  <c r="G21400" i="1"/>
  <c r="B10306" i="1"/>
  <c r="D10306" i="1"/>
  <c r="G10306" i="1"/>
  <c r="B14549" i="1"/>
  <c r="D14549" i="1"/>
  <c r="G14549" i="1"/>
  <c r="B10575" i="1"/>
  <c r="D10575" i="1"/>
  <c r="G10575" i="1"/>
  <c r="B10576" i="1"/>
  <c r="D10576" i="1"/>
  <c r="G10576" i="1"/>
  <c r="B10892" i="1"/>
  <c r="D10892" i="1"/>
  <c r="G10892" i="1"/>
  <c r="B10893" i="1"/>
  <c r="D10893" i="1"/>
  <c r="G10893" i="1"/>
  <c r="B16065" i="1"/>
  <c r="D16065" i="1"/>
  <c r="G16065" i="1"/>
  <c r="B16532" i="1"/>
  <c r="D16532" i="1"/>
  <c r="G16532" i="1"/>
  <c r="B1987" i="1"/>
  <c r="D1987" i="1"/>
  <c r="G1987" i="1"/>
  <c r="B15491" i="1"/>
  <c r="D15491" i="1"/>
  <c r="G15491" i="1"/>
  <c r="B21093" i="1"/>
  <c r="D21093" i="1"/>
  <c r="G21093" i="1"/>
  <c r="B15884" i="1"/>
  <c r="D15884" i="1"/>
  <c r="G15884" i="1"/>
  <c r="B12514" i="1"/>
  <c r="D12514" i="1"/>
  <c r="G12514" i="1"/>
  <c r="B8281" i="1"/>
  <c r="D8281" i="1"/>
  <c r="G8281" i="1"/>
  <c r="B20393" i="1"/>
  <c r="D20393" i="1"/>
  <c r="G20393" i="1"/>
  <c r="B13438" i="1"/>
  <c r="D13438" i="1"/>
  <c r="G13438" i="1"/>
  <c r="B2475" i="1"/>
  <c r="D2475" i="1"/>
  <c r="G2475" i="1"/>
  <c r="B13456" i="1"/>
  <c r="D13456" i="1"/>
  <c r="G13456" i="1"/>
  <c r="B15804" i="1"/>
  <c r="D15804" i="1"/>
  <c r="G15804" i="1"/>
  <c r="B8340" i="1"/>
  <c r="D8340" i="1"/>
  <c r="G8340" i="1"/>
  <c r="B15492" i="1"/>
  <c r="D15492" i="1"/>
  <c r="G15492" i="1"/>
  <c r="B15885" i="1"/>
  <c r="D15885" i="1"/>
  <c r="G15885" i="1"/>
  <c r="B15805" i="1"/>
  <c r="D15805" i="1"/>
  <c r="G15805" i="1"/>
  <c r="B18507" i="1"/>
  <c r="D18507" i="1"/>
  <c r="G18507" i="1"/>
  <c r="B13587" i="1"/>
  <c r="D13587" i="1"/>
  <c r="G13587" i="1"/>
  <c r="B6115" i="1"/>
  <c r="D6115" i="1"/>
  <c r="G6115" i="1"/>
  <c r="B13457" i="1"/>
  <c r="D13457" i="1"/>
  <c r="G13457" i="1"/>
  <c r="B12413" i="1"/>
  <c r="D12413" i="1"/>
  <c r="G12413" i="1"/>
  <c r="B14381" i="1"/>
  <c r="D14381" i="1"/>
  <c r="G14381" i="1"/>
  <c r="B10577" i="1"/>
  <c r="D10577" i="1"/>
  <c r="G10577" i="1"/>
  <c r="B10578" i="1"/>
  <c r="D10578" i="1"/>
  <c r="G10578" i="1"/>
  <c r="B12157" i="1"/>
  <c r="D12157" i="1"/>
  <c r="G12157" i="1"/>
  <c r="B19555" i="1"/>
  <c r="D19555" i="1"/>
  <c r="G19555" i="1"/>
  <c r="B11344" i="1"/>
  <c r="D11344" i="1"/>
  <c r="G11344" i="1"/>
  <c r="B16533" i="1"/>
  <c r="D16533" i="1"/>
  <c r="G16533" i="1"/>
  <c r="B20843" i="1"/>
  <c r="D20843" i="1"/>
  <c r="G20843" i="1"/>
  <c r="B20844" i="1"/>
  <c r="D20844" i="1"/>
  <c r="G20844" i="1"/>
  <c r="B13986" i="1"/>
  <c r="D13986" i="1"/>
  <c r="G13986" i="1"/>
  <c r="B8914" i="1"/>
  <c r="D8914" i="1"/>
  <c r="G8914" i="1"/>
  <c r="B3969" i="1"/>
  <c r="D3969" i="1"/>
  <c r="G3969" i="1"/>
  <c r="B16108" i="1"/>
  <c r="D16108" i="1"/>
  <c r="G16108" i="1"/>
  <c r="B3768" i="1"/>
  <c r="D3768" i="1"/>
  <c r="G3768" i="1"/>
  <c r="B10894" i="1"/>
  <c r="D10894" i="1"/>
  <c r="G10894" i="1"/>
  <c r="B13225" i="1"/>
  <c r="D13225" i="1"/>
  <c r="G13225" i="1"/>
  <c r="B113" i="1"/>
  <c r="D113" i="1"/>
  <c r="G113" i="1"/>
  <c r="B11427" i="1"/>
  <c r="D11427" i="1"/>
  <c r="G11427" i="1"/>
  <c r="B776" i="1"/>
  <c r="D776" i="1"/>
  <c r="G776" i="1"/>
  <c r="B21094" i="1"/>
  <c r="D21094" i="1"/>
  <c r="G21094" i="1"/>
  <c r="B2885" i="1"/>
  <c r="D2885" i="1"/>
  <c r="G2885" i="1"/>
  <c r="B12852" i="1"/>
  <c r="D12852" i="1"/>
  <c r="G12852" i="1"/>
  <c r="B11587" i="1"/>
  <c r="D11587" i="1"/>
  <c r="G11587" i="1"/>
  <c r="B12158" i="1"/>
  <c r="D12158" i="1"/>
  <c r="G12158" i="1"/>
  <c r="B7937" i="1"/>
  <c r="D7937" i="1"/>
  <c r="G7937" i="1"/>
  <c r="B19897" i="1"/>
  <c r="D19897" i="1"/>
  <c r="G19897" i="1"/>
  <c r="B10198" i="1"/>
  <c r="D10198" i="1"/>
  <c r="G10198" i="1"/>
  <c r="B19556" i="1"/>
  <c r="D19556" i="1"/>
  <c r="G19556" i="1"/>
  <c r="B7562" i="1"/>
  <c r="D7562" i="1"/>
  <c r="G7562" i="1"/>
  <c r="B7364" i="1"/>
  <c r="D7364" i="1"/>
  <c r="G7364" i="1"/>
  <c r="B11188" i="1"/>
  <c r="D11188" i="1"/>
  <c r="G11188" i="1"/>
  <c r="B20614" i="1"/>
  <c r="D20614" i="1"/>
  <c r="G20614" i="1"/>
  <c r="B9134" i="1"/>
  <c r="D9134" i="1"/>
  <c r="G9134" i="1"/>
  <c r="B12981" i="1"/>
  <c r="D12981" i="1"/>
  <c r="G12981" i="1"/>
  <c r="B17238" i="1"/>
  <c r="D17238" i="1"/>
  <c r="G17238" i="1"/>
  <c r="B14088" i="1"/>
  <c r="D14088" i="1"/>
  <c r="G14088" i="1"/>
  <c r="B11887" i="1"/>
  <c r="D11887" i="1"/>
  <c r="G11887" i="1"/>
  <c r="B15091" i="1"/>
  <c r="D15091" i="1"/>
  <c r="G15091" i="1"/>
  <c r="B16534" i="1"/>
  <c r="D16534" i="1"/>
  <c r="G16534" i="1"/>
  <c r="B15886" i="1"/>
  <c r="D15886" i="1"/>
  <c r="G15886" i="1"/>
  <c r="B19234" i="1"/>
  <c r="D19234" i="1"/>
  <c r="G19234" i="1"/>
  <c r="B9979" i="1"/>
  <c r="D9979" i="1"/>
  <c r="G9979" i="1"/>
  <c r="B20615" i="1"/>
  <c r="D20615" i="1"/>
  <c r="G20615" i="1"/>
  <c r="B17114" i="1"/>
  <c r="D17114" i="1"/>
  <c r="G17114" i="1"/>
  <c r="B9981" i="1"/>
  <c r="D9981" i="1"/>
  <c r="G9981" i="1"/>
  <c r="B9930" i="1"/>
  <c r="D9930" i="1"/>
  <c r="G9930" i="1"/>
  <c r="B11588" i="1"/>
  <c r="D11588" i="1"/>
  <c r="G11588" i="1"/>
  <c r="B8073" i="1"/>
  <c r="D8073" i="1"/>
  <c r="G8073" i="1"/>
  <c r="B11428" i="1"/>
  <c r="D11428" i="1"/>
  <c r="G11428" i="1"/>
  <c r="B10895" i="1"/>
  <c r="D10895" i="1"/>
  <c r="G10895" i="1"/>
  <c r="B20174" i="1"/>
  <c r="D20174" i="1"/>
  <c r="G20174" i="1"/>
  <c r="B11466" i="1"/>
  <c r="D11466" i="1"/>
  <c r="G11466" i="1"/>
  <c r="B19557" i="1"/>
  <c r="D19557" i="1"/>
  <c r="G19557" i="1"/>
  <c r="B10371" i="1"/>
  <c r="D10371" i="1"/>
  <c r="G10371" i="1"/>
  <c r="B1415" i="1"/>
  <c r="D1415" i="1"/>
  <c r="G1415" i="1"/>
  <c r="B10896" i="1"/>
  <c r="D10896" i="1"/>
  <c r="G10896" i="1"/>
  <c r="B14378" i="1"/>
  <c r="D14378" i="1"/>
  <c r="G14378" i="1"/>
  <c r="B11589" i="1"/>
  <c r="D11589" i="1"/>
  <c r="G11589" i="1"/>
  <c r="B11590" i="1"/>
  <c r="D11590" i="1"/>
  <c r="G11590" i="1"/>
  <c r="B15887" i="1"/>
  <c r="D15887" i="1"/>
  <c r="G15887" i="1"/>
  <c r="B9162" i="1"/>
  <c r="D9162" i="1"/>
  <c r="G9162" i="1"/>
  <c r="B12159" i="1"/>
  <c r="D12159" i="1"/>
  <c r="G12159" i="1"/>
  <c r="B15493" i="1"/>
  <c r="D15493" i="1"/>
  <c r="G15493" i="1"/>
  <c r="B15092" i="1"/>
  <c r="D15092" i="1"/>
  <c r="G15092" i="1"/>
  <c r="B10235" i="1"/>
  <c r="D10235" i="1"/>
  <c r="G10235" i="1"/>
  <c r="B17115" i="1"/>
  <c r="D17115" i="1"/>
  <c r="G17115" i="1"/>
  <c r="B2886" i="1"/>
  <c r="D2886" i="1"/>
  <c r="G2886" i="1"/>
  <c r="B11286" i="1"/>
  <c r="D11286" i="1"/>
  <c r="G11286" i="1"/>
  <c r="B17116" i="1"/>
  <c r="D17116" i="1"/>
  <c r="G17116" i="1"/>
  <c r="B16535" i="1"/>
  <c r="D16535" i="1"/>
  <c r="G16535" i="1"/>
  <c r="B5980" i="1"/>
  <c r="D5980" i="1"/>
  <c r="G5980" i="1"/>
  <c r="B2887" i="1"/>
  <c r="D2887" i="1"/>
  <c r="G2887" i="1"/>
  <c r="B16536" i="1"/>
  <c r="D16536" i="1"/>
  <c r="G16536" i="1"/>
  <c r="B17117" i="1"/>
  <c r="D17117" i="1"/>
  <c r="G17117" i="1"/>
  <c r="B21546" i="1"/>
  <c r="D21546" i="1"/>
  <c r="G21546" i="1"/>
  <c r="B11810" i="1"/>
  <c r="D11810" i="1"/>
  <c r="G11810" i="1"/>
  <c r="B18508" i="1"/>
  <c r="D18508" i="1"/>
  <c r="G18508" i="1"/>
  <c r="B15093" i="1"/>
  <c r="D15093" i="1"/>
  <c r="G15093" i="1"/>
  <c r="B10579" i="1"/>
  <c r="D10579" i="1"/>
  <c r="G10579" i="1"/>
  <c r="B4896" i="1"/>
  <c r="D4896" i="1"/>
  <c r="G4896" i="1"/>
  <c r="B4750" i="1"/>
  <c r="D4750" i="1"/>
  <c r="G4750" i="1"/>
  <c r="B6109" i="1"/>
  <c r="D6109" i="1"/>
  <c r="G6109" i="1"/>
  <c r="B19235" i="1"/>
  <c r="D19235" i="1"/>
  <c r="G19235" i="1"/>
  <c r="B18882" i="1"/>
  <c r="D18882" i="1"/>
  <c r="G18882" i="1"/>
  <c r="B10580" i="1"/>
  <c r="D10580" i="1"/>
  <c r="G10580" i="1"/>
  <c r="B16537" i="1"/>
  <c r="D16537" i="1"/>
  <c r="G16537" i="1"/>
  <c r="B10094" i="1"/>
  <c r="D10094" i="1"/>
  <c r="G10094" i="1"/>
  <c r="B18741" i="1"/>
  <c r="D18741" i="1"/>
  <c r="G18741" i="1"/>
  <c r="B12160" i="1"/>
  <c r="D12160" i="1"/>
  <c r="G12160" i="1"/>
  <c r="B10307" i="1"/>
  <c r="D10307" i="1"/>
  <c r="G10307" i="1"/>
  <c r="B1288" i="1"/>
  <c r="D1288" i="1"/>
  <c r="G1288" i="1"/>
  <c r="B17118" i="1"/>
  <c r="D17118" i="1"/>
  <c r="G17118" i="1"/>
  <c r="B11429" i="1"/>
  <c r="D11429" i="1"/>
  <c r="G11429" i="1"/>
  <c r="B17348" i="1"/>
  <c r="D17348" i="1"/>
  <c r="G17348" i="1"/>
  <c r="B15094" i="1"/>
  <c r="D15094" i="1"/>
  <c r="G15094" i="1"/>
  <c r="B12161" i="1"/>
  <c r="D12161" i="1"/>
  <c r="G12161" i="1"/>
  <c r="B19044" i="1"/>
  <c r="D19044" i="1"/>
  <c r="G19044" i="1"/>
  <c r="B722" i="1"/>
  <c r="D722" i="1"/>
  <c r="G722" i="1"/>
  <c r="B11591" i="1"/>
  <c r="D11591" i="1"/>
  <c r="G11591" i="1"/>
  <c r="B11592" i="1"/>
  <c r="D11592" i="1"/>
  <c r="G11592" i="1"/>
  <c r="B19236" i="1"/>
  <c r="D19236" i="1"/>
  <c r="G19236" i="1"/>
  <c r="B15095" i="1"/>
  <c r="D15095" i="1"/>
  <c r="G15095" i="1"/>
  <c r="B723" i="1"/>
  <c r="D723" i="1"/>
  <c r="G723" i="1"/>
  <c r="B927" i="1"/>
  <c r="D927" i="1"/>
  <c r="G927" i="1"/>
  <c r="B9163" i="1"/>
  <c r="D9163" i="1"/>
  <c r="G9163" i="1"/>
  <c r="B15096" i="1"/>
  <c r="D15096" i="1"/>
  <c r="G15096" i="1"/>
  <c r="B13154" i="1"/>
  <c r="D13154" i="1"/>
  <c r="G13154" i="1"/>
  <c r="B12853" i="1"/>
  <c r="D12853" i="1"/>
  <c r="G12853" i="1"/>
  <c r="B17311" i="1"/>
  <c r="D17311" i="1"/>
  <c r="G17311" i="1"/>
  <c r="B7563" i="1"/>
  <c r="D7563" i="1"/>
  <c r="G7563" i="1"/>
  <c r="B15494" i="1"/>
  <c r="D15494" i="1"/>
  <c r="G15494" i="1"/>
  <c r="B15706" i="1"/>
  <c r="D15706" i="1"/>
  <c r="G15706" i="1"/>
  <c r="B20083" i="1"/>
  <c r="D20083" i="1"/>
  <c r="G20083" i="1"/>
  <c r="B18112" i="1"/>
  <c r="D18112" i="1"/>
  <c r="G18112" i="1"/>
  <c r="B15495" i="1"/>
  <c r="D15495" i="1"/>
  <c r="G15495" i="1"/>
  <c r="B4545" i="1"/>
  <c r="D4545" i="1"/>
  <c r="G4545" i="1"/>
  <c r="B18086" i="1"/>
  <c r="D18086" i="1"/>
  <c r="G18086" i="1"/>
  <c r="B2086" i="1"/>
  <c r="D2086" i="1"/>
  <c r="G2086" i="1"/>
  <c r="B2087" i="1"/>
  <c r="D2087" i="1"/>
  <c r="G2087" i="1"/>
  <c r="B18113" i="1"/>
  <c r="D18113" i="1"/>
  <c r="G18113" i="1"/>
  <c r="B14042" i="1"/>
  <c r="D14042" i="1"/>
  <c r="G14042" i="1"/>
  <c r="B590" i="1"/>
  <c r="D590" i="1"/>
  <c r="G590" i="1"/>
  <c r="B9883" i="1"/>
  <c r="D9883" i="1"/>
  <c r="G9883" i="1"/>
  <c r="B15097" i="1"/>
  <c r="D15097" i="1"/>
  <c r="G15097" i="1"/>
  <c r="B14135" i="1"/>
  <c r="D14135" i="1"/>
  <c r="G14135" i="1"/>
  <c r="B14841" i="1"/>
  <c r="D14841" i="1"/>
  <c r="G14841" i="1"/>
  <c r="B9858" i="1"/>
  <c r="D9858" i="1"/>
  <c r="G9858" i="1"/>
  <c r="B10581" i="1"/>
  <c r="D10581" i="1"/>
  <c r="G10581" i="1"/>
  <c r="B18509" i="1"/>
  <c r="D18509" i="1"/>
  <c r="G18509" i="1"/>
  <c r="B10897" i="1"/>
  <c r="D10897" i="1"/>
  <c r="G10897" i="1"/>
  <c r="B18510" i="1"/>
  <c r="D18510" i="1"/>
  <c r="G18510" i="1"/>
  <c r="B11189" i="1"/>
  <c r="D11189" i="1"/>
  <c r="G11189" i="1"/>
  <c r="B4652" i="1"/>
  <c r="D4652" i="1"/>
  <c r="G4652" i="1"/>
  <c r="B13999" i="1"/>
  <c r="D13999" i="1"/>
  <c r="G13999" i="1"/>
  <c r="B12515" i="1"/>
  <c r="D12515" i="1"/>
  <c r="G12515" i="1"/>
  <c r="B17742" i="1"/>
  <c r="D17742" i="1"/>
  <c r="G17742" i="1"/>
  <c r="B16538" i="1"/>
  <c r="D16538" i="1"/>
  <c r="G16538" i="1"/>
  <c r="B412" i="1"/>
  <c r="D412" i="1"/>
  <c r="G412" i="1"/>
  <c r="B8915" i="1"/>
  <c r="D8915" i="1"/>
  <c r="G8915" i="1"/>
  <c r="B19558" i="1"/>
  <c r="D19558" i="1"/>
  <c r="G19558" i="1"/>
  <c r="B20845" i="1"/>
  <c r="D20845" i="1"/>
  <c r="G20845" i="1"/>
  <c r="B1289" i="1"/>
  <c r="D1289" i="1"/>
  <c r="G1289" i="1"/>
  <c r="B1439" i="1"/>
  <c r="D1439" i="1"/>
  <c r="G1439" i="1"/>
  <c r="B15496" i="1"/>
  <c r="D15496" i="1"/>
  <c r="G15496" i="1"/>
  <c r="B18087" i="1"/>
  <c r="D18087" i="1"/>
  <c r="G18087" i="1"/>
  <c r="B6567" i="1"/>
  <c r="D6567" i="1"/>
  <c r="G6567" i="1"/>
  <c r="B10898" i="1"/>
  <c r="D10898" i="1"/>
  <c r="G10898" i="1"/>
  <c r="B1416" i="1"/>
  <c r="D1416" i="1"/>
  <c r="G1416" i="1"/>
  <c r="B19045" i="1"/>
  <c r="D19045" i="1"/>
  <c r="G19045" i="1"/>
  <c r="B19237" i="1"/>
  <c r="D19237" i="1"/>
  <c r="G19237" i="1"/>
  <c r="B17743" i="1"/>
  <c r="D17743" i="1"/>
  <c r="G17743" i="1"/>
  <c r="B4917" i="1"/>
  <c r="D4917" i="1"/>
  <c r="G4917" i="1"/>
  <c r="B19238" i="1"/>
  <c r="D19238" i="1"/>
  <c r="G19238" i="1"/>
  <c r="B15098" i="1"/>
  <c r="D15098" i="1"/>
  <c r="G15098" i="1"/>
  <c r="B9985" i="1"/>
  <c r="D9985" i="1"/>
  <c r="G9985" i="1"/>
  <c r="B11593" i="1"/>
  <c r="D11593" i="1"/>
  <c r="G11593" i="1"/>
  <c r="B11190" i="1"/>
  <c r="D11190" i="1"/>
  <c r="G11190" i="1"/>
  <c r="B21095" i="1"/>
  <c r="D21095" i="1"/>
  <c r="G21095" i="1"/>
  <c r="B2314" i="1"/>
  <c r="D2314" i="1"/>
  <c r="G2314" i="1"/>
  <c r="B5106" i="1"/>
  <c r="D5106" i="1"/>
  <c r="G5106" i="1"/>
  <c r="B6536" i="1"/>
  <c r="D6536" i="1"/>
  <c r="G6536" i="1"/>
  <c r="B20394" i="1"/>
  <c r="D20394" i="1"/>
  <c r="G20394" i="1"/>
  <c r="B114" i="1"/>
  <c r="D114" i="1"/>
  <c r="G114" i="1"/>
  <c r="B10582" i="1"/>
  <c r="D10582" i="1"/>
  <c r="G10582" i="1"/>
  <c r="B10583" i="1"/>
  <c r="D10583" i="1"/>
  <c r="G10583" i="1"/>
  <c r="B10899" i="1"/>
  <c r="D10899" i="1"/>
  <c r="G10899" i="1"/>
  <c r="B10900" i="1"/>
  <c r="D10900" i="1"/>
  <c r="G10900" i="1"/>
  <c r="B16037" i="1"/>
  <c r="D16037" i="1"/>
  <c r="G16037" i="1"/>
  <c r="B10901" i="1"/>
  <c r="D10901" i="1"/>
  <c r="G10901" i="1"/>
  <c r="B11191" i="1"/>
  <c r="D11191" i="1"/>
  <c r="G11191" i="1"/>
  <c r="B7564" i="1"/>
  <c r="D7564" i="1"/>
  <c r="G7564" i="1"/>
  <c r="B11811" i="1"/>
  <c r="D11811" i="1"/>
  <c r="G11811" i="1"/>
  <c r="B12162" i="1"/>
  <c r="D12162" i="1"/>
  <c r="G12162" i="1"/>
  <c r="B2407" i="1"/>
  <c r="D2407" i="1"/>
  <c r="G2407" i="1"/>
  <c r="B8204" i="1"/>
  <c r="D8204" i="1"/>
  <c r="G8204" i="1"/>
  <c r="B10902" i="1"/>
  <c r="D10902" i="1"/>
  <c r="G10902" i="1"/>
  <c r="B10308" i="1"/>
  <c r="D10308" i="1"/>
  <c r="G10308" i="1"/>
  <c r="B2888" i="1"/>
  <c r="D2888" i="1"/>
  <c r="G2888" i="1"/>
  <c r="B693" i="1"/>
  <c r="D693" i="1"/>
  <c r="G693" i="1"/>
  <c r="B939" i="1"/>
  <c r="D939" i="1"/>
  <c r="G939" i="1"/>
  <c r="B17119" i="1"/>
  <c r="D17119" i="1"/>
  <c r="G17119" i="1"/>
  <c r="B16109" i="1"/>
  <c r="D16109" i="1"/>
  <c r="G16109" i="1"/>
  <c r="B4653" i="1"/>
  <c r="D4653" i="1"/>
  <c r="G4653" i="1"/>
  <c r="B4088" i="1"/>
  <c r="D4088" i="1"/>
  <c r="G4088" i="1"/>
  <c r="B20616" i="1"/>
  <c r="D20616" i="1"/>
  <c r="G20616" i="1"/>
  <c r="B16539" i="1"/>
  <c r="D16539" i="1"/>
  <c r="G16539" i="1"/>
  <c r="B4475" i="1"/>
  <c r="D4475" i="1"/>
  <c r="G4475" i="1"/>
  <c r="B15099" i="1"/>
  <c r="D15099" i="1"/>
  <c r="G15099" i="1"/>
  <c r="B9851" i="1"/>
  <c r="D9851" i="1"/>
  <c r="G9851" i="1"/>
  <c r="B20303" i="1"/>
  <c r="D20303" i="1"/>
  <c r="G20303" i="1"/>
  <c r="B9884" i="1"/>
  <c r="D9884" i="1"/>
  <c r="G9884" i="1"/>
  <c r="B15497" i="1"/>
  <c r="D15497" i="1"/>
  <c r="G15497" i="1"/>
  <c r="B15100" i="1"/>
  <c r="D15100" i="1"/>
  <c r="G15100" i="1"/>
  <c r="B591" i="1"/>
  <c r="D591" i="1"/>
  <c r="G591" i="1"/>
  <c r="B10584" i="1"/>
  <c r="D10584" i="1"/>
  <c r="G10584" i="1"/>
  <c r="B17744" i="1"/>
  <c r="D17744" i="1"/>
  <c r="G17744" i="1"/>
  <c r="B20846" i="1"/>
  <c r="D20846" i="1"/>
  <c r="G20846" i="1"/>
  <c r="B16540" i="1"/>
  <c r="D16540" i="1"/>
  <c r="G16540" i="1"/>
  <c r="B20617" i="1"/>
  <c r="D20617" i="1"/>
  <c r="G20617" i="1"/>
  <c r="B4956" i="1"/>
  <c r="D4956" i="1"/>
  <c r="G4956" i="1"/>
  <c r="B18685" i="1"/>
  <c r="D18685" i="1"/>
  <c r="G18685" i="1"/>
  <c r="B17312" i="1"/>
  <c r="D17312" i="1"/>
  <c r="G17312" i="1"/>
  <c r="B12163" i="1"/>
  <c r="D12163" i="1"/>
  <c r="G12163" i="1"/>
  <c r="B9400" i="1"/>
  <c r="D9400" i="1"/>
  <c r="G9400" i="1"/>
  <c r="B14068" i="1"/>
  <c r="D14068" i="1"/>
  <c r="G14068" i="1"/>
  <c r="B9401" i="1"/>
  <c r="D9401" i="1"/>
  <c r="G9401" i="1"/>
  <c r="B12164" i="1"/>
  <c r="D12164" i="1"/>
  <c r="G12164" i="1"/>
  <c r="B14127" i="1"/>
  <c r="D14127" i="1"/>
  <c r="G14127" i="1"/>
  <c r="B7365" i="1"/>
  <c r="D7365" i="1"/>
  <c r="G7365" i="1"/>
  <c r="B10309" i="1"/>
  <c r="D10309" i="1"/>
  <c r="G10309" i="1"/>
  <c r="B9402" i="1"/>
  <c r="D9402" i="1"/>
  <c r="G9402" i="1"/>
  <c r="B14408" i="1"/>
  <c r="D14408" i="1"/>
  <c r="G14408" i="1"/>
  <c r="B11345" i="1"/>
  <c r="D11345" i="1"/>
  <c r="G11345" i="1"/>
  <c r="B11346" i="1"/>
  <c r="D11346" i="1"/>
  <c r="G11346" i="1"/>
  <c r="B1290" i="1"/>
  <c r="D1290" i="1"/>
  <c r="G1290" i="1"/>
  <c r="B21096" i="1"/>
  <c r="D21096" i="1"/>
  <c r="G21096" i="1"/>
  <c r="B2889" i="1"/>
  <c r="D2889" i="1"/>
  <c r="G2889" i="1"/>
  <c r="B10903" i="1"/>
  <c r="D10903" i="1"/>
  <c r="G10903" i="1"/>
  <c r="B16541" i="1"/>
  <c r="D16541" i="1"/>
  <c r="G16541" i="1"/>
  <c r="B19559" i="1"/>
  <c r="D19559" i="1"/>
  <c r="G19559" i="1"/>
  <c r="B4912" i="1"/>
  <c r="D4912" i="1"/>
  <c r="G4912" i="1"/>
  <c r="B16542" i="1"/>
  <c r="D16542" i="1"/>
  <c r="G16542" i="1"/>
  <c r="B18180" i="1"/>
  <c r="D18180" i="1"/>
  <c r="G18180" i="1"/>
  <c r="B19239" i="1"/>
  <c r="D19239" i="1"/>
  <c r="G19239" i="1"/>
  <c r="B11812" i="1"/>
  <c r="D11812" i="1"/>
  <c r="G11812" i="1"/>
  <c r="B14842" i="1"/>
  <c r="D14842" i="1"/>
  <c r="G14842" i="1"/>
  <c r="B17120" i="1"/>
  <c r="D17120" i="1"/>
  <c r="G17120" i="1"/>
  <c r="B2053" i="1"/>
  <c r="D2053" i="1"/>
  <c r="G2053" i="1"/>
  <c r="B21353" i="1"/>
  <c r="D21353" i="1"/>
  <c r="G21353" i="1"/>
  <c r="B18511" i="1"/>
  <c r="D18511" i="1"/>
  <c r="G18511" i="1"/>
  <c r="B16543" i="1"/>
  <c r="D16543" i="1"/>
  <c r="G16543" i="1"/>
  <c r="B413" i="1"/>
  <c r="D413" i="1"/>
  <c r="G413" i="1"/>
  <c r="B4350" i="1"/>
  <c r="D4350" i="1"/>
  <c r="G4350" i="1"/>
  <c r="B16544" i="1"/>
  <c r="D16544" i="1"/>
  <c r="G16544" i="1"/>
  <c r="B8138" i="1"/>
  <c r="D8138" i="1"/>
  <c r="G8138" i="1"/>
  <c r="B17745" i="1"/>
  <c r="D17745" i="1"/>
  <c r="G17745" i="1"/>
  <c r="B11594" i="1"/>
  <c r="D11594" i="1"/>
  <c r="G11594" i="1"/>
  <c r="B12516" i="1"/>
  <c r="D12516" i="1"/>
  <c r="G12516" i="1"/>
  <c r="B3970" i="1"/>
  <c r="D3970" i="1"/>
  <c r="G3970" i="1"/>
  <c r="B5621" i="1"/>
  <c r="D5621" i="1"/>
  <c r="G5621" i="1"/>
  <c r="B4351" i="1"/>
  <c r="D4351" i="1"/>
  <c r="G4351" i="1"/>
  <c r="B6875" i="1"/>
  <c r="D6875" i="1"/>
  <c r="G6875" i="1"/>
  <c r="B2519" i="1"/>
  <c r="D2519" i="1"/>
  <c r="G2519" i="1"/>
  <c r="B8916" i="1"/>
  <c r="D8916" i="1"/>
  <c r="G8916" i="1"/>
  <c r="B4546" i="1"/>
  <c r="D4546" i="1"/>
  <c r="G4546" i="1"/>
  <c r="B15101" i="1"/>
  <c r="D15101" i="1"/>
  <c r="G15101" i="1"/>
  <c r="B13726" i="1"/>
  <c r="D13726" i="1"/>
  <c r="G13726" i="1"/>
  <c r="B12982" i="1"/>
  <c r="D12982" i="1"/>
  <c r="G12982" i="1"/>
  <c r="B13668" i="1"/>
  <c r="D13668" i="1"/>
  <c r="G13668" i="1"/>
  <c r="B16545" i="1"/>
  <c r="D16545" i="1"/>
  <c r="G16545" i="1"/>
  <c r="B14356" i="1"/>
  <c r="D14356" i="1"/>
  <c r="G14356" i="1"/>
  <c r="B7233" i="1"/>
  <c r="D7233" i="1"/>
  <c r="G7233" i="1"/>
  <c r="B7234" i="1"/>
  <c r="D7234" i="1"/>
  <c r="G7234" i="1"/>
  <c r="B4094" i="1"/>
  <c r="D4094" i="1"/>
  <c r="G4094" i="1"/>
  <c r="B3657" i="1"/>
  <c r="D3657" i="1"/>
  <c r="G3657" i="1"/>
  <c r="B16110" i="1"/>
  <c r="D16110" i="1"/>
  <c r="G16110" i="1"/>
  <c r="B7938" i="1"/>
  <c r="D7938" i="1"/>
  <c r="G7938" i="1"/>
  <c r="B7939" i="1"/>
  <c r="D7939" i="1"/>
  <c r="G7939" i="1"/>
  <c r="B6383" i="1"/>
  <c r="D6383" i="1"/>
  <c r="G6383" i="1"/>
  <c r="B207" i="1"/>
  <c r="D207" i="1"/>
  <c r="G207" i="1"/>
  <c r="B4579" i="1"/>
  <c r="D4579" i="1"/>
  <c r="G4579" i="1"/>
  <c r="B16982" i="1"/>
  <c r="D16982" i="1"/>
  <c r="G16982" i="1"/>
  <c r="B11888" i="1"/>
  <c r="D11888" i="1"/>
  <c r="G11888" i="1"/>
  <c r="B12165" i="1"/>
  <c r="D12165" i="1"/>
  <c r="G12165" i="1"/>
  <c r="B14843" i="1"/>
  <c r="D14843" i="1"/>
  <c r="G14843" i="1"/>
  <c r="B10904" i="1"/>
  <c r="D10904" i="1"/>
  <c r="G10904" i="1"/>
  <c r="B11192" i="1"/>
  <c r="D11192" i="1"/>
  <c r="G11192" i="1"/>
  <c r="B22164" i="1"/>
  <c r="D22164" i="1"/>
  <c r="G22164" i="1"/>
  <c r="B19560" i="1"/>
  <c r="D19560" i="1"/>
  <c r="G19560" i="1"/>
  <c r="B19561" i="1"/>
  <c r="D19561" i="1"/>
  <c r="G19561" i="1"/>
  <c r="B11430" i="1"/>
  <c r="D11430" i="1"/>
  <c r="G11430" i="1"/>
  <c r="B15102" i="1"/>
  <c r="D15102" i="1"/>
  <c r="G15102" i="1"/>
  <c r="B11304" i="1"/>
  <c r="D11304" i="1"/>
  <c r="G11304" i="1"/>
  <c r="B2890" i="1"/>
  <c r="D2890" i="1"/>
  <c r="G2890" i="1"/>
  <c r="B1291" i="1"/>
  <c r="D1291" i="1"/>
  <c r="G1291" i="1"/>
  <c r="B143" i="1"/>
  <c r="D143" i="1"/>
  <c r="G143" i="1"/>
  <c r="B15103" i="1"/>
  <c r="D15103" i="1"/>
  <c r="G15103" i="1"/>
  <c r="B16983" i="1"/>
  <c r="D16983" i="1"/>
  <c r="G16983" i="1"/>
  <c r="B4232" i="1"/>
  <c r="D4232" i="1"/>
  <c r="G4232" i="1"/>
  <c r="B4233" i="1"/>
  <c r="D4233" i="1"/>
  <c r="G4233" i="1"/>
  <c r="B10372" i="1"/>
  <c r="D10372" i="1"/>
  <c r="G10372" i="1"/>
  <c r="B10905" i="1"/>
  <c r="D10905" i="1"/>
  <c r="G10905" i="1"/>
  <c r="B18127" i="1"/>
  <c r="D18127" i="1"/>
  <c r="G18127" i="1"/>
  <c r="B17746" i="1"/>
  <c r="D17746" i="1"/>
  <c r="G17746" i="1"/>
  <c r="B5876" i="1"/>
  <c r="D5876" i="1"/>
  <c r="G5876" i="1"/>
  <c r="B14018" i="1"/>
  <c r="D14018" i="1"/>
  <c r="G14018" i="1"/>
  <c r="B17291" i="1"/>
  <c r="D17291" i="1"/>
  <c r="G17291" i="1"/>
  <c r="B2891" i="1"/>
  <c r="D2891" i="1"/>
  <c r="G2891" i="1"/>
  <c r="B20472" i="1"/>
  <c r="D20472" i="1"/>
  <c r="G20472" i="1"/>
  <c r="B14440" i="1"/>
  <c r="D14440" i="1"/>
  <c r="G14440" i="1"/>
  <c r="B22165" i="1"/>
  <c r="D22165" i="1"/>
  <c r="G22165" i="1"/>
  <c r="B3971" i="1"/>
  <c r="D3971" i="1"/>
  <c r="G3971" i="1"/>
  <c r="B18128" i="1"/>
  <c r="D18128" i="1"/>
  <c r="G18128" i="1"/>
  <c r="B16546" i="1"/>
  <c r="D16546" i="1"/>
  <c r="G16546" i="1"/>
  <c r="B14685" i="1"/>
  <c r="D14685" i="1"/>
  <c r="G14685" i="1"/>
  <c r="B13311" i="1"/>
  <c r="D13311" i="1"/>
  <c r="G13311" i="1"/>
  <c r="B12166" i="1"/>
  <c r="D12166" i="1"/>
  <c r="G12166" i="1"/>
  <c r="B19562" i="1"/>
  <c r="D19562" i="1"/>
  <c r="G19562" i="1"/>
  <c r="B12945" i="1"/>
  <c r="D12945" i="1"/>
  <c r="G12945" i="1"/>
  <c r="B15104" i="1"/>
  <c r="D15104" i="1"/>
  <c r="G15104" i="1"/>
  <c r="B14273" i="1"/>
  <c r="D14273" i="1"/>
  <c r="G14273" i="1"/>
  <c r="B10585" i="1"/>
  <c r="D10585" i="1"/>
  <c r="G10585" i="1"/>
  <c r="B12983" i="1"/>
  <c r="D12983" i="1"/>
  <c r="G12983" i="1"/>
  <c r="B19046" i="1"/>
  <c r="D19046" i="1"/>
  <c r="G19046" i="1"/>
  <c r="B14732" i="1"/>
  <c r="D14732" i="1"/>
  <c r="G14732" i="1"/>
  <c r="B17747" i="1"/>
  <c r="D17747" i="1"/>
  <c r="G17747" i="1"/>
  <c r="B15498" i="1"/>
  <c r="D15498" i="1"/>
  <c r="G15498" i="1"/>
  <c r="B22044" i="1"/>
  <c r="D22044" i="1"/>
  <c r="G22044" i="1"/>
  <c r="B14627" i="1"/>
  <c r="D14627" i="1"/>
  <c r="G14627" i="1"/>
  <c r="B2144" i="1"/>
  <c r="D2144" i="1"/>
  <c r="G2144" i="1"/>
  <c r="B19240" i="1"/>
  <c r="D19240" i="1"/>
  <c r="G19240" i="1"/>
  <c r="B11595" i="1"/>
  <c r="D11595" i="1"/>
  <c r="G11595" i="1"/>
  <c r="B11596" i="1"/>
  <c r="D11596" i="1"/>
  <c r="G11596" i="1"/>
  <c r="B11696" i="1"/>
  <c r="D11696" i="1"/>
  <c r="G11696" i="1"/>
  <c r="B11697" i="1"/>
  <c r="D11697" i="1"/>
  <c r="G11697" i="1"/>
  <c r="B14783" i="1"/>
  <c r="D14783" i="1"/>
  <c r="G14783" i="1"/>
  <c r="B4227" i="1"/>
  <c r="D4227" i="1"/>
  <c r="G4227" i="1"/>
  <c r="B16547" i="1"/>
  <c r="D16547" i="1"/>
  <c r="G16547" i="1"/>
  <c r="B17529" i="1"/>
  <c r="D17529" i="1"/>
  <c r="G17529" i="1"/>
  <c r="B5107" i="1"/>
  <c r="D5107" i="1"/>
  <c r="G5107" i="1"/>
  <c r="B8571" i="1"/>
  <c r="D8571" i="1"/>
  <c r="G8571" i="1"/>
  <c r="B8572" i="1"/>
  <c r="D8572" i="1"/>
  <c r="G8572" i="1"/>
  <c r="B19047" i="1"/>
  <c r="D19047" i="1"/>
  <c r="G19047" i="1"/>
  <c r="B2892" i="1"/>
  <c r="D2892" i="1"/>
  <c r="G2892" i="1"/>
  <c r="B14172" i="1"/>
  <c r="D14172" i="1"/>
  <c r="G14172" i="1"/>
  <c r="B18223" i="1"/>
  <c r="D18223" i="1"/>
  <c r="G18223" i="1"/>
  <c r="B17121" i="1"/>
  <c r="D17121" i="1"/>
  <c r="G17121" i="1"/>
  <c r="B19241" i="1"/>
  <c r="D19241" i="1"/>
  <c r="G19241" i="1"/>
  <c r="B11193" i="1"/>
  <c r="D11193" i="1"/>
  <c r="G11193" i="1"/>
  <c r="B15105" i="1"/>
  <c r="D15105" i="1"/>
  <c r="G15105" i="1"/>
  <c r="B21918" i="1"/>
  <c r="D21918" i="1"/>
  <c r="G21918" i="1"/>
  <c r="B17530" i="1"/>
  <c r="D17530" i="1"/>
  <c r="G17530" i="1"/>
  <c r="B13197" i="1"/>
  <c r="D13197" i="1"/>
  <c r="G13197" i="1"/>
  <c r="B16984" i="1"/>
  <c r="D16984" i="1"/>
  <c r="G16984" i="1"/>
  <c r="B6543" i="1"/>
  <c r="D6543" i="1"/>
  <c r="G6543" i="1"/>
  <c r="B5510" i="1"/>
  <c r="D5510" i="1"/>
  <c r="G5510" i="1"/>
  <c r="B10373" i="1"/>
  <c r="D10373" i="1"/>
  <c r="G10373" i="1"/>
  <c r="B3658" i="1"/>
  <c r="D3658" i="1"/>
  <c r="G3658" i="1"/>
  <c r="B7565" i="1"/>
  <c r="D7565" i="1"/>
  <c r="G7565" i="1"/>
  <c r="B10906" i="1"/>
  <c r="D10906" i="1"/>
  <c r="G10906" i="1"/>
  <c r="B12984" i="1"/>
  <c r="D12984" i="1"/>
  <c r="G12984" i="1"/>
  <c r="B2893" i="1"/>
  <c r="D2893" i="1"/>
  <c r="G2893" i="1"/>
  <c r="B19048" i="1"/>
  <c r="D19048" i="1"/>
  <c r="G19048" i="1"/>
  <c r="B10586" i="1"/>
  <c r="D10586" i="1"/>
  <c r="G10586" i="1"/>
  <c r="B15499" i="1"/>
  <c r="D15499" i="1"/>
  <c r="G15499" i="1"/>
  <c r="B15106" i="1"/>
  <c r="D15106" i="1"/>
  <c r="G15106" i="1"/>
  <c r="B21440" i="1"/>
  <c r="D21440" i="1"/>
  <c r="G21440" i="1"/>
  <c r="B8573" i="1"/>
  <c r="D8573" i="1"/>
  <c r="G8573" i="1"/>
  <c r="B6562" i="1"/>
  <c r="D6562" i="1"/>
  <c r="G6562" i="1"/>
  <c r="B8574" i="1"/>
  <c r="D8574" i="1"/>
  <c r="G8574" i="1"/>
  <c r="B18512" i="1"/>
  <c r="D18512" i="1"/>
  <c r="G18512" i="1"/>
  <c r="B13198" i="1"/>
  <c r="D13198" i="1"/>
  <c r="G13198" i="1"/>
  <c r="B2894" i="1"/>
  <c r="D2894" i="1"/>
  <c r="G2894" i="1"/>
  <c r="B3769" i="1"/>
  <c r="D3769" i="1"/>
  <c r="G3769" i="1"/>
  <c r="B4654" i="1"/>
  <c r="D4654" i="1"/>
  <c r="G4654" i="1"/>
  <c r="B18686" i="1"/>
  <c r="D18686" i="1"/>
  <c r="G18686" i="1"/>
  <c r="B10907" i="1"/>
  <c r="D10907" i="1"/>
  <c r="G10907" i="1"/>
  <c r="B18687" i="1"/>
  <c r="D18687" i="1"/>
  <c r="G18687" i="1"/>
  <c r="B12167" i="1"/>
  <c r="D12167" i="1"/>
  <c r="G12167" i="1"/>
  <c r="B10374" i="1"/>
  <c r="D10374" i="1"/>
  <c r="G10374" i="1"/>
  <c r="B2895" i="1"/>
  <c r="D2895" i="1"/>
  <c r="G2895" i="1"/>
  <c r="B10908" i="1"/>
  <c r="D10908" i="1"/>
  <c r="G10908" i="1"/>
  <c r="B13836" i="1"/>
  <c r="D13836" i="1"/>
  <c r="G13836" i="1"/>
  <c r="B17122" i="1"/>
  <c r="D17122" i="1"/>
  <c r="G17122" i="1"/>
  <c r="B13491" i="1"/>
  <c r="D13491" i="1"/>
  <c r="G13491" i="1"/>
  <c r="B16111" i="1"/>
  <c r="D16111" i="1"/>
  <c r="G16111" i="1"/>
  <c r="B15107" i="1"/>
  <c r="D15107" i="1"/>
  <c r="G15107" i="1"/>
  <c r="B13155" i="1"/>
  <c r="D13155" i="1"/>
  <c r="G13155" i="1"/>
  <c r="B12168" i="1"/>
  <c r="D12168" i="1"/>
  <c r="G12168" i="1"/>
  <c r="B20847" i="1"/>
  <c r="D20847" i="1"/>
  <c r="G20847" i="1"/>
  <c r="B20848" i="1"/>
  <c r="D20848" i="1"/>
  <c r="G20848" i="1"/>
  <c r="B8917" i="1"/>
  <c r="D8917" i="1"/>
  <c r="G8917" i="1"/>
  <c r="B3972" i="1"/>
  <c r="D3972" i="1"/>
  <c r="G3972" i="1"/>
  <c r="B19242" i="1"/>
  <c r="D19242" i="1"/>
  <c r="G19242" i="1"/>
  <c r="B18883" i="1"/>
  <c r="D18883" i="1"/>
  <c r="G18883" i="1"/>
  <c r="B18513" i="1"/>
  <c r="D18513" i="1"/>
  <c r="G18513" i="1"/>
  <c r="B4957" i="1"/>
  <c r="D4957" i="1"/>
  <c r="G4957" i="1"/>
  <c r="B14844" i="1"/>
  <c r="D14844" i="1"/>
  <c r="G14844" i="1"/>
  <c r="B11743" i="1"/>
  <c r="D11743" i="1"/>
  <c r="G11743" i="1"/>
  <c r="B3973" i="1"/>
  <c r="D3973" i="1"/>
  <c r="G3973" i="1"/>
  <c r="B4243" i="1"/>
  <c r="D4243" i="1"/>
  <c r="G4243" i="1"/>
  <c r="B18688" i="1"/>
  <c r="D18688" i="1"/>
  <c r="G18688" i="1"/>
  <c r="B12517" i="1"/>
  <c r="D12517" i="1"/>
  <c r="G12517" i="1"/>
  <c r="B15108" i="1"/>
  <c r="D15108" i="1"/>
  <c r="G15108" i="1"/>
  <c r="B10587" i="1"/>
  <c r="D10587" i="1"/>
  <c r="G10587" i="1"/>
  <c r="B19563" i="1"/>
  <c r="D19563" i="1"/>
  <c r="G19563" i="1"/>
  <c r="B14263" i="1"/>
  <c r="D14263" i="1"/>
  <c r="G14263" i="1"/>
  <c r="B17335" i="1"/>
  <c r="D17335" i="1"/>
  <c r="G17335" i="1"/>
  <c r="B15109" i="1"/>
  <c r="D15109" i="1"/>
  <c r="G15109" i="1"/>
  <c r="B12169" i="1"/>
  <c r="D12169" i="1"/>
  <c r="G12169" i="1"/>
  <c r="B14409" i="1"/>
  <c r="D14409" i="1"/>
  <c r="G14409" i="1"/>
  <c r="B414" i="1"/>
  <c r="D414" i="1"/>
  <c r="G414" i="1"/>
  <c r="B10310" i="1"/>
  <c r="D10310" i="1"/>
  <c r="G10310" i="1"/>
  <c r="B17123" i="1"/>
  <c r="D17123" i="1"/>
  <c r="G17123" i="1"/>
  <c r="B10588" i="1"/>
  <c r="D10588" i="1"/>
  <c r="G10588" i="1"/>
  <c r="B10589" i="1"/>
  <c r="D10589" i="1"/>
  <c r="G10589" i="1"/>
  <c r="B10909" i="1"/>
  <c r="D10909" i="1"/>
  <c r="G10909" i="1"/>
  <c r="B10910" i="1"/>
  <c r="D10910" i="1"/>
  <c r="G10910" i="1"/>
  <c r="B15500" i="1"/>
  <c r="D15500" i="1"/>
  <c r="G15500" i="1"/>
  <c r="B20395" i="1"/>
  <c r="D20395" i="1"/>
  <c r="G20395" i="1"/>
  <c r="B11194" i="1"/>
  <c r="D11194" i="1"/>
  <c r="G11194" i="1"/>
  <c r="B20618" i="1"/>
  <c r="D20618" i="1"/>
  <c r="G20618" i="1"/>
  <c r="B16548" i="1"/>
  <c r="D16548" i="1"/>
  <c r="G16548" i="1"/>
  <c r="B5160" i="1"/>
  <c r="D5160" i="1"/>
  <c r="G5160" i="1"/>
  <c r="B5161" i="1"/>
  <c r="D5161" i="1"/>
  <c r="G5161" i="1"/>
  <c r="B17748" i="1"/>
  <c r="D17748" i="1"/>
  <c r="G17748" i="1"/>
  <c r="B6100" i="1"/>
  <c r="D6100" i="1"/>
  <c r="G6100" i="1"/>
  <c r="B20067" i="1"/>
  <c r="D20067" i="1"/>
  <c r="G20067" i="1"/>
  <c r="B8205" i="1"/>
  <c r="D8205" i="1"/>
  <c r="G8205" i="1"/>
  <c r="B11195" i="1"/>
  <c r="D11195" i="1"/>
  <c r="G11195" i="1"/>
  <c r="B16549" i="1"/>
  <c r="D16549" i="1"/>
  <c r="G16549" i="1"/>
  <c r="B5877" i="1"/>
  <c r="D5877" i="1"/>
  <c r="G5877" i="1"/>
  <c r="B14311" i="1"/>
  <c r="D14311" i="1"/>
  <c r="G14311" i="1"/>
  <c r="B2476" i="1"/>
  <c r="D2476" i="1"/>
  <c r="G2476" i="1"/>
  <c r="B12854" i="1"/>
  <c r="D12854" i="1"/>
  <c r="G12854" i="1"/>
  <c r="B12985" i="1"/>
  <c r="D12985" i="1"/>
  <c r="G12985" i="1"/>
  <c r="B3659" i="1"/>
  <c r="D3659" i="1"/>
  <c r="G3659" i="1"/>
  <c r="B16550" i="1"/>
  <c r="D16550" i="1"/>
  <c r="G16550" i="1"/>
  <c r="B16551" i="1"/>
  <c r="D16551" i="1"/>
  <c r="G16551" i="1"/>
  <c r="B20396" i="1"/>
  <c r="D20396" i="1"/>
  <c r="G20396" i="1"/>
  <c r="B3974" i="1"/>
  <c r="D3974" i="1"/>
  <c r="G3974" i="1"/>
  <c r="B13396" i="1"/>
  <c r="D13396" i="1"/>
  <c r="G13396" i="1"/>
  <c r="B13200" i="1"/>
  <c r="D13200" i="1"/>
  <c r="G13200" i="1"/>
  <c r="B3660" i="1"/>
  <c r="D3660" i="1"/>
  <c r="G3660" i="1"/>
  <c r="B4238" i="1"/>
  <c r="D4238" i="1"/>
  <c r="G4238" i="1"/>
  <c r="B6384" i="1"/>
  <c r="D6384" i="1"/>
  <c r="G6384" i="1"/>
  <c r="B18514" i="1"/>
  <c r="D18514" i="1"/>
  <c r="G18514" i="1"/>
  <c r="B16552" i="1"/>
  <c r="D16552" i="1"/>
  <c r="G16552" i="1"/>
  <c r="B18515" i="1"/>
  <c r="D18515" i="1"/>
  <c r="G18515" i="1"/>
  <c r="B2896" i="1"/>
  <c r="D2896" i="1"/>
  <c r="G2896" i="1"/>
  <c r="B1292" i="1"/>
  <c r="D1292" i="1"/>
  <c r="G1292" i="1"/>
  <c r="B16112" i="1"/>
  <c r="D16112" i="1"/>
  <c r="G16112" i="1"/>
  <c r="B16553" i="1"/>
  <c r="D16553" i="1"/>
  <c r="G16553" i="1"/>
  <c r="B18742" i="1"/>
  <c r="D18742" i="1"/>
  <c r="G18742" i="1"/>
  <c r="B5158" i="1"/>
  <c r="D5158" i="1"/>
  <c r="G5158" i="1"/>
  <c r="B5159" i="1"/>
  <c r="D5159" i="1"/>
  <c r="G5159" i="1"/>
  <c r="B10911" i="1"/>
  <c r="D10911" i="1"/>
  <c r="G10911" i="1"/>
  <c r="B11196" i="1"/>
  <c r="D11196" i="1"/>
  <c r="G11196" i="1"/>
  <c r="B13716" i="1"/>
  <c r="D13716" i="1"/>
  <c r="G13716" i="1"/>
  <c r="B8393" i="1"/>
  <c r="D8393" i="1"/>
  <c r="G8393" i="1"/>
  <c r="B3661" i="1"/>
  <c r="D3661" i="1"/>
  <c r="G3661" i="1"/>
  <c r="B11197" i="1"/>
  <c r="D11197" i="1"/>
  <c r="G11197" i="1"/>
  <c r="B20619" i="1"/>
  <c r="D20619" i="1"/>
  <c r="G20619" i="1"/>
  <c r="B12946" i="1"/>
  <c r="D12946" i="1"/>
  <c r="G12946" i="1"/>
  <c r="B15110" i="1"/>
  <c r="D15110" i="1"/>
  <c r="G15110" i="1"/>
  <c r="B10590" i="1"/>
  <c r="D10590" i="1"/>
  <c r="G10590" i="1"/>
  <c r="B21791" i="1"/>
  <c r="D21791" i="1"/>
  <c r="G21791" i="1"/>
  <c r="B21715" i="1"/>
  <c r="D21715" i="1"/>
  <c r="G21715" i="1"/>
  <c r="B16554" i="1"/>
  <c r="D16554" i="1"/>
  <c r="G16554" i="1"/>
  <c r="B2897" i="1"/>
  <c r="D2897" i="1"/>
  <c r="G2897" i="1"/>
  <c r="B9261" i="1"/>
  <c r="D9261" i="1"/>
  <c r="G9261" i="1"/>
  <c r="B9262" i="1"/>
  <c r="D9262" i="1"/>
  <c r="G9262" i="1"/>
  <c r="B22166" i="1"/>
  <c r="D22166" i="1"/>
  <c r="G22166" i="1"/>
  <c r="B12518" i="1"/>
  <c r="D12518" i="1"/>
  <c r="G12518" i="1"/>
  <c r="B4114" i="1"/>
  <c r="D4114" i="1"/>
  <c r="G4114" i="1"/>
  <c r="B12986" i="1"/>
  <c r="D12986" i="1"/>
  <c r="G12986" i="1"/>
  <c r="B8918" i="1"/>
  <c r="D8918" i="1"/>
  <c r="G8918" i="1"/>
  <c r="B18129" i="1"/>
  <c r="D18129" i="1"/>
  <c r="G18129" i="1"/>
  <c r="B14312" i="1"/>
  <c r="D14312" i="1"/>
  <c r="G14312" i="1"/>
  <c r="B8575" i="1"/>
  <c r="D8575" i="1"/>
  <c r="G8575" i="1"/>
  <c r="B8576" i="1"/>
  <c r="D8576" i="1"/>
  <c r="G8576" i="1"/>
  <c r="B12855" i="1"/>
  <c r="D12855" i="1"/>
  <c r="G12855" i="1"/>
  <c r="B19564" i="1"/>
  <c r="D19564" i="1"/>
  <c r="G19564" i="1"/>
  <c r="B19565" i="1"/>
  <c r="D19565" i="1"/>
  <c r="G19565" i="1"/>
  <c r="B12170" i="1"/>
  <c r="D12170" i="1"/>
  <c r="G12170" i="1"/>
  <c r="B17593" i="1"/>
  <c r="D17593" i="1"/>
  <c r="G17593" i="1"/>
  <c r="B4547" i="1"/>
  <c r="D4547" i="1"/>
  <c r="G4547" i="1"/>
  <c r="B7366" i="1"/>
  <c r="D7366" i="1"/>
  <c r="G7366" i="1"/>
  <c r="B19566" i="1"/>
  <c r="D19566" i="1"/>
  <c r="G19566" i="1"/>
  <c r="B1293" i="1"/>
  <c r="D1293" i="1"/>
  <c r="G1293" i="1"/>
  <c r="B592" i="1"/>
  <c r="D592" i="1"/>
  <c r="G592" i="1"/>
  <c r="B10037" i="1"/>
  <c r="D10037" i="1"/>
  <c r="G10037" i="1"/>
  <c r="B19567" i="1"/>
  <c r="D19567" i="1"/>
  <c r="G19567" i="1"/>
  <c r="B19568" i="1"/>
  <c r="D19568" i="1"/>
  <c r="G19568" i="1"/>
  <c r="B6547" i="1"/>
  <c r="D6547" i="1"/>
  <c r="G6547" i="1"/>
  <c r="B21354" i="1"/>
  <c r="D21354" i="1"/>
  <c r="G21354" i="1"/>
  <c r="B16555" i="1"/>
  <c r="D16555" i="1"/>
  <c r="G16555" i="1"/>
  <c r="B18689" i="1"/>
  <c r="D18689" i="1"/>
  <c r="G18689" i="1"/>
  <c r="B13919" i="1"/>
  <c r="D13919" i="1"/>
  <c r="G13919" i="1"/>
  <c r="B17343" i="1"/>
  <c r="D17343" i="1"/>
  <c r="G17343" i="1"/>
  <c r="B12947" i="1"/>
  <c r="D12947" i="1"/>
  <c r="G12947" i="1"/>
  <c r="B19243" i="1"/>
  <c r="D19243" i="1"/>
  <c r="G19243" i="1"/>
  <c r="B1733" i="1"/>
  <c r="D1733" i="1"/>
  <c r="G1733" i="1"/>
  <c r="B18884" i="1"/>
  <c r="D18884" i="1"/>
  <c r="G18884" i="1"/>
  <c r="B13745" i="1"/>
  <c r="D13745" i="1"/>
  <c r="G13745" i="1"/>
  <c r="B12171" i="1"/>
  <c r="D12171" i="1"/>
  <c r="G12171" i="1"/>
  <c r="B2259" i="1"/>
  <c r="D2259" i="1"/>
  <c r="G2259" i="1"/>
  <c r="B13079" i="1"/>
  <c r="D13079" i="1"/>
  <c r="G13079" i="1"/>
  <c r="B11889" i="1"/>
  <c r="D11889" i="1"/>
  <c r="G11889" i="1"/>
  <c r="B17397" i="1"/>
  <c r="D17397" i="1"/>
  <c r="G17397" i="1"/>
  <c r="B4239" i="1"/>
  <c r="D4239" i="1"/>
  <c r="G4239" i="1"/>
  <c r="B12172" i="1"/>
  <c r="D12172" i="1"/>
  <c r="G12172" i="1"/>
  <c r="B2898" i="1"/>
  <c r="D2898" i="1"/>
  <c r="G2898" i="1"/>
  <c r="B5753" i="1"/>
  <c r="D5753" i="1"/>
  <c r="G5753" i="1"/>
  <c r="B2899" i="1"/>
  <c r="D2899" i="1"/>
  <c r="G2899" i="1"/>
  <c r="B1294" i="1"/>
  <c r="D1294" i="1"/>
  <c r="G1294" i="1"/>
  <c r="B17749" i="1"/>
  <c r="D17749" i="1"/>
  <c r="G17749" i="1"/>
  <c r="B4958" i="1"/>
  <c r="D4958" i="1"/>
  <c r="G4958" i="1"/>
  <c r="B13156" i="1"/>
  <c r="D13156" i="1"/>
  <c r="G13156" i="1"/>
  <c r="B2261" i="1"/>
  <c r="D2261" i="1"/>
  <c r="G2261" i="1"/>
  <c r="B19569" i="1"/>
  <c r="D19569" i="1"/>
  <c r="G19569" i="1"/>
  <c r="B16556" i="1"/>
  <c r="D16556" i="1"/>
  <c r="G16556" i="1"/>
  <c r="B1295" i="1"/>
  <c r="D1295" i="1"/>
  <c r="G1295" i="1"/>
  <c r="B12173" i="1"/>
  <c r="D12173" i="1"/>
  <c r="G12173" i="1"/>
  <c r="B16113" i="1"/>
  <c r="D16113" i="1"/>
  <c r="G16113" i="1"/>
  <c r="B19570" i="1"/>
  <c r="D19570" i="1"/>
  <c r="G19570" i="1"/>
  <c r="B10912" i="1"/>
  <c r="D10912" i="1"/>
  <c r="G10912" i="1"/>
  <c r="B11198" i="1"/>
  <c r="D11198" i="1"/>
  <c r="G11198" i="1"/>
  <c r="B18181" i="1"/>
  <c r="D18181" i="1"/>
  <c r="G18181" i="1"/>
  <c r="B21547" i="1"/>
  <c r="D21547" i="1"/>
  <c r="G21547" i="1"/>
  <c r="B18516" i="1"/>
  <c r="D18516" i="1"/>
  <c r="G18516" i="1"/>
  <c r="B11347" i="1"/>
  <c r="D11347" i="1"/>
  <c r="G11347" i="1"/>
  <c r="B5511" i="1"/>
  <c r="D5511" i="1"/>
  <c r="G5511" i="1"/>
  <c r="B6509" i="1"/>
  <c r="D6509" i="1"/>
  <c r="G6509" i="1"/>
  <c r="B2900" i="1"/>
  <c r="D2900" i="1"/>
  <c r="G2900" i="1"/>
  <c r="B359" i="1"/>
  <c r="D359" i="1"/>
  <c r="G359" i="1"/>
  <c r="B1296" i="1"/>
  <c r="D1296" i="1"/>
  <c r="G1296" i="1"/>
  <c r="B6959" i="1"/>
  <c r="D6959" i="1"/>
  <c r="G6959" i="1"/>
  <c r="B5801" i="1"/>
  <c r="D5801" i="1"/>
  <c r="G5801" i="1"/>
  <c r="B14111" i="1"/>
  <c r="D14111" i="1"/>
  <c r="G14111" i="1"/>
  <c r="B13987" i="1"/>
  <c r="D13987" i="1"/>
  <c r="G13987" i="1"/>
  <c r="B12174" i="1"/>
  <c r="D12174" i="1"/>
  <c r="G12174" i="1"/>
  <c r="B2901" i="1"/>
  <c r="D2901" i="1"/>
  <c r="G2901" i="1"/>
  <c r="B19049" i="1"/>
  <c r="D19049" i="1"/>
  <c r="G19049" i="1"/>
  <c r="B18885" i="1"/>
  <c r="D18885" i="1"/>
  <c r="G18885" i="1"/>
  <c r="B18351" i="1"/>
  <c r="D18351" i="1"/>
  <c r="G18351" i="1"/>
  <c r="B12175" i="1"/>
  <c r="D12175" i="1"/>
  <c r="G12175" i="1"/>
  <c r="B14187" i="1"/>
  <c r="D14187" i="1"/>
  <c r="G14187" i="1"/>
  <c r="B12673" i="1"/>
  <c r="D12673" i="1"/>
  <c r="G12673" i="1"/>
  <c r="B5512" i="1"/>
  <c r="D5512" i="1"/>
  <c r="G5512" i="1"/>
  <c r="B17124" i="1"/>
  <c r="D17124" i="1"/>
  <c r="G17124" i="1"/>
  <c r="B16114" i="1"/>
  <c r="D16114" i="1"/>
  <c r="G16114" i="1"/>
  <c r="B10913" i="1"/>
  <c r="D10913" i="1"/>
  <c r="G10913" i="1"/>
  <c r="B4983" i="1"/>
  <c r="D4983" i="1"/>
  <c r="G4983" i="1"/>
  <c r="B5513" i="1"/>
  <c r="D5513" i="1"/>
  <c r="G5513" i="1"/>
  <c r="B16557" i="1"/>
  <c r="D16557" i="1"/>
  <c r="G16557" i="1"/>
  <c r="B18517" i="1"/>
  <c r="D18517" i="1"/>
  <c r="G18517" i="1"/>
  <c r="B2902" i="1"/>
  <c r="D2902" i="1"/>
  <c r="G2902" i="1"/>
  <c r="B20304" i="1"/>
  <c r="D20304" i="1"/>
  <c r="G20304" i="1"/>
  <c r="B7566" i="1"/>
  <c r="D7566" i="1"/>
  <c r="G7566" i="1"/>
  <c r="B20397" i="1"/>
  <c r="D20397" i="1"/>
  <c r="G20397" i="1"/>
  <c r="B12987" i="1"/>
  <c r="D12987" i="1"/>
  <c r="G12987" i="1"/>
  <c r="B10375" i="1"/>
  <c r="D10375" i="1"/>
  <c r="G10375" i="1"/>
  <c r="B10914" i="1"/>
  <c r="D10914" i="1"/>
  <c r="G10914" i="1"/>
  <c r="B20398" i="1"/>
  <c r="D20398" i="1"/>
  <c r="G20398" i="1"/>
  <c r="B12674" i="1"/>
  <c r="D12674" i="1"/>
  <c r="G12674" i="1"/>
  <c r="B20240" i="1"/>
  <c r="D20240" i="1"/>
  <c r="G20240" i="1"/>
  <c r="B119" i="1"/>
  <c r="D119" i="1"/>
  <c r="G119" i="1"/>
  <c r="B9885" i="1"/>
  <c r="D9885" i="1"/>
  <c r="G9885" i="1"/>
  <c r="B16558" i="1"/>
  <c r="D16558" i="1"/>
  <c r="G16558" i="1"/>
  <c r="B10591" i="1"/>
  <c r="D10591" i="1"/>
  <c r="G10591" i="1"/>
  <c r="B18130" i="1"/>
  <c r="D18130" i="1"/>
  <c r="G18130" i="1"/>
  <c r="B19823" i="1"/>
  <c r="D19823" i="1"/>
  <c r="G19823" i="1"/>
  <c r="B18182" i="1"/>
  <c r="D18182" i="1"/>
  <c r="G18182" i="1"/>
  <c r="B115" i="1"/>
  <c r="D115" i="1"/>
  <c r="G115" i="1"/>
  <c r="B3662" i="1"/>
  <c r="D3662" i="1"/>
  <c r="G3662" i="1"/>
  <c r="B22045" i="1"/>
  <c r="D22045" i="1"/>
  <c r="G22045" i="1"/>
  <c r="B19050" i="1"/>
  <c r="D19050" i="1"/>
  <c r="G19050" i="1"/>
  <c r="B6807" i="1"/>
  <c r="D6807" i="1"/>
  <c r="G6807" i="1"/>
  <c r="B6876" i="1"/>
  <c r="D6876" i="1"/>
  <c r="G6876" i="1"/>
  <c r="B19571" i="1"/>
  <c r="D19571" i="1"/>
  <c r="G19571" i="1"/>
  <c r="B19244" i="1"/>
  <c r="D19244" i="1"/>
  <c r="G19244" i="1"/>
  <c r="B6385" i="1"/>
  <c r="D6385" i="1"/>
  <c r="G6385" i="1"/>
  <c r="B6386" i="1"/>
  <c r="D6386" i="1"/>
  <c r="G6386" i="1"/>
  <c r="B21461" i="1"/>
  <c r="D21461" i="1"/>
  <c r="G21461" i="1"/>
  <c r="B15111" i="1"/>
  <c r="D15111" i="1"/>
  <c r="G15111" i="1"/>
  <c r="B7940" i="1"/>
  <c r="D7940" i="1"/>
  <c r="G7940" i="1"/>
  <c r="B7941" i="1"/>
  <c r="D7941" i="1"/>
  <c r="G7941" i="1"/>
  <c r="B2145" i="1"/>
  <c r="D2145" i="1"/>
  <c r="G2145" i="1"/>
  <c r="B866" i="1"/>
  <c r="D866" i="1"/>
  <c r="G866" i="1"/>
  <c r="B17750" i="1"/>
  <c r="D17750" i="1"/>
  <c r="G17750" i="1"/>
  <c r="B12" i="1"/>
  <c r="D12" i="1"/>
  <c r="G12" i="1"/>
  <c r="B13397" i="1"/>
  <c r="D13397" i="1"/>
  <c r="G13397" i="1"/>
  <c r="B2054" i="1"/>
  <c r="D2054" i="1"/>
  <c r="G2054" i="1"/>
  <c r="B2903" i="1"/>
  <c r="D2903" i="1"/>
  <c r="G2903" i="1"/>
  <c r="B8206" i="1"/>
  <c r="D8206" i="1"/>
  <c r="G8206" i="1"/>
  <c r="B12519" i="1"/>
  <c r="D12519" i="1"/>
  <c r="G12519" i="1"/>
  <c r="B13080" i="1"/>
  <c r="D13080" i="1"/>
  <c r="G13080" i="1"/>
  <c r="B1734" i="1"/>
  <c r="D1734" i="1"/>
  <c r="G1734" i="1"/>
  <c r="B20849" i="1"/>
  <c r="D20849" i="1"/>
  <c r="G20849" i="1"/>
  <c r="B20850" i="1"/>
  <c r="D20850" i="1"/>
  <c r="G20850" i="1"/>
  <c r="B17125" i="1"/>
  <c r="D17125" i="1"/>
  <c r="G17125" i="1"/>
  <c r="B13398" i="1"/>
  <c r="D13398" i="1"/>
  <c r="G13398" i="1"/>
  <c r="B19245" i="1"/>
  <c r="D19245" i="1"/>
  <c r="G19245" i="1"/>
  <c r="B14628" i="1"/>
  <c r="D14628" i="1"/>
  <c r="G14628" i="1"/>
  <c r="B12856" i="1"/>
  <c r="D12856" i="1"/>
  <c r="G12856" i="1"/>
  <c r="B11199" i="1"/>
  <c r="D11199" i="1"/>
  <c r="G11199" i="1"/>
  <c r="B2055" i="1"/>
  <c r="D2055" i="1"/>
  <c r="G2055" i="1"/>
  <c r="B12948" i="1"/>
  <c r="D12948" i="1"/>
  <c r="G12948" i="1"/>
  <c r="B13246" i="1"/>
  <c r="D13246" i="1"/>
  <c r="G13246" i="1"/>
  <c r="B5514" i="1"/>
  <c r="D5514" i="1"/>
  <c r="G5514" i="1"/>
  <c r="B9935" i="1"/>
  <c r="D9935" i="1"/>
  <c r="G9935" i="1"/>
  <c r="B14500" i="1"/>
  <c r="D14500" i="1"/>
  <c r="G14500" i="1"/>
  <c r="B4420" i="1"/>
  <c r="D4420" i="1"/>
  <c r="G4420" i="1"/>
  <c r="B6387" i="1"/>
  <c r="D6387" i="1"/>
  <c r="G6387" i="1"/>
  <c r="B6388" i="1"/>
  <c r="D6388" i="1"/>
  <c r="G6388" i="1"/>
  <c r="B3314" i="1"/>
  <c r="D3314" i="1"/>
  <c r="G3314" i="1"/>
  <c r="B16559" i="1"/>
  <c r="D16559" i="1"/>
  <c r="G16559" i="1"/>
  <c r="B19246" i="1"/>
  <c r="D19246" i="1"/>
  <c r="G19246" i="1"/>
  <c r="B20620" i="1"/>
  <c r="D20620" i="1"/>
  <c r="G20620" i="1"/>
  <c r="B18886" i="1"/>
  <c r="D18886" i="1"/>
  <c r="G18886" i="1"/>
  <c r="B2260" i="1"/>
  <c r="D2260" i="1"/>
  <c r="G2260" i="1"/>
  <c r="B9873" i="1"/>
  <c r="D9873" i="1"/>
  <c r="G9873" i="1"/>
  <c r="B593" i="1"/>
  <c r="D593" i="1"/>
  <c r="G593" i="1"/>
  <c r="B6116" i="1"/>
  <c r="D6116" i="1"/>
  <c r="G6116" i="1"/>
  <c r="B16560" i="1"/>
  <c r="D16560" i="1"/>
  <c r="G16560" i="1"/>
  <c r="B21716" i="1"/>
  <c r="D21716" i="1"/>
  <c r="G21716" i="1"/>
  <c r="B21717" i="1"/>
  <c r="D21717" i="1"/>
  <c r="G21717" i="1"/>
  <c r="B12857" i="1"/>
  <c r="D12857" i="1"/>
  <c r="G12857" i="1"/>
  <c r="B15888" i="1"/>
  <c r="D15888" i="1"/>
  <c r="G15888" i="1"/>
  <c r="B19247" i="1"/>
  <c r="D19247" i="1"/>
  <c r="G19247" i="1"/>
  <c r="B2904" i="1"/>
  <c r="D2904" i="1"/>
  <c r="G2904" i="1"/>
  <c r="B1297" i="1"/>
  <c r="D1297" i="1"/>
  <c r="G1297" i="1"/>
  <c r="B18887" i="1"/>
  <c r="D18887" i="1"/>
  <c r="G18887" i="1"/>
  <c r="B8919" i="1"/>
  <c r="D8919" i="1"/>
  <c r="G8919" i="1"/>
  <c r="B12176" i="1"/>
  <c r="D12176" i="1"/>
  <c r="G12176" i="1"/>
  <c r="B20175" i="1"/>
  <c r="D20175" i="1"/>
  <c r="G20175" i="1"/>
  <c r="B13081" i="1"/>
  <c r="D13081" i="1"/>
  <c r="G13081" i="1"/>
  <c r="B18690" i="1"/>
  <c r="D18690" i="1"/>
  <c r="G18690" i="1"/>
  <c r="B10915" i="1"/>
  <c r="D10915" i="1"/>
  <c r="G10915" i="1"/>
  <c r="B16561" i="1"/>
  <c r="D16561" i="1"/>
  <c r="G16561" i="1"/>
  <c r="B20984" i="1"/>
  <c r="D20984" i="1"/>
  <c r="G20984" i="1"/>
  <c r="B12520" i="1"/>
  <c r="D12520" i="1"/>
  <c r="G12520" i="1"/>
  <c r="B14582" i="1"/>
  <c r="D14582" i="1"/>
  <c r="G14582" i="1"/>
  <c r="B18888" i="1"/>
  <c r="D18888" i="1"/>
  <c r="G18888" i="1"/>
  <c r="B15112" i="1"/>
  <c r="D15112" i="1"/>
  <c r="G15112" i="1"/>
  <c r="B16562" i="1"/>
  <c r="D16562" i="1"/>
  <c r="G16562" i="1"/>
  <c r="B13312" i="1"/>
  <c r="D13312" i="1"/>
  <c r="G13312" i="1"/>
  <c r="B6389" i="1"/>
  <c r="D6389" i="1"/>
  <c r="G6389" i="1"/>
  <c r="B17344" i="1"/>
  <c r="D17344" i="1"/>
  <c r="G17344" i="1"/>
  <c r="B17126" i="1"/>
  <c r="D17126" i="1"/>
  <c r="G17126" i="1"/>
  <c r="B10916" i="1"/>
  <c r="D10916" i="1"/>
  <c r="G10916" i="1"/>
  <c r="B1974" i="1"/>
  <c r="D1974" i="1"/>
  <c r="G1974" i="1"/>
  <c r="B13157" i="1"/>
  <c r="D13157" i="1"/>
  <c r="G13157" i="1"/>
  <c r="B14733" i="1"/>
  <c r="D14733" i="1"/>
  <c r="G14733" i="1"/>
  <c r="B18518" i="1"/>
  <c r="D18518" i="1"/>
  <c r="G18518" i="1"/>
  <c r="B10236" i="1"/>
  <c r="D10236" i="1"/>
  <c r="G10236" i="1"/>
  <c r="B13313" i="1"/>
  <c r="D13313" i="1"/>
  <c r="G13313" i="1"/>
  <c r="B144" i="1"/>
  <c r="D144" i="1"/>
  <c r="G144" i="1"/>
  <c r="B2905" i="1"/>
  <c r="D2905" i="1"/>
  <c r="G2905" i="1"/>
  <c r="B16563" i="1"/>
  <c r="D16563" i="1"/>
  <c r="G16563" i="1"/>
  <c r="B2098" i="1"/>
  <c r="D2098" i="1"/>
  <c r="G2098" i="1"/>
  <c r="B13708" i="1"/>
  <c r="D13708" i="1"/>
  <c r="G13708" i="1"/>
  <c r="B15889" i="1"/>
  <c r="D15889" i="1"/>
  <c r="G15889" i="1"/>
  <c r="B20851" i="1"/>
  <c r="D20851" i="1"/>
  <c r="G20851" i="1"/>
  <c r="B18242" i="1"/>
  <c r="D18242" i="1"/>
  <c r="G18242" i="1"/>
  <c r="B7942" i="1"/>
  <c r="D7942" i="1"/>
  <c r="G7942" i="1"/>
  <c r="B7943" i="1"/>
  <c r="D7943" i="1"/>
  <c r="G7943" i="1"/>
  <c r="B17751" i="1"/>
  <c r="D17751" i="1"/>
  <c r="G17751" i="1"/>
  <c r="B5234" i="1"/>
  <c r="D5234" i="1"/>
  <c r="G5234" i="1"/>
  <c r="B18519" i="1"/>
  <c r="D18519" i="1"/>
  <c r="G18519" i="1"/>
  <c r="B21097" i="1"/>
  <c r="D21097" i="1"/>
  <c r="G21097" i="1"/>
  <c r="B2906" i="1"/>
  <c r="D2906" i="1"/>
  <c r="G2906" i="1"/>
  <c r="B19248" i="1"/>
  <c r="D19248" i="1"/>
  <c r="G19248" i="1"/>
  <c r="B12858" i="1"/>
  <c r="D12858" i="1"/>
  <c r="G12858" i="1"/>
  <c r="B145" i="1"/>
  <c r="D145" i="1"/>
  <c r="G145" i="1"/>
  <c r="B17752" i="1"/>
  <c r="D17752" i="1"/>
  <c r="G17752" i="1"/>
  <c r="B22167" i="1"/>
  <c r="D22167" i="1"/>
  <c r="G22167" i="1"/>
  <c r="B12177" i="1"/>
  <c r="D12177" i="1"/>
  <c r="G12177" i="1"/>
  <c r="B12178" i="1"/>
  <c r="D12178" i="1"/>
  <c r="G12178" i="1"/>
  <c r="B5515" i="1"/>
  <c r="D5515" i="1"/>
  <c r="G5515" i="1"/>
  <c r="B1298" i="1"/>
  <c r="D1298" i="1"/>
  <c r="G1298" i="1"/>
  <c r="B2907" i="1"/>
  <c r="D2907" i="1"/>
  <c r="G2907" i="1"/>
  <c r="B18520" i="1"/>
  <c r="D18520" i="1"/>
  <c r="G18520" i="1"/>
  <c r="B16564" i="1"/>
  <c r="D16564" i="1"/>
  <c r="G16564" i="1"/>
  <c r="B12859" i="1"/>
  <c r="D12859" i="1"/>
  <c r="G12859" i="1"/>
  <c r="B11597" i="1"/>
  <c r="D11597" i="1"/>
  <c r="G11597" i="1"/>
  <c r="B12988" i="1"/>
  <c r="D12988" i="1"/>
  <c r="G12988" i="1"/>
  <c r="B17753" i="1"/>
  <c r="D17753" i="1"/>
  <c r="G17753" i="1"/>
  <c r="B594" i="1"/>
  <c r="D594" i="1"/>
  <c r="G594" i="1"/>
  <c r="B5516" i="1"/>
  <c r="D5516" i="1"/>
  <c r="G5516" i="1"/>
  <c r="B19798" i="1"/>
  <c r="D19798" i="1"/>
  <c r="G19798" i="1"/>
  <c r="B21548" i="1"/>
  <c r="D21548" i="1"/>
  <c r="G21548" i="1"/>
  <c r="B18183" i="1"/>
  <c r="D18183" i="1"/>
  <c r="G18183" i="1"/>
  <c r="B6058" i="1"/>
  <c r="D6058" i="1"/>
  <c r="G6058" i="1"/>
  <c r="B20852" i="1"/>
  <c r="D20852" i="1"/>
  <c r="G20852" i="1"/>
  <c r="B11598" i="1"/>
  <c r="D11598" i="1"/>
  <c r="G11598" i="1"/>
  <c r="B18224" i="1"/>
  <c r="D18224" i="1"/>
  <c r="G18224" i="1"/>
  <c r="B5790" i="1"/>
  <c r="D5790" i="1"/>
  <c r="G5790" i="1"/>
  <c r="B6390" i="1"/>
  <c r="D6390" i="1"/>
  <c r="G6390" i="1"/>
  <c r="B1735" i="1"/>
  <c r="D1735" i="1"/>
  <c r="G1735" i="1"/>
  <c r="B2908" i="1"/>
  <c r="D2908" i="1"/>
  <c r="G2908" i="1"/>
  <c r="B4269" i="1"/>
  <c r="D4269" i="1"/>
  <c r="G4269" i="1"/>
  <c r="B4826" i="1"/>
  <c r="D4826" i="1"/>
  <c r="G4826" i="1"/>
  <c r="B17531" i="1"/>
  <c r="D17531" i="1"/>
  <c r="G17531" i="1"/>
  <c r="B3315" i="1"/>
  <c r="D3315" i="1"/>
  <c r="G3315" i="1"/>
  <c r="B1299" i="1"/>
  <c r="D1299" i="1"/>
  <c r="G1299" i="1"/>
  <c r="B13458" i="1"/>
  <c r="D13458" i="1"/>
  <c r="G13458" i="1"/>
  <c r="B4278" i="1"/>
  <c r="D4278" i="1"/>
  <c r="G4278" i="1"/>
  <c r="B1417" i="1"/>
  <c r="D1417" i="1"/>
  <c r="G1417" i="1"/>
  <c r="B21919" i="1"/>
  <c r="D21919" i="1"/>
  <c r="G21919" i="1"/>
  <c r="B12179" i="1"/>
  <c r="D12179" i="1"/>
  <c r="G12179" i="1"/>
  <c r="B10592" i="1"/>
  <c r="D10592" i="1"/>
  <c r="G10592" i="1"/>
  <c r="B19572" i="1"/>
  <c r="D19572" i="1"/>
  <c r="G19572" i="1"/>
  <c r="B14468" i="1"/>
  <c r="D14468" i="1"/>
  <c r="G14468" i="1"/>
  <c r="B21469" i="1"/>
  <c r="D21469" i="1"/>
  <c r="G21469" i="1"/>
  <c r="B15113" i="1"/>
  <c r="D15113" i="1"/>
  <c r="G15113" i="1"/>
  <c r="B22168" i="1"/>
  <c r="D22168" i="1"/>
  <c r="G22168" i="1"/>
  <c r="B10593" i="1"/>
  <c r="D10593" i="1"/>
  <c r="G10593" i="1"/>
  <c r="B22169" i="1"/>
  <c r="D22169" i="1"/>
  <c r="G22169" i="1"/>
  <c r="B6086" i="1"/>
  <c r="D6086" i="1"/>
  <c r="G6086" i="1"/>
  <c r="B16020" i="1"/>
  <c r="D16020" i="1"/>
  <c r="G16020" i="1"/>
  <c r="B10376" i="1"/>
  <c r="D10376" i="1"/>
  <c r="G10376" i="1"/>
  <c r="B10594" i="1"/>
  <c r="D10594" i="1"/>
  <c r="G10594" i="1"/>
  <c r="B14222" i="1"/>
  <c r="D14222" i="1"/>
  <c r="G14222" i="1"/>
  <c r="B5622" i="1"/>
  <c r="D5622" i="1"/>
  <c r="G5622" i="1"/>
  <c r="B18521" i="1"/>
  <c r="D18521" i="1"/>
  <c r="G18521" i="1"/>
  <c r="B20621" i="1"/>
  <c r="D20621" i="1"/>
  <c r="G20621" i="1"/>
  <c r="B12949" i="1"/>
  <c r="D12949" i="1"/>
  <c r="G12949" i="1"/>
  <c r="B10377" i="1"/>
  <c r="D10377" i="1"/>
  <c r="G10377" i="1"/>
  <c r="B10595" i="1"/>
  <c r="D10595" i="1"/>
  <c r="G10595" i="1"/>
  <c r="B19573" i="1"/>
  <c r="D19573" i="1"/>
  <c r="G19573" i="1"/>
  <c r="B16115" i="1"/>
  <c r="D16115" i="1"/>
  <c r="G16115" i="1"/>
  <c r="B7567" i="1"/>
  <c r="D7567" i="1"/>
  <c r="G7567" i="1"/>
  <c r="B4548" i="1"/>
  <c r="D4548" i="1"/>
  <c r="G4548" i="1"/>
  <c r="B6510" i="1"/>
  <c r="D6510" i="1"/>
  <c r="G6510" i="1"/>
  <c r="B12675" i="1"/>
  <c r="D12675" i="1"/>
  <c r="G12675" i="1"/>
  <c r="B22170" i="1"/>
  <c r="D22170" i="1"/>
  <c r="G22170" i="1"/>
  <c r="B4352" i="1"/>
  <c r="D4352" i="1"/>
  <c r="G4352" i="1"/>
  <c r="B5235" i="1"/>
  <c r="D5235" i="1"/>
  <c r="G5235" i="1"/>
  <c r="B2909" i="1"/>
  <c r="D2909" i="1"/>
  <c r="G2909" i="1"/>
  <c r="B4228" i="1"/>
  <c r="D4228" i="1"/>
  <c r="G4228" i="1"/>
  <c r="B2315" i="1"/>
  <c r="D2315" i="1"/>
  <c r="G2315" i="1"/>
  <c r="B12180" i="1"/>
  <c r="D12180" i="1"/>
  <c r="G12180" i="1"/>
  <c r="B19574" i="1"/>
  <c r="D19574" i="1"/>
  <c r="G19574" i="1"/>
  <c r="B4549" i="1"/>
  <c r="D4549" i="1"/>
  <c r="G4549" i="1"/>
  <c r="B13082" i="1"/>
  <c r="D13082" i="1"/>
  <c r="G13082" i="1"/>
  <c r="B19051" i="1"/>
  <c r="D19051" i="1"/>
  <c r="G19051" i="1"/>
  <c r="B18889" i="1"/>
  <c r="D18889" i="1"/>
  <c r="G18889" i="1"/>
  <c r="B14274" i="1"/>
  <c r="D14274" i="1"/>
  <c r="G14274" i="1"/>
  <c r="B16565" i="1"/>
  <c r="D16565" i="1"/>
  <c r="G16565" i="1"/>
  <c r="B21718" i="1"/>
  <c r="D21718" i="1"/>
  <c r="G21718" i="1"/>
  <c r="B12181" i="1"/>
  <c r="D12181" i="1"/>
  <c r="G12181" i="1"/>
  <c r="B19575" i="1"/>
  <c r="D19575" i="1"/>
  <c r="G19575" i="1"/>
  <c r="B19576" i="1"/>
  <c r="D19576" i="1"/>
  <c r="G19576" i="1"/>
  <c r="B1887" i="1"/>
  <c r="D1887" i="1"/>
  <c r="G1887" i="1"/>
  <c r="B17127" i="1"/>
  <c r="D17127" i="1"/>
  <c r="G17127" i="1"/>
  <c r="B4751" i="1"/>
  <c r="D4751" i="1"/>
  <c r="G4751" i="1"/>
  <c r="B10038" i="1"/>
  <c r="D10038" i="1"/>
  <c r="G10038" i="1"/>
  <c r="B4079" i="1"/>
  <c r="D4079" i="1"/>
  <c r="G4079" i="1"/>
  <c r="B18155" i="1"/>
  <c r="D18155" i="1"/>
  <c r="G18155" i="1"/>
  <c r="B15501" i="1"/>
  <c r="D15501" i="1"/>
  <c r="G15501" i="1"/>
  <c r="B14784" i="1"/>
  <c r="D14784" i="1"/>
  <c r="G14784" i="1"/>
  <c r="B14128" i="1"/>
  <c r="D14128" i="1"/>
  <c r="G14128" i="1"/>
  <c r="B937" i="1"/>
  <c r="D937" i="1"/>
  <c r="G937" i="1"/>
  <c r="B10917" i="1"/>
  <c r="D10917" i="1"/>
  <c r="G10917" i="1"/>
  <c r="B13621" i="1"/>
  <c r="D13621" i="1"/>
  <c r="G13621" i="1"/>
  <c r="B756" i="1"/>
  <c r="D756" i="1"/>
  <c r="G756" i="1"/>
  <c r="B3770" i="1"/>
  <c r="D3770" i="1"/>
  <c r="G3770" i="1"/>
  <c r="B4827" i="1"/>
  <c r="D4827" i="1"/>
  <c r="G4827" i="1"/>
  <c r="B5517" i="1"/>
  <c r="D5517" i="1"/>
  <c r="G5517" i="1"/>
  <c r="B2408" i="1"/>
  <c r="D2408" i="1"/>
  <c r="G2408" i="1"/>
  <c r="B1736" i="1"/>
  <c r="D1736" i="1"/>
  <c r="G1736" i="1"/>
  <c r="B1737" i="1"/>
  <c r="D1737" i="1"/>
  <c r="G1737" i="1"/>
  <c r="B18691" i="1"/>
  <c r="D18691" i="1"/>
  <c r="G18691" i="1"/>
  <c r="B2409" i="1"/>
  <c r="D2409" i="1"/>
  <c r="G2409" i="1"/>
  <c r="B6670" i="1"/>
  <c r="D6670" i="1"/>
  <c r="G6670" i="1"/>
  <c r="B14734" i="1"/>
  <c r="D14734" i="1"/>
  <c r="G14734" i="1"/>
  <c r="B16038" i="1"/>
  <c r="D16038" i="1"/>
  <c r="G16038" i="1"/>
  <c r="B12182" i="1"/>
  <c r="D12182" i="1"/>
  <c r="G12182" i="1"/>
  <c r="B10918" i="1"/>
  <c r="D10918" i="1"/>
  <c r="G10918" i="1"/>
  <c r="B237" i="1"/>
  <c r="D237" i="1"/>
  <c r="G237" i="1"/>
  <c r="B11200" i="1"/>
  <c r="D11200" i="1"/>
  <c r="G11200" i="1"/>
  <c r="B5518" i="1"/>
  <c r="D5518" i="1"/>
  <c r="G5518" i="1"/>
  <c r="B15502" i="1"/>
  <c r="D15502" i="1"/>
  <c r="G15502" i="1"/>
  <c r="B6671" i="1"/>
  <c r="D6671" i="1"/>
  <c r="G6671" i="1"/>
  <c r="B15114" i="1"/>
  <c r="D15114" i="1"/>
  <c r="G15114" i="1"/>
  <c r="B18522" i="1"/>
  <c r="D18522" i="1"/>
  <c r="G18522" i="1"/>
  <c r="B21549" i="1"/>
  <c r="D21549" i="1"/>
  <c r="G21549" i="1"/>
  <c r="B21355" i="1"/>
  <c r="D21355" i="1"/>
  <c r="G21355" i="1"/>
  <c r="B3033" i="1"/>
  <c r="D3033" i="1"/>
  <c r="G3033" i="1"/>
  <c r="B2477" i="1"/>
  <c r="D2477" i="1"/>
  <c r="G2477" i="1"/>
  <c r="B14313" i="1"/>
  <c r="D14313" i="1"/>
  <c r="G14313" i="1"/>
  <c r="B19249" i="1"/>
  <c r="D19249" i="1"/>
  <c r="G19249" i="1"/>
  <c r="B18890" i="1"/>
  <c r="D18890" i="1"/>
  <c r="G18890" i="1"/>
  <c r="B21098" i="1"/>
  <c r="D21098" i="1"/>
  <c r="G21098" i="1"/>
  <c r="B18523" i="1"/>
  <c r="D18523" i="1"/>
  <c r="G18523" i="1"/>
  <c r="B10919" i="1"/>
  <c r="D10919" i="1"/>
  <c r="G10919" i="1"/>
  <c r="B11201" i="1"/>
  <c r="D11201" i="1"/>
  <c r="G11201" i="1"/>
  <c r="B14735" i="1"/>
  <c r="D14735" i="1"/>
  <c r="G14735" i="1"/>
  <c r="B15503" i="1"/>
  <c r="D15503" i="1"/>
  <c r="G15503" i="1"/>
  <c r="B14629" i="1"/>
  <c r="D14629" i="1"/>
  <c r="G14629" i="1"/>
  <c r="B12860" i="1"/>
  <c r="D12860" i="1"/>
  <c r="G12860" i="1"/>
  <c r="B5236" i="1"/>
  <c r="D5236" i="1"/>
  <c r="G5236" i="1"/>
  <c r="B595" i="1"/>
  <c r="D595" i="1"/>
  <c r="G595" i="1"/>
  <c r="B12676" i="1"/>
  <c r="D12676" i="1"/>
  <c r="G12676" i="1"/>
  <c r="B14264" i="1"/>
  <c r="D14264" i="1"/>
  <c r="G14264" i="1"/>
  <c r="B8920" i="1"/>
  <c r="D8920" i="1"/>
  <c r="G8920" i="1"/>
  <c r="B11043" i="1"/>
  <c r="D11043" i="1"/>
  <c r="G11043" i="1"/>
  <c r="B15115" i="1"/>
  <c r="D15115" i="1"/>
  <c r="G15115" i="1"/>
  <c r="B596" i="1"/>
  <c r="D596" i="1"/>
  <c r="G596" i="1"/>
  <c r="B15504" i="1"/>
  <c r="D15504" i="1"/>
  <c r="G15504" i="1"/>
  <c r="B16566" i="1"/>
  <c r="D16566" i="1"/>
  <c r="G16566" i="1"/>
  <c r="B15116" i="1"/>
  <c r="D15116" i="1"/>
  <c r="G15116" i="1"/>
  <c r="B8921" i="1"/>
  <c r="D8921" i="1"/>
  <c r="G8921" i="1"/>
  <c r="B8922" i="1"/>
  <c r="D8922" i="1"/>
  <c r="G8922" i="1"/>
  <c r="B597" i="1"/>
  <c r="D597" i="1"/>
  <c r="G597" i="1"/>
  <c r="B17754" i="1"/>
  <c r="D17754" i="1"/>
  <c r="G17754" i="1"/>
  <c r="B17755" i="1"/>
  <c r="D17755" i="1"/>
  <c r="G17755" i="1"/>
  <c r="B17756" i="1"/>
  <c r="D17756" i="1"/>
  <c r="G17756" i="1"/>
  <c r="B6391" i="1"/>
  <c r="D6391" i="1"/>
  <c r="G6391" i="1"/>
  <c r="B3663" i="1"/>
  <c r="D3663" i="1"/>
  <c r="G3663" i="1"/>
  <c r="B3771" i="1"/>
  <c r="D3771" i="1"/>
  <c r="G3771" i="1"/>
  <c r="B20853" i="1"/>
  <c r="D20853" i="1"/>
  <c r="G20853" i="1"/>
  <c r="B15505" i="1"/>
  <c r="D15505" i="1"/>
  <c r="G15505" i="1"/>
  <c r="B20622" i="1"/>
  <c r="D20622" i="1"/>
  <c r="G20622" i="1"/>
  <c r="B1015" i="1"/>
  <c r="D1015" i="1"/>
  <c r="G1015" i="1"/>
  <c r="B22046" i="1"/>
  <c r="D22046" i="1"/>
  <c r="G22046" i="1"/>
  <c r="B13837" i="1"/>
  <c r="D13837" i="1"/>
  <c r="G13837" i="1"/>
  <c r="B4752" i="1"/>
  <c r="D4752" i="1"/>
  <c r="G4752" i="1"/>
  <c r="B12183" i="1"/>
  <c r="D12183" i="1"/>
  <c r="G12183" i="1"/>
  <c r="B1300" i="1"/>
  <c r="D1300" i="1"/>
  <c r="G1300" i="1"/>
  <c r="B208" i="1"/>
  <c r="D208" i="1"/>
  <c r="G208" i="1"/>
  <c r="B13158" i="1"/>
  <c r="D13158" i="1"/>
  <c r="G13158" i="1"/>
  <c r="B21550" i="1"/>
  <c r="D21550" i="1"/>
  <c r="G21550" i="1"/>
  <c r="B6672" i="1"/>
  <c r="D6672" i="1"/>
  <c r="G6672" i="1"/>
  <c r="B1418" i="1"/>
  <c r="D1418" i="1"/>
  <c r="G1418" i="1"/>
  <c r="B13314" i="1"/>
  <c r="D13314" i="1"/>
  <c r="G13314" i="1"/>
  <c r="B16567" i="1"/>
  <c r="D16567" i="1"/>
  <c r="G16567" i="1"/>
  <c r="B4842" i="1"/>
  <c r="D4842" i="1"/>
  <c r="G4842" i="1"/>
  <c r="B19250" i="1"/>
  <c r="D19250" i="1"/>
  <c r="G19250" i="1"/>
  <c r="B18891" i="1"/>
  <c r="D18891" i="1"/>
  <c r="G18891" i="1"/>
  <c r="B19251" i="1"/>
  <c r="D19251" i="1"/>
  <c r="G19251" i="1"/>
  <c r="B18892" i="1"/>
  <c r="D18892" i="1"/>
  <c r="G18892" i="1"/>
  <c r="B2910" i="1"/>
  <c r="D2910" i="1"/>
  <c r="G2910" i="1"/>
  <c r="B16568" i="1"/>
  <c r="D16568" i="1"/>
  <c r="G16568" i="1"/>
  <c r="B4234" i="1"/>
  <c r="D4234" i="1"/>
  <c r="G4234" i="1"/>
  <c r="B290" i="1"/>
  <c r="D290" i="1"/>
  <c r="G290" i="1"/>
  <c r="B14453" i="1"/>
  <c r="D14453" i="1"/>
  <c r="G14453" i="1"/>
  <c r="B296" i="1"/>
  <c r="D296" i="1"/>
  <c r="G296" i="1"/>
  <c r="B294" i="1"/>
  <c r="D294" i="1"/>
  <c r="G294" i="1"/>
  <c r="B300" i="1"/>
  <c r="D300" i="1"/>
  <c r="G300" i="1"/>
  <c r="B47" i="1"/>
  <c r="D47" i="1"/>
  <c r="G47" i="1"/>
  <c r="B295" i="1"/>
  <c r="D295" i="1"/>
  <c r="G295" i="1"/>
  <c r="B298" i="1"/>
  <c r="D298" i="1"/>
  <c r="G298" i="1"/>
  <c r="B11720" i="1"/>
  <c r="D11720" i="1"/>
  <c r="G11720" i="1"/>
  <c r="B6808" i="1"/>
  <c r="D6808" i="1"/>
  <c r="G6808" i="1"/>
  <c r="B20399" i="1"/>
  <c r="D20399" i="1"/>
  <c r="G20399" i="1"/>
  <c r="B20305" i="1"/>
  <c r="D20305" i="1"/>
  <c r="G20305" i="1"/>
  <c r="B12677" i="1"/>
  <c r="D12677" i="1"/>
  <c r="G12677" i="1"/>
  <c r="B5519" i="1"/>
  <c r="D5519" i="1"/>
  <c r="G5519" i="1"/>
  <c r="B5520" i="1"/>
  <c r="D5520" i="1"/>
  <c r="G5520" i="1"/>
  <c r="B9998" i="1"/>
  <c r="D9998" i="1"/>
  <c r="G9998" i="1"/>
  <c r="B6392" i="1"/>
  <c r="D6392" i="1"/>
  <c r="G6392" i="1"/>
  <c r="B20241" i="1"/>
  <c r="D20241" i="1"/>
  <c r="G20241" i="1"/>
  <c r="B19799" i="1"/>
  <c r="D19799" i="1"/>
  <c r="G19799" i="1"/>
  <c r="B21470" i="1"/>
  <c r="D21470" i="1"/>
  <c r="G21470" i="1"/>
  <c r="B12861" i="1"/>
  <c r="D12861" i="1"/>
  <c r="G12861" i="1"/>
  <c r="B6393" i="1"/>
  <c r="D6393" i="1"/>
  <c r="G6393" i="1"/>
  <c r="B6394" i="1"/>
  <c r="D6394" i="1"/>
  <c r="G6394" i="1"/>
  <c r="B9886" i="1"/>
  <c r="D9886" i="1"/>
  <c r="G9886" i="1"/>
  <c r="B991" i="1"/>
  <c r="D991" i="1"/>
  <c r="G991" i="1"/>
  <c r="B16569" i="1"/>
  <c r="D16569" i="1"/>
  <c r="G16569" i="1"/>
  <c r="B12184" i="1"/>
  <c r="D12184" i="1"/>
  <c r="G12184" i="1"/>
  <c r="B16570" i="1"/>
  <c r="D16570" i="1"/>
  <c r="G16570" i="1"/>
  <c r="B21290" i="1"/>
  <c r="D21290" i="1"/>
  <c r="G21290" i="1"/>
  <c r="B10920" i="1"/>
  <c r="D10920" i="1"/>
  <c r="G10920" i="1"/>
  <c r="B4655" i="1"/>
  <c r="D4655" i="1"/>
  <c r="G4655" i="1"/>
  <c r="B21356" i="1"/>
  <c r="D21356" i="1"/>
  <c r="G21356" i="1"/>
  <c r="B7278" i="1"/>
  <c r="D7278" i="1"/>
  <c r="G7278" i="1"/>
  <c r="B16571" i="1"/>
  <c r="D16571" i="1"/>
  <c r="G16571" i="1"/>
  <c r="B17757" i="1"/>
  <c r="D17757" i="1"/>
  <c r="G17757" i="1"/>
  <c r="B4137" i="1"/>
  <c r="D4137" i="1"/>
  <c r="G4137" i="1"/>
  <c r="B17758" i="1"/>
  <c r="D17758" i="1"/>
  <c r="G17758" i="1"/>
  <c r="B19577" i="1"/>
  <c r="D19577" i="1"/>
  <c r="G19577" i="1"/>
  <c r="B4476" i="1"/>
  <c r="D4476" i="1"/>
  <c r="G4476" i="1"/>
  <c r="B19578" i="1"/>
  <c r="D19578" i="1"/>
  <c r="G19578" i="1"/>
  <c r="B1016" i="1"/>
  <c r="D1016" i="1"/>
  <c r="G1016" i="1"/>
  <c r="B16572" i="1"/>
  <c r="D16572" i="1"/>
  <c r="G16572" i="1"/>
  <c r="B14223" i="1"/>
  <c r="D14223" i="1"/>
  <c r="G14223" i="1"/>
  <c r="B2503" i="1"/>
  <c r="D2503" i="1"/>
  <c r="G2503" i="1"/>
  <c r="B13" i="1"/>
  <c r="D13" i="1"/>
  <c r="G13" i="1"/>
  <c r="B10921" i="1"/>
  <c r="D10921" i="1"/>
  <c r="G10921" i="1"/>
  <c r="B3975" i="1"/>
  <c r="D3975" i="1"/>
  <c r="G3975" i="1"/>
  <c r="B3976" i="1"/>
  <c r="D3976" i="1"/>
  <c r="G3976" i="1"/>
  <c r="B19796" i="1"/>
  <c r="D19796" i="1"/>
  <c r="G19796" i="1"/>
  <c r="B1543" i="1"/>
  <c r="D1543" i="1"/>
  <c r="G1543" i="1"/>
  <c r="B17532" i="1"/>
  <c r="D17532" i="1"/>
  <c r="G17532" i="1"/>
  <c r="B20854" i="1"/>
  <c r="D20854" i="1"/>
  <c r="G20854" i="1"/>
  <c r="B1301" i="1"/>
  <c r="D1301" i="1"/>
  <c r="G1301" i="1"/>
  <c r="B11202" i="1"/>
  <c r="D11202" i="1"/>
  <c r="G11202" i="1"/>
  <c r="B1980" i="1"/>
  <c r="D1980" i="1"/>
  <c r="G1980" i="1"/>
  <c r="B19579" i="1"/>
  <c r="D19579" i="1"/>
  <c r="G19579" i="1"/>
  <c r="B18524" i="1"/>
  <c r="D18524" i="1"/>
  <c r="G18524" i="1"/>
  <c r="B16573" i="1"/>
  <c r="D16573" i="1"/>
  <c r="G16573" i="1"/>
  <c r="B1975" i="1"/>
  <c r="D1975" i="1"/>
  <c r="G1975" i="1"/>
  <c r="B19052" i="1"/>
  <c r="D19052" i="1"/>
  <c r="G19052" i="1"/>
  <c r="B11203" i="1"/>
  <c r="D11203" i="1"/>
  <c r="G11203" i="1"/>
  <c r="B12521" i="1"/>
  <c r="D12521" i="1"/>
  <c r="G12521" i="1"/>
  <c r="B19252" i="1"/>
  <c r="D19252" i="1"/>
  <c r="G19252" i="1"/>
  <c r="B16574" i="1"/>
  <c r="D16574" i="1"/>
  <c r="G16574" i="1"/>
  <c r="B19580" i="1"/>
  <c r="D19580" i="1"/>
  <c r="G19580" i="1"/>
  <c r="B19581" i="1"/>
  <c r="D19581" i="1"/>
  <c r="G19581" i="1"/>
  <c r="B15117" i="1"/>
  <c r="D15117" i="1"/>
  <c r="G15117" i="1"/>
  <c r="B17759" i="1"/>
  <c r="D17759" i="1"/>
  <c r="G17759" i="1"/>
  <c r="B17128" i="1"/>
  <c r="D17128" i="1"/>
  <c r="G17128" i="1"/>
  <c r="B12862" i="1"/>
  <c r="D12862" i="1"/>
  <c r="G12862" i="1"/>
  <c r="B1738" i="1"/>
  <c r="D1738" i="1"/>
  <c r="G1738" i="1"/>
  <c r="B16575" i="1"/>
  <c r="D16575" i="1"/>
  <c r="G16575" i="1"/>
  <c r="B2056" i="1"/>
  <c r="D2056" i="1"/>
  <c r="G2056" i="1"/>
  <c r="B20102" i="1"/>
  <c r="D20102" i="1"/>
  <c r="G20102" i="1"/>
  <c r="B13315" i="1"/>
  <c r="D13315" i="1"/>
  <c r="G13315" i="1"/>
  <c r="B8923" i="1"/>
  <c r="D8923" i="1"/>
  <c r="G8923" i="1"/>
  <c r="B12863" i="1"/>
  <c r="D12863" i="1"/>
  <c r="G12863" i="1"/>
  <c r="B19582" i="1"/>
  <c r="D19582" i="1"/>
  <c r="G19582" i="1"/>
  <c r="B20623" i="1"/>
  <c r="D20623" i="1"/>
  <c r="G20623" i="1"/>
  <c r="B20624" i="1"/>
  <c r="D20624" i="1"/>
  <c r="G20624" i="1"/>
  <c r="B19997" i="1"/>
  <c r="D19997" i="1"/>
  <c r="G19997" i="1"/>
  <c r="B17594" i="1"/>
  <c r="D17594" i="1"/>
  <c r="G17594" i="1"/>
  <c r="B19583" i="1"/>
  <c r="D19583" i="1"/>
  <c r="G19583" i="1"/>
  <c r="B15506" i="1"/>
  <c r="D15506" i="1"/>
  <c r="G15506" i="1"/>
  <c r="B6809" i="1"/>
  <c r="D6809" i="1"/>
  <c r="G6809" i="1"/>
  <c r="B15890" i="1"/>
  <c r="D15890" i="1"/>
  <c r="G15890" i="1"/>
  <c r="B835" i="1"/>
  <c r="D835" i="1"/>
  <c r="G835" i="1"/>
  <c r="B14550" i="1"/>
  <c r="D14550" i="1"/>
  <c r="G14550" i="1"/>
  <c r="B20855" i="1"/>
  <c r="D20855" i="1"/>
  <c r="G20855" i="1"/>
  <c r="B5116" i="1"/>
  <c r="D5116" i="1"/>
  <c r="G5116" i="1"/>
  <c r="B19584" i="1"/>
  <c r="D19584" i="1"/>
  <c r="G19584" i="1"/>
  <c r="B15507" i="1"/>
  <c r="D15507" i="1"/>
  <c r="G15507" i="1"/>
  <c r="B15118" i="1"/>
  <c r="D15118" i="1"/>
  <c r="G15118" i="1"/>
  <c r="B20306" i="1"/>
  <c r="D20306" i="1"/>
  <c r="G20306" i="1"/>
  <c r="B18692" i="1"/>
  <c r="D18692" i="1"/>
  <c r="G18692" i="1"/>
  <c r="B11204" i="1"/>
  <c r="D11204" i="1"/>
  <c r="G11204" i="1"/>
  <c r="B21427" i="1"/>
  <c r="D21427" i="1"/>
  <c r="G21427" i="1"/>
  <c r="B20242" i="1"/>
  <c r="D20242" i="1"/>
  <c r="G20242" i="1"/>
  <c r="B21551" i="1"/>
  <c r="D21551" i="1"/>
  <c r="G21551" i="1"/>
  <c r="B18525" i="1"/>
  <c r="D18525" i="1"/>
  <c r="G18525" i="1"/>
  <c r="B6810" i="1"/>
  <c r="D6810" i="1"/>
  <c r="G6810" i="1"/>
  <c r="B16116" i="1"/>
  <c r="D16116" i="1"/>
  <c r="G16116" i="1"/>
  <c r="B11847" i="1"/>
  <c r="D11847" i="1"/>
  <c r="G11847" i="1"/>
  <c r="B22047" i="1"/>
  <c r="D22047" i="1"/>
  <c r="G22047" i="1"/>
  <c r="B12348" i="1"/>
  <c r="D12348" i="1"/>
  <c r="G12348" i="1"/>
  <c r="B11205" i="1"/>
  <c r="D11205" i="1"/>
  <c r="G11205" i="1"/>
  <c r="B19585" i="1"/>
  <c r="D19585" i="1"/>
  <c r="G19585" i="1"/>
  <c r="B4828" i="1"/>
  <c r="D4828" i="1"/>
  <c r="G4828" i="1"/>
  <c r="B15508" i="1"/>
  <c r="D15508" i="1"/>
  <c r="G15508" i="1"/>
  <c r="B14809" i="1"/>
  <c r="D14809" i="1"/>
  <c r="G14809" i="1"/>
  <c r="B15891" i="1"/>
  <c r="D15891" i="1"/>
  <c r="G15891" i="1"/>
  <c r="B22171" i="1"/>
  <c r="D22171" i="1"/>
  <c r="G22171" i="1"/>
  <c r="B15806" i="1"/>
  <c r="D15806" i="1"/>
  <c r="G15806" i="1"/>
  <c r="B20856" i="1"/>
  <c r="D20856" i="1"/>
  <c r="G20856" i="1"/>
  <c r="B19253" i="1"/>
  <c r="D19253" i="1"/>
  <c r="G19253" i="1"/>
  <c r="B14630" i="1"/>
  <c r="D14630" i="1"/>
  <c r="G14630" i="1"/>
  <c r="B5521" i="1"/>
  <c r="D5521" i="1"/>
  <c r="G5521" i="1"/>
  <c r="B22172" i="1"/>
  <c r="D22172" i="1"/>
  <c r="G22172" i="1"/>
  <c r="B2911" i="1"/>
  <c r="D2911" i="1"/>
  <c r="G2911" i="1"/>
  <c r="B17760" i="1"/>
  <c r="D17760" i="1"/>
  <c r="G17760" i="1"/>
  <c r="B6059" i="1"/>
  <c r="D6059" i="1"/>
  <c r="G6059" i="1"/>
  <c r="B12864" i="1"/>
  <c r="D12864" i="1"/>
  <c r="G12864" i="1"/>
  <c r="B1494" i="1"/>
  <c r="D1494" i="1"/>
  <c r="G1494" i="1"/>
  <c r="B20198" i="1"/>
  <c r="D20198" i="1"/>
  <c r="G20198" i="1"/>
  <c r="B6981" i="1"/>
  <c r="D6981" i="1"/>
  <c r="G6981" i="1"/>
  <c r="B3664" i="1"/>
  <c r="D3664" i="1"/>
  <c r="G3664" i="1"/>
  <c r="B2912" i="1"/>
  <c r="D2912" i="1"/>
  <c r="G2912" i="1"/>
  <c r="B8376" i="1"/>
  <c r="D8376" i="1"/>
  <c r="G8376" i="1"/>
  <c r="B6511" i="1"/>
  <c r="D6511" i="1"/>
  <c r="G6511" i="1"/>
  <c r="B6395" i="1"/>
  <c r="D6395" i="1"/>
  <c r="G6395" i="1"/>
  <c r="B6396" i="1"/>
  <c r="D6396" i="1"/>
  <c r="G6396" i="1"/>
  <c r="B6397" i="1"/>
  <c r="D6397" i="1"/>
  <c r="G6397" i="1"/>
  <c r="B17129" i="1"/>
  <c r="D17129" i="1"/>
  <c r="G17129" i="1"/>
  <c r="B16117" i="1"/>
  <c r="D16117" i="1"/>
  <c r="G16117" i="1"/>
  <c r="B6673" i="1"/>
  <c r="D6673" i="1"/>
  <c r="G6673" i="1"/>
  <c r="B12185" i="1"/>
  <c r="D12185" i="1"/>
  <c r="G12185" i="1"/>
  <c r="B16576" i="1"/>
  <c r="D16576" i="1"/>
  <c r="G16576" i="1"/>
  <c r="B21920" i="1"/>
  <c r="D21920" i="1"/>
  <c r="G21920" i="1"/>
  <c r="B9135" i="1"/>
  <c r="D9135" i="1"/>
  <c r="G9135" i="1"/>
  <c r="B13534" i="1"/>
  <c r="D13534" i="1"/>
  <c r="G13534" i="1"/>
  <c r="B19586" i="1"/>
  <c r="D19586" i="1"/>
  <c r="G19586" i="1"/>
  <c r="B22048" i="1"/>
  <c r="D22048" i="1"/>
  <c r="G22048" i="1"/>
  <c r="B13696" i="1"/>
  <c r="D13696" i="1"/>
  <c r="G13696" i="1"/>
  <c r="B12522" i="1"/>
  <c r="D12522" i="1"/>
  <c r="G12522" i="1"/>
  <c r="B21263" i="1"/>
  <c r="D21263" i="1"/>
  <c r="G21263" i="1"/>
  <c r="B21099" i="1"/>
  <c r="D21099" i="1"/>
  <c r="G21099" i="1"/>
  <c r="B11599" i="1"/>
  <c r="D11599" i="1"/>
  <c r="G11599" i="1"/>
  <c r="B20625" i="1"/>
  <c r="D20625" i="1"/>
  <c r="G20625" i="1"/>
  <c r="B3034" i="1"/>
  <c r="D3034" i="1"/>
  <c r="G3034" i="1"/>
  <c r="B20400" i="1"/>
  <c r="D20400" i="1"/>
  <c r="G20400" i="1"/>
  <c r="B12186" i="1"/>
  <c r="D12186" i="1"/>
  <c r="G12186" i="1"/>
  <c r="B19998" i="1"/>
  <c r="D19998" i="1"/>
  <c r="G19998" i="1"/>
  <c r="B5522" i="1"/>
  <c r="D5522" i="1"/>
  <c r="G5522" i="1"/>
  <c r="B13083" i="1"/>
  <c r="D13083" i="1"/>
  <c r="G13083" i="1"/>
  <c r="B5878" i="1"/>
  <c r="D5878" i="1"/>
  <c r="G5878" i="1"/>
  <c r="B12187" i="1"/>
  <c r="D12187" i="1"/>
  <c r="G12187" i="1"/>
  <c r="B12523" i="1"/>
  <c r="D12523" i="1"/>
  <c r="G12523" i="1"/>
  <c r="B5523" i="1"/>
  <c r="D5523" i="1"/>
  <c r="G5523" i="1"/>
  <c r="B17022" i="1"/>
  <c r="D17022" i="1"/>
  <c r="G17022" i="1"/>
  <c r="B1513" i="1"/>
  <c r="D1513" i="1"/>
  <c r="G1513" i="1"/>
  <c r="B21552" i="1"/>
  <c r="D21552" i="1"/>
  <c r="G21552" i="1"/>
  <c r="B21462" i="1"/>
  <c r="D21462" i="1"/>
  <c r="G21462" i="1"/>
  <c r="B18131" i="1"/>
  <c r="D18131" i="1"/>
  <c r="G18131" i="1"/>
  <c r="B19587" i="1"/>
  <c r="D19587" i="1"/>
  <c r="G19587" i="1"/>
  <c r="B13399" i="1"/>
  <c r="D13399" i="1"/>
  <c r="G13399" i="1"/>
  <c r="B3977" i="1"/>
  <c r="D3977" i="1"/>
  <c r="G3977" i="1"/>
  <c r="B22173" i="1"/>
  <c r="D22173" i="1"/>
  <c r="G22173" i="1"/>
  <c r="B20307" i="1"/>
  <c r="D20307" i="1"/>
  <c r="G20307" i="1"/>
  <c r="B20401" i="1"/>
  <c r="D20401" i="1"/>
  <c r="G20401" i="1"/>
  <c r="B14551" i="1"/>
  <c r="D14551" i="1"/>
  <c r="G14551" i="1"/>
  <c r="B10052" i="1"/>
  <c r="D10052" i="1"/>
  <c r="G10052" i="1"/>
  <c r="B16066" i="1"/>
  <c r="D16066" i="1"/>
  <c r="G16066" i="1"/>
  <c r="B20857" i="1"/>
  <c r="D20857" i="1"/>
  <c r="G20857" i="1"/>
  <c r="B5279" i="1"/>
  <c r="D5279" i="1"/>
  <c r="G5279" i="1"/>
  <c r="B59" i="1"/>
  <c r="D59" i="1"/>
  <c r="G59" i="1"/>
  <c r="B21291" i="1"/>
  <c r="D21291" i="1"/>
  <c r="G21291" i="1"/>
  <c r="B12524" i="1"/>
  <c r="D12524" i="1"/>
  <c r="G12524" i="1"/>
  <c r="B12525" i="1"/>
  <c r="D12525" i="1"/>
  <c r="G12525" i="1"/>
  <c r="B4753" i="1"/>
  <c r="D4753" i="1"/>
  <c r="G4753" i="1"/>
  <c r="B19254" i="1"/>
  <c r="D19254" i="1"/>
  <c r="G19254" i="1"/>
  <c r="B15892" i="1"/>
  <c r="D15892" i="1"/>
  <c r="G15892" i="1"/>
  <c r="B19053" i="1"/>
  <c r="D19053" i="1"/>
  <c r="G19053" i="1"/>
  <c r="B15807" i="1"/>
  <c r="D15807" i="1"/>
  <c r="G15807" i="1"/>
  <c r="B15119" i="1"/>
  <c r="D15119" i="1"/>
  <c r="G15119" i="1"/>
  <c r="B10596" i="1"/>
  <c r="D10596" i="1"/>
  <c r="G10596" i="1"/>
  <c r="B19054" i="1"/>
  <c r="D19054" i="1"/>
  <c r="G19054" i="1"/>
  <c r="B6555" i="1"/>
  <c r="D6555" i="1"/>
  <c r="G6555" i="1"/>
  <c r="B21921" i="1"/>
  <c r="D21921" i="1"/>
  <c r="G21921" i="1"/>
  <c r="B19255" i="1"/>
  <c r="D19255" i="1"/>
  <c r="G19255" i="1"/>
  <c r="B261" i="1"/>
  <c r="D261" i="1"/>
  <c r="G261" i="1"/>
  <c r="B2410" i="1"/>
  <c r="D2410" i="1"/>
  <c r="G2410" i="1"/>
  <c r="B3665" i="1"/>
  <c r="D3665" i="1"/>
  <c r="G3665" i="1"/>
  <c r="B146" i="1"/>
  <c r="D146" i="1"/>
  <c r="G146" i="1"/>
  <c r="B15120" i="1"/>
  <c r="D15120" i="1"/>
  <c r="G15120" i="1"/>
  <c r="B11813" i="1"/>
  <c r="D11813" i="1"/>
  <c r="G11813" i="1"/>
  <c r="B19256" i="1"/>
  <c r="D19256" i="1"/>
  <c r="G19256" i="1"/>
  <c r="B4656" i="1"/>
  <c r="D4656" i="1"/>
  <c r="G4656" i="1"/>
  <c r="B15121" i="1"/>
  <c r="D15121" i="1"/>
  <c r="G15121" i="1"/>
  <c r="B21922" i="1"/>
  <c r="D21922" i="1"/>
  <c r="G21922" i="1"/>
  <c r="B5524" i="1"/>
  <c r="D5524" i="1"/>
  <c r="G5524" i="1"/>
  <c r="B5525" i="1"/>
  <c r="D5525" i="1"/>
  <c r="G5525" i="1"/>
  <c r="B21100" i="1"/>
  <c r="D21100" i="1"/>
  <c r="G21100" i="1"/>
  <c r="B6398" i="1"/>
  <c r="D6398" i="1"/>
  <c r="G6398" i="1"/>
  <c r="B6399" i="1"/>
  <c r="D6399" i="1"/>
  <c r="G6399" i="1"/>
  <c r="B13400" i="1"/>
  <c r="D13400" i="1"/>
  <c r="G13400" i="1"/>
  <c r="B3787" i="1"/>
  <c r="D3787" i="1"/>
  <c r="G3787" i="1"/>
  <c r="B15509" i="1"/>
  <c r="D15509" i="1"/>
  <c r="G15509" i="1"/>
  <c r="B11456" i="1"/>
  <c r="D11456" i="1"/>
  <c r="G11456" i="1"/>
  <c r="B17533" i="1"/>
  <c r="D17533" i="1"/>
  <c r="G17533" i="1"/>
  <c r="B2478" i="1"/>
  <c r="D2478" i="1"/>
  <c r="G2478" i="1"/>
  <c r="B19055" i="1"/>
  <c r="D19055" i="1"/>
  <c r="G19055" i="1"/>
  <c r="B20473" i="1"/>
  <c r="D20473" i="1"/>
  <c r="G20473" i="1"/>
  <c r="B19588" i="1"/>
  <c r="D19588" i="1"/>
  <c r="G19588" i="1"/>
  <c r="B9755" i="1"/>
  <c r="D9755" i="1"/>
  <c r="G9755" i="1"/>
  <c r="B19257" i="1"/>
  <c r="D19257" i="1"/>
  <c r="G19257" i="1"/>
  <c r="B15122" i="1"/>
  <c r="D15122" i="1"/>
  <c r="G15122" i="1"/>
  <c r="B18184" i="1"/>
  <c r="D18184" i="1"/>
  <c r="G18184" i="1"/>
  <c r="B4496" i="1"/>
  <c r="D4496" i="1"/>
  <c r="G4496" i="1"/>
  <c r="B19898" i="1"/>
  <c r="D19898" i="1"/>
  <c r="G19898" i="1"/>
  <c r="B13159" i="1"/>
  <c r="D13159" i="1"/>
  <c r="G13159" i="1"/>
  <c r="B12188" i="1"/>
  <c r="D12188" i="1"/>
  <c r="G12188" i="1"/>
  <c r="B19589" i="1"/>
  <c r="D19589" i="1"/>
  <c r="G19589" i="1"/>
  <c r="B2913" i="1"/>
  <c r="D2913" i="1"/>
  <c r="G2913" i="1"/>
  <c r="B1302" i="1"/>
  <c r="D1302" i="1"/>
  <c r="G1302" i="1"/>
  <c r="B18526" i="1"/>
  <c r="D18526" i="1"/>
  <c r="G18526" i="1"/>
  <c r="B8924" i="1"/>
  <c r="D8924" i="1"/>
  <c r="G8924" i="1"/>
  <c r="B8925" i="1"/>
  <c r="D8925" i="1"/>
  <c r="G8925" i="1"/>
  <c r="B20858" i="1"/>
  <c r="D20858" i="1"/>
  <c r="G20858" i="1"/>
  <c r="B11206" i="1"/>
  <c r="D11206" i="1"/>
  <c r="G11206" i="1"/>
  <c r="B13658" i="1"/>
  <c r="D13658" i="1"/>
  <c r="G13658" i="1"/>
  <c r="B10597" i="1"/>
  <c r="D10597" i="1"/>
  <c r="G10597" i="1"/>
  <c r="B598" i="1"/>
  <c r="D598" i="1"/>
  <c r="G598" i="1"/>
  <c r="B12189" i="1"/>
  <c r="D12189" i="1"/>
  <c r="G12189" i="1"/>
  <c r="B19824" i="1"/>
  <c r="D19824" i="1"/>
  <c r="G19824" i="1"/>
  <c r="B18527" i="1"/>
  <c r="D18527" i="1"/>
  <c r="G18527" i="1"/>
  <c r="B6811" i="1"/>
  <c r="D6811" i="1"/>
  <c r="G6811" i="1"/>
  <c r="B13084" i="1"/>
  <c r="D13084" i="1"/>
  <c r="G13084" i="1"/>
  <c r="B17595" i="1"/>
  <c r="D17595" i="1"/>
  <c r="G17595" i="1"/>
  <c r="B13160" i="1"/>
  <c r="D13160" i="1"/>
  <c r="G13160" i="1"/>
  <c r="B2549" i="1"/>
  <c r="D2549" i="1"/>
  <c r="G2549" i="1"/>
  <c r="B1303" i="1"/>
  <c r="D1303" i="1"/>
  <c r="G1303" i="1"/>
  <c r="B1739" i="1"/>
  <c r="D1739" i="1"/>
  <c r="G1739" i="1"/>
  <c r="B10922" i="1"/>
  <c r="D10922" i="1"/>
  <c r="G10922" i="1"/>
  <c r="B11207" i="1"/>
  <c r="D11207" i="1"/>
  <c r="G11207" i="1"/>
  <c r="B21923" i="1"/>
  <c r="D21923" i="1"/>
  <c r="G21923" i="1"/>
  <c r="B16577" i="1"/>
  <c r="D16577" i="1"/>
  <c r="G16577" i="1"/>
  <c r="B12423" i="1"/>
  <c r="D12423" i="1"/>
  <c r="G12423" i="1"/>
  <c r="B15510" i="1"/>
  <c r="D15510" i="1"/>
  <c r="G15510" i="1"/>
  <c r="B19258" i="1"/>
  <c r="D19258" i="1"/>
  <c r="G19258" i="1"/>
  <c r="B10598" i="1"/>
  <c r="D10598" i="1"/>
  <c r="G10598" i="1"/>
  <c r="B4444" i="1"/>
  <c r="D4444" i="1"/>
  <c r="G4444" i="1"/>
  <c r="B2914" i="1"/>
  <c r="D2914" i="1"/>
  <c r="G2914" i="1"/>
  <c r="B4267" i="1"/>
  <c r="D4267" i="1"/>
  <c r="G4267" i="1"/>
  <c r="B18528" i="1"/>
  <c r="D18528" i="1"/>
  <c r="G18528" i="1"/>
  <c r="B6674" i="1"/>
  <c r="D6674" i="1"/>
  <c r="G6674" i="1"/>
  <c r="B4843" i="1"/>
  <c r="D4843" i="1"/>
  <c r="G4843" i="1"/>
  <c r="B6812" i="1"/>
  <c r="D6812" i="1"/>
  <c r="G6812" i="1"/>
  <c r="B16578" i="1"/>
  <c r="D16578" i="1"/>
  <c r="G16578" i="1"/>
  <c r="B1888" i="1"/>
  <c r="D1888" i="1"/>
  <c r="G1888" i="1"/>
  <c r="B12190" i="1"/>
  <c r="D12190" i="1"/>
  <c r="G12190" i="1"/>
  <c r="B4895" i="1"/>
  <c r="D4895" i="1"/>
  <c r="G4895" i="1"/>
  <c r="B21719" i="1"/>
  <c r="D21719" i="1"/>
  <c r="G21719" i="1"/>
  <c r="B19590" i="1"/>
  <c r="D19590" i="1"/>
  <c r="G19590" i="1"/>
  <c r="B19591" i="1"/>
  <c r="D19591" i="1"/>
  <c r="G19591" i="1"/>
  <c r="B16579" i="1"/>
  <c r="D16579" i="1"/>
  <c r="G16579" i="1"/>
  <c r="B3806" i="1"/>
  <c r="D3806" i="1"/>
  <c r="G3806" i="1"/>
  <c r="B10599" i="1"/>
  <c r="D10599" i="1"/>
  <c r="G10599" i="1"/>
  <c r="B12526" i="1"/>
  <c r="D12526" i="1"/>
  <c r="G12526" i="1"/>
  <c r="B6060" i="1"/>
  <c r="D6060" i="1"/>
  <c r="G6060" i="1"/>
  <c r="B14224" i="1"/>
  <c r="D14224" i="1"/>
  <c r="G14224" i="1"/>
  <c r="B3244" i="1"/>
  <c r="D3244" i="1"/>
  <c r="G3244" i="1"/>
  <c r="B4229" i="1"/>
  <c r="D4229" i="1"/>
  <c r="G4229" i="1"/>
  <c r="B16580" i="1"/>
  <c r="D16580" i="1"/>
  <c r="G16580" i="1"/>
  <c r="B5975" i="1"/>
  <c r="D5975" i="1"/>
  <c r="G5975" i="1"/>
  <c r="B3978" i="1"/>
  <c r="D3978" i="1"/>
  <c r="G3978" i="1"/>
  <c r="B6400" i="1"/>
  <c r="D6400" i="1"/>
  <c r="G6400" i="1"/>
  <c r="B6401" i="1"/>
  <c r="D6401" i="1"/>
  <c r="G6401" i="1"/>
  <c r="B20199" i="1"/>
  <c r="D20199" i="1"/>
  <c r="G20199" i="1"/>
  <c r="B9953" i="1"/>
  <c r="D9953" i="1"/>
  <c r="G9953" i="1"/>
  <c r="B19592" i="1"/>
  <c r="D19592" i="1"/>
  <c r="G19592" i="1"/>
  <c r="B16581" i="1"/>
  <c r="D16581" i="1"/>
  <c r="G16581" i="1"/>
  <c r="B19056" i="1"/>
  <c r="D19056" i="1"/>
  <c r="G19056" i="1"/>
  <c r="B18893" i="1"/>
  <c r="D18893" i="1"/>
  <c r="G18893" i="1"/>
  <c r="B17130" i="1"/>
  <c r="D17130" i="1"/>
  <c r="G17130" i="1"/>
  <c r="B15684" i="1"/>
  <c r="D15684" i="1"/>
  <c r="G15684" i="1"/>
  <c r="B18185" i="1"/>
  <c r="D18185" i="1"/>
  <c r="G18185" i="1"/>
  <c r="B17398" i="1"/>
  <c r="D17398" i="1"/>
  <c r="G17398" i="1"/>
  <c r="B14078" i="1"/>
  <c r="D14078" i="1"/>
  <c r="G14078" i="1"/>
  <c r="B6402" i="1"/>
  <c r="D6402" i="1"/>
  <c r="G6402" i="1"/>
  <c r="B6403" i="1"/>
  <c r="D6403" i="1"/>
  <c r="G6403" i="1"/>
  <c r="B2411" i="1"/>
  <c r="D2411" i="1"/>
  <c r="G2411" i="1"/>
  <c r="B12527" i="1"/>
  <c r="D12527" i="1"/>
  <c r="G12527" i="1"/>
  <c r="B12528" i="1"/>
  <c r="D12528" i="1"/>
  <c r="G12528" i="1"/>
  <c r="B4754" i="1"/>
  <c r="D4754" i="1"/>
  <c r="G4754" i="1"/>
  <c r="B4657" i="1"/>
  <c r="D4657" i="1"/>
  <c r="G4657" i="1"/>
  <c r="B21803" i="1"/>
  <c r="D21803" i="1"/>
  <c r="G21803" i="1"/>
  <c r="B599" i="1"/>
  <c r="D599" i="1"/>
  <c r="G599" i="1"/>
  <c r="B6087" i="1"/>
  <c r="D6087" i="1"/>
  <c r="G6087" i="1"/>
  <c r="B6088" i="1"/>
  <c r="D6088" i="1"/>
  <c r="G6088" i="1"/>
  <c r="B20176" i="1"/>
  <c r="D20176" i="1"/>
  <c r="G20176" i="1"/>
  <c r="B21101" i="1"/>
  <c r="D21101" i="1"/>
  <c r="G21101" i="1"/>
  <c r="B4477" i="1"/>
  <c r="D4477" i="1"/>
  <c r="G4477" i="1"/>
  <c r="B18529" i="1"/>
  <c r="D18529" i="1"/>
  <c r="G18529" i="1"/>
  <c r="B21419" i="1"/>
  <c r="D21419" i="1"/>
  <c r="G21419" i="1"/>
  <c r="B14583" i="1"/>
  <c r="D14583" i="1"/>
  <c r="G14583" i="1"/>
  <c r="B19593" i="1"/>
  <c r="D19593" i="1"/>
  <c r="G19593" i="1"/>
  <c r="B14631" i="1"/>
  <c r="D14631" i="1"/>
  <c r="G14631" i="1"/>
  <c r="B15123" i="1"/>
  <c r="D15123" i="1"/>
  <c r="G15123" i="1"/>
  <c r="B13459" i="1"/>
  <c r="D13459" i="1"/>
  <c r="G13459" i="1"/>
  <c r="B17131" i="1"/>
  <c r="D17131" i="1"/>
  <c r="G17131" i="1"/>
  <c r="B1304" i="1"/>
  <c r="D1304" i="1"/>
  <c r="G1304" i="1"/>
  <c r="B13161" i="1"/>
  <c r="D13161" i="1"/>
  <c r="G13161" i="1"/>
  <c r="B14454" i="1"/>
  <c r="D14454" i="1"/>
  <c r="G14454" i="1"/>
  <c r="B2915" i="1"/>
  <c r="D2915" i="1"/>
  <c r="G2915" i="1"/>
  <c r="B15511" i="1"/>
  <c r="D15511" i="1"/>
  <c r="G15511" i="1"/>
  <c r="B10600" i="1"/>
  <c r="D10600" i="1"/>
  <c r="G10600" i="1"/>
  <c r="B7087" i="1"/>
  <c r="D7087" i="1"/>
  <c r="G7087" i="1"/>
  <c r="B777" i="1"/>
  <c r="D777" i="1"/>
  <c r="G777" i="1"/>
  <c r="B19594" i="1"/>
  <c r="D19594" i="1"/>
  <c r="G19594" i="1"/>
  <c r="B5791" i="1"/>
  <c r="D5791" i="1"/>
  <c r="G5791" i="1"/>
  <c r="B5792" i="1"/>
  <c r="D5792" i="1"/>
  <c r="G5792" i="1"/>
  <c r="B19259" i="1"/>
  <c r="D19259" i="1"/>
  <c r="G19259" i="1"/>
  <c r="B18894" i="1"/>
  <c r="D18894" i="1"/>
  <c r="G18894" i="1"/>
  <c r="B18214" i="1"/>
  <c r="D18214" i="1"/>
  <c r="G18214" i="1"/>
  <c r="B17132" i="1"/>
  <c r="D17132" i="1"/>
  <c r="G17132" i="1"/>
  <c r="B3666" i="1"/>
  <c r="D3666" i="1"/>
  <c r="G3666" i="1"/>
  <c r="B6885" i="1"/>
  <c r="D6885" i="1"/>
  <c r="G6885" i="1"/>
  <c r="B600" i="1"/>
  <c r="D600" i="1"/>
  <c r="G600" i="1"/>
  <c r="B18530" i="1"/>
  <c r="D18530" i="1"/>
  <c r="G18530" i="1"/>
  <c r="B12191" i="1"/>
  <c r="D12191" i="1"/>
  <c r="G12191" i="1"/>
  <c r="B11858" i="1"/>
  <c r="D11858" i="1"/>
  <c r="G11858" i="1"/>
  <c r="B4839" i="1"/>
  <c r="D4839" i="1"/>
  <c r="G4839" i="1"/>
  <c r="B4840" i="1"/>
  <c r="D4840" i="1"/>
  <c r="G4840" i="1"/>
  <c r="B21102" i="1"/>
  <c r="D21102" i="1"/>
  <c r="G21102" i="1"/>
  <c r="B15124" i="1"/>
  <c r="D15124" i="1"/>
  <c r="G15124" i="1"/>
  <c r="B14225" i="1"/>
  <c r="D14225" i="1"/>
  <c r="G14225" i="1"/>
  <c r="B15125" i="1"/>
  <c r="D15125" i="1"/>
  <c r="G15125" i="1"/>
  <c r="B20626" i="1"/>
  <c r="D20626" i="1"/>
  <c r="G20626" i="1"/>
  <c r="B13896" i="1"/>
  <c r="D13896" i="1"/>
  <c r="G13896" i="1"/>
  <c r="B2916" i="1"/>
  <c r="D2916" i="1"/>
  <c r="G2916" i="1"/>
  <c r="B10205" i="1"/>
  <c r="D10205" i="1"/>
  <c r="G10205" i="1"/>
  <c r="B13085" i="1"/>
  <c r="D13085" i="1"/>
  <c r="G13085" i="1"/>
  <c r="B18531" i="1"/>
  <c r="D18531" i="1"/>
  <c r="G18531" i="1"/>
  <c r="B15685" i="1"/>
  <c r="D15685" i="1"/>
  <c r="G15685" i="1"/>
  <c r="B5749" i="1"/>
  <c r="D5749" i="1"/>
  <c r="G5749" i="1"/>
  <c r="B18895" i="1"/>
  <c r="D18895" i="1"/>
  <c r="G18895" i="1"/>
  <c r="B355" i="1"/>
  <c r="D355" i="1"/>
  <c r="G355" i="1"/>
  <c r="B60" i="1"/>
  <c r="D60" i="1"/>
  <c r="G60" i="1"/>
  <c r="B15512" i="1"/>
  <c r="D15512" i="1"/>
  <c r="G15512" i="1"/>
  <c r="B601" i="1"/>
  <c r="D601" i="1"/>
  <c r="G601" i="1"/>
  <c r="B18532" i="1"/>
  <c r="D18532" i="1"/>
  <c r="G18532" i="1"/>
  <c r="B15893" i="1"/>
  <c r="D15893" i="1"/>
  <c r="G15893" i="1"/>
  <c r="B1305" i="1"/>
  <c r="D1305" i="1"/>
  <c r="G1305" i="1"/>
  <c r="B15808" i="1"/>
  <c r="D15808" i="1"/>
  <c r="G15808" i="1"/>
  <c r="B15513" i="1"/>
  <c r="D15513" i="1"/>
  <c r="G15513" i="1"/>
  <c r="B21309" i="1"/>
  <c r="D21309" i="1"/>
  <c r="G21309" i="1"/>
  <c r="B18088" i="1"/>
  <c r="D18088" i="1"/>
  <c r="G18088" i="1"/>
  <c r="B928" i="1"/>
  <c r="D928" i="1"/>
  <c r="G928" i="1"/>
  <c r="B20859" i="1"/>
  <c r="D20859" i="1"/>
  <c r="G20859" i="1"/>
  <c r="B6404" i="1"/>
  <c r="D6404" i="1"/>
  <c r="G6404" i="1"/>
  <c r="B22049" i="1"/>
  <c r="D22049" i="1"/>
  <c r="G22049" i="1"/>
  <c r="B18896" i="1"/>
  <c r="D18896" i="1"/>
  <c r="G18896" i="1"/>
  <c r="B8926" i="1"/>
  <c r="D8926" i="1"/>
  <c r="G8926" i="1"/>
  <c r="B15126" i="1"/>
  <c r="D15126" i="1"/>
  <c r="G15126" i="1"/>
  <c r="B19260" i="1"/>
  <c r="D19260" i="1"/>
  <c r="G19260" i="1"/>
  <c r="B6675" i="1"/>
  <c r="D6675" i="1"/>
  <c r="G6675" i="1"/>
  <c r="B5526" i="1"/>
  <c r="D5526" i="1"/>
  <c r="G5526" i="1"/>
  <c r="B19261" i="1"/>
  <c r="D19261" i="1"/>
  <c r="G19261" i="1"/>
  <c r="B16582" i="1"/>
  <c r="D16582" i="1"/>
  <c r="G16582" i="1"/>
  <c r="B15514" i="1"/>
  <c r="D15514" i="1"/>
  <c r="G15514" i="1"/>
  <c r="B18089" i="1"/>
  <c r="D18089" i="1"/>
  <c r="G18089" i="1"/>
  <c r="B19595" i="1"/>
  <c r="D19595" i="1"/>
  <c r="G19595" i="1"/>
  <c r="B7944" i="1"/>
  <c r="D7944" i="1"/>
  <c r="G7944" i="1"/>
  <c r="B7568" i="1"/>
  <c r="D7568" i="1"/>
  <c r="G7568" i="1"/>
  <c r="B7367" i="1"/>
  <c r="D7367" i="1"/>
  <c r="G7367" i="1"/>
  <c r="B14736" i="1"/>
  <c r="D14736" i="1"/>
  <c r="G14736" i="1"/>
  <c r="B12443" i="1"/>
  <c r="D12443" i="1"/>
  <c r="G12443" i="1"/>
  <c r="B13838" i="1"/>
  <c r="D13838" i="1"/>
  <c r="G13838" i="1"/>
  <c r="B602" i="1"/>
  <c r="D602" i="1"/>
  <c r="G602" i="1"/>
  <c r="B13316" i="1"/>
  <c r="D13316" i="1"/>
  <c r="G13316" i="1"/>
  <c r="B4380" i="1"/>
  <c r="D4380" i="1"/>
  <c r="G4380" i="1"/>
  <c r="B12865" i="1"/>
  <c r="D12865" i="1"/>
  <c r="G12865" i="1"/>
  <c r="B17336" i="1"/>
  <c r="D17336" i="1"/>
  <c r="G17336" i="1"/>
  <c r="B2521" i="1"/>
  <c r="D2521" i="1"/>
  <c r="G2521" i="1"/>
  <c r="B4984" i="1"/>
  <c r="D4984" i="1"/>
  <c r="G4984" i="1"/>
  <c r="B4421" i="1"/>
  <c r="D4421" i="1"/>
  <c r="G4421" i="1"/>
  <c r="B147" i="1"/>
  <c r="D147" i="1"/>
  <c r="G147" i="1"/>
  <c r="B21357" i="1"/>
  <c r="D21357" i="1"/>
  <c r="G21357" i="1"/>
  <c r="B18132" i="1"/>
  <c r="D18132" i="1"/>
  <c r="G18132" i="1"/>
  <c r="B19057" i="1"/>
  <c r="D19057" i="1"/>
  <c r="G19057" i="1"/>
  <c r="B20308" i="1"/>
  <c r="D20308" i="1"/>
  <c r="G20308" i="1"/>
  <c r="B15127" i="1"/>
  <c r="D15127" i="1"/>
  <c r="G15127" i="1"/>
  <c r="B6405" i="1"/>
  <c r="D6405" i="1"/>
  <c r="G6405" i="1"/>
  <c r="B6406" i="1"/>
  <c r="D6406" i="1"/>
  <c r="G6406" i="1"/>
  <c r="B7945" i="1"/>
  <c r="D7945" i="1"/>
  <c r="G7945" i="1"/>
  <c r="B20860" i="1"/>
  <c r="D20860" i="1"/>
  <c r="G20860" i="1"/>
  <c r="B15515" i="1"/>
  <c r="D15515" i="1"/>
  <c r="G15515" i="1"/>
  <c r="B20627" i="1"/>
  <c r="D20627" i="1"/>
  <c r="G20627" i="1"/>
  <c r="B4353" i="1"/>
  <c r="D4353" i="1"/>
  <c r="G4353" i="1"/>
  <c r="B6877" i="1"/>
  <c r="D6877" i="1"/>
  <c r="G6877" i="1"/>
  <c r="B21428" i="1"/>
  <c r="D21428" i="1"/>
  <c r="G21428" i="1"/>
  <c r="B22050" i="1"/>
  <c r="D22050" i="1"/>
  <c r="G22050" i="1"/>
  <c r="B22240" i="1"/>
  <c r="D22240" i="1"/>
  <c r="G22240" i="1"/>
  <c r="B13317" i="1"/>
  <c r="D13317" i="1"/>
  <c r="G13317" i="1"/>
  <c r="B2917" i="1"/>
  <c r="D2917" i="1"/>
  <c r="G2917" i="1"/>
  <c r="B6407" i="1"/>
  <c r="D6407" i="1"/>
  <c r="G6407" i="1"/>
  <c r="B6408" i="1"/>
  <c r="D6408" i="1"/>
  <c r="G6408" i="1"/>
  <c r="B20402" i="1"/>
  <c r="D20402" i="1"/>
  <c r="G20402" i="1"/>
  <c r="B4445" i="1"/>
  <c r="D4445" i="1"/>
  <c r="G4445" i="1"/>
  <c r="B724" i="1"/>
  <c r="D724" i="1"/>
  <c r="G724" i="1"/>
  <c r="B8927" i="1"/>
  <c r="D8927" i="1"/>
  <c r="G8927" i="1"/>
  <c r="B4241" i="1"/>
  <c r="D4241" i="1"/>
  <c r="G4241" i="1"/>
  <c r="B2235" i="1"/>
  <c r="D2235" i="1"/>
  <c r="G2235" i="1"/>
  <c r="B3829" i="1"/>
  <c r="D3829" i="1"/>
  <c r="G3829" i="1"/>
  <c r="B3808" i="1"/>
  <c r="D3808" i="1"/>
  <c r="G3808" i="1"/>
  <c r="B21720" i="1"/>
  <c r="D21720" i="1"/>
  <c r="G21720" i="1"/>
  <c r="B18743" i="1"/>
  <c r="D18743" i="1"/>
  <c r="G18743" i="1"/>
  <c r="B19262" i="1"/>
  <c r="D19262" i="1"/>
  <c r="G19262" i="1"/>
  <c r="B14441" i="1"/>
  <c r="D14441" i="1"/>
  <c r="G14441" i="1"/>
  <c r="B19058" i="1"/>
  <c r="D19058" i="1"/>
  <c r="G19058" i="1"/>
  <c r="B18897" i="1"/>
  <c r="D18897" i="1"/>
  <c r="G18897" i="1"/>
  <c r="B8074" i="1"/>
  <c r="D8074" i="1"/>
  <c r="G8074" i="1"/>
  <c r="B6676" i="1"/>
  <c r="D6676" i="1"/>
  <c r="G6676" i="1"/>
  <c r="B15128" i="1"/>
  <c r="D15128" i="1"/>
  <c r="G15128" i="1"/>
  <c r="B10601" i="1"/>
  <c r="D10601" i="1"/>
  <c r="G10601" i="1"/>
  <c r="B1306" i="1"/>
  <c r="D1306" i="1"/>
  <c r="G1306" i="1"/>
  <c r="B14226" i="1"/>
  <c r="D14226" i="1"/>
  <c r="G14226" i="1"/>
  <c r="B5623" i="1"/>
  <c r="D5623" i="1"/>
  <c r="G5623" i="1"/>
  <c r="B1740" i="1"/>
  <c r="D1740" i="1"/>
  <c r="G1740" i="1"/>
  <c r="B10923" i="1"/>
  <c r="D10923" i="1"/>
  <c r="G10923" i="1"/>
  <c r="B22174" i="1"/>
  <c r="D22174" i="1"/>
  <c r="G22174" i="1"/>
  <c r="B20628" i="1"/>
  <c r="D20628" i="1"/>
  <c r="G20628" i="1"/>
  <c r="B11208" i="1"/>
  <c r="D11208" i="1"/>
  <c r="G11208" i="1"/>
  <c r="B16583" i="1"/>
  <c r="D16583" i="1"/>
  <c r="G16583" i="1"/>
  <c r="B15129" i="1"/>
  <c r="D15129" i="1"/>
  <c r="G15129" i="1"/>
  <c r="B16584" i="1"/>
  <c r="D16584" i="1"/>
  <c r="G16584" i="1"/>
  <c r="B13940" i="1"/>
  <c r="D13940" i="1"/>
  <c r="G13940" i="1"/>
  <c r="B19999" i="1"/>
  <c r="D19999" i="1"/>
  <c r="G19999" i="1"/>
  <c r="B20629" i="1"/>
  <c r="D20629" i="1"/>
  <c r="G20629" i="1"/>
  <c r="B17133" i="1"/>
  <c r="D17133" i="1"/>
  <c r="G17133" i="1"/>
  <c r="B20630" i="1"/>
  <c r="D20630" i="1"/>
  <c r="G20630" i="1"/>
  <c r="B16585" i="1"/>
  <c r="D16585" i="1"/>
  <c r="G16585" i="1"/>
  <c r="B8270" i="1"/>
  <c r="D8270" i="1"/>
  <c r="G8270" i="1"/>
  <c r="B3667" i="1"/>
  <c r="D3667" i="1"/>
  <c r="G3667" i="1"/>
  <c r="B13184" i="1"/>
  <c r="D13184" i="1"/>
  <c r="G13184" i="1"/>
  <c r="B18533" i="1"/>
  <c r="D18533" i="1"/>
  <c r="G18533" i="1"/>
  <c r="B17761" i="1"/>
  <c r="D17761" i="1"/>
  <c r="G17761" i="1"/>
  <c r="B20631" i="1"/>
  <c r="D20631" i="1"/>
  <c r="G20631" i="1"/>
  <c r="B19059" i="1"/>
  <c r="D19059" i="1"/>
  <c r="G19059" i="1"/>
  <c r="B16586" i="1"/>
  <c r="D16586" i="1"/>
  <c r="G16586" i="1"/>
  <c r="B21924" i="1"/>
  <c r="D21924" i="1"/>
  <c r="G21924" i="1"/>
  <c r="B19263" i="1"/>
  <c r="D19263" i="1"/>
  <c r="G19263" i="1"/>
  <c r="B13226" i="1"/>
  <c r="D13226" i="1"/>
  <c r="G13226" i="1"/>
  <c r="B14410" i="1"/>
  <c r="D14410" i="1"/>
  <c r="G14410" i="1"/>
  <c r="B61" i="1"/>
  <c r="D61" i="1"/>
  <c r="G61" i="1"/>
  <c r="B15130" i="1"/>
  <c r="D15130" i="1"/>
  <c r="G15130" i="1"/>
  <c r="B18" i="1"/>
  <c r="D18" i="1"/>
  <c r="G18" i="1"/>
  <c r="B21103" i="1"/>
  <c r="D21103" i="1"/>
  <c r="G21103" i="1"/>
  <c r="B3668" i="1"/>
  <c r="D3668" i="1"/>
  <c r="G3668" i="1"/>
  <c r="B18534" i="1"/>
  <c r="D18534" i="1"/>
  <c r="G18534" i="1"/>
  <c r="B13086" i="1"/>
  <c r="D13086" i="1"/>
  <c r="G13086" i="1"/>
  <c r="B13087" i="1"/>
  <c r="D13087" i="1"/>
  <c r="G13087" i="1"/>
  <c r="B13318" i="1"/>
  <c r="D13318" i="1"/>
  <c r="G13318" i="1"/>
  <c r="B20200" i="1"/>
  <c r="D20200" i="1"/>
  <c r="G20200" i="1"/>
  <c r="B13088" i="1"/>
  <c r="D13088" i="1"/>
  <c r="G13088" i="1"/>
  <c r="B4422" i="1"/>
  <c r="D4422" i="1"/>
  <c r="G4422" i="1"/>
  <c r="B12192" i="1"/>
  <c r="D12192" i="1"/>
  <c r="G12192" i="1"/>
  <c r="B262" i="1"/>
  <c r="D262" i="1"/>
  <c r="G262" i="1"/>
  <c r="B21553" i="1"/>
  <c r="D21553" i="1"/>
  <c r="G21553" i="1"/>
  <c r="B15131" i="1"/>
  <c r="D15131" i="1"/>
  <c r="G15131" i="1"/>
  <c r="B12193" i="1"/>
  <c r="D12193" i="1"/>
  <c r="G12193" i="1"/>
  <c r="B19596" i="1"/>
  <c r="D19596" i="1"/>
  <c r="G19596" i="1"/>
  <c r="B21554" i="1"/>
  <c r="D21554" i="1"/>
  <c r="G21554" i="1"/>
  <c r="B1889" i="1"/>
  <c r="D1889" i="1"/>
  <c r="G1889" i="1"/>
  <c r="B3772" i="1"/>
  <c r="D3772" i="1"/>
  <c r="G3772" i="1"/>
  <c r="B4829" i="1"/>
  <c r="D4829" i="1"/>
  <c r="G4829" i="1"/>
  <c r="B3979" i="1"/>
  <c r="D3979" i="1"/>
  <c r="G3979" i="1"/>
  <c r="B4658" i="1"/>
  <c r="D4658" i="1"/>
  <c r="G4658" i="1"/>
  <c r="B3980" i="1"/>
  <c r="D3980" i="1"/>
  <c r="G3980" i="1"/>
  <c r="B18535" i="1"/>
  <c r="D18535" i="1"/>
  <c r="G18535" i="1"/>
  <c r="B19597" i="1"/>
  <c r="D19597" i="1"/>
  <c r="G19597" i="1"/>
  <c r="B16587" i="1"/>
  <c r="D16587" i="1"/>
  <c r="G16587" i="1"/>
  <c r="B6960" i="1"/>
  <c r="D6960" i="1"/>
  <c r="G6960" i="1"/>
  <c r="B10924" i="1"/>
  <c r="D10924" i="1"/>
  <c r="G10924" i="1"/>
  <c r="B11209" i="1"/>
  <c r="D11209" i="1"/>
  <c r="G11209" i="1"/>
  <c r="B17134" i="1"/>
  <c r="D17134" i="1"/>
  <c r="G17134" i="1"/>
  <c r="B16118" i="1"/>
  <c r="D16118" i="1"/>
  <c r="G16118" i="1"/>
  <c r="B15516" i="1"/>
  <c r="D15516" i="1"/>
  <c r="G15516" i="1"/>
  <c r="B22051" i="1"/>
  <c r="D22051" i="1"/>
  <c r="G22051" i="1"/>
  <c r="B18536" i="1"/>
  <c r="D18536" i="1"/>
  <c r="G18536" i="1"/>
  <c r="B16007" i="1"/>
  <c r="D16007" i="1"/>
  <c r="G16007" i="1"/>
  <c r="E22599" i="1"/>
  <c r="B20632" i="1"/>
  <c r="D20632" i="1"/>
  <c r="G20632" i="1"/>
  <c r="B4852" i="1"/>
  <c r="D4852" i="1"/>
  <c r="G4852" i="1"/>
  <c r="B14053" i="1"/>
  <c r="D14053" i="1"/>
  <c r="G14053" i="1"/>
  <c r="B5733" i="1"/>
  <c r="D5733" i="1"/>
  <c r="G5733" i="1"/>
  <c r="B6409" i="1"/>
  <c r="D6409" i="1"/>
  <c r="G6409" i="1"/>
  <c r="B6410" i="1"/>
  <c r="D6410" i="1"/>
  <c r="G6410" i="1"/>
  <c r="B21104" i="1"/>
  <c r="D21104" i="1"/>
  <c r="G21104" i="1"/>
  <c r="B20194" i="1"/>
  <c r="D20194" i="1"/>
  <c r="G20194" i="1"/>
  <c r="B13319" i="1"/>
  <c r="D13319" i="1"/>
  <c r="G13319" i="1"/>
  <c r="B5237" i="1"/>
  <c r="D5237" i="1"/>
  <c r="G5237" i="1"/>
  <c r="B1890" i="1"/>
  <c r="D1890" i="1"/>
  <c r="G1890" i="1"/>
  <c r="B18693" i="1"/>
  <c r="D18693" i="1"/>
  <c r="G18693" i="1"/>
  <c r="B16985" i="1"/>
  <c r="D16985" i="1"/>
  <c r="G16985" i="1"/>
  <c r="B13941" i="1"/>
  <c r="D13941" i="1"/>
  <c r="G13941" i="1"/>
  <c r="B17762" i="1"/>
  <c r="D17762" i="1"/>
  <c r="G17762" i="1"/>
  <c r="B19598" i="1"/>
  <c r="D19598" i="1"/>
  <c r="G19598" i="1"/>
  <c r="B7368" i="1"/>
  <c r="D7368" i="1"/>
  <c r="G7368" i="1"/>
  <c r="B20861" i="1"/>
  <c r="D20861" i="1"/>
  <c r="G20861" i="1"/>
  <c r="B15517" i="1"/>
  <c r="D15517" i="1"/>
  <c r="G15517" i="1"/>
  <c r="B14632" i="1"/>
  <c r="D14632" i="1"/>
  <c r="G14632" i="1"/>
  <c r="B12866" i="1"/>
  <c r="D12866" i="1"/>
  <c r="G12866" i="1"/>
  <c r="B20403" i="1"/>
  <c r="D20403" i="1"/>
  <c r="G20403" i="1"/>
  <c r="B20862" i="1"/>
  <c r="D20862" i="1"/>
  <c r="G20862" i="1"/>
  <c r="B21925" i="1"/>
  <c r="D21925" i="1"/>
  <c r="G21925" i="1"/>
  <c r="B17763" i="1"/>
  <c r="D17763" i="1"/>
  <c r="G17763" i="1"/>
  <c r="B10039" i="1"/>
  <c r="D10039" i="1"/>
  <c r="G10039" i="1"/>
  <c r="B11814" i="1"/>
  <c r="D11814" i="1"/>
  <c r="G11814" i="1"/>
  <c r="B21783" i="1"/>
  <c r="D21783" i="1"/>
  <c r="G21783" i="1"/>
  <c r="B13320" i="1"/>
  <c r="D13320" i="1"/>
  <c r="G13320" i="1"/>
  <c r="B2918" i="1"/>
  <c r="D2918" i="1"/>
  <c r="G2918" i="1"/>
  <c r="B14737" i="1"/>
  <c r="D14737" i="1"/>
  <c r="G14737" i="1"/>
  <c r="B19264" i="1"/>
  <c r="D19264" i="1"/>
  <c r="G19264" i="1"/>
  <c r="B14633" i="1"/>
  <c r="D14633" i="1"/>
  <c r="G14633" i="1"/>
  <c r="B8282" i="1"/>
  <c r="D8282" i="1"/>
  <c r="G8282" i="1"/>
  <c r="B13626" i="1"/>
  <c r="D13626" i="1"/>
  <c r="G13626" i="1"/>
  <c r="B12867" i="1"/>
  <c r="D12867" i="1"/>
  <c r="G12867" i="1"/>
  <c r="B18537" i="1"/>
  <c r="D18537" i="1"/>
  <c r="G18537" i="1"/>
  <c r="B12194" i="1"/>
  <c r="D12194" i="1"/>
  <c r="G12194" i="1"/>
  <c r="B7569" i="1"/>
  <c r="D7569" i="1"/>
  <c r="G7569" i="1"/>
  <c r="B15132" i="1"/>
  <c r="D15132" i="1"/>
  <c r="G15132" i="1"/>
  <c r="B7279" i="1"/>
  <c r="D7279" i="1"/>
  <c r="G7279" i="1"/>
  <c r="B21926" i="1"/>
  <c r="D21926" i="1"/>
  <c r="G21926" i="1"/>
  <c r="B5090" i="1"/>
  <c r="D5090" i="1"/>
  <c r="G5090" i="1"/>
  <c r="B12195" i="1"/>
  <c r="D12195" i="1"/>
  <c r="G12195" i="1"/>
  <c r="B4755" i="1"/>
  <c r="D4755" i="1"/>
  <c r="G4755" i="1"/>
  <c r="B8139" i="1"/>
  <c r="D8139" i="1"/>
  <c r="G8139" i="1"/>
  <c r="B19265" i="1"/>
  <c r="D19265" i="1"/>
  <c r="G19265" i="1"/>
  <c r="B13401" i="1"/>
  <c r="D13401" i="1"/>
  <c r="G13401" i="1"/>
  <c r="B5238" i="1"/>
  <c r="D5238" i="1"/>
  <c r="G5238" i="1"/>
  <c r="B14104" i="1"/>
  <c r="D14104" i="1"/>
  <c r="G14104" i="1"/>
  <c r="B16588" i="1"/>
  <c r="D16588" i="1"/>
  <c r="G16588" i="1"/>
  <c r="B3981" i="1"/>
  <c r="D3981" i="1"/>
  <c r="G3981" i="1"/>
  <c r="B20000" i="1"/>
  <c r="D20000" i="1"/>
  <c r="G20000" i="1"/>
  <c r="B7570" i="1"/>
  <c r="D7570" i="1"/>
  <c r="G7570" i="1"/>
  <c r="B17764" i="1"/>
  <c r="D17764" i="1"/>
  <c r="G17764" i="1"/>
  <c r="B17765" i="1"/>
  <c r="D17765" i="1"/>
  <c r="G17765" i="1"/>
  <c r="B4886" i="1"/>
  <c r="D4886" i="1"/>
  <c r="G4886" i="1"/>
  <c r="B3788" i="1"/>
  <c r="D3788" i="1"/>
  <c r="G3788" i="1"/>
  <c r="B8341" i="1"/>
  <c r="D8341" i="1"/>
  <c r="G8341" i="1"/>
  <c r="B5527" i="1"/>
  <c r="D5527" i="1"/>
  <c r="G5527" i="1"/>
  <c r="B6813" i="1"/>
  <c r="D6813" i="1"/>
  <c r="G6813" i="1"/>
  <c r="B7235" i="1"/>
  <c r="D7235" i="1"/>
  <c r="G7235" i="1"/>
  <c r="B7236" i="1"/>
  <c r="D7236" i="1"/>
  <c r="G7236" i="1"/>
  <c r="B7571" i="1"/>
  <c r="D7571" i="1"/>
  <c r="G7571" i="1"/>
  <c r="B14105" i="1"/>
  <c r="D14105" i="1"/>
  <c r="G14105" i="1"/>
  <c r="B7946" i="1"/>
  <c r="D7946" i="1"/>
  <c r="G7946" i="1"/>
  <c r="B7947" i="1"/>
  <c r="D7947" i="1"/>
  <c r="G7947" i="1"/>
  <c r="B12196" i="1"/>
  <c r="D12196" i="1"/>
  <c r="G12196" i="1"/>
  <c r="B19060" i="1"/>
  <c r="D19060" i="1"/>
  <c r="G19060" i="1"/>
  <c r="B14411" i="1"/>
  <c r="D14411" i="1"/>
  <c r="G14411" i="1"/>
  <c r="B2057" i="1"/>
  <c r="D2057" i="1"/>
  <c r="G2057" i="1"/>
  <c r="B18538" i="1"/>
  <c r="D18538" i="1"/>
  <c r="G18538" i="1"/>
  <c r="B17534" i="1"/>
  <c r="D17534" i="1"/>
  <c r="G17534" i="1"/>
  <c r="B20309" i="1"/>
  <c r="D20309" i="1"/>
  <c r="G20309" i="1"/>
  <c r="B16008" i="1"/>
  <c r="D16008" i="1"/>
  <c r="G16008" i="1"/>
  <c r="B13839" i="1"/>
  <c r="D13839" i="1"/>
  <c r="G13839" i="1"/>
  <c r="B15133" i="1"/>
  <c r="D15133" i="1"/>
  <c r="G15133" i="1"/>
  <c r="B951" i="1"/>
  <c r="D951" i="1"/>
  <c r="G951" i="1"/>
  <c r="B20310" i="1"/>
  <c r="D20310" i="1"/>
  <c r="G20310" i="1"/>
  <c r="B22175" i="1"/>
  <c r="D22175" i="1"/>
  <c r="G22175" i="1"/>
  <c r="B20404" i="1"/>
  <c r="D20404" i="1"/>
  <c r="G20404" i="1"/>
  <c r="B14188" i="1"/>
  <c r="D14188" i="1"/>
  <c r="G14188" i="1"/>
  <c r="B16589" i="1"/>
  <c r="D16589" i="1"/>
  <c r="G16589" i="1"/>
  <c r="B14227" i="1"/>
  <c r="D14227" i="1"/>
  <c r="G14227" i="1"/>
  <c r="B20863" i="1"/>
  <c r="D20863" i="1"/>
  <c r="G20863" i="1"/>
  <c r="B2919" i="1"/>
  <c r="D2919" i="1"/>
  <c r="G2919" i="1"/>
  <c r="B4230" i="1"/>
  <c r="D4230" i="1"/>
  <c r="G4230" i="1"/>
  <c r="B3669" i="1"/>
  <c r="D3669" i="1"/>
  <c r="G3669" i="1"/>
  <c r="B19266" i="1"/>
  <c r="D19266" i="1"/>
  <c r="G19266" i="1"/>
  <c r="B10146" i="1"/>
  <c r="D10146" i="1"/>
  <c r="G10146" i="1"/>
  <c r="B10925" i="1"/>
  <c r="D10925" i="1"/>
  <c r="G10925" i="1"/>
  <c r="B10602" i="1"/>
  <c r="D10602" i="1"/>
  <c r="G10602" i="1"/>
  <c r="B20243" i="1"/>
  <c r="D20243" i="1"/>
  <c r="G20243" i="1"/>
  <c r="B17332" i="1"/>
  <c r="D17332" i="1"/>
  <c r="G17332" i="1"/>
  <c r="B16590" i="1"/>
  <c r="D16590" i="1"/>
  <c r="G16590" i="1"/>
  <c r="B13528" i="1"/>
  <c r="D13528" i="1"/>
  <c r="G13528" i="1"/>
  <c r="B18539" i="1"/>
  <c r="D18539" i="1"/>
  <c r="G18539" i="1"/>
  <c r="B8928" i="1"/>
  <c r="D8928" i="1"/>
  <c r="G8928" i="1"/>
  <c r="B22052" i="1"/>
  <c r="D22052" i="1"/>
  <c r="G22052" i="1"/>
  <c r="B17399" i="1"/>
  <c r="D17399" i="1"/>
  <c r="G17399" i="1"/>
  <c r="B12529" i="1"/>
  <c r="D12529" i="1"/>
  <c r="G12529" i="1"/>
  <c r="B16959" i="1"/>
  <c r="D16959" i="1"/>
  <c r="G16959" i="1"/>
  <c r="B21927" i="1"/>
  <c r="D21927" i="1"/>
  <c r="G21927" i="1"/>
  <c r="B14228" i="1"/>
  <c r="D14228" i="1"/>
  <c r="G14228" i="1"/>
  <c r="B1307" i="1"/>
  <c r="D1307" i="1"/>
  <c r="G1307" i="1"/>
  <c r="B16591" i="1"/>
  <c r="D16591" i="1"/>
  <c r="G16591" i="1"/>
  <c r="B16592" i="1"/>
  <c r="D16592" i="1"/>
  <c r="G16592" i="1"/>
  <c r="B2058" i="1"/>
  <c r="D2058" i="1"/>
  <c r="G2058" i="1"/>
  <c r="B4550" i="1"/>
  <c r="D4550" i="1"/>
  <c r="G4550" i="1"/>
  <c r="B3389" i="1"/>
  <c r="D3389" i="1"/>
  <c r="G3389" i="1"/>
  <c r="B4551" i="1"/>
  <c r="D4551" i="1"/>
  <c r="G4551" i="1"/>
  <c r="B9756" i="1"/>
  <c r="D9756" i="1"/>
  <c r="G9756" i="1"/>
  <c r="B9757" i="1"/>
  <c r="D9757" i="1"/>
  <c r="G9757" i="1"/>
  <c r="B19599" i="1"/>
  <c r="D19599" i="1"/>
  <c r="G19599" i="1"/>
  <c r="B16593" i="1"/>
  <c r="D16593" i="1"/>
  <c r="G16593" i="1"/>
  <c r="B13460" i="1"/>
  <c r="D13460" i="1"/>
  <c r="G13460" i="1"/>
  <c r="B20633" i="1"/>
  <c r="D20633" i="1"/>
  <c r="G20633" i="1"/>
  <c r="B14314" i="1"/>
  <c r="D14314" i="1"/>
  <c r="G14314" i="1"/>
  <c r="B2412" i="1"/>
  <c r="D2412" i="1"/>
  <c r="G2412" i="1"/>
  <c r="B16594" i="1"/>
  <c r="D16594" i="1"/>
  <c r="G16594" i="1"/>
  <c r="B17313" i="1"/>
  <c r="D17313" i="1"/>
  <c r="G17313" i="1"/>
  <c r="B14811" i="1"/>
  <c r="D14811" i="1"/>
  <c r="G14811" i="1"/>
  <c r="B20634" i="1"/>
  <c r="D20634" i="1"/>
  <c r="G20634" i="1"/>
  <c r="B19061" i="1"/>
  <c r="D19061" i="1"/>
  <c r="G19061" i="1"/>
  <c r="B18898" i="1"/>
  <c r="D18898" i="1"/>
  <c r="G18898" i="1"/>
  <c r="B20635" i="1"/>
  <c r="D20635" i="1"/>
  <c r="G20635" i="1"/>
  <c r="B21358" i="1"/>
  <c r="D21358" i="1"/>
  <c r="G21358" i="1"/>
  <c r="B1556" i="1"/>
  <c r="D1556" i="1"/>
  <c r="G1556" i="1"/>
  <c r="B21359" i="1"/>
  <c r="D21359" i="1"/>
  <c r="G21359" i="1"/>
  <c r="B929" i="1"/>
  <c r="D929" i="1"/>
  <c r="G929" i="1"/>
  <c r="B21105" i="1"/>
  <c r="D21105" i="1"/>
  <c r="G21105" i="1"/>
  <c r="B14189" i="1"/>
  <c r="D14189" i="1"/>
  <c r="G14189" i="1"/>
  <c r="B2146" i="1"/>
  <c r="D2146" i="1"/>
  <c r="G2146" i="1"/>
  <c r="B8577" i="1"/>
  <c r="D8577" i="1"/>
  <c r="G8577" i="1"/>
  <c r="B8578" i="1"/>
  <c r="D8578" i="1"/>
  <c r="G8578" i="1"/>
  <c r="B7022" i="1"/>
  <c r="D7022" i="1"/>
  <c r="G7022" i="1"/>
  <c r="B16595" i="1"/>
  <c r="D16595" i="1"/>
  <c r="G16595" i="1"/>
  <c r="B14180" i="1"/>
  <c r="D14180" i="1"/>
  <c r="G14180" i="1"/>
  <c r="B20864" i="1"/>
  <c r="D20864" i="1"/>
  <c r="G20864" i="1"/>
  <c r="B15518" i="1"/>
  <c r="D15518" i="1"/>
  <c r="G15518" i="1"/>
  <c r="B20636" i="1"/>
  <c r="D20636" i="1"/>
  <c r="G20636" i="1"/>
  <c r="B20001" i="1"/>
  <c r="D20001" i="1"/>
  <c r="G20001" i="1"/>
  <c r="B16596" i="1"/>
  <c r="D16596" i="1"/>
  <c r="G16596" i="1"/>
  <c r="B15134" i="1"/>
  <c r="D15134" i="1"/>
  <c r="G15134" i="1"/>
  <c r="B10311" i="1"/>
  <c r="D10311" i="1"/>
  <c r="G10311" i="1"/>
  <c r="B7572" i="1"/>
  <c r="D7572" i="1"/>
  <c r="G7572" i="1"/>
  <c r="B9758" i="1"/>
  <c r="D9758" i="1"/>
  <c r="G9758" i="1"/>
  <c r="B9759" i="1"/>
  <c r="D9759" i="1"/>
  <c r="G9759" i="1"/>
  <c r="B4659" i="1"/>
  <c r="D4659" i="1"/>
  <c r="G4659" i="1"/>
  <c r="B20405" i="1"/>
  <c r="D20405" i="1"/>
  <c r="G20405" i="1"/>
  <c r="B19600" i="1"/>
  <c r="D19600" i="1"/>
  <c r="G19600" i="1"/>
  <c r="B15731" i="1"/>
  <c r="D15731" i="1"/>
  <c r="G15731" i="1"/>
  <c r="B16119" i="1"/>
  <c r="D16119" i="1"/>
  <c r="G16119" i="1"/>
  <c r="B13321" i="1"/>
  <c r="D13321" i="1"/>
  <c r="G13321" i="1"/>
  <c r="B8207" i="1"/>
  <c r="D8207" i="1"/>
  <c r="G8207" i="1"/>
  <c r="B8208" i="1"/>
  <c r="D8208" i="1"/>
  <c r="G8208" i="1"/>
  <c r="B17135" i="1"/>
  <c r="D17135" i="1"/>
  <c r="G17135" i="1"/>
  <c r="B13411" i="1"/>
  <c r="D13411" i="1"/>
  <c r="G13411" i="1"/>
  <c r="B1419" i="1"/>
  <c r="D1419" i="1"/>
  <c r="G1419" i="1"/>
  <c r="B5624" i="1"/>
  <c r="D5624" i="1"/>
  <c r="G5624" i="1"/>
  <c r="B21928" i="1"/>
  <c r="D21928" i="1"/>
  <c r="G21928" i="1"/>
  <c r="B20637" i="1"/>
  <c r="D20637" i="1"/>
  <c r="G20637" i="1"/>
  <c r="B20638" i="1"/>
  <c r="D20638" i="1"/>
  <c r="G20638" i="1"/>
  <c r="B1741" i="1"/>
  <c r="D1741" i="1"/>
  <c r="G1741" i="1"/>
  <c r="B15135" i="1"/>
  <c r="D15135" i="1"/>
  <c r="G15135" i="1"/>
  <c r="B14026" i="1"/>
  <c r="D14026" i="1"/>
  <c r="G14026" i="1"/>
  <c r="B14054" i="1"/>
  <c r="D14054" i="1"/>
  <c r="G14054" i="1"/>
  <c r="B8140" i="1"/>
  <c r="D8140" i="1"/>
  <c r="G8140" i="1"/>
  <c r="B14191" i="1"/>
  <c r="D14191" i="1"/>
  <c r="G14191" i="1"/>
  <c r="B1032" i="1"/>
  <c r="D1032" i="1"/>
  <c r="G1032" i="1"/>
  <c r="B1742" i="1"/>
  <c r="D1742" i="1"/>
  <c r="G1742" i="1"/>
  <c r="B8929" i="1"/>
  <c r="D8929" i="1"/>
  <c r="G8929" i="1"/>
  <c r="B12197" i="1"/>
  <c r="D12197" i="1"/>
  <c r="G12197" i="1"/>
  <c r="B19601" i="1"/>
  <c r="D19601" i="1"/>
  <c r="G19601" i="1"/>
  <c r="B21555" i="1"/>
  <c r="D21555" i="1"/>
  <c r="G21555" i="1"/>
  <c r="B21556" i="1"/>
  <c r="D21556" i="1"/>
  <c r="G21556" i="1"/>
  <c r="B14027" i="1"/>
  <c r="D14027" i="1"/>
  <c r="G14027" i="1"/>
  <c r="B13322" i="1"/>
  <c r="D13322" i="1"/>
  <c r="G13322" i="1"/>
  <c r="B13089" i="1"/>
  <c r="D13089" i="1"/>
  <c r="G13089" i="1"/>
  <c r="B19602" i="1"/>
  <c r="D19602" i="1"/>
  <c r="G19602" i="1"/>
  <c r="B19603" i="1"/>
  <c r="D19603" i="1"/>
  <c r="G19603" i="1"/>
  <c r="B18540" i="1"/>
  <c r="D18540" i="1"/>
  <c r="G18540" i="1"/>
  <c r="B7088" i="1"/>
  <c r="D7088" i="1"/>
  <c r="G7088" i="1"/>
  <c r="B16597" i="1"/>
  <c r="D16597" i="1"/>
  <c r="G16597" i="1"/>
  <c r="B3106" i="1"/>
  <c r="D3106" i="1"/>
  <c r="G3106" i="1"/>
  <c r="B16598" i="1"/>
  <c r="D16598" i="1"/>
  <c r="G16598" i="1"/>
  <c r="B14552" i="1"/>
  <c r="D14552" i="1"/>
  <c r="G14552" i="1"/>
  <c r="B250" i="1"/>
  <c r="D250" i="1"/>
  <c r="G250" i="1"/>
  <c r="B14501" i="1"/>
  <c r="D14501" i="1"/>
  <c r="G14501" i="1"/>
  <c r="B21106" i="1"/>
  <c r="D21106" i="1"/>
  <c r="G21106" i="1"/>
  <c r="B14442" i="1"/>
  <c r="D14442" i="1"/>
  <c r="G14442" i="1"/>
  <c r="B15732" i="1"/>
  <c r="D15732" i="1"/>
  <c r="G15732" i="1"/>
  <c r="B13323" i="1"/>
  <c r="D13323" i="1"/>
  <c r="G13323" i="1"/>
  <c r="B603" i="1"/>
  <c r="D603" i="1"/>
  <c r="G603" i="1"/>
  <c r="B968" i="1"/>
  <c r="D968" i="1"/>
  <c r="G968" i="1"/>
  <c r="B1891" i="1"/>
  <c r="D1891" i="1"/>
  <c r="G1891" i="1"/>
  <c r="B604" i="1"/>
  <c r="D604" i="1"/>
  <c r="G604" i="1"/>
  <c r="B2920" i="1"/>
  <c r="D2920" i="1"/>
  <c r="G2920" i="1"/>
  <c r="B2921" i="1"/>
  <c r="D2921" i="1"/>
  <c r="G2921" i="1"/>
  <c r="B15686" i="1"/>
  <c r="D15686" i="1"/>
  <c r="G15686" i="1"/>
  <c r="B13920" i="1"/>
  <c r="D13920" i="1"/>
  <c r="G13920" i="1"/>
  <c r="B12868" i="1"/>
  <c r="D12868" i="1"/>
  <c r="G12868" i="1"/>
  <c r="B19267" i="1"/>
  <c r="D19267" i="1"/>
  <c r="G19267" i="1"/>
  <c r="B2147" i="1"/>
  <c r="D2147" i="1"/>
  <c r="G2147" i="1"/>
  <c r="B15894" i="1"/>
  <c r="D15894" i="1"/>
  <c r="G15894" i="1"/>
  <c r="B15809" i="1"/>
  <c r="D15809" i="1"/>
  <c r="G15809" i="1"/>
  <c r="B17136" i="1"/>
  <c r="D17136" i="1"/>
  <c r="G17136" i="1"/>
  <c r="B12869" i="1"/>
  <c r="D12869" i="1"/>
  <c r="G12869" i="1"/>
  <c r="B605" i="1"/>
  <c r="D605" i="1"/>
  <c r="G605" i="1"/>
  <c r="B19899" i="1"/>
  <c r="D19899" i="1"/>
  <c r="G19899" i="1"/>
  <c r="B14275" i="1"/>
  <c r="D14275" i="1"/>
  <c r="G14275" i="1"/>
  <c r="B6411" i="1"/>
  <c r="D6411" i="1"/>
  <c r="G6411" i="1"/>
  <c r="B6412" i="1"/>
  <c r="D6412" i="1"/>
  <c r="G6412" i="1"/>
  <c r="B7573" i="1"/>
  <c r="D7573" i="1"/>
  <c r="G7573" i="1"/>
  <c r="B778" i="1"/>
  <c r="D778" i="1"/>
  <c r="G778" i="1"/>
  <c r="B16599" i="1"/>
  <c r="D16599" i="1"/>
  <c r="G16599" i="1"/>
  <c r="B20865" i="1"/>
  <c r="D20865" i="1"/>
  <c r="G20865" i="1"/>
  <c r="B22053" i="1"/>
  <c r="D22053" i="1"/>
  <c r="G22053" i="1"/>
  <c r="B14634" i="1"/>
  <c r="D14634" i="1"/>
  <c r="G14634" i="1"/>
  <c r="B15136" i="1"/>
  <c r="D15136" i="1"/>
  <c r="G15136" i="1"/>
  <c r="B19604" i="1"/>
  <c r="D19604" i="1"/>
  <c r="G19604" i="1"/>
  <c r="B4959" i="1"/>
  <c r="D4959" i="1"/>
  <c r="G4959" i="1"/>
  <c r="B15519" i="1"/>
  <c r="D15519" i="1"/>
  <c r="G15519" i="1"/>
  <c r="B16600" i="1"/>
  <c r="D16600" i="1"/>
  <c r="G16600" i="1"/>
  <c r="B14007" i="1"/>
  <c r="D14007" i="1"/>
  <c r="G14007" i="1"/>
  <c r="B14738" i="1"/>
  <c r="D14738" i="1"/>
  <c r="G14738" i="1"/>
  <c r="B19825" i="1"/>
  <c r="D19825" i="1"/>
  <c r="G19825" i="1"/>
  <c r="B20311" i="1"/>
  <c r="D20311" i="1"/>
  <c r="G20311" i="1"/>
  <c r="B13840" i="1"/>
  <c r="D13840" i="1"/>
  <c r="G13840" i="1"/>
  <c r="B13461" i="1"/>
  <c r="D13461" i="1"/>
  <c r="G13461" i="1"/>
  <c r="B18541" i="1"/>
  <c r="D18541" i="1"/>
  <c r="G18541" i="1"/>
  <c r="B6814" i="1"/>
  <c r="D6814" i="1"/>
  <c r="G6814" i="1"/>
  <c r="B2922" i="1"/>
  <c r="D2922" i="1"/>
  <c r="G2922" i="1"/>
  <c r="B4354" i="1"/>
  <c r="D4354" i="1"/>
  <c r="G4354" i="1"/>
  <c r="B21929" i="1"/>
  <c r="D21929" i="1"/>
  <c r="G21929" i="1"/>
  <c r="B18542" i="1"/>
  <c r="D18542" i="1"/>
  <c r="G18542" i="1"/>
  <c r="B6878" i="1"/>
  <c r="D6878" i="1"/>
  <c r="G6878" i="1"/>
  <c r="B15137" i="1"/>
  <c r="D15137" i="1"/>
  <c r="G15137" i="1"/>
  <c r="B21557" i="1"/>
  <c r="D21557" i="1"/>
  <c r="G21557" i="1"/>
  <c r="B13324" i="1"/>
  <c r="D13324" i="1"/>
  <c r="G13324" i="1"/>
  <c r="B16601" i="1"/>
  <c r="D16601" i="1"/>
  <c r="G16601" i="1"/>
  <c r="B2923" i="1"/>
  <c r="D2923" i="1"/>
  <c r="G2923" i="1"/>
  <c r="B13921" i="1"/>
  <c r="D13921" i="1"/>
  <c r="G13921" i="1"/>
  <c r="B13090" i="1"/>
  <c r="D13090" i="1"/>
  <c r="G13090" i="1"/>
  <c r="B6413" i="1"/>
  <c r="D6413" i="1"/>
  <c r="G6413" i="1"/>
  <c r="B19062" i="1"/>
  <c r="D19062" i="1"/>
  <c r="G19062" i="1"/>
  <c r="B148" i="1"/>
  <c r="D148" i="1"/>
  <c r="G148" i="1"/>
  <c r="B18899" i="1"/>
  <c r="D18899" i="1"/>
  <c r="G18899" i="1"/>
  <c r="B18186" i="1"/>
  <c r="D18186" i="1"/>
  <c r="G18186" i="1"/>
  <c r="B19268" i="1"/>
  <c r="D19268" i="1"/>
  <c r="G19268" i="1"/>
  <c r="B18900" i="1"/>
  <c r="D18900" i="1"/>
  <c r="G18900" i="1"/>
  <c r="B1939" i="1"/>
  <c r="D1939" i="1"/>
  <c r="G1939" i="1"/>
  <c r="B19063" i="1"/>
  <c r="D19063" i="1"/>
  <c r="G19063" i="1"/>
  <c r="B18543" i="1"/>
  <c r="D18543" i="1"/>
  <c r="G18543" i="1"/>
  <c r="B21292" i="1"/>
  <c r="D21292" i="1"/>
  <c r="G21292" i="1"/>
  <c r="B8930" i="1"/>
  <c r="D8930" i="1"/>
  <c r="G8930" i="1"/>
  <c r="B14553" i="1"/>
  <c r="D14553" i="1"/>
  <c r="G14553" i="1"/>
  <c r="B19269" i="1"/>
  <c r="D19269" i="1"/>
  <c r="G19269" i="1"/>
  <c r="B15138" i="1"/>
  <c r="D15138" i="1"/>
  <c r="G15138" i="1"/>
  <c r="B8141" i="1"/>
  <c r="D8141" i="1"/>
  <c r="G8141" i="1"/>
  <c r="B8579" i="1"/>
  <c r="D8579" i="1"/>
  <c r="G8579" i="1"/>
  <c r="B8580" i="1"/>
  <c r="D8580" i="1"/>
  <c r="G8580" i="1"/>
  <c r="B16602" i="1"/>
  <c r="D16602" i="1"/>
  <c r="G16602" i="1"/>
  <c r="B19605" i="1"/>
  <c r="D19605" i="1"/>
  <c r="G19605" i="1"/>
  <c r="B836" i="1"/>
  <c r="D836" i="1"/>
  <c r="G836" i="1"/>
  <c r="B19606" i="1"/>
  <c r="D19606" i="1"/>
  <c r="G19606" i="1"/>
  <c r="B13402" i="1"/>
  <c r="D13402" i="1"/>
  <c r="G13402" i="1"/>
  <c r="B2924" i="1"/>
  <c r="D2924" i="1"/>
  <c r="G2924" i="1"/>
  <c r="B16603" i="1"/>
  <c r="D16603" i="1"/>
  <c r="G16603" i="1"/>
  <c r="B18901" i="1"/>
  <c r="D18901" i="1"/>
  <c r="G18901" i="1"/>
  <c r="B4756" i="1"/>
  <c r="D4756" i="1"/>
  <c r="G4756" i="1"/>
  <c r="B1940" i="1"/>
  <c r="D1940" i="1"/>
  <c r="G1940" i="1"/>
  <c r="B17596" i="1"/>
  <c r="D17596" i="1"/>
  <c r="G17596" i="1"/>
  <c r="B15895" i="1"/>
  <c r="D15895" i="1"/>
  <c r="G15895" i="1"/>
  <c r="B7369" i="1"/>
  <c r="D7369" i="1"/>
  <c r="G7369" i="1"/>
  <c r="B12198" i="1"/>
  <c r="D12198" i="1"/>
  <c r="G12198" i="1"/>
  <c r="B15810" i="1"/>
  <c r="D15810" i="1"/>
  <c r="G15810" i="1"/>
  <c r="B16604" i="1"/>
  <c r="D16604" i="1"/>
  <c r="G16604" i="1"/>
  <c r="B21930" i="1"/>
  <c r="D21930" i="1"/>
  <c r="G21930" i="1"/>
  <c r="B1892" i="1"/>
  <c r="D1892" i="1"/>
  <c r="G1892" i="1"/>
  <c r="B12530" i="1"/>
  <c r="D12530" i="1"/>
  <c r="G12530" i="1"/>
  <c r="B12531" i="1"/>
  <c r="D12531" i="1"/>
  <c r="G12531" i="1"/>
  <c r="B21558" i="1"/>
  <c r="D21558" i="1"/>
  <c r="G21558" i="1"/>
  <c r="B18661" i="1"/>
  <c r="D18661" i="1"/>
  <c r="G18661" i="1"/>
  <c r="B19607" i="1"/>
  <c r="D19607" i="1"/>
  <c r="G19607" i="1"/>
  <c r="B11600" i="1"/>
  <c r="D11600" i="1"/>
  <c r="G11600" i="1"/>
  <c r="B14315" i="1"/>
  <c r="D14315" i="1"/>
  <c r="G14315" i="1"/>
  <c r="B19608" i="1"/>
  <c r="D19608" i="1"/>
  <c r="G19608" i="1"/>
  <c r="B21107" i="1"/>
  <c r="D21107" i="1"/>
  <c r="G21107" i="1"/>
  <c r="B17137" i="1"/>
  <c r="D17137" i="1"/>
  <c r="G17137" i="1"/>
  <c r="B16605" i="1"/>
  <c r="D16605" i="1"/>
  <c r="G16605" i="1"/>
  <c r="B3670" i="1"/>
  <c r="D3670" i="1"/>
  <c r="G3670" i="1"/>
  <c r="B19900" i="1"/>
  <c r="D19900" i="1"/>
  <c r="G19900" i="1"/>
  <c r="B14" i="1"/>
  <c r="D14" i="1"/>
  <c r="G14" i="1"/>
  <c r="B2236" i="1"/>
  <c r="D2236" i="1"/>
  <c r="G2236" i="1"/>
  <c r="B17597" i="1"/>
  <c r="D17597" i="1"/>
  <c r="G17597" i="1"/>
  <c r="B21559" i="1"/>
  <c r="D21559" i="1"/>
  <c r="G21559" i="1"/>
  <c r="B19609" i="1"/>
  <c r="D19609" i="1"/>
  <c r="G19609" i="1"/>
  <c r="B19610" i="1"/>
  <c r="D19610" i="1"/>
  <c r="G19610" i="1"/>
  <c r="B19611" i="1"/>
  <c r="D19611" i="1"/>
  <c r="G19611" i="1"/>
  <c r="B4660" i="1"/>
  <c r="D4660" i="1"/>
  <c r="G4660" i="1"/>
  <c r="B3982" i="1"/>
  <c r="D3982" i="1"/>
  <c r="G3982" i="1"/>
  <c r="B16606" i="1"/>
  <c r="D16606" i="1"/>
  <c r="G16606" i="1"/>
  <c r="B15687" i="1"/>
  <c r="D15687" i="1"/>
  <c r="G15687" i="1"/>
  <c r="B16607" i="1"/>
  <c r="D16607" i="1"/>
  <c r="G16607" i="1"/>
  <c r="B1308" i="1"/>
  <c r="D1308" i="1"/>
  <c r="G1308" i="1"/>
  <c r="B3671" i="1"/>
  <c r="D3671" i="1"/>
  <c r="G3671" i="1"/>
  <c r="B17269" i="1"/>
  <c r="D17269" i="1"/>
  <c r="G17269" i="1"/>
  <c r="B14502" i="1"/>
  <c r="D14502" i="1"/>
  <c r="G14502" i="1"/>
  <c r="B21804" i="1"/>
  <c r="D21804" i="1"/>
  <c r="G21804" i="1"/>
  <c r="B15139" i="1"/>
  <c r="D15139" i="1"/>
  <c r="G15139" i="1"/>
  <c r="B2925" i="1"/>
  <c r="D2925" i="1"/>
  <c r="G2925" i="1"/>
  <c r="B14503" i="1"/>
  <c r="D14503" i="1"/>
  <c r="G14503" i="1"/>
  <c r="B1309" i="1"/>
  <c r="D1309" i="1"/>
  <c r="G1309" i="1"/>
  <c r="B1310" i="1"/>
  <c r="D1310" i="1"/>
  <c r="G1310" i="1"/>
  <c r="B13091" i="1"/>
  <c r="D13091" i="1"/>
  <c r="G13091" i="1"/>
  <c r="B21108" i="1"/>
  <c r="D21108" i="1"/>
  <c r="G21108" i="1"/>
  <c r="B14276" i="1"/>
  <c r="D14276" i="1"/>
  <c r="G14276" i="1"/>
  <c r="B20406" i="1"/>
  <c r="D20406" i="1"/>
  <c r="G20406" i="1"/>
  <c r="B19612" i="1"/>
  <c r="D19612" i="1"/>
  <c r="G19612" i="1"/>
  <c r="B18187" i="1"/>
  <c r="D18187" i="1"/>
  <c r="G18187" i="1"/>
  <c r="B116" i="1"/>
  <c r="D116" i="1"/>
  <c r="G116" i="1"/>
  <c r="B13504" i="1"/>
  <c r="D13504" i="1"/>
  <c r="G13504" i="1"/>
  <c r="B15520" i="1"/>
  <c r="D15520" i="1"/>
  <c r="G15520" i="1"/>
  <c r="B18090" i="1"/>
  <c r="D18090" i="1"/>
  <c r="G18090" i="1"/>
  <c r="B4985" i="1"/>
  <c r="D4985" i="1"/>
  <c r="G4985" i="1"/>
  <c r="B4986" i="1"/>
  <c r="D4986" i="1"/>
  <c r="G4986" i="1"/>
  <c r="B16120" i="1"/>
  <c r="D16120" i="1"/>
  <c r="G16120" i="1"/>
  <c r="B14584" i="1"/>
  <c r="D14584" i="1"/>
  <c r="G14584" i="1"/>
  <c r="B20312" i="1"/>
  <c r="D20312" i="1"/>
  <c r="G20312" i="1"/>
  <c r="B18902" i="1"/>
  <c r="D18902" i="1"/>
  <c r="G18902" i="1"/>
  <c r="B15140" i="1"/>
  <c r="D15140" i="1"/>
  <c r="G15140" i="1"/>
  <c r="B15688" i="1"/>
  <c r="D15688" i="1"/>
  <c r="G15688" i="1"/>
  <c r="B18243" i="1"/>
  <c r="D18243" i="1"/>
  <c r="G18243" i="1"/>
  <c r="B8209" i="1"/>
  <c r="D8209" i="1"/>
  <c r="G8209" i="1"/>
  <c r="B8210" i="1"/>
  <c r="D8210" i="1"/>
  <c r="G8210" i="1"/>
  <c r="B2088" i="1"/>
  <c r="D2088" i="1"/>
  <c r="G2088" i="1"/>
  <c r="B13325" i="1"/>
  <c r="D13325" i="1"/>
  <c r="G13325" i="1"/>
  <c r="B15521" i="1"/>
  <c r="D15521" i="1"/>
  <c r="G15521" i="1"/>
  <c r="B20244" i="1"/>
  <c r="D20244" i="1"/>
  <c r="G20244" i="1"/>
  <c r="B18544" i="1"/>
  <c r="D18544" i="1"/>
  <c r="G18544" i="1"/>
  <c r="B16608" i="1"/>
  <c r="D16608" i="1"/>
  <c r="G16608" i="1"/>
  <c r="B1474" i="1"/>
  <c r="D1474" i="1"/>
  <c r="G1474" i="1"/>
  <c r="B14739" i="1"/>
  <c r="D14739" i="1"/>
  <c r="G14739" i="1"/>
  <c r="B10603" i="1"/>
  <c r="D10603" i="1"/>
  <c r="G10603" i="1"/>
  <c r="B10604" i="1"/>
  <c r="D10604" i="1"/>
  <c r="G10604" i="1"/>
  <c r="B10926" i="1"/>
  <c r="D10926" i="1"/>
  <c r="G10926" i="1"/>
  <c r="B10927" i="1"/>
  <c r="D10927" i="1"/>
  <c r="G10927" i="1"/>
  <c r="B694" i="1"/>
  <c r="D694" i="1"/>
  <c r="G694" i="1"/>
  <c r="B20313" i="1"/>
  <c r="D20313" i="1"/>
  <c r="G20313" i="1"/>
  <c r="B20084" i="1"/>
  <c r="D20084" i="1"/>
  <c r="G20084" i="1"/>
  <c r="B20407" i="1"/>
  <c r="D20407" i="1"/>
  <c r="G20407" i="1"/>
  <c r="B18545" i="1"/>
  <c r="D18545" i="1"/>
  <c r="G18545" i="1"/>
  <c r="B21109" i="1"/>
  <c r="D21109" i="1"/>
  <c r="G21109" i="1"/>
  <c r="B20127" i="1"/>
  <c r="D20127" i="1"/>
  <c r="G20127" i="1"/>
  <c r="B17766" i="1"/>
  <c r="D17766" i="1"/>
  <c r="G17766" i="1"/>
  <c r="B7948" i="1"/>
  <c r="D7948" i="1"/>
  <c r="G7948" i="1"/>
  <c r="B7949" i="1"/>
  <c r="D7949" i="1"/>
  <c r="G7949" i="1"/>
  <c r="B4661" i="1"/>
  <c r="D4661" i="1"/>
  <c r="G4661" i="1"/>
  <c r="B11210" i="1"/>
  <c r="D11210" i="1"/>
  <c r="G11210" i="1"/>
  <c r="B415" i="1"/>
  <c r="D415" i="1"/>
  <c r="G415" i="1"/>
  <c r="B5528" i="1"/>
  <c r="D5528" i="1"/>
  <c r="G5528" i="1"/>
  <c r="B18546" i="1"/>
  <c r="D18546" i="1"/>
  <c r="G18546" i="1"/>
  <c r="B17767" i="1"/>
  <c r="D17767" i="1"/>
  <c r="G17767" i="1"/>
  <c r="B14635" i="1"/>
  <c r="D14635" i="1"/>
  <c r="G14635" i="1"/>
  <c r="B15141" i="1"/>
  <c r="D15141" i="1"/>
  <c r="G15141" i="1"/>
  <c r="B20866" i="1"/>
  <c r="D20866" i="1"/>
  <c r="G20866" i="1"/>
  <c r="B19270" i="1"/>
  <c r="D19270" i="1"/>
  <c r="G19270" i="1"/>
  <c r="B14579" i="1"/>
  <c r="D14579" i="1"/>
  <c r="G14579" i="1"/>
  <c r="B18903" i="1"/>
  <c r="D18903" i="1"/>
  <c r="G18903" i="1"/>
  <c r="B18547" i="1"/>
  <c r="D18547" i="1"/>
  <c r="G18547" i="1"/>
  <c r="B12870" i="1"/>
  <c r="D12870" i="1"/>
  <c r="G12870" i="1"/>
  <c r="B4960" i="1"/>
  <c r="D4960" i="1"/>
  <c r="G4960" i="1"/>
  <c r="B7950" i="1"/>
  <c r="D7950" i="1"/>
  <c r="G7950" i="1"/>
  <c r="B7951" i="1"/>
  <c r="D7951" i="1"/>
  <c r="G7951" i="1"/>
  <c r="B13092" i="1"/>
  <c r="D13092" i="1"/>
  <c r="G13092" i="1"/>
  <c r="B8342" i="1"/>
  <c r="D8342" i="1"/>
  <c r="G8342" i="1"/>
  <c r="B19613" i="1"/>
  <c r="D19613" i="1"/>
  <c r="G19613" i="1"/>
  <c r="B20177" i="1"/>
  <c r="D20177" i="1"/>
  <c r="G20177" i="1"/>
  <c r="B2200" i="1"/>
  <c r="D2200" i="1"/>
  <c r="G2200" i="1"/>
  <c r="B14740" i="1"/>
  <c r="D14740" i="1"/>
  <c r="G14740" i="1"/>
  <c r="B2926" i="1"/>
  <c r="D2926" i="1"/>
  <c r="G2926" i="1"/>
  <c r="B17768" i="1"/>
  <c r="D17768" i="1"/>
  <c r="G17768" i="1"/>
  <c r="B17769" i="1"/>
  <c r="D17769" i="1"/>
  <c r="G17769" i="1"/>
  <c r="B12199" i="1"/>
  <c r="D12199" i="1"/>
  <c r="G12199" i="1"/>
  <c r="B149" i="1"/>
  <c r="D149" i="1"/>
  <c r="G149" i="1"/>
  <c r="B16609" i="1"/>
  <c r="D16609" i="1"/>
  <c r="G16609" i="1"/>
  <c r="B17770" i="1"/>
  <c r="D17770" i="1"/>
  <c r="G17770" i="1"/>
  <c r="B1743" i="1"/>
  <c r="D1743" i="1"/>
  <c r="G1743" i="1"/>
  <c r="B2927" i="1"/>
  <c r="D2927" i="1"/>
  <c r="G2927" i="1"/>
  <c r="B5793" i="1"/>
  <c r="D5793" i="1"/>
  <c r="G5793" i="1"/>
  <c r="B12871" i="1"/>
  <c r="D12871" i="1"/>
  <c r="G12871" i="1"/>
  <c r="B17138" i="1"/>
  <c r="D17138" i="1"/>
  <c r="G17138" i="1"/>
  <c r="B1311" i="1"/>
  <c r="D1311" i="1"/>
  <c r="G1311" i="1"/>
  <c r="B8142" i="1"/>
  <c r="D8142" i="1"/>
  <c r="G8142" i="1"/>
  <c r="B15689" i="1"/>
  <c r="D15689" i="1"/>
  <c r="G15689" i="1"/>
  <c r="B3983" i="1"/>
  <c r="D3983" i="1"/>
  <c r="G3983" i="1"/>
  <c r="B1472" i="1"/>
  <c r="D1472" i="1"/>
  <c r="G1472" i="1"/>
  <c r="B12678" i="1"/>
  <c r="D12678" i="1"/>
  <c r="G12678" i="1"/>
  <c r="B9847" i="1"/>
  <c r="D9847" i="1"/>
  <c r="G9847" i="1"/>
  <c r="B8931" i="1"/>
  <c r="D8931" i="1"/>
  <c r="G8931" i="1"/>
  <c r="B8075" i="1"/>
  <c r="D8075" i="1"/>
  <c r="G8075" i="1"/>
  <c r="B10605" i="1"/>
  <c r="D10605" i="1"/>
  <c r="G10605" i="1"/>
  <c r="B14412" i="1"/>
  <c r="D14412" i="1"/>
  <c r="G14412" i="1"/>
  <c r="B5802" i="1"/>
  <c r="D5802" i="1"/>
  <c r="G5802" i="1"/>
  <c r="B5575" i="1"/>
  <c r="D5575" i="1"/>
  <c r="G5575" i="1"/>
  <c r="B13755" i="1"/>
  <c r="D13755" i="1"/>
  <c r="G13755" i="1"/>
  <c r="B913" i="1"/>
  <c r="D913" i="1"/>
  <c r="G913" i="1"/>
  <c r="B8343" i="1"/>
  <c r="D8343" i="1"/>
  <c r="G8343" i="1"/>
  <c r="B20002" i="1"/>
  <c r="D20002" i="1"/>
  <c r="G20002" i="1"/>
  <c r="B12200" i="1"/>
  <c r="D12200" i="1"/>
  <c r="G12200" i="1"/>
  <c r="B13654" i="1"/>
  <c r="D13654" i="1"/>
  <c r="G13654" i="1"/>
  <c r="B7237" i="1"/>
  <c r="D7237" i="1"/>
  <c r="G7237" i="1"/>
  <c r="B7238" i="1"/>
  <c r="D7238" i="1"/>
  <c r="G7238" i="1"/>
  <c r="B14277" i="1"/>
  <c r="D14277" i="1"/>
  <c r="G14277" i="1"/>
  <c r="B21243" i="1"/>
  <c r="D21243" i="1"/>
  <c r="G21243" i="1"/>
  <c r="B5978" i="1"/>
  <c r="D5978" i="1"/>
  <c r="G5978" i="1"/>
  <c r="B7952" i="1"/>
  <c r="D7952" i="1"/>
  <c r="G7952" i="1"/>
  <c r="B7953" i="1"/>
  <c r="D7953" i="1"/>
  <c r="G7953" i="1"/>
  <c r="B4446" i="1"/>
  <c r="D4446" i="1"/>
  <c r="G4446" i="1"/>
  <c r="B19614" i="1"/>
  <c r="D19614" i="1"/>
  <c r="G19614" i="1"/>
  <c r="B22054" i="1"/>
  <c r="D22054" i="1"/>
  <c r="G22054" i="1"/>
  <c r="B18904" i="1"/>
  <c r="D18904" i="1"/>
  <c r="G18904" i="1"/>
  <c r="B15142" i="1"/>
  <c r="D15142" i="1"/>
  <c r="G15142" i="1"/>
  <c r="B6414" i="1"/>
  <c r="D6414" i="1"/>
  <c r="G6414" i="1"/>
  <c r="B725" i="1"/>
  <c r="D725" i="1"/>
  <c r="G725" i="1"/>
  <c r="B15522" i="1"/>
  <c r="D15522" i="1"/>
  <c r="G15522" i="1"/>
  <c r="B472" i="1"/>
  <c r="D472" i="1"/>
  <c r="G472" i="1"/>
  <c r="B18188" i="1"/>
  <c r="D18188" i="1"/>
  <c r="G18188" i="1"/>
  <c r="B14802" i="1"/>
  <c r="D14802" i="1"/>
  <c r="G14802" i="1"/>
  <c r="B15143" i="1"/>
  <c r="D15143" i="1"/>
  <c r="G15143" i="1"/>
  <c r="B16610" i="1"/>
  <c r="D16610" i="1"/>
  <c r="G16610" i="1"/>
  <c r="B18744" i="1"/>
  <c r="D18744" i="1"/>
  <c r="G18744" i="1"/>
  <c r="B20867" i="1"/>
  <c r="D20867" i="1"/>
  <c r="G20867" i="1"/>
  <c r="B20314" i="1"/>
  <c r="D20314" i="1"/>
  <c r="G20314" i="1"/>
  <c r="B16611" i="1"/>
  <c r="D16611" i="1"/>
  <c r="G16611" i="1"/>
  <c r="B13903" i="1"/>
  <c r="D13903" i="1"/>
  <c r="G13903" i="1"/>
  <c r="B19064" i="1"/>
  <c r="D19064" i="1"/>
  <c r="G19064" i="1"/>
  <c r="B18905" i="1"/>
  <c r="D18905" i="1"/>
  <c r="G18905" i="1"/>
  <c r="B17345" i="1"/>
  <c r="D17345" i="1"/>
  <c r="G17345" i="1"/>
  <c r="B17139" i="1"/>
  <c r="D17139" i="1"/>
  <c r="G17139" i="1"/>
  <c r="B14229" i="1"/>
  <c r="D14229" i="1"/>
  <c r="G14229" i="1"/>
  <c r="B22055" i="1"/>
  <c r="D22055" i="1"/>
  <c r="G22055" i="1"/>
  <c r="B18548" i="1"/>
  <c r="D18548" i="1"/>
  <c r="G18548" i="1"/>
  <c r="B19615" i="1"/>
  <c r="D19615" i="1"/>
  <c r="G19615" i="1"/>
  <c r="B15523" i="1"/>
  <c r="D15523" i="1"/>
  <c r="G15523" i="1"/>
  <c r="B7023" i="1"/>
  <c r="D7023" i="1"/>
  <c r="G7023" i="1"/>
  <c r="B12201" i="1"/>
  <c r="D12201" i="1"/>
  <c r="G12201" i="1"/>
  <c r="B4871" i="1"/>
  <c r="D4871" i="1"/>
  <c r="G4871" i="1"/>
  <c r="B726" i="1"/>
  <c r="D726" i="1"/>
  <c r="G726" i="1"/>
  <c r="B18091" i="1"/>
  <c r="D18091" i="1"/>
  <c r="G18091" i="1"/>
  <c r="B2928" i="1"/>
  <c r="D2928" i="1"/>
  <c r="G2928" i="1"/>
  <c r="B15896" i="1"/>
  <c r="D15896" i="1"/>
  <c r="G15896" i="1"/>
  <c r="B19065" i="1"/>
  <c r="D19065" i="1"/>
  <c r="G19065" i="1"/>
  <c r="B8260" i="1"/>
  <c r="D8260" i="1"/>
  <c r="G8260" i="1"/>
  <c r="B15524" i="1"/>
  <c r="D15524" i="1"/>
  <c r="G15524" i="1"/>
  <c r="B15144" i="1"/>
  <c r="D15144" i="1"/>
  <c r="G15144" i="1"/>
  <c r="B16612" i="1"/>
  <c r="D16612" i="1"/>
  <c r="G16612" i="1"/>
  <c r="B15145" i="1"/>
  <c r="D15145" i="1"/>
  <c r="G15145" i="1"/>
  <c r="B16613" i="1"/>
  <c r="D16613" i="1"/>
  <c r="G16613" i="1"/>
  <c r="B21110" i="1"/>
  <c r="D21110" i="1"/>
  <c r="G21110" i="1"/>
  <c r="B150" i="1"/>
  <c r="D150" i="1"/>
  <c r="G150" i="1"/>
  <c r="B1469" i="1"/>
  <c r="D1469" i="1"/>
  <c r="G1469" i="1"/>
  <c r="B1744" i="1"/>
  <c r="D1744" i="1"/>
  <c r="G1744" i="1"/>
  <c r="B21111" i="1"/>
  <c r="D21111" i="1"/>
  <c r="G21111" i="1"/>
  <c r="B13841" i="1"/>
  <c r="D13841" i="1"/>
  <c r="G13841" i="1"/>
  <c r="B10237" i="1"/>
  <c r="D10237" i="1"/>
  <c r="G10237" i="1"/>
  <c r="B4363" i="1"/>
  <c r="D4363" i="1"/>
  <c r="G4363" i="1"/>
  <c r="B2413" i="1"/>
  <c r="D2413" i="1"/>
  <c r="G2413" i="1"/>
  <c r="B18189" i="1"/>
  <c r="D18189" i="1"/>
  <c r="G18189" i="1"/>
  <c r="B22176" i="1"/>
  <c r="D22176" i="1"/>
  <c r="G22176" i="1"/>
  <c r="B21468" i="1"/>
  <c r="D21468" i="1"/>
  <c r="G21468" i="1"/>
  <c r="B18190" i="1"/>
  <c r="D18190" i="1"/>
  <c r="G18190" i="1"/>
  <c r="B4961" i="1"/>
  <c r="D4961" i="1"/>
  <c r="G4961" i="1"/>
  <c r="B15146" i="1"/>
  <c r="D15146" i="1"/>
  <c r="G15146" i="1"/>
  <c r="B16986" i="1"/>
  <c r="D16986" i="1"/>
  <c r="G16986" i="1"/>
  <c r="B17314" i="1"/>
  <c r="D17314" i="1"/>
  <c r="G17314" i="1"/>
  <c r="B21560" i="1"/>
  <c r="D21560" i="1"/>
  <c r="G21560" i="1"/>
  <c r="B22056" i="1"/>
  <c r="D22056" i="1"/>
  <c r="G22056" i="1"/>
  <c r="B2479" i="1"/>
  <c r="D2479" i="1"/>
  <c r="G2479" i="1"/>
  <c r="B14636" i="1"/>
  <c r="D14636" i="1"/>
  <c r="G14636" i="1"/>
  <c r="B15147" i="1"/>
  <c r="D15147" i="1"/>
  <c r="G15147" i="1"/>
  <c r="B3672" i="1"/>
  <c r="D3672" i="1"/>
  <c r="G3672" i="1"/>
  <c r="B21402" i="1"/>
  <c r="D21402" i="1"/>
  <c r="G21402" i="1"/>
  <c r="B21561" i="1"/>
  <c r="D21561" i="1"/>
  <c r="G21561" i="1"/>
  <c r="B18549" i="1"/>
  <c r="D18549" i="1"/>
  <c r="G18549" i="1"/>
  <c r="B15525" i="1"/>
  <c r="D15525" i="1"/>
  <c r="G15525" i="1"/>
  <c r="B7574" i="1"/>
  <c r="D7574" i="1"/>
  <c r="G7574" i="1"/>
  <c r="B19616" i="1"/>
  <c r="D19616" i="1"/>
  <c r="G19616" i="1"/>
  <c r="B18550" i="1"/>
  <c r="D18550" i="1"/>
  <c r="G18550" i="1"/>
  <c r="B7044" i="1"/>
  <c r="D7044" i="1"/>
  <c r="G7044" i="1"/>
  <c r="B12358" i="1"/>
  <c r="D12358" i="1"/>
  <c r="G12358" i="1"/>
  <c r="B5529" i="1"/>
  <c r="D5529" i="1"/>
  <c r="G5529" i="1"/>
  <c r="B14845" i="1"/>
  <c r="D14845" i="1"/>
  <c r="G14845" i="1"/>
  <c r="B12359" i="1"/>
  <c r="D12359" i="1"/>
  <c r="G12359" i="1"/>
  <c r="B14741" i="1"/>
  <c r="D14741" i="1"/>
  <c r="G14741" i="1"/>
  <c r="B151" i="1"/>
  <c r="D151" i="1"/>
  <c r="G151" i="1"/>
  <c r="B7575" i="1"/>
  <c r="D7575" i="1"/>
  <c r="G7575" i="1"/>
  <c r="B18133" i="1"/>
  <c r="D18133" i="1"/>
  <c r="G18133" i="1"/>
  <c r="B13093" i="1"/>
  <c r="D13093" i="1"/>
  <c r="G13093" i="1"/>
  <c r="B13326" i="1"/>
  <c r="D13326" i="1"/>
  <c r="G13326" i="1"/>
  <c r="B13327" i="1"/>
  <c r="D13327" i="1"/>
  <c r="G13327" i="1"/>
  <c r="B15148" i="1"/>
  <c r="D15148" i="1"/>
  <c r="G15148" i="1"/>
  <c r="B2929" i="1"/>
  <c r="D2929" i="1"/>
  <c r="G2929" i="1"/>
  <c r="B21931" i="1"/>
  <c r="D21931" i="1"/>
  <c r="G21931" i="1"/>
  <c r="B12872" i="1"/>
  <c r="D12872" i="1"/>
  <c r="G12872" i="1"/>
  <c r="B14230" i="1"/>
  <c r="D14230" i="1"/>
  <c r="G14230" i="1"/>
  <c r="B3673" i="1"/>
  <c r="D3673" i="1"/>
  <c r="G3673" i="1"/>
  <c r="B12873" i="1"/>
  <c r="D12873" i="1"/>
  <c r="G12873" i="1"/>
  <c r="B20639" i="1"/>
  <c r="D20639" i="1"/>
  <c r="G20639" i="1"/>
  <c r="B16614" i="1"/>
  <c r="D16614" i="1"/>
  <c r="G16614" i="1"/>
  <c r="B16615" i="1"/>
  <c r="D16615" i="1"/>
  <c r="G16615" i="1"/>
  <c r="B8932" i="1"/>
  <c r="D8932" i="1"/>
  <c r="G8932" i="1"/>
  <c r="B15690" i="1"/>
  <c r="D15690" i="1"/>
  <c r="G15690" i="1"/>
  <c r="B4552" i="1"/>
  <c r="D4552" i="1"/>
  <c r="G4552" i="1"/>
  <c r="B21407" i="1"/>
  <c r="D21407" i="1"/>
  <c r="G21407" i="1"/>
  <c r="B837" i="1"/>
  <c r="D837" i="1"/>
  <c r="G837" i="1"/>
  <c r="B4553" i="1"/>
  <c r="D4553" i="1"/>
  <c r="G4553" i="1"/>
  <c r="B4170" i="1"/>
  <c r="D4170" i="1"/>
  <c r="G4170" i="1"/>
  <c r="B13094" i="1"/>
  <c r="D13094" i="1"/>
  <c r="G13094" i="1"/>
  <c r="B1893" i="1"/>
  <c r="D1893" i="1"/>
  <c r="G1893" i="1"/>
  <c r="B20178" i="1"/>
  <c r="D20178" i="1"/>
  <c r="G20178" i="1"/>
  <c r="B466" i="1"/>
  <c r="D466" i="1"/>
  <c r="G466" i="1"/>
  <c r="B366" i="1"/>
  <c r="D366" i="1"/>
  <c r="G366" i="1"/>
  <c r="B73" i="1"/>
  <c r="D73" i="1"/>
  <c r="G73" i="1"/>
  <c r="B1544" i="1"/>
  <c r="D1544" i="1"/>
  <c r="G1544" i="1"/>
  <c r="B13842" i="1"/>
  <c r="D13842" i="1"/>
  <c r="G13842" i="1"/>
  <c r="B22057" i="1"/>
  <c r="D22057" i="1"/>
  <c r="G22057" i="1"/>
  <c r="B18906" i="1"/>
  <c r="D18906" i="1"/>
  <c r="G18906" i="1"/>
  <c r="B15149" i="1"/>
  <c r="D15149" i="1"/>
  <c r="G15149" i="1"/>
  <c r="B13988" i="1"/>
  <c r="D13988" i="1"/>
  <c r="G13988" i="1"/>
  <c r="B13227" i="1"/>
  <c r="D13227" i="1"/>
  <c r="G13227" i="1"/>
  <c r="B15526" i="1"/>
  <c r="D15526" i="1"/>
  <c r="G15526" i="1"/>
  <c r="B21562" i="1"/>
  <c r="D21562" i="1"/>
  <c r="G21562" i="1"/>
  <c r="B19617" i="1"/>
  <c r="D19617" i="1"/>
  <c r="G19617" i="1"/>
  <c r="B606" i="1"/>
  <c r="D606" i="1"/>
  <c r="G606" i="1"/>
  <c r="B8211" i="1"/>
  <c r="D8211" i="1"/>
  <c r="G8211" i="1"/>
  <c r="B8581" i="1"/>
  <c r="D8581" i="1"/>
  <c r="G8581" i="1"/>
  <c r="B3358" i="1"/>
  <c r="D3358" i="1"/>
  <c r="G3358" i="1"/>
  <c r="B14231" i="1"/>
  <c r="D14231" i="1"/>
  <c r="G14231" i="1"/>
  <c r="B13541" i="1"/>
  <c r="D13541" i="1"/>
  <c r="G13541" i="1"/>
  <c r="B6677" i="1"/>
  <c r="D6677" i="1"/>
  <c r="G6677" i="1"/>
  <c r="B14742" i="1"/>
  <c r="D14742" i="1"/>
  <c r="G14742" i="1"/>
  <c r="B13328" i="1"/>
  <c r="D13328" i="1"/>
  <c r="G13328" i="1"/>
  <c r="B20985" i="1"/>
  <c r="D20985" i="1"/>
  <c r="G20985" i="1"/>
  <c r="B12361" i="1"/>
  <c r="D12361" i="1"/>
  <c r="G12361" i="1"/>
  <c r="B9954" i="1"/>
  <c r="D9954" i="1"/>
  <c r="G9954" i="1"/>
  <c r="B18551" i="1"/>
  <c r="D18551" i="1"/>
  <c r="G18551" i="1"/>
  <c r="B4355" i="1"/>
  <c r="D4355" i="1"/>
  <c r="G4355" i="1"/>
  <c r="B16067" i="1"/>
  <c r="D16067" i="1"/>
  <c r="G16067" i="1"/>
  <c r="B20868" i="1"/>
  <c r="D20868" i="1"/>
  <c r="G20868" i="1"/>
  <c r="B20128" i="1"/>
  <c r="D20128" i="1"/>
  <c r="G20128" i="1"/>
  <c r="B13095" i="1"/>
  <c r="D13095" i="1"/>
  <c r="G13095" i="1"/>
  <c r="B1312" i="1"/>
  <c r="D1312" i="1"/>
  <c r="G1312" i="1"/>
  <c r="B19271" i="1"/>
  <c r="D19271" i="1"/>
  <c r="G19271" i="1"/>
  <c r="B14637" i="1"/>
  <c r="D14637" i="1"/>
  <c r="G14637" i="1"/>
  <c r="B12874" i="1"/>
  <c r="D12874" i="1"/>
  <c r="G12874" i="1"/>
  <c r="B12346" i="1"/>
  <c r="D12346" i="1"/>
  <c r="G12346" i="1"/>
  <c r="B20869" i="1"/>
  <c r="D20869" i="1"/>
  <c r="G20869" i="1"/>
  <c r="B14638" i="1"/>
  <c r="D14638" i="1"/>
  <c r="G14638" i="1"/>
  <c r="B12875" i="1"/>
  <c r="D12875" i="1"/>
  <c r="G12875" i="1"/>
  <c r="B17598" i="1"/>
  <c r="D17598" i="1"/>
  <c r="G17598" i="1"/>
  <c r="B8933" i="1"/>
  <c r="D8933" i="1"/>
  <c r="G8933" i="1"/>
  <c r="B11211" i="1"/>
  <c r="D11211" i="1"/>
  <c r="G11211" i="1"/>
  <c r="B21112" i="1"/>
  <c r="D21112" i="1"/>
  <c r="G21112" i="1"/>
  <c r="B18552" i="1"/>
  <c r="D18552" i="1"/>
  <c r="G18552" i="1"/>
  <c r="B15527" i="1"/>
  <c r="D15527" i="1"/>
  <c r="G15527" i="1"/>
  <c r="B15897" i="1"/>
  <c r="D15897" i="1"/>
  <c r="G15897" i="1"/>
  <c r="B18907" i="1"/>
  <c r="D18907" i="1"/>
  <c r="G18907" i="1"/>
  <c r="B12202" i="1"/>
  <c r="D12202" i="1"/>
  <c r="G12202" i="1"/>
  <c r="B2316" i="1"/>
  <c r="D2316" i="1"/>
  <c r="G2316" i="1"/>
  <c r="B1313" i="1"/>
  <c r="D1313" i="1"/>
  <c r="G1313" i="1"/>
  <c r="B6061" i="1"/>
  <c r="D6061" i="1"/>
  <c r="G6061" i="1"/>
  <c r="E22600" i="1"/>
  <c r="B12203" i="1"/>
  <c r="D12203" i="1"/>
  <c r="G12203" i="1"/>
  <c r="B16616" i="1"/>
  <c r="D16616" i="1"/>
  <c r="G16616" i="1"/>
  <c r="B930" i="1"/>
  <c r="D930" i="1"/>
  <c r="G930" i="1"/>
  <c r="B20640" i="1"/>
  <c r="D20640" i="1"/>
  <c r="G20640" i="1"/>
  <c r="B10928" i="1"/>
  <c r="D10928" i="1"/>
  <c r="G10928" i="1"/>
  <c r="B1545" i="1"/>
  <c r="D1545" i="1"/>
  <c r="G1545" i="1"/>
  <c r="B17400" i="1"/>
  <c r="D17400" i="1"/>
  <c r="G17400" i="1"/>
  <c r="B20870" i="1"/>
  <c r="D20870" i="1"/>
  <c r="G20870" i="1"/>
  <c r="B5530" i="1"/>
  <c r="D5530" i="1"/>
  <c r="G5530" i="1"/>
  <c r="B14316" i="1"/>
  <c r="D14316" i="1"/>
  <c r="G14316" i="1"/>
  <c r="B20003" i="1"/>
  <c r="D20003" i="1"/>
  <c r="G20003" i="1"/>
  <c r="B8934" i="1"/>
  <c r="D8934" i="1"/>
  <c r="G8934" i="1"/>
  <c r="B17315" i="1"/>
  <c r="D17315" i="1"/>
  <c r="G17315" i="1"/>
  <c r="B2930" i="1"/>
  <c r="D2930" i="1"/>
  <c r="G2930" i="1"/>
  <c r="B16617" i="1"/>
  <c r="D16617" i="1"/>
  <c r="G16617" i="1"/>
  <c r="B8935" i="1"/>
  <c r="D8935" i="1"/>
  <c r="G8935" i="1"/>
  <c r="B416" i="1"/>
  <c r="D416" i="1"/>
  <c r="G416" i="1"/>
  <c r="B4381" i="1"/>
  <c r="D4381" i="1"/>
  <c r="G4381" i="1"/>
  <c r="B17140" i="1"/>
  <c r="D17140" i="1"/>
  <c r="G17140" i="1"/>
  <c r="B4830" i="1"/>
  <c r="D4830" i="1"/>
  <c r="G4830" i="1"/>
  <c r="B2931" i="1"/>
  <c r="D2931" i="1"/>
  <c r="G2931" i="1"/>
  <c r="B13096" i="1"/>
  <c r="D13096" i="1"/>
  <c r="G13096" i="1"/>
  <c r="B1314" i="1"/>
  <c r="D1314" i="1"/>
  <c r="G1314" i="1"/>
  <c r="B14743" i="1"/>
  <c r="D14743" i="1"/>
  <c r="G14743" i="1"/>
  <c r="B4987" i="1"/>
  <c r="D4987" i="1"/>
  <c r="G4987" i="1"/>
  <c r="B11744" i="1"/>
  <c r="D11744" i="1"/>
  <c r="G11744" i="1"/>
  <c r="B15528" i="1"/>
  <c r="D15528" i="1"/>
  <c r="G15528" i="1"/>
  <c r="B14639" i="1"/>
  <c r="D14639" i="1"/>
  <c r="G14639" i="1"/>
  <c r="B21932" i="1"/>
  <c r="D21932" i="1"/>
  <c r="G21932" i="1"/>
  <c r="B12876" i="1"/>
  <c r="D12876" i="1"/>
  <c r="G12876" i="1"/>
  <c r="B21113" i="1"/>
  <c r="D21113" i="1"/>
  <c r="G21113" i="1"/>
  <c r="B4423" i="1"/>
  <c r="D4423" i="1"/>
  <c r="G4423" i="1"/>
  <c r="B3316" i="1"/>
  <c r="D3316" i="1"/>
  <c r="G3316" i="1"/>
  <c r="B779" i="1"/>
  <c r="D779" i="1"/>
  <c r="G779" i="1"/>
  <c r="B7370" i="1"/>
  <c r="D7370" i="1"/>
  <c r="G7370" i="1"/>
  <c r="B14846" i="1"/>
  <c r="D14846" i="1"/>
  <c r="G14846" i="1"/>
  <c r="B15898" i="1"/>
  <c r="D15898" i="1"/>
  <c r="G15898" i="1"/>
  <c r="B14813" i="1"/>
  <c r="D14813" i="1"/>
  <c r="G14813" i="1"/>
  <c r="B18553" i="1"/>
  <c r="D18553" i="1"/>
  <c r="G18553" i="1"/>
  <c r="B5239" i="1"/>
  <c r="D5239" i="1"/>
  <c r="G5239" i="1"/>
  <c r="B15529" i="1"/>
  <c r="D15529" i="1"/>
  <c r="G15529" i="1"/>
  <c r="B15150" i="1"/>
  <c r="D15150" i="1"/>
  <c r="G15150" i="1"/>
  <c r="B1315" i="1"/>
  <c r="D1315" i="1"/>
  <c r="G1315" i="1"/>
  <c r="B19826" i="1"/>
  <c r="D19826" i="1"/>
  <c r="G19826" i="1"/>
  <c r="B12204" i="1"/>
  <c r="D12204" i="1"/>
  <c r="G12204" i="1"/>
  <c r="B21563" i="1"/>
  <c r="D21563" i="1"/>
  <c r="G21563" i="1"/>
  <c r="B18554" i="1"/>
  <c r="D18554" i="1"/>
  <c r="G18554" i="1"/>
  <c r="B16121" i="1"/>
  <c r="D16121" i="1"/>
  <c r="G16121" i="1"/>
  <c r="B13462" i="1"/>
  <c r="D13462" i="1"/>
  <c r="G13462" i="1"/>
  <c r="B19066" i="1"/>
  <c r="D19066" i="1"/>
  <c r="G19066" i="1"/>
  <c r="B18908" i="1"/>
  <c r="D18908" i="1"/>
  <c r="G18908" i="1"/>
  <c r="B14807" i="1"/>
  <c r="D14807" i="1"/>
  <c r="G14807" i="1"/>
  <c r="B14232" i="1"/>
  <c r="D14232" i="1"/>
  <c r="G14232" i="1"/>
  <c r="B19618" i="1"/>
  <c r="D19618" i="1"/>
  <c r="G19618" i="1"/>
  <c r="B17771" i="1"/>
  <c r="D17771" i="1"/>
  <c r="G17771" i="1"/>
  <c r="B16618" i="1"/>
  <c r="D16618" i="1"/>
  <c r="G16618" i="1"/>
  <c r="B20129" i="1"/>
  <c r="D20129" i="1"/>
  <c r="G20129" i="1"/>
  <c r="B5240" i="1"/>
  <c r="D5240" i="1"/>
  <c r="G5240" i="1"/>
  <c r="B6415" i="1"/>
  <c r="D6415" i="1"/>
  <c r="G6415" i="1"/>
  <c r="B14387" i="1"/>
  <c r="D14387" i="1"/>
  <c r="G14387" i="1"/>
  <c r="B13329" i="1"/>
  <c r="D13329" i="1"/>
  <c r="G13329" i="1"/>
  <c r="B1976" i="1"/>
  <c r="D1976" i="1"/>
  <c r="G1976" i="1"/>
  <c r="B8936" i="1"/>
  <c r="D8936" i="1"/>
  <c r="G8936" i="1"/>
  <c r="B16987" i="1"/>
  <c r="D16987" i="1"/>
  <c r="G16987" i="1"/>
  <c r="B8937" i="1"/>
  <c r="D8937" i="1"/>
  <c r="G8937" i="1"/>
  <c r="B6678" i="1"/>
  <c r="D6678" i="1"/>
  <c r="G6678" i="1"/>
  <c r="B14744" i="1"/>
  <c r="D14744" i="1"/>
  <c r="G14744" i="1"/>
  <c r="B5531" i="1"/>
  <c r="D5531" i="1"/>
  <c r="G5531" i="1"/>
  <c r="B5532" i="1"/>
  <c r="D5532" i="1"/>
  <c r="G5532" i="1"/>
  <c r="B15530" i="1"/>
  <c r="D15530" i="1"/>
  <c r="G15530" i="1"/>
  <c r="B18134" i="1"/>
  <c r="D18134" i="1"/>
  <c r="G18134" i="1"/>
  <c r="B14640" i="1"/>
  <c r="D14640" i="1"/>
  <c r="G14640" i="1"/>
  <c r="B12877" i="1"/>
  <c r="D12877" i="1"/>
  <c r="G12877" i="1"/>
  <c r="B4447" i="1"/>
  <c r="D4447" i="1"/>
  <c r="G4447" i="1"/>
  <c r="B1745" i="1"/>
  <c r="D1745" i="1"/>
  <c r="G1745" i="1"/>
  <c r="B7954" i="1"/>
  <c r="D7954" i="1"/>
  <c r="G7954" i="1"/>
  <c r="B7576" i="1"/>
  <c r="D7576" i="1"/>
  <c r="G7576" i="1"/>
  <c r="B7371" i="1"/>
  <c r="D7371" i="1"/>
  <c r="G7371" i="1"/>
  <c r="B14233" i="1"/>
  <c r="D14233" i="1"/>
  <c r="G14233" i="1"/>
  <c r="B117" i="1"/>
  <c r="D117" i="1"/>
  <c r="G117" i="1"/>
  <c r="B6416" i="1"/>
  <c r="D6416" i="1"/>
  <c r="G6416" i="1"/>
  <c r="B6417" i="1"/>
  <c r="D6417" i="1"/>
  <c r="G6417" i="1"/>
  <c r="B3984" i="1"/>
  <c r="D3984" i="1"/>
  <c r="G3984" i="1"/>
  <c r="B3985" i="1"/>
  <c r="D3985" i="1"/>
  <c r="G3985" i="1"/>
  <c r="B16619" i="1"/>
  <c r="D16619" i="1"/>
  <c r="G16619" i="1"/>
  <c r="B13097" i="1"/>
  <c r="D13097" i="1"/>
  <c r="G13097" i="1"/>
  <c r="B12205" i="1"/>
  <c r="D12205" i="1"/>
  <c r="G12205" i="1"/>
  <c r="B14341" i="1"/>
  <c r="D14341" i="1"/>
  <c r="G14341" i="1"/>
  <c r="B14465" i="1"/>
  <c r="D14465" i="1"/>
  <c r="G14465" i="1"/>
  <c r="B4988" i="1"/>
  <c r="D4988" i="1"/>
  <c r="G4988" i="1"/>
  <c r="B15733" i="1"/>
  <c r="D15733" i="1"/>
  <c r="G15733" i="1"/>
  <c r="B14812" i="1"/>
  <c r="D14812" i="1"/>
  <c r="G14812" i="1"/>
  <c r="B5241" i="1"/>
  <c r="D5241" i="1"/>
  <c r="G5241" i="1"/>
  <c r="B8344" i="1"/>
  <c r="D8344" i="1"/>
  <c r="G8344" i="1"/>
  <c r="B780" i="1"/>
  <c r="D780" i="1"/>
  <c r="G780" i="1"/>
  <c r="B21386" i="1"/>
  <c r="D21386" i="1"/>
  <c r="G21386" i="1"/>
  <c r="B14035" i="1"/>
  <c r="D14035" i="1"/>
  <c r="G14035" i="1"/>
  <c r="B20201" i="1"/>
  <c r="D20201" i="1"/>
  <c r="G20201" i="1"/>
  <c r="B16620" i="1"/>
  <c r="D16620" i="1"/>
  <c r="G16620" i="1"/>
  <c r="B15531" i="1"/>
  <c r="D15531" i="1"/>
  <c r="G15531" i="1"/>
  <c r="B17535" i="1"/>
  <c r="D17535" i="1"/>
  <c r="G17535" i="1"/>
  <c r="B15151" i="1"/>
  <c r="D15151" i="1"/>
  <c r="G15151" i="1"/>
  <c r="B16621" i="1"/>
  <c r="D16621" i="1"/>
  <c r="G16621" i="1"/>
  <c r="B7239" i="1"/>
  <c r="D7239" i="1"/>
  <c r="G7239" i="1"/>
  <c r="B7240" i="1"/>
  <c r="D7240" i="1"/>
  <c r="G7240" i="1"/>
  <c r="B5242" i="1"/>
  <c r="D5242" i="1"/>
  <c r="G5242" i="1"/>
  <c r="B1746" i="1"/>
  <c r="D1746" i="1"/>
  <c r="G1746" i="1"/>
  <c r="B1747" i="1"/>
  <c r="D1747" i="1"/>
  <c r="G1747" i="1"/>
  <c r="B15152" i="1"/>
  <c r="D15152" i="1"/>
  <c r="G15152" i="1"/>
  <c r="B7955" i="1"/>
  <c r="D7955" i="1"/>
  <c r="G7955" i="1"/>
  <c r="B7956" i="1"/>
  <c r="D7956" i="1"/>
  <c r="G7956" i="1"/>
  <c r="B2932" i="1"/>
  <c r="D2932" i="1"/>
  <c r="G2932" i="1"/>
  <c r="B6914" i="1"/>
  <c r="D6914" i="1"/>
  <c r="G6914" i="1"/>
  <c r="B9136" i="1"/>
  <c r="D9136" i="1"/>
  <c r="G9136" i="1"/>
  <c r="B21114" i="1"/>
  <c r="D21114" i="1"/>
  <c r="G21114" i="1"/>
  <c r="B12532" i="1"/>
  <c r="D12532" i="1"/>
  <c r="G12532" i="1"/>
  <c r="B7957" i="1"/>
  <c r="D7957" i="1"/>
  <c r="G7957" i="1"/>
  <c r="B7958" i="1"/>
  <c r="D7958" i="1"/>
  <c r="G7958" i="1"/>
  <c r="B1316" i="1"/>
  <c r="D1316" i="1"/>
  <c r="G1316" i="1"/>
  <c r="B8212" i="1"/>
  <c r="D8212" i="1"/>
  <c r="G8212" i="1"/>
  <c r="B13330" i="1"/>
  <c r="D13330" i="1"/>
  <c r="G13330" i="1"/>
  <c r="B17252" i="1"/>
  <c r="D17252" i="1"/>
  <c r="G17252" i="1"/>
  <c r="B18191" i="1"/>
  <c r="D18191" i="1"/>
  <c r="G18191" i="1"/>
  <c r="B15532" i="1"/>
  <c r="D15532" i="1"/>
  <c r="G15532" i="1"/>
  <c r="B15707" i="1"/>
  <c r="D15707" i="1"/>
  <c r="G15707" i="1"/>
  <c r="B7089" i="1"/>
  <c r="D7089" i="1"/>
  <c r="G7089" i="1"/>
  <c r="B10606" i="1"/>
  <c r="D10606" i="1"/>
  <c r="G10606" i="1"/>
  <c r="B1894" i="1"/>
  <c r="D1894" i="1"/>
  <c r="G1894" i="1"/>
  <c r="B1420" i="1"/>
  <c r="D1420" i="1"/>
  <c r="G1420" i="1"/>
  <c r="B21285" i="1"/>
  <c r="D21285" i="1"/>
  <c r="G21285" i="1"/>
  <c r="B15734" i="1"/>
  <c r="D15734" i="1"/>
  <c r="G15734" i="1"/>
  <c r="B209" i="1"/>
  <c r="D209" i="1"/>
  <c r="G209" i="1"/>
  <c r="B20871" i="1"/>
  <c r="D20871" i="1"/>
  <c r="G20871" i="1"/>
  <c r="B19272" i="1"/>
  <c r="D19272" i="1"/>
  <c r="G19272" i="1"/>
  <c r="B14641" i="1"/>
  <c r="D14641" i="1"/>
  <c r="G14641" i="1"/>
  <c r="B12878" i="1"/>
  <c r="D12878" i="1"/>
  <c r="G12878" i="1"/>
  <c r="B12879" i="1"/>
  <c r="D12879" i="1"/>
  <c r="G12879" i="1"/>
  <c r="B6961" i="1"/>
  <c r="D6961" i="1"/>
  <c r="G6961" i="1"/>
  <c r="B8938" i="1"/>
  <c r="D8938" i="1"/>
  <c r="G8938" i="1"/>
  <c r="B17141" i="1"/>
  <c r="D17141" i="1"/>
  <c r="G17141" i="1"/>
  <c r="B16122" i="1"/>
  <c r="D16122" i="1"/>
  <c r="G16122" i="1"/>
  <c r="B2933" i="1"/>
  <c r="D2933" i="1"/>
  <c r="G2933" i="1"/>
  <c r="B4396" i="1"/>
  <c r="D4396" i="1"/>
  <c r="G4396" i="1"/>
  <c r="B12533" i="1"/>
  <c r="D12533" i="1"/>
  <c r="G12533" i="1"/>
  <c r="B12534" i="1"/>
  <c r="D12534" i="1"/>
  <c r="G12534" i="1"/>
  <c r="B5625" i="1"/>
  <c r="D5625" i="1"/>
  <c r="G5625" i="1"/>
  <c r="B9552" i="1"/>
  <c r="D9552" i="1"/>
  <c r="G9552" i="1"/>
  <c r="B9403" i="1"/>
  <c r="D9403" i="1"/>
  <c r="G9403" i="1"/>
  <c r="B19619" i="1"/>
  <c r="D19619" i="1"/>
  <c r="G19619" i="1"/>
  <c r="B12206" i="1"/>
  <c r="D12206" i="1"/>
  <c r="G12206" i="1"/>
  <c r="B2414" i="1"/>
  <c r="D2414" i="1"/>
  <c r="G2414" i="1"/>
  <c r="B6512" i="1"/>
  <c r="D6512" i="1"/>
  <c r="G6512" i="1"/>
  <c r="B6513" i="1"/>
  <c r="D6513" i="1"/>
  <c r="G6513" i="1"/>
  <c r="B13843" i="1"/>
  <c r="D13843" i="1"/>
  <c r="G13843" i="1"/>
  <c r="B6679" i="1"/>
  <c r="D6679" i="1"/>
  <c r="G6679" i="1"/>
  <c r="B17239" i="1"/>
  <c r="D17239" i="1"/>
  <c r="G17239" i="1"/>
  <c r="B19620" i="1"/>
  <c r="D19620" i="1"/>
  <c r="G19620" i="1"/>
  <c r="B19621" i="1"/>
  <c r="D19621" i="1"/>
  <c r="G19621" i="1"/>
  <c r="B18555" i="1"/>
  <c r="D18555" i="1"/>
  <c r="G18555" i="1"/>
  <c r="B3986" i="1"/>
  <c r="D3986" i="1"/>
  <c r="G3986" i="1"/>
  <c r="B18694" i="1"/>
  <c r="D18694" i="1"/>
  <c r="G18694" i="1"/>
  <c r="B1317" i="1"/>
  <c r="D1317" i="1"/>
  <c r="G1317" i="1"/>
  <c r="B12535" i="1"/>
  <c r="D12535" i="1"/>
  <c r="G12535" i="1"/>
  <c r="B6680" i="1"/>
  <c r="D6680" i="1"/>
  <c r="G6680" i="1"/>
  <c r="B13098" i="1"/>
  <c r="D13098" i="1"/>
  <c r="G13098" i="1"/>
  <c r="B13579" i="1"/>
  <c r="D13579" i="1"/>
  <c r="G13579" i="1"/>
  <c r="B18556" i="1"/>
  <c r="D18556" i="1"/>
  <c r="G18556" i="1"/>
  <c r="B2480" i="1"/>
  <c r="D2480" i="1"/>
  <c r="G2480" i="1"/>
  <c r="B8294" i="1"/>
  <c r="D8294" i="1"/>
  <c r="G8294" i="1"/>
  <c r="B12880" i="1"/>
  <c r="D12880" i="1"/>
  <c r="G12880" i="1"/>
  <c r="B3789" i="1"/>
  <c r="D3789" i="1"/>
  <c r="G3789" i="1"/>
  <c r="B4757" i="1"/>
  <c r="D4757" i="1"/>
  <c r="G4757" i="1"/>
  <c r="B6815" i="1"/>
  <c r="D6815" i="1"/>
  <c r="G6815" i="1"/>
  <c r="B15691" i="1"/>
  <c r="D15691" i="1"/>
  <c r="G15691" i="1"/>
  <c r="B21564" i="1"/>
  <c r="D21564" i="1"/>
  <c r="G21564" i="1"/>
  <c r="B11044" i="1"/>
  <c r="D11044" i="1"/>
  <c r="G11044" i="1"/>
  <c r="B16622" i="1"/>
  <c r="D16622" i="1"/>
  <c r="G16622" i="1"/>
  <c r="B19622" i="1"/>
  <c r="D19622" i="1"/>
  <c r="G19622" i="1"/>
  <c r="B19901" i="1"/>
  <c r="D19901" i="1"/>
  <c r="G19901" i="1"/>
  <c r="B20641" i="1"/>
  <c r="D20641" i="1"/>
  <c r="G20641" i="1"/>
  <c r="B6578" i="1"/>
  <c r="D6578" i="1"/>
  <c r="G6578" i="1"/>
  <c r="B20026" i="1"/>
  <c r="D20026" i="1"/>
  <c r="G20026" i="1"/>
  <c r="B3674" i="1"/>
  <c r="D3674" i="1"/>
  <c r="G3674" i="1"/>
  <c r="B1462" i="1"/>
  <c r="D1462" i="1"/>
  <c r="G1462" i="1"/>
  <c r="B17142" i="1"/>
  <c r="D17142" i="1"/>
  <c r="G17142" i="1"/>
  <c r="B16623" i="1"/>
  <c r="D16623" i="1"/>
  <c r="G16623" i="1"/>
  <c r="B12881" i="1"/>
  <c r="D12881" i="1"/>
  <c r="G12881" i="1"/>
  <c r="B20642" i="1"/>
  <c r="D20642" i="1"/>
  <c r="G20642" i="1"/>
  <c r="B6062" i="1"/>
  <c r="D6062" i="1"/>
  <c r="G6062" i="1"/>
  <c r="B21565" i="1"/>
  <c r="D21565" i="1"/>
  <c r="G21565" i="1"/>
  <c r="B22058" i="1"/>
  <c r="D22058" i="1"/>
  <c r="G22058" i="1"/>
  <c r="B18909" i="1"/>
  <c r="D18909" i="1"/>
  <c r="G18909" i="1"/>
  <c r="B15153" i="1"/>
  <c r="D15153" i="1"/>
  <c r="G15153" i="1"/>
  <c r="B15533" i="1"/>
  <c r="D15533" i="1"/>
  <c r="G15533" i="1"/>
  <c r="B2934" i="1"/>
  <c r="D2934" i="1"/>
  <c r="G2934" i="1"/>
  <c r="B8582" i="1"/>
  <c r="D8582" i="1"/>
  <c r="G8582" i="1"/>
  <c r="B8583" i="1"/>
  <c r="D8583" i="1"/>
  <c r="G8583" i="1"/>
  <c r="B8584" i="1"/>
  <c r="D8584" i="1"/>
  <c r="G8584" i="1"/>
  <c r="B8585" i="1"/>
  <c r="D8585" i="1"/>
  <c r="G8585" i="1"/>
  <c r="B19623" i="1"/>
  <c r="D19623" i="1"/>
  <c r="G19623" i="1"/>
  <c r="B18557" i="1"/>
  <c r="D18557" i="1"/>
  <c r="G18557" i="1"/>
  <c r="B6418" i="1"/>
  <c r="D6418" i="1"/>
  <c r="G6418" i="1"/>
  <c r="B14745" i="1"/>
  <c r="D14745" i="1"/>
  <c r="G14745" i="1"/>
  <c r="B15899" i="1"/>
  <c r="D15899" i="1"/>
  <c r="G15899" i="1"/>
  <c r="B10607" i="1"/>
  <c r="D10607" i="1"/>
  <c r="G10607" i="1"/>
  <c r="B152" i="1"/>
  <c r="D152" i="1"/>
  <c r="G152" i="1"/>
  <c r="B15811" i="1"/>
  <c r="D15811" i="1"/>
  <c r="G15811" i="1"/>
  <c r="B4554" i="1"/>
  <c r="D4554" i="1"/>
  <c r="G4554" i="1"/>
  <c r="B153" i="1"/>
  <c r="D153" i="1"/>
  <c r="G153" i="1"/>
  <c r="B7577" i="1"/>
  <c r="D7577" i="1"/>
  <c r="G7577" i="1"/>
  <c r="B2148" i="1"/>
  <c r="D2148" i="1"/>
  <c r="G2148" i="1"/>
  <c r="B16624" i="1"/>
  <c r="D16624" i="1"/>
  <c r="G16624" i="1"/>
  <c r="B12882" i="1"/>
  <c r="D12882" i="1"/>
  <c r="G12882" i="1"/>
  <c r="B15900" i="1"/>
  <c r="D15900" i="1"/>
  <c r="G15900" i="1"/>
  <c r="B7578" i="1"/>
  <c r="D7578" i="1"/>
  <c r="G7578" i="1"/>
  <c r="B15154" i="1"/>
  <c r="D15154" i="1"/>
  <c r="G15154" i="1"/>
  <c r="B1318" i="1"/>
  <c r="D1318" i="1"/>
  <c r="G1318" i="1"/>
  <c r="B13331" i="1"/>
  <c r="D13331" i="1"/>
  <c r="G13331" i="1"/>
  <c r="B13099" i="1"/>
  <c r="D13099" i="1"/>
  <c r="G13099" i="1"/>
  <c r="B15534" i="1"/>
  <c r="D15534" i="1"/>
  <c r="G15534" i="1"/>
  <c r="B18558" i="1"/>
  <c r="D18558" i="1"/>
  <c r="G18558" i="1"/>
  <c r="B15155" i="1"/>
  <c r="D15155" i="1"/>
  <c r="G15155" i="1"/>
  <c r="B2089" i="1"/>
  <c r="D2089" i="1"/>
  <c r="G2089" i="1"/>
  <c r="B21933" i="1"/>
  <c r="D21933" i="1"/>
  <c r="G21933" i="1"/>
  <c r="B13332" i="1"/>
  <c r="D13332" i="1"/>
  <c r="G13332" i="1"/>
  <c r="B10929" i="1"/>
  <c r="D10929" i="1"/>
  <c r="G10929" i="1"/>
  <c r="B13100" i="1"/>
  <c r="D13100" i="1"/>
  <c r="G13100" i="1"/>
  <c r="B20408" i="1"/>
  <c r="D20408" i="1"/>
  <c r="G20408" i="1"/>
  <c r="B1319" i="1"/>
  <c r="D1319" i="1"/>
  <c r="G1319" i="1"/>
  <c r="B14554" i="1"/>
  <c r="D14554" i="1"/>
  <c r="G14554" i="1"/>
  <c r="B2935" i="1"/>
  <c r="D2935" i="1"/>
  <c r="G2935" i="1"/>
  <c r="B18559" i="1"/>
  <c r="D18559" i="1"/>
  <c r="G18559" i="1"/>
  <c r="B16625" i="1"/>
  <c r="D16625" i="1"/>
  <c r="G16625" i="1"/>
  <c r="B14555" i="1"/>
  <c r="D14555" i="1"/>
  <c r="G14555" i="1"/>
  <c r="B17772" i="1"/>
  <c r="D17772" i="1"/>
  <c r="G17772" i="1"/>
  <c r="B17773" i="1"/>
  <c r="D17773" i="1"/>
  <c r="G17773" i="1"/>
  <c r="B22059" i="1"/>
  <c r="D22059" i="1"/>
  <c r="G22059" i="1"/>
  <c r="B16123" i="1"/>
  <c r="D16123" i="1"/>
  <c r="G16123" i="1"/>
  <c r="B16626" i="1"/>
  <c r="D16626" i="1"/>
  <c r="G16626" i="1"/>
  <c r="B8296" i="1"/>
  <c r="D8296" i="1"/>
  <c r="G8296" i="1"/>
  <c r="B5533" i="1"/>
  <c r="D5533" i="1"/>
  <c r="G5533" i="1"/>
  <c r="B5534" i="1"/>
  <c r="D5534" i="1"/>
  <c r="G5534" i="1"/>
  <c r="B7579" i="1"/>
  <c r="D7579" i="1"/>
  <c r="G7579" i="1"/>
  <c r="B14357" i="1"/>
  <c r="D14357" i="1"/>
  <c r="G14357" i="1"/>
  <c r="B8939" i="1"/>
  <c r="D8939" i="1"/>
  <c r="G8939" i="1"/>
  <c r="B21566" i="1"/>
  <c r="D21566" i="1"/>
  <c r="G21566" i="1"/>
  <c r="B6419" i="1"/>
  <c r="D6419" i="1"/>
  <c r="G6419" i="1"/>
  <c r="B6420" i="1"/>
  <c r="D6420" i="1"/>
  <c r="G6420" i="1"/>
  <c r="B13333" i="1"/>
  <c r="D13333" i="1"/>
  <c r="G13333" i="1"/>
  <c r="B5243" i="1"/>
  <c r="D5243" i="1"/>
  <c r="G5243" i="1"/>
  <c r="B1320" i="1"/>
  <c r="D1320" i="1"/>
  <c r="G1320" i="1"/>
  <c r="B13101" i="1"/>
  <c r="D13101" i="1"/>
  <c r="G13101" i="1"/>
  <c r="B19273" i="1"/>
  <c r="D19273" i="1"/>
  <c r="G19273" i="1"/>
  <c r="B15901" i="1"/>
  <c r="D15901" i="1"/>
  <c r="G15901" i="1"/>
  <c r="B19624" i="1"/>
  <c r="D19624" i="1"/>
  <c r="G19624" i="1"/>
  <c r="B7580" i="1"/>
  <c r="D7580" i="1"/>
  <c r="G7580" i="1"/>
  <c r="B15535" i="1"/>
  <c r="D15535" i="1"/>
  <c r="G15535" i="1"/>
  <c r="B15812" i="1"/>
  <c r="D15812" i="1"/>
  <c r="G15812" i="1"/>
  <c r="B15902" i="1"/>
  <c r="D15902" i="1"/>
  <c r="G15902" i="1"/>
  <c r="B16951" i="1"/>
  <c r="D16951" i="1"/>
  <c r="G16951" i="1"/>
  <c r="B15813" i="1"/>
  <c r="D15813" i="1"/>
  <c r="G15813" i="1"/>
  <c r="B14556" i="1"/>
  <c r="D14556" i="1"/>
  <c r="G14556" i="1"/>
  <c r="B14847" i="1"/>
  <c r="D14847" i="1"/>
  <c r="G14847" i="1"/>
  <c r="B20130" i="1"/>
  <c r="D20130" i="1"/>
  <c r="G20130" i="1"/>
  <c r="B18560" i="1"/>
  <c r="D18560" i="1"/>
  <c r="G18560" i="1"/>
  <c r="B7372" i="1"/>
  <c r="D7372" i="1"/>
  <c r="G7372" i="1"/>
  <c r="B14504" i="1"/>
  <c r="D14504" i="1"/>
  <c r="G14504" i="1"/>
  <c r="B16988" i="1"/>
  <c r="D16988" i="1"/>
  <c r="G16988" i="1"/>
  <c r="B16627" i="1"/>
  <c r="D16627" i="1"/>
  <c r="G16627" i="1"/>
  <c r="B4662" i="1"/>
  <c r="D4662" i="1"/>
  <c r="G4662" i="1"/>
  <c r="B21420" i="1"/>
  <c r="D21420" i="1"/>
  <c r="G21420" i="1"/>
  <c r="B14686" i="1"/>
  <c r="D14686" i="1"/>
  <c r="G14686" i="1"/>
  <c r="B14687" i="1"/>
  <c r="D14687" i="1"/>
  <c r="G14687" i="1"/>
  <c r="B19274" i="1"/>
  <c r="D19274" i="1"/>
  <c r="G19274" i="1"/>
  <c r="B15903" i="1"/>
  <c r="D15903" i="1"/>
  <c r="G15903" i="1"/>
  <c r="B15814" i="1"/>
  <c r="D15814" i="1"/>
  <c r="G15814" i="1"/>
  <c r="B14234" i="1"/>
  <c r="D14234" i="1"/>
  <c r="G14234" i="1"/>
  <c r="B14443" i="1"/>
  <c r="D14443" i="1"/>
  <c r="G14443" i="1"/>
  <c r="B21934" i="1"/>
  <c r="D21934" i="1"/>
  <c r="G21934" i="1"/>
  <c r="B17292" i="1"/>
  <c r="D17292" i="1"/>
  <c r="G17292" i="1"/>
  <c r="B2415" i="1"/>
  <c r="D2415" i="1"/>
  <c r="G2415" i="1"/>
  <c r="B19808" i="1"/>
  <c r="D19808" i="1"/>
  <c r="G19808" i="1"/>
  <c r="B22177" i="1"/>
  <c r="D22177" i="1"/>
  <c r="G22177" i="1"/>
  <c r="B5626" i="1"/>
  <c r="D5626" i="1"/>
  <c r="G5626" i="1"/>
  <c r="B21721" i="1"/>
  <c r="D21721" i="1"/>
  <c r="G21721" i="1"/>
  <c r="B4478" i="1"/>
  <c r="D4478" i="1"/>
  <c r="G4478" i="1"/>
  <c r="B12883" i="1"/>
  <c r="D12883" i="1"/>
  <c r="G12883" i="1"/>
  <c r="B19625" i="1"/>
  <c r="D19625" i="1"/>
  <c r="G19625" i="1"/>
  <c r="B3675" i="1"/>
  <c r="D3675" i="1"/>
  <c r="G3675" i="1"/>
  <c r="B21387" i="1"/>
  <c r="D21387" i="1"/>
  <c r="G21387" i="1"/>
  <c r="B21388" i="1"/>
  <c r="D21388" i="1"/>
  <c r="G21388" i="1"/>
  <c r="B14389" i="1"/>
  <c r="D14389" i="1"/>
  <c r="G14389" i="1"/>
  <c r="B14278" i="1"/>
  <c r="D14278" i="1"/>
  <c r="G14278" i="1"/>
  <c r="B5166" i="1"/>
  <c r="D5166" i="1"/>
  <c r="G5166" i="1"/>
  <c r="B15156" i="1"/>
  <c r="D15156" i="1"/>
  <c r="G15156" i="1"/>
  <c r="B16039" i="1"/>
  <c r="D16039" i="1"/>
  <c r="G16039" i="1"/>
  <c r="B19902" i="1"/>
  <c r="D19902" i="1"/>
  <c r="G19902" i="1"/>
  <c r="B727" i="1"/>
  <c r="D727" i="1"/>
  <c r="G727" i="1"/>
  <c r="B3001" i="1"/>
  <c r="D3001" i="1"/>
  <c r="G3001" i="1"/>
  <c r="B12444" i="1"/>
  <c r="D12444" i="1"/>
  <c r="G12444" i="1"/>
  <c r="B8261" i="1"/>
  <c r="D8261" i="1"/>
  <c r="G8261" i="1"/>
  <c r="B21293" i="1"/>
  <c r="D21293" i="1"/>
  <c r="G21293" i="1"/>
  <c r="B22060" i="1"/>
  <c r="D22060" i="1"/>
  <c r="G22060" i="1"/>
  <c r="B18910" i="1"/>
  <c r="D18910" i="1"/>
  <c r="G18910" i="1"/>
  <c r="B15157" i="1"/>
  <c r="D15157" i="1"/>
  <c r="G15157" i="1"/>
  <c r="B21115" i="1"/>
  <c r="D21115" i="1"/>
  <c r="G21115" i="1"/>
  <c r="B15536" i="1"/>
  <c r="D15536" i="1"/>
  <c r="G15536" i="1"/>
  <c r="B15537" i="1"/>
  <c r="D15537" i="1"/>
  <c r="G15537" i="1"/>
  <c r="B17774" i="1"/>
  <c r="D17774" i="1"/>
  <c r="G17774" i="1"/>
  <c r="B8940" i="1"/>
  <c r="D8940" i="1"/>
  <c r="G8940" i="1"/>
  <c r="B16628" i="1"/>
  <c r="D16628" i="1"/>
  <c r="G16628" i="1"/>
  <c r="B10063" i="1"/>
  <c r="D10063" i="1"/>
  <c r="G10063" i="1"/>
  <c r="B4424" i="1"/>
  <c r="D4424" i="1"/>
  <c r="G4424" i="1"/>
  <c r="B14746" i="1"/>
  <c r="D14746" i="1"/>
  <c r="G14746" i="1"/>
  <c r="B7090" i="1"/>
  <c r="D7090" i="1"/>
  <c r="G7090" i="1"/>
  <c r="B8345" i="1"/>
  <c r="D8345" i="1"/>
  <c r="G8345" i="1"/>
  <c r="B17143" i="1"/>
  <c r="D17143" i="1"/>
  <c r="G17143" i="1"/>
  <c r="B5146" i="1"/>
  <c r="D5146" i="1"/>
  <c r="G5146" i="1"/>
  <c r="B17144" i="1"/>
  <c r="D17144" i="1"/>
  <c r="G17144" i="1"/>
  <c r="B18225" i="1"/>
  <c r="D18225" i="1"/>
  <c r="G18225" i="1"/>
  <c r="B7241" i="1"/>
  <c r="D7241" i="1"/>
  <c r="G7241" i="1"/>
  <c r="B7242" i="1"/>
  <c r="D7242" i="1"/>
  <c r="G7242" i="1"/>
  <c r="B2936" i="1"/>
  <c r="D2936" i="1"/>
  <c r="G2936" i="1"/>
  <c r="B1321" i="1"/>
  <c r="D1321" i="1"/>
  <c r="G1321" i="1"/>
  <c r="B4397" i="1"/>
  <c r="D4397" i="1"/>
  <c r="G4397" i="1"/>
  <c r="B7959" i="1"/>
  <c r="D7959" i="1"/>
  <c r="G7959" i="1"/>
  <c r="B7960" i="1"/>
  <c r="D7960" i="1"/>
  <c r="G7960" i="1"/>
  <c r="B4268" i="1"/>
  <c r="D4268" i="1"/>
  <c r="G4268" i="1"/>
  <c r="B17145" i="1"/>
  <c r="D17145" i="1"/>
  <c r="G17145" i="1"/>
  <c r="B16629" i="1"/>
  <c r="D16629" i="1"/>
  <c r="G16629" i="1"/>
  <c r="B4501" i="1"/>
  <c r="D4501" i="1"/>
  <c r="G4501" i="1"/>
  <c r="B8941" i="1"/>
  <c r="D8941" i="1"/>
  <c r="G8941" i="1"/>
  <c r="B7280" i="1"/>
  <c r="D7280" i="1"/>
  <c r="G7280" i="1"/>
  <c r="B6816" i="1"/>
  <c r="D6816" i="1"/>
  <c r="G6816" i="1"/>
  <c r="B16040" i="1"/>
  <c r="D16040" i="1"/>
  <c r="G16040" i="1"/>
  <c r="B2937" i="1"/>
  <c r="D2937" i="1"/>
  <c r="G2937" i="1"/>
  <c r="B15904" i="1"/>
  <c r="D15904" i="1"/>
  <c r="G15904" i="1"/>
  <c r="B13102" i="1"/>
  <c r="D13102" i="1"/>
  <c r="G13102" i="1"/>
  <c r="B17775" i="1"/>
  <c r="D17775" i="1"/>
  <c r="G17775" i="1"/>
  <c r="B17776" i="1"/>
  <c r="D17776" i="1"/>
  <c r="G17776" i="1"/>
  <c r="B15538" i="1"/>
  <c r="D15538" i="1"/>
  <c r="G15538" i="1"/>
  <c r="B15158" i="1"/>
  <c r="D15158" i="1"/>
  <c r="G15158" i="1"/>
  <c r="B992" i="1"/>
  <c r="D992" i="1"/>
  <c r="G992" i="1"/>
  <c r="B13334" i="1"/>
  <c r="D13334" i="1"/>
  <c r="G13334" i="1"/>
  <c r="B13103" i="1"/>
  <c r="D13103" i="1"/>
  <c r="G13103" i="1"/>
  <c r="B15965" i="1"/>
  <c r="D15965" i="1"/>
  <c r="G15965" i="1"/>
  <c r="B1495" i="1"/>
  <c r="D1495" i="1"/>
  <c r="G1495" i="1"/>
  <c r="B17275" i="1"/>
  <c r="D17275" i="1"/>
  <c r="G17275" i="1"/>
  <c r="B6063" i="1"/>
  <c r="D6063" i="1"/>
  <c r="G6063" i="1"/>
  <c r="B6681" i="1"/>
  <c r="D6681" i="1"/>
  <c r="G6681" i="1"/>
  <c r="B11431" i="1"/>
  <c r="D11431" i="1"/>
  <c r="G11431" i="1"/>
  <c r="B14557" i="1"/>
  <c r="D14557" i="1"/>
  <c r="G14557" i="1"/>
  <c r="B13844" i="1"/>
  <c r="D13844" i="1"/>
  <c r="G13844" i="1"/>
  <c r="B18695" i="1"/>
  <c r="D18695" i="1"/>
  <c r="G18695" i="1"/>
  <c r="B17536" i="1"/>
  <c r="D17536" i="1"/>
  <c r="G17536" i="1"/>
  <c r="B18561" i="1"/>
  <c r="D18561" i="1"/>
  <c r="G18561" i="1"/>
  <c r="B8942" i="1"/>
  <c r="D8942" i="1"/>
  <c r="G8942" i="1"/>
  <c r="B6421" i="1"/>
  <c r="D6421" i="1"/>
  <c r="G6421" i="1"/>
  <c r="B6422" i="1"/>
  <c r="D6422" i="1"/>
  <c r="G6422" i="1"/>
  <c r="B15159" i="1"/>
  <c r="D15159" i="1"/>
  <c r="G15159" i="1"/>
  <c r="B8943" i="1"/>
  <c r="D8943" i="1"/>
  <c r="G8943" i="1"/>
  <c r="B17401" i="1"/>
  <c r="D17401" i="1"/>
  <c r="G17401" i="1"/>
  <c r="B7045" i="1"/>
  <c r="D7045" i="1"/>
  <c r="G7045" i="1"/>
  <c r="B3987" i="1"/>
  <c r="D3987" i="1"/>
  <c r="G3987" i="1"/>
  <c r="B19626" i="1"/>
  <c r="D19626" i="1"/>
  <c r="G19626" i="1"/>
  <c r="B21567" i="1"/>
  <c r="D21567" i="1"/>
  <c r="G21567" i="1"/>
  <c r="B6915" i="1"/>
  <c r="D6915" i="1"/>
  <c r="G6915" i="1"/>
  <c r="B20315" i="1"/>
  <c r="D20315" i="1"/>
  <c r="G20315" i="1"/>
  <c r="B1748" i="1"/>
  <c r="D1748" i="1"/>
  <c r="G1748" i="1"/>
  <c r="B1749" i="1"/>
  <c r="D1749" i="1"/>
  <c r="G1749" i="1"/>
  <c r="B17146" i="1"/>
  <c r="D17146" i="1"/>
  <c r="G17146" i="1"/>
  <c r="B17333" i="1"/>
  <c r="D17333" i="1"/>
  <c r="G17333" i="1"/>
  <c r="B15539" i="1"/>
  <c r="D15539" i="1"/>
  <c r="G15539" i="1"/>
  <c r="B15905" i="1"/>
  <c r="D15905" i="1"/>
  <c r="G15905" i="1"/>
  <c r="B952" i="1"/>
  <c r="D952" i="1"/>
  <c r="G952" i="1"/>
  <c r="B728" i="1"/>
  <c r="D728" i="1"/>
  <c r="G728" i="1"/>
  <c r="B15815" i="1"/>
  <c r="D15815" i="1"/>
  <c r="G15815" i="1"/>
  <c r="B17147" i="1"/>
  <c r="D17147" i="1"/>
  <c r="G17147" i="1"/>
  <c r="B10128" i="1"/>
  <c r="D10128" i="1"/>
  <c r="G10128" i="1"/>
  <c r="B10129" i="1"/>
  <c r="D10129" i="1"/>
  <c r="G10129" i="1"/>
  <c r="B8944" i="1"/>
  <c r="D8944" i="1"/>
  <c r="G8944" i="1"/>
  <c r="B22061" i="1"/>
  <c r="D22061" i="1"/>
  <c r="G22061" i="1"/>
  <c r="B14198" i="1"/>
  <c r="D14198" i="1"/>
  <c r="G14198" i="1"/>
  <c r="B21116" i="1"/>
  <c r="D21116" i="1"/>
  <c r="G21116" i="1"/>
  <c r="B15160" i="1"/>
  <c r="D15160" i="1"/>
  <c r="G15160" i="1"/>
  <c r="B8586" i="1"/>
  <c r="D8586" i="1"/>
  <c r="G8586" i="1"/>
  <c r="B8587" i="1"/>
  <c r="D8587" i="1"/>
  <c r="G8587" i="1"/>
  <c r="B3676" i="1"/>
  <c r="D3676" i="1"/>
  <c r="G3676" i="1"/>
  <c r="B16630" i="1"/>
  <c r="D16630" i="1"/>
  <c r="G16630" i="1"/>
  <c r="B20872" i="1"/>
  <c r="D20872" i="1"/>
  <c r="G20872" i="1"/>
  <c r="B15540" i="1"/>
  <c r="D15540" i="1"/>
  <c r="G15540" i="1"/>
  <c r="B14642" i="1"/>
  <c r="D14642" i="1"/>
  <c r="G14642" i="1"/>
  <c r="B19275" i="1"/>
  <c r="D19275" i="1"/>
  <c r="G19275" i="1"/>
  <c r="B18911" i="1"/>
  <c r="D18911" i="1"/>
  <c r="G18911" i="1"/>
  <c r="B14446" i="1"/>
  <c r="D14446" i="1"/>
  <c r="G14446" i="1"/>
  <c r="B6423" i="1"/>
  <c r="D6423" i="1"/>
  <c r="G6423" i="1"/>
  <c r="B6424" i="1"/>
  <c r="D6424" i="1"/>
  <c r="G6424" i="1"/>
  <c r="B17148" i="1"/>
  <c r="D17148" i="1"/>
  <c r="G17148" i="1"/>
  <c r="B13633" i="1"/>
  <c r="D13633" i="1"/>
  <c r="G13633" i="1"/>
  <c r="B4758" i="1"/>
  <c r="D4758" i="1"/>
  <c r="G4758" i="1"/>
  <c r="B17777" i="1"/>
  <c r="D17777" i="1"/>
  <c r="G17777" i="1"/>
  <c r="B17778" i="1"/>
  <c r="D17778" i="1"/>
  <c r="G17778" i="1"/>
  <c r="B18135" i="1"/>
  <c r="D18135" i="1"/>
  <c r="G18135" i="1"/>
  <c r="B2938" i="1"/>
  <c r="D2938" i="1"/>
  <c r="G2938" i="1"/>
  <c r="B1322" i="1"/>
  <c r="D1322" i="1"/>
  <c r="G1322" i="1"/>
  <c r="B15161" i="1"/>
  <c r="D15161" i="1"/>
  <c r="G15161" i="1"/>
  <c r="B7373" i="1"/>
  <c r="D7373" i="1"/>
  <c r="G7373" i="1"/>
  <c r="B15162" i="1"/>
  <c r="D15162" i="1"/>
  <c r="G15162" i="1"/>
  <c r="B7374" i="1"/>
  <c r="D7374" i="1"/>
  <c r="G7374" i="1"/>
  <c r="B13682" i="1"/>
  <c r="D13682" i="1"/>
  <c r="G13682" i="1"/>
  <c r="B17537" i="1"/>
  <c r="D17537" i="1"/>
  <c r="G17537" i="1"/>
  <c r="B12207" i="1"/>
  <c r="D12207" i="1"/>
  <c r="G12207" i="1"/>
  <c r="B1750" i="1"/>
  <c r="D1750" i="1"/>
  <c r="G1750" i="1"/>
  <c r="B15990" i="1"/>
  <c r="D15990" i="1"/>
  <c r="G15990" i="1"/>
  <c r="B767" i="1"/>
  <c r="D767" i="1"/>
  <c r="G767" i="1"/>
  <c r="B2939" i="1"/>
  <c r="D2939" i="1"/>
  <c r="G2939" i="1"/>
  <c r="B2940" i="1"/>
  <c r="D2940" i="1"/>
  <c r="G2940" i="1"/>
  <c r="B12536" i="1"/>
  <c r="D12536" i="1"/>
  <c r="G12536" i="1"/>
  <c r="B12537" i="1"/>
  <c r="D12537" i="1"/>
  <c r="G12537" i="1"/>
  <c r="B11815" i="1"/>
  <c r="D11815" i="1"/>
  <c r="G11815" i="1"/>
  <c r="B15541" i="1"/>
  <c r="D15541" i="1"/>
  <c r="G15541" i="1"/>
  <c r="B15542" i="1"/>
  <c r="D15542" i="1"/>
  <c r="G15542" i="1"/>
  <c r="B22252" i="1"/>
  <c r="D22252" i="1"/>
  <c r="G22252" i="1"/>
  <c r="B18092" i="1"/>
  <c r="D18092" i="1"/>
  <c r="G18092" i="1"/>
  <c r="B1323" i="1"/>
  <c r="D1323" i="1"/>
  <c r="G1323" i="1"/>
  <c r="B21935" i="1"/>
  <c r="D21935" i="1"/>
  <c r="G21935" i="1"/>
  <c r="B7581" i="1"/>
  <c r="D7581" i="1"/>
  <c r="G7581" i="1"/>
  <c r="B17240" i="1"/>
  <c r="D17240" i="1"/>
  <c r="G17240" i="1"/>
  <c r="B21936" i="1"/>
  <c r="D21936" i="1"/>
  <c r="G21936" i="1"/>
  <c r="B6901" i="1"/>
  <c r="D6901" i="1"/>
  <c r="G6901" i="1"/>
  <c r="B17402" i="1"/>
  <c r="D17402" i="1"/>
  <c r="G17402" i="1"/>
  <c r="B20643" i="1"/>
  <c r="D20643" i="1"/>
  <c r="G20643" i="1"/>
  <c r="B5535" i="1"/>
  <c r="D5535" i="1"/>
  <c r="G5535" i="1"/>
  <c r="B19627" i="1"/>
  <c r="D19627" i="1"/>
  <c r="G19627" i="1"/>
  <c r="B13548" i="1"/>
  <c r="D13548" i="1"/>
  <c r="G13548" i="1"/>
  <c r="B16124" i="1"/>
  <c r="D16124" i="1"/>
  <c r="G16124" i="1"/>
  <c r="B21117" i="1"/>
  <c r="D21117" i="1"/>
  <c r="G21117" i="1"/>
  <c r="B5244" i="1"/>
  <c r="D5244" i="1"/>
  <c r="G5244" i="1"/>
  <c r="B8143" i="1"/>
  <c r="D8143" i="1"/>
  <c r="G8143" i="1"/>
  <c r="B17538" i="1"/>
  <c r="D17538" i="1"/>
  <c r="G17538" i="1"/>
  <c r="B16631" i="1"/>
  <c r="D16631" i="1"/>
  <c r="G16631" i="1"/>
  <c r="B15163" i="1"/>
  <c r="D15163" i="1"/>
  <c r="G15163" i="1"/>
  <c r="B17599" i="1"/>
  <c r="D17599" i="1"/>
  <c r="G17599" i="1"/>
  <c r="B4872" i="1"/>
  <c r="D4872" i="1"/>
  <c r="G4872" i="1"/>
  <c r="B4115" i="1"/>
  <c r="D4115" i="1"/>
  <c r="G4115" i="1"/>
  <c r="B3677" i="1"/>
  <c r="D3677" i="1"/>
  <c r="G3677" i="1"/>
  <c r="B8945" i="1"/>
  <c r="D8945" i="1"/>
  <c r="G8945" i="1"/>
  <c r="B16632" i="1"/>
  <c r="D16632" i="1"/>
  <c r="G16632" i="1"/>
  <c r="B17779" i="1"/>
  <c r="D17779" i="1"/>
  <c r="G17779" i="1"/>
  <c r="B5794" i="1"/>
  <c r="D5794" i="1"/>
  <c r="G5794" i="1"/>
  <c r="B5795" i="1"/>
  <c r="D5795" i="1"/>
  <c r="G5795" i="1"/>
  <c r="B2149" i="1"/>
  <c r="D2149" i="1"/>
  <c r="G2149" i="1"/>
  <c r="B5245" i="1"/>
  <c r="D5245" i="1"/>
  <c r="G5245" i="1"/>
  <c r="B21937" i="1"/>
  <c r="D21937" i="1"/>
  <c r="G21937" i="1"/>
  <c r="B13188" i="1"/>
  <c r="D13188" i="1"/>
  <c r="G13188" i="1"/>
  <c r="B15543" i="1"/>
  <c r="D15543" i="1"/>
  <c r="G15543" i="1"/>
  <c r="B3678" i="1"/>
  <c r="D3678" i="1"/>
  <c r="G3678" i="1"/>
  <c r="B18093" i="1"/>
  <c r="D18093" i="1"/>
  <c r="G18093" i="1"/>
  <c r="B7243" i="1"/>
  <c r="D7243" i="1"/>
  <c r="G7243" i="1"/>
  <c r="B2262" i="1"/>
  <c r="D2262" i="1"/>
  <c r="G2262" i="1"/>
  <c r="B7961" i="1"/>
  <c r="D7961" i="1"/>
  <c r="G7961" i="1"/>
  <c r="B7962" i="1"/>
  <c r="D7962" i="1"/>
  <c r="G7962" i="1"/>
  <c r="B9760" i="1"/>
  <c r="D9760" i="1"/>
  <c r="G9760" i="1"/>
  <c r="B18562" i="1"/>
  <c r="D18562" i="1"/>
  <c r="G18562" i="1"/>
  <c r="B4572" i="1"/>
  <c r="D4572" i="1"/>
  <c r="G4572" i="1"/>
  <c r="B1751" i="1"/>
  <c r="D1751" i="1"/>
  <c r="G1751" i="1"/>
  <c r="B17149" i="1"/>
  <c r="D17149" i="1"/>
  <c r="G17149" i="1"/>
  <c r="B17316" i="1"/>
  <c r="D17316" i="1"/>
  <c r="G17316" i="1"/>
  <c r="B2941" i="1"/>
  <c r="D2941" i="1"/>
  <c r="G2941" i="1"/>
  <c r="B2317" i="1"/>
  <c r="D2317" i="1"/>
  <c r="G2317" i="1"/>
  <c r="B4844" i="1"/>
  <c r="D4844" i="1"/>
  <c r="G4844" i="1"/>
  <c r="B20873" i="1"/>
  <c r="D20873" i="1"/>
  <c r="G20873" i="1"/>
  <c r="B19276" i="1"/>
  <c r="D19276" i="1"/>
  <c r="G19276" i="1"/>
  <c r="B14643" i="1"/>
  <c r="D14643" i="1"/>
  <c r="G14643" i="1"/>
  <c r="B14235" i="1"/>
  <c r="D14235" i="1"/>
  <c r="G14235" i="1"/>
  <c r="B5536" i="1"/>
  <c r="D5536" i="1"/>
  <c r="G5536" i="1"/>
  <c r="B14848" i="1"/>
  <c r="D14848" i="1"/>
  <c r="G14848" i="1"/>
  <c r="B1324" i="1"/>
  <c r="D1324" i="1"/>
  <c r="G1324" i="1"/>
  <c r="B18563" i="1"/>
  <c r="D18563" i="1"/>
  <c r="G18563" i="1"/>
  <c r="B17150" i="1"/>
  <c r="D17150" i="1"/>
  <c r="G17150" i="1"/>
  <c r="B14279" i="1"/>
  <c r="D14279" i="1"/>
  <c r="G14279" i="1"/>
  <c r="B17780" i="1"/>
  <c r="D17780" i="1"/>
  <c r="G17780" i="1"/>
  <c r="B17781" i="1"/>
  <c r="D17781" i="1"/>
  <c r="G17781" i="1"/>
  <c r="B2009" i="1"/>
  <c r="D2009" i="1"/>
  <c r="G2009" i="1"/>
  <c r="B21118" i="1"/>
  <c r="D21118" i="1"/>
  <c r="G21118" i="1"/>
  <c r="B16633" i="1"/>
  <c r="D16633" i="1"/>
  <c r="G16633" i="1"/>
  <c r="B18244" i="1"/>
  <c r="D18244" i="1"/>
  <c r="G18244" i="1"/>
  <c r="B5537" i="1"/>
  <c r="D5537" i="1"/>
  <c r="G5537" i="1"/>
  <c r="B1325" i="1"/>
  <c r="D1325" i="1"/>
  <c r="G1325" i="1"/>
  <c r="B12208" i="1"/>
  <c r="D12208" i="1"/>
  <c r="G12208" i="1"/>
  <c r="B2416" i="1"/>
  <c r="D2416" i="1"/>
  <c r="G2416" i="1"/>
  <c r="B18912" i="1"/>
  <c r="D18912" i="1"/>
  <c r="G18912" i="1"/>
  <c r="B15164" i="1"/>
  <c r="D15164" i="1"/>
  <c r="G15164" i="1"/>
  <c r="B9553" i="1"/>
  <c r="D9553" i="1"/>
  <c r="G9553" i="1"/>
  <c r="B7582" i="1"/>
  <c r="D7582" i="1"/>
  <c r="G7582" i="1"/>
  <c r="B6817" i="1"/>
  <c r="D6817" i="1"/>
  <c r="G6817" i="1"/>
  <c r="B6879" i="1"/>
  <c r="D6879" i="1"/>
  <c r="G6879" i="1"/>
  <c r="B15544" i="1"/>
  <c r="D15544" i="1"/>
  <c r="G15544" i="1"/>
  <c r="B15165" i="1"/>
  <c r="D15165" i="1"/>
  <c r="G15165" i="1"/>
  <c r="B16634" i="1"/>
  <c r="D16634" i="1"/>
  <c r="G16634" i="1"/>
  <c r="B14747" i="1"/>
  <c r="D14747" i="1"/>
  <c r="G14747" i="1"/>
  <c r="B14688" i="1"/>
  <c r="D14688" i="1"/>
  <c r="G14688" i="1"/>
  <c r="B14689" i="1"/>
  <c r="D14689" i="1"/>
  <c r="G14689" i="1"/>
  <c r="B13335" i="1"/>
  <c r="D13335" i="1"/>
  <c r="G13335" i="1"/>
  <c r="B6682" i="1"/>
  <c r="D6682" i="1"/>
  <c r="G6682" i="1"/>
  <c r="B17782" i="1"/>
  <c r="D17782" i="1"/>
  <c r="G17782" i="1"/>
  <c r="B17783" i="1"/>
  <c r="D17783" i="1"/>
  <c r="G17783" i="1"/>
  <c r="B21805" i="1"/>
  <c r="D21805" i="1"/>
  <c r="G21805" i="1"/>
  <c r="B20874" i="1"/>
  <c r="D20874" i="1"/>
  <c r="G20874" i="1"/>
  <c r="B22178" i="1"/>
  <c r="D22178" i="1"/>
  <c r="G22178" i="1"/>
  <c r="B21441" i="1"/>
  <c r="D21441" i="1"/>
  <c r="G21441" i="1"/>
  <c r="B12884" i="1"/>
  <c r="D12884" i="1"/>
  <c r="G12884" i="1"/>
  <c r="B15545" i="1"/>
  <c r="D15545" i="1"/>
  <c r="G15545" i="1"/>
  <c r="B21119" i="1"/>
  <c r="D21119" i="1"/>
  <c r="G21119" i="1"/>
  <c r="B18094" i="1"/>
  <c r="D18094" i="1"/>
  <c r="G18094" i="1"/>
  <c r="B6818" i="1"/>
  <c r="D6818" i="1"/>
  <c r="G6818" i="1"/>
  <c r="B16635" i="1"/>
  <c r="D16635" i="1"/>
  <c r="G16635" i="1"/>
  <c r="B19628" i="1"/>
  <c r="D19628" i="1"/>
  <c r="G19628" i="1"/>
  <c r="B3988" i="1"/>
  <c r="D3988" i="1"/>
  <c r="G3988" i="1"/>
  <c r="B16636" i="1"/>
  <c r="D16636" i="1"/>
  <c r="G16636" i="1"/>
  <c r="B7963" i="1"/>
  <c r="D7963" i="1"/>
  <c r="G7963" i="1"/>
  <c r="B7964" i="1"/>
  <c r="D7964" i="1"/>
  <c r="G7964" i="1"/>
  <c r="B21938" i="1"/>
  <c r="D21938" i="1"/>
  <c r="G21938" i="1"/>
  <c r="B8946" i="1"/>
  <c r="D8946" i="1"/>
  <c r="G8946" i="1"/>
  <c r="B14317" i="1"/>
  <c r="D14317" i="1"/>
  <c r="G14317" i="1"/>
  <c r="B8947" i="1"/>
  <c r="D8947" i="1"/>
  <c r="G8947" i="1"/>
  <c r="B17539" i="1"/>
  <c r="D17539" i="1"/>
  <c r="G17539" i="1"/>
  <c r="B22179" i="1"/>
  <c r="D22179" i="1"/>
  <c r="G22179" i="1"/>
  <c r="B21939" i="1"/>
  <c r="D21939" i="1"/>
  <c r="G21939" i="1"/>
  <c r="B17403" i="1"/>
  <c r="D17403" i="1"/>
  <c r="G17403" i="1"/>
  <c r="B14123" i="1"/>
  <c r="D14123" i="1"/>
  <c r="G14123" i="1"/>
  <c r="B9554" i="1"/>
  <c r="D9554" i="1"/>
  <c r="G9554" i="1"/>
  <c r="B9555" i="1"/>
  <c r="D9555" i="1"/>
  <c r="G9555" i="1"/>
  <c r="B9849" i="1"/>
  <c r="D9849" i="1"/>
  <c r="G9849" i="1"/>
  <c r="B14236" i="1"/>
  <c r="D14236" i="1"/>
  <c r="G14236" i="1"/>
  <c r="B20131" i="1"/>
  <c r="D20131" i="1"/>
  <c r="G20131" i="1"/>
  <c r="B14505" i="1"/>
  <c r="D14505" i="1"/>
  <c r="G14505" i="1"/>
  <c r="B6425" i="1"/>
  <c r="D6425" i="1"/>
  <c r="G6425" i="1"/>
  <c r="B6426" i="1"/>
  <c r="D6426" i="1"/>
  <c r="G6426" i="1"/>
  <c r="B17784" i="1"/>
  <c r="D17784" i="1"/>
  <c r="G17784" i="1"/>
  <c r="B17785" i="1"/>
  <c r="D17785" i="1"/>
  <c r="G17785" i="1"/>
  <c r="B154" i="1"/>
  <c r="D154" i="1"/>
  <c r="G154" i="1"/>
  <c r="B4759" i="1"/>
  <c r="D4759" i="1"/>
  <c r="G4759" i="1"/>
  <c r="B16637" i="1"/>
  <c r="D16637" i="1"/>
  <c r="G16637" i="1"/>
  <c r="B16989" i="1"/>
  <c r="D16989" i="1"/>
  <c r="G16989" i="1"/>
  <c r="B7583" i="1"/>
  <c r="D7583" i="1"/>
  <c r="G7583" i="1"/>
  <c r="B22180" i="1"/>
  <c r="D22180" i="1"/>
  <c r="G22180" i="1"/>
  <c r="B20644" i="1"/>
  <c r="D20644" i="1"/>
  <c r="G20644" i="1"/>
  <c r="B18114" i="1"/>
  <c r="D18114" i="1"/>
  <c r="G18114" i="1"/>
  <c r="B16990" i="1"/>
  <c r="D16990" i="1"/>
  <c r="G16990" i="1"/>
  <c r="B15816" i="1"/>
  <c r="D15816" i="1"/>
  <c r="G15816" i="1"/>
  <c r="B21360" i="1"/>
  <c r="D21360" i="1"/>
  <c r="G21360" i="1"/>
  <c r="B15166" i="1"/>
  <c r="D15166" i="1"/>
  <c r="G15166" i="1"/>
  <c r="B15546" i="1"/>
  <c r="D15546" i="1"/>
  <c r="G15546" i="1"/>
  <c r="B8283" i="1"/>
  <c r="D8283" i="1"/>
  <c r="G8283" i="1"/>
  <c r="B17786" i="1"/>
  <c r="D17786" i="1"/>
  <c r="G17786" i="1"/>
  <c r="B8948" i="1"/>
  <c r="D8948" i="1"/>
  <c r="G8948" i="1"/>
  <c r="B21294" i="1"/>
  <c r="D21294" i="1"/>
  <c r="G21294" i="1"/>
  <c r="B19629" i="1"/>
  <c r="D19629" i="1"/>
  <c r="G19629" i="1"/>
  <c r="B8394" i="1"/>
  <c r="D8394" i="1"/>
  <c r="G8394" i="1"/>
  <c r="B13620" i="1"/>
  <c r="D13620" i="1"/>
  <c r="G13620" i="1"/>
  <c r="B16638" i="1"/>
  <c r="D16638" i="1"/>
  <c r="G16638" i="1"/>
  <c r="B8949" i="1"/>
  <c r="D8949" i="1"/>
  <c r="G8949" i="1"/>
  <c r="B8950" i="1"/>
  <c r="D8950" i="1"/>
  <c r="G8950" i="1"/>
  <c r="B8951" i="1"/>
  <c r="D8951" i="1"/>
  <c r="G8951" i="1"/>
  <c r="B15167" i="1"/>
  <c r="D15167" i="1"/>
  <c r="G15167" i="1"/>
  <c r="B3679" i="1"/>
  <c r="D3679" i="1"/>
  <c r="G3679" i="1"/>
  <c r="B931" i="1"/>
  <c r="D931" i="1"/>
  <c r="G931" i="1"/>
  <c r="B15168" i="1"/>
  <c r="D15168" i="1"/>
  <c r="G15168" i="1"/>
  <c r="B14318" i="1"/>
  <c r="D14318" i="1"/>
  <c r="G14318" i="1"/>
  <c r="B17787" i="1"/>
  <c r="D17787" i="1"/>
  <c r="G17787" i="1"/>
  <c r="B17151" i="1"/>
  <c r="D17151" i="1"/>
  <c r="G17151" i="1"/>
  <c r="B4116" i="1"/>
  <c r="D4116" i="1"/>
  <c r="G4116" i="1"/>
  <c r="B2090" i="1"/>
  <c r="D2090" i="1"/>
  <c r="G2090" i="1"/>
  <c r="B16639" i="1"/>
  <c r="D16639" i="1"/>
  <c r="G16639" i="1"/>
  <c r="B18156" i="1"/>
  <c r="D18156" i="1"/>
  <c r="G18156" i="1"/>
  <c r="B15547" i="1"/>
  <c r="D15547" i="1"/>
  <c r="G15547" i="1"/>
  <c r="B17788" i="1"/>
  <c r="D17788" i="1"/>
  <c r="G17788" i="1"/>
  <c r="B16991" i="1"/>
  <c r="D16991" i="1"/>
  <c r="G16991" i="1"/>
  <c r="B17272" i="1"/>
  <c r="D17272" i="1"/>
  <c r="G17272" i="1"/>
  <c r="B20645" i="1"/>
  <c r="D20645" i="1"/>
  <c r="G20645" i="1"/>
  <c r="B20646" i="1"/>
  <c r="D20646" i="1"/>
  <c r="G20646" i="1"/>
  <c r="B11432" i="1"/>
  <c r="D11432" i="1"/>
  <c r="G11432" i="1"/>
  <c r="B15906" i="1"/>
  <c r="D15906" i="1"/>
  <c r="G15906" i="1"/>
  <c r="B12679" i="1"/>
  <c r="D12679" i="1"/>
  <c r="G12679" i="1"/>
  <c r="B13189" i="1"/>
  <c r="D13189" i="1"/>
  <c r="G13189" i="1"/>
  <c r="B12680" i="1"/>
  <c r="D12680" i="1"/>
  <c r="G12680" i="1"/>
  <c r="B20647" i="1"/>
  <c r="D20647" i="1"/>
  <c r="G20647" i="1"/>
  <c r="B20648" i="1"/>
  <c r="D20648" i="1"/>
  <c r="G20648" i="1"/>
  <c r="B21120" i="1"/>
  <c r="D21120" i="1"/>
  <c r="G21120" i="1"/>
  <c r="B13760" i="1"/>
  <c r="D13760" i="1"/>
  <c r="G13760" i="1"/>
  <c r="B18245" i="1"/>
  <c r="D18245" i="1"/>
  <c r="G18245" i="1"/>
  <c r="B13336" i="1"/>
  <c r="D13336" i="1"/>
  <c r="G13336" i="1"/>
  <c r="B16640" i="1"/>
  <c r="D16640" i="1"/>
  <c r="G16640" i="1"/>
  <c r="B14421" i="1"/>
  <c r="D14421" i="1"/>
  <c r="G14421" i="1"/>
  <c r="B19630" i="1"/>
  <c r="D19630" i="1"/>
  <c r="G19630" i="1"/>
  <c r="B15548" i="1"/>
  <c r="D15548" i="1"/>
  <c r="G15548" i="1"/>
  <c r="B14444" i="1"/>
  <c r="D14444" i="1"/>
  <c r="G14444" i="1"/>
  <c r="B15169" i="1"/>
  <c r="D15169" i="1"/>
  <c r="G15169" i="1"/>
  <c r="B11287" i="1"/>
  <c r="D11287" i="1"/>
  <c r="G11287" i="1"/>
  <c r="B15170" i="1"/>
  <c r="D15170" i="1"/>
  <c r="G15170" i="1"/>
  <c r="B17789" i="1"/>
  <c r="D17789" i="1"/>
  <c r="G17789" i="1"/>
  <c r="B5576" i="1"/>
  <c r="D5576" i="1"/>
  <c r="G5576" i="1"/>
  <c r="B19277" i="1"/>
  <c r="D19277" i="1"/>
  <c r="G19277" i="1"/>
  <c r="B19631" i="1"/>
  <c r="D19631" i="1"/>
  <c r="G19631" i="1"/>
  <c r="B14558" i="1"/>
  <c r="D14558" i="1"/>
  <c r="G14558" i="1"/>
  <c r="B14559" i="1"/>
  <c r="D14559" i="1"/>
  <c r="G14559" i="1"/>
  <c r="B4962" i="1"/>
  <c r="D4962" i="1"/>
  <c r="G4962" i="1"/>
  <c r="B12538" i="1"/>
  <c r="D12538" i="1"/>
  <c r="G12538" i="1"/>
  <c r="B21442" i="1"/>
  <c r="D21442" i="1"/>
  <c r="G21442" i="1"/>
  <c r="B4425" i="1"/>
  <c r="D4425" i="1"/>
  <c r="G4425" i="1"/>
  <c r="B16125" i="1"/>
  <c r="D16125" i="1"/>
  <c r="G16125" i="1"/>
  <c r="B17790" i="1"/>
  <c r="D17790" i="1"/>
  <c r="G17790" i="1"/>
  <c r="B210" i="1"/>
  <c r="D210" i="1"/>
  <c r="G210" i="1"/>
  <c r="B13845" i="1"/>
  <c r="D13845" i="1"/>
  <c r="G13845" i="1"/>
  <c r="B14849" i="1"/>
  <c r="D14849" i="1"/>
  <c r="G14849" i="1"/>
  <c r="B17152" i="1"/>
  <c r="D17152" i="1"/>
  <c r="G17152" i="1"/>
  <c r="B16126" i="1"/>
  <c r="D16126" i="1"/>
  <c r="G16126" i="1"/>
  <c r="B18564" i="1"/>
  <c r="D18564" i="1"/>
  <c r="G18564" i="1"/>
  <c r="B21121" i="1"/>
  <c r="D21121" i="1"/>
  <c r="G21121" i="1"/>
  <c r="B16641" i="1"/>
  <c r="D16641" i="1"/>
  <c r="G16641" i="1"/>
  <c r="B10608" i="1"/>
  <c r="D10608" i="1"/>
  <c r="G10608" i="1"/>
  <c r="B13463" i="1"/>
  <c r="D13463" i="1"/>
  <c r="G13463" i="1"/>
  <c r="B19278" i="1"/>
  <c r="D19278" i="1"/>
  <c r="G19278" i="1"/>
  <c r="B15907" i="1"/>
  <c r="D15907" i="1"/>
  <c r="G15907" i="1"/>
  <c r="B18226" i="1"/>
  <c r="D18226" i="1"/>
  <c r="G18226" i="1"/>
  <c r="B14850" i="1"/>
  <c r="D14850" i="1"/>
  <c r="G14850" i="1"/>
  <c r="B15817" i="1"/>
  <c r="D15817" i="1"/>
  <c r="G15817" i="1"/>
  <c r="B13659" i="1"/>
  <c r="D13659" i="1"/>
  <c r="G13659" i="1"/>
  <c r="B9761" i="1"/>
  <c r="D9761" i="1"/>
  <c r="G9761" i="1"/>
  <c r="B9762" i="1"/>
  <c r="D9762" i="1"/>
  <c r="G9762" i="1"/>
  <c r="B9906" i="1"/>
  <c r="D9906" i="1"/>
  <c r="G9906" i="1"/>
  <c r="B3680" i="1"/>
  <c r="D3680" i="1"/>
  <c r="G3680" i="1"/>
  <c r="B13728" i="1"/>
  <c r="D13728" i="1"/>
  <c r="G13728" i="1"/>
  <c r="B18136" i="1"/>
  <c r="D18136" i="1"/>
  <c r="G18136" i="1"/>
  <c r="B607" i="1"/>
  <c r="D607" i="1"/>
  <c r="G607" i="1"/>
  <c r="B15171" i="1"/>
  <c r="D15171" i="1"/>
  <c r="G15171" i="1"/>
  <c r="B7965" i="1"/>
  <c r="D7965" i="1"/>
  <c r="G7965" i="1"/>
  <c r="B7966" i="1"/>
  <c r="D7966" i="1"/>
  <c r="G7966" i="1"/>
  <c r="B16642" i="1"/>
  <c r="D16642" i="1"/>
  <c r="G16642" i="1"/>
  <c r="B20875" i="1"/>
  <c r="D20875" i="1"/>
  <c r="G20875" i="1"/>
  <c r="B11601" i="1"/>
  <c r="D11601" i="1"/>
  <c r="G11601" i="1"/>
  <c r="B11602" i="1"/>
  <c r="D11602" i="1"/>
  <c r="G11602" i="1"/>
  <c r="B20649" i="1"/>
  <c r="D20649" i="1"/>
  <c r="G20649" i="1"/>
  <c r="B21568" i="1"/>
  <c r="D21568" i="1"/>
  <c r="G21568" i="1"/>
  <c r="B17153" i="1"/>
  <c r="D17153" i="1"/>
  <c r="G17153" i="1"/>
  <c r="B15735" i="1"/>
  <c r="D15735" i="1"/>
  <c r="G15735" i="1"/>
  <c r="B4973" i="1"/>
  <c r="D4973" i="1"/>
  <c r="G4973" i="1"/>
  <c r="B8952" i="1"/>
  <c r="D8952" i="1"/>
  <c r="G8952" i="1"/>
  <c r="B16992" i="1"/>
  <c r="D16992" i="1"/>
  <c r="G16992" i="1"/>
  <c r="B14560" i="1"/>
  <c r="D14560" i="1"/>
  <c r="G14560" i="1"/>
  <c r="B18565" i="1"/>
  <c r="D18565" i="1"/>
  <c r="G18565" i="1"/>
  <c r="B20132" i="1"/>
  <c r="D20132" i="1"/>
  <c r="G20132" i="1"/>
  <c r="B20876" i="1"/>
  <c r="D20876" i="1"/>
  <c r="G20876" i="1"/>
  <c r="B19279" i="1"/>
  <c r="D19279" i="1"/>
  <c r="G19279" i="1"/>
  <c r="B14644" i="1"/>
  <c r="D14644" i="1"/>
  <c r="G14644" i="1"/>
  <c r="B12885" i="1"/>
  <c r="D12885" i="1"/>
  <c r="G12885" i="1"/>
  <c r="B20042" i="1"/>
  <c r="D20042" i="1"/>
  <c r="G20042" i="1"/>
  <c r="B2010" i="1"/>
  <c r="D2010" i="1"/>
  <c r="G2010" i="1"/>
  <c r="B7091" i="1"/>
  <c r="D7091" i="1"/>
  <c r="G7091" i="1"/>
  <c r="B8953" i="1"/>
  <c r="D8953" i="1"/>
  <c r="G8953" i="1"/>
  <c r="B17791" i="1"/>
  <c r="D17791" i="1"/>
  <c r="G17791" i="1"/>
  <c r="B17792" i="1"/>
  <c r="D17792" i="1"/>
  <c r="G17792" i="1"/>
  <c r="B11816" i="1"/>
  <c r="D11816" i="1"/>
  <c r="G11816" i="1"/>
  <c r="B16993" i="1"/>
  <c r="D16993" i="1"/>
  <c r="G16993" i="1"/>
  <c r="B14319" i="1"/>
  <c r="D14319" i="1"/>
  <c r="G14319" i="1"/>
  <c r="B15549" i="1"/>
  <c r="D15549" i="1"/>
  <c r="G15549" i="1"/>
  <c r="B15908" i="1"/>
  <c r="D15908" i="1"/>
  <c r="G15908" i="1"/>
  <c r="B19632" i="1"/>
  <c r="D19632" i="1"/>
  <c r="G19632" i="1"/>
  <c r="B15818" i="1"/>
  <c r="D15818" i="1"/>
  <c r="G15818" i="1"/>
  <c r="B13006" i="1"/>
  <c r="D13006" i="1"/>
  <c r="G13006" i="1"/>
  <c r="B14147" i="1"/>
  <c r="D14147" i="1"/>
  <c r="G14147" i="1"/>
  <c r="B18566" i="1"/>
  <c r="D18566" i="1"/>
  <c r="G18566" i="1"/>
  <c r="B12209" i="1"/>
  <c r="D12209" i="1"/>
  <c r="G12209" i="1"/>
  <c r="B21722" i="1"/>
  <c r="D21722" i="1"/>
  <c r="G21722" i="1"/>
  <c r="B9933" i="1"/>
  <c r="D9933" i="1"/>
  <c r="G9933" i="1"/>
  <c r="B13846" i="1"/>
  <c r="D13846" i="1"/>
  <c r="G13846" i="1"/>
  <c r="B17793" i="1"/>
  <c r="D17793" i="1"/>
  <c r="G17793" i="1"/>
  <c r="B15172" i="1"/>
  <c r="D15172" i="1"/>
  <c r="G15172" i="1"/>
  <c r="B21723" i="1"/>
  <c r="D21723" i="1"/>
  <c r="G21723" i="1"/>
  <c r="B20467" i="1"/>
  <c r="D20467" i="1"/>
  <c r="G20467" i="1"/>
  <c r="B16127" i="1"/>
  <c r="D16127" i="1"/>
  <c r="G16127" i="1"/>
  <c r="B5741" i="1"/>
  <c r="D5741" i="1"/>
  <c r="G5741" i="1"/>
  <c r="B17794" i="1"/>
  <c r="D17794" i="1"/>
  <c r="G17794" i="1"/>
  <c r="B19633" i="1"/>
  <c r="D19633" i="1"/>
  <c r="G19633" i="1"/>
  <c r="B16128" i="1"/>
  <c r="D16128" i="1"/>
  <c r="G16128" i="1"/>
  <c r="B17795" i="1"/>
  <c r="D17795" i="1"/>
  <c r="G17795" i="1"/>
  <c r="B17796" i="1"/>
  <c r="D17796" i="1"/>
  <c r="G17796" i="1"/>
  <c r="B15173" i="1"/>
  <c r="D15173" i="1"/>
  <c r="G15173" i="1"/>
  <c r="B4426" i="1"/>
  <c r="D4426" i="1"/>
  <c r="G4426" i="1"/>
  <c r="B16643" i="1"/>
  <c r="D16643" i="1"/>
  <c r="G16643" i="1"/>
  <c r="B18745" i="1"/>
  <c r="D18745" i="1"/>
  <c r="G18745" i="1"/>
  <c r="B15174" i="1"/>
  <c r="D15174" i="1"/>
  <c r="G15174" i="1"/>
  <c r="B62" i="1"/>
  <c r="D62" i="1"/>
  <c r="G62" i="1"/>
  <c r="B608" i="1"/>
  <c r="D608" i="1"/>
  <c r="G608" i="1"/>
  <c r="B14106" i="1"/>
  <c r="D14106" i="1"/>
  <c r="G14106" i="1"/>
  <c r="B16129" i="1"/>
  <c r="D16129" i="1"/>
  <c r="G16129" i="1"/>
  <c r="B7584" i="1"/>
  <c r="D7584" i="1"/>
  <c r="G7584" i="1"/>
  <c r="B17797" i="1"/>
  <c r="D17797" i="1"/>
  <c r="G17797" i="1"/>
  <c r="B4831" i="1"/>
  <c r="D4831" i="1"/>
  <c r="G4831" i="1"/>
  <c r="B16644" i="1"/>
  <c r="D16644" i="1"/>
  <c r="G16644" i="1"/>
  <c r="B14237" i="1"/>
  <c r="D14237" i="1"/>
  <c r="G14237" i="1"/>
  <c r="B16645" i="1"/>
  <c r="D16645" i="1"/>
  <c r="G16645" i="1"/>
  <c r="B17404" i="1"/>
  <c r="D17404" i="1"/>
  <c r="G17404" i="1"/>
  <c r="B18137" i="1"/>
  <c r="D18137" i="1"/>
  <c r="G18137" i="1"/>
  <c r="B17798" i="1"/>
  <c r="D17798" i="1"/>
  <c r="G17798" i="1"/>
  <c r="B17154" i="1"/>
  <c r="D17154" i="1"/>
  <c r="G17154" i="1"/>
  <c r="B609" i="1"/>
  <c r="D609" i="1"/>
  <c r="G609" i="1"/>
  <c r="B610" i="1"/>
  <c r="D610" i="1"/>
  <c r="G610" i="1"/>
  <c r="B17253" i="1"/>
  <c r="D17253" i="1"/>
  <c r="G17253" i="1"/>
  <c r="B14506" i="1"/>
  <c r="D14506" i="1"/>
  <c r="G14506" i="1"/>
  <c r="B5755" i="1"/>
  <c r="D5755" i="1"/>
  <c r="G5755" i="1"/>
  <c r="B12681" i="1"/>
  <c r="D12681" i="1"/>
  <c r="G12681" i="1"/>
  <c r="B9151" i="1"/>
  <c r="D9151" i="1"/>
  <c r="G9151" i="1"/>
  <c r="B13247" i="1"/>
  <c r="D13247" i="1"/>
  <c r="G13247" i="1"/>
  <c r="B17799" i="1"/>
  <c r="D17799" i="1"/>
  <c r="G17799" i="1"/>
  <c r="B17800" i="1"/>
  <c r="D17800" i="1"/>
  <c r="G17800" i="1"/>
  <c r="B3989" i="1"/>
  <c r="D3989" i="1"/>
  <c r="G3989" i="1"/>
  <c r="B14238" i="1"/>
  <c r="D14238" i="1"/>
  <c r="G14238" i="1"/>
  <c r="B19067" i="1"/>
  <c r="D19067" i="1"/>
  <c r="G19067" i="1"/>
  <c r="B20133" i="1"/>
  <c r="D20133" i="1"/>
  <c r="G20133" i="1"/>
  <c r="B16646" i="1"/>
  <c r="D16646" i="1"/>
  <c r="G16646" i="1"/>
  <c r="B15550" i="1"/>
  <c r="D15550" i="1"/>
  <c r="G15550" i="1"/>
  <c r="B15175" i="1"/>
  <c r="D15175" i="1"/>
  <c r="G15175" i="1"/>
  <c r="B611" i="1"/>
  <c r="D611" i="1"/>
  <c r="G611" i="1"/>
  <c r="B612" i="1"/>
  <c r="D612" i="1"/>
  <c r="G612" i="1"/>
  <c r="B4104" i="1"/>
  <c r="D4104" i="1"/>
  <c r="G4104" i="1"/>
  <c r="B4356" i="1"/>
  <c r="D4356" i="1"/>
  <c r="G4356" i="1"/>
  <c r="B1752" i="1"/>
  <c r="D1752" i="1"/>
  <c r="G1752" i="1"/>
  <c r="B1753" i="1"/>
  <c r="D1753" i="1"/>
  <c r="G1753" i="1"/>
  <c r="B12539" i="1"/>
  <c r="D12539" i="1"/>
  <c r="G12539" i="1"/>
  <c r="B12540" i="1"/>
  <c r="D12540" i="1"/>
  <c r="G12540" i="1"/>
  <c r="B6427" i="1"/>
  <c r="D6427" i="1"/>
  <c r="G6427" i="1"/>
  <c r="B1754" i="1"/>
  <c r="D1754" i="1"/>
  <c r="G1754" i="1"/>
  <c r="B1755" i="1"/>
  <c r="D1755" i="1"/>
  <c r="G1755" i="1"/>
  <c r="B10930" i="1"/>
  <c r="D10930" i="1"/>
  <c r="G10930" i="1"/>
  <c r="B16130" i="1"/>
  <c r="D16130" i="1"/>
  <c r="G16130" i="1"/>
  <c r="B5879" i="1"/>
  <c r="D5879" i="1"/>
  <c r="G5879" i="1"/>
  <c r="B4240" i="1"/>
  <c r="D4240" i="1"/>
  <c r="G4240" i="1"/>
  <c r="B16647" i="1"/>
  <c r="D16647" i="1"/>
  <c r="G16647" i="1"/>
  <c r="B11212" i="1"/>
  <c r="D11212" i="1"/>
  <c r="G11212" i="1"/>
  <c r="B16131" i="1"/>
  <c r="D16131" i="1"/>
  <c r="G16131" i="1"/>
  <c r="B7046" i="1"/>
  <c r="D7046" i="1"/>
  <c r="G7046" i="1"/>
  <c r="B14851" i="1"/>
  <c r="D14851" i="1"/>
  <c r="G14851" i="1"/>
  <c r="B2942" i="1"/>
  <c r="D2942" i="1"/>
  <c r="G2942" i="1"/>
  <c r="B30" i="1"/>
  <c r="D30" i="1"/>
  <c r="G30" i="1"/>
  <c r="B21654" i="1"/>
  <c r="D21654" i="1"/>
  <c r="G21654" i="1"/>
  <c r="B4760" i="1"/>
  <c r="D4760" i="1"/>
  <c r="G4760" i="1"/>
  <c r="B13847" i="1"/>
  <c r="D13847" i="1"/>
  <c r="G13847" i="1"/>
  <c r="B5246" i="1"/>
  <c r="D5246" i="1"/>
  <c r="G5246" i="1"/>
  <c r="B20877" i="1"/>
  <c r="D20877" i="1"/>
  <c r="G20877" i="1"/>
  <c r="B20878" i="1"/>
  <c r="D20878" i="1"/>
  <c r="G20878" i="1"/>
  <c r="B13679" i="1"/>
  <c r="D13679" i="1"/>
  <c r="G13679" i="1"/>
  <c r="B8954" i="1"/>
  <c r="D8954" i="1"/>
  <c r="G8954" i="1"/>
  <c r="B6819" i="1"/>
  <c r="D6819" i="1"/>
  <c r="G6819" i="1"/>
  <c r="B6880" i="1"/>
  <c r="D6880" i="1"/>
  <c r="G6880" i="1"/>
  <c r="B613" i="1"/>
  <c r="D613" i="1"/>
  <c r="G613" i="1"/>
  <c r="B17155" i="1"/>
  <c r="D17155" i="1"/>
  <c r="G17155" i="1"/>
  <c r="B8955" i="1"/>
  <c r="D8955" i="1"/>
  <c r="G8955" i="1"/>
  <c r="B16648" i="1"/>
  <c r="D16648" i="1"/>
  <c r="G16648" i="1"/>
  <c r="B614" i="1"/>
  <c r="D614" i="1"/>
  <c r="G614" i="1"/>
  <c r="B6428" i="1"/>
  <c r="D6428" i="1"/>
  <c r="G6428" i="1"/>
  <c r="B6514" i="1"/>
  <c r="D6514" i="1"/>
  <c r="G6514" i="1"/>
  <c r="B16649" i="1"/>
  <c r="D16649" i="1"/>
  <c r="G16649" i="1"/>
  <c r="B5815" i="1"/>
  <c r="D5815" i="1"/>
  <c r="G5815" i="1"/>
  <c r="B120" i="1"/>
  <c r="D120" i="1"/>
  <c r="G120" i="1"/>
  <c r="B13754" i="1"/>
  <c r="D13754" i="1"/>
  <c r="G13754" i="1"/>
  <c r="B7585" i="1"/>
  <c r="D7585" i="1"/>
  <c r="G7585" i="1"/>
  <c r="B20879" i="1"/>
  <c r="D20879" i="1"/>
  <c r="G20879" i="1"/>
  <c r="B6110" i="1"/>
  <c r="D6110" i="1"/>
  <c r="G6110" i="1"/>
  <c r="B17156" i="1"/>
  <c r="D17156" i="1"/>
  <c r="G17156" i="1"/>
  <c r="B7586" i="1"/>
  <c r="D7586" i="1"/>
  <c r="G7586" i="1"/>
  <c r="B3681" i="1"/>
  <c r="D3681" i="1"/>
  <c r="G3681" i="1"/>
  <c r="B13403" i="1"/>
  <c r="D13403" i="1"/>
  <c r="G13403" i="1"/>
  <c r="B13848" i="1"/>
  <c r="D13848" i="1"/>
  <c r="G13848" i="1"/>
  <c r="B16650" i="1"/>
  <c r="D16650" i="1"/>
  <c r="G16650" i="1"/>
  <c r="B9763" i="1"/>
  <c r="D9763" i="1"/>
  <c r="G9763" i="1"/>
  <c r="B18696" i="1"/>
  <c r="D18696" i="1"/>
  <c r="G18696" i="1"/>
  <c r="B16651" i="1"/>
  <c r="D16651" i="1"/>
  <c r="G16651" i="1"/>
  <c r="B15176" i="1"/>
  <c r="D15176" i="1"/>
  <c r="G15176" i="1"/>
  <c r="B8956" i="1"/>
  <c r="D8956" i="1"/>
  <c r="G8956" i="1"/>
  <c r="B1326" i="1"/>
  <c r="D1326" i="1"/>
  <c r="G1326" i="1"/>
  <c r="B17157" i="1"/>
  <c r="D17157" i="1"/>
  <c r="G17157" i="1"/>
  <c r="B17801" i="1"/>
  <c r="D17801" i="1"/>
  <c r="G17801" i="1"/>
  <c r="B17802" i="1"/>
  <c r="D17802" i="1"/>
  <c r="G17802" i="1"/>
  <c r="B12411" i="1"/>
  <c r="D12411" i="1"/>
  <c r="G12411" i="1"/>
  <c r="B1421" i="1"/>
  <c r="D1421" i="1"/>
  <c r="G1421" i="1"/>
  <c r="B12886" i="1"/>
  <c r="D12886" i="1"/>
  <c r="G12886" i="1"/>
  <c r="B15551" i="1"/>
  <c r="D15551" i="1"/>
  <c r="G15551" i="1"/>
  <c r="B17540" i="1"/>
  <c r="D17540" i="1"/>
  <c r="G17540" i="1"/>
  <c r="B18095" i="1"/>
  <c r="D18095" i="1"/>
  <c r="G18095" i="1"/>
  <c r="B16132" i="1"/>
  <c r="D16132" i="1"/>
  <c r="G16132" i="1"/>
  <c r="B13024" i="1"/>
  <c r="D13024" i="1"/>
  <c r="G13024" i="1"/>
  <c r="B21569" i="1"/>
  <c r="D21569" i="1"/>
  <c r="G21569" i="1"/>
  <c r="B2237" i="1"/>
  <c r="D2237" i="1"/>
  <c r="G2237" i="1"/>
  <c r="B17803" i="1"/>
  <c r="D17803" i="1"/>
  <c r="G17803" i="1"/>
  <c r="B17804" i="1"/>
  <c r="D17804" i="1"/>
  <c r="G17804" i="1"/>
  <c r="B20880" i="1"/>
  <c r="D20880" i="1"/>
  <c r="G20880" i="1"/>
  <c r="B11603" i="1"/>
  <c r="D11603" i="1"/>
  <c r="G11603" i="1"/>
  <c r="B15177" i="1"/>
  <c r="D15177" i="1"/>
  <c r="G15177" i="1"/>
  <c r="B15178" i="1"/>
  <c r="D15178" i="1"/>
  <c r="G15178" i="1"/>
  <c r="B12210" i="1"/>
  <c r="D12210" i="1"/>
  <c r="G12210" i="1"/>
  <c r="B19634" i="1"/>
  <c r="D19634" i="1"/>
  <c r="G19634" i="1"/>
  <c r="B18567" i="1"/>
  <c r="D18567" i="1"/>
  <c r="G18567" i="1"/>
  <c r="B19068" i="1"/>
  <c r="D19068" i="1"/>
  <c r="G19068" i="1"/>
  <c r="B15552" i="1"/>
  <c r="D15552" i="1"/>
  <c r="G15552" i="1"/>
  <c r="B18913" i="1"/>
  <c r="D18913" i="1"/>
  <c r="G18913" i="1"/>
  <c r="B5538" i="1"/>
  <c r="D5538" i="1"/>
  <c r="G5538" i="1"/>
  <c r="B16652" i="1"/>
  <c r="D16652" i="1"/>
  <c r="G16652" i="1"/>
  <c r="B417" i="1"/>
  <c r="D417" i="1"/>
  <c r="G417" i="1"/>
  <c r="B15553" i="1"/>
  <c r="D15553" i="1"/>
  <c r="G15553" i="1"/>
  <c r="B18096" i="1"/>
  <c r="D18096" i="1"/>
  <c r="G18096" i="1"/>
  <c r="B21724" i="1"/>
  <c r="D21724" i="1"/>
  <c r="G21724" i="1"/>
  <c r="B17805" i="1"/>
  <c r="D17805" i="1"/>
  <c r="G17805" i="1"/>
  <c r="B17806" i="1"/>
  <c r="D17806" i="1"/>
  <c r="G17806" i="1"/>
  <c r="B20316" i="1"/>
  <c r="D20316" i="1"/>
  <c r="G20316" i="1"/>
  <c r="B11890" i="1"/>
  <c r="D11890" i="1"/>
  <c r="G11890" i="1"/>
  <c r="B20409" i="1"/>
  <c r="D20409" i="1"/>
  <c r="G20409" i="1"/>
  <c r="B13337" i="1"/>
  <c r="D13337" i="1"/>
  <c r="G13337" i="1"/>
  <c r="B8957" i="1"/>
  <c r="D8957" i="1"/>
  <c r="G8957" i="1"/>
  <c r="B19635" i="1"/>
  <c r="D19635" i="1"/>
  <c r="G19635" i="1"/>
  <c r="B16133" i="1"/>
  <c r="D16133" i="1"/>
  <c r="G16133" i="1"/>
  <c r="B4663" i="1"/>
  <c r="D4663" i="1"/>
  <c r="G4663" i="1"/>
  <c r="B14561" i="1"/>
  <c r="D14561" i="1"/>
  <c r="G14561" i="1"/>
  <c r="B17807" i="1"/>
  <c r="D17807" i="1"/>
  <c r="G17807" i="1"/>
  <c r="B16068" i="1"/>
  <c r="D16068" i="1"/>
  <c r="G16068" i="1"/>
  <c r="B22181" i="1"/>
  <c r="D22181" i="1"/>
  <c r="G22181" i="1"/>
  <c r="B615" i="1"/>
  <c r="D615" i="1"/>
  <c r="G615" i="1"/>
  <c r="B4963" i="1"/>
  <c r="D4963" i="1"/>
  <c r="G4963" i="1"/>
  <c r="B16653" i="1"/>
  <c r="D16653" i="1"/>
  <c r="G16653" i="1"/>
  <c r="B19636" i="1"/>
  <c r="D19636" i="1"/>
  <c r="G19636" i="1"/>
  <c r="B10034" i="1"/>
  <c r="D10034" i="1"/>
  <c r="G10034" i="1"/>
  <c r="B14094" i="1"/>
  <c r="D14094" i="1"/>
  <c r="G14094" i="1"/>
  <c r="B17258" i="1"/>
  <c r="D17258" i="1"/>
  <c r="G17258" i="1"/>
  <c r="B16654" i="1"/>
  <c r="D16654" i="1"/>
  <c r="G16654" i="1"/>
  <c r="B7967" i="1"/>
  <c r="D7967" i="1"/>
  <c r="G7967" i="1"/>
  <c r="B19280" i="1"/>
  <c r="D19280" i="1"/>
  <c r="G19280" i="1"/>
  <c r="B15909" i="1"/>
  <c r="D15909" i="1"/>
  <c r="G15909" i="1"/>
  <c r="B15819" i="1"/>
  <c r="D15819" i="1"/>
  <c r="G15819" i="1"/>
  <c r="B16655" i="1"/>
  <c r="D16655" i="1"/>
  <c r="G16655" i="1"/>
  <c r="B9915" i="1"/>
  <c r="D9915" i="1"/>
  <c r="G9915" i="1"/>
  <c r="B7587" i="1"/>
  <c r="D7587" i="1"/>
  <c r="G7587" i="1"/>
  <c r="B18568" i="1"/>
  <c r="D18568" i="1"/>
  <c r="G18568" i="1"/>
  <c r="B5539" i="1"/>
  <c r="D5539" i="1"/>
  <c r="G5539" i="1"/>
  <c r="B9764" i="1"/>
  <c r="D9764" i="1"/>
  <c r="G9764" i="1"/>
  <c r="B9765" i="1"/>
  <c r="D9765" i="1"/>
  <c r="G9765" i="1"/>
  <c r="B9766" i="1"/>
  <c r="D9766" i="1"/>
  <c r="G9766" i="1"/>
  <c r="B9767" i="1"/>
  <c r="D9767" i="1"/>
  <c r="G9767" i="1"/>
  <c r="B17158" i="1"/>
  <c r="D17158" i="1"/>
  <c r="G17158" i="1"/>
  <c r="B9404" i="1"/>
  <c r="D9404" i="1"/>
  <c r="G9404" i="1"/>
  <c r="B4555" i="1"/>
  <c r="D4555" i="1"/>
  <c r="G4555" i="1"/>
  <c r="B1756" i="1"/>
  <c r="D1756" i="1"/>
  <c r="G1756" i="1"/>
  <c r="B18246" i="1"/>
  <c r="D18246" i="1"/>
  <c r="G18246" i="1"/>
  <c r="B16656" i="1"/>
  <c r="D16656" i="1"/>
  <c r="G16656" i="1"/>
  <c r="B10609" i="1"/>
  <c r="D10609" i="1"/>
  <c r="G10609" i="1"/>
  <c r="B15554" i="1"/>
  <c r="D15554" i="1"/>
  <c r="G15554" i="1"/>
  <c r="B9768" i="1"/>
  <c r="D9768" i="1"/>
  <c r="G9768" i="1"/>
  <c r="B5796" i="1"/>
  <c r="D5796" i="1"/>
  <c r="G5796" i="1"/>
  <c r="B19637" i="1"/>
  <c r="D19637" i="1"/>
  <c r="G19637" i="1"/>
  <c r="B616" i="1"/>
  <c r="D616" i="1"/>
  <c r="G616" i="1"/>
  <c r="B617" i="1"/>
  <c r="D617" i="1"/>
  <c r="G617" i="1"/>
  <c r="B2150" i="1"/>
  <c r="D2150" i="1"/>
  <c r="G2150" i="1"/>
  <c r="B18569" i="1"/>
  <c r="D18569" i="1"/>
  <c r="G18569" i="1"/>
  <c r="B14113" i="1"/>
  <c r="D14113" i="1"/>
  <c r="G14113" i="1"/>
  <c r="B63" i="1"/>
  <c r="D63" i="1"/>
  <c r="G63" i="1"/>
  <c r="B356" i="1"/>
  <c r="D356" i="1"/>
  <c r="G356" i="1"/>
  <c r="B13228" i="1"/>
  <c r="D13228" i="1"/>
  <c r="G13228" i="1"/>
  <c r="B20410" i="1"/>
  <c r="D20410" i="1"/>
  <c r="G20410" i="1"/>
  <c r="B20317" i="1"/>
  <c r="D20317" i="1"/>
  <c r="G20317" i="1"/>
  <c r="B17159" i="1"/>
  <c r="D17159" i="1"/>
  <c r="G17159" i="1"/>
  <c r="B13942" i="1"/>
  <c r="D13942" i="1"/>
  <c r="G13942" i="1"/>
  <c r="B11213" i="1"/>
  <c r="D11213" i="1"/>
  <c r="G11213" i="1"/>
  <c r="B18247" i="1"/>
  <c r="D18247" i="1"/>
  <c r="G18247" i="1"/>
  <c r="B17808" i="1"/>
  <c r="D17808" i="1"/>
  <c r="G17808" i="1"/>
  <c r="B21806" i="1"/>
  <c r="D21806" i="1"/>
  <c r="G21806" i="1"/>
  <c r="B22062" i="1"/>
  <c r="D22062" i="1"/>
  <c r="G22062" i="1"/>
  <c r="B16657" i="1"/>
  <c r="D16657" i="1"/>
  <c r="G16657" i="1"/>
  <c r="B21361" i="1"/>
  <c r="D21361" i="1"/>
  <c r="G21361" i="1"/>
  <c r="B155" i="1"/>
  <c r="D155" i="1"/>
  <c r="G155" i="1"/>
  <c r="B729" i="1"/>
  <c r="D729" i="1"/>
  <c r="G729" i="1"/>
  <c r="B18370" i="1"/>
  <c r="D18370" i="1"/>
  <c r="G18370" i="1"/>
  <c r="B14239" i="1"/>
  <c r="D14239" i="1"/>
  <c r="G14239" i="1"/>
  <c r="B14240" i="1"/>
  <c r="D14240" i="1"/>
  <c r="G14240" i="1"/>
  <c r="B16658" i="1"/>
  <c r="D16658" i="1"/>
  <c r="G16658" i="1"/>
  <c r="B2943" i="1"/>
  <c r="D2943" i="1"/>
  <c r="G2943" i="1"/>
  <c r="B9137" i="1"/>
  <c r="D9137" i="1"/>
  <c r="G9137" i="1"/>
  <c r="B6962" i="1"/>
  <c r="D6962" i="1"/>
  <c r="G6962" i="1"/>
  <c r="B10931" i="1"/>
  <c r="D10931" i="1"/>
  <c r="G10931" i="1"/>
  <c r="B7588" i="1"/>
  <c r="D7588" i="1"/>
  <c r="G7588" i="1"/>
  <c r="B14507" i="1"/>
  <c r="D14507" i="1"/>
  <c r="G14507" i="1"/>
  <c r="B6701" i="1"/>
  <c r="D6701" i="1"/>
  <c r="G6701" i="1"/>
  <c r="B14852" i="1"/>
  <c r="D14852" i="1"/>
  <c r="G14852" i="1"/>
  <c r="B17160" i="1"/>
  <c r="D17160" i="1"/>
  <c r="G17160" i="1"/>
  <c r="B16134" i="1"/>
  <c r="D16134" i="1"/>
  <c r="G16134" i="1"/>
  <c r="B16659" i="1"/>
  <c r="D16659" i="1"/>
  <c r="G16659" i="1"/>
  <c r="B18570" i="1"/>
  <c r="D18570" i="1"/>
  <c r="G18570" i="1"/>
  <c r="B8213" i="1"/>
  <c r="D8213" i="1"/>
  <c r="G8213" i="1"/>
  <c r="B8214" i="1"/>
  <c r="D8214" i="1"/>
  <c r="G8214" i="1"/>
  <c r="B17161" i="1"/>
  <c r="D17161" i="1"/>
  <c r="G17161" i="1"/>
  <c r="B4964" i="1"/>
  <c r="D4964" i="1"/>
  <c r="G4964" i="1"/>
  <c r="B20650" i="1"/>
  <c r="D20650" i="1"/>
  <c r="G20650" i="1"/>
  <c r="B17162" i="1"/>
  <c r="D17162" i="1"/>
  <c r="G17162" i="1"/>
  <c r="B7968" i="1"/>
  <c r="D7968" i="1"/>
  <c r="G7968" i="1"/>
  <c r="B7969" i="1"/>
  <c r="D7969" i="1"/>
  <c r="G7969" i="1"/>
  <c r="B16660" i="1"/>
  <c r="D16660" i="1"/>
  <c r="G16660" i="1"/>
  <c r="B11745" i="1"/>
  <c r="D11745" i="1"/>
  <c r="G11745" i="1"/>
  <c r="B14044" i="1"/>
  <c r="D14044" i="1"/>
  <c r="G14044" i="1"/>
  <c r="B3359" i="1"/>
  <c r="D3359" i="1"/>
  <c r="G3359" i="1"/>
  <c r="B8366" i="1"/>
  <c r="D8366" i="1"/>
  <c r="G8366" i="1"/>
  <c r="B15910" i="1"/>
  <c r="D15910" i="1"/>
  <c r="G15910" i="1"/>
  <c r="B12211" i="1"/>
  <c r="D12211" i="1"/>
  <c r="G12211" i="1"/>
  <c r="B10312" i="1"/>
  <c r="D10312" i="1"/>
  <c r="G10312" i="1"/>
  <c r="B19281" i="1"/>
  <c r="D19281" i="1"/>
  <c r="G19281" i="1"/>
  <c r="B18914" i="1"/>
  <c r="D18914" i="1"/>
  <c r="G18914" i="1"/>
  <c r="B4357" i="1"/>
  <c r="D4357" i="1"/>
  <c r="G4357" i="1"/>
  <c r="B2944" i="1"/>
  <c r="D2944" i="1"/>
  <c r="G2944" i="1"/>
  <c r="B15555" i="1"/>
  <c r="D15555" i="1"/>
  <c r="G15555" i="1"/>
  <c r="B15179" i="1"/>
  <c r="D15179" i="1"/>
  <c r="G15179" i="1"/>
  <c r="B15180" i="1"/>
  <c r="D15180" i="1"/>
  <c r="G15180" i="1"/>
  <c r="B20411" i="1"/>
  <c r="D20411" i="1"/>
  <c r="G20411" i="1"/>
  <c r="B16994" i="1"/>
  <c r="D16994" i="1"/>
  <c r="G16994" i="1"/>
  <c r="B3682" i="1"/>
  <c r="D3682" i="1"/>
  <c r="G3682" i="1"/>
  <c r="B8367" i="1"/>
  <c r="D8367" i="1"/>
  <c r="G8367" i="1"/>
  <c r="B19282" i="1"/>
  <c r="D19282" i="1"/>
  <c r="G19282" i="1"/>
  <c r="B14148" i="1"/>
  <c r="D14148" i="1"/>
  <c r="G14148" i="1"/>
  <c r="B4761" i="1"/>
  <c r="D4761" i="1"/>
  <c r="G4761" i="1"/>
  <c r="B6528" i="1"/>
  <c r="D6528" i="1"/>
  <c r="G6528" i="1"/>
  <c r="B17809" i="1"/>
  <c r="D17809" i="1"/>
  <c r="G17809" i="1"/>
  <c r="B16135" i="1"/>
  <c r="D16135" i="1"/>
  <c r="G16135" i="1"/>
  <c r="B4664" i="1"/>
  <c r="D4664" i="1"/>
  <c r="G4664" i="1"/>
  <c r="B11721" i="1"/>
  <c r="D11721" i="1"/>
  <c r="G11721" i="1"/>
  <c r="B19903" i="1"/>
  <c r="D19903" i="1"/>
  <c r="G19903" i="1"/>
  <c r="B22182" i="1"/>
  <c r="D22182" i="1"/>
  <c r="G22182" i="1"/>
  <c r="B15181" i="1"/>
  <c r="D15181" i="1"/>
  <c r="G15181" i="1"/>
  <c r="B8958" i="1"/>
  <c r="D8958" i="1"/>
  <c r="G8958" i="1"/>
  <c r="B16661" i="1"/>
  <c r="D16661" i="1"/>
  <c r="G16661" i="1"/>
  <c r="B11604" i="1"/>
  <c r="D11604" i="1"/>
  <c r="G11604" i="1"/>
  <c r="B11605" i="1"/>
  <c r="D11605" i="1"/>
  <c r="G11605" i="1"/>
  <c r="B11606" i="1"/>
  <c r="D11606" i="1"/>
  <c r="G11606" i="1"/>
  <c r="B11607" i="1"/>
  <c r="D11607" i="1"/>
  <c r="G11607" i="1"/>
  <c r="B20004" i="1"/>
  <c r="D20004" i="1"/>
  <c r="G20004" i="1"/>
  <c r="B16662" i="1"/>
  <c r="D16662" i="1"/>
  <c r="G16662" i="1"/>
  <c r="B15182" i="1"/>
  <c r="D15182" i="1"/>
  <c r="G15182" i="1"/>
  <c r="B17163" i="1"/>
  <c r="D17163" i="1"/>
  <c r="G17163" i="1"/>
  <c r="B15556" i="1"/>
  <c r="D15556" i="1"/>
  <c r="G15556" i="1"/>
  <c r="B6963" i="1"/>
  <c r="D6963" i="1"/>
  <c r="G6963" i="1"/>
  <c r="B18097" i="1"/>
  <c r="D18097" i="1"/>
  <c r="G18097" i="1"/>
  <c r="B16663" i="1"/>
  <c r="D16663" i="1"/>
  <c r="G16663" i="1"/>
  <c r="B5823" i="1"/>
  <c r="D5823" i="1"/>
  <c r="G5823" i="1"/>
  <c r="B14074" i="1"/>
  <c r="D14074" i="1"/>
  <c r="G14074" i="1"/>
  <c r="B16995" i="1"/>
  <c r="D16995" i="1"/>
  <c r="G16995" i="1"/>
  <c r="B21122" i="1"/>
  <c r="D21122" i="1"/>
  <c r="G21122" i="1"/>
  <c r="B15183" i="1"/>
  <c r="D15183" i="1"/>
  <c r="G15183" i="1"/>
  <c r="B18571" i="1"/>
  <c r="D18571" i="1"/>
  <c r="G18571" i="1"/>
  <c r="B2011" i="1"/>
  <c r="D2011" i="1"/>
  <c r="G2011" i="1"/>
  <c r="B14028" i="1"/>
  <c r="D14028" i="1"/>
  <c r="G14028" i="1"/>
  <c r="B1514" i="1"/>
  <c r="D1514" i="1"/>
  <c r="G1514" i="1"/>
  <c r="B20881" i="1"/>
  <c r="D20881" i="1"/>
  <c r="G20881" i="1"/>
  <c r="B15557" i="1"/>
  <c r="D15557" i="1"/>
  <c r="G15557" i="1"/>
  <c r="B17405" i="1"/>
  <c r="D17405" i="1"/>
  <c r="G17405" i="1"/>
  <c r="B20651" i="1"/>
  <c r="D20651" i="1"/>
  <c r="G20651" i="1"/>
  <c r="B19069" i="1"/>
  <c r="D19069" i="1"/>
  <c r="G19069" i="1"/>
  <c r="B21123" i="1"/>
  <c r="D21123" i="1"/>
  <c r="G21123" i="1"/>
  <c r="B15184" i="1"/>
  <c r="D15184" i="1"/>
  <c r="G15184" i="1"/>
  <c r="B17406" i="1"/>
  <c r="D17406" i="1"/>
  <c r="G17406" i="1"/>
  <c r="B20882" i="1"/>
  <c r="D20882" i="1"/>
  <c r="G20882" i="1"/>
  <c r="B13849" i="1"/>
  <c r="D13849" i="1"/>
  <c r="G13849" i="1"/>
  <c r="B8959" i="1"/>
  <c r="D8959" i="1"/>
  <c r="G8959" i="1"/>
  <c r="B15736" i="1"/>
  <c r="D15736" i="1"/>
  <c r="G15736" i="1"/>
  <c r="B17164" i="1"/>
  <c r="D17164" i="1"/>
  <c r="G17164" i="1"/>
  <c r="B16136" i="1"/>
  <c r="D16136" i="1"/>
  <c r="G16136" i="1"/>
  <c r="B12682" i="1"/>
  <c r="D12682" i="1"/>
  <c r="G12682" i="1"/>
  <c r="B21940" i="1"/>
  <c r="D21940" i="1"/>
  <c r="G21940" i="1"/>
  <c r="B21807" i="1"/>
  <c r="D21807" i="1"/>
  <c r="G21807" i="1"/>
  <c r="B5247" i="1"/>
  <c r="D5247" i="1"/>
  <c r="G5247" i="1"/>
  <c r="B21389" i="1"/>
  <c r="D21389" i="1"/>
  <c r="G21389" i="1"/>
  <c r="B15185" i="1"/>
  <c r="D15185" i="1"/>
  <c r="G15185" i="1"/>
  <c r="B21725" i="1"/>
  <c r="D21725" i="1"/>
  <c r="G21725" i="1"/>
  <c r="B6820" i="1"/>
  <c r="D6820" i="1"/>
  <c r="G6820" i="1"/>
  <c r="B3683" i="1"/>
  <c r="D3683" i="1"/>
  <c r="G3683" i="1"/>
  <c r="B7970" i="1"/>
  <c r="D7970" i="1"/>
  <c r="G7970" i="1"/>
  <c r="B9769" i="1"/>
  <c r="D9769" i="1"/>
  <c r="G9769" i="1"/>
  <c r="B9770" i="1"/>
  <c r="D9770" i="1"/>
  <c r="G9770" i="1"/>
  <c r="B18572" i="1"/>
  <c r="D18572" i="1"/>
  <c r="G18572" i="1"/>
  <c r="B21421" i="1"/>
  <c r="D21421" i="1"/>
  <c r="G21421" i="1"/>
  <c r="B9578" i="1"/>
  <c r="D9578" i="1"/>
  <c r="G9578" i="1"/>
  <c r="B18697" i="1"/>
  <c r="D18697" i="1"/>
  <c r="G18697" i="1"/>
  <c r="B21941" i="1"/>
  <c r="D21941" i="1"/>
  <c r="G21941" i="1"/>
  <c r="B21124" i="1"/>
  <c r="D21124" i="1"/>
  <c r="G21124" i="1"/>
  <c r="B7589" i="1"/>
  <c r="D7589" i="1"/>
  <c r="G7589" i="1"/>
  <c r="B16664" i="1"/>
  <c r="D16664" i="1"/>
  <c r="G16664" i="1"/>
  <c r="B20652" i="1"/>
  <c r="D20652" i="1"/>
  <c r="G20652" i="1"/>
  <c r="B19800" i="1"/>
  <c r="D19800" i="1"/>
  <c r="G19800" i="1"/>
  <c r="B17810" i="1"/>
  <c r="D17810" i="1"/>
  <c r="G17810" i="1"/>
  <c r="B20653" i="1"/>
  <c r="D20653" i="1"/>
  <c r="G20653" i="1"/>
  <c r="B17811" i="1"/>
  <c r="D17811" i="1"/>
  <c r="G17811" i="1"/>
  <c r="B17812" i="1"/>
  <c r="D17812" i="1"/>
  <c r="G17812" i="1"/>
  <c r="B6429" i="1"/>
  <c r="D6429" i="1"/>
  <c r="G6429" i="1"/>
  <c r="B20654" i="1"/>
  <c r="D20654" i="1"/>
  <c r="G20654" i="1"/>
  <c r="B10610" i="1"/>
  <c r="D10610" i="1"/>
  <c r="G10610" i="1"/>
  <c r="B10611" i="1"/>
  <c r="D10611" i="1"/>
  <c r="G10611" i="1"/>
  <c r="B10932" i="1"/>
  <c r="D10932" i="1"/>
  <c r="G10932" i="1"/>
  <c r="B10933" i="1"/>
  <c r="D10933" i="1"/>
  <c r="G10933" i="1"/>
  <c r="B6101" i="1"/>
  <c r="D6101" i="1"/>
  <c r="G6101" i="1"/>
  <c r="B14853" i="1"/>
  <c r="D14853" i="1"/>
  <c r="G14853" i="1"/>
  <c r="B6821" i="1"/>
  <c r="D6821" i="1"/>
  <c r="G6821" i="1"/>
  <c r="B6881" i="1"/>
  <c r="D6881" i="1"/>
  <c r="G6881" i="1"/>
  <c r="B16137" i="1"/>
  <c r="D16137" i="1"/>
  <c r="G16137" i="1"/>
  <c r="B17407" i="1"/>
  <c r="D17407" i="1"/>
  <c r="G17407" i="1"/>
  <c r="B20468" i="1"/>
  <c r="D20468" i="1"/>
  <c r="G20468" i="1"/>
  <c r="B16665" i="1"/>
  <c r="D16665" i="1"/>
  <c r="G16665" i="1"/>
  <c r="B21570" i="1"/>
  <c r="D21570" i="1"/>
  <c r="G21570" i="1"/>
  <c r="B21264" i="1"/>
  <c r="D21264" i="1"/>
  <c r="G21264" i="1"/>
  <c r="B2945" i="1"/>
  <c r="D2945" i="1"/>
  <c r="G2945" i="1"/>
  <c r="B16041" i="1"/>
  <c r="D16041" i="1"/>
  <c r="G16041" i="1"/>
  <c r="B1327" i="1"/>
  <c r="D1327" i="1"/>
  <c r="G1327" i="1"/>
  <c r="B1328" i="1"/>
  <c r="D1328" i="1"/>
  <c r="G1328" i="1"/>
  <c r="B8346" i="1"/>
  <c r="D8346" i="1"/>
  <c r="G8346" i="1"/>
  <c r="B18138" i="1"/>
  <c r="D18138" i="1"/>
  <c r="G18138" i="1"/>
  <c r="B4873" i="1"/>
  <c r="D4873" i="1"/>
  <c r="G4873" i="1"/>
  <c r="B16666" i="1"/>
  <c r="D16666" i="1"/>
  <c r="G16666" i="1"/>
  <c r="B9536" i="1"/>
  <c r="D9536" i="1"/>
  <c r="G9536" i="1"/>
  <c r="B9556" i="1"/>
  <c r="D9556" i="1"/>
  <c r="G9556" i="1"/>
  <c r="B15911" i="1"/>
  <c r="D15911" i="1"/>
  <c r="G15911" i="1"/>
  <c r="B19638" i="1"/>
  <c r="D19638" i="1"/>
  <c r="G19638" i="1"/>
  <c r="B18746" i="1"/>
  <c r="D18746" i="1"/>
  <c r="G18746" i="1"/>
  <c r="B4665" i="1"/>
  <c r="D4665" i="1"/>
  <c r="G4665" i="1"/>
  <c r="B15186" i="1"/>
  <c r="D15186" i="1"/>
  <c r="G15186" i="1"/>
  <c r="B14320" i="1"/>
  <c r="D14320" i="1"/>
  <c r="G14320" i="1"/>
  <c r="B13850" i="1"/>
  <c r="D13850" i="1"/>
  <c r="G13850" i="1"/>
  <c r="B16667" i="1"/>
  <c r="D16667" i="1"/>
  <c r="G16667" i="1"/>
  <c r="B21808" i="1"/>
  <c r="D21808" i="1"/>
  <c r="G21808" i="1"/>
  <c r="B4965" i="1"/>
  <c r="D4965" i="1"/>
  <c r="G4965" i="1"/>
  <c r="B291" i="1"/>
  <c r="D291" i="1"/>
  <c r="G291" i="1"/>
  <c r="B13851" i="1"/>
  <c r="D13851" i="1"/>
  <c r="G13851" i="1"/>
  <c r="B19815" i="1"/>
  <c r="D19815" i="1"/>
  <c r="G19815" i="1"/>
  <c r="B18573" i="1"/>
  <c r="D18573" i="1"/>
  <c r="G18573" i="1"/>
  <c r="B16668" i="1"/>
  <c r="D16668" i="1"/>
  <c r="G16668" i="1"/>
  <c r="B21726" i="1"/>
  <c r="D21726" i="1"/>
  <c r="G21726" i="1"/>
  <c r="B21727" i="1"/>
  <c r="D21727" i="1"/>
  <c r="G21727" i="1"/>
  <c r="B17165" i="1"/>
  <c r="D17165" i="1"/>
  <c r="G17165" i="1"/>
  <c r="B6430" i="1"/>
  <c r="D6430" i="1"/>
  <c r="G6430" i="1"/>
  <c r="B22063" i="1"/>
  <c r="D22063" i="1"/>
  <c r="G22063" i="1"/>
  <c r="B618" i="1"/>
  <c r="D618" i="1"/>
  <c r="G618" i="1"/>
  <c r="B8960" i="1"/>
  <c r="D8960" i="1"/>
  <c r="G8960" i="1"/>
  <c r="B17813" i="1"/>
  <c r="D17813" i="1"/>
  <c r="G17813" i="1"/>
  <c r="B17814" i="1"/>
  <c r="D17814" i="1"/>
  <c r="G17814" i="1"/>
  <c r="B17815" i="1"/>
  <c r="D17815" i="1"/>
  <c r="G17815" i="1"/>
  <c r="B17541" i="1"/>
  <c r="D17541" i="1"/>
  <c r="G17541" i="1"/>
  <c r="B14854" i="1"/>
  <c r="D14854" i="1"/>
  <c r="G14854" i="1"/>
  <c r="B20655" i="1"/>
  <c r="D20655" i="1"/>
  <c r="G20655" i="1"/>
  <c r="B20656" i="1"/>
  <c r="D20656" i="1"/>
  <c r="G20656" i="1"/>
  <c r="B7971" i="1"/>
  <c r="D7971" i="1"/>
  <c r="G7971" i="1"/>
  <c r="B7972" i="1"/>
  <c r="D7972" i="1"/>
  <c r="G7972" i="1"/>
  <c r="B6098" i="1"/>
  <c r="D6098" i="1"/>
  <c r="G6098" i="1"/>
  <c r="B9990" i="1"/>
  <c r="D9990" i="1"/>
  <c r="G9990" i="1"/>
  <c r="B15912" i="1"/>
  <c r="D15912" i="1"/>
  <c r="G15912" i="1"/>
  <c r="B16138" i="1"/>
  <c r="D16138" i="1"/>
  <c r="G16138" i="1"/>
  <c r="B5627" i="1"/>
  <c r="D5627" i="1"/>
  <c r="G5627" i="1"/>
  <c r="B5628" i="1"/>
  <c r="D5628" i="1"/>
  <c r="G5628" i="1"/>
  <c r="B5248" i="1"/>
  <c r="D5248" i="1"/>
  <c r="G5248" i="1"/>
  <c r="B16669" i="1"/>
  <c r="D16669" i="1"/>
  <c r="G16669" i="1"/>
  <c r="B16670" i="1"/>
  <c r="D16670" i="1"/>
  <c r="G16670" i="1"/>
  <c r="B15558" i="1"/>
  <c r="D15558" i="1"/>
  <c r="G15558" i="1"/>
  <c r="B15187" i="1"/>
  <c r="D15187" i="1"/>
  <c r="G15187" i="1"/>
  <c r="B2417" i="1"/>
  <c r="D2417" i="1"/>
  <c r="G2417" i="1"/>
  <c r="B17408" i="1"/>
  <c r="D17408" i="1"/>
  <c r="G17408" i="1"/>
  <c r="B21265" i="1"/>
  <c r="D21265" i="1"/>
  <c r="G21265" i="1"/>
  <c r="B7244" i="1"/>
  <c r="D7244" i="1"/>
  <c r="G7244" i="1"/>
  <c r="B7245" i="1"/>
  <c r="D7245" i="1"/>
  <c r="G7245" i="1"/>
  <c r="B21125" i="1"/>
  <c r="D21125" i="1"/>
  <c r="G21125" i="1"/>
  <c r="B16139" i="1"/>
  <c r="D16139" i="1"/>
  <c r="G16139" i="1"/>
  <c r="B2946" i="1"/>
  <c r="D2946" i="1"/>
  <c r="G2946" i="1"/>
  <c r="B21784" i="1"/>
  <c r="D21784" i="1"/>
  <c r="G21784" i="1"/>
  <c r="B10378" i="1"/>
  <c r="D10378" i="1"/>
  <c r="G10378" i="1"/>
  <c r="B13810" i="1"/>
  <c r="D13810" i="1"/>
  <c r="G13810" i="1"/>
  <c r="B13962" i="1"/>
  <c r="D13962" i="1"/>
  <c r="G13962" i="1"/>
  <c r="B14055" i="1"/>
  <c r="D14055" i="1"/>
  <c r="G14055" i="1"/>
  <c r="B10934" i="1"/>
  <c r="D10934" i="1"/>
  <c r="G10934" i="1"/>
  <c r="B4889" i="1"/>
  <c r="D4889" i="1"/>
  <c r="G4889" i="1"/>
  <c r="B16671" i="1"/>
  <c r="D16671" i="1"/>
  <c r="G16671" i="1"/>
  <c r="B619" i="1"/>
  <c r="D619" i="1"/>
  <c r="G619" i="1"/>
  <c r="B7246" i="1"/>
  <c r="D7246" i="1"/>
  <c r="G7246" i="1"/>
  <c r="B7973" i="1"/>
  <c r="D7973" i="1"/>
  <c r="G7973" i="1"/>
  <c r="B7974" i="1"/>
  <c r="D7974" i="1"/>
  <c r="G7974" i="1"/>
  <c r="B7247" i="1"/>
  <c r="D7247" i="1"/>
  <c r="G7247" i="1"/>
  <c r="B14321" i="1"/>
  <c r="D14321" i="1"/>
  <c r="G14321" i="1"/>
  <c r="B1329" i="1"/>
  <c r="D1329" i="1"/>
  <c r="G1329" i="1"/>
  <c r="B21443" i="1"/>
  <c r="D21443" i="1"/>
  <c r="G21443" i="1"/>
  <c r="B22183" i="1"/>
  <c r="D22183" i="1"/>
  <c r="G22183" i="1"/>
  <c r="B19904" i="1"/>
  <c r="D19904" i="1"/>
  <c r="G19904" i="1"/>
  <c r="B11608" i="1"/>
  <c r="D11608" i="1"/>
  <c r="G11608" i="1"/>
  <c r="B11609" i="1"/>
  <c r="D11609" i="1"/>
  <c r="G11609" i="1"/>
  <c r="B19639" i="1"/>
  <c r="D19639" i="1"/>
  <c r="G19639" i="1"/>
  <c r="B12212" i="1"/>
  <c r="D12212" i="1"/>
  <c r="G12212" i="1"/>
  <c r="B17816" i="1"/>
  <c r="D17816" i="1"/>
  <c r="G17816" i="1"/>
  <c r="B9976" i="1"/>
  <c r="D9976" i="1"/>
  <c r="G9976" i="1"/>
  <c r="B16996" i="1"/>
  <c r="D16996" i="1"/>
  <c r="G16996" i="1"/>
  <c r="B1757" i="1"/>
  <c r="D1757" i="1"/>
  <c r="G1757" i="1"/>
  <c r="B1758" i="1"/>
  <c r="D1758" i="1"/>
  <c r="G1758" i="1"/>
  <c r="B4832" i="1"/>
  <c r="D4832" i="1"/>
  <c r="G4832" i="1"/>
  <c r="B2947" i="1"/>
  <c r="D2947" i="1"/>
  <c r="G2947" i="1"/>
  <c r="B5540" i="1"/>
  <c r="D5540" i="1"/>
  <c r="G5540" i="1"/>
  <c r="B20134" i="1"/>
  <c r="D20134" i="1"/>
  <c r="G20134" i="1"/>
  <c r="B620" i="1"/>
  <c r="D620" i="1"/>
  <c r="G620" i="1"/>
  <c r="B5249" i="1"/>
  <c r="D5249" i="1"/>
  <c r="G5249" i="1"/>
  <c r="B15989" i="1"/>
  <c r="D15989" i="1"/>
  <c r="G15989" i="1"/>
  <c r="B6515" i="1"/>
  <c r="D6515" i="1"/>
  <c r="G6515" i="1"/>
  <c r="B6516" i="1"/>
  <c r="D6516" i="1"/>
  <c r="G6516" i="1"/>
  <c r="B1330" i="1"/>
  <c r="D1330" i="1"/>
  <c r="G1330" i="1"/>
  <c r="B5541" i="1"/>
  <c r="D5541" i="1"/>
  <c r="G5541" i="1"/>
  <c r="B19070" i="1"/>
  <c r="D19070" i="1"/>
  <c r="G19070" i="1"/>
  <c r="B8961" i="1"/>
  <c r="D8961" i="1"/>
  <c r="G8961" i="1"/>
  <c r="B18139" i="1"/>
  <c r="D18139" i="1"/>
  <c r="G18139" i="1"/>
  <c r="B16140" i="1"/>
  <c r="D16140" i="1"/>
  <c r="G16140" i="1"/>
  <c r="B20474" i="1"/>
  <c r="D20474" i="1"/>
  <c r="G20474" i="1"/>
  <c r="B15737" i="1"/>
  <c r="D15737" i="1"/>
  <c r="G15737" i="1"/>
  <c r="B2099" i="1"/>
  <c r="D2099" i="1"/>
  <c r="G2099" i="1"/>
  <c r="B21942" i="1"/>
  <c r="D21942" i="1"/>
  <c r="G21942" i="1"/>
  <c r="B5542" i="1"/>
  <c r="D5542" i="1"/>
  <c r="G5542" i="1"/>
  <c r="B15738" i="1"/>
  <c r="D15738" i="1"/>
  <c r="G15738" i="1"/>
  <c r="B16672" i="1"/>
  <c r="D16672" i="1"/>
  <c r="G16672" i="1"/>
  <c r="B16673" i="1"/>
  <c r="D16673" i="1"/>
  <c r="G16673" i="1"/>
  <c r="B9955" i="1"/>
  <c r="D9955" i="1"/>
  <c r="G9955" i="1"/>
  <c r="B15188" i="1"/>
  <c r="D15188" i="1"/>
  <c r="G15188" i="1"/>
  <c r="B17166" i="1"/>
  <c r="D17166" i="1"/>
  <c r="G17166" i="1"/>
  <c r="B156" i="1"/>
  <c r="D156" i="1"/>
  <c r="G156" i="1"/>
  <c r="B17600" i="1"/>
  <c r="D17600" i="1"/>
  <c r="G17600" i="1"/>
  <c r="B16674" i="1"/>
  <c r="D16674" i="1"/>
  <c r="G16674" i="1"/>
  <c r="B6563" i="1"/>
  <c r="D6563" i="1"/>
  <c r="G6563" i="1"/>
  <c r="B2948" i="1"/>
  <c r="D2948" i="1"/>
  <c r="G2948" i="1"/>
  <c r="B5880" i="1"/>
  <c r="D5880" i="1"/>
  <c r="G5880" i="1"/>
  <c r="B17817" i="1"/>
  <c r="D17817" i="1"/>
  <c r="G17817" i="1"/>
  <c r="B122" i="1"/>
  <c r="D122" i="1"/>
  <c r="G122" i="1"/>
  <c r="B20657" i="1"/>
  <c r="D20657" i="1"/>
  <c r="G20657" i="1"/>
  <c r="B7590" i="1"/>
  <c r="D7590" i="1"/>
  <c r="G7590" i="1"/>
  <c r="B15189" i="1"/>
  <c r="D15189" i="1"/>
  <c r="G15189" i="1"/>
  <c r="B2949" i="1"/>
  <c r="D2949" i="1"/>
  <c r="G2949" i="1"/>
  <c r="B15559" i="1"/>
  <c r="D15559" i="1"/>
  <c r="G15559" i="1"/>
  <c r="B6822" i="1"/>
  <c r="D6822" i="1"/>
  <c r="G6822" i="1"/>
  <c r="B13486" i="1"/>
  <c r="D13486" i="1"/>
  <c r="G13486" i="1"/>
  <c r="B621" i="1"/>
  <c r="D621" i="1"/>
  <c r="G621" i="1"/>
  <c r="B15913" i="1"/>
  <c r="D15913" i="1"/>
  <c r="G15913" i="1"/>
  <c r="B17818" i="1"/>
  <c r="D17818" i="1"/>
  <c r="G17818" i="1"/>
  <c r="B17819" i="1"/>
  <c r="D17819" i="1"/>
  <c r="G17819" i="1"/>
  <c r="B15739" i="1"/>
  <c r="D15739" i="1"/>
  <c r="G15739" i="1"/>
  <c r="B15560" i="1"/>
  <c r="D15560" i="1"/>
  <c r="G15560" i="1"/>
  <c r="B15190" i="1"/>
  <c r="D15190" i="1"/>
  <c r="G15190" i="1"/>
  <c r="B15191" i="1"/>
  <c r="D15191" i="1"/>
  <c r="G15191" i="1"/>
  <c r="B20412" i="1"/>
  <c r="D20412" i="1"/>
  <c r="G20412" i="1"/>
  <c r="B20318" i="1"/>
  <c r="D20318" i="1"/>
  <c r="G20318" i="1"/>
  <c r="B3990" i="1"/>
  <c r="D3990" i="1"/>
  <c r="G3990" i="1"/>
  <c r="B4989" i="1"/>
  <c r="D4989" i="1"/>
  <c r="G4989" i="1"/>
  <c r="B4990" i="1"/>
  <c r="D4990" i="1"/>
  <c r="G4990" i="1"/>
  <c r="B20319" i="1"/>
  <c r="D20319" i="1"/>
  <c r="G20319" i="1"/>
  <c r="B17820" i="1"/>
  <c r="D17820" i="1"/>
  <c r="G17820" i="1"/>
  <c r="B8962" i="1"/>
  <c r="D8962" i="1"/>
  <c r="G8962" i="1"/>
  <c r="B5543" i="1"/>
  <c r="D5543" i="1"/>
  <c r="G5543" i="1"/>
  <c r="B5544" i="1"/>
  <c r="D5544" i="1"/>
  <c r="G5544" i="1"/>
  <c r="B16141" i="1"/>
  <c r="D16141" i="1"/>
  <c r="G16141" i="1"/>
  <c r="B15914" i="1"/>
  <c r="D15914" i="1"/>
  <c r="G15914" i="1"/>
  <c r="B15561" i="1"/>
  <c r="D15561" i="1"/>
  <c r="G15561" i="1"/>
  <c r="B14508" i="1"/>
  <c r="D14508" i="1"/>
  <c r="G14508" i="1"/>
  <c r="B18915" i="1"/>
  <c r="D18915" i="1"/>
  <c r="G18915" i="1"/>
  <c r="B14509" i="1"/>
  <c r="D14509" i="1"/>
  <c r="G14509" i="1"/>
  <c r="B8588" i="1"/>
  <c r="D8588" i="1"/>
  <c r="G8588" i="1"/>
  <c r="B8589" i="1"/>
  <c r="D8589" i="1"/>
  <c r="G8589" i="1"/>
  <c r="B8215" i="1"/>
  <c r="D8215" i="1"/>
  <c r="G8215" i="1"/>
  <c r="B8216" i="1"/>
  <c r="D8216" i="1"/>
  <c r="G8216" i="1"/>
  <c r="B6431" i="1"/>
  <c r="D6431" i="1"/>
  <c r="G6431" i="1"/>
  <c r="B6432" i="1"/>
  <c r="D6432" i="1"/>
  <c r="G6432" i="1"/>
  <c r="B20469" i="1"/>
  <c r="D20469" i="1"/>
  <c r="G20469" i="1"/>
  <c r="B8590" i="1"/>
  <c r="D8590" i="1"/>
  <c r="G8590" i="1"/>
  <c r="B8591" i="1"/>
  <c r="D8591" i="1"/>
  <c r="G8591" i="1"/>
  <c r="B1331" i="1"/>
  <c r="D1331" i="1"/>
  <c r="G1331" i="1"/>
  <c r="B19640" i="1"/>
  <c r="D19640" i="1"/>
  <c r="G19640" i="1"/>
  <c r="B16675" i="1"/>
  <c r="D16675" i="1"/>
  <c r="G16675" i="1"/>
  <c r="B14855" i="1"/>
  <c r="D14855" i="1"/>
  <c r="G14855" i="1"/>
  <c r="B3684" i="1"/>
  <c r="D3684" i="1"/>
  <c r="G3684" i="1"/>
  <c r="B7591" i="1"/>
  <c r="D7591" i="1"/>
  <c r="G7591" i="1"/>
  <c r="B15192" i="1"/>
  <c r="D15192" i="1"/>
  <c r="G15192" i="1"/>
  <c r="B4991" i="1"/>
  <c r="D4991" i="1"/>
  <c r="G4991" i="1"/>
  <c r="B17821" i="1"/>
  <c r="D17821" i="1"/>
  <c r="G17821" i="1"/>
  <c r="B20658" i="1"/>
  <c r="D20658" i="1"/>
  <c r="G20658" i="1"/>
  <c r="B20659" i="1"/>
  <c r="D20659" i="1"/>
  <c r="G20659" i="1"/>
  <c r="B17167" i="1"/>
  <c r="D17167" i="1"/>
  <c r="G17167" i="1"/>
  <c r="B16142" i="1"/>
  <c r="D16142" i="1"/>
  <c r="G16142" i="1"/>
  <c r="B20883" i="1"/>
  <c r="D20883" i="1"/>
  <c r="G20883" i="1"/>
  <c r="B14413" i="1"/>
  <c r="D14413" i="1"/>
  <c r="G14413" i="1"/>
  <c r="B15562" i="1"/>
  <c r="D15562" i="1"/>
  <c r="G15562" i="1"/>
  <c r="B4666" i="1"/>
  <c r="D4666" i="1"/>
  <c r="G4666" i="1"/>
  <c r="B20660" i="1"/>
  <c r="D20660" i="1"/>
  <c r="G20660" i="1"/>
  <c r="B17284" i="1"/>
  <c r="D17284" i="1"/>
  <c r="G17284" i="1"/>
  <c r="B6433" i="1"/>
  <c r="D6433" i="1"/>
  <c r="G6433" i="1"/>
  <c r="B6434" i="1"/>
  <c r="D6434" i="1"/>
  <c r="G6434" i="1"/>
  <c r="B14785" i="1"/>
  <c r="D14785" i="1"/>
  <c r="G14785" i="1"/>
  <c r="B21390" i="1"/>
  <c r="D21390" i="1"/>
  <c r="G21390" i="1"/>
  <c r="B16676" i="1"/>
  <c r="D16676" i="1"/>
  <c r="G16676" i="1"/>
  <c r="B15193" i="1"/>
  <c r="D15193" i="1"/>
  <c r="G15193" i="1"/>
  <c r="B17822" i="1"/>
  <c r="D17822" i="1"/>
  <c r="G17822" i="1"/>
  <c r="B20413" i="1"/>
  <c r="D20413" i="1"/>
  <c r="G20413" i="1"/>
  <c r="B17823" i="1"/>
  <c r="D17823" i="1"/>
  <c r="G17823" i="1"/>
  <c r="B22184" i="1"/>
  <c r="D22184" i="1"/>
  <c r="G22184" i="1"/>
  <c r="B8963" i="1"/>
  <c r="D8963" i="1"/>
  <c r="G8963" i="1"/>
  <c r="B9833" i="1"/>
  <c r="D9833" i="1"/>
  <c r="G9833" i="1"/>
  <c r="B2151" i="1"/>
  <c r="D2151" i="1"/>
  <c r="G2151" i="1"/>
  <c r="B18698" i="1"/>
  <c r="D18698" i="1"/>
  <c r="G18698" i="1"/>
  <c r="B18365" i="1"/>
  <c r="D18365" i="1"/>
  <c r="G18365" i="1"/>
  <c r="B17824" i="1"/>
  <c r="D17824" i="1"/>
  <c r="G17824" i="1"/>
  <c r="B17825" i="1"/>
  <c r="D17825" i="1"/>
  <c r="G17825" i="1"/>
  <c r="B730" i="1"/>
  <c r="D730" i="1"/>
  <c r="G730" i="1"/>
  <c r="B16677" i="1"/>
  <c r="D16677" i="1"/>
  <c r="G16677" i="1"/>
  <c r="B3991" i="1"/>
  <c r="D3991" i="1"/>
  <c r="G3991" i="1"/>
  <c r="B16678" i="1"/>
  <c r="D16678" i="1"/>
  <c r="G16678" i="1"/>
  <c r="B12445" i="1"/>
  <c r="D12445" i="1"/>
  <c r="G12445" i="1"/>
  <c r="B21571" i="1"/>
  <c r="D21571" i="1"/>
  <c r="G21571" i="1"/>
  <c r="B9405" i="1"/>
  <c r="D9405" i="1"/>
  <c r="G9405" i="1"/>
  <c r="B9406" i="1"/>
  <c r="D9406" i="1"/>
  <c r="G9406" i="1"/>
  <c r="B9407" i="1"/>
  <c r="D9407" i="1"/>
  <c r="G9407" i="1"/>
  <c r="B8964" i="1"/>
  <c r="D8964" i="1"/>
  <c r="G8964" i="1"/>
  <c r="B8965" i="1"/>
  <c r="D8965" i="1"/>
  <c r="G8965" i="1"/>
  <c r="B9408" i="1"/>
  <c r="D9408" i="1"/>
  <c r="G9408" i="1"/>
  <c r="B8966" i="1"/>
  <c r="D8966" i="1"/>
  <c r="G8966" i="1"/>
  <c r="B9848" i="1"/>
  <c r="D9848" i="1"/>
  <c r="G9848" i="1"/>
  <c r="B622" i="1"/>
  <c r="D622" i="1"/>
  <c r="G622" i="1"/>
  <c r="B19641" i="1"/>
  <c r="D19641" i="1"/>
  <c r="G19641" i="1"/>
  <c r="B9409" i="1"/>
  <c r="D9409" i="1"/>
  <c r="G9409" i="1"/>
  <c r="B5629" i="1"/>
  <c r="D5629" i="1"/>
  <c r="G5629" i="1"/>
  <c r="B9410" i="1"/>
  <c r="D9410" i="1"/>
  <c r="G9410" i="1"/>
  <c r="B9411" i="1"/>
  <c r="D9411" i="1"/>
  <c r="G9411" i="1"/>
  <c r="B17826" i="1"/>
  <c r="D17826" i="1"/>
  <c r="G17826" i="1"/>
  <c r="B14510" i="1"/>
  <c r="D14510" i="1"/>
  <c r="G14510" i="1"/>
  <c r="B18140" i="1"/>
  <c r="D18140" i="1"/>
  <c r="G18140" i="1"/>
  <c r="B20320" i="1"/>
  <c r="D20320" i="1"/>
  <c r="G20320" i="1"/>
  <c r="B16679" i="1"/>
  <c r="D16679" i="1"/>
  <c r="G16679" i="1"/>
  <c r="B9412" i="1"/>
  <c r="D9412" i="1"/>
  <c r="G9412" i="1"/>
  <c r="B16680" i="1"/>
  <c r="D16680" i="1"/>
  <c r="G16680" i="1"/>
  <c r="B8967" i="1"/>
  <c r="D8967" i="1"/>
  <c r="G8967" i="1"/>
  <c r="B9413" i="1"/>
  <c r="D9413" i="1"/>
  <c r="G9413" i="1"/>
  <c r="B9414" i="1"/>
  <c r="D9414" i="1"/>
  <c r="G9414" i="1"/>
  <c r="B9415" i="1"/>
  <c r="D9415" i="1"/>
  <c r="G9415" i="1"/>
  <c r="B8968" i="1"/>
  <c r="D8968" i="1"/>
  <c r="G8968" i="1"/>
  <c r="B20043" i="1"/>
  <c r="D20043" i="1"/>
  <c r="G20043" i="1"/>
  <c r="B301" i="1"/>
  <c r="D301" i="1"/>
  <c r="G301" i="1"/>
  <c r="B11214" i="1"/>
  <c r="D11214" i="1"/>
  <c r="G11214" i="1"/>
  <c r="B5250" i="1"/>
  <c r="D5250" i="1"/>
  <c r="G5250" i="1"/>
  <c r="B16143" i="1"/>
  <c r="D16143" i="1"/>
  <c r="G16143" i="1"/>
  <c r="B17827" i="1"/>
  <c r="D17827" i="1"/>
  <c r="G17827" i="1"/>
  <c r="B17828" i="1"/>
  <c r="D17828" i="1"/>
  <c r="G17828" i="1"/>
  <c r="B5251" i="1"/>
  <c r="D5251" i="1"/>
  <c r="G5251" i="1"/>
  <c r="B22064" i="1"/>
  <c r="D22064" i="1"/>
  <c r="G22064" i="1"/>
  <c r="B8347" i="1"/>
  <c r="D8347" i="1"/>
  <c r="G8347" i="1"/>
  <c r="B20661" i="1"/>
  <c r="D20661" i="1"/>
  <c r="G20661" i="1"/>
  <c r="B6823" i="1"/>
  <c r="D6823" i="1"/>
  <c r="G6823" i="1"/>
  <c r="B5734" i="1"/>
  <c r="D5734" i="1"/>
  <c r="G5734" i="1"/>
  <c r="B14856" i="1"/>
  <c r="D14856" i="1"/>
  <c r="G14856" i="1"/>
  <c r="B7024" i="1"/>
  <c r="D7024" i="1"/>
  <c r="G7024" i="1"/>
  <c r="B9956" i="1"/>
  <c r="D9956" i="1"/>
  <c r="G9956" i="1"/>
  <c r="B1027" i="1"/>
  <c r="D1027" i="1"/>
  <c r="G1027" i="1"/>
  <c r="B13852" i="1"/>
  <c r="D13852" i="1"/>
  <c r="G13852" i="1"/>
  <c r="B6064" i="1"/>
  <c r="D6064" i="1"/>
  <c r="G6064" i="1"/>
  <c r="B7248" i="1"/>
  <c r="D7248" i="1"/>
  <c r="G7248" i="1"/>
  <c r="B7249" i="1"/>
  <c r="D7249" i="1"/>
  <c r="G7249" i="1"/>
  <c r="B6824" i="1"/>
  <c r="D6824" i="1"/>
  <c r="G6824" i="1"/>
  <c r="B19283" i="1"/>
  <c r="D19283" i="1"/>
  <c r="G19283" i="1"/>
  <c r="B6435" i="1"/>
  <c r="D6435" i="1"/>
  <c r="G6435" i="1"/>
  <c r="B6683" i="1"/>
  <c r="D6683" i="1"/>
  <c r="G6683" i="1"/>
  <c r="B7975" i="1"/>
  <c r="D7975" i="1"/>
  <c r="G7975" i="1"/>
  <c r="B7976" i="1"/>
  <c r="D7976" i="1"/>
  <c r="G7976" i="1"/>
  <c r="B20135" i="1"/>
  <c r="D20135" i="1"/>
  <c r="G20135" i="1"/>
  <c r="B21391" i="1"/>
  <c r="D21391" i="1"/>
  <c r="G21391" i="1"/>
  <c r="B12213" i="1"/>
  <c r="D12213" i="1"/>
  <c r="G12213" i="1"/>
  <c r="B10935" i="1"/>
  <c r="D10935" i="1"/>
  <c r="G10935" i="1"/>
  <c r="B1759" i="1"/>
  <c r="D1759" i="1"/>
  <c r="G1759" i="1"/>
  <c r="B1760" i="1"/>
  <c r="D1760" i="1"/>
  <c r="G1760" i="1"/>
  <c r="B20321" i="1"/>
  <c r="D20321" i="1"/>
  <c r="G20321" i="1"/>
  <c r="B17829" i="1"/>
  <c r="D17829" i="1"/>
  <c r="G17829" i="1"/>
  <c r="B4398" i="1"/>
  <c r="D4398" i="1"/>
  <c r="G4398" i="1"/>
  <c r="B20662" i="1"/>
  <c r="D20662" i="1"/>
  <c r="G20662" i="1"/>
  <c r="B18141" i="1"/>
  <c r="D18141" i="1"/>
  <c r="G18141" i="1"/>
  <c r="B8969" i="1"/>
  <c r="D8969" i="1"/>
  <c r="G8969" i="1"/>
  <c r="B18339" i="1"/>
  <c r="D18339" i="1"/>
  <c r="G18339" i="1"/>
  <c r="B3992" i="1"/>
  <c r="D3992" i="1"/>
  <c r="G3992" i="1"/>
  <c r="B18227" i="1"/>
  <c r="D18227" i="1"/>
  <c r="G18227" i="1"/>
  <c r="B20005" i="1"/>
  <c r="D20005" i="1"/>
  <c r="G20005" i="1"/>
  <c r="B18574" i="1"/>
  <c r="D18574" i="1"/>
  <c r="G18574" i="1"/>
  <c r="B8970" i="1"/>
  <c r="D8970" i="1"/>
  <c r="G8970" i="1"/>
  <c r="B10238" i="1"/>
  <c r="D10238" i="1"/>
  <c r="G10238" i="1"/>
  <c r="B17601" i="1"/>
  <c r="D17601" i="1"/>
  <c r="G17601" i="1"/>
  <c r="B14645" i="1"/>
  <c r="D14645" i="1"/>
  <c r="G14645" i="1"/>
  <c r="B14748" i="1"/>
  <c r="D14748" i="1"/>
  <c r="G14748" i="1"/>
  <c r="B8971" i="1"/>
  <c r="D8971" i="1"/>
  <c r="G8971" i="1"/>
  <c r="B17317" i="1"/>
  <c r="D17317" i="1"/>
  <c r="G17317" i="1"/>
  <c r="B4992" i="1"/>
  <c r="D4992" i="1"/>
  <c r="G4992" i="1"/>
  <c r="B4993" i="1"/>
  <c r="D4993" i="1"/>
  <c r="G4993" i="1"/>
  <c r="B21126" i="1"/>
  <c r="D21126" i="1"/>
  <c r="G21126" i="1"/>
  <c r="B9138" i="1"/>
  <c r="D9138" i="1"/>
  <c r="G9138" i="1"/>
  <c r="B16681" i="1"/>
  <c r="D16681" i="1"/>
  <c r="G16681" i="1"/>
  <c r="B1761" i="1"/>
  <c r="D1761" i="1"/>
  <c r="G1761" i="1"/>
  <c r="B19905" i="1"/>
  <c r="D19905" i="1"/>
  <c r="G19905" i="1"/>
  <c r="B7592" i="1"/>
  <c r="D7592" i="1"/>
  <c r="G7592" i="1"/>
  <c r="B15563" i="1"/>
  <c r="D15563" i="1"/>
  <c r="G15563" i="1"/>
  <c r="B10166" i="1"/>
  <c r="D10166" i="1"/>
  <c r="G10166" i="1"/>
  <c r="B1762" i="1"/>
  <c r="D1762" i="1"/>
  <c r="G1762" i="1"/>
  <c r="B12214" i="1"/>
  <c r="D12214" i="1"/>
  <c r="G12214" i="1"/>
  <c r="B16682" i="1"/>
  <c r="D16682" i="1"/>
  <c r="G16682" i="1"/>
  <c r="B7977" i="1"/>
  <c r="D7977" i="1"/>
  <c r="G7977" i="1"/>
  <c r="B9416" i="1"/>
  <c r="D9416" i="1"/>
  <c r="G9416" i="1"/>
  <c r="B22185" i="1"/>
  <c r="D22185" i="1"/>
  <c r="G22185" i="1"/>
  <c r="B731" i="1"/>
  <c r="D731" i="1"/>
  <c r="G731" i="1"/>
  <c r="B732" i="1"/>
  <c r="D732" i="1"/>
  <c r="G732" i="1"/>
  <c r="B733" i="1"/>
  <c r="D733" i="1"/>
  <c r="G733" i="1"/>
  <c r="B734" i="1"/>
  <c r="D734" i="1"/>
  <c r="G734" i="1"/>
  <c r="B15564" i="1"/>
  <c r="D15564" i="1"/>
  <c r="G15564" i="1"/>
  <c r="B10081" i="1"/>
  <c r="D10081" i="1"/>
  <c r="G10081" i="1"/>
  <c r="B4556" i="1"/>
  <c r="D4556" i="1"/>
  <c r="G4556" i="1"/>
  <c r="B4171" i="1"/>
  <c r="D4171" i="1"/>
  <c r="G4171" i="1"/>
  <c r="B19906" i="1"/>
  <c r="D19906" i="1"/>
  <c r="G19906" i="1"/>
  <c r="B19642" i="1"/>
  <c r="D19642" i="1"/>
  <c r="G19642" i="1"/>
  <c r="B17168" i="1"/>
  <c r="D17168" i="1"/>
  <c r="G17168" i="1"/>
  <c r="B16144" i="1"/>
  <c r="D16144" i="1"/>
  <c r="G16144" i="1"/>
  <c r="B13380" i="1"/>
  <c r="D13380" i="1"/>
  <c r="G13380" i="1"/>
  <c r="B8972" i="1"/>
  <c r="D8972" i="1"/>
  <c r="G8972" i="1"/>
  <c r="B2950" i="1"/>
  <c r="D2950" i="1"/>
  <c r="G2950" i="1"/>
  <c r="B8144" i="1"/>
  <c r="D8144" i="1"/>
  <c r="G8144" i="1"/>
  <c r="B4573" i="1"/>
  <c r="D4573" i="1"/>
  <c r="G4573" i="1"/>
  <c r="B20884" i="1"/>
  <c r="D20884" i="1"/>
  <c r="G20884" i="1"/>
  <c r="B14511" i="1"/>
  <c r="D14511" i="1"/>
  <c r="G14511" i="1"/>
  <c r="B8973" i="1"/>
  <c r="D8973" i="1"/>
  <c r="G8973" i="1"/>
  <c r="B3790" i="1"/>
  <c r="D3790" i="1"/>
  <c r="G3790" i="1"/>
  <c r="B22186" i="1"/>
  <c r="D22186" i="1"/>
  <c r="G22186" i="1"/>
  <c r="B17830" i="1"/>
  <c r="D17830" i="1"/>
  <c r="G17830" i="1"/>
  <c r="B17831" i="1"/>
  <c r="D17831" i="1"/>
  <c r="G17831" i="1"/>
  <c r="B2951" i="1"/>
  <c r="D2951" i="1"/>
  <c r="G2951" i="1"/>
  <c r="B16683" i="1"/>
  <c r="D16683" i="1"/>
  <c r="G16683" i="1"/>
  <c r="B21127" i="1"/>
  <c r="D21127" i="1"/>
  <c r="G21127" i="1"/>
  <c r="B17832" i="1"/>
  <c r="D17832" i="1"/>
  <c r="G17832" i="1"/>
  <c r="B8262" i="1"/>
  <c r="D8262" i="1"/>
  <c r="G8262" i="1"/>
  <c r="B4994" i="1"/>
  <c r="D4994" i="1"/>
  <c r="G4994" i="1"/>
  <c r="B18142" i="1"/>
  <c r="D18142" i="1"/>
  <c r="G18142" i="1"/>
  <c r="B20006" i="1"/>
  <c r="D20006" i="1"/>
  <c r="G20006" i="1"/>
  <c r="B20007" i="1"/>
  <c r="D20007" i="1"/>
  <c r="G20007" i="1"/>
  <c r="B16684" i="1"/>
  <c r="D16684" i="1"/>
  <c r="G16684" i="1"/>
  <c r="B20885" i="1"/>
  <c r="D20885" i="1"/>
  <c r="G20885" i="1"/>
  <c r="B14414" i="1"/>
  <c r="D14414" i="1"/>
  <c r="G14414" i="1"/>
  <c r="B9263" i="1"/>
  <c r="D9263" i="1"/>
  <c r="G9263" i="1"/>
  <c r="B15194" i="1"/>
  <c r="D15194" i="1"/>
  <c r="G15194" i="1"/>
  <c r="B15195" i="1"/>
  <c r="D15195" i="1"/>
  <c r="G15195" i="1"/>
  <c r="B20414" i="1"/>
  <c r="D20414" i="1"/>
  <c r="G20414" i="1"/>
  <c r="B17409" i="1"/>
  <c r="D17409" i="1"/>
  <c r="G17409" i="1"/>
  <c r="B17169" i="1"/>
  <c r="D17169" i="1"/>
  <c r="G17169" i="1"/>
  <c r="B15982" i="1"/>
  <c r="D15982" i="1"/>
  <c r="G15982" i="1"/>
  <c r="B15983" i="1"/>
  <c r="D15983" i="1"/>
  <c r="G15983" i="1"/>
  <c r="B15984" i="1"/>
  <c r="D15984" i="1"/>
  <c r="G15984" i="1"/>
  <c r="B15985" i="1"/>
  <c r="D15985" i="1"/>
  <c r="G15985" i="1"/>
  <c r="B15986" i="1"/>
  <c r="D15986" i="1"/>
  <c r="G15986" i="1"/>
  <c r="B20886" i="1"/>
  <c r="D20886" i="1"/>
  <c r="G20886" i="1"/>
  <c r="B464" i="1"/>
  <c r="D464" i="1"/>
  <c r="G464" i="1"/>
  <c r="B18215" i="1"/>
  <c r="D18215" i="1"/>
  <c r="G18215" i="1"/>
  <c r="B17170" i="1"/>
  <c r="D17170" i="1"/>
  <c r="G17170" i="1"/>
  <c r="B16145" i="1"/>
  <c r="D16145" i="1"/>
  <c r="G16145" i="1"/>
  <c r="B17833" i="1"/>
  <c r="D17833" i="1"/>
  <c r="G17833" i="1"/>
  <c r="B10147" i="1"/>
  <c r="D10147" i="1"/>
  <c r="G10147" i="1"/>
  <c r="B1763" i="1"/>
  <c r="D1763" i="1"/>
  <c r="G1763" i="1"/>
  <c r="B1764" i="1"/>
  <c r="D1764" i="1"/>
  <c r="G1764" i="1"/>
  <c r="B17171" i="1"/>
  <c r="D17171" i="1"/>
  <c r="G17171" i="1"/>
  <c r="B16146" i="1"/>
  <c r="D16146" i="1"/>
  <c r="G16146" i="1"/>
  <c r="B10082" i="1"/>
  <c r="D10082" i="1"/>
  <c r="G10082" i="1"/>
  <c r="B2318" i="1"/>
  <c r="D2318" i="1"/>
  <c r="G2318" i="1"/>
  <c r="B15915" i="1"/>
  <c r="D15915" i="1"/>
  <c r="G15915" i="1"/>
  <c r="B6065" i="1"/>
  <c r="D6065" i="1"/>
  <c r="G6065" i="1"/>
  <c r="B15196" i="1"/>
  <c r="D15196" i="1"/>
  <c r="G15196" i="1"/>
  <c r="B8592" i="1"/>
  <c r="D8592" i="1"/>
  <c r="G8592" i="1"/>
  <c r="B8593" i="1"/>
  <c r="D8593" i="1"/>
  <c r="G8593" i="1"/>
  <c r="B17834" i="1"/>
  <c r="D17834" i="1"/>
  <c r="G17834" i="1"/>
  <c r="B16685" i="1"/>
  <c r="D16685" i="1"/>
  <c r="G16685" i="1"/>
  <c r="B21943" i="1"/>
  <c r="D21943" i="1"/>
  <c r="G21943" i="1"/>
  <c r="B15565" i="1"/>
  <c r="D15565" i="1"/>
  <c r="G15565" i="1"/>
  <c r="B15197" i="1"/>
  <c r="D15197" i="1"/>
  <c r="G15197" i="1"/>
  <c r="B20008" i="1"/>
  <c r="D20008" i="1"/>
  <c r="G20008" i="1"/>
  <c r="B6684" i="1"/>
  <c r="D6684" i="1"/>
  <c r="G6684" i="1"/>
  <c r="B21572" i="1"/>
  <c r="D21572" i="1"/>
  <c r="G21572" i="1"/>
  <c r="B13338" i="1"/>
  <c r="D13338" i="1"/>
  <c r="G13338" i="1"/>
  <c r="B18699" i="1"/>
  <c r="D18699" i="1"/>
  <c r="G18699" i="1"/>
  <c r="B17835" i="1"/>
  <c r="D17835" i="1"/>
  <c r="G17835" i="1"/>
  <c r="B8974" i="1"/>
  <c r="D8974" i="1"/>
  <c r="G8974" i="1"/>
  <c r="B3685" i="1"/>
  <c r="D3685" i="1"/>
  <c r="G3685" i="1"/>
  <c r="B8975" i="1"/>
  <c r="D8975" i="1"/>
  <c r="G8975" i="1"/>
  <c r="B19643" i="1"/>
  <c r="D19643" i="1"/>
  <c r="G19643" i="1"/>
  <c r="B19644" i="1"/>
  <c r="D19644" i="1"/>
  <c r="G19644" i="1"/>
  <c r="B7593" i="1"/>
  <c r="D7593" i="1"/>
  <c r="G7593" i="1"/>
  <c r="B16686" i="1"/>
  <c r="D16686" i="1"/>
  <c r="G16686" i="1"/>
  <c r="B21944" i="1"/>
  <c r="D21944" i="1"/>
  <c r="G21944" i="1"/>
  <c r="B21728" i="1"/>
  <c r="D21728" i="1"/>
  <c r="G21728" i="1"/>
  <c r="B14857" i="1"/>
  <c r="D14857" i="1"/>
  <c r="G14857" i="1"/>
  <c r="B15198" i="1"/>
  <c r="D15198" i="1"/>
  <c r="G15198" i="1"/>
  <c r="B19907" i="1"/>
  <c r="D19907" i="1"/>
  <c r="G19907" i="1"/>
  <c r="B19908" i="1"/>
  <c r="D19908" i="1"/>
  <c r="G19908" i="1"/>
  <c r="B21649" i="1"/>
  <c r="D21649" i="1"/>
  <c r="G21649" i="1"/>
  <c r="B13464" i="1"/>
  <c r="D13464" i="1"/>
  <c r="G13464" i="1"/>
  <c r="B19071" i="1"/>
  <c r="D19071" i="1"/>
  <c r="G19071" i="1"/>
  <c r="B15566" i="1"/>
  <c r="D15566" i="1"/>
  <c r="G15566" i="1"/>
  <c r="B18916" i="1"/>
  <c r="D18916" i="1"/>
  <c r="G18916" i="1"/>
  <c r="B20663" i="1"/>
  <c r="D20663" i="1"/>
  <c r="G20663" i="1"/>
  <c r="B20664" i="1"/>
  <c r="D20664" i="1"/>
  <c r="G20664" i="1"/>
  <c r="B11433" i="1"/>
  <c r="D11433" i="1"/>
  <c r="G11433" i="1"/>
  <c r="B7594" i="1"/>
  <c r="D7594" i="1"/>
  <c r="G7594" i="1"/>
  <c r="B12989" i="1"/>
  <c r="D12989" i="1"/>
  <c r="G12989" i="1"/>
  <c r="B2952" i="1"/>
  <c r="D2952" i="1"/>
  <c r="G2952" i="1"/>
  <c r="B1332" i="1"/>
  <c r="D1332" i="1"/>
  <c r="G1332" i="1"/>
  <c r="B14858" i="1"/>
  <c r="D14858" i="1"/>
  <c r="G14858" i="1"/>
  <c r="B17301" i="1"/>
  <c r="D17301" i="1"/>
  <c r="G17301" i="1"/>
  <c r="B10159" i="1"/>
  <c r="D10159" i="1"/>
  <c r="G10159" i="1"/>
  <c r="B4504" i="1"/>
  <c r="D4504" i="1"/>
  <c r="G4504" i="1"/>
  <c r="B3993" i="1"/>
  <c r="D3993" i="1"/>
  <c r="G3993" i="1"/>
  <c r="B6436" i="1"/>
  <c r="D6436" i="1"/>
  <c r="G6436" i="1"/>
  <c r="B6437" i="1"/>
  <c r="D6437" i="1"/>
  <c r="G6437" i="1"/>
  <c r="B18575" i="1"/>
  <c r="D18575" i="1"/>
  <c r="G18575" i="1"/>
  <c r="B7108" i="1"/>
  <c r="D7108" i="1"/>
  <c r="G7108" i="1"/>
  <c r="B7109" i="1"/>
  <c r="D7109" i="1"/>
  <c r="G7109" i="1"/>
  <c r="B4762" i="1"/>
  <c r="D4762" i="1"/>
  <c r="G4762" i="1"/>
  <c r="B8976" i="1"/>
  <c r="D8976" i="1"/>
  <c r="G8976" i="1"/>
  <c r="B20136" i="1"/>
  <c r="D20136" i="1"/>
  <c r="G20136" i="1"/>
  <c r="B6438" i="1"/>
  <c r="D6438" i="1"/>
  <c r="G6438" i="1"/>
  <c r="B6439" i="1"/>
  <c r="D6439" i="1"/>
  <c r="G6439" i="1"/>
  <c r="B20887" i="1"/>
  <c r="D20887" i="1"/>
  <c r="G20887" i="1"/>
  <c r="B16687" i="1"/>
  <c r="D16687" i="1"/>
  <c r="G16687" i="1"/>
  <c r="B18337" i="1"/>
  <c r="D18337" i="1"/>
  <c r="G18337" i="1"/>
  <c r="B13660" i="1"/>
  <c r="D13660" i="1"/>
  <c r="G13660" i="1"/>
  <c r="B13943" i="1"/>
  <c r="D13943" i="1"/>
  <c r="G13943" i="1"/>
  <c r="B3035" i="1"/>
  <c r="D3035" i="1"/>
  <c r="G3035" i="1"/>
  <c r="B2418" i="1"/>
  <c r="D2418" i="1"/>
  <c r="G2418" i="1"/>
  <c r="B2527" i="1"/>
  <c r="D2527" i="1"/>
  <c r="G2527" i="1"/>
  <c r="B13853" i="1"/>
  <c r="D13853" i="1"/>
  <c r="G13853" i="1"/>
  <c r="B17172" i="1"/>
  <c r="D17172" i="1"/>
  <c r="G17172" i="1"/>
  <c r="B17836" i="1"/>
  <c r="D17836" i="1"/>
  <c r="G17836" i="1"/>
  <c r="B17837" i="1"/>
  <c r="D17837" i="1"/>
  <c r="G17837" i="1"/>
  <c r="B7595" i="1"/>
  <c r="D7595" i="1"/>
  <c r="G7595" i="1"/>
  <c r="B21128" i="1"/>
  <c r="D21128" i="1"/>
  <c r="G21128" i="1"/>
  <c r="B15199" i="1"/>
  <c r="D15199" i="1"/>
  <c r="G15199" i="1"/>
  <c r="B10612" i="1"/>
  <c r="D10612" i="1"/>
  <c r="G10612" i="1"/>
  <c r="B5252" i="1"/>
  <c r="D5252" i="1"/>
  <c r="G5252" i="1"/>
  <c r="B17503" i="1"/>
  <c r="D17503" i="1"/>
  <c r="G17503" i="1"/>
  <c r="B16688" i="1"/>
  <c r="D16688" i="1"/>
  <c r="G16688" i="1"/>
  <c r="B2953" i="1"/>
  <c r="D2953" i="1"/>
  <c r="G2953" i="1"/>
  <c r="B21650" i="1"/>
  <c r="D21650" i="1"/>
  <c r="G21650" i="1"/>
  <c r="B20888" i="1"/>
  <c r="D20888" i="1"/>
  <c r="G20888" i="1"/>
  <c r="B20889" i="1"/>
  <c r="D20889" i="1"/>
  <c r="G20889" i="1"/>
  <c r="B15916" i="1"/>
  <c r="D15916" i="1"/>
  <c r="G15916" i="1"/>
  <c r="B8217" i="1"/>
  <c r="D8217" i="1"/>
  <c r="G8217" i="1"/>
  <c r="B13588" i="1"/>
  <c r="D13588" i="1"/>
  <c r="G13588" i="1"/>
  <c r="B7978" i="1"/>
  <c r="D7978" i="1"/>
  <c r="G7978" i="1"/>
  <c r="B7979" i="1"/>
  <c r="D7979" i="1"/>
  <c r="G7979" i="1"/>
  <c r="B21129" i="1"/>
  <c r="D21129" i="1"/>
  <c r="G21129" i="1"/>
  <c r="B21573" i="1"/>
  <c r="D21573" i="1"/>
  <c r="G21573" i="1"/>
  <c r="B18576" i="1"/>
  <c r="D18576" i="1"/>
  <c r="G18576" i="1"/>
  <c r="B16689" i="1"/>
  <c r="D16689" i="1"/>
  <c r="G16689" i="1"/>
  <c r="B15567" i="1"/>
  <c r="D15567" i="1"/>
  <c r="G15567" i="1"/>
  <c r="B17410" i="1"/>
  <c r="D17410" i="1"/>
  <c r="G17410" i="1"/>
  <c r="B15200" i="1"/>
  <c r="D15200" i="1"/>
  <c r="G15200" i="1"/>
  <c r="B13854" i="1"/>
  <c r="D13854" i="1"/>
  <c r="G13854" i="1"/>
  <c r="B17542" i="1"/>
  <c r="D17542" i="1"/>
  <c r="G17542" i="1"/>
  <c r="B3288" i="1"/>
  <c r="D3288" i="1"/>
  <c r="G3288" i="1"/>
  <c r="B7596" i="1"/>
  <c r="D7596" i="1"/>
  <c r="G7596" i="1"/>
  <c r="B18248" i="1"/>
  <c r="D18248" i="1"/>
  <c r="G18248" i="1"/>
  <c r="B21729" i="1"/>
  <c r="D21729" i="1"/>
  <c r="G21729" i="1"/>
  <c r="B18747" i="1"/>
  <c r="D18747" i="1"/>
  <c r="G18747" i="1"/>
  <c r="B19284" i="1"/>
  <c r="D19284" i="1"/>
  <c r="G19284" i="1"/>
  <c r="B14241" i="1"/>
  <c r="D14241" i="1"/>
  <c r="G14241" i="1"/>
  <c r="B2954" i="1"/>
  <c r="D2954" i="1"/>
  <c r="G2954" i="1"/>
  <c r="B16690" i="1"/>
  <c r="D16690" i="1"/>
  <c r="G16690" i="1"/>
  <c r="B16691" i="1"/>
  <c r="D16691" i="1"/>
  <c r="G16691" i="1"/>
  <c r="B17602" i="1"/>
  <c r="D17602" i="1"/>
  <c r="G17602" i="1"/>
  <c r="B21422" i="1"/>
  <c r="D21422" i="1"/>
  <c r="G21422" i="1"/>
  <c r="B21362" i="1"/>
  <c r="D21362" i="1"/>
  <c r="G21362" i="1"/>
  <c r="B10936" i="1"/>
  <c r="D10936" i="1"/>
  <c r="G10936" i="1"/>
  <c r="B11215" i="1"/>
  <c r="D11215" i="1"/>
  <c r="G11215" i="1"/>
  <c r="B4358" i="1"/>
  <c r="D4358" i="1"/>
  <c r="G4358" i="1"/>
  <c r="B17838" i="1"/>
  <c r="D17838" i="1"/>
  <c r="G17838" i="1"/>
  <c r="B17839" i="1"/>
  <c r="D17839" i="1"/>
  <c r="G17839" i="1"/>
  <c r="B21574" i="1"/>
  <c r="D21574" i="1"/>
  <c r="G21574" i="1"/>
  <c r="B18577" i="1"/>
  <c r="D18577" i="1"/>
  <c r="G18577" i="1"/>
  <c r="B10613" i="1"/>
  <c r="D10613" i="1"/>
  <c r="G10613" i="1"/>
  <c r="B19645" i="1"/>
  <c r="D19645" i="1"/>
  <c r="G19645" i="1"/>
  <c r="B6440" i="1"/>
  <c r="D6440" i="1"/>
  <c r="G6440" i="1"/>
  <c r="B14098" i="1"/>
  <c r="D14098" i="1"/>
  <c r="G14098" i="1"/>
  <c r="B16692" i="1"/>
  <c r="D16692" i="1"/>
  <c r="G16692" i="1"/>
  <c r="B14090" i="1"/>
  <c r="D14090" i="1"/>
  <c r="G14090" i="1"/>
  <c r="B14076" i="1"/>
  <c r="D14076" i="1"/>
  <c r="G14076" i="1"/>
  <c r="B14121" i="1"/>
  <c r="D14121" i="1"/>
  <c r="G14121" i="1"/>
  <c r="B13812" i="1"/>
  <c r="D13812" i="1"/>
  <c r="G13812" i="1"/>
  <c r="B13960" i="1"/>
  <c r="D13960" i="1"/>
  <c r="G13960" i="1"/>
  <c r="B14075" i="1"/>
  <c r="D14075" i="1"/>
  <c r="G14075" i="1"/>
  <c r="B20221" i="1"/>
  <c r="D20221" i="1"/>
  <c r="G20221" i="1"/>
  <c r="B9916" i="1"/>
  <c r="D9916" i="1"/>
  <c r="G9916" i="1"/>
  <c r="B3994" i="1"/>
  <c r="D3994" i="1"/>
  <c r="G3994" i="1"/>
  <c r="B1422" i="1"/>
  <c r="D1422" i="1"/>
  <c r="G1422" i="1"/>
  <c r="B10313" i="1"/>
  <c r="D10313" i="1"/>
  <c r="G10313" i="1"/>
  <c r="B13465" i="1"/>
  <c r="D13465" i="1"/>
  <c r="G13465" i="1"/>
  <c r="B781" i="1"/>
  <c r="D781" i="1"/>
  <c r="G781" i="1"/>
  <c r="B5735" i="1"/>
  <c r="D5735" i="1"/>
  <c r="G5735" i="1"/>
  <c r="B14242" i="1"/>
  <c r="D14242" i="1"/>
  <c r="G14242" i="1"/>
  <c r="B20202" i="1"/>
  <c r="D20202" i="1"/>
  <c r="G20202" i="1"/>
  <c r="B17173" i="1"/>
  <c r="D17173" i="1"/>
  <c r="G17173" i="1"/>
  <c r="B11348" i="1"/>
  <c r="D11348" i="1"/>
  <c r="G11348" i="1"/>
  <c r="B4117" i="1"/>
  <c r="D4117" i="1"/>
  <c r="G4117" i="1"/>
  <c r="B4427" i="1"/>
  <c r="D4427" i="1"/>
  <c r="G4427" i="1"/>
  <c r="B14243" i="1"/>
  <c r="D14243" i="1"/>
  <c r="G14243" i="1"/>
  <c r="B14808" i="1"/>
  <c r="D14808" i="1"/>
  <c r="G14808" i="1"/>
  <c r="B17840" i="1"/>
  <c r="D17840" i="1"/>
  <c r="G17840" i="1"/>
  <c r="B17841" i="1"/>
  <c r="D17841" i="1"/>
  <c r="G17841" i="1"/>
  <c r="B8977" i="1"/>
  <c r="D8977" i="1"/>
  <c r="G8977" i="1"/>
  <c r="B15917" i="1"/>
  <c r="D15917" i="1"/>
  <c r="G15917" i="1"/>
  <c r="B13484" i="1"/>
  <c r="D13484" i="1"/>
  <c r="G13484" i="1"/>
  <c r="B17174" i="1"/>
  <c r="D17174" i="1"/>
  <c r="G17174" i="1"/>
  <c r="B16147" i="1"/>
  <c r="D16147" i="1"/>
  <c r="G16147" i="1"/>
  <c r="B15568" i="1"/>
  <c r="D15568" i="1"/>
  <c r="G15568" i="1"/>
  <c r="B15201" i="1"/>
  <c r="D15201" i="1"/>
  <c r="G15201" i="1"/>
  <c r="B10379" i="1"/>
  <c r="D10379" i="1"/>
  <c r="G10379" i="1"/>
  <c r="B10937" i="1"/>
  <c r="D10937" i="1"/>
  <c r="G10937" i="1"/>
  <c r="B18700" i="1"/>
  <c r="D18700" i="1"/>
  <c r="G18700" i="1"/>
  <c r="B9861" i="1"/>
  <c r="D9861" i="1"/>
  <c r="G9861" i="1"/>
  <c r="B11817" i="1"/>
  <c r="D11817" i="1"/>
  <c r="G11817" i="1"/>
  <c r="B11818" i="1"/>
  <c r="D11818" i="1"/>
  <c r="G11818" i="1"/>
  <c r="B623" i="1"/>
  <c r="D623" i="1"/>
  <c r="G623" i="1"/>
  <c r="B11838" i="1"/>
  <c r="D11838" i="1"/>
  <c r="G11838" i="1"/>
  <c r="B19909" i="1"/>
  <c r="D19909" i="1"/>
  <c r="G19909" i="1"/>
  <c r="B18578" i="1"/>
  <c r="D18578" i="1"/>
  <c r="G18578" i="1"/>
  <c r="B17543" i="1"/>
  <c r="D17543" i="1"/>
  <c r="G17543" i="1"/>
  <c r="B7597" i="1"/>
  <c r="D7597" i="1"/>
  <c r="G7597" i="1"/>
  <c r="B17842" i="1"/>
  <c r="D17842" i="1"/>
  <c r="G17842" i="1"/>
  <c r="B9931" i="1"/>
  <c r="D9931" i="1"/>
  <c r="G9931" i="1"/>
  <c r="B13948" i="1"/>
  <c r="D13948" i="1"/>
  <c r="G13948" i="1"/>
  <c r="B6895" i="1"/>
  <c r="D6895" i="1"/>
  <c r="G6895" i="1"/>
  <c r="B17411" i="1"/>
  <c r="D17411" i="1"/>
  <c r="G17411" i="1"/>
  <c r="B20044" i="1"/>
  <c r="D20044" i="1"/>
  <c r="G20044" i="1"/>
  <c r="B21463" i="1"/>
  <c r="D21463" i="1"/>
  <c r="G21463" i="1"/>
  <c r="B15202" i="1"/>
  <c r="D15202" i="1"/>
  <c r="G15202" i="1"/>
  <c r="B1765" i="1"/>
  <c r="D1765" i="1"/>
  <c r="G1765" i="1"/>
  <c r="B15569" i="1"/>
  <c r="D15569" i="1"/>
  <c r="G15569" i="1"/>
  <c r="B14859" i="1"/>
  <c r="D14859" i="1"/>
  <c r="G14859" i="1"/>
  <c r="B16693" i="1"/>
  <c r="D16693" i="1"/>
  <c r="G16693" i="1"/>
  <c r="B9771" i="1"/>
  <c r="D9771" i="1"/>
  <c r="G9771" i="1"/>
  <c r="B9772" i="1"/>
  <c r="D9772" i="1"/>
  <c r="G9772" i="1"/>
  <c r="B1766" i="1"/>
  <c r="D1766" i="1"/>
  <c r="G1766" i="1"/>
  <c r="B9773" i="1"/>
  <c r="D9773" i="1"/>
  <c r="G9773" i="1"/>
  <c r="B2187" i="1"/>
  <c r="D2187" i="1"/>
  <c r="G2187" i="1"/>
  <c r="B9907" i="1"/>
  <c r="D9907" i="1"/>
  <c r="G9907" i="1"/>
  <c r="B21408" i="1"/>
  <c r="D21408" i="1"/>
  <c r="G21408" i="1"/>
  <c r="B5253" i="1"/>
  <c r="D5253" i="1"/>
  <c r="G5253" i="1"/>
  <c r="B16694" i="1"/>
  <c r="D16694" i="1"/>
  <c r="G16694" i="1"/>
  <c r="B15203" i="1"/>
  <c r="D15203" i="1"/>
  <c r="G15203" i="1"/>
  <c r="B14149" i="1"/>
  <c r="D14149" i="1"/>
  <c r="G14149" i="1"/>
  <c r="B16695" i="1"/>
  <c r="D16695" i="1"/>
  <c r="G16695" i="1"/>
  <c r="B8978" i="1"/>
  <c r="D8978" i="1"/>
  <c r="G8978" i="1"/>
  <c r="B8284" i="1"/>
  <c r="D8284" i="1"/>
  <c r="G8284" i="1"/>
  <c r="B64" i="1"/>
  <c r="D64" i="1"/>
  <c r="G64" i="1"/>
  <c r="B121" i="1"/>
  <c r="D121" i="1"/>
  <c r="G121" i="1"/>
  <c r="B20890" i="1"/>
  <c r="D20890" i="1"/>
  <c r="G20890" i="1"/>
  <c r="B16696" i="1"/>
  <c r="D16696" i="1"/>
  <c r="G16696" i="1"/>
  <c r="B21130" i="1"/>
  <c r="D21130" i="1"/>
  <c r="G21130" i="1"/>
  <c r="B4995" i="1"/>
  <c r="D4995" i="1"/>
  <c r="G4995" i="1"/>
  <c r="B19" i="1"/>
  <c r="D19" i="1"/>
  <c r="G19" i="1"/>
  <c r="B2059" i="1"/>
  <c r="D2059" i="1"/>
  <c r="G2059" i="1"/>
  <c r="B1496" i="1"/>
  <c r="D1496" i="1"/>
  <c r="G1496" i="1"/>
  <c r="B15204" i="1"/>
  <c r="D15204" i="1"/>
  <c r="G15204" i="1"/>
  <c r="B21575" i="1"/>
  <c r="D21575" i="1"/>
  <c r="G21575" i="1"/>
  <c r="B4118" i="1"/>
  <c r="D4118" i="1"/>
  <c r="G4118" i="1"/>
  <c r="B20891" i="1"/>
  <c r="D20891" i="1"/>
  <c r="G20891" i="1"/>
  <c r="B2152" i="1"/>
  <c r="D2152" i="1"/>
  <c r="G2152" i="1"/>
  <c r="B5254" i="1"/>
  <c r="D5254" i="1"/>
  <c r="G5254" i="1"/>
  <c r="B15205" i="1"/>
  <c r="D15205" i="1"/>
  <c r="G15205" i="1"/>
  <c r="B20892" i="1"/>
  <c r="D20892" i="1"/>
  <c r="G20892" i="1"/>
  <c r="B19646" i="1"/>
  <c r="D19646" i="1"/>
  <c r="G19646" i="1"/>
  <c r="B15570" i="1"/>
  <c r="D15570" i="1"/>
  <c r="G15570" i="1"/>
  <c r="B7598" i="1"/>
  <c r="D7598" i="1"/>
  <c r="G7598" i="1"/>
  <c r="B18917" i="1"/>
  <c r="D18917" i="1"/>
  <c r="G18917" i="1"/>
  <c r="B19285" i="1"/>
  <c r="D19285" i="1"/>
  <c r="G19285" i="1"/>
  <c r="B12397" i="1"/>
  <c r="D12397" i="1"/>
  <c r="G12397" i="1"/>
  <c r="B12392" i="1"/>
  <c r="D12392" i="1"/>
  <c r="G12392" i="1"/>
  <c r="B19072" i="1"/>
  <c r="D19072" i="1"/>
  <c r="G19072" i="1"/>
  <c r="B993" i="1"/>
  <c r="D993" i="1"/>
  <c r="G993" i="1"/>
  <c r="B19286" i="1"/>
  <c r="D19286" i="1"/>
  <c r="G19286" i="1"/>
  <c r="B157" i="1"/>
  <c r="D157" i="1"/>
  <c r="G157" i="1"/>
  <c r="B18918" i="1"/>
  <c r="D18918" i="1"/>
  <c r="G18918" i="1"/>
  <c r="B9106" i="1"/>
  <c r="D9106" i="1"/>
  <c r="G9106" i="1"/>
  <c r="B20475" i="1"/>
  <c r="D20475" i="1"/>
  <c r="G20475" i="1"/>
  <c r="B3686" i="1"/>
  <c r="D3686" i="1"/>
  <c r="G3686" i="1"/>
  <c r="B6564" i="1"/>
  <c r="D6564" i="1"/>
  <c r="G6564" i="1"/>
  <c r="B14089" i="1"/>
  <c r="D14089" i="1"/>
  <c r="G14089" i="1"/>
  <c r="B11610" i="1"/>
  <c r="D11610" i="1"/>
  <c r="G11610" i="1"/>
  <c r="B11611" i="1"/>
  <c r="D11611" i="1"/>
  <c r="G11611" i="1"/>
  <c r="B11698" i="1"/>
  <c r="D11698" i="1"/>
  <c r="G11698" i="1"/>
  <c r="B5545" i="1"/>
  <c r="D5545" i="1"/>
  <c r="G5545" i="1"/>
  <c r="B20085" i="1"/>
  <c r="D20085" i="1"/>
  <c r="G20085" i="1"/>
  <c r="B21730" i="1"/>
  <c r="D21730" i="1"/>
  <c r="G21730" i="1"/>
  <c r="B21731" i="1"/>
  <c r="D21731" i="1"/>
  <c r="G21731" i="1"/>
  <c r="B14415" i="1"/>
  <c r="D14415" i="1"/>
  <c r="G14415" i="1"/>
  <c r="B1767" i="1"/>
  <c r="D1767" i="1"/>
  <c r="G1767" i="1"/>
  <c r="B1768" i="1"/>
  <c r="D1768" i="1"/>
  <c r="G1768" i="1"/>
  <c r="B18249" i="1"/>
  <c r="D18249" i="1"/>
  <c r="G18249" i="1"/>
  <c r="B20045" i="1"/>
  <c r="D20045" i="1"/>
  <c r="G20045" i="1"/>
  <c r="B20056" i="1"/>
  <c r="D20056" i="1"/>
  <c r="G20056" i="1"/>
  <c r="B9957" i="1"/>
  <c r="D9957" i="1"/>
  <c r="G9957" i="1"/>
  <c r="B15571" i="1"/>
  <c r="D15571" i="1"/>
  <c r="G15571" i="1"/>
  <c r="B16697" i="1"/>
  <c r="D16697" i="1"/>
  <c r="G16697" i="1"/>
  <c r="B65" i="1"/>
  <c r="D65" i="1"/>
  <c r="G65" i="1"/>
  <c r="B19647" i="1"/>
  <c r="D19647" i="1"/>
  <c r="G19647" i="1"/>
  <c r="B16042" i="1"/>
  <c r="D16042" i="1"/>
  <c r="G16042" i="1"/>
  <c r="B13855" i="1"/>
  <c r="D13855" i="1"/>
  <c r="G13855" i="1"/>
  <c r="B16043" i="1"/>
  <c r="D16043" i="1"/>
  <c r="G16043" i="1"/>
  <c r="B7047" i="1"/>
  <c r="D7047" i="1"/>
  <c r="G7047" i="1"/>
  <c r="B2955" i="1"/>
  <c r="D2955" i="1"/>
  <c r="G2955" i="1"/>
  <c r="B17412" i="1"/>
  <c r="D17412" i="1"/>
  <c r="G17412" i="1"/>
  <c r="B16698" i="1"/>
  <c r="D16698" i="1"/>
  <c r="G16698" i="1"/>
  <c r="B22187" i="1"/>
  <c r="D22187" i="1"/>
  <c r="G22187" i="1"/>
  <c r="B16699" i="1"/>
  <c r="D16699" i="1"/>
  <c r="G16699" i="1"/>
  <c r="B17603" i="1"/>
  <c r="D17603" i="1"/>
  <c r="G17603" i="1"/>
  <c r="B16700" i="1"/>
  <c r="D16700" i="1"/>
  <c r="G16700" i="1"/>
  <c r="B7980" i="1"/>
  <c r="D7980" i="1"/>
  <c r="G7980" i="1"/>
  <c r="B7981" i="1"/>
  <c r="D7981" i="1"/>
  <c r="G7981" i="1"/>
  <c r="B624" i="1"/>
  <c r="D624" i="1"/>
  <c r="G624" i="1"/>
  <c r="B8979" i="1"/>
  <c r="D8979" i="1"/>
  <c r="G8979" i="1"/>
  <c r="B6118" i="1"/>
  <c r="D6118" i="1"/>
  <c r="G6118" i="1"/>
  <c r="B21576" i="1"/>
  <c r="D21576" i="1"/>
  <c r="G21576" i="1"/>
  <c r="B18579" i="1"/>
  <c r="D18579" i="1"/>
  <c r="G18579" i="1"/>
  <c r="B16701" i="1"/>
  <c r="D16701" i="1"/>
  <c r="G16701" i="1"/>
  <c r="B2544" i="1"/>
  <c r="D2544" i="1"/>
  <c r="G2544" i="1"/>
  <c r="B367" i="1"/>
  <c r="D367" i="1"/>
  <c r="G367" i="1"/>
  <c r="B31" i="1"/>
  <c r="D31" i="1"/>
  <c r="G31" i="1"/>
  <c r="B17843" i="1"/>
  <c r="D17843" i="1"/>
  <c r="G17843" i="1"/>
  <c r="B14181" i="1"/>
  <c r="D14181" i="1"/>
  <c r="G14181" i="1"/>
  <c r="B21339" i="1"/>
  <c r="D21339" i="1"/>
  <c r="G21339" i="1"/>
  <c r="B19648" i="1"/>
  <c r="D19648" i="1"/>
  <c r="G19648" i="1"/>
  <c r="B19649" i="1"/>
  <c r="D19649" i="1"/>
  <c r="G19649" i="1"/>
  <c r="B16148" i="1"/>
  <c r="D16148" i="1"/>
  <c r="G16148" i="1"/>
  <c r="B10614" i="1"/>
  <c r="D10614" i="1"/>
  <c r="G10614" i="1"/>
  <c r="B10615" i="1"/>
  <c r="D10615" i="1"/>
  <c r="G10615" i="1"/>
  <c r="B10938" i="1"/>
  <c r="D10938" i="1"/>
  <c r="G10938" i="1"/>
  <c r="B10939" i="1"/>
  <c r="D10939" i="1"/>
  <c r="G10939" i="1"/>
  <c r="B17844" i="1"/>
  <c r="D17844" i="1"/>
  <c r="G17844" i="1"/>
  <c r="B17845" i="1"/>
  <c r="D17845" i="1"/>
  <c r="G17845" i="1"/>
  <c r="B8980" i="1"/>
  <c r="D8980" i="1"/>
  <c r="G8980" i="1"/>
  <c r="B625" i="1"/>
  <c r="D625" i="1"/>
  <c r="G625" i="1"/>
  <c r="B11216" i="1"/>
  <c r="D11216" i="1"/>
  <c r="G11216" i="1"/>
  <c r="B21945" i="1"/>
  <c r="D21945" i="1"/>
  <c r="G21945" i="1"/>
  <c r="B3687" i="1"/>
  <c r="D3687" i="1"/>
  <c r="G3687" i="1"/>
  <c r="B12215" i="1"/>
  <c r="D12215" i="1"/>
  <c r="G12215" i="1"/>
  <c r="B19650" i="1"/>
  <c r="D19650" i="1"/>
  <c r="G19650" i="1"/>
  <c r="B17846" i="1"/>
  <c r="D17846" i="1"/>
  <c r="G17846" i="1"/>
  <c r="B7982" i="1"/>
  <c r="D7982" i="1"/>
  <c r="G7982" i="1"/>
  <c r="B7983" i="1"/>
  <c r="D7983" i="1"/>
  <c r="G7983" i="1"/>
  <c r="B16702" i="1"/>
  <c r="D16702" i="1"/>
  <c r="G16702" i="1"/>
  <c r="B20322" i="1"/>
  <c r="D20322" i="1"/>
  <c r="G20322" i="1"/>
  <c r="B4399" i="1"/>
  <c r="D4399" i="1"/>
  <c r="G4399" i="1"/>
  <c r="B5881" i="1"/>
  <c r="D5881" i="1"/>
  <c r="G5881" i="1"/>
  <c r="B8218" i="1"/>
  <c r="D8218" i="1"/>
  <c r="G8218" i="1"/>
  <c r="B20245" i="1"/>
  <c r="D20245" i="1"/>
  <c r="G20245" i="1"/>
  <c r="B17847" i="1"/>
  <c r="D17847" i="1"/>
  <c r="G17847" i="1"/>
  <c r="B17848" i="1"/>
  <c r="D17848" i="1"/>
  <c r="G17848" i="1"/>
  <c r="B782" i="1"/>
  <c r="D782" i="1"/>
  <c r="G782" i="1"/>
  <c r="B14150" i="1"/>
  <c r="D14150" i="1"/>
  <c r="G14150" i="1"/>
  <c r="B22065" i="1"/>
  <c r="D22065" i="1"/>
  <c r="G22065" i="1"/>
  <c r="B4557" i="1"/>
  <c r="D4557" i="1"/>
  <c r="G4557" i="1"/>
  <c r="B2956" i="1"/>
  <c r="D2956" i="1"/>
  <c r="G2956" i="1"/>
  <c r="B1333" i="1"/>
  <c r="D1333" i="1"/>
  <c r="G1333" i="1"/>
  <c r="B1334" i="1"/>
  <c r="D1334" i="1"/>
  <c r="G1334" i="1"/>
  <c r="B19651" i="1"/>
  <c r="D19651" i="1"/>
  <c r="G19651" i="1"/>
  <c r="B626" i="1"/>
  <c r="D626" i="1"/>
  <c r="G626" i="1"/>
  <c r="B4996" i="1"/>
  <c r="D4996" i="1"/>
  <c r="G4996" i="1"/>
  <c r="B17849" i="1"/>
  <c r="D17849" i="1"/>
  <c r="G17849" i="1"/>
  <c r="B20179" i="1"/>
  <c r="D20179" i="1"/>
  <c r="G20179" i="1"/>
  <c r="B627" i="1"/>
  <c r="D627" i="1"/>
  <c r="G627" i="1"/>
  <c r="B628" i="1"/>
  <c r="D628" i="1"/>
  <c r="G628" i="1"/>
  <c r="B9190" i="1"/>
  <c r="D9190" i="1"/>
  <c r="G9190" i="1"/>
  <c r="B629" i="1"/>
  <c r="D629" i="1"/>
  <c r="G629" i="1"/>
  <c r="B630" i="1"/>
  <c r="D630" i="1"/>
  <c r="G630" i="1"/>
  <c r="B15572" i="1"/>
  <c r="D15572" i="1"/>
  <c r="G15572" i="1"/>
  <c r="B631" i="1"/>
  <c r="D631" i="1"/>
  <c r="G631" i="1"/>
  <c r="B632" i="1"/>
  <c r="D632" i="1"/>
  <c r="G632" i="1"/>
  <c r="B12887" i="1"/>
  <c r="D12887" i="1"/>
  <c r="G12887" i="1"/>
  <c r="B5546" i="1"/>
  <c r="D5546" i="1"/>
  <c r="G5546" i="1"/>
  <c r="B19652" i="1"/>
  <c r="D19652" i="1"/>
  <c r="G19652" i="1"/>
  <c r="B12216" i="1"/>
  <c r="D12216" i="1"/>
  <c r="G12216" i="1"/>
  <c r="B11612" i="1"/>
  <c r="D11612" i="1"/>
  <c r="G11612" i="1"/>
  <c r="B11613" i="1"/>
  <c r="D11613" i="1"/>
  <c r="G11613" i="1"/>
  <c r="B11614" i="1"/>
  <c r="D11614" i="1"/>
  <c r="G11614" i="1"/>
  <c r="B11615" i="1"/>
  <c r="D11615" i="1"/>
  <c r="G11615" i="1"/>
  <c r="B14646" i="1"/>
  <c r="D14646" i="1"/>
  <c r="G14646" i="1"/>
  <c r="B15206" i="1"/>
  <c r="D15206" i="1"/>
  <c r="G15206" i="1"/>
  <c r="B20009" i="1"/>
  <c r="D20009" i="1"/>
  <c r="G20009" i="1"/>
  <c r="B15573" i="1"/>
  <c r="D15573" i="1"/>
  <c r="G15573" i="1"/>
  <c r="B14786" i="1"/>
  <c r="D14786" i="1"/>
  <c r="G14786" i="1"/>
  <c r="B21577" i="1"/>
  <c r="D21577" i="1"/>
  <c r="G21577" i="1"/>
  <c r="B15207" i="1"/>
  <c r="D15207" i="1"/>
  <c r="G15207" i="1"/>
  <c r="B15574" i="1"/>
  <c r="D15574" i="1"/>
  <c r="G15574" i="1"/>
  <c r="B14749" i="1"/>
  <c r="D14749" i="1"/>
  <c r="G14749" i="1"/>
  <c r="B19287" i="1"/>
  <c r="D19287" i="1"/>
  <c r="G19287" i="1"/>
  <c r="B18919" i="1"/>
  <c r="D18919" i="1"/>
  <c r="G18919" i="1"/>
  <c r="B3688" i="1"/>
  <c r="D3688" i="1"/>
  <c r="G3688" i="1"/>
  <c r="B17544" i="1"/>
  <c r="D17544" i="1"/>
  <c r="G17544" i="1"/>
  <c r="B3791" i="1"/>
  <c r="D3791" i="1"/>
  <c r="G3791" i="1"/>
  <c r="B20323" i="1"/>
  <c r="D20323" i="1"/>
  <c r="G20323" i="1"/>
  <c r="B6825" i="1"/>
  <c r="D6825" i="1"/>
  <c r="G6825" i="1"/>
  <c r="B20010" i="1"/>
  <c r="D20010" i="1"/>
  <c r="G20010" i="1"/>
  <c r="B20011" i="1"/>
  <c r="D20011" i="1"/>
  <c r="G20011" i="1"/>
  <c r="B17850" i="1"/>
  <c r="D17850" i="1"/>
  <c r="G17850" i="1"/>
  <c r="B17851" i="1"/>
  <c r="D17851" i="1"/>
  <c r="G17851" i="1"/>
  <c r="B12217" i="1"/>
  <c r="D12217" i="1"/>
  <c r="G12217" i="1"/>
  <c r="B20246" i="1"/>
  <c r="D20246" i="1"/>
  <c r="G20246" i="1"/>
  <c r="B15208" i="1"/>
  <c r="D15208" i="1"/>
  <c r="G15208" i="1"/>
  <c r="B1833" i="1"/>
  <c r="D1833" i="1"/>
  <c r="G1833" i="1"/>
  <c r="B17852" i="1"/>
  <c r="D17852" i="1"/>
  <c r="G17852" i="1"/>
  <c r="B17853" i="1"/>
  <c r="D17853" i="1"/>
  <c r="G17853" i="1"/>
  <c r="B1463" i="1"/>
  <c r="D1463" i="1"/>
  <c r="G1463" i="1"/>
  <c r="B15209" i="1"/>
  <c r="D15209" i="1"/>
  <c r="G15209" i="1"/>
  <c r="B1769" i="1"/>
  <c r="D1769" i="1"/>
  <c r="G1769" i="1"/>
  <c r="B1770" i="1"/>
  <c r="D1770" i="1"/>
  <c r="G1770" i="1"/>
  <c r="B15575" i="1"/>
  <c r="D15575" i="1"/>
  <c r="G15575" i="1"/>
  <c r="B22241" i="1"/>
  <c r="D22241" i="1"/>
  <c r="G22241" i="1"/>
  <c r="B22242" i="1"/>
  <c r="D22242" i="1"/>
  <c r="G22242" i="1"/>
  <c r="B14099" i="1"/>
  <c r="D14099" i="1"/>
  <c r="G14099" i="1"/>
  <c r="B16703" i="1"/>
  <c r="D16703" i="1"/>
  <c r="G16703" i="1"/>
  <c r="B16704" i="1"/>
  <c r="D16704" i="1"/>
  <c r="G16704" i="1"/>
  <c r="B2957" i="1"/>
  <c r="D2957" i="1"/>
  <c r="G2957" i="1"/>
  <c r="B2958" i="1"/>
  <c r="D2958" i="1"/>
  <c r="G2958" i="1"/>
  <c r="B15576" i="1"/>
  <c r="D15576" i="1"/>
  <c r="G15576" i="1"/>
  <c r="B18192" i="1"/>
  <c r="D18192" i="1"/>
  <c r="G18192" i="1"/>
  <c r="B11349" i="1"/>
  <c r="D11349" i="1"/>
  <c r="G11349" i="1"/>
  <c r="B838" i="1"/>
  <c r="D838" i="1"/>
  <c r="G838" i="1"/>
  <c r="B22066" i="1"/>
  <c r="D22066" i="1"/>
  <c r="G22066" i="1"/>
  <c r="B17175" i="1"/>
  <c r="D17175" i="1"/>
  <c r="G17175" i="1"/>
  <c r="B16149" i="1"/>
  <c r="D16149" i="1"/>
  <c r="G16149" i="1"/>
  <c r="B2188" i="1"/>
  <c r="D2188" i="1"/>
  <c r="G2188" i="1"/>
  <c r="B16705" i="1"/>
  <c r="D16705" i="1"/>
  <c r="G16705" i="1"/>
  <c r="B1335" i="1"/>
  <c r="D1335" i="1"/>
  <c r="G1335" i="1"/>
  <c r="B9557" i="1"/>
  <c r="D9557" i="1"/>
  <c r="G9557" i="1"/>
  <c r="B9208" i="1"/>
  <c r="D9208" i="1"/>
  <c r="G9208" i="1"/>
  <c r="B21809" i="1"/>
  <c r="D21809" i="1"/>
  <c r="G21809" i="1"/>
  <c r="B18228" i="1"/>
  <c r="D18228" i="1"/>
  <c r="G18228" i="1"/>
  <c r="B5547" i="1"/>
  <c r="D5547" i="1"/>
  <c r="G5547" i="1"/>
  <c r="B21131" i="1"/>
  <c r="D21131" i="1"/>
  <c r="G21131" i="1"/>
  <c r="B16706" i="1"/>
  <c r="D16706" i="1"/>
  <c r="G16706" i="1"/>
  <c r="B22251" i="1"/>
  <c r="D22251" i="1"/>
  <c r="G22251" i="1"/>
  <c r="B13989" i="1"/>
  <c r="D13989" i="1"/>
  <c r="G13989" i="1"/>
  <c r="B16707" i="1"/>
  <c r="D16707" i="1"/>
  <c r="G16707" i="1"/>
  <c r="B10616" i="1"/>
  <c r="D10616" i="1"/>
  <c r="G10616" i="1"/>
  <c r="B10617" i="1"/>
  <c r="D10617" i="1"/>
  <c r="G10617" i="1"/>
  <c r="B10940" i="1"/>
  <c r="D10940" i="1"/>
  <c r="G10940" i="1"/>
  <c r="B10941" i="1"/>
  <c r="D10941" i="1"/>
  <c r="G10941" i="1"/>
  <c r="B14423" i="1"/>
  <c r="D14423" i="1"/>
  <c r="G14423" i="1"/>
  <c r="B21423" i="1"/>
  <c r="D21423" i="1"/>
  <c r="G21423" i="1"/>
  <c r="B20415" i="1"/>
  <c r="D20415" i="1"/>
  <c r="G20415" i="1"/>
  <c r="B20324" i="1"/>
  <c r="D20324" i="1"/>
  <c r="G20324" i="1"/>
  <c r="B20893" i="1"/>
  <c r="D20893" i="1"/>
  <c r="G20893" i="1"/>
  <c r="B20894" i="1"/>
  <c r="D20894" i="1"/>
  <c r="G20894" i="1"/>
  <c r="B7092" i="1"/>
  <c r="D7092" i="1"/>
  <c r="G7092" i="1"/>
  <c r="B14151" i="1"/>
  <c r="D14151" i="1"/>
  <c r="G14151" i="1"/>
  <c r="B20247" i="1"/>
  <c r="D20247" i="1"/>
  <c r="G20247" i="1"/>
  <c r="B3317" i="1"/>
  <c r="D3317" i="1"/>
  <c r="G3317" i="1"/>
  <c r="B22067" i="1"/>
  <c r="D22067" i="1"/>
  <c r="G22067" i="1"/>
  <c r="B10618" i="1"/>
  <c r="D10618" i="1"/>
  <c r="G10618" i="1"/>
  <c r="B14380" i="1"/>
  <c r="D14380" i="1"/>
  <c r="G14380" i="1"/>
  <c r="B19653" i="1"/>
  <c r="D19653" i="1"/>
  <c r="G19653" i="1"/>
  <c r="B17854" i="1"/>
  <c r="D17854" i="1"/>
  <c r="G17854" i="1"/>
  <c r="B17855" i="1"/>
  <c r="D17855" i="1"/>
  <c r="G17855" i="1"/>
  <c r="B19654" i="1"/>
  <c r="D19654" i="1"/>
  <c r="G19654" i="1"/>
  <c r="B16150" i="1"/>
  <c r="D16150" i="1"/>
  <c r="G16150" i="1"/>
  <c r="B735" i="1"/>
  <c r="D735" i="1"/>
  <c r="G735" i="1"/>
  <c r="B3995" i="1"/>
  <c r="D3995" i="1"/>
  <c r="G3995" i="1"/>
  <c r="B11217" i="1"/>
  <c r="D11217" i="1"/>
  <c r="G11217" i="1"/>
  <c r="B13381" i="1"/>
  <c r="D13381" i="1"/>
  <c r="G13381" i="1"/>
  <c r="B14422" i="1"/>
  <c r="D14422" i="1"/>
  <c r="G14422" i="1"/>
  <c r="B633" i="1"/>
  <c r="D633" i="1"/>
  <c r="G633" i="1"/>
  <c r="B19655" i="1"/>
  <c r="D19655" i="1"/>
  <c r="G19655" i="1"/>
  <c r="B21946" i="1"/>
  <c r="D21946" i="1"/>
  <c r="G21946" i="1"/>
  <c r="B7984" i="1"/>
  <c r="D7984" i="1"/>
  <c r="G7984" i="1"/>
  <c r="B7599" i="1"/>
  <c r="D7599" i="1"/>
  <c r="G7599" i="1"/>
  <c r="B20665" i="1"/>
  <c r="D20665" i="1"/>
  <c r="G20665" i="1"/>
  <c r="B8981" i="1"/>
  <c r="D8981" i="1"/>
  <c r="G8981" i="1"/>
  <c r="B14080" i="1"/>
  <c r="D14080" i="1"/>
  <c r="G14080" i="1"/>
  <c r="B15210" i="1"/>
  <c r="D15210" i="1"/>
  <c r="G15210" i="1"/>
  <c r="B14370" i="1"/>
  <c r="D14370" i="1"/>
  <c r="G14370" i="1"/>
  <c r="B14000" i="1"/>
  <c r="D14000" i="1"/>
  <c r="G14000" i="1"/>
  <c r="B14382" i="1"/>
  <c r="D14382" i="1"/>
  <c r="G14382" i="1"/>
  <c r="B12383" i="1"/>
  <c r="D12383" i="1"/>
  <c r="G12383" i="1"/>
  <c r="B6912" i="1"/>
  <c r="D6912" i="1"/>
  <c r="G6912" i="1"/>
  <c r="B15918" i="1"/>
  <c r="D15918" i="1"/>
  <c r="G15918" i="1"/>
  <c r="B15577" i="1"/>
  <c r="D15577" i="1"/>
  <c r="G15577" i="1"/>
  <c r="B18920" i="1"/>
  <c r="D18920" i="1"/>
  <c r="G18920" i="1"/>
  <c r="B18748" i="1"/>
  <c r="D18748" i="1"/>
  <c r="G18748" i="1"/>
  <c r="B10942" i="1"/>
  <c r="D10942" i="1"/>
  <c r="G10942" i="1"/>
  <c r="B20666" i="1"/>
  <c r="D20666" i="1"/>
  <c r="G20666" i="1"/>
  <c r="B1771" i="1"/>
  <c r="D1771" i="1"/>
  <c r="G1771" i="1"/>
  <c r="B5548" i="1"/>
  <c r="D5548" i="1"/>
  <c r="G5548" i="1"/>
  <c r="B21578" i="1"/>
  <c r="D21578" i="1"/>
  <c r="G21578" i="1"/>
  <c r="B18580" i="1"/>
  <c r="D18580" i="1"/>
  <c r="G18580" i="1"/>
  <c r="B11699" i="1"/>
  <c r="D11699" i="1"/>
  <c r="G11699" i="1"/>
  <c r="B11616" i="1"/>
  <c r="D11616" i="1"/>
  <c r="G11616" i="1"/>
  <c r="B19656" i="1"/>
  <c r="D19656" i="1"/>
  <c r="G19656" i="1"/>
  <c r="B19827" i="1"/>
  <c r="D19827" i="1"/>
  <c r="G19827" i="1"/>
  <c r="B7600" i="1"/>
  <c r="D7600" i="1"/>
  <c r="G7600" i="1"/>
  <c r="B15211" i="1"/>
  <c r="D15211" i="1"/>
  <c r="G15211" i="1"/>
  <c r="B13856" i="1"/>
  <c r="D13856" i="1"/>
  <c r="G13856" i="1"/>
  <c r="B7601" i="1"/>
  <c r="D7601" i="1"/>
  <c r="G7601" i="1"/>
  <c r="B12218" i="1"/>
  <c r="D12218" i="1"/>
  <c r="G12218" i="1"/>
  <c r="B7375" i="1"/>
  <c r="D7375" i="1"/>
  <c r="G7375" i="1"/>
  <c r="B9834" i="1"/>
  <c r="D9834" i="1"/>
  <c r="G9834" i="1"/>
  <c r="B9835" i="1"/>
  <c r="D9835" i="1"/>
  <c r="G9835" i="1"/>
  <c r="B18334" i="1"/>
  <c r="D18334" i="1"/>
  <c r="G18334" i="1"/>
  <c r="B9774" i="1"/>
  <c r="D9774" i="1"/>
  <c r="G9774" i="1"/>
  <c r="B9775" i="1"/>
  <c r="D9775" i="1"/>
  <c r="G9775" i="1"/>
  <c r="B9776" i="1"/>
  <c r="D9776" i="1"/>
  <c r="G9776" i="1"/>
  <c r="B19657" i="1"/>
  <c r="D19657" i="1"/>
  <c r="G19657" i="1"/>
  <c r="B12219" i="1"/>
  <c r="D12219" i="1"/>
  <c r="G12219" i="1"/>
  <c r="B22188" i="1"/>
  <c r="D22188" i="1"/>
  <c r="G22188" i="1"/>
  <c r="B10314" i="1"/>
  <c r="D10314" i="1"/>
  <c r="G10314" i="1"/>
  <c r="B17856" i="1"/>
  <c r="D17856" i="1"/>
  <c r="G17856" i="1"/>
  <c r="B17857" i="1"/>
  <c r="D17857" i="1"/>
  <c r="G17857" i="1"/>
  <c r="B7048" i="1"/>
  <c r="D7048" i="1"/>
  <c r="G7048" i="1"/>
  <c r="B4400" i="1"/>
  <c r="D4400" i="1"/>
  <c r="G4400" i="1"/>
  <c r="B21579" i="1"/>
  <c r="D21579" i="1"/>
  <c r="G21579" i="1"/>
  <c r="B12990" i="1"/>
  <c r="D12990" i="1"/>
  <c r="G12990" i="1"/>
  <c r="B7602" i="1"/>
  <c r="D7602" i="1"/>
  <c r="G7602" i="1"/>
  <c r="B20416" i="1"/>
  <c r="D20416" i="1"/>
  <c r="G20416" i="1"/>
  <c r="B21580" i="1"/>
  <c r="D21580" i="1"/>
  <c r="G21580" i="1"/>
  <c r="B20325" i="1"/>
  <c r="D20325" i="1"/>
  <c r="G20325" i="1"/>
  <c r="B13857" i="1"/>
  <c r="D13857" i="1"/>
  <c r="G13857" i="1"/>
  <c r="B6826" i="1"/>
  <c r="D6826" i="1"/>
  <c r="G6826" i="1"/>
  <c r="B6882" i="1"/>
  <c r="D6882" i="1"/>
  <c r="G6882" i="1"/>
  <c r="B5630" i="1"/>
  <c r="D5630" i="1"/>
  <c r="G5630" i="1"/>
  <c r="B5631" i="1"/>
  <c r="D5631" i="1"/>
  <c r="G5631" i="1"/>
  <c r="B8076" i="1"/>
  <c r="D8076" i="1"/>
  <c r="G8076" i="1"/>
  <c r="B22068" i="1"/>
  <c r="D22068" i="1"/>
  <c r="G22068" i="1"/>
  <c r="B15212" i="1"/>
  <c r="D15212" i="1"/>
  <c r="G15212" i="1"/>
  <c r="B17858" i="1"/>
  <c r="D17858" i="1"/>
  <c r="G17858" i="1"/>
  <c r="B17859" i="1"/>
  <c r="D17859" i="1"/>
  <c r="G17859" i="1"/>
  <c r="B4502" i="1"/>
  <c r="D4502" i="1"/>
  <c r="G4502" i="1"/>
  <c r="B20895" i="1"/>
  <c r="D20895" i="1"/>
  <c r="G20895" i="1"/>
  <c r="B20667" i="1"/>
  <c r="D20667" i="1"/>
  <c r="G20667" i="1"/>
  <c r="B8077" i="1"/>
  <c r="D8077" i="1"/>
  <c r="G8077" i="1"/>
  <c r="B21132" i="1"/>
  <c r="D21132" i="1"/>
  <c r="G21132" i="1"/>
  <c r="B18369" i="1"/>
  <c r="D18369" i="1"/>
  <c r="G18369" i="1"/>
  <c r="B16708" i="1"/>
  <c r="D16708" i="1"/>
  <c r="G16708" i="1"/>
  <c r="B6441" i="1"/>
  <c r="D6441" i="1"/>
  <c r="G6441" i="1"/>
  <c r="B21810" i="1"/>
  <c r="D21810" i="1"/>
  <c r="G21810" i="1"/>
  <c r="B18701" i="1"/>
  <c r="D18701" i="1"/>
  <c r="G18701" i="1"/>
  <c r="B21133" i="1"/>
  <c r="D21133" i="1"/>
  <c r="G21133" i="1"/>
  <c r="B21134" i="1"/>
  <c r="D21134" i="1"/>
  <c r="G21134" i="1"/>
  <c r="B14244" i="1"/>
  <c r="D14244" i="1"/>
  <c r="G14244" i="1"/>
  <c r="B14750" i="1"/>
  <c r="D14750" i="1"/>
  <c r="G14750" i="1"/>
  <c r="B15578" i="1"/>
  <c r="D15578" i="1"/>
  <c r="G15578" i="1"/>
  <c r="B14647" i="1"/>
  <c r="D14647" i="1"/>
  <c r="G14647" i="1"/>
  <c r="B7985" i="1"/>
  <c r="D7985" i="1"/>
  <c r="G7985" i="1"/>
  <c r="B7986" i="1"/>
  <c r="D7986" i="1"/>
  <c r="G7986" i="1"/>
  <c r="B16709" i="1"/>
  <c r="D16709" i="1"/>
  <c r="G16709" i="1"/>
  <c r="B4401" i="1"/>
  <c r="D4401" i="1"/>
  <c r="G4401" i="1"/>
  <c r="B20668" i="1"/>
  <c r="D20668" i="1"/>
  <c r="G20668" i="1"/>
  <c r="B10619" i="1"/>
  <c r="D10619" i="1"/>
  <c r="G10619" i="1"/>
  <c r="B9958" i="1"/>
  <c r="D9958" i="1"/>
  <c r="G9958" i="1"/>
  <c r="B18157" i="1"/>
  <c r="D18157" i="1"/>
  <c r="G18157" i="1"/>
  <c r="B16710" i="1"/>
  <c r="D16710" i="1"/>
  <c r="G16710" i="1"/>
  <c r="B12220" i="1"/>
  <c r="D12220" i="1"/>
  <c r="G12220" i="1"/>
  <c r="B7603" i="1"/>
  <c r="D7603" i="1"/>
  <c r="G7603" i="1"/>
  <c r="B21135" i="1"/>
  <c r="D21135" i="1"/>
  <c r="G21135" i="1"/>
  <c r="B12683" i="1"/>
  <c r="D12683" i="1"/>
  <c r="G12683" i="1"/>
  <c r="B20137" i="1"/>
  <c r="D20137" i="1"/>
  <c r="G20137" i="1"/>
  <c r="B4359" i="1"/>
  <c r="D4359" i="1"/>
  <c r="G4359" i="1"/>
  <c r="B20896" i="1"/>
  <c r="D20896" i="1"/>
  <c r="G20896" i="1"/>
  <c r="B19073" i="1"/>
  <c r="D19073" i="1"/>
  <c r="G19073" i="1"/>
  <c r="B17860" i="1"/>
  <c r="D17860" i="1"/>
  <c r="G17860" i="1"/>
  <c r="B20897" i="1"/>
  <c r="D20897" i="1"/>
  <c r="G20897" i="1"/>
  <c r="B4763" i="1"/>
  <c r="D4763" i="1"/>
  <c r="G4763" i="1"/>
  <c r="B8263" i="1"/>
  <c r="D8263" i="1"/>
  <c r="G8263" i="1"/>
  <c r="B19288" i="1"/>
  <c r="D19288" i="1"/>
  <c r="G19288" i="1"/>
  <c r="B16711" i="1"/>
  <c r="D16711" i="1"/>
  <c r="G16711" i="1"/>
  <c r="B21306" i="1"/>
  <c r="D21306" i="1"/>
  <c r="G21306" i="1"/>
  <c r="B18340" i="1"/>
  <c r="D18340" i="1"/>
  <c r="G18340" i="1"/>
  <c r="B17861" i="1"/>
  <c r="D17861" i="1"/>
  <c r="G17861" i="1"/>
  <c r="B15213" i="1"/>
  <c r="D15213" i="1"/>
  <c r="G15213" i="1"/>
  <c r="B9182" i="1"/>
  <c r="D9182" i="1"/>
  <c r="G9182" i="1"/>
  <c r="B634" i="1"/>
  <c r="D634" i="1"/>
  <c r="G634" i="1"/>
  <c r="B11218" i="1"/>
  <c r="D11218" i="1"/>
  <c r="G11218" i="1"/>
  <c r="B8982" i="1"/>
  <c r="D8982" i="1"/>
  <c r="G8982" i="1"/>
  <c r="B8983" i="1"/>
  <c r="D8983" i="1"/>
  <c r="G8983" i="1"/>
  <c r="B20023" i="1"/>
  <c r="D20023" i="1"/>
  <c r="G20023" i="1"/>
  <c r="B21005" i="1"/>
  <c r="D21005" i="1"/>
  <c r="G21005" i="1"/>
  <c r="B15214" i="1"/>
  <c r="D15214" i="1"/>
  <c r="G15214" i="1"/>
  <c r="B10620" i="1"/>
  <c r="D10620" i="1"/>
  <c r="G10620" i="1"/>
  <c r="B21947" i="1"/>
  <c r="D21947" i="1"/>
  <c r="G21947" i="1"/>
  <c r="B635" i="1"/>
  <c r="D635" i="1"/>
  <c r="G635" i="1"/>
  <c r="B21948" i="1"/>
  <c r="D21948" i="1"/>
  <c r="G21948" i="1"/>
  <c r="B21136" i="1"/>
  <c r="D21136" i="1"/>
  <c r="G21136" i="1"/>
  <c r="B10943" i="1"/>
  <c r="D10943" i="1"/>
  <c r="G10943" i="1"/>
  <c r="B636" i="1"/>
  <c r="D636" i="1"/>
  <c r="G636" i="1"/>
  <c r="B16712" i="1"/>
  <c r="D16712" i="1"/>
  <c r="G16712" i="1"/>
  <c r="B4558" i="1"/>
  <c r="D4558" i="1"/>
  <c r="G4558" i="1"/>
  <c r="B8219" i="1"/>
  <c r="D8219" i="1"/>
  <c r="G8219" i="1"/>
  <c r="B8220" i="1"/>
  <c r="D8220" i="1"/>
  <c r="G8220" i="1"/>
  <c r="B8984" i="1"/>
  <c r="D8984" i="1"/>
  <c r="G8984" i="1"/>
  <c r="B11746" i="1"/>
  <c r="D11746" i="1"/>
  <c r="G11746" i="1"/>
  <c r="B1336" i="1"/>
  <c r="D1336" i="1"/>
  <c r="G1336" i="1"/>
  <c r="B16044" i="1"/>
  <c r="D16044" i="1"/>
  <c r="G16044" i="1"/>
  <c r="B20898" i="1"/>
  <c r="D20898" i="1"/>
  <c r="G20898" i="1"/>
  <c r="B12221" i="1"/>
  <c r="D12221" i="1"/>
  <c r="G12221" i="1"/>
  <c r="B17862" i="1"/>
  <c r="D17862" i="1"/>
  <c r="G17862" i="1"/>
  <c r="B22189" i="1"/>
  <c r="D22189" i="1"/>
  <c r="G22189" i="1"/>
  <c r="B637" i="1"/>
  <c r="D637" i="1"/>
  <c r="G637" i="1"/>
  <c r="B10380" i="1"/>
  <c r="D10380" i="1"/>
  <c r="G10380" i="1"/>
  <c r="B18702" i="1"/>
  <c r="D18702" i="1"/>
  <c r="G18702" i="1"/>
  <c r="B10944" i="1"/>
  <c r="D10944" i="1"/>
  <c r="G10944" i="1"/>
  <c r="B8985" i="1"/>
  <c r="D8985" i="1"/>
  <c r="G8985" i="1"/>
  <c r="B21949" i="1"/>
  <c r="D21949" i="1"/>
  <c r="G21949" i="1"/>
  <c r="B21950" i="1"/>
  <c r="D21950" i="1"/>
  <c r="G21950" i="1"/>
  <c r="B19658" i="1"/>
  <c r="D19658" i="1"/>
  <c r="G19658" i="1"/>
  <c r="B6685" i="1"/>
  <c r="D6685" i="1"/>
  <c r="G6685" i="1"/>
  <c r="B16713" i="1"/>
  <c r="D16713" i="1"/>
  <c r="G16713" i="1"/>
  <c r="B9986" i="1"/>
  <c r="D9986" i="1"/>
  <c r="G9986" i="1"/>
  <c r="B1337" i="1"/>
  <c r="D1337" i="1"/>
  <c r="G1337" i="1"/>
  <c r="B16714" i="1"/>
  <c r="D16714" i="1"/>
  <c r="G16714" i="1"/>
  <c r="B4667" i="1"/>
  <c r="D4667" i="1"/>
  <c r="G4667" i="1"/>
  <c r="B20899" i="1"/>
  <c r="D20899" i="1"/>
  <c r="G20899" i="1"/>
  <c r="B9576" i="1"/>
  <c r="D9576" i="1"/>
  <c r="G9576" i="1"/>
  <c r="B15215" i="1"/>
  <c r="D15215" i="1"/>
  <c r="G15215" i="1"/>
  <c r="B11219" i="1"/>
  <c r="D11219" i="1"/>
  <c r="G11219" i="1"/>
  <c r="B7376" i="1"/>
  <c r="D7376" i="1"/>
  <c r="G7376" i="1"/>
  <c r="B3390" i="1"/>
  <c r="D3390" i="1"/>
  <c r="G3390" i="1"/>
  <c r="B839" i="1"/>
  <c r="D839" i="1"/>
  <c r="G839" i="1"/>
  <c r="B15919" i="1"/>
  <c r="D15919" i="1"/>
  <c r="G15919" i="1"/>
  <c r="B4479" i="1"/>
  <c r="D4479" i="1"/>
  <c r="G4479" i="1"/>
  <c r="B15579" i="1"/>
  <c r="D15579" i="1"/>
  <c r="G15579" i="1"/>
  <c r="B20669" i="1"/>
  <c r="D20669" i="1"/>
  <c r="G20669" i="1"/>
  <c r="B8986" i="1"/>
  <c r="D8986" i="1"/>
  <c r="G8986" i="1"/>
  <c r="B8348" i="1"/>
  <c r="D8348" i="1"/>
  <c r="G8348" i="1"/>
  <c r="B3996" i="1"/>
  <c r="D3996" i="1"/>
  <c r="G3996" i="1"/>
  <c r="B3997" i="1"/>
  <c r="D3997" i="1"/>
  <c r="G3997" i="1"/>
  <c r="B15216" i="1"/>
  <c r="D15216" i="1"/>
  <c r="G15216" i="1"/>
  <c r="B20203" i="1"/>
  <c r="D20203" i="1"/>
  <c r="G20203" i="1"/>
  <c r="B5549" i="1"/>
  <c r="D5549" i="1"/>
  <c r="G5549" i="1"/>
  <c r="B783" i="1"/>
  <c r="D783" i="1"/>
  <c r="G783" i="1"/>
  <c r="B5255" i="1"/>
  <c r="D5255" i="1"/>
  <c r="G5255" i="1"/>
  <c r="B15920" i="1"/>
  <c r="D15920" i="1"/>
  <c r="G15920" i="1"/>
  <c r="B15580" i="1"/>
  <c r="D15580" i="1"/>
  <c r="G15580" i="1"/>
  <c r="B18921" i="1"/>
  <c r="D18921" i="1"/>
  <c r="G18921" i="1"/>
  <c r="B9777" i="1"/>
  <c r="D9777" i="1"/>
  <c r="G9777" i="1"/>
  <c r="B5550" i="1"/>
  <c r="D5550" i="1"/>
  <c r="G5550" i="1"/>
  <c r="B19659" i="1"/>
  <c r="D19659" i="1"/>
  <c r="G19659" i="1"/>
  <c r="B13415" i="1"/>
  <c r="D13415" i="1"/>
  <c r="G13415" i="1"/>
  <c r="B20086" i="1"/>
  <c r="D20086" i="1"/>
  <c r="G20086" i="1"/>
  <c r="B2529" i="1"/>
  <c r="D2529" i="1"/>
  <c r="G2529" i="1"/>
  <c r="B638" i="1"/>
  <c r="D638" i="1"/>
  <c r="G638" i="1"/>
  <c r="B12684" i="1"/>
  <c r="D12684" i="1"/>
  <c r="G12684" i="1"/>
  <c r="B20057" i="1"/>
  <c r="D20057" i="1"/>
  <c r="G20057" i="1"/>
  <c r="B15217" i="1"/>
  <c r="D15217" i="1"/>
  <c r="G15217" i="1"/>
  <c r="B7250" i="1"/>
  <c r="D7250" i="1"/>
  <c r="G7250" i="1"/>
  <c r="B7251" i="1"/>
  <c r="D7251" i="1"/>
  <c r="G7251" i="1"/>
  <c r="B19660" i="1"/>
  <c r="D19660" i="1"/>
  <c r="G19660" i="1"/>
  <c r="B18581" i="1"/>
  <c r="D18581" i="1"/>
  <c r="G18581" i="1"/>
  <c r="B7987" i="1"/>
  <c r="D7987" i="1"/>
  <c r="G7987" i="1"/>
  <c r="B7988" i="1"/>
  <c r="D7988" i="1"/>
  <c r="G7988" i="1"/>
  <c r="B21137" i="1"/>
  <c r="D21137" i="1"/>
  <c r="G21137" i="1"/>
  <c r="B8987" i="1"/>
  <c r="D8987" i="1"/>
  <c r="G8987" i="1"/>
  <c r="B10083" i="1"/>
  <c r="D10083" i="1"/>
  <c r="G10083" i="1"/>
  <c r="B6827" i="1"/>
  <c r="D6827" i="1"/>
  <c r="G6827" i="1"/>
  <c r="B21951" i="1"/>
  <c r="D21951" i="1"/>
  <c r="G21951" i="1"/>
  <c r="B15218" i="1"/>
  <c r="D15218" i="1"/>
  <c r="G15218" i="1"/>
  <c r="B20417" i="1"/>
  <c r="D20417" i="1"/>
  <c r="G20417" i="1"/>
  <c r="B20418" i="1"/>
  <c r="D20418" i="1"/>
  <c r="G20418" i="1"/>
  <c r="B20326" i="1"/>
  <c r="D20326" i="1"/>
  <c r="G20326" i="1"/>
  <c r="B6442" i="1"/>
  <c r="D6442" i="1"/>
  <c r="G6442" i="1"/>
  <c r="B8349" i="1"/>
  <c r="D8349" i="1"/>
  <c r="G8349" i="1"/>
  <c r="B22069" i="1"/>
  <c r="D22069" i="1"/>
  <c r="G22069" i="1"/>
  <c r="B8988" i="1"/>
  <c r="D8988" i="1"/>
  <c r="G8988" i="1"/>
  <c r="B15219" i="1"/>
  <c r="D15219" i="1"/>
  <c r="G15219" i="1"/>
  <c r="B20419" i="1"/>
  <c r="D20419" i="1"/>
  <c r="G20419" i="1"/>
  <c r="B4448" i="1"/>
  <c r="D4448" i="1"/>
  <c r="G4448" i="1"/>
  <c r="B8285" i="1"/>
  <c r="D8285" i="1"/>
  <c r="G8285" i="1"/>
  <c r="B16715" i="1"/>
  <c r="D16715" i="1"/>
  <c r="G16715" i="1"/>
  <c r="B21811" i="1"/>
  <c r="D21811" i="1"/>
  <c r="G21811" i="1"/>
  <c r="B7252" i="1"/>
  <c r="D7252" i="1"/>
  <c r="G7252" i="1"/>
  <c r="B7253" i="1"/>
  <c r="D7253" i="1"/>
  <c r="G7253" i="1"/>
  <c r="B21138" i="1"/>
  <c r="D21138" i="1"/>
  <c r="G21138" i="1"/>
  <c r="B7989" i="1"/>
  <c r="D7989" i="1"/>
  <c r="G7989" i="1"/>
  <c r="B7990" i="1"/>
  <c r="D7990" i="1"/>
  <c r="G7990" i="1"/>
  <c r="B6443" i="1"/>
  <c r="D6443" i="1"/>
  <c r="G6443" i="1"/>
  <c r="B7991" i="1"/>
  <c r="D7991" i="1"/>
  <c r="G7991" i="1"/>
  <c r="B7992" i="1"/>
  <c r="D7992" i="1"/>
  <c r="G7992" i="1"/>
  <c r="B16716" i="1"/>
  <c r="D16716" i="1"/>
  <c r="G16716" i="1"/>
  <c r="B7254" i="1"/>
  <c r="D7254" i="1"/>
  <c r="G7254" i="1"/>
  <c r="B7255" i="1"/>
  <c r="D7255" i="1"/>
  <c r="G7255" i="1"/>
  <c r="B17863" i="1"/>
  <c r="D17863" i="1"/>
  <c r="G17863" i="1"/>
  <c r="B19661" i="1"/>
  <c r="D19661" i="1"/>
  <c r="G19661" i="1"/>
  <c r="B4997" i="1"/>
  <c r="D4997" i="1"/>
  <c r="G4997" i="1"/>
  <c r="B21139" i="1"/>
  <c r="D21139" i="1"/>
  <c r="G21139" i="1"/>
  <c r="B994" i="1"/>
  <c r="D994" i="1"/>
  <c r="G994" i="1"/>
  <c r="B19662" i="1"/>
  <c r="D19662" i="1"/>
  <c r="G19662" i="1"/>
  <c r="B19074" i="1"/>
  <c r="D19074" i="1"/>
  <c r="G19074" i="1"/>
  <c r="B18922" i="1"/>
  <c r="D18922" i="1"/>
  <c r="G18922" i="1"/>
  <c r="B3792" i="1"/>
  <c r="D3792" i="1"/>
  <c r="G3792" i="1"/>
  <c r="B16717" i="1"/>
  <c r="D16717" i="1"/>
  <c r="G16717" i="1"/>
  <c r="B20138" i="1"/>
  <c r="D20138" i="1"/>
  <c r="G20138" i="1"/>
  <c r="B8989" i="1"/>
  <c r="D8989" i="1"/>
  <c r="G8989" i="1"/>
  <c r="B8990" i="1"/>
  <c r="D8990" i="1"/>
  <c r="G8990" i="1"/>
  <c r="B5882" i="1"/>
  <c r="D5882" i="1"/>
  <c r="G5882" i="1"/>
  <c r="B12685" i="1"/>
  <c r="D12685" i="1"/>
  <c r="G12685" i="1"/>
  <c r="B21581" i="1"/>
  <c r="D21581" i="1"/>
  <c r="G21581" i="1"/>
  <c r="B17176" i="1"/>
  <c r="D17176" i="1"/>
  <c r="G17176" i="1"/>
  <c r="B19910" i="1"/>
  <c r="D19910" i="1"/>
  <c r="G19910" i="1"/>
  <c r="B12384" i="1"/>
  <c r="D12384" i="1"/>
  <c r="G12384" i="1"/>
  <c r="B5551" i="1"/>
  <c r="D5551" i="1"/>
  <c r="G5551" i="1"/>
  <c r="B5552" i="1"/>
  <c r="D5552" i="1"/>
  <c r="G5552" i="1"/>
  <c r="B2959" i="1"/>
  <c r="D2959" i="1"/>
  <c r="G2959" i="1"/>
  <c r="B5256" i="1"/>
  <c r="D5256" i="1"/>
  <c r="G5256" i="1"/>
  <c r="B21952" i="1"/>
  <c r="D21952" i="1"/>
  <c r="G21952" i="1"/>
  <c r="B6444" i="1"/>
  <c r="D6444" i="1"/>
  <c r="G6444" i="1"/>
  <c r="B6445" i="1"/>
  <c r="D6445" i="1"/>
  <c r="G6445" i="1"/>
  <c r="B4887" i="1"/>
  <c r="D4887" i="1"/>
  <c r="G4887" i="1"/>
  <c r="B20670" i="1"/>
  <c r="D20670" i="1"/>
  <c r="G20670" i="1"/>
  <c r="B3998" i="1"/>
  <c r="D3998" i="1"/>
  <c r="G3998" i="1"/>
  <c r="B19911" i="1"/>
  <c r="D19911" i="1"/>
  <c r="G19911" i="1"/>
  <c r="B17413" i="1"/>
  <c r="D17413" i="1"/>
  <c r="G17413" i="1"/>
  <c r="B22070" i="1"/>
  <c r="D22070" i="1"/>
  <c r="G22070" i="1"/>
  <c r="B3999" i="1"/>
  <c r="D3999" i="1"/>
  <c r="G3999" i="1"/>
  <c r="B3793" i="1"/>
  <c r="D3793" i="1"/>
  <c r="G3793" i="1"/>
  <c r="B18703" i="1"/>
  <c r="D18703" i="1"/>
  <c r="G18703" i="1"/>
  <c r="B19289" i="1"/>
  <c r="D19289" i="1"/>
  <c r="G19289" i="1"/>
  <c r="B16718" i="1"/>
  <c r="D16718" i="1"/>
  <c r="G16718" i="1"/>
  <c r="B15921" i="1"/>
  <c r="D15921" i="1"/>
  <c r="G15921" i="1"/>
  <c r="B15820" i="1"/>
  <c r="D15820" i="1"/>
  <c r="G15820" i="1"/>
  <c r="B20671" i="1"/>
  <c r="D20671" i="1"/>
  <c r="G20671" i="1"/>
  <c r="B20672" i="1"/>
  <c r="D20672" i="1"/>
  <c r="G20672" i="1"/>
  <c r="B20900" i="1"/>
  <c r="D20900" i="1"/>
  <c r="G20900" i="1"/>
  <c r="B20901" i="1"/>
  <c r="D20901" i="1"/>
  <c r="G20901" i="1"/>
  <c r="B20902" i="1"/>
  <c r="D20902" i="1"/>
  <c r="G20902" i="1"/>
  <c r="B20903" i="1"/>
  <c r="D20903" i="1"/>
  <c r="G20903" i="1"/>
  <c r="B17864" i="1"/>
  <c r="D17864" i="1"/>
  <c r="G17864" i="1"/>
  <c r="B20139" i="1"/>
  <c r="D20139" i="1"/>
  <c r="G20139" i="1"/>
  <c r="B953" i="1"/>
  <c r="D953" i="1"/>
  <c r="G953" i="1"/>
  <c r="B14798" i="1"/>
  <c r="D14798" i="1"/>
  <c r="G14798" i="1"/>
  <c r="B8368" i="1"/>
  <c r="D8368" i="1"/>
  <c r="G8368" i="1"/>
  <c r="B22071" i="1"/>
  <c r="D22071" i="1"/>
  <c r="G22071" i="1"/>
  <c r="B6964" i="1"/>
  <c r="D6964" i="1"/>
  <c r="G6964" i="1"/>
  <c r="B12222" i="1"/>
  <c r="D12222" i="1"/>
  <c r="G12222" i="1"/>
  <c r="B14152" i="1"/>
  <c r="D14152" i="1"/>
  <c r="G14152" i="1"/>
  <c r="B22190" i="1"/>
  <c r="D22190" i="1"/>
  <c r="G22190" i="1"/>
  <c r="B4000" i="1"/>
  <c r="D4000" i="1"/>
  <c r="G4000" i="1"/>
  <c r="B4001" i="1"/>
  <c r="D4001" i="1"/>
  <c r="G4001" i="1"/>
  <c r="B21732" i="1"/>
  <c r="D21732" i="1"/>
  <c r="G21732" i="1"/>
  <c r="B18749" i="1"/>
  <c r="D18749" i="1"/>
  <c r="G18749" i="1"/>
  <c r="B14690" i="1"/>
  <c r="D14690" i="1"/>
  <c r="G14690" i="1"/>
  <c r="B10381" i="1"/>
  <c r="D10381" i="1"/>
  <c r="G10381" i="1"/>
  <c r="B10945" i="1"/>
  <c r="D10945" i="1"/>
  <c r="G10945" i="1"/>
  <c r="B20222" i="1"/>
  <c r="D20222" i="1"/>
  <c r="G20222" i="1"/>
  <c r="B21140" i="1"/>
  <c r="D21140" i="1"/>
  <c r="G21140" i="1"/>
  <c r="B17545" i="1"/>
  <c r="D17545" i="1"/>
  <c r="G17545" i="1"/>
  <c r="B21315" i="1"/>
  <c r="D21315" i="1"/>
  <c r="G21315" i="1"/>
  <c r="B20904" i="1"/>
  <c r="D20904" i="1"/>
  <c r="G20904" i="1"/>
  <c r="B3689" i="1"/>
  <c r="D3689" i="1"/>
  <c r="G3689" i="1"/>
  <c r="B9844" i="1"/>
  <c r="D9844" i="1"/>
  <c r="G9844" i="1"/>
  <c r="B7604" i="1"/>
  <c r="D7604" i="1"/>
  <c r="G7604" i="1"/>
  <c r="B20420" i="1"/>
  <c r="D20420" i="1"/>
  <c r="G20420" i="1"/>
  <c r="B20327" i="1"/>
  <c r="D20327" i="1"/>
  <c r="G20327" i="1"/>
  <c r="B5553" i="1"/>
  <c r="D5553" i="1"/>
  <c r="G5553" i="1"/>
  <c r="B20328" i="1"/>
  <c r="D20328" i="1"/>
  <c r="G20328" i="1"/>
  <c r="B14093" i="1"/>
  <c r="D14093" i="1"/>
  <c r="G14093" i="1"/>
  <c r="B20248" i="1"/>
  <c r="D20248" i="1"/>
  <c r="G20248" i="1"/>
  <c r="B21363" i="1"/>
  <c r="D21363" i="1"/>
  <c r="G21363" i="1"/>
  <c r="B4668" i="1"/>
  <c r="D4668" i="1"/>
  <c r="G4668" i="1"/>
  <c r="B8991" i="1"/>
  <c r="D8991" i="1"/>
  <c r="G8991" i="1"/>
  <c r="B12991" i="1"/>
  <c r="D12991" i="1"/>
  <c r="G12991" i="1"/>
  <c r="B21953" i="1"/>
  <c r="D21953" i="1"/>
  <c r="G21953" i="1"/>
  <c r="B22072" i="1"/>
  <c r="D22072" i="1"/>
  <c r="G22072" i="1"/>
  <c r="B21364" i="1"/>
  <c r="D21364" i="1"/>
  <c r="G21364" i="1"/>
  <c r="B20905" i="1"/>
  <c r="D20905" i="1"/>
  <c r="G20905" i="1"/>
  <c r="B18582" i="1"/>
  <c r="D18582" i="1"/>
  <c r="G18582" i="1"/>
  <c r="B8992" i="1"/>
  <c r="D8992" i="1"/>
  <c r="G8992" i="1"/>
  <c r="B21582" i="1"/>
  <c r="D21582" i="1"/>
  <c r="G21582" i="1"/>
  <c r="B17865" i="1"/>
  <c r="D17865" i="1"/>
  <c r="G17865" i="1"/>
  <c r="B11434" i="1"/>
  <c r="D11434" i="1"/>
  <c r="G11434" i="1"/>
  <c r="B7605" i="1"/>
  <c r="D7605" i="1"/>
  <c r="G7605" i="1"/>
  <c r="B20673" i="1"/>
  <c r="D20673" i="1"/>
  <c r="G20673" i="1"/>
  <c r="B418" i="1"/>
  <c r="D418" i="1"/>
  <c r="G418" i="1"/>
  <c r="B13339" i="1"/>
  <c r="D13339" i="1"/>
  <c r="G13339" i="1"/>
  <c r="B20180" i="1"/>
  <c r="D20180" i="1"/>
  <c r="G20180" i="1"/>
  <c r="B5257" i="1"/>
  <c r="D5257" i="1"/>
  <c r="G5257" i="1"/>
  <c r="B21954" i="1"/>
  <c r="D21954" i="1"/>
  <c r="G21954" i="1"/>
  <c r="B7049" i="1"/>
  <c r="D7049" i="1"/>
  <c r="G7049" i="1"/>
  <c r="B6828" i="1"/>
  <c r="D6828" i="1"/>
  <c r="G6828" i="1"/>
  <c r="B20674" i="1"/>
  <c r="D20674" i="1"/>
  <c r="G20674" i="1"/>
  <c r="B9778" i="1"/>
  <c r="D9778" i="1"/>
  <c r="G9778" i="1"/>
  <c r="B9779" i="1"/>
  <c r="D9779" i="1"/>
  <c r="G9779" i="1"/>
  <c r="B15220" i="1"/>
  <c r="D15220" i="1"/>
  <c r="G15220" i="1"/>
  <c r="B18583" i="1"/>
  <c r="D18583" i="1"/>
  <c r="G18583" i="1"/>
  <c r="B20421" i="1"/>
  <c r="D20421" i="1"/>
  <c r="G20421" i="1"/>
  <c r="B19912" i="1"/>
  <c r="D19912" i="1"/>
  <c r="G19912" i="1"/>
  <c r="B21316" i="1"/>
  <c r="D21316" i="1"/>
  <c r="G21316" i="1"/>
  <c r="B11891" i="1"/>
  <c r="D11891" i="1"/>
  <c r="G11891" i="1"/>
  <c r="B11892" i="1"/>
  <c r="D11892" i="1"/>
  <c r="G11892" i="1"/>
  <c r="B19663" i="1"/>
  <c r="D19663" i="1"/>
  <c r="G19663" i="1"/>
  <c r="B19664" i="1"/>
  <c r="D19664" i="1"/>
  <c r="G19664" i="1"/>
  <c r="B7110" i="1"/>
  <c r="D7110" i="1"/>
  <c r="G7110" i="1"/>
  <c r="B7111" i="1"/>
  <c r="D7111" i="1"/>
  <c r="G7111" i="1"/>
  <c r="B8993" i="1"/>
  <c r="D8993" i="1"/>
  <c r="G8993" i="1"/>
  <c r="B784" i="1"/>
  <c r="D784" i="1"/>
  <c r="G784" i="1"/>
  <c r="B8221" i="1"/>
  <c r="D8221" i="1"/>
  <c r="G8221" i="1"/>
  <c r="B21812" i="1"/>
  <c r="D21812" i="1"/>
  <c r="G21812" i="1"/>
  <c r="B6066" i="1"/>
  <c r="D6066" i="1"/>
  <c r="G6066" i="1"/>
  <c r="B14245" i="1"/>
  <c r="D14245" i="1"/>
  <c r="G14245" i="1"/>
  <c r="B12888" i="1"/>
  <c r="D12888" i="1"/>
  <c r="G12888" i="1"/>
  <c r="B4254" i="1"/>
  <c r="D4254" i="1"/>
  <c r="G4254" i="1"/>
  <c r="B20103" i="1"/>
  <c r="D20103" i="1"/>
  <c r="G20103" i="1"/>
  <c r="B9264" i="1"/>
  <c r="D9264" i="1"/>
  <c r="G9264" i="1"/>
  <c r="B20675" i="1"/>
  <c r="D20675" i="1"/>
  <c r="G20675" i="1"/>
  <c r="B16719" i="1"/>
  <c r="D16719" i="1"/>
  <c r="G16719" i="1"/>
  <c r="B21583" i="1"/>
  <c r="D21583" i="1"/>
  <c r="G21583" i="1"/>
  <c r="B18584" i="1"/>
  <c r="D18584" i="1"/>
  <c r="G18584" i="1"/>
  <c r="B20676" i="1"/>
  <c r="D20676" i="1"/>
  <c r="G20676" i="1"/>
  <c r="B20114" i="1"/>
  <c r="D20114" i="1"/>
  <c r="G20114" i="1"/>
  <c r="B21584" i="1"/>
  <c r="D21584" i="1"/>
  <c r="G21584" i="1"/>
  <c r="B6446" i="1"/>
  <c r="D6446" i="1"/>
  <c r="G6446" i="1"/>
  <c r="B19665" i="1"/>
  <c r="D19665" i="1"/>
  <c r="G19665" i="1"/>
  <c r="B18585" i="1"/>
  <c r="D18585" i="1"/>
  <c r="G18585" i="1"/>
  <c r="B9558" i="1"/>
  <c r="D9558" i="1"/>
  <c r="G9558" i="1"/>
  <c r="B17177" i="1"/>
  <c r="D17177" i="1"/>
  <c r="G17177" i="1"/>
  <c r="B6829" i="1"/>
  <c r="D6829" i="1"/>
  <c r="G6829" i="1"/>
  <c r="B6883" i="1"/>
  <c r="D6883" i="1"/>
  <c r="G6883" i="1"/>
  <c r="B8594" i="1"/>
  <c r="D8594" i="1"/>
  <c r="G8594" i="1"/>
  <c r="B22191" i="1"/>
  <c r="D22191" i="1"/>
  <c r="G22191" i="1"/>
  <c r="B21585" i="1"/>
  <c r="D21585" i="1"/>
  <c r="G21585" i="1"/>
  <c r="B5738" i="1"/>
  <c r="D5738" i="1"/>
  <c r="G5738" i="1"/>
  <c r="B19666" i="1"/>
  <c r="D19666" i="1"/>
  <c r="G19666" i="1"/>
  <c r="B8994" i="1"/>
  <c r="D8994" i="1"/>
  <c r="G8994" i="1"/>
  <c r="B20677" i="1"/>
  <c r="D20677" i="1"/>
  <c r="G20677" i="1"/>
  <c r="B20678" i="1"/>
  <c r="D20678" i="1"/>
  <c r="G20678" i="1"/>
  <c r="B21464" i="1"/>
  <c r="D21464" i="1"/>
  <c r="G21464" i="1"/>
  <c r="B15221" i="1"/>
  <c r="D15221" i="1"/>
  <c r="G15221" i="1"/>
  <c r="B15581" i="1"/>
  <c r="D15581" i="1"/>
  <c r="G15581" i="1"/>
  <c r="B9417" i="1"/>
  <c r="D9417" i="1"/>
  <c r="G9417" i="1"/>
  <c r="B18586" i="1"/>
  <c r="D18586" i="1"/>
  <c r="G18586" i="1"/>
  <c r="B6447" i="1"/>
  <c r="D6447" i="1"/>
  <c r="G6447" i="1"/>
  <c r="B17866" i="1"/>
  <c r="D17866" i="1"/>
  <c r="G17866" i="1"/>
  <c r="B10028" i="1"/>
  <c r="D10028" i="1"/>
  <c r="G10028" i="1"/>
  <c r="B17867" i="1"/>
  <c r="D17867" i="1"/>
  <c r="G17867" i="1"/>
  <c r="B22192" i="1"/>
  <c r="D22192" i="1"/>
  <c r="G22192" i="1"/>
  <c r="B5147" i="1"/>
  <c r="D5147" i="1"/>
  <c r="G5147" i="1"/>
  <c r="B7606" i="1"/>
  <c r="D7606" i="1"/>
  <c r="G7606" i="1"/>
  <c r="B18250" i="1"/>
  <c r="D18250" i="1"/>
  <c r="G18250" i="1"/>
  <c r="B11819" i="1"/>
  <c r="D11819" i="1"/>
  <c r="G11819" i="1"/>
  <c r="B21392" i="1"/>
  <c r="D21392" i="1"/>
  <c r="G21392" i="1"/>
  <c r="B21393" i="1"/>
  <c r="D21393" i="1"/>
  <c r="G21393" i="1"/>
  <c r="B14416" i="1"/>
  <c r="D14416" i="1"/>
  <c r="G14416" i="1"/>
  <c r="B1772" i="1"/>
  <c r="D1772" i="1"/>
  <c r="G1772" i="1"/>
  <c r="B15222" i="1"/>
  <c r="D15222" i="1"/>
  <c r="G15222" i="1"/>
  <c r="B10070" i="1"/>
  <c r="D10070" i="1"/>
  <c r="G10070" i="1"/>
  <c r="B15223" i="1"/>
  <c r="D15223" i="1"/>
  <c r="G15223" i="1"/>
  <c r="B10621" i="1"/>
  <c r="D10621" i="1"/>
  <c r="G10621" i="1"/>
  <c r="B16720" i="1"/>
  <c r="D16720" i="1"/>
  <c r="G16720" i="1"/>
  <c r="B9212" i="1"/>
  <c r="D9212" i="1"/>
  <c r="G9212" i="1"/>
  <c r="B7607" i="1"/>
  <c r="D7607" i="1"/>
  <c r="G7607" i="1"/>
  <c r="B15582" i="1"/>
  <c r="D15582" i="1"/>
  <c r="G15582" i="1"/>
  <c r="B13663" i="1"/>
  <c r="D13663" i="1"/>
  <c r="G13663" i="1"/>
  <c r="B21141" i="1"/>
  <c r="D21141" i="1"/>
  <c r="G21141" i="1"/>
  <c r="B19828" i="1"/>
  <c r="D19828" i="1"/>
  <c r="G19828" i="1"/>
  <c r="B8995" i="1"/>
  <c r="D8995" i="1"/>
  <c r="G8995" i="1"/>
  <c r="B21142" i="1"/>
  <c r="D21142" i="1"/>
  <c r="G21142" i="1"/>
  <c r="B14394" i="1"/>
  <c r="D14394" i="1"/>
  <c r="G14394" i="1"/>
  <c r="B8996" i="1"/>
  <c r="D8996" i="1"/>
  <c r="G8996" i="1"/>
  <c r="B736" i="1"/>
  <c r="D736" i="1"/>
  <c r="G736" i="1"/>
  <c r="B21955" i="1"/>
  <c r="D21955" i="1"/>
  <c r="G21955" i="1"/>
  <c r="B21143" i="1"/>
  <c r="D21143" i="1"/>
  <c r="G21143" i="1"/>
  <c r="B8398" i="1"/>
  <c r="D8398" i="1"/>
  <c r="G8398" i="1"/>
  <c r="B13162" i="1"/>
  <c r="D13162" i="1"/>
  <c r="G13162" i="1"/>
  <c r="B1988" i="1"/>
  <c r="D1988" i="1"/>
  <c r="G1988" i="1"/>
  <c r="B10946" i="1"/>
  <c r="D10946" i="1"/>
  <c r="G10946" i="1"/>
  <c r="B20906" i="1"/>
  <c r="D20906" i="1"/>
  <c r="G20906" i="1"/>
  <c r="B11220" i="1"/>
  <c r="D11220" i="1"/>
  <c r="G11220" i="1"/>
  <c r="B9559" i="1"/>
  <c r="D9559" i="1"/>
  <c r="G9559" i="1"/>
  <c r="B9560" i="1"/>
  <c r="D9560" i="1"/>
  <c r="G9560" i="1"/>
  <c r="B7608" i="1"/>
  <c r="D7608" i="1"/>
  <c r="G7608" i="1"/>
  <c r="B7609" i="1"/>
  <c r="D7609" i="1"/>
  <c r="G7609" i="1"/>
  <c r="B9852" i="1"/>
  <c r="D9852" i="1"/>
  <c r="G9852" i="1"/>
  <c r="B6830" i="1"/>
  <c r="D6830" i="1"/>
  <c r="G6830" i="1"/>
  <c r="B8997" i="1"/>
  <c r="D8997" i="1"/>
  <c r="G8997" i="1"/>
  <c r="B639" i="1"/>
  <c r="D639" i="1"/>
  <c r="G639" i="1"/>
  <c r="B17546" i="1"/>
  <c r="D17546" i="1"/>
  <c r="G17546" i="1"/>
  <c r="B21586" i="1"/>
  <c r="D21586" i="1"/>
  <c r="G21586" i="1"/>
  <c r="B21587" i="1"/>
  <c r="D21587" i="1"/>
  <c r="G21587" i="1"/>
  <c r="B21733" i="1"/>
  <c r="D21733" i="1"/>
  <c r="G21733" i="1"/>
  <c r="B21956" i="1"/>
  <c r="D21956" i="1"/>
  <c r="G21956" i="1"/>
  <c r="B16721" i="1"/>
  <c r="D16721" i="1"/>
  <c r="G16721" i="1"/>
  <c r="B10053" i="1"/>
  <c r="D10053" i="1"/>
  <c r="G10053" i="1"/>
  <c r="B20329" i="1"/>
  <c r="D20329" i="1"/>
  <c r="G20329" i="1"/>
  <c r="B20087" i="1"/>
  <c r="D20087" i="1"/>
  <c r="G20087" i="1"/>
  <c r="B4119" i="1"/>
  <c r="D4119" i="1"/>
  <c r="G4119" i="1"/>
  <c r="B21409" i="1"/>
  <c r="D21409" i="1"/>
  <c r="G21409" i="1"/>
  <c r="B21588" i="1"/>
  <c r="D21588" i="1"/>
  <c r="G21588" i="1"/>
  <c r="B12223" i="1"/>
  <c r="D12223" i="1"/>
  <c r="G12223" i="1"/>
  <c r="B16722" i="1"/>
  <c r="D16722" i="1"/>
  <c r="G16722" i="1"/>
  <c r="B7377" i="1"/>
  <c r="D7377" i="1"/>
  <c r="G7377" i="1"/>
  <c r="B3360" i="1"/>
  <c r="D3360" i="1"/>
  <c r="G3360" i="1"/>
  <c r="B21957" i="1"/>
  <c r="D21957" i="1"/>
  <c r="G21957" i="1"/>
  <c r="B12224" i="1"/>
  <c r="D12224" i="1"/>
  <c r="G12224" i="1"/>
  <c r="B13229" i="1"/>
  <c r="D13229" i="1"/>
  <c r="G13229" i="1"/>
  <c r="B19667" i="1"/>
  <c r="D19667" i="1"/>
  <c r="G19667" i="1"/>
  <c r="B17868" i="1"/>
  <c r="D17868" i="1"/>
  <c r="G17868" i="1"/>
  <c r="B17869" i="1"/>
  <c r="D17869" i="1"/>
  <c r="G17869" i="1"/>
  <c r="B19668" i="1"/>
  <c r="D19668" i="1"/>
  <c r="G19668" i="1"/>
  <c r="B1773" i="1"/>
  <c r="D1773" i="1"/>
  <c r="G1773" i="1"/>
  <c r="B14246" i="1"/>
  <c r="D14246" i="1"/>
  <c r="G14246" i="1"/>
  <c r="B640" i="1"/>
  <c r="D640" i="1"/>
  <c r="G640" i="1"/>
  <c r="B3794" i="1"/>
  <c r="D3794" i="1"/>
  <c r="G3794" i="1"/>
  <c r="B8145" i="1"/>
  <c r="D8145" i="1"/>
  <c r="G8145" i="1"/>
  <c r="B6089" i="1"/>
  <c r="D6089" i="1"/>
  <c r="G6089" i="1"/>
  <c r="B17870" i="1"/>
  <c r="D17870" i="1"/>
  <c r="G17870" i="1"/>
  <c r="B19829" i="1"/>
  <c r="D19829" i="1"/>
  <c r="G19829" i="1"/>
  <c r="B13404" i="1"/>
  <c r="D13404" i="1"/>
  <c r="G13404" i="1"/>
  <c r="B19913" i="1"/>
  <c r="D19913" i="1"/>
  <c r="G19913" i="1"/>
  <c r="B6448" i="1"/>
  <c r="D6448" i="1"/>
  <c r="G6448" i="1"/>
  <c r="B16009" i="1"/>
  <c r="D16009" i="1"/>
  <c r="G16009" i="1"/>
  <c r="B12225" i="1"/>
  <c r="D12225" i="1"/>
  <c r="G12225" i="1"/>
  <c r="B10315" i="1"/>
  <c r="D10315" i="1"/>
  <c r="G10315" i="1"/>
  <c r="B13104" i="1"/>
  <c r="D13104" i="1"/>
  <c r="G13104" i="1"/>
  <c r="B118" i="1"/>
  <c r="D118" i="1"/>
  <c r="G118" i="1"/>
  <c r="B9780" i="1"/>
  <c r="D9780" i="1"/>
  <c r="G9780" i="1"/>
  <c r="B9781" i="1"/>
  <c r="D9781" i="1"/>
  <c r="G9781" i="1"/>
  <c r="B9782" i="1"/>
  <c r="D9782" i="1"/>
  <c r="G9782" i="1"/>
  <c r="B9783" i="1"/>
  <c r="D9783" i="1"/>
  <c r="G9783" i="1"/>
  <c r="B19669" i="1"/>
  <c r="D19669" i="1"/>
  <c r="G19669" i="1"/>
  <c r="B19670" i="1"/>
  <c r="D19670" i="1"/>
  <c r="G19670" i="1"/>
  <c r="B21589" i="1"/>
  <c r="D21589" i="1"/>
  <c r="G21589" i="1"/>
  <c r="B4002" i="1"/>
  <c r="D4002" i="1"/>
  <c r="G4002" i="1"/>
  <c r="B4003" i="1"/>
  <c r="D4003" i="1"/>
  <c r="G4003" i="1"/>
  <c r="B14512" i="1"/>
  <c r="D14512" i="1"/>
  <c r="G14512" i="1"/>
  <c r="B14247" i="1"/>
  <c r="D14247" i="1"/>
  <c r="G14247" i="1"/>
  <c r="B19290" i="1"/>
  <c r="D19290" i="1"/>
  <c r="G19290" i="1"/>
  <c r="B21958" i="1"/>
  <c r="D21958" i="1"/>
  <c r="G21958" i="1"/>
  <c r="B19671" i="1"/>
  <c r="D19671" i="1"/>
  <c r="G19671" i="1"/>
  <c r="B8998" i="1"/>
  <c r="D8998" i="1"/>
  <c r="G8998" i="1"/>
  <c r="B22243" i="1"/>
  <c r="D22243" i="1"/>
  <c r="G22243" i="1"/>
  <c r="B22244" i="1"/>
  <c r="D22244" i="1"/>
  <c r="G22244" i="1"/>
  <c r="B9959" i="1"/>
  <c r="D9959" i="1"/>
  <c r="G9959" i="1"/>
  <c r="B12889" i="1"/>
  <c r="D12889" i="1"/>
  <c r="G12889" i="1"/>
  <c r="B8999" i="1"/>
  <c r="D8999" i="1"/>
  <c r="G8999" i="1"/>
  <c r="B20476" i="1"/>
  <c r="D20476" i="1"/>
  <c r="G20476" i="1"/>
  <c r="B21144" i="1"/>
  <c r="D21144" i="1"/>
  <c r="G21144" i="1"/>
  <c r="B840" i="1"/>
  <c r="D840" i="1"/>
  <c r="G840" i="1"/>
  <c r="B7993" i="1"/>
  <c r="D7993" i="1"/>
  <c r="G7993" i="1"/>
  <c r="B7994" i="1"/>
  <c r="D7994" i="1"/>
  <c r="G7994" i="1"/>
  <c r="B6449" i="1"/>
  <c r="D6449" i="1"/>
  <c r="G6449" i="1"/>
  <c r="B6450" i="1"/>
  <c r="D6450" i="1"/>
  <c r="G6450" i="1"/>
  <c r="B4764" i="1"/>
  <c r="D4764" i="1"/>
  <c r="G4764" i="1"/>
  <c r="B14248" i="1"/>
  <c r="D14248" i="1"/>
  <c r="G14248" i="1"/>
  <c r="B16723" i="1"/>
  <c r="D16723" i="1"/>
  <c r="G16723" i="1"/>
  <c r="B16724" i="1"/>
  <c r="D16724" i="1"/>
  <c r="G16724" i="1"/>
  <c r="B8222" i="1"/>
  <c r="D8222" i="1"/>
  <c r="G8222" i="1"/>
  <c r="B21145" i="1"/>
  <c r="D21145" i="1"/>
  <c r="G21145" i="1"/>
  <c r="B8223" i="1"/>
  <c r="D8223" i="1"/>
  <c r="G8223" i="1"/>
  <c r="B13340" i="1"/>
  <c r="D13340" i="1"/>
  <c r="G13340" i="1"/>
  <c r="B13105" i="1"/>
  <c r="D13105" i="1"/>
  <c r="G13105" i="1"/>
  <c r="B7093" i="1"/>
  <c r="D7093" i="1"/>
  <c r="G7093" i="1"/>
  <c r="B11750" i="1"/>
  <c r="D11750" i="1"/>
  <c r="G11750" i="1"/>
  <c r="B21467" i="1"/>
  <c r="D21467" i="1"/>
  <c r="G21467" i="1"/>
  <c r="B21590" i="1"/>
  <c r="D21590" i="1"/>
  <c r="G21590" i="1"/>
  <c r="B7378" i="1"/>
  <c r="D7378" i="1"/>
  <c r="G7378" i="1"/>
  <c r="B5577" i="1"/>
  <c r="D5577" i="1"/>
  <c r="G5577" i="1"/>
  <c r="B13466" i="1"/>
  <c r="D13466" i="1"/>
  <c r="G13466" i="1"/>
  <c r="B7112" i="1"/>
  <c r="D7112" i="1"/>
  <c r="G7112" i="1"/>
  <c r="B7113" i="1"/>
  <c r="D7113" i="1"/>
  <c r="G7113" i="1"/>
  <c r="B641" i="1"/>
  <c r="D641" i="1"/>
  <c r="G641" i="1"/>
  <c r="B21813" i="1"/>
  <c r="D21813" i="1"/>
  <c r="G21813" i="1"/>
  <c r="B19672" i="1"/>
  <c r="D19672" i="1"/>
  <c r="G19672" i="1"/>
  <c r="B18587" i="1"/>
  <c r="D18587" i="1"/>
  <c r="G18587" i="1"/>
  <c r="B4364" i="1"/>
  <c r="D4364" i="1"/>
  <c r="G4364" i="1"/>
  <c r="B8614" i="1"/>
  <c r="D8614" i="1"/>
  <c r="G8614" i="1"/>
  <c r="B9150" i="1"/>
  <c r="D9150" i="1"/>
  <c r="G9150" i="1"/>
  <c r="B9000" i="1"/>
  <c r="D9000" i="1"/>
  <c r="G9000" i="1"/>
  <c r="B8615" i="1"/>
  <c r="D8615" i="1"/>
  <c r="G8615" i="1"/>
  <c r="B21146" i="1"/>
  <c r="D21146" i="1"/>
  <c r="G21146" i="1"/>
  <c r="B20204" i="1"/>
  <c r="D20204" i="1"/>
  <c r="G20204" i="1"/>
  <c r="B9001" i="1"/>
  <c r="D9001" i="1"/>
  <c r="G9001" i="1"/>
  <c r="B22193" i="1"/>
  <c r="D22193" i="1"/>
  <c r="G22193" i="1"/>
  <c r="B16725" i="1"/>
  <c r="D16725" i="1"/>
  <c r="G16725" i="1"/>
  <c r="B21959" i="1"/>
  <c r="D21959" i="1"/>
  <c r="G21959" i="1"/>
  <c r="B13739" i="1"/>
  <c r="D13739" i="1"/>
  <c r="G13739" i="1"/>
  <c r="B1941" i="1"/>
  <c r="D1941" i="1"/>
  <c r="G1941" i="1"/>
  <c r="B7094" i="1"/>
  <c r="D7094" i="1"/>
  <c r="G7094" i="1"/>
  <c r="B7995" i="1"/>
  <c r="D7995" i="1"/>
  <c r="G7995" i="1"/>
  <c r="B7996" i="1"/>
  <c r="D7996" i="1"/>
  <c r="G7996" i="1"/>
  <c r="B2960" i="1"/>
  <c r="D2960" i="1"/>
  <c r="G2960" i="1"/>
  <c r="B21147" i="1"/>
  <c r="D21147" i="1"/>
  <c r="G21147" i="1"/>
  <c r="B21734" i="1"/>
  <c r="D21734" i="1"/>
  <c r="G21734" i="1"/>
  <c r="B12992" i="1"/>
  <c r="D12992" i="1"/>
  <c r="G12992" i="1"/>
  <c r="B19673" i="1"/>
  <c r="D19673" i="1"/>
  <c r="G19673" i="1"/>
  <c r="B19291" i="1"/>
  <c r="D19291" i="1"/>
  <c r="G19291" i="1"/>
  <c r="B18923" i="1"/>
  <c r="D18923" i="1"/>
  <c r="G18923" i="1"/>
  <c r="B14513" i="1"/>
  <c r="D14513" i="1"/>
  <c r="G14513" i="1"/>
  <c r="B21317" i="1"/>
  <c r="D21317" i="1"/>
  <c r="G21317" i="1"/>
  <c r="B21318" i="1"/>
  <c r="D21318" i="1"/>
  <c r="G21318" i="1"/>
  <c r="B22194" i="1"/>
  <c r="D22194" i="1"/>
  <c r="G22194" i="1"/>
  <c r="B13505" i="1"/>
  <c r="D13505" i="1"/>
  <c r="G13505" i="1"/>
  <c r="B5162" i="1"/>
  <c r="D5162" i="1"/>
  <c r="G5162" i="1"/>
  <c r="B1774" i="1"/>
  <c r="D1774" i="1"/>
  <c r="G1774" i="1"/>
  <c r="B14062" i="1"/>
  <c r="D14062" i="1"/>
  <c r="G14062" i="1"/>
  <c r="B20422" i="1"/>
  <c r="D20422" i="1"/>
  <c r="G20422" i="1"/>
  <c r="B20330" i="1"/>
  <c r="D20330" i="1"/>
  <c r="G20330" i="1"/>
  <c r="B20679" i="1"/>
  <c r="D20679" i="1"/>
  <c r="G20679" i="1"/>
  <c r="B11288" i="1"/>
  <c r="D11288" i="1"/>
  <c r="G11288" i="1"/>
  <c r="B20680" i="1"/>
  <c r="D20680" i="1"/>
  <c r="G20680" i="1"/>
  <c r="B9002" i="1"/>
  <c r="D9002" i="1"/>
  <c r="G9002" i="1"/>
  <c r="B20140" i="1"/>
  <c r="D20140" i="1"/>
  <c r="G20140" i="1"/>
  <c r="B20249" i="1"/>
  <c r="D20249" i="1"/>
  <c r="G20249" i="1"/>
  <c r="B17871" i="1"/>
  <c r="D17871" i="1"/>
  <c r="G17871" i="1"/>
  <c r="B21365" i="1"/>
  <c r="D21365" i="1"/>
  <c r="G21365" i="1"/>
  <c r="B21960" i="1"/>
  <c r="D21960" i="1"/>
  <c r="G21960" i="1"/>
  <c r="B6451" i="1"/>
  <c r="D6451" i="1"/>
  <c r="G6451" i="1"/>
  <c r="B6452" i="1"/>
  <c r="D6452" i="1"/>
  <c r="G6452" i="1"/>
  <c r="B15224" i="1"/>
  <c r="D15224" i="1"/>
  <c r="G15224" i="1"/>
  <c r="B1942" i="1"/>
  <c r="D1942" i="1"/>
  <c r="G1942" i="1"/>
  <c r="B22073" i="1"/>
  <c r="D22073" i="1"/>
  <c r="G22073" i="1"/>
  <c r="B20907" i="1"/>
  <c r="D20907" i="1"/>
  <c r="G20907" i="1"/>
  <c r="B12226" i="1"/>
  <c r="D12226" i="1"/>
  <c r="G12226" i="1"/>
  <c r="B19674" i="1"/>
  <c r="D19674" i="1"/>
  <c r="G19674" i="1"/>
  <c r="B13020" i="1"/>
  <c r="D13020" i="1"/>
  <c r="G13020" i="1"/>
  <c r="B10622" i="1"/>
  <c r="D10622" i="1"/>
  <c r="G10622" i="1"/>
  <c r="B336" i="1"/>
  <c r="D336" i="1"/>
  <c r="G336" i="1"/>
  <c r="B22195" i="1"/>
  <c r="D22195" i="1"/>
  <c r="G22195" i="1"/>
  <c r="B9152" i="1"/>
  <c r="D9152" i="1"/>
  <c r="G9152" i="1"/>
  <c r="B9003" i="1"/>
  <c r="D9003" i="1"/>
  <c r="G9003" i="1"/>
  <c r="B12227" i="1"/>
  <c r="D12227" i="1"/>
  <c r="G12227" i="1"/>
  <c r="B5632" i="1"/>
  <c r="D5632" i="1"/>
  <c r="G5632" i="1"/>
  <c r="B19675" i="1"/>
  <c r="D19675" i="1"/>
  <c r="G19675" i="1"/>
  <c r="B15740" i="1"/>
  <c r="D15740" i="1"/>
  <c r="G15740" i="1"/>
  <c r="B20681" i="1"/>
  <c r="D20681" i="1"/>
  <c r="G20681" i="1"/>
  <c r="B20682" i="1"/>
  <c r="D20682" i="1"/>
  <c r="G20682" i="1"/>
  <c r="B11722" i="1"/>
  <c r="D11722" i="1"/>
  <c r="G11722" i="1"/>
  <c r="B6453" i="1"/>
  <c r="D6453" i="1"/>
  <c r="G6453" i="1"/>
  <c r="B9265" i="1"/>
  <c r="D9265" i="1"/>
  <c r="G9265" i="1"/>
  <c r="B17872" i="1"/>
  <c r="D17872" i="1"/>
  <c r="G17872" i="1"/>
  <c r="B13487" i="1"/>
  <c r="D13487" i="1"/>
  <c r="G13487" i="1"/>
  <c r="B4559" i="1"/>
  <c r="D4559" i="1"/>
  <c r="G4559" i="1"/>
  <c r="B2153" i="1"/>
  <c r="D2153" i="1"/>
  <c r="G2153" i="1"/>
  <c r="B16726" i="1"/>
  <c r="D16726" i="1"/>
  <c r="G16726" i="1"/>
  <c r="B19676" i="1"/>
  <c r="D19676" i="1"/>
  <c r="G19676" i="1"/>
  <c r="B20683" i="1"/>
  <c r="D20683" i="1"/>
  <c r="G20683" i="1"/>
  <c r="B11617" i="1"/>
  <c r="D11617" i="1"/>
  <c r="G11617" i="1"/>
  <c r="B11618" i="1"/>
  <c r="D11618" i="1"/>
  <c r="G11618" i="1"/>
  <c r="B14124" i="1"/>
  <c r="D14124" i="1"/>
  <c r="G14124" i="1"/>
  <c r="B13002" i="1"/>
  <c r="D13002" i="1"/>
  <c r="G13002" i="1"/>
  <c r="B13467" i="1"/>
  <c r="D13467" i="1"/>
  <c r="G13467" i="1"/>
  <c r="B16727" i="1"/>
  <c r="D16727" i="1"/>
  <c r="G16727" i="1"/>
  <c r="B17873" i="1"/>
  <c r="D17873" i="1"/>
  <c r="G17873" i="1"/>
  <c r="B17874" i="1"/>
  <c r="D17874" i="1"/>
  <c r="G17874" i="1"/>
  <c r="B17318" i="1"/>
  <c r="D17318" i="1"/>
  <c r="G17318" i="1"/>
  <c r="B14043" i="1"/>
  <c r="D14043" i="1"/>
  <c r="G14043" i="1"/>
  <c r="B20986" i="1"/>
  <c r="D20986" i="1"/>
  <c r="G20986" i="1"/>
  <c r="B17604" i="1"/>
  <c r="D17604" i="1"/>
  <c r="G17604" i="1"/>
  <c r="B2419" i="1"/>
  <c r="D2419" i="1"/>
  <c r="G2419" i="1"/>
  <c r="B4004" i="1"/>
  <c r="D4004" i="1"/>
  <c r="G4004" i="1"/>
  <c r="B6831" i="1"/>
  <c r="D6831" i="1"/>
  <c r="G6831" i="1"/>
  <c r="B10947" i="1"/>
  <c r="D10947" i="1"/>
  <c r="G10947" i="1"/>
  <c r="B12686" i="1"/>
  <c r="D12686" i="1"/>
  <c r="G12686" i="1"/>
  <c r="B11221" i="1"/>
  <c r="D11221" i="1"/>
  <c r="G11221" i="1"/>
  <c r="B17414" i="1"/>
  <c r="D17414" i="1"/>
  <c r="G17414" i="1"/>
  <c r="B785" i="1"/>
  <c r="D785" i="1"/>
  <c r="G785" i="1"/>
  <c r="B7997" i="1"/>
  <c r="D7997" i="1"/>
  <c r="G7997" i="1"/>
  <c r="B20908" i="1"/>
  <c r="D20908" i="1"/>
  <c r="G20908" i="1"/>
  <c r="B20205" i="1"/>
  <c r="D20205" i="1"/>
  <c r="G20205" i="1"/>
  <c r="B2481" i="1"/>
  <c r="D2481" i="1"/>
  <c r="G2481" i="1"/>
  <c r="B13005" i="1"/>
  <c r="D13005" i="1"/>
  <c r="G13005" i="1"/>
  <c r="B17276" i="1"/>
  <c r="D17276" i="1"/>
  <c r="G17276" i="1"/>
  <c r="B4428" i="1"/>
  <c r="D4428" i="1"/>
  <c r="G4428" i="1"/>
  <c r="B21148" i="1"/>
  <c r="D21148" i="1"/>
  <c r="G21148" i="1"/>
  <c r="B14514" i="1"/>
  <c r="D14514" i="1"/>
  <c r="G14514" i="1"/>
  <c r="B16728" i="1"/>
  <c r="D16728" i="1"/>
  <c r="G16728" i="1"/>
  <c r="B6103" i="1"/>
  <c r="D6103" i="1"/>
  <c r="G6103" i="1"/>
  <c r="B13959" i="1"/>
  <c r="D13959" i="1"/>
  <c r="G13959" i="1"/>
  <c r="B7610" i="1"/>
  <c r="D7610" i="1"/>
  <c r="G7610" i="1"/>
  <c r="B17415" i="1"/>
  <c r="D17415" i="1"/>
  <c r="G17415" i="1"/>
  <c r="B22196" i="1"/>
  <c r="D22196" i="1"/>
  <c r="G22196" i="1"/>
  <c r="B21149" i="1"/>
  <c r="D21149" i="1"/>
  <c r="G21149" i="1"/>
  <c r="B5736" i="1"/>
  <c r="D5736" i="1"/>
  <c r="G5736" i="1"/>
  <c r="B6832" i="1"/>
  <c r="D6832" i="1"/>
  <c r="G6832" i="1"/>
  <c r="B21591" i="1"/>
  <c r="D21591" i="1"/>
  <c r="G21591" i="1"/>
  <c r="B9266" i="1"/>
  <c r="D9266" i="1"/>
  <c r="G9266" i="1"/>
  <c r="B18251" i="1"/>
  <c r="D18251" i="1"/>
  <c r="G18251" i="1"/>
  <c r="B10623" i="1"/>
  <c r="D10623" i="1"/>
  <c r="G10623" i="1"/>
  <c r="B10624" i="1"/>
  <c r="D10624" i="1"/>
  <c r="G10624" i="1"/>
  <c r="B10948" i="1"/>
  <c r="D10948" i="1"/>
  <c r="G10948" i="1"/>
  <c r="B10949" i="1"/>
  <c r="D10949" i="1"/>
  <c r="G10949" i="1"/>
  <c r="B6067" i="1"/>
  <c r="D6067" i="1"/>
  <c r="G6067" i="1"/>
  <c r="B22074" i="1"/>
  <c r="D22074" i="1"/>
  <c r="G22074" i="1"/>
  <c r="B14648" i="1"/>
  <c r="D14648" i="1"/>
  <c r="G14648" i="1"/>
  <c r="B15225" i="1"/>
  <c r="D15225" i="1"/>
  <c r="G15225" i="1"/>
  <c r="B15583" i="1"/>
  <c r="D15583" i="1"/>
  <c r="G15583" i="1"/>
  <c r="B16729" i="1"/>
  <c r="D16729" i="1"/>
  <c r="G16729" i="1"/>
  <c r="B7611" i="1"/>
  <c r="D7611" i="1"/>
  <c r="G7611" i="1"/>
  <c r="B21150" i="1"/>
  <c r="D21150" i="1"/>
  <c r="G21150" i="1"/>
  <c r="B6454" i="1"/>
  <c r="D6454" i="1"/>
  <c r="G6454" i="1"/>
  <c r="B20331" i="1"/>
  <c r="D20331" i="1"/>
  <c r="G20331" i="1"/>
  <c r="B20332" i="1"/>
  <c r="D20332" i="1"/>
  <c r="G20332" i="1"/>
  <c r="B20909" i="1"/>
  <c r="D20909" i="1"/>
  <c r="G20909" i="1"/>
  <c r="B21592" i="1"/>
  <c r="D21592" i="1"/>
  <c r="G21592" i="1"/>
  <c r="B20250" i="1"/>
  <c r="D20250" i="1"/>
  <c r="G20250" i="1"/>
  <c r="B21444" i="1"/>
  <c r="D21444" i="1"/>
  <c r="G21444" i="1"/>
  <c r="B14751" i="1"/>
  <c r="D14751" i="1"/>
  <c r="G14751" i="1"/>
  <c r="B19677" i="1"/>
  <c r="D19677" i="1"/>
  <c r="G19677" i="1"/>
  <c r="B18588" i="1"/>
  <c r="D18588" i="1"/>
  <c r="G18588" i="1"/>
  <c r="B22075" i="1"/>
  <c r="D22075" i="1"/>
  <c r="G22075" i="1"/>
  <c r="B19678" i="1"/>
  <c r="D19678" i="1"/>
  <c r="G19678" i="1"/>
  <c r="B19292" i="1"/>
  <c r="D19292" i="1"/>
  <c r="G19292" i="1"/>
  <c r="B8286" i="1"/>
  <c r="D8286" i="1"/>
  <c r="G8286" i="1"/>
  <c r="B18924" i="1"/>
  <c r="D18924" i="1"/>
  <c r="G18924" i="1"/>
  <c r="B22076" i="1"/>
  <c r="D22076" i="1"/>
  <c r="G22076" i="1"/>
  <c r="B16151" i="1"/>
  <c r="D16151" i="1"/>
  <c r="G16151" i="1"/>
  <c r="B14107" i="1"/>
  <c r="D14107" i="1"/>
  <c r="G14107" i="1"/>
  <c r="B12228" i="1"/>
  <c r="D12228" i="1"/>
  <c r="G12228" i="1"/>
  <c r="B7612" i="1"/>
  <c r="D7612" i="1"/>
  <c r="G7612" i="1"/>
  <c r="B21961" i="1"/>
  <c r="D21961" i="1"/>
  <c r="G21961" i="1"/>
  <c r="B20181" i="1"/>
  <c r="D20181" i="1"/>
  <c r="G20181" i="1"/>
  <c r="B1775" i="1"/>
  <c r="D1775" i="1"/>
  <c r="G1775" i="1"/>
  <c r="B17875" i="1"/>
  <c r="D17875" i="1"/>
  <c r="G17875" i="1"/>
  <c r="B1338" i="1"/>
  <c r="D1338" i="1"/>
  <c r="G1338" i="1"/>
  <c r="B5258" i="1"/>
  <c r="D5258" i="1"/>
  <c r="G5258" i="1"/>
  <c r="B5167" i="1"/>
  <c r="D5167" i="1"/>
  <c r="G5167" i="1"/>
  <c r="B10950" i="1"/>
  <c r="D10950" i="1"/>
  <c r="G10950" i="1"/>
  <c r="B11222" i="1"/>
  <c r="D11222" i="1"/>
  <c r="G11222" i="1"/>
  <c r="B17876" i="1"/>
  <c r="D17876" i="1"/>
  <c r="G17876" i="1"/>
  <c r="B17877" i="1"/>
  <c r="D17877" i="1"/>
  <c r="G17877" i="1"/>
  <c r="B13858" i="1"/>
  <c r="D13858" i="1"/>
  <c r="G13858" i="1"/>
  <c r="B19679" i="1"/>
  <c r="D19679" i="1"/>
  <c r="G19679" i="1"/>
  <c r="B21735" i="1"/>
  <c r="D21735" i="1"/>
  <c r="G21735" i="1"/>
  <c r="B10112" i="1"/>
  <c r="D10112" i="1"/>
  <c r="G10112" i="1"/>
  <c r="B2504" i="1"/>
  <c r="D2504" i="1"/>
  <c r="G2504" i="1"/>
  <c r="B642" i="1"/>
  <c r="D642" i="1"/>
  <c r="G642" i="1"/>
  <c r="B9004" i="1"/>
  <c r="D9004" i="1"/>
  <c r="G9004" i="1"/>
  <c r="B4172" i="1"/>
  <c r="D4172" i="1"/>
  <c r="G4172" i="1"/>
  <c r="B20684" i="1"/>
  <c r="D20684" i="1"/>
  <c r="G20684" i="1"/>
  <c r="B17416" i="1"/>
  <c r="D17416" i="1"/>
  <c r="G17416" i="1"/>
  <c r="B1546" i="1"/>
  <c r="D1546" i="1"/>
  <c r="G1546" i="1"/>
  <c r="B12890" i="1"/>
  <c r="D12890" i="1"/>
  <c r="G12890" i="1"/>
  <c r="B21403" i="1"/>
  <c r="D21403" i="1"/>
  <c r="G21403" i="1"/>
  <c r="B4966" i="1"/>
  <c r="D4966" i="1"/>
  <c r="G4966" i="1"/>
  <c r="B995" i="1"/>
  <c r="D995" i="1"/>
  <c r="G995" i="1"/>
  <c r="B21736" i="1"/>
  <c r="D21736" i="1"/>
  <c r="G21736" i="1"/>
  <c r="B643" i="1"/>
  <c r="D643" i="1"/>
  <c r="G643" i="1"/>
  <c r="B16730" i="1"/>
  <c r="D16730" i="1"/>
  <c r="G16730" i="1"/>
  <c r="B644" i="1"/>
  <c r="D644" i="1"/>
  <c r="G644" i="1"/>
  <c r="B20141" i="1"/>
  <c r="D20141" i="1"/>
  <c r="G20141" i="1"/>
  <c r="B9005" i="1"/>
  <c r="D9005" i="1"/>
  <c r="G9005" i="1"/>
  <c r="B18750" i="1"/>
  <c r="D18750" i="1"/>
  <c r="G18750" i="1"/>
  <c r="B4360" i="1"/>
  <c r="D4360" i="1"/>
  <c r="G4360" i="1"/>
  <c r="B3690" i="1"/>
  <c r="D3690" i="1"/>
  <c r="G3690" i="1"/>
  <c r="B3691" i="1"/>
  <c r="D3691" i="1"/>
  <c r="G3691" i="1"/>
  <c r="B16045" i="1"/>
  <c r="D16045" i="1"/>
  <c r="G16045" i="1"/>
  <c r="B20685" i="1"/>
  <c r="D20685" i="1"/>
  <c r="G20685" i="1"/>
  <c r="B20910" i="1"/>
  <c r="D20910" i="1"/>
  <c r="G20910" i="1"/>
  <c r="B20911" i="1"/>
  <c r="D20911" i="1"/>
  <c r="G20911" i="1"/>
  <c r="B2961" i="1"/>
  <c r="D2961" i="1"/>
  <c r="G2961" i="1"/>
  <c r="B20423" i="1"/>
  <c r="D20423" i="1"/>
  <c r="G20423" i="1"/>
  <c r="B21151" i="1"/>
  <c r="D21151" i="1"/>
  <c r="G21151" i="1"/>
  <c r="B19680" i="1"/>
  <c r="D19680" i="1"/>
  <c r="G19680" i="1"/>
  <c r="B16731" i="1"/>
  <c r="D16731" i="1"/>
  <c r="G16731" i="1"/>
  <c r="B12229" i="1"/>
  <c r="D12229" i="1"/>
  <c r="G12229" i="1"/>
  <c r="B17014" i="1"/>
  <c r="D17014" i="1"/>
  <c r="G17014" i="1"/>
  <c r="B22197" i="1"/>
  <c r="D22197" i="1"/>
  <c r="G22197" i="1"/>
  <c r="B2319" i="1"/>
  <c r="D2319" i="1"/>
  <c r="G2319" i="1"/>
  <c r="B6068" i="1"/>
  <c r="D6068" i="1"/>
  <c r="G6068" i="1"/>
  <c r="B5742" i="1"/>
  <c r="D5742" i="1"/>
  <c r="G5742" i="1"/>
  <c r="B20424" i="1"/>
  <c r="D20424" i="1"/>
  <c r="G20424" i="1"/>
  <c r="B20333" i="1"/>
  <c r="D20333" i="1"/>
  <c r="G20333" i="1"/>
  <c r="B21814" i="1"/>
  <c r="D21814" i="1"/>
  <c r="G21814" i="1"/>
  <c r="B158" i="1"/>
  <c r="D158" i="1"/>
  <c r="G158" i="1"/>
  <c r="B3361" i="1"/>
  <c r="D3361" i="1"/>
  <c r="G3361" i="1"/>
  <c r="B7613" i="1"/>
  <c r="D7613" i="1"/>
  <c r="G7613" i="1"/>
  <c r="B13180" i="1"/>
  <c r="D13180" i="1"/>
  <c r="G13180" i="1"/>
  <c r="B1776" i="1"/>
  <c r="D1776" i="1"/>
  <c r="G1776" i="1"/>
  <c r="B1777" i="1"/>
  <c r="D1777" i="1"/>
  <c r="G1777" i="1"/>
  <c r="B11435" i="1"/>
  <c r="D11435" i="1"/>
  <c r="G11435" i="1"/>
  <c r="B22077" i="1"/>
  <c r="D22077" i="1"/>
  <c r="G22077" i="1"/>
  <c r="B11893" i="1"/>
  <c r="D11893" i="1"/>
  <c r="G11893" i="1"/>
  <c r="B9193" i="1"/>
  <c r="D9193" i="1"/>
  <c r="G9193" i="1"/>
  <c r="B7025" i="1"/>
  <c r="D7025" i="1"/>
  <c r="G7025" i="1"/>
  <c r="B21152" i="1"/>
  <c r="D21152" i="1"/>
  <c r="G21152" i="1"/>
  <c r="B9006" i="1"/>
  <c r="D9006" i="1"/>
  <c r="G9006" i="1"/>
  <c r="B7998" i="1"/>
  <c r="D7998" i="1"/>
  <c r="G7998" i="1"/>
  <c r="B7999" i="1"/>
  <c r="D7999" i="1"/>
  <c r="G7999" i="1"/>
  <c r="B21815" i="1"/>
  <c r="D21815" i="1"/>
  <c r="G21815" i="1"/>
  <c r="B10199" i="1"/>
  <c r="D10199" i="1"/>
  <c r="G10199" i="1"/>
  <c r="B4005" i="1"/>
  <c r="D4005" i="1"/>
  <c r="G4005" i="1"/>
  <c r="B4006" i="1"/>
  <c r="D4006" i="1"/>
  <c r="G4006" i="1"/>
  <c r="B21366" i="1"/>
  <c r="D21366" i="1"/>
  <c r="G21366" i="1"/>
  <c r="B3036" i="1"/>
  <c r="D3036" i="1"/>
  <c r="G3036" i="1"/>
  <c r="B21153" i="1"/>
  <c r="D21153" i="1"/>
  <c r="G21153" i="1"/>
  <c r="B11436" i="1"/>
  <c r="D11436" i="1"/>
  <c r="G11436" i="1"/>
  <c r="B4007" i="1"/>
  <c r="D4007" i="1"/>
  <c r="G4007" i="1"/>
  <c r="B13179" i="1"/>
  <c r="D13179" i="1"/>
  <c r="G13179" i="1"/>
  <c r="B12230" i="1"/>
  <c r="D12230" i="1"/>
  <c r="G12230" i="1"/>
  <c r="B2154" i="1"/>
  <c r="D2154" i="1"/>
  <c r="G2154" i="1"/>
  <c r="B13106" i="1"/>
  <c r="D13106" i="1"/>
  <c r="G13106" i="1"/>
  <c r="B7614" i="1"/>
  <c r="D7614" i="1"/>
  <c r="G7614" i="1"/>
  <c r="B13107" i="1"/>
  <c r="D13107" i="1"/>
  <c r="G13107" i="1"/>
  <c r="B12687" i="1"/>
  <c r="D12687" i="1"/>
  <c r="G12687" i="1"/>
  <c r="B3692" i="1"/>
  <c r="D3692" i="1"/>
  <c r="G3692" i="1"/>
  <c r="B10130" i="1"/>
  <c r="D10130" i="1"/>
  <c r="G10130" i="1"/>
  <c r="B10131" i="1"/>
  <c r="D10131" i="1"/>
  <c r="G10131" i="1"/>
  <c r="B1464" i="1"/>
  <c r="D1464" i="1"/>
  <c r="G1464" i="1"/>
  <c r="B19075" i="1"/>
  <c r="D19075" i="1"/>
  <c r="G19075" i="1"/>
  <c r="B20912" i="1"/>
  <c r="D20912" i="1"/>
  <c r="G20912" i="1"/>
  <c r="B21445" i="1"/>
  <c r="D21445" i="1"/>
  <c r="G21445" i="1"/>
  <c r="B21154" i="1"/>
  <c r="D21154" i="1"/>
  <c r="G21154" i="1"/>
  <c r="B19293" i="1"/>
  <c r="D19293" i="1"/>
  <c r="G19293" i="1"/>
  <c r="B6455" i="1"/>
  <c r="D6455" i="1"/>
  <c r="G6455" i="1"/>
  <c r="B6456" i="1"/>
  <c r="D6456" i="1"/>
  <c r="G6456" i="1"/>
  <c r="B1778" i="1"/>
  <c r="D1778" i="1"/>
  <c r="G1778" i="1"/>
  <c r="B12688" i="1"/>
  <c r="D12688" i="1"/>
  <c r="G12688" i="1"/>
  <c r="B12689" i="1"/>
  <c r="D12689" i="1"/>
  <c r="G12689" i="1"/>
  <c r="B12690" i="1"/>
  <c r="D12690" i="1"/>
  <c r="G12690" i="1"/>
  <c r="B12691" i="1"/>
  <c r="D12691" i="1"/>
  <c r="G12691" i="1"/>
  <c r="B12692" i="1"/>
  <c r="D12692" i="1"/>
  <c r="G12692" i="1"/>
  <c r="B12693" i="1"/>
  <c r="D12693" i="1"/>
  <c r="G12693" i="1"/>
  <c r="B12694" i="1"/>
  <c r="D12694" i="1"/>
  <c r="G12694" i="1"/>
  <c r="B20913" i="1"/>
  <c r="D20913" i="1"/>
  <c r="G20913" i="1"/>
  <c r="B1779" i="1"/>
  <c r="D1779" i="1"/>
  <c r="G1779" i="1"/>
  <c r="B20686" i="1"/>
  <c r="D20686" i="1"/>
  <c r="G20686" i="1"/>
  <c r="B21962" i="1"/>
  <c r="D21962" i="1"/>
  <c r="G21962" i="1"/>
  <c r="B16732" i="1"/>
  <c r="D16732" i="1"/>
  <c r="G16732" i="1"/>
  <c r="B21394" i="1"/>
  <c r="D21394" i="1"/>
  <c r="G21394" i="1"/>
  <c r="B645" i="1"/>
  <c r="D645" i="1"/>
  <c r="G645" i="1"/>
  <c r="B646" i="1"/>
  <c r="D646" i="1"/>
  <c r="G646" i="1"/>
  <c r="B21395" i="1"/>
  <c r="D21395" i="1"/>
  <c r="G21395" i="1"/>
  <c r="B17417" i="1"/>
  <c r="D17417" i="1"/>
  <c r="G17417" i="1"/>
  <c r="B2962" i="1"/>
  <c r="D2962" i="1"/>
  <c r="G2962" i="1"/>
  <c r="B1339" i="1"/>
  <c r="D1339" i="1"/>
  <c r="G1339" i="1"/>
  <c r="B1340" i="1"/>
  <c r="D1340" i="1"/>
  <c r="G1340" i="1"/>
  <c r="B5259" i="1"/>
  <c r="D5259" i="1"/>
  <c r="G5259" i="1"/>
  <c r="B10625" i="1"/>
  <c r="D10625" i="1"/>
  <c r="G10625" i="1"/>
  <c r="B5633" i="1"/>
  <c r="D5633" i="1"/>
  <c r="G5633" i="1"/>
  <c r="B20914" i="1"/>
  <c r="D20914" i="1"/>
  <c r="G20914" i="1"/>
  <c r="B2963" i="1"/>
  <c r="D2963" i="1"/>
  <c r="G2963" i="1"/>
  <c r="B22198" i="1"/>
  <c r="D22198" i="1"/>
  <c r="G22198" i="1"/>
  <c r="B21155" i="1"/>
  <c r="D21155" i="1"/>
  <c r="G21155" i="1"/>
  <c r="B21446" i="1"/>
  <c r="D21446" i="1"/>
  <c r="G21446" i="1"/>
  <c r="B17418" i="1"/>
  <c r="D17418" i="1"/>
  <c r="G17418" i="1"/>
  <c r="B20915" i="1"/>
  <c r="D20915" i="1"/>
  <c r="G20915" i="1"/>
  <c r="B19294" i="1"/>
  <c r="D19294" i="1"/>
  <c r="G19294" i="1"/>
  <c r="B14649" i="1"/>
  <c r="D14649" i="1"/>
  <c r="G14649" i="1"/>
  <c r="B18589" i="1"/>
  <c r="D18589" i="1"/>
  <c r="G18589" i="1"/>
  <c r="B647" i="1"/>
  <c r="D647" i="1"/>
  <c r="G647" i="1"/>
  <c r="B9007" i="1"/>
  <c r="D9007" i="1"/>
  <c r="G9007" i="1"/>
  <c r="B11820" i="1"/>
  <c r="D11820" i="1"/>
  <c r="G11820" i="1"/>
  <c r="B11821" i="1"/>
  <c r="D11821" i="1"/>
  <c r="G11821" i="1"/>
  <c r="B12231" i="1"/>
  <c r="D12231" i="1"/>
  <c r="G12231" i="1"/>
  <c r="B18193" i="1"/>
  <c r="D18193" i="1"/>
  <c r="G18193" i="1"/>
  <c r="B648" i="1"/>
  <c r="D648" i="1"/>
  <c r="G648" i="1"/>
  <c r="B20182" i="1"/>
  <c r="D20182" i="1"/>
  <c r="G20182" i="1"/>
  <c r="B9784" i="1"/>
  <c r="D9784" i="1"/>
  <c r="G9784" i="1"/>
  <c r="B9785" i="1"/>
  <c r="D9785" i="1"/>
  <c r="G9785" i="1"/>
  <c r="B9908" i="1"/>
  <c r="D9908" i="1"/>
  <c r="G9908" i="1"/>
  <c r="B9909" i="1"/>
  <c r="D9909" i="1"/>
  <c r="G9909" i="1"/>
  <c r="B21963" i="1"/>
  <c r="D21963" i="1"/>
  <c r="G21963" i="1"/>
  <c r="B11223" i="1"/>
  <c r="D11223" i="1"/>
  <c r="G11223" i="1"/>
  <c r="B7127" i="1"/>
  <c r="D7127" i="1"/>
  <c r="G7127" i="1"/>
  <c r="B13163" i="1"/>
  <c r="D13163" i="1"/>
  <c r="G13163" i="1"/>
  <c r="B8369" i="1"/>
  <c r="D8369" i="1"/>
  <c r="G8369" i="1"/>
  <c r="B12891" i="1"/>
  <c r="D12891" i="1"/>
  <c r="G12891" i="1"/>
  <c r="B17419" i="1"/>
  <c r="D17419" i="1"/>
  <c r="G17419" i="1"/>
  <c r="B22078" i="1"/>
  <c r="D22078" i="1"/>
  <c r="G22078" i="1"/>
  <c r="B10040" i="1"/>
  <c r="D10040" i="1"/>
  <c r="G10040" i="1"/>
  <c r="B21156" i="1"/>
  <c r="D21156" i="1"/>
  <c r="G21156" i="1"/>
  <c r="B11224" i="1"/>
  <c r="D11224" i="1"/>
  <c r="G11224" i="1"/>
  <c r="B10626" i="1"/>
  <c r="D10626" i="1"/>
  <c r="G10626" i="1"/>
  <c r="B9211" i="1"/>
  <c r="D9211" i="1"/>
  <c r="G9211" i="1"/>
  <c r="B12695" i="1"/>
  <c r="D12695" i="1"/>
  <c r="G12695" i="1"/>
  <c r="B8370" i="1"/>
  <c r="D8370" i="1"/>
  <c r="G8370" i="1"/>
  <c r="B2155" i="1"/>
  <c r="D2155" i="1"/>
  <c r="G2155" i="1"/>
  <c r="B13859" i="1"/>
  <c r="D13859" i="1"/>
  <c r="G13859" i="1"/>
  <c r="B10951" i="1"/>
  <c r="D10951" i="1"/>
  <c r="G10951" i="1"/>
  <c r="B1780" i="1"/>
  <c r="D1780" i="1"/>
  <c r="G1780" i="1"/>
  <c r="B1781" i="1"/>
  <c r="D1781" i="1"/>
  <c r="G1781" i="1"/>
  <c r="B10627" i="1"/>
  <c r="D10627" i="1"/>
  <c r="G10627" i="1"/>
  <c r="B2964" i="1"/>
  <c r="D2964" i="1"/>
  <c r="G2964" i="1"/>
  <c r="B20916" i="1"/>
  <c r="D20916" i="1"/>
  <c r="G20916" i="1"/>
  <c r="B292" i="1"/>
  <c r="D292" i="1"/>
  <c r="G292" i="1"/>
  <c r="B9887" i="1"/>
  <c r="D9887" i="1"/>
  <c r="G9887" i="1"/>
  <c r="B9008" i="1"/>
  <c r="D9008" i="1"/>
  <c r="G9008" i="1"/>
  <c r="B1341" i="1"/>
  <c r="D1341" i="1"/>
  <c r="G1341" i="1"/>
  <c r="B17547" i="1"/>
  <c r="D17547" i="1"/>
  <c r="G17547" i="1"/>
  <c r="B12232" i="1"/>
  <c r="D12232" i="1"/>
  <c r="G12232" i="1"/>
  <c r="B7114" i="1"/>
  <c r="D7114" i="1"/>
  <c r="G7114" i="1"/>
  <c r="B21319" i="1"/>
  <c r="D21319" i="1"/>
  <c r="G21319" i="1"/>
  <c r="B21157" i="1"/>
  <c r="D21157" i="1"/>
  <c r="G21157" i="1"/>
  <c r="B5554" i="1"/>
  <c r="D5554" i="1"/>
  <c r="G5554" i="1"/>
  <c r="B4231" i="1"/>
  <c r="D4231" i="1"/>
  <c r="G4231" i="1"/>
  <c r="B11225" i="1"/>
  <c r="D11225" i="1"/>
  <c r="G11225" i="1"/>
  <c r="B9202" i="1"/>
  <c r="D9202" i="1"/>
  <c r="G9202" i="1"/>
  <c r="B21816" i="1"/>
  <c r="D21816" i="1"/>
  <c r="G21816" i="1"/>
  <c r="B12233" i="1"/>
  <c r="D12233" i="1"/>
  <c r="G12233" i="1"/>
  <c r="B21964" i="1"/>
  <c r="D21964" i="1"/>
  <c r="G21964" i="1"/>
  <c r="B10316" i="1"/>
  <c r="D10316" i="1"/>
  <c r="G10316" i="1"/>
  <c r="B19681" i="1"/>
  <c r="D19681" i="1"/>
  <c r="G19681" i="1"/>
  <c r="B19682" i="1"/>
  <c r="D19682" i="1"/>
  <c r="G19682" i="1"/>
  <c r="B18590" i="1"/>
  <c r="D18590" i="1"/>
  <c r="G18590" i="1"/>
  <c r="B21593" i="1"/>
  <c r="D21593" i="1"/>
  <c r="G21593" i="1"/>
  <c r="B19683" i="1"/>
  <c r="D19683" i="1"/>
  <c r="G19683" i="1"/>
  <c r="B20142" i="1"/>
  <c r="D20142" i="1"/>
  <c r="G20142" i="1"/>
  <c r="B21158" i="1"/>
  <c r="D21158" i="1"/>
  <c r="G21158" i="1"/>
  <c r="B10952" i="1"/>
  <c r="D10952" i="1"/>
  <c r="G10952" i="1"/>
  <c r="B9786" i="1"/>
  <c r="D9786" i="1"/>
  <c r="G9786" i="1"/>
  <c r="B9787" i="1"/>
  <c r="D9787" i="1"/>
  <c r="G9787" i="1"/>
  <c r="B21737" i="1"/>
  <c r="D21737" i="1"/>
  <c r="G21737" i="1"/>
  <c r="B6833" i="1"/>
  <c r="D6833" i="1"/>
  <c r="G6833" i="1"/>
  <c r="B6834" i="1"/>
  <c r="D6834" i="1"/>
  <c r="G6834" i="1"/>
  <c r="B10953" i="1"/>
  <c r="D10953" i="1"/>
  <c r="G10953" i="1"/>
  <c r="B12892" i="1"/>
  <c r="D12892" i="1"/>
  <c r="G12892" i="1"/>
  <c r="B2420" i="1"/>
  <c r="D2420" i="1"/>
  <c r="G2420" i="1"/>
  <c r="B21159" i="1"/>
  <c r="D21159" i="1"/>
  <c r="G21159" i="1"/>
  <c r="B8000" i="1"/>
  <c r="D8000" i="1"/>
  <c r="G8000" i="1"/>
  <c r="B7615" i="1"/>
  <c r="D7615" i="1"/>
  <c r="G7615" i="1"/>
  <c r="B8001" i="1"/>
  <c r="D8001" i="1"/>
  <c r="G8001" i="1"/>
  <c r="B4008" i="1"/>
  <c r="D4008" i="1"/>
  <c r="G4008" i="1"/>
  <c r="B7616" i="1"/>
  <c r="D7616" i="1"/>
  <c r="G7616" i="1"/>
  <c r="B7379" i="1"/>
  <c r="D7379" i="1"/>
  <c r="G7379" i="1"/>
  <c r="B16733" i="1"/>
  <c r="D16733" i="1"/>
  <c r="G16733" i="1"/>
  <c r="B14322" i="1"/>
  <c r="D14322" i="1"/>
  <c r="G14322" i="1"/>
  <c r="B786" i="1"/>
  <c r="D786" i="1"/>
  <c r="G786" i="1"/>
  <c r="B9267" i="1"/>
  <c r="D9267" i="1"/>
  <c r="G9267" i="1"/>
  <c r="B17178" i="1"/>
  <c r="D17178" i="1"/>
  <c r="G17178" i="1"/>
  <c r="B6835" i="1"/>
  <c r="D6835" i="1"/>
  <c r="G6835" i="1"/>
  <c r="B7115" i="1"/>
  <c r="D7115" i="1"/>
  <c r="G7115" i="1"/>
  <c r="B21160" i="1"/>
  <c r="D21160" i="1"/>
  <c r="G21160" i="1"/>
  <c r="B12234" i="1"/>
  <c r="D12234" i="1"/>
  <c r="G12234" i="1"/>
  <c r="B9268" i="1"/>
  <c r="D9268" i="1"/>
  <c r="G9268" i="1"/>
  <c r="B22199" i="1"/>
  <c r="D22199" i="1"/>
  <c r="G22199" i="1"/>
  <c r="B14129" i="1"/>
  <c r="D14129" i="1"/>
  <c r="G14129" i="1"/>
  <c r="B8078" i="1"/>
  <c r="D8078" i="1"/>
  <c r="G8078" i="1"/>
  <c r="B15922" i="1"/>
  <c r="D15922" i="1"/>
  <c r="G15922" i="1"/>
  <c r="B20223" i="1"/>
  <c r="D20223" i="1"/>
  <c r="G20223" i="1"/>
  <c r="B15584" i="1"/>
  <c r="D15584" i="1"/>
  <c r="G15584" i="1"/>
  <c r="B15226" i="1"/>
  <c r="D15226" i="1"/>
  <c r="G15226" i="1"/>
  <c r="B7256" i="1"/>
  <c r="D7256" i="1"/>
  <c r="G7256" i="1"/>
  <c r="B20687" i="1"/>
  <c r="D20687" i="1"/>
  <c r="G20687" i="1"/>
  <c r="B20143" i="1"/>
  <c r="D20143" i="1"/>
  <c r="G20143" i="1"/>
  <c r="B5117" i="1"/>
  <c r="D5117" i="1"/>
  <c r="G5117" i="1"/>
  <c r="B14650" i="1"/>
  <c r="D14650" i="1"/>
  <c r="G14650" i="1"/>
  <c r="B18925" i="1"/>
  <c r="D18925" i="1"/>
  <c r="G18925" i="1"/>
  <c r="B1782" i="1"/>
  <c r="D1782" i="1"/>
  <c r="G1782" i="1"/>
  <c r="B2965" i="1"/>
  <c r="D2965" i="1"/>
  <c r="G2965" i="1"/>
  <c r="B10317" i="1"/>
  <c r="D10317" i="1"/>
  <c r="G10317" i="1"/>
  <c r="B14249" i="1"/>
  <c r="D14249" i="1"/>
  <c r="G14249" i="1"/>
  <c r="B14250" i="1"/>
  <c r="D14250" i="1"/>
  <c r="G14250" i="1"/>
  <c r="B21738" i="1"/>
  <c r="D21738" i="1"/>
  <c r="G21738" i="1"/>
  <c r="B21739" i="1"/>
  <c r="D21739" i="1"/>
  <c r="G21739" i="1"/>
  <c r="B6836" i="1"/>
  <c r="D6836" i="1"/>
  <c r="G6836" i="1"/>
  <c r="B19076" i="1"/>
  <c r="D19076" i="1"/>
  <c r="G19076" i="1"/>
  <c r="B21817" i="1"/>
  <c r="D21817" i="1"/>
  <c r="G21817" i="1"/>
  <c r="B1342" i="1"/>
  <c r="D1342" i="1"/>
  <c r="G1342" i="1"/>
  <c r="B19295" i="1"/>
  <c r="D19295" i="1"/>
  <c r="G19295" i="1"/>
  <c r="B15227" i="1"/>
  <c r="D15227" i="1"/>
  <c r="G15227" i="1"/>
  <c r="B21161" i="1"/>
  <c r="D21161" i="1"/>
  <c r="G21161" i="1"/>
  <c r="B21162" i="1"/>
  <c r="D21162" i="1"/>
  <c r="G21162" i="1"/>
  <c r="B14458" i="1"/>
  <c r="D14458" i="1"/>
  <c r="G14458" i="1"/>
  <c r="B5883" i="1"/>
  <c r="D5883" i="1"/>
  <c r="G5883" i="1"/>
  <c r="B21163" i="1"/>
  <c r="D21163" i="1"/>
  <c r="G21163" i="1"/>
  <c r="B6099" i="1"/>
  <c r="D6099" i="1"/>
  <c r="G6099" i="1"/>
  <c r="B5739" i="1"/>
  <c r="D5739" i="1"/>
  <c r="G5739" i="1"/>
  <c r="B21594" i="1"/>
  <c r="D21594" i="1"/>
  <c r="G21594" i="1"/>
  <c r="B22079" i="1"/>
  <c r="D22079" i="1"/>
  <c r="G22079" i="1"/>
  <c r="B18591" i="1"/>
  <c r="D18591" i="1"/>
  <c r="G18591" i="1"/>
  <c r="B19684" i="1"/>
  <c r="D19684" i="1"/>
  <c r="G19684" i="1"/>
  <c r="B7026" i="1"/>
  <c r="D7026" i="1"/>
  <c r="G7026" i="1"/>
  <c r="B649" i="1"/>
  <c r="D649" i="1"/>
  <c r="G649" i="1"/>
  <c r="B21164" i="1"/>
  <c r="D21164" i="1"/>
  <c r="G21164" i="1"/>
  <c r="B14562" i="1"/>
  <c r="D14562" i="1"/>
  <c r="G14562" i="1"/>
  <c r="B20144" i="1"/>
  <c r="D20144" i="1"/>
  <c r="G20144" i="1"/>
  <c r="B13249" i="1"/>
  <c r="D13249" i="1"/>
  <c r="G13249" i="1"/>
  <c r="B10954" i="1"/>
  <c r="D10954" i="1"/>
  <c r="G10954" i="1"/>
  <c r="B19296" i="1"/>
  <c r="D19296" i="1"/>
  <c r="G19296" i="1"/>
  <c r="B11045" i="1"/>
  <c r="D11045" i="1"/>
  <c r="G11045" i="1"/>
  <c r="B21595" i="1"/>
  <c r="D21595" i="1"/>
  <c r="G21595" i="1"/>
  <c r="B15923" i="1"/>
  <c r="D15923" i="1"/>
  <c r="G15923" i="1"/>
  <c r="B15821" i="1"/>
  <c r="D15821" i="1"/>
  <c r="G15821" i="1"/>
  <c r="B19685" i="1"/>
  <c r="D19685" i="1"/>
  <c r="G19685" i="1"/>
  <c r="B8395" i="1"/>
  <c r="D8395" i="1"/>
  <c r="G8395" i="1"/>
  <c r="B650" i="1"/>
  <c r="D650" i="1"/>
  <c r="G650" i="1"/>
  <c r="B12893" i="1"/>
  <c r="D12893" i="1"/>
  <c r="G12893" i="1"/>
  <c r="B21320" i="1"/>
  <c r="D21320" i="1"/>
  <c r="G21320" i="1"/>
  <c r="B9960" i="1"/>
  <c r="D9960" i="1"/>
  <c r="G9960" i="1"/>
  <c r="B21367" i="1"/>
  <c r="D21367" i="1"/>
  <c r="G21367" i="1"/>
  <c r="B7050" i="1"/>
  <c r="D7050" i="1"/>
  <c r="G7050" i="1"/>
  <c r="B13806" i="1"/>
  <c r="D13806" i="1"/>
  <c r="G13806" i="1"/>
  <c r="B10054" i="1"/>
  <c r="D10054" i="1"/>
  <c r="G10054" i="1"/>
  <c r="B7095" i="1"/>
  <c r="D7095" i="1"/>
  <c r="G7095" i="1"/>
  <c r="B4560" i="1"/>
  <c r="D4560" i="1"/>
  <c r="G4560" i="1"/>
  <c r="B9177" i="1"/>
  <c r="D9177" i="1"/>
  <c r="G9177" i="1"/>
  <c r="B17330" i="1"/>
  <c r="D17330" i="1"/>
  <c r="G17330" i="1"/>
  <c r="B10955" i="1"/>
  <c r="D10955" i="1"/>
  <c r="G10955" i="1"/>
  <c r="B5260" i="1"/>
  <c r="D5260" i="1"/>
  <c r="G5260" i="1"/>
  <c r="B13210" i="1"/>
  <c r="D13210" i="1"/>
  <c r="G13210" i="1"/>
  <c r="B9917" i="1"/>
  <c r="D9917" i="1"/>
  <c r="G9917" i="1"/>
  <c r="B21165" i="1"/>
  <c r="D21165" i="1"/>
  <c r="G21165" i="1"/>
  <c r="B5261" i="1"/>
  <c r="D5261" i="1"/>
  <c r="G5261" i="1"/>
  <c r="B19686" i="1"/>
  <c r="D19686" i="1"/>
  <c r="G19686" i="1"/>
  <c r="B19687" i="1"/>
  <c r="D19687" i="1"/>
  <c r="G19687" i="1"/>
  <c r="B737" i="1"/>
  <c r="D737" i="1"/>
  <c r="G737" i="1"/>
  <c r="B19688" i="1"/>
  <c r="D19688" i="1"/>
  <c r="G19688" i="1"/>
  <c r="B19689" i="1"/>
  <c r="D19689" i="1"/>
  <c r="G19689" i="1"/>
  <c r="B19690" i="1"/>
  <c r="D19690" i="1"/>
  <c r="G19690" i="1"/>
  <c r="B19691" i="1"/>
  <c r="D19691" i="1"/>
  <c r="G19691" i="1"/>
  <c r="B13416" i="1"/>
  <c r="D13416" i="1"/>
  <c r="G13416" i="1"/>
  <c r="B10009" i="1"/>
  <c r="D10009" i="1"/>
  <c r="G10009" i="1"/>
  <c r="B6965" i="1"/>
  <c r="D6965" i="1"/>
  <c r="G6965" i="1"/>
  <c r="B4561" i="1"/>
  <c r="D4561" i="1"/>
  <c r="G4561" i="1"/>
  <c r="B17241" i="1"/>
  <c r="D17241" i="1"/>
  <c r="G17241" i="1"/>
  <c r="B18592" i="1"/>
  <c r="D18592" i="1"/>
  <c r="G18592" i="1"/>
  <c r="B18781" i="1"/>
  <c r="D18781" i="1"/>
  <c r="G18781" i="1"/>
  <c r="B17878" i="1"/>
  <c r="D17878" i="1"/>
  <c r="G17878" i="1"/>
  <c r="B17879" i="1"/>
  <c r="D17879" i="1"/>
  <c r="G17879" i="1"/>
  <c r="B9009" i="1"/>
  <c r="D9009" i="1"/>
  <c r="G9009" i="1"/>
  <c r="B9010" i="1"/>
  <c r="D9010" i="1"/>
  <c r="G9010" i="1"/>
  <c r="B9561" i="1"/>
  <c r="D9561" i="1"/>
  <c r="G9561" i="1"/>
  <c r="B9562" i="1"/>
  <c r="D9562" i="1"/>
  <c r="G9562" i="1"/>
  <c r="B9011" i="1"/>
  <c r="D9011" i="1"/>
  <c r="G9011" i="1"/>
  <c r="B9012" i="1"/>
  <c r="D9012" i="1"/>
  <c r="G9012" i="1"/>
  <c r="B10071" i="1"/>
  <c r="D10071" i="1"/>
  <c r="G10071" i="1"/>
  <c r="B8287" i="1"/>
  <c r="D8287" i="1"/>
  <c r="G8287" i="1"/>
  <c r="B9013" i="1"/>
  <c r="D9013" i="1"/>
  <c r="G9013" i="1"/>
  <c r="B15228" i="1"/>
  <c r="D15228" i="1"/>
  <c r="G15228" i="1"/>
  <c r="B5262" i="1"/>
  <c r="D5262" i="1"/>
  <c r="G5262" i="1"/>
  <c r="B10956" i="1"/>
  <c r="D10956" i="1"/>
  <c r="G10956" i="1"/>
  <c r="B17179" i="1"/>
  <c r="D17179" i="1"/>
  <c r="G17179" i="1"/>
  <c r="B8350" i="1"/>
  <c r="D8350" i="1"/>
  <c r="G8350" i="1"/>
  <c r="B7096" i="1"/>
  <c r="D7096" i="1"/>
  <c r="G7096" i="1"/>
  <c r="B6837" i="1"/>
  <c r="D6837" i="1"/>
  <c r="G6837" i="1"/>
  <c r="B7380" i="1"/>
  <c r="D7380" i="1"/>
  <c r="G7380" i="1"/>
  <c r="B1547" i="1"/>
  <c r="D1547" i="1"/>
  <c r="G1547" i="1"/>
  <c r="B7257" i="1"/>
  <c r="D7257" i="1"/>
  <c r="G7257" i="1"/>
  <c r="B7258" i="1"/>
  <c r="D7258" i="1"/>
  <c r="G7258" i="1"/>
  <c r="B10008" i="1"/>
  <c r="D10008" i="1"/>
  <c r="G10008" i="1"/>
  <c r="B8002" i="1"/>
  <c r="D8002" i="1"/>
  <c r="G8002" i="1"/>
  <c r="B8003" i="1"/>
  <c r="D8003" i="1"/>
  <c r="G8003" i="1"/>
  <c r="B17420" i="1"/>
  <c r="D17420" i="1"/>
  <c r="G17420" i="1"/>
  <c r="B9967" i="1"/>
  <c r="D9967" i="1"/>
  <c r="G9967" i="1"/>
  <c r="B9014" i="1"/>
  <c r="D9014" i="1"/>
  <c r="G9014" i="1"/>
  <c r="B12696" i="1"/>
  <c r="D12696" i="1"/>
  <c r="G12696" i="1"/>
  <c r="B21818" i="1"/>
  <c r="D21818" i="1"/>
  <c r="G21818" i="1"/>
  <c r="B17880" i="1"/>
  <c r="D17880" i="1"/>
  <c r="G17880" i="1"/>
  <c r="B17881" i="1"/>
  <c r="D17881" i="1"/>
  <c r="G17881" i="1"/>
  <c r="B1343" i="1"/>
  <c r="D1343" i="1"/>
  <c r="G1343" i="1"/>
  <c r="B21596" i="1"/>
  <c r="D21596" i="1"/>
  <c r="G21596" i="1"/>
  <c r="B9269" i="1"/>
  <c r="D9269" i="1"/>
  <c r="G9269" i="1"/>
  <c r="B8079" i="1"/>
  <c r="D8079" i="1"/>
  <c r="G8079" i="1"/>
  <c r="B3362" i="1"/>
  <c r="D3362" i="1"/>
  <c r="G3362" i="1"/>
  <c r="B21597" i="1"/>
  <c r="D21597" i="1"/>
  <c r="G21597" i="1"/>
  <c r="B15229" i="1"/>
  <c r="D15229" i="1"/>
  <c r="G15229" i="1"/>
  <c r="B19692" i="1"/>
  <c r="D19692" i="1"/>
  <c r="G19692" i="1"/>
  <c r="B18593" i="1"/>
  <c r="D18593" i="1"/>
  <c r="G18593" i="1"/>
  <c r="B11723" i="1"/>
  <c r="D11723" i="1"/>
  <c r="G11723" i="1"/>
  <c r="B19693" i="1"/>
  <c r="D19693" i="1"/>
  <c r="G19693" i="1"/>
  <c r="B14752" i="1"/>
  <c r="D14752" i="1"/>
  <c r="G14752" i="1"/>
  <c r="B10628" i="1"/>
  <c r="D10628" i="1"/>
  <c r="G10628" i="1"/>
  <c r="B15585" i="1"/>
  <c r="D15585" i="1"/>
  <c r="G15585" i="1"/>
  <c r="B18098" i="1"/>
  <c r="D18098" i="1"/>
  <c r="G18098" i="1"/>
  <c r="B11619" i="1"/>
  <c r="D11619" i="1"/>
  <c r="G11619" i="1"/>
  <c r="B11620" i="1"/>
  <c r="D11620" i="1"/>
  <c r="G11620" i="1"/>
  <c r="B11700" i="1"/>
  <c r="D11700" i="1"/>
  <c r="G11700" i="1"/>
  <c r="B11701" i="1"/>
  <c r="D11701" i="1"/>
  <c r="G11701" i="1"/>
  <c r="B7051" i="1"/>
  <c r="D7051" i="1"/>
  <c r="G7051" i="1"/>
  <c r="B8004" i="1"/>
  <c r="D8004" i="1"/>
  <c r="G8004" i="1"/>
  <c r="B8005" i="1"/>
  <c r="D8005" i="1"/>
  <c r="G8005" i="1"/>
  <c r="B8146" i="1"/>
  <c r="D8146" i="1"/>
  <c r="G8146" i="1"/>
  <c r="B16046" i="1"/>
  <c r="D16046" i="1"/>
  <c r="G16046" i="1"/>
  <c r="B8006" i="1"/>
  <c r="D8006" i="1"/>
  <c r="G8006" i="1"/>
  <c r="B16734" i="1"/>
  <c r="D16734" i="1"/>
  <c r="G16734" i="1"/>
  <c r="B6966" i="1"/>
  <c r="D6966" i="1"/>
  <c r="G6966" i="1"/>
  <c r="B4009" i="1"/>
  <c r="D4009" i="1"/>
  <c r="G4009" i="1"/>
  <c r="B4010" i="1"/>
  <c r="D4010" i="1"/>
  <c r="G4010" i="1"/>
  <c r="B9575" i="1"/>
  <c r="D9575" i="1"/>
  <c r="G9575" i="1"/>
  <c r="B1028" i="1"/>
  <c r="D1028" i="1"/>
  <c r="G1028" i="1"/>
  <c r="B5263" i="1"/>
  <c r="D5263" i="1"/>
  <c r="G5263" i="1"/>
  <c r="B11731" i="1"/>
  <c r="D11731" i="1"/>
  <c r="G11731" i="1"/>
  <c r="B11732" i="1"/>
  <c r="D11732" i="1"/>
  <c r="G11732" i="1"/>
  <c r="B13468" i="1"/>
  <c r="D13468" i="1"/>
  <c r="G13468" i="1"/>
  <c r="B8351" i="1"/>
  <c r="D8351" i="1"/>
  <c r="G8351" i="1"/>
  <c r="B19077" i="1"/>
  <c r="D19077" i="1"/>
  <c r="G19077" i="1"/>
  <c r="B18926" i="1"/>
  <c r="D18926" i="1"/>
  <c r="G18926" i="1"/>
  <c r="B12235" i="1"/>
  <c r="D12235" i="1"/>
  <c r="G12235" i="1"/>
  <c r="B7259" i="1"/>
  <c r="D7259" i="1"/>
  <c r="G7259" i="1"/>
  <c r="B7260" i="1"/>
  <c r="D7260" i="1"/>
  <c r="G7260" i="1"/>
  <c r="B8007" i="1"/>
  <c r="D8007" i="1"/>
  <c r="G8007" i="1"/>
  <c r="B8008" i="1"/>
  <c r="D8008" i="1"/>
  <c r="G8008" i="1"/>
  <c r="B13990" i="1"/>
  <c r="D13990" i="1"/>
  <c r="G13990" i="1"/>
  <c r="B4011" i="1"/>
  <c r="D4011" i="1"/>
  <c r="G4011" i="1"/>
  <c r="B12627" i="1"/>
  <c r="D12627" i="1"/>
  <c r="G12627" i="1"/>
  <c r="B651" i="1"/>
  <c r="D651" i="1"/>
  <c r="G651" i="1"/>
  <c r="B8009" i="1"/>
  <c r="D8009" i="1"/>
  <c r="G8009" i="1"/>
  <c r="B7617" i="1"/>
  <c r="D7617" i="1"/>
  <c r="G7617" i="1"/>
  <c r="B7027" i="1"/>
  <c r="D7027" i="1"/>
  <c r="G7027" i="1"/>
  <c r="B17421" i="1"/>
  <c r="D17421" i="1"/>
  <c r="G17421" i="1"/>
  <c r="B4361" i="1"/>
  <c r="D4361" i="1"/>
  <c r="G4361" i="1"/>
  <c r="B5884" i="1"/>
  <c r="D5884" i="1"/>
  <c r="G5884" i="1"/>
  <c r="B20145" i="1"/>
  <c r="D20145" i="1"/>
  <c r="G20145" i="1"/>
  <c r="B6457" i="1"/>
  <c r="D6457" i="1"/>
  <c r="G6457" i="1"/>
  <c r="B13341" i="1"/>
  <c r="D13341" i="1"/>
  <c r="G13341" i="1"/>
  <c r="B5797" i="1"/>
  <c r="D5797" i="1"/>
  <c r="G5797" i="1"/>
  <c r="B22245" i="1"/>
  <c r="D22245" i="1"/>
  <c r="G22245" i="1"/>
  <c r="B22246" i="1"/>
  <c r="D22246" i="1"/>
  <c r="G22246" i="1"/>
  <c r="B2100" i="1"/>
  <c r="D2100" i="1"/>
  <c r="G2100" i="1"/>
  <c r="B9867" i="1"/>
  <c r="D9867" i="1"/>
  <c r="G9867" i="1"/>
  <c r="B13790" i="1"/>
  <c r="D13790" i="1"/>
  <c r="G13790" i="1"/>
  <c r="B652" i="1"/>
  <c r="D652" i="1"/>
  <c r="G652" i="1"/>
  <c r="B7618" i="1"/>
  <c r="D7618" i="1"/>
  <c r="G7618" i="1"/>
  <c r="B21598" i="1"/>
  <c r="D21598" i="1"/>
  <c r="G21598" i="1"/>
  <c r="B18252" i="1"/>
  <c r="D18252" i="1"/>
  <c r="G18252" i="1"/>
  <c r="B9856" i="1"/>
  <c r="D9856" i="1"/>
  <c r="G9856" i="1"/>
  <c r="B10629" i="1"/>
  <c r="D10629" i="1"/>
  <c r="G10629" i="1"/>
  <c r="B10957" i="1"/>
  <c r="D10957" i="1"/>
  <c r="G10957" i="1"/>
  <c r="B10958" i="1"/>
  <c r="D10958" i="1"/>
  <c r="G10958" i="1"/>
  <c r="B15586" i="1"/>
  <c r="D15586" i="1"/>
  <c r="G15586" i="1"/>
  <c r="B9966" i="1"/>
  <c r="D9966" i="1"/>
  <c r="G9966" i="1"/>
  <c r="B9205" i="1"/>
  <c r="D9205" i="1"/>
  <c r="G9205" i="1"/>
  <c r="B12697" i="1"/>
  <c r="D12697" i="1"/>
  <c r="G12697" i="1"/>
  <c r="B21166" i="1"/>
  <c r="D21166" i="1"/>
  <c r="G21166" i="1"/>
  <c r="B12894" i="1"/>
  <c r="D12894" i="1"/>
  <c r="G12894" i="1"/>
  <c r="B11226" i="1"/>
  <c r="D11226" i="1"/>
  <c r="G11226" i="1"/>
  <c r="B7116" i="1"/>
  <c r="D7116" i="1"/>
  <c r="G7116" i="1"/>
  <c r="B7117" i="1"/>
  <c r="D7117" i="1"/>
  <c r="G7117" i="1"/>
  <c r="B9015" i="1"/>
  <c r="D9015" i="1"/>
  <c r="G9015" i="1"/>
  <c r="B9918" i="1"/>
  <c r="D9918" i="1"/>
  <c r="G9918" i="1"/>
  <c r="B3809" i="1"/>
  <c r="D3809" i="1"/>
  <c r="G3809" i="1"/>
  <c r="B3810" i="1"/>
  <c r="D3810" i="1"/>
  <c r="G3810" i="1"/>
  <c r="B9857" i="1"/>
  <c r="D9857" i="1"/>
  <c r="G9857" i="1"/>
  <c r="B18594" i="1"/>
  <c r="D18594" i="1"/>
  <c r="G18594" i="1"/>
  <c r="B7619" i="1"/>
  <c r="D7619" i="1"/>
  <c r="G7619" i="1"/>
  <c r="B9016" i="1"/>
  <c r="D9016" i="1"/>
  <c r="G9016" i="1"/>
  <c r="B14136" i="1"/>
  <c r="D14136" i="1"/>
  <c r="G14136" i="1"/>
  <c r="B9836" i="1"/>
  <c r="D9836" i="1"/>
  <c r="G9836" i="1"/>
  <c r="B9837" i="1"/>
  <c r="D9837" i="1"/>
  <c r="G9837" i="1"/>
  <c r="B13427" i="1"/>
  <c r="D13427" i="1"/>
  <c r="G13427" i="1"/>
  <c r="B16735" i="1"/>
  <c r="D16735" i="1"/>
  <c r="G16735" i="1"/>
  <c r="B653" i="1"/>
  <c r="D653" i="1"/>
  <c r="G653" i="1"/>
  <c r="B12236" i="1"/>
  <c r="D12236" i="1"/>
  <c r="G12236" i="1"/>
  <c r="B21321" i="1"/>
  <c r="D21321" i="1"/>
  <c r="G21321" i="1"/>
  <c r="B21322" i="1"/>
  <c r="D21322" i="1"/>
  <c r="G21322" i="1"/>
  <c r="B7620" i="1"/>
  <c r="D7620" i="1"/>
  <c r="G7620" i="1"/>
  <c r="B4429" i="1"/>
  <c r="D4429" i="1"/>
  <c r="G4429" i="1"/>
  <c r="B13108" i="1"/>
  <c r="D13108" i="1"/>
  <c r="G13108" i="1"/>
  <c r="B16736" i="1"/>
  <c r="D16736" i="1"/>
  <c r="G16736" i="1"/>
  <c r="B9961" i="1"/>
  <c r="D9961" i="1"/>
  <c r="G9961" i="1"/>
  <c r="B8595" i="1"/>
  <c r="D8595" i="1"/>
  <c r="G8595" i="1"/>
  <c r="B8596" i="1"/>
  <c r="D8596" i="1"/>
  <c r="G8596" i="1"/>
  <c r="B654" i="1"/>
  <c r="D654" i="1"/>
  <c r="G654" i="1"/>
  <c r="B738" i="1"/>
  <c r="D738" i="1"/>
  <c r="G738" i="1"/>
  <c r="B12698" i="1"/>
  <c r="D12698" i="1"/>
  <c r="G12698" i="1"/>
  <c r="B16737" i="1"/>
  <c r="D16737" i="1"/>
  <c r="G16737" i="1"/>
  <c r="B18253" i="1"/>
  <c r="D18253" i="1"/>
  <c r="G18253" i="1"/>
  <c r="B5555" i="1"/>
  <c r="D5555" i="1"/>
  <c r="G5555" i="1"/>
  <c r="B7621" i="1"/>
  <c r="D7621" i="1"/>
  <c r="G7621" i="1"/>
  <c r="B739" i="1"/>
  <c r="D739" i="1"/>
  <c r="G739" i="1"/>
  <c r="B8379" i="1"/>
  <c r="D8379" i="1"/>
  <c r="G8379" i="1"/>
  <c r="B16997" i="1"/>
  <c r="D16997" i="1"/>
  <c r="G16997" i="1"/>
  <c r="B19694" i="1"/>
  <c r="D19694" i="1"/>
  <c r="G19694" i="1"/>
  <c r="B18662" i="1"/>
  <c r="D18662" i="1"/>
  <c r="G18662" i="1"/>
  <c r="B20046" i="1"/>
  <c r="D20046" i="1"/>
  <c r="G20046" i="1"/>
  <c r="B13469" i="1"/>
  <c r="D13469" i="1"/>
  <c r="G13469" i="1"/>
  <c r="B12237" i="1"/>
  <c r="D12237" i="1"/>
  <c r="G12237" i="1"/>
  <c r="B9418" i="1"/>
  <c r="D9418" i="1"/>
  <c r="G9418" i="1"/>
  <c r="B9987" i="1"/>
  <c r="D9987" i="1"/>
  <c r="G9987" i="1"/>
  <c r="B16738" i="1"/>
  <c r="D16738" i="1"/>
  <c r="G16738" i="1"/>
  <c r="B8597" i="1"/>
  <c r="D8597" i="1"/>
  <c r="G8597" i="1"/>
  <c r="B8598" i="1"/>
  <c r="D8598" i="1"/>
  <c r="G8598" i="1"/>
  <c r="B12238" i="1"/>
  <c r="D12238" i="1"/>
  <c r="G12238" i="1"/>
  <c r="B8616" i="1"/>
  <c r="D8616" i="1"/>
  <c r="G8616" i="1"/>
  <c r="B5798" i="1"/>
  <c r="D5798" i="1"/>
  <c r="G5798" i="1"/>
  <c r="B12239" i="1"/>
  <c r="D12239" i="1"/>
  <c r="G12239" i="1"/>
  <c r="B21965" i="1"/>
  <c r="D21965" i="1"/>
  <c r="G21965" i="1"/>
  <c r="B8147" i="1"/>
  <c r="D8147" i="1"/>
  <c r="G8147" i="1"/>
  <c r="B15230" i="1"/>
  <c r="D15230" i="1"/>
  <c r="G15230" i="1"/>
  <c r="B9270" i="1"/>
  <c r="D9270" i="1"/>
  <c r="G9270" i="1"/>
  <c r="B5634" i="1"/>
  <c r="D5634" i="1"/>
  <c r="G5634" i="1"/>
  <c r="B841" i="1"/>
  <c r="D841" i="1"/>
  <c r="G841" i="1"/>
  <c r="B9017" i="1"/>
  <c r="D9017" i="1"/>
  <c r="G9017" i="1"/>
  <c r="B13424" i="1"/>
  <c r="D13424" i="1"/>
  <c r="G13424" i="1"/>
  <c r="B21966" i="1"/>
  <c r="D21966" i="1"/>
  <c r="G21966" i="1"/>
  <c r="B3107" i="1"/>
  <c r="D3107" i="1"/>
  <c r="G3107" i="1"/>
  <c r="B9788" i="1"/>
  <c r="D9788" i="1"/>
  <c r="G9788" i="1"/>
  <c r="B10132" i="1"/>
  <c r="D10132" i="1"/>
  <c r="G10132" i="1"/>
  <c r="B10133" i="1"/>
  <c r="D10133" i="1"/>
  <c r="G10133" i="1"/>
  <c r="B11702" i="1"/>
  <c r="D11702" i="1"/>
  <c r="G11702" i="1"/>
  <c r="B12405" i="1"/>
  <c r="D12405" i="1"/>
  <c r="G12405" i="1"/>
  <c r="B19695" i="1"/>
  <c r="D19695" i="1"/>
  <c r="G19695" i="1"/>
  <c r="B19696" i="1"/>
  <c r="D19696" i="1"/>
  <c r="G19696" i="1"/>
  <c r="B18595" i="1"/>
  <c r="D18595" i="1"/>
  <c r="G18595" i="1"/>
  <c r="B18596" i="1"/>
  <c r="D18596" i="1"/>
  <c r="G18596" i="1"/>
  <c r="B12240" i="1"/>
  <c r="D12240" i="1"/>
  <c r="G12240" i="1"/>
  <c r="B4833" i="1"/>
  <c r="D4833" i="1"/>
  <c r="G4833" i="1"/>
  <c r="B9018" i="1"/>
  <c r="D9018" i="1"/>
  <c r="G9018" i="1"/>
  <c r="B19914" i="1"/>
  <c r="D19914" i="1"/>
  <c r="G19914" i="1"/>
  <c r="B74" i="1"/>
  <c r="D74" i="1"/>
  <c r="G74" i="1"/>
  <c r="B14358" i="1"/>
  <c r="D14358" i="1"/>
  <c r="G14358" i="1"/>
  <c r="B14461" i="1"/>
  <c r="D14461" i="1"/>
  <c r="G14461" i="1"/>
  <c r="B6967" i="1"/>
  <c r="D6967" i="1"/>
  <c r="G6967" i="1"/>
  <c r="B19697" i="1"/>
  <c r="D19697" i="1"/>
  <c r="G19697" i="1"/>
  <c r="B19698" i="1"/>
  <c r="D19698" i="1"/>
  <c r="G19698" i="1"/>
  <c r="B21967" i="1"/>
  <c r="D21967" i="1"/>
  <c r="G21967" i="1"/>
  <c r="B5824" i="1"/>
  <c r="D5824" i="1"/>
  <c r="G5824" i="1"/>
  <c r="B21167" i="1"/>
  <c r="D21167" i="1"/>
  <c r="G21167" i="1"/>
  <c r="B2156" i="1"/>
  <c r="D2156" i="1"/>
  <c r="G2156" i="1"/>
  <c r="B4143" i="1"/>
  <c r="D4143" i="1"/>
  <c r="G4143" i="1"/>
  <c r="B263" i="1"/>
  <c r="D263" i="1"/>
  <c r="G263" i="1"/>
  <c r="B21323" i="1"/>
  <c r="D21323" i="1"/>
  <c r="G21323" i="1"/>
  <c r="B4430" i="1"/>
  <c r="D4430" i="1"/>
  <c r="G4430" i="1"/>
  <c r="B2157" i="1"/>
  <c r="D2157" i="1"/>
  <c r="G2157" i="1"/>
  <c r="B1783" i="1"/>
  <c r="D1783" i="1"/>
  <c r="G1783" i="1"/>
  <c r="B1784" i="1"/>
  <c r="D1784" i="1"/>
  <c r="G1784" i="1"/>
  <c r="B11894" i="1"/>
  <c r="D11894" i="1"/>
  <c r="G11894" i="1"/>
  <c r="B14137" i="1"/>
  <c r="D14137" i="1"/>
  <c r="G14137" i="1"/>
  <c r="B19699" i="1"/>
  <c r="D19699" i="1"/>
  <c r="G19699" i="1"/>
  <c r="B13709" i="1"/>
  <c r="D13709" i="1"/>
  <c r="G13709" i="1"/>
  <c r="B11822" i="1"/>
  <c r="D11822" i="1"/>
  <c r="G11822" i="1"/>
  <c r="B9019" i="1"/>
  <c r="D9019" i="1"/>
  <c r="G9019" i="1"/>
  <c r="B11823" i="1"/>
  <c r="D11823" i="1"/>
  <c r="G11823" i="1"/>
  <c r="B1785" i="1"/>
  <c r="D1785" i="1"/>
  <c r="G1785" i="1"/>
  <c r="B1786" i="1"/>
  <c r="D1786" i="1"/>
  <c r="G1786" i="1"/>
  <c r="B15966" i="1"/>
  <c r="D15966" i="1"/>
  <c r="G15966" i="1"/>
  <c r="B16739" i="1"/>
  <c r="D16739" i="1"/>
  <c r="G16739" i="1"/>
  <c r="B4012" i="1"/>
  <c r="D4012" i="1"/>
  <c r="G4012" i="1"/>
  <c r="B1787" i="1"/>
  <c r="D1787" i="1"/>
  <c r="G1787" i="1"/>
  <c r="B1788" i="1"/>
  <c r="D1788" i="1"/>
  <c r="G1788" i="1"/>
  <c r="B11437" i="1"/>
  <c r="D11437" i="1"/>
  <c r="G11437" i="1"/>
  <c r="B1548" i="1"/>
  <c r="D1548" i="1"/>
  <c r="G1548" i="1"/>
  <c r="B1789" i="1"/>
  <c r="D1789" i="1"/>
  <c r="G1789" i="1"/>
  <c r="B13109" i="1"/>
  <c r="D13109" i="1"/>
  <c r="G13109" i="1"/>
  <c r="B22200" i="1"/>
  <c r="D22200" i="1"/>
  <c r="G22200" i="1"/>
  <c r="B14162" i="1"/>
  <c r="D14162" i="1"/>
  <c r="G14162" i="1"/>
  <c r="B9209" i="1"/>
  <c r="D9209" i="1"/>
  <c r="G9209" i="1"/>
  <c r="B17882" i="1"/>
  <c r="D17882" i="1"/>
  <c r="G17882" i="1"/>
  <c r="B17883" i="1"/>
  <c r="D17883" i="1"/>
  <c r="G17883" i="1"/>
  <c r="B14323" i="1"/>
  <c r="D14323" i="1"/>
  <c r="G14323" i="1"/>
  <c r="B7261" i="1"/>
  <c r="D7261" i="1"/>
  <c r="G7261" i="1"/>
  <c r="B7262" i="1"/>
  <c r="D7262" i="1"/>
  <c r="G7262" i="1"/>
  <c r="B12699" i="1"/>
  <c r="D12699" i="1"/>
  <c r="G12699" i="1"/>
  <c r="B8010" i="1"/>
  <c r="D8010" i="1"/>
  <c r="G8010" i="1"/>
  <c r="B8011" i="1"/>
  <c r="D8011" i="1"/>
  <c r="G8011" i="1"/>
  <c r="B19700" i="1"/>
  <c r="D19700" i="1"/>
  <c r="G19700" i="1"/>
  <c r="B4765" i="1"/>
  <c r="D4765" i="1"/>
  <c r="G4765" i="1"/>
  <c r="B14008" i="1"/>
  <c r="D14008" i="1"/>
  <c r="G14008" i="1"/>
  <c r="B14753" i="1"/>
  <c r="D14753" i="1"/>
  <c r="G14753" i="1"/>
  <c r="B16740" i="1"/>
  <c r="D16740" i="1"/>
  <c r="G16740" i="1"/>
  <c r="B15231" i="1"/>
  <c r="D15231" i="1"/>
  <c r="G15231" i="1"/>
  <c r="B4874" i="1"/>
  <c r="D4874" i="1"/>
  <c r="G4874" i="1"/>
  <c r="B19701" i="1"/>
  <c r="D19701" i="1"/>
  <c r="G19701" i="1"/>
  <c r="B19702" i="1"/>
  <c r="D19702" i="1"/>
  <c r="G19702" i="1"/>
  <c r="B16741" i="1"/>
  <c r="D16741" i="1"/>
  <c r="G16741" i="1"/>
  <c r="B996" i="1"/>
  <c r="D996" i="1"/>
  <c r="G996" i="1"/>
  <c r="B997" i="1"/>
  <c r="D997" i="1"/>
  <c r="G997" i="1"/>
  <c r="B12241" i="1"/>
  <c r="D12241" i="1"/>
  <c r="G12241" i="1"/>
  <c r="B18194" i="1"/>
  <c r="D18194" i="1"/>
  <c r="G18194" i="1"/>
  <c r="B9789" i="1"/>
  <c r="D9789" i="1"/>
  <c r="G9789" i="1"/>
  <c r="B9790" i="1"/>
  <c r="D9790" i="1"/>
  <c r="G9790" i="1"/>
  <c r="B15232" i="1"/>
  <c r="D15232" i="1"/>
  <c r="G15232" i="1"/>
  <c r="B10630" i="1"/>
  <c r="D10630" i="1"/>
  <c r="G10630" i="1"/>
  <c r="B9020" i="1"/>
  <c r="D9020" i="1"/>
  <c r="G9020" i="1"/>
  <c r="B16152" i="1"/>
  <c r="D16152" i="1"/>
  <c r="G16152" i="1"/>
  <c r="B8599" i="1"/>
  <c r="D8599" i="1"/>
  <c r="G8599" i="1"/>
  <c r="B8600" i="1"/>
  <c r="D8600" i="1"/>
  <c r="G8600" i="1"/>
  <c r="B5885" i="1"/>
  <c r="D5885" i="1"/>
  <c r="G5885" i="1"/>
  <c r="B18597" i="1"/>
  <c r="D18597" i="1"/>
  <c r="G18597" i="1"/>
  <c r="B17319" i="1"/>
  <c r="D17319" i="1"/>
  <c r="G17319" i="1"/>
  <c r="B3363" i="1"/>
  <c r="D3363" i="1"/>
  <c r="G3363" i="1"/>
  <c r="B18195" i="1"/>
  <c r="D18195" i="1"/>
  <c r="G18195" i="1"/>
  <c r="B15233" i="1"/>
  <c r="D15233" i="1"/>
  <c r="G15233" i="1"/>
  <c r="B17340" i="1"/>
  <c r="D17340" i="1"/>
  <c r="G17340" i="1"/>
  <c r="B9271" i="1"/>
  <c r="D9271" i="1"/>
  <c r="G9271" i="1"/>
  <c r="B10631" i="1"/>
  <c r="D10631" i="1"/>
  <c r="G10631" i="1"/>
  <c r="B20115" i="1"/>
  <c r="D20115" i="1"/>
  <c r="G20115" i="1"/>
  <c r="B7381" i="1"/>
  <c r="D7381" i="1"/>
  <c r="G7381" i="1"/>
  <c r="B14183" i="1"/>
  <c r="D14183" i="1"/>
  <c r="G14183" i="1"/>
  <c r="B1344" i="1"/>
  <c r="D1344" i="1"/>
  <c r="G1344" i="1"/>
  <c r="B2158" i="1"/>
  <c r="D2158" i="1"/>
  <c r="G2158" i="1"/>
  <c r="B4120" i="1"/>
  <c r="D4120" i="1"/>
  <c r="G4120" i="1"/>
  <c r="B22201" i="1"/>
  <c r="D22201" i="1"/>
  <c r="G22201" i="1"/>
  <c r="B2421" i="1"/>
  <c r="D2421" i="1"/>
  <c r="G2421" i="1"/>
  <c r="B19703" i="1"/>
  <c r="D19703" i="1"/>
  <c r="G19703" i="1"/>
  <c r="B6838" i="1"/>
  <c r="D6838" i="1"/>
  <c r="G6838" i="1"/>
  <c r="B14280" i="1"/>
  <c r="D14280" i="1"/>
  <c r="G14280" i="1"/>
  <c r="B14515" i="1"/>
  <c r="D14515" i="1"/>
  <c r="G14515" i="1"/>
  <c r="B20917" i="1"/>
  <c r="D20917" i="1"/>
  <c r="G20917" i="1"/>
  <c r="B19297" i="1"/>
  <c r="D19297" i="1"/>
  <c r="G19297" i="1"/>
  <c r="B16024" i="1"/>
  <c r="D16024" i="1"/>
  <c r="G16024" i="1"/>
  <c r="B22080" i="1"/>
  <c r="D22080" i="1"/>
  <c r="G22080" i="1"/>
  <c r="B18927" i="1"/>
  <c r="D18927" i="1"/>
  <c r="G18927" i="1"/>
  <c r="B15234" i="1"/>
  <c r="D15234" i="1"/>
  <c r="G15234" i="1"/>
  <c r="B6102" i="1"/>
  <c r="D6102" i="1"/>
  <c r="G6102" i="1"/>
  <c r="B2482" i="1"/>
  <c r="D2482" i="1"/>
  <c r="G2482" i="1"/>
  <c r="B15587" i="1"/>
  <c r="D15587" i="1"/>
  <c r="G15587" i="1"/>
  <c r="B4262" i="1"/>
  <c r="D4262" i="1"/>
  <c r="G4262" i="1"/>
  <c r="B8012" i="1"/>
  <c r="D8012" i="1"/>
  <c r="G8012" i="1"/>
  <c r="B8013" i="1"/>
  <c r="D8013" i="1"/>
  <c r="G8013" i="1"/>
  <c r="B11227" i="1"/>
  <c r="D11227" i="1"/>
  <c r="G11227" i="1"/>
  <c r="B9272" i="1"/>
  <c r="D9272" i="1"/>
  <c r="G9272" i="1"/>
  <c r="B998" i="1"/>
  <c r="D998" i="1"/>
  <c r="G998" i="1"/>
  <c r="B999" i="1"/>
  <c r="D999" i="1"/>
  <c r="G999" i="1"/>
  <c r="B18598" i="1"/>
  <c r="D18598" i="1"/>
  <c r="G18598" i="1"/>
  <c r="B14651" i="1"/>
  <c r="D14651" i="1"/>
  <c r="G14651" i="1"/>
  <c r="B15235" i="1"/>
  <c r="D15235" i="1"/>
  <c r="G15235" i="1"/>
  <c r="B16742" i="1"/>
  <c r="D16742" i="1"/>
  <c r="G16742" i="1"/>
  <c r="B7622" i="1"/>
  <c r="D7622" i="1"/>
  <c r="G7622" i="1"/>
  <c r="B9860" i="1"/>
  <c r="D9860" i="1"/>
  <c r="G9860" i="1"/>
  <c r="B14787" i="1"/>
  <c r="D14787" i="1"/>
  <c r="G14787" i="1"/>
  <c r="B4669" i="1"/>
  <c r="D4669" i="1"/>
  <c r="G4669" i="1"/>
  <c r="B4480" i="1"/>
  <c r="D4480" i="1"/>
  <c r="G4480" i="1"/>
  <c r="B6458" i="1"/>
  <c r="D6458" i="1"/>
  <c r="G6458" i="1"/>
  <c r="B13342" i="1"/>
  <c r="D13342" i="1"/>
  <c r="G13342" i="1"/>
  <c r="B10959" i="1"/>
  <c r="D10959" i="1"/>
  <c r="G10959" i="1"/>
  <c r="B21168" i="1"/>
  <c r="D21168" i="1"/>
  <c r="G21168" i="1"/>
  <c r="B12242" i="1"/>
  <c r="D12242" i="1"/>
  <c r="G12242" i="1"/>
  <c r="B10318" i="1"/>
  <c r="D10318" i="1"/>
  <c r="G10318" i="1"/>
  <c r="B20211" i="1"/>
  <c r="D20211" i="1"/>
  <c r="G20211" i="1"/>
  <c r="B9021" i="1"/>
  <c r="D9021" i="1"/>
  <c r="G9021" i="1"/>
  <c r="B21396" i="1"/>
  <c r="D21396" i="1"/>
  <c r="G21396" i="1"/>
  <c r="B337" i="1"/>
  <c r="D337" i="1"/>
  <c r="G337" i="1"/>
  <c r="B15236" i="1"/>
  <c r="D15236" i="1"/>
  <c r="G15236" i="1"/>
  <c r="B159" i="1"/>
  <c r="D159" i="1"/>
  <c r="G159" i="1"/>
  <c r="B3364" i="1"/>
  <c r="D3364" i="1"/>
  <c r="G3364" i="1"/>
  <c r="B15924" i="1"/>
  <c r="D15924" i="1"/>
  <c r="G15924" i="1"/>
  <c r="B15588" i="1"/>
  <c r="D15588" i="1"/>
  <c r="G15588" i="1"/>
  <c r="B10239" i="1"/>
  <c r="D10239" i="1"/>
  <c r="G10239" i="1"/>
  <c r="B18928" i="1"/>
  <c r="D18928" i="1"/>
  <c r="G18928" i="1"/>
  <c r="B7623" i="1"/>
  <c r="D7623" i="1"/>
  <c r="G7623" i="1"/>
  <c r="B465" i="1"/>
  <c r="D465" i="1"/>
  <c r="G465" i="1"/>
  <c r="B7624" i="1"/>
  <c r="D7624" i="1"/>
  <c r="G7624" i="1"/>
  <c r="B2530" i="1"/>
  <c r="D2530" i="1"/>
  <c r="G2530" i="1"/>
  <c r="B1345" i="1"/>
  <c r="D1345" i="1"/>
  <c r="G1345" i="1"/>
  <c r="B19704" i="1"/>
  <c r="D19704" i="1"/>
  <c r="G19704" i="1"/>
  <c r="B3365" i="1"/>
  <c r="D3365" i="1"/>
  <c r="G3365" i="1"/>
  <c r="B12243" i="1"/>
  <c r="D12243" i="1"/>
  <c r="G12243" i="1"/>
  <c r="B10319" i="1"/>
  <c r="D10319" i="1"/>
  <c r="G10319" i="1"/>
  <c r="B16743" i="1"/>
  <c r="D16743" i="1"/>
  <c r="G16743" i="1"/>
  <c r="B21968" i="1"/>
  <c r="D21968" i="1"/>
  <c r="G21968" i="1"/>
  <c r="B8264" i="1"/>
  <c r="D8264" i="1"/>
  <c r="G8264" i="1"/>
  <c r="B8014" i="1"/>
  <c r="D8014" i="1"/>
  <c r="G8014" i="1"/>
  <c r="B8015" i="1"/>
  <c r="D8015" i="1"/>
  <c r="G8015" i="1"/>
  <c r="B13192" i="1"/>
  <c r="D13192" i="1"/>
  <c r="G13192" i="1"/>
  <c r="B4140" i="1"/>
  <c r="D4140" i="1"/>
  <c r="G4140" i="1"/>
  <c r="B8617" i="1"/>
  <c r="D8617" i="1"/>
  <c r="G8617" i="1"/>
  <c r="B655" i="1"/>
  <c r="D655" i="1"/>
  <c r="G655" i="1"/>
  <c r="B21169" i="1"/>
  <c r="D21169" i="1"/>
  <c r="G21169" i="1"/>
  <c r="B9273" i="1"/>
  <c r="D9273" i="1"/>
  <c r="G9273" i="1"/>
  <c r="B16744" i="1"/>
  <c r="D16744" i="1"/>
  <c r="G16744" i="1"/>
  <c r="B18751" i="1"/>
  <c r="D18751" i="1"/>
  <c r="G18751" i="1"/>
  <c r="B20918" i="1"/>
  <c r="D20918" i="1"/>
  <c r="G20918" i="1"/>
  <c r="B19298" i="1"/>
  <c r="D19298" i="1"/>
  <c r="G19298" i="1"/>
  <c r="B9863" i="1"/>
  <c r="D9863" i="1"/>
  <c r="G9863" i="1"/>
  <c r="B13110" i="1"/>
  <c r="D13110" i="1"/>
  <c r="G13110" i="1"/>
  <c r="B21740" i="1"/>
  <c r="D21740" i="1"/>
  <c r="G21740" i="1"/>
  <c r="B21741" i="1"/>
  <c r="D21741" i="1"/>
  <c r="G21741" i="1"/>
  <c r="B9022" i="1"/>
  <c r="D9022" i="1"/>
  <c r="G9022" i="1"/>
  <c r="B160" i="1"/>
  <c r="D160" i="1"/>
  <c r="G160" i="1"/>
  <c r="B6686" i="1"/>
  <c r="D6686" i="1"/>
  <c r="G6686" i="1"/>
  <c r="B13111" i="1"/>
  <c r="D13111" i="1"/>
  <c r="G13111" i="1"/>
  <c r="B20919" i="1"/>
  <c r="D20919" i="1"/>
  <c r="G20919" i="1"/>
  <c r="B15589" i="1"/>
  <c r="D15589" i="1"/>
  <c r="G15589" i="1"/>
  <c r="B18929" i="1"/>
  <c r="D18929" i="1"/>
  <c r="G18929" i="1"/>
  <c r="B12895" i="1"/>
  <c r="D12895" i="1"/>
  <c r="G12895" i="1"/>
  <c r="B12244" i="1"/>
  <c r="D12244" i="1"/>
  <c r="G12244" i="1"/>
  <c r="B1346" i="1"/>
  <c r="D1346" i="1"/>
  <c r="G1346" i="1"/>
  <c r="B1347" i="1"/>
  <c r="D1347" i="1"/>
  <c r="G1347" i="1"/>
  <c r="B2966" i="1"/>
  <c r="D2966" i="1"/>
  <c r="G2966" i="1"/>
  <c r="B5264" i="1"/>
  <c r="D5264" i="1"/>
  <c r="G5264" i="1"/>
  <c r="B2967" i="1"/>
  <c r="D2967" i="1"/>
  <c r="G2967" i="1"/>
  <c r="B13951" i="1"/>
  <c r="D13951" i="1"/>
  <c r="G13951" i="1"/>
  <c r="B2968" i="1"/>
  <c r="D2968" i="1"/>
  <c r="G2968" i="1"/>
  <c r="B9023" i="1"/>
  <c r="D9023" i="1"/>
  <c r="G9023" i="1"/>
  <c r="B10960" i="1"/>
  <c r="D10960" i="1"/>
  <c r="G10960" i="1"/>
  <c r="B13950" i="1"/>
  <c r="D13950" i="1"/>
  <c r="G13950" i="1"/>
  <c r="B12245" i="1"/>
  <c r="D12245" i="1"/>
  <c r="G12245" i="1"/>
  <c r="B5556" i="1"/>
  <c r="D5556" i="1"/>
  <c r="G5556" i="1"/>
  <c r="B13773" i="1"/>
  <c r="D13773" i="1"/>
  <c r="G13773" i="1"/>
  <c r="B19299" i="1"/>
  <c r="D19299" i="1"/>
  <c r="G19299" i="1"/>
  <c r="B14652" i="1"/>
  <c r="D14652" i="1"/>
  <c r="G14652" i="1"/>
  <c r="B12896" i="1"/>
  <c r="D12896" i="1"/>
  <c r="G12896" i="1"/>
  <c r="B8016" i="1"/>
  <c r="D8016" i="1"/>
  <c r="G8016" i="1"/>
  <c r="B8017" i="1"/>
  <c r="D8017" i="1"/>
  <c r="G8017" i="1"/>
  <c r="B5557" i="1"/>
  <c r="D5557" i="1"/>
  <c r="G5557" i="1"/>
  <c r="B7625" i="1"/>
  <c r="D7625" i="1"/>
  <c r="G7625" i="1"/>
  <c r="B13343" i="1"/>
  <c r="D13343" i="1"/>
  <c r="G13343" i="1"/>
  <c r="B17299" i="1"/>
  <c r="D17299" i="1"/>
  <c r="G17299" i="1"/>
  <c r="B1348" i="1"/>
  <c r="D1348" i="1"/>
  <c r="G1348" i="1"/>
  <c r="B20920" i="1"/>
  <c r="D20920" i="1"/>
  <c r="G20920" i="1"/>
  <c r="B14653" i="1"/>
  <c r="D14653" i="1"/>
  <c r="G14653" i="1"/>
  <c r="B12897" i="1"/>
  <c r="D12897" i="1"/>
  <c r="G12897" i="1"/>
  <c r="B12246" i="1"/>
  <c r="D12246" i="1"/>
  <c r="G12246" i="1"/>
  <c r="B19705" i="1"/>
  <c r="D19705" i="1"/>
  <c r="G19705" i="1"/>
  <c r="B19706" i="1"/>
  <c r="D19706" i="1"/>
  <c r="G19706" i="1"/>
  <c r="B6896" i="1"/>
  <c r="D6896" i="1"/>
  <c r="G6896" i="1"/>
  <c r="B14057" i="1"/>
  <c r="D14057" i="1"/>
  <c r="G14057" i="1"/>
  <c r="B12247" i="1"/>
  <c r="D12247" i="1"/>
  <c r="G12247" i="1"/>
  <c r="B4402" i="1"/>
  <c r="D4402" i="1"/>
  <c r="G4402" i="1"/>
  <c r="B19707" i="1"/>
  <c r="D19707" i="1"/>
  <c r="G19707" i="1"/>
  <c r="B19708" i="1"/>
  <c r="D19708" i="1"/>
  <c r="G19708" i="1"/>
  <c r="B9993" i="1"/>
  <c r="D9993" i="1"/>
  <c r="G9993" i="1"/>
  <c r="B19830" i="1"/>
  <c r="D19830" i="1"/>
  <c r="G19830" i="1"/>
  <c r="B4141" i="1"/>
  <c r="D4141" i="1"/>
  <c r="G4141" i="1"/>
  <c r="B4121" i="1"/>
  <c r="D4121" i="1"/>
  <c r="G4121" i="1"/>
  <c r="B2159" i="1"/>
  <c r="D2159" i="1"/>
  <c r="G2159" i="1"/>
  <c r="B7118" i="1"/>
  <c r="D7118" i="1"/>
  <c r="G7118" i="1"/>
  <c r="B11724" i="1"/>
  <c r="D11724" i="1"/>
  <c r="G11724" i="1"/>
  <c r="B13470" i="1"/>
  <c r="D13470" i="1"/>
  <c r="G13470" i="1"/>
  <c r="B22202" i="1"/>
  <c r="D22202" i="1"/>
  <c r="G22202" i="1"/>
  <c r="B4105" i="1"/>
  <c r="D4105" i="1"/>
  <c r="G4105" i="1"/>
  <c r="B4670" i="1"/>
  <c r="D4670" i="1"/>
  <c r="G4670" i="1"/>
  <c r="B13814" i="1"/>
  <c r="D13814" i="1"/>
  <c r="G13814" i="1"/>
  <c r="B5558" i="1"/>
  <c r="D5558" i="1"/>
  <c r="G5558" i="1"/>
  <c r="B16025" i="1"/>
  <c r="D16025" i="1"/>
  <c r="G16025" i="1"/>
  <c r="B11621" i="1"/>
  <c r="D11621" i="1"/>
  <c r="G11621" i="1"/>
  <c r="B11622" i="1"/>
  <c r="D11622" i="1"/>
  <c r="G11622" i="1"/>
  <c r="B11623" i="1"/>
  <c r="D11623" i="1"/>
  <c r="G11623" i="1"/>
  <c r="B11624" i="1"/>
  <c r="D11624" i="1"/>
  <c r="G11624" i="1"/>
  <c r="B6459" i="1"/>
  <c r="D6459" i="1"/>
  <c r="G6459" i="1"/>
  <c r="B6460" i="1"/>
  <c r="D6460" i="1"/>
  <c r="G6460" i="1"/>
  <c r="B14251" i="1"/>
  <c r="D14251" i="1"/>
  <c r="G14251" i="1"/>
  <c r="B2160" i="1"/>
  <c r="D2160" i="1"/>
  <c r="G2160" i="1"/>
  <c r="B22203" i="1"/>
  <c r="D22203" i="1"/>
  <c r="G22203" i="1"/>
  <c r="B21819" i="1"/>
  <c r="D21819" i="1"/>
  <c r="G21819" i="1"/>
  <c r="B21820" i="1"/>
  <c r="D21820" i="1"/>
  <c r="G21820" i="1"/>
  <c r="B7626" i="1"/>
  <c r="D7626" i="1"/>
  <c r="G7626" i="1"/>
  <c r="B1790" i="1"/>
  <c r="D1790" i="1"/>
  <c r="G1790" i="1"/>
  <c r="B1791" i="1"/>
  <c r="D1791" i="1"/>
  <c r="G1791" i="1"/>
  <c r="B17320" i="1"/>
  <c r="D17320" i="1"/>
  <c r="G17320" i="1"/>
  <c r="B1792" i="1"/>
  <c r="D1792" i="1"/>
  <c r="G1792" i="1"/>
  <c r="B1793" i="1"/>
  <c r="D1793" i="1"/>
  <c r="G1793" i="1"/>
  <c r="B4013" i="1"/>
  <c r="D4013" i="1"/>
  <c r="G4013" i="1"/>
  <c r="B16745" i="1"/>
  <c r="D16745" i="1"/>
  <c r="G16745" i="1"/>
  <c r="B9274" i="1"/>
  <c r="D9274" i="1"/>
  <c r="G9274" i="1"/>
  <c r="B656" i="1"/>
  <c r="D656" i="1"/>
  <c r="G656" i="1"/>
  <c r="B17180" i="1"/>
  <c r="D17180" i="1"/>
  <c r="G17180" i="1"/>
  <c r="B9024" i="1"/>
  <c r="D9024" i="1"/>
  <c r="G9024" i="1"/>
  <c r="B12898" i="1"/>
  <c r="D12898" i="1"/>
  <c r="G12898" i="1"/>
  <c r="B2422" i="1"/>
  <c r="D2422" i="1"/>
  <c r="G2422" i="1"/>
  <c r="B9025" i="1"/>
  <c r="D9025" i="1"/>
  <c r="G9025" i="1"/>
  <c r="B17884" i="1"/>
  <c r="D17884" i="1"/>
  <c r="G17884" i="1"/>
  <c r="B7627" i="1"/>
  <c r="D7627" i="1"/>
  <c r="G7627" i="1"/>
  <c r="B15237" i="1"/>
  <c r="D15237" i="1"/>
  <c r="G15237" i="1"/>
  <c r="B20425" i="1"/>
  <c r="D20425" i="1"/>
  <c r="G20425" i="1"/>
  <c r="B15925" i="1"/>
  <c r="D15925" i="1"/>
  <c r="G15925" i="1"/>
  <c r="B16746" i="1"/>
  <c r="D16746" i="1"/>
  <c r="G16746" i="1"/>
  <c r="B17548" i="1"/>
  <c r="D17548" i="1"/>
  <c r="G17548" i="1"/>
  <c r="B19709" i="1"/>
  <c r="D19709" i="1"/>
  <c r="G19709" i="1"/>
  <c r="B15238" i="1"/>
  <c r="D15238" i="1"/>
  <c r="G15238" i="1"/>
  <c r="B16747" i="1"/>
  <c r="D16747" i="1"/>
  <c r="G16747" i="1"/>
  <c r="B13230" i="1"/>
  <c r="D13230" i="1"/>
  <c r="G13230" i="1"/>
  <c r="B8018" i="1"/>
  <c r="D8018" i="1"/>
  <c r="G8018" i="1"/>
  <c r="B8019" i="1"/>
  <c r="D8019" i="1"/>
  <c r="G8019" i="1"/>
  <c r="B13405" i="1"/>
  <c r="D13405" i="1"/>
  <c r="G13405" i="1"/>
  <c r="B12899" i="1"/>
  <c r="D12899" i="1"/>
  <c r="G12899" i="1"/>
  <c r="B6839" i="1"/>
  <c r="D6839" i="1"/>
  <c r="G6839" i="1"/>
  <c r="B22204" i="1"/>
  <c r="D22204" i="1"/>
  <c r="G22204" i="1"/>
  <c r="B12700" i="1"/>
  <c r="D12700" i="1"/>
  <c r="G12700" i="1"/>
  <c r="B12900" i="1"/>
  <c r="D12900" i="1"/>
  <c r="G12900" i="1"/>
  <c r="B10632" i="1"/>
  <c r="D10632" i="1"/>
  <c r="G10632" i="1"/>
  <c r="B10633" i="1"/>
  <c r="D10633" i="1"/>
  <c r="G10633" i="1"/>
  <c r="B10961" i="1"/>
  <c r="D10961" i="1"/>
  <c r="G10961" i="1"/>
  <c r="B10962" i="1"/>
  <c r="D10962" i="1"/>
  <c r="G10962" i="1"/>
  <c r="B6069" i="1"/>
  <c r="D6069" i="1"/>
  <c r="G6069" i="1"/>
  <c r="B17885" i="1"/>
  <c r="D17885" i="1"/>
  <c r="G17885" i="1"/>
  <c r="B1349" i="1"/>
  <c r="D1349" i="1"/>
  <c r="G1349" i="1"/>
  <c r="B1794" i="1"/>
  <c r="D1794" i="1"/>
  <c r="G1794" i="1"/>
  <c r="B12901" i="1"/>
  <c r="D12901" i="1"/>
  <c r="G12901" i="1"/>
  <c r="B6461" i="1"/>
  <c r="D6461" i="1"/>
  <c r="G6461" i="1"/>
  <c r="B6462" i="1"/>
  <c r="D6462" i="1"/>
  <c r="G6462" i="1"/>
  <c r="B19710" i="1"/>
  <c r="D19710" i="1"/>
  <c r="G19710" i="1"/>
  <c r="B11228" i="1"/>
  <c r="D11228" i="1"/>
  <c r="G11228" i="1"/>
  <c r="B6687" i="1"/>
  <c r="D6687" i="1"/>
  <c r="G6687" i="1"/>
  <c r="B19915" i="1"/>
  <c r="D19915" i="1"/>
  <c r="G19915" i="1"/>
  <c r="B14563" i="1"/>
  <c r="D14563" i="1"/>
  <c r="G14563" i="1"/>
  <c r="B12541" i="1"/>
  <c r="D12541" i="1"/>
  <c r="G12541" i="1"/>
  <c r="B21742" i="1"/>
  <c r="D21742" i="1"/>
  <c r="G21742" i="1"/>
  <c r="B13344" i="1"/>
  <c r="D13344" i="1"/>
  <c r="G13344" i="1"/>
  <c r="B13112" i="1"/>
  <c r="D13112" i="1"/>
  <c r="G13112" i="1"/>
  <c r="B9026" i="1"/>
  <c r="D9026" i="1"/>
  <c r="G9026" i="1"/>
  <c r="B15590" i="1"/>
  <c r="D15590" i="1"/>
  <c r="G15590" i="1"/>
  <c r="B15926" i="1"/>
  <c r="D15926" i="1"/>
  <c r="G15926" i="1"/>
  <c r="B4875" i="1"/>
  <c r="D4875" i="1"/>
  <c r="G4875" i="1"/>
  <c r="B15822" i="1"/>
  <c r="D15822" i="1"/>
  <c r="G15822" i="1"/>
  <c r="B13734" i="1"/>
  <c r="D13734" i="1"/>
  <c r="G13734" i="1"/>
  <c r="B18599" i="1"/>
  <c r="D18599" i="1"/>
  <c r="G18599" i="1"/>
  <c r="B5816" i="1"/>
  <c r="D5816" i="1"/>
  <c r="G5816" i="1"/>
  <c r="B19300" i="1"/>
  <c r="D19300" i="1"/>
  <c r="G19300" i="1"/>
  <c r="B18930" i="1"/>
  <c r="D18930" i="1"/>
  <c r="G18930" i="1"/>
  <c r="B19711" i="1"/>
  <c r="D19711" i="1"/>
  <c r="G19711" i="1"/>
  <c r="B21599" i="1"/>
  <c r="D21599" i="1"/>
  <c r="G21599" i="1"/>
  <c r="B21743" i="1"/>
  <c r="D21743" i="1"/>
  <c r="G21743" i="1"/>
  <c r="B18752" i="1"/>
  <c r="D18752" i="1"/>
  <c r="G18752" i="1"/>
  <c r="B10382" i="1"/>
  <c r="D10382" i="1"/>
  <c r="G10382" i="1"/>
  <c r="B11229" i="1"/>
  <c r="D11229" i="1"/>
  <c r="G11229" i="1"/>
  <c r="B18931" i="1"/>
  <c r="D18931" i="1"/>
  <c r="G18931" i="1"/>
  <c r="B10963" i="1"/>
  <c r="D10963" i="1"/>
  <c r="G10963" i="1"/>
  <c r="B6090" i="1"/>
  <c r="D6090" i="1"/>
  <c r="G6090" i="1"/>
  <c r="B7097" i="1"/>
  <c r="D7097" i="1"/>
  <c r="G7097" i="1"/>
  <c r="B15591" i="1"/>
  <c r="D15591" i="1"/>
  <c r="G15591" i="1"/>
  <c r="B15927" i="1"/>
  <c r="D15927" i="1"/>
  <c r="G15927" i="1"/>
  <c r="B15823" i="1"/>
  <c r="D15823" i="1"/>
  <c r="G15823" i="1"/>
  <c r="B19712" i="1"/>
  <c r="D19712" i="1"/>
  <c r="G19712" i="1"/>
  <c r="B17549" i="1"/>
  <c r="D17549" i="1"/>
  <c r="G17549" i="1"/>
  <c r="B768" i="1"/>
  <c r="D768" i="1"/>
  <c r="G768" i="1"/>
  <c r="B16748" i="1"/>
  <c r="D16748" i="1"/>
  <c r="G16748" i="1"/>
  <c r="B14564" i="1"/>
  <c r="D14564" i="1"/>
  <c r="G14564" i="1"/>
  <c r="B12628" i="1"/>
  <c r="D12628" i="1"/>
  <c r="G12628" i="1"/>
  <c r="B5799" i="1"/>
  <c r="D5799" i="1"/>
  <c r="G5799" i="1"/>
  <c r="B5800" i="1"/>
  <c r="D5800" i="1"/>
  <c r="G5800" i="1"/>
  <c r="B16749" i="1"/>
  <c r="D16749" i="1"/>
  <c r="G16749" i="1"/>
  <c r="B17605" i="1"/>
  <c r="D17605" i="1"/>
  <c r="G17605" i="1"/>
  <c r="B21600" i="1"/>
  <c r="D21600" i="1"/>
  <c r="G21600" i="1"/>
  <c r="B19301" i="1"/>
  <c r="D19301" i="1"/>
  <c r="G19301" i="1"/>
  <c r="B15928" i="1"/>
  <c r="D15928" i="1"/>
  <c r="G15928" i="1"/>
  <c r="B1000" i="1"/>
  <c r="D1000" i="1"/>
  <c r="G1000" i="1"/>
  <c r="B1001" i="1"/>
  <c r="D1001" i="1"/>
  <c r="G1001" i="1"/>
  <c r="B11289" i="1"/>
  <c r="D11289" i="1"/>
  <c r="G11289" i="1"/>
  <c r="B12701" i="1"/>
  <c r="D12701" i="1"/>
  <c r="G12701" i="1"/>
  <c r="B12406" i="1"/>
  <c r="D12406" i="1"/>
  <c r="G12406" i="1"/>
  <c r="B9888" i="1"/>
  <c r="D9888" i="1"/>
  <c r="G9888" i="1"/>
  <c r="B5756" i="1"/>
  <c r="D5756" i="1"/>
  <c r="G5756" i="1"/>
  <c r="B297" i="1"/>
  <c r="D297" i="1"/>
  <c r="G297" i="1"/>
  <c r="B11703" i="1"/>
  <c r="D11703" i="1"/>
  <c r="G11703" i="1"/>
  <c r="B11625" i="1"/>
  <c r="D11625" i="1"/>
  <c r="G11625" i="1"/>
  <c r="B21785" i="1"/>
  <c r="D21785" i="1"/>
  <c r="G21785" i="1"/>
  <c r="B12248" i="1"/>
  <c r="D12248" i="1"/>
  <c r="G12248" i="1"/>
  <c r="B3366" i="1"/>
  <c r="D3366" i="1"/>
  <c r="G3366" i="1"/>
  <c r="B3367" i="1"/>
  <c r="D3367" i="1"/>
  <c r="G3367" i="1"/>
  <c r="B9919" i="1"/>
  <c r="D9919" i="1"/>
  <c r="G9919" i="1"/>
  <c r="B1795" i="1"/>
  <c r="D1795" i="1"/>
  <c r="G1795" i="1"/>
  <c r="B20688" i="1"/>
  <c r="D20688" i="1"/>
  <c r="G20688" i="1"/>
  <c r="B7628" i="1"/>
  <c r="D7628" i="1"/>
  <c r="G7628" i="1"/>
  <c r="B842" i="1"/>
  <c r="D842" i="1"/>
  <c r="G842" i="1"/>
  <c r="B14417" i="1"/>
  <c r="D14417" i="1"/>
  <c r="G14417" i="1"/>
  <c r="B11895" i="1"/>
  <c r="D11895" i="1"/>
  <c r="G11895" i="1"/>
  <c r="B10134" i="1"/>
  <c r="D10134" i="1"/>
  <c r="G10134" i="1"/>
  <c r="B8148" i="1"/>
  <c r="D8148" i="1"/>
  <c r="G8148" i="1"/>
  <c r="B17181" i="1"/>
  <c r="D17181" i="1"/>
  <c r="G17181" i="1"/>
  <c r="B14324" i="1"/>
  <c r="D14324" i="1"/>
  <c r="G14324" i="1"/>
  <c r="B17182" i="1"/>
  <c r="D17182" i="1"/>
  <c r="G17182" i="1"/>
  <c r="B19916" i="1"/>
  <c r="D19916" i="1"/>
  <c r="G19916" i="1"/>
  <c r="B11896" i="1"/>
  <c r="D11896" i="1"/>
  <c r="G11896" i="1"/>
  <c r="B5265" i="1"/>
  <c r="D5265" i="1"/>
  <c r="G5265" i="1"/>
  <c r="B15239" i="1"/>
  <c r="D15239" i="1"/>
  <c r="G15239" i="1"/>
  <c r="B21266" i="1"/>
  <c r="D21266" i="1"/>
  <c r="G21266" i="1"/>
  <c r="B21267" i="1"/>
  <c r="D21267" i="1"/>
  <c r="G21267" i="1"/>
  <c r="B11438" i="1"/>
  <c r="D11438" i="1"/>
  <c r="G11438" i="1"/>
  <c r="B15240" i="1"/>
  <c r="D15240" i="1"/>
  <c r="G15240" i="1"/>
  <c r="B6463" i="1"/>
  <c r="D6463" i="1"/>
  <c r="G6463" i="1"/>
  <c r="B6464" i="1"/>
  <c r="D6464" i="1"/>
  <c r="G6464" i="1"/>
  <c r="B15592" i="1"/>
  <c r="D15592" i="1"/>
  <c r="G15592" i="1"/>
  <c r="B15708" i="1"/>
  <c r="D15708" i="1"/>
  <c r="G15708" i="1"/>
  <c r="B8020" i="1"/>
  <c r="D8020" i="1"/>
  <c r="G8020" i="1"/>
  <c r="B15593" i="1"/>
  <c r="D15593" i="1"/>
  <c r="G15593" i="1"/>
  <c r="B15709" i="1"/>
  <c r="D15709" i="1"/>
  <c r="G15709" i="1"/>
  <c r="B19713" i="1"/>
  <c r="D19713" i="1"/>
  <c r="G19713" i="1"/>
  <c r="B19714" i="1"/>
  <c r="D19714" i="1"/>
  <c r="G19714" i="1"/>
  <c r="B161" i="1"/>
  <c r="D161" i="1"/>
  <c r="G161" i="1"/>
  <c r="B19715" i="1"/>
  <c r="D19715" i="1"/>
  <c r="G19715" i="1"/>
  <c r="B10964" i="1"/>
  <c r="D10964" i="1"/>
  <c r="G10964" i="1"/>
  <c r="B11824" i="1"/>
  <c r="D11824" i="1"/>
  <c r="G11824" i="1"/>
  <c r="B11825" i="1"/>
  <c r="D11825" i="1"/>
  <c r="G11825" i="1"/>
  <c r="B20063" i="1"/>
  <c r="D20063" i="1"/>
  <c r="G20063" i="1"/>
  <c r="B2969" i="1"/>
  <c r="D2969" i="1"/>
  <c r="G2969" i="1"/>
  <c r="B21744" i="1"/>
  <c r="D21744" i="1"/>
  <c r="G21744" i="1"/>
  <c r="B9027" i="1"/>
  <c r="D9027" i="1"/>
  <c r="G9027" i="1"/>
  <c r="B10240" i="1"/>
  <c r="D10240" i="1"/>
  <c r="G10240" i="1"/>
  <c r="B14252" i="1"/>
  <c r="D14252" i="1"/>
  <c r="G14252" i="1"/>
  <c r="B6840" i="1"/>
  <c r="D6840" i="1"/>
  <c r="G6840" i="1"/>
  <c r="B10055" i="1"/>
  <c r="D10055" i="1"/>
  <c r="G10055" i="1"/>
  <c r="B10064" i="1"/>
  <c r="D10064" i="1"/>
  <c r="G10064" i="1"/>
  <c r="B10634" i="1"/>
  <c r="D10634" i="1"/>
  <c r="G10634" i="1"/>
  <c r="B9139" i="1"/>
  <c r="D9139" i="1"/>
  <c r="G9139" i="1"/>
  <c r="B17183" i="1"/>
  <c r="D17183" i="1"/>
  <c r="G17183" i="1"/>
  <c r="B20689" i="1"/>
  <c r="D20689" i="1"/>
  <c r="G20689" i="1"/>
  <c r="B20921" i="1"/>
  <c r="D20921" i="1"/>
  <c r="G20921" i="1"/>
  <c r="B20922" i="1"/>
  <c r="D20922" i="1"/>
  <c r="G20922" i="1"/>
  <c r="B2161" i="1"/>
  <c r="D2161" i="1"/>
  <c r="G2161" i="1"/>
  <c r="B20426" i="1"/>
  <c r="D20426" i="1"/>
  <c r="G20426" i="1"/>
  <c r="B19078" i="1"/>
  <c r="D19078" i="1"/>
  <c r="G19078" i="1"/>
  <c r="B19302" i="1"/>
  <c r="D19302" i="1"/>
  <c r="G19302" i="1"/>
  <c r="B16750" i="1"/>
  <c r="D16750" i="1"/>
  <c r="G16750" i="1"/>
  <c r="B15241" i="1"/>
  <c r="D15241" i="1"/>
  <c r="G15241" i="1"/>
  <c r="B2970" i="1"/>
  <c r="D2970" i="1"/>
  <c r="G2970" i="1"/>
  <c r="B19303" i="1"/>
  <c r="D19303" i="1"/>
  <c r="G19303" i="1"/>
  <c r="B9028" i="1"/>
  <c r="D9028" i="1"/>
  <c r="G9028" i="1"/>
  <c r="B8371" i="1"/>
  <c r="D8371" i="1"/>
  <c r="G8371" i="1"/>
  <c r="B11230" i="1"/>
  <c r="D11230" i="1"/>
  <c r="G11230" i="1"/>
  <c r="B162" i="1"/>
  <c r="D162" i="1"/>
  <c r="G162" i="1"/>
  <c r="B16010" i="1"/>
  <c r="D16010" i="1"/>
  <c r="G16010" i="1"/>
  <c r="B2101" i="1"/>
  <c r="D2101" i="1"/>
  <c r="G2101" i="1"/>
  <c r="B15242" i="1"/>
  <c r="D15242" i="1"/>
  <c r="G15242" i="1"/>
  <c r="B1002" i="1"/>
  <c r="D1002" i="1"/>
  <c r="G1002" i="1"/>
  <c r="B9203" i="1"/>
  <c r="D9203" i="1"/>
  <c r="G9203" i="1"/>
  <c r="B740" i="1"/>
  <c r="D740" i="1"/>
  <c r="G740" i="1"/>
  <c r="B906" i="1"/>
  <c r="D906" i="1"/>
  <c r="G906" i="1"/>
  <c r="B1895" i="1"/>
  <c r="D1895" i="1"/>
  <c r="G1895" i="1"/>
  <c r="B9029" i="1"/>
  <c r="D9029" i="1"/>
  <c r="G9029" i="1"/>
  <c r="B9419" i="1"/>
  <c r="D9419" i="1"/>
  <c r="G9419" i="1"/>
  <c r="B4562" i="1"/>
  <c r="D4562" i="1"/>
  <c r="G4562" i="1"/>
  <c r="B11046" i="1"/>
  <c r="D11046" i="1"/>
  <c r="G11046" i="1"/>
  <c r="B20225" i="1"/>
  <c r="D20225" i="1"/>
  <c r="G20225" i="1"/>
  <c r="B20058" i="1"/>
  <c r="D20058" i="1"/>
  <c r="G20058" i="1"/>
  <c r="B15594" i="1"/>
  <c r="D15594" i="1"/>
  <c r="G15594" i="1"/>
  <c r="B15710" i="1"/>
  <c r="D15710" i="1"/>
  <c r="G15710" i="1"/>
  <c r="B12950" i="1"/>
  <c r="D12950" i="1"/>
  <c r="G12950" i="1"/>
  <c r="B19079" i="1"/>
  <c r="D19079" i="1"/>
  <c r="G19079" i="1"/>
  <c r="B10965" i="1"/>
  <c r="D10965" i="1"/>
  <c r="G10965" i="1"/>
  <c r="B16751" i="1"/>
  <c r="D16751" i="1"/>
  <c r="G16751" i="1"/>
  <c r="B16752" i="1"/>
  <c r="D16752" i="1"/>
  <c r="G16752" i="1"/>
  <c r="B19304" i="1"/>
  <c r="D19304" i="1"/>
  <c r="G19304" i="1"/>
  <c r="B15243" i="1"/>
  <c r="D15243" i="1"/>
  <c r="G15243" i="1"/>
  <c r="B14056" i="1"/>
  <c r="D14056" i="1"/>
  <c r="G14056" i="1"/>
  <c r="B1796" i="1"/>
  <c r="D1796" i="1"/>
  <c r="G1796" i="1"/>
  <c r="B657" i="1"/>
  <c r="D657" i="1"/>
  <c r="G657" i="1"/>
  <c r="B16998" i="1"/>
  <c r="D16998" i="1"/>
  <c r="G16998" i="1"/>
  <c r="B9206" i="1"/>
  <c r="D9206" i="1"/>
  <c r="G9206" i="1"/>
  <c r="B17184" i="1"/>
  <c r="D17184" i="1"/>
  <c r="G17184" i="1"/>
  <c r="B16153" i="1"/>
  <c r="D16153" i="1"/>
  <c r="G16153" i="1"/>
  <c r="B19716" i="1"/>
  <c r="D19716" i="1"/>
  <c r="G19716" i="1"/>
  <c r="B5266" i="1"/>
  <c r="D5266" i="1"/>
  <c r="G5266" i="1"/>
  <c r="B15741" i="1"/>
  <c r="D15741" i="1"/>
  <c r="G15741" i="1"/>
  <c r="B15742" i="1"/>
  <c r="D15742" i="1"/>
  <c r="G15742" i="1"/>
  <c r="B16753" i="1"/>
  <c r="D16753" i="1"/>
  <c r="G16753" i="1"/>
  <c r="B9791" i="1"/>
  <c r="D9791" i="1"/>
  <c r="G9791" i="1"/>
  <c r="B8601" i="1"/>
  <c r="D8601" i="1"/>
  <c r="G8601" i="1"/>
  <c r="B21324" i="1"/>
  <c r="D21324" i="1"/>
  <c r="G21324" i="1"/>
  <c r="B12249" i="1"/>
  <c r="D12249" i="1"/>
  <c r="G12249" i="1"/>
  <c r="B658" i="1"/>
  <c r="D658" i="1"/>
  <c r="G658" i="1"/>
  <c r="B15244" i="1"/>
  <c r="D15244" i="1"/>
  <c r="G15244" i="1"/>
  <c r="B10320" i="1"/>
  <c r="D10320" i="1"/>
  <c r="G10320" i="1"/>
  <c r="B18704" i="1"/>
  <c r="D18704" i="1"/>
  <c r="G18704" i="1"/>
  <c r="B12250" i="1"/>
  <c r="D12250" i="1"/>
  <c r="G12250" i="1"/>
  <c r="B18143" i="1"/>
  <c r="D18143" i="1"/>
  <c r="G18143" i="1"/>
  <c r="B15245" i="1"/>
  <c r="D15245" i="1"/>
  <c r="G15245" i="1"/>
  <c r="B2162" i="1"/>
  <c r="D2162" i="1"/>
  <c r="G2162" i="1"/>
  <c r="B6841" i="1"/>
  <c r="D6841" i="1"/>
  <c r="G6841" i="1"/>
  <c r="B6916" i="1"/>
  <c r="D6916" i="1"/>
  <c r="G6916" i="1"/>
  <c r="B15743" i="1"/>
  <c r="D15743" i="1"/>
  <c r="G15743" i="1"/>
  <c r="B17349" i="1"/>
  <c r="D17349" i="1"/>
  <c r="G17349" i="1"/>
  <c r="B11439" i="1"/>
  <c r="D11439" i="1"/>
  <c r="G11439" i="1"/>
  <c r="B11350" i="1"/>
  <c r="D11350" i="1"/>
  <c r="G11350" i="1"/>
  <c r="B9275" i="1"/>
  <c r="D9275" i="1"/>
  <c r="G9275" i="1"/>
  <c r="B4766" i="1"/>
  <c r="D4766" i="1"/>
  <c r="G4766" i="1"/>
  <c r="B2163" i="1"/>
  <c r="D2163" i="1"/>
  <c r="G2163" i="1"/>
  <c r="B20427" i="1"/>
  <c r="D20427" i="1"/>
  <c r="G20427" i="1"/>
  <c r="B9962" i="1"/>
  <c r="D9962" i="1"/>
  <c r="G9962" i="1"/>
  <c r="B5635" i="1"/>
  <c r="D5635" i="1"/>
  <c r="G5635" i="1"/>
  <c r="B17422" i="1"/>
  <c r="D17422" i="1"/>
  <c r="G17422" i="1"/>
  <c r="B6968" i="1"/>
  <c r="D6968" i="1"/>
  <c r="G6968" i="1"/>
  <c r="B10160" i="1"/>
  <c r="D10160" i="1"/>
  <c r="G10160" i="1"/>
  <c r="B17321" i="1"/>
  <c r="D17321" i="1"/>
  <c r="G17321" i="1"/>
  <c r="B14100" i="1"/>
  <c r="D14100" i="1"/>
  <c r="G14100" i="1"/>
  <c r="B2971" i="1"/>
  <c r="D2971" i="1"/>
  <c r="G2971" i="1"/>
  <c r="B13860" i="1"/>
  <c r="D13860" i="1"/>
  <c r="G13860" i="1"/>
  <c r="B9932" i="1"/>
  <c r="D9932" i="1"/>
  <c r="G9932" i="1"/>
  <c r="B13861" i="1"/>
  <c r="D13861" i="1"/>
  <c r="G13861" i="1"/>
  <c r="B1350" i="1"/>
  <c r="D1350" i="1"/>
  <c r="G1350" i="1"/>
  <c r="B16754" i="1"/>
  <c r="D16754" i="1"/>
  <c r="G16754" i="1"/>
  <c r="B4967" i="1"/>
  <c r="D4967" i="1"/>
  <c r="G4967" i="1"/>
  <c r="B10635" i="1"/>
  <c r="D10635" i="1"/>
  <c r="G10635" i="1"/>
  <c r="B19717" i="1"/>
  <c r="D19717" i="1"/>
  <c r="G19717" i="1"/>
  <c r="B1029" i="1"/>
  <c r="D1029" i="1"/>
  <c r="G1029" i="1"/>
  <c r="B9276" i="1"/>
  <c r="D9276" i="1"/>
  <c r="G9276" i="1"/>
  <c r="B19080" i="1"/>
  <c r="D19080" i="1"/>
  <c r="G19080" i="1"/>
  <c r="B18932" i="1"/>
  <c r="D18932" i="1"/>
  <c r="G18932" i="1"/>
  <c r="B19718" i="1"/>
  <c r="D19718" i="1"/>
  <c r="G19718" i="1"/>
  <c r="B9792" i="1"/>
  <c r="D9792" i="1"/>
  <c r="G9792" i="1"/>
  <c r="B3795" i="1"/>
  <c r="D3795" i="1"/>
  <c r="G3795" i="1"/>
  <c r="B20690" i="1"/>
  <c r="D20690" i="1"/>
  <c r="G20690" i="1"/>
  <c r="B9030" i="1"/>
  <c r="D9030" i="1"/>
  <c r="G9030" i="1"/>
  <c r="B20012" i="1"/>
  <c r="D20012" i="1"/>
  <c r="G20012" i="1"/>
  <c r="B2972" i="1"/>
  <c r="D2972" i="1"/>
  <c r="G2972" i="1"/>
  <c r="B16755" i="1"/>
  <c r="D16755" i="1"/>
  <c r="G16755" i="1"/>
  <c r="B4671" i="1"/>
  <c r="D4671" i="1"/>
  <c r="G4671" i="1"/>
  <c r="B11231" i="1"/>
  <c r="D11231" i="1"/>
  <c r="G11231" i="1"/>
  <c r="B4481" i="1"/>
  <c r="D4481" i="1"/>
  <c r="G4481" i="1"/>
  <c r="B16756" i="1"/>
  <c r="D16756" i="1"/>
  <c r="G16756" i="1"/>
  <c r="B2973" i="1"/>
  <c r="D2973" i="1"/>
  <c r="G2973" i="1"/>
  <c r="B21745" i="1"/>
  <c r="D21745" i="1"/>
  <c r="G21745" i="1"/>
  <c r="B6842" i="1"/>
  <c r="D6842" i="1"/>
  <c r="G6842" i="1"/>
  <c r="B19917" i="1"/>
  <c r="D19917" i="1"/>
  <c r="G19917" i="1"/>
  <c r="B16154" i="1"/>
  <c r="D16154" i="1"/>
  <c r="G16154" i="1"/>
  <c r="B16757" i="1"/>
  <c r="D16757" i="1"/>
  <c r="G16757" i="1"/>
  <c r="B6969" i="1"/>
  <c r="D6969" i="1"/>
  <c r="G6969" i="1"/>
  <c r="B10966" i="1"/>
  <c r="D10966" i="1"/>
  <c r="G10966" i="1"/>
  <c r="B11752" i="1"/>
  <c r="D11752" i="1"/>
  <c r="G11752" i="1"/>
  <c r="B6970" i="1"/>
  <c r="D6970" i="1"/>
  <c r="G6970" i="1"/>
  <c r="B7028" i="1"/>
  <c r="D7028" i="1"/>
  <c r="G7028" i="1"/>
  <c r="B21601" i="1"/>
  <c r="D21601" i="1"/>
  <c r="G21601" i="1"/>
  <c r="B21746" i="1"/>
  <c r="D21746" i="1"/>
  <c r="G21746" i="1"/>
  <c r="B18753" i="1"/>
  <c r="D18753" i="1"/>
  <c r="G18753" i="1"/>
  <c r="B10241" i="1"/>
  <c r="D10241" i="1"/>
  <c r="G10241" i="1"/>
  <c r="B17886" i="1"/>
  <c r="D17886" i="1"/>
  <c r="G17886" i="1"/>
  <c r="B21170" i="1"/>
  <c r="D21170" i="1"/>
  <c r="G21170" i="1"/>
  <c r="B19081" i="1"/>
  <c r="D19081" i="1"/>
  <c r="G19081" i="1"/>
  <c r="B18933" i="1"/>
  <c r="D18933" i="1"/>
  <c r="G18933" i="1"/>
  <c r="B12251" i="1"/>
  <c r="D12251" i="1"/>
  <c r="G12251" i="1"/>
  <c r="B11270" i="1"/>
  <c r="D11270" i="1"/>
  <c r="G11270" i="1"/>
  <c r="B22205" i="1"/>
  <c r="D22205" i="1"/>
  <c r="G22205" i="1"/>
  <c r="B15246" i="1"/>
  <c r="D15246" i="1"/>
  <c r="G15246" i="1"/>
  <c r="B13164" i="1"/>
  <c r="D13164" i="1"/>
  <c r="G13164" i="1"/>
  <c r="B12902" i="1"/>
  <c r="D12902" i="1"/>
  <c r="G12902" i="1"/>
  <c r="B2974" i="1"/>
  <c r="D2974" i="1"/>
  <c r="G2974" i="1"/>
  <c r="B17185" i="1"/>
  <c r="D17185" i="1"/>
  <c r="G17185" i="1"/>
  <c r="B20923" i="1"/>
  <c r="D20923" i="1"/>
  <c r="G20923" i="1"/>
  <c r="B843" i="1"/>
  <c r="D843" i="1"/>
  <c r="G843" i="1"/>
  <c r="B4563" i="1"/>
  <c r="D4563" i="1"/>
  <c r="G4563" i="1"/>
  <c r="B4834" i="1"/>
  <c r="D4834" i="1"/>
  <c r="G4834" i="1"/>
  <c r="B21747" i="1"/>
  <c r="D21747" i="1"/>
  <c r="G21747" i="1"/>
  <c r="B9838" i="1"/>
  <c r="D9838" i="1"/>
  <c r="G9838" i="1"/>
  <c r="B1351" i="1"/>
  <c r="D1351" i="1"/>
  <c r="G1351" i="1"/>
  <c r="B5118" i="1"/>
  <c r="D5118" i="1"/>
  <c r="G5118" i="1"/>
  <c r="B11440" i="1"/>
  <c r="D11440" i="1"/>
  <c r="G11440" i="1"/>
  <c r="B2975" i="1"/>
  <c r="D2975" i="1"/>
  <c r="G2975" i="1"/>
  <c r="B2976" i="1"/>
  <c r="D2976" i="1"/>
  <c r="G2976" i="1"/>
  <c r="B16758" i="1"/>
  <c r="D16758" i="1"/>
  <c r="G16758" i="1"/>
  <c r="B11725" i="1"/>
  <c r="D11725" i="1"/>
  <c r="G11725" i="1"/>
  <c r="B2545" i="1"/>
  <c r="D2545" i="1"/>
  <c r="G2545" i="1"/>
  <c r="B18600" i="1"/>
  <c r="D18600" i="1"/>
  <c r="G18600" i="1"/>
  <c r="B13907" i="1"/>
  <c r="D13907" i="1"/>
  <c r="G13907" i="1"/>
  <c r="B12446" i="1"/>
  <c r="D12446" i="1"/>
  <c r="G12446" i="1"/>
  <c r="B14173" i="1"/>
  <c r="D14173" i="1"/>
  <c r="G14173" i="1"/>
  <c r="B659" i="1"/>
  <c r="D659" i="1"/>
  <c r="G659" i="1"/>
  <c r="B660" i="1"/>
  <c r="D660" i="1"/>
  <c r="G660" i="1"/>
  <c r="B14860" i="1"/>
  <c r="D14860" i="1"/>
  <c r="G14860" i="1"/>
  <c r="B21969" i="1"/>
  <c r="D21969" i="1"/>
  <c r="G21969" i="1"/>
  <c r="B16759" i="1"/>
  <c r="D16759" i="1"/>
  <c r="G16759" i="1"/>
  <c r="B11626" i="1"/>
  <c r="D11626" i="1"/>
  <c r="G11626" i="1"/>
  <c r="B11627" i="1"/>
  <c r="D11627" i="1"/>
  <c r="G11627" i="1"/>
  <c r="B11704" i="1"/>
  <c r="D11704" i="1"/>
  <c r="G11704" i="1"/>
  <c r="B11705" i="1"/>
  <c r="D11705" i="1"/>
  <c r="G11705" i="1"/>
  <c r="B4014" i="1"/>
  <c r="D4014" i="1"/>
  <c r="G4014" i="1"/>
  <c r="B4015" i="1"/>
  <c r="D4015" i="1"/>
  <c r="G4015" i="1"/>
  <c r="B8399" i="1"/>
  <c r="D8399" i="1"/>
  <c r="G8399" i="1"/>
  <c r="B9210" i="1"/>
  <c r="D9210" i="1"/>
  <c r="G9210" i="1"/>
  <c r="B9153" i="1"/>
  <c r="D9153" i="1"/>
  <c r="G9153" i="1"/>
  <c r="B5168" i="1"/>
  <c r="D5168" i="1"/>
  <c r="G5168" i="1"/>
  <c r="B10135" i="1"/>
  <c r="D10135" i="1"/>
  <c r="G10135" i="1"/>
  <c r="B21325" i="1"/>
  <c r="D21325" i="1"/>
  <c r="G21325" i="1"/>
  <c r="B17337" i="1"/>
  <c r="D17337" i="1"/>
  <c r="G17337" i="1"/>
  <c r="B10136" i="1"/>
  <c r="D10136" i="1"/>
  <c r="G10136" i="1"/>
  <c r="B10383" i="1"/>
  <c r="D10383" i="1"/>
  <c r="G10383" i="1"/>
  <c r="B10967" i="1"/>
  <c r="D10967" i="1"/>
  <c r="G10967" i="1"/>
  <c r="B4672" i="1"/>
  <c r="D4672" i="1"/>
  <c r="G4672" i="1"/>
  <c r="B12993" i="1"/>
  <c r="D12993" i="1"/>
  <c r="G12993" i="1"/>
  <c r="B15247" i="1"/>
  <c r="D15247" i="1"/>
  <c r="G15247" i="1"/>
  <c r="B20924" i="1"/>
  <c r="D20924" i="1"/>
  <c r="G20924" i="1"/>
  <c r="B15595" i="1"/>
  <c r="D15595" i="1"/>
  <c r="G15595" i="1"/>
  <c r="B5267" i="1"/>
  <c r="D5267" i="1"/>
  <c r="G5267" i="1"/>
  <c r="B18934" i="1"/>
  <c r="D18934" i="1"/>
  <c r="G18934" i="1"/>
  <c r="B17423" i="1"/>
  <c r="D17423" i="1"/>
  <c r="G17423" i="1"/>
  <c r="B13345" i="1"/>
  <c r="D13345" i="1"/>
  <c r="G13345" i="1"/>
  <c r="B13471" i="1"/>
  <c r="D13471" i="1"/>
  <c r="G13471" i="1"/>
  <c r="B8224" i="1"/>
  <c r="D8224" i="1"/>
  <c r="G8224" i="1"/>
  <c r="B20013" i="1"/>
  <c r="D20013" i="1"/>
  <c r="G20013" i="1"/>
  <c r="B1549" i="1"/>
  <c r="D1549" i="1"/>
  <c r="G1549" i="1"/>
  <c r="B2977" i="1"/>
  <c r="D2977" i="1"/>
  <c r="G2977" i="1"/>
  <c r="B17887" i="1"/>
  <c r="D17887" i="1"/>
  <c r="G17887" i="1"/>
  <c r="B10636" i="1"/>
  <c r="D10636" i="1"/>
  <c r="G10636" i="1"/>
  <c r="B3796" i="1"/>
  <c r="D3796" i="1"/>
  <c r="G3796" i="1"/>
  <c r="B11826" i="1"/>
  <c r="D11826" i="1"/>
  <c r="G11826" i="1"/>
  <c r="B13506" i="1"/>
  <c r="D13506" i="1"/>
  <c r="G13506" i="1"/>
  <c r="B11827" i="1"/>
  <c r="D11827" i="1"/>
  <c r="G11827" i="1"/>
  <c r="B3797" i="1"/>
  <c r="D3797" i="1"/>
  <c r="G3797" i="1"/>
  <c r="B11828" i="1"/>
  <c r="D11828" i="1"/>
  <c r="G11828" i="1"/>
  <c r="B21748" i="1"/>
  <c r="D21748" i="1"/>
  <c r="G21748" i="1"/>
  <c r="B21326" i="1"/>
  <c r="D21326" i="1"/>
  <c r="G21326" i="1"/>
  <c r="B21327" i="1"/>
  <c r="D21327" i="1"/>
  <c r="G21327" i="1"/>
  <c r="B9963" i="1"/>
  <c r="D9963" i="1"/>
  <c r="G9963" i="1"/>
  <c r="B7629" i="1"/>
  <c r="D7629" i="1"/>
  <c r="G7629" i="1"/>
  <c r="B1797" i="1"/>
  <c r="D1797" i="1"/>
  <c r="G1797" i="1"/>
  <c r="B9031" i="1"/>
  <c r="D9031" i="1"/>
  <c r="G9031" i="1"/>
  <c r="B4016" i="1"/>
  <c r="D4016" i="1"/>
  <c r="G4016" i="1"/>
  <c r="B2978" i="1"/>
  <c r="D2978" i="1"/>
  <c r="G2978" i="1"/>
  <c r="B2979" i="1"/>
  <c r="D2979" i="1"/>
  <c r="G2979" i="1"/>
  <c r="B16760" i="1"/>
  <c r="D16760" i="1"/>
  <c r="G16760" i="1"/>
  <c r="B1352" i="1"/>
  <c r="D1352" i="1"/>
  <c r="G1352" i="1"/>
  <c r="B13589" i="1"/>
  <c r="D13589" i="1"/>
  <c r="G13589" i="1"/>
  <c r="B15248" i="1"/>
  <c r="D15248" i="1"/>
  <c r="G15248" i="1"/>
  <c r="B10637" i="1"/>
  <c r="D10637" i="1"/>
  <c r="G10637" i="1"/>
  <c r="B16761" i="1"/>
  <c r="D16761" i="1"/>
  <c r="G16761" i="1"/>
  <c r="B7098" i="1"/>
  <c r="D7098" i="1"/>
  <c r="G7098" i="1"/>
  <c r="B5559" i="1"/>
  <c r="D5559" i="1"/>
  <c r="G5559" i="1"/>
  <c r="B1798" i="1"/>
  <c r="D1798" i="1"/>
  <c r="G1798" i="1"/>
  <c r="B16762" i="1"/>
  <c r="D16762" i="1"/>
  <c r="G16762" i="1"/>
  <c r="B4876" i="1"/>
  <c r="D4876" i="1"/>
  <c r="G4876" i="1"/>
  <c r="B20691" i="1"/>
  <c r="D20691" i="1"/>
  <c r="G20691" i="1"/>
  <c r="B10968" i="1"/>
  <c r="D10968" i="1"/>
  <c r="G10968" i="1"/>
  <c r="B10969" i="1"/>
  <c r="D10969" i="1"/>
  <c r="G10969" i="1"/>
  <c r="B14325" i="1"/>
  <c r="D14325" i="1"/>
  <c r="G14325" i="1"/>
  <c r="B21171" i="1"/>
  <c r="D21171" i="1"/>
  <c r="G21171" i="1"/>
  <c r="B14861" i="1"/>
  <c r="D14861" i="1"/>
  <c r="G14861" i="1"/>
  <c r="B18601" i="1"/>
  <c r="D18601" i="1"/>
  <c r="G18601" i="1"/>
  <c r="B2980" i="1"/>
  <c r="D2980" i="1"/>
  <c r="G2980" i="1"/>
  <c r="B11232" i="1"/>
  <c r="D11232" i="1"/>
  <c r="G11232" i="1"/>
  <c r="B18602" i="1"/>
  <c r="D18602" i="1"/>
  <c r="G18602" i="1"/>
  <c r="B18773" i="1"/>
  <c r="D18773" i="1"/>
  <c r="G18773" i="1"/>
  <c r="B1353" i="1"/>
  <c r="D1353" i="1"/>
  <c r="G1353" i="1"/>
  <c r="B2981" i="1"/>
  <c r="D2981" i="1"/>
  <c r="G2981" i="1"/>
  <c r="B7119" i="1"/>
  <c r="D7119" i="1"/>
  <c r="G7119" i="1"/>
  <c r="B9032" i="1"/>
  <c r="D9032" i="1"/>
  <c r="G9032" i="1"/>
  <c r="B21749" i="1"/>
  <c r="D21749" i="1"/>
  <c r="G21749" i="1"/>
  <c r="B75" i="1"/>
  <c r="D75" i="1"/>
  <c r="G75" i="1"/>
  <c r="B18663" i="1"/>
  <c r="D18663" i="1"/>
  <c r="G18663" i="1"/>
  <c r="B8021" i="1"/>
  <c r="D8021" i="1"/>
  <c r="G8021" i="1"/>
  <c r="B7630" i="1"/>
  <c r="D7630" i="1"/>
  <c r="G7630" i="1"/>
  <c r="B4017" i="1"/>
  <c r="D4017" i="1"/>
  <c r="G4017" i="1"/>
  <c r="B1799" i="1"/>
  <c r="D1799" i="1"/>
  <c r="G1799" i="1"/>
  <c r="B1800" i="1"/>
  <c r="D1800" i="1"/>
  <c r="G1800" i="1"/>
  <c r="B1801" i="1"/>
  <c r="D1801" i="1"/>
  <c r="G1801" i="1"/>
  <c r="B1003" i="1"/>
  <c r="D1003" i="1"/>
  <c r="G1003" i="1"/>
  <c r="B1004" i="1"/>
  <c r="D1004" i="1"/>
  <c r="G1004" i="1"/>
  <c r="B21750" i="1"/>
  <c r="D21750" i="1"/>
  <c r="G21750" i="1"/>
  <c r="B11460" i="1"/>
  <c r="D11460" i="1"/>
  <c r="G11460" i="1"/>
  <c r="B467" i="1"/>
  <c r="D467" i="1"/>
  <c r="G467" i="1"/>
  <c r="B13498" i="1"/>
  <c r="D13498" i="1"/>
  <c r="G13498" i="1"/>
  <c r="B419" i="1"/>
  <c r="D419" i="1"/>
  <c r="G419" i="1"/>
  <c r="B19719" i="1"/>
  <c r="D19719" i="1"/>
  <c r="G19719" i="1"/>
  <c r="B19720" i="1"/>
  <c r="D19720" i="1"/>
  <c r="G19720" i="1"/>
  <c r="B15249" i="1"/>
  <c r="D15249" i="1"/>
  <c r="G15249" i="1"/>
  <c r="B10970" i="1"/>
  <c r="D10970" i="1"/>
  <c r="G10970" i="1"/>
  <c r="B9277" i="1"/>
  <c r="D9277" i="1"/>
  <c r="G9277" i="1"/>
  <c r="B368" i="1"/>
  <c r="D368" i="1"/>
  <c r="G368" i="1"/>
  <c r="B19721" i="1"/>
  <c r="D19721" i="1"/>
  <c r="G19721" i="1"/>
  <c r="B10971" i="1"/>
  <c r="D10971" i="1"/>
  <c r="G10971" i="1"/>
  <c r="B9033" i="1"/>
  <c r="D9033" i="1"/>
  <c r="G9033" i="1"/>
  <c r="B12401" i="1"/>
  <c r="D12401" i="1"/>
  <c r="G12401" i="1"/>
  <c r="B4281" i="1"/>
  <c r="D4281" i="1"/>
  <c r="G4281" i="1"/>
  <c r="B11233" i="1"/>
  <c r="D11233" i="1"/>
  <c r="G11233" i="1"/>
  <c r="B14114" i="1"/>
  <c r="D14114" i="1"/>
  <c r="G14114" i="1"/>
  <c r="B13922" i="1"/>
  <c r="D13922" i="1"/>
  <c r="G13922" i="1"/>
  <c r="B12385" i="1"/>
  <c r="D12385" i="1"/>
  <c r="G12385" i="1"/>
  <c r="B16763" i="1"/>
  <c r="D16763" i="1"/>
  <c r="G16763" i="1"/>
  <c r="B4900" i="1"/>
  <c r="D4900" i="1"/>
  <c r="G4900" i="1"/>
  <c r="B18603" i="1"/>
  <c r="D18603" i="1"/>
  <c r="G18603" i="1"/>
  <c r="B12386" i="1"/>
  <c r="D12386" i="1"/>
  <c r="G12386" i="1"/>
  <c r="B16764" i="1"/>
  <c r="D16764" i="1"/>
  <c r="G16764" i="1"/>
  <c r="B16765" i="1"/>
  <c r="D16765" i="1"/>
  <c r="G16765" i="1"/>
  <c r="B16766" i="1"/>
  <c r="D16766" i="1"/>
  <c r="G16766" i="1"/>
  <c r="B9420" i="1"/>
  <c r="D9420" i="1"/>
  <c r="G9420" i="1"/>
  <c r="B7029" i="1"/>
  <c r="D7029" i="1"/>
  <c r="G7029" i="1"/>
  <c r="B17186" i="1"/>
  <c r="D17186" i="1"/>
  <c r="G17186" i="1"/>
  <c r="B5636" i="1"/>
  <c r="D5636" i="1"/>
  <c r="G5636" i="1"/>
  <c r="B10321" i="1"/>
  <c r="D10321" i="1"/>
  <c r="G10321" i="1"/>
  <c r="B360" i="1"/>
  <c r="D360" i="1"/>
  <c r="G360" i="1"/>
  <c r="B17187" i="1"/>
  <c r="D17187" i="1"/>
  <c r="G17187" i="1"/>
  <c r="B3811" i="1"/>
  <c r="D3811" i="1"/>
  <c r="G3811" i="1"/>
  <c r="B11706" i="1"/>
  <c r="D11706" i="1"/>
  <c r="G11706" i="1"/>
  <c r="B11628" i="1"/>
  <c r="D11628" i="1"/>
  <c r="G11628" i="1"/>
  <c r="B10006" i="1"/>
  <c r="D10006" i="1"/>
  <c r="G10006" i="1"/>
  <c r="B19082" i="1"/>
  <c r="D19082" i="1"/>
  <c r="G19082" i="1"/>
  <c r="B19083" i="1"/>
  <c r="D19083" i="1"/>
  <c r="G19083" i="1"/>
  <c r="B12252" i="1"/>
  <c r="D12252" i="1"/>
  <c r="G12252" i="1"/>
  <c r="B15596" i="1"/>
  <c r="D15596" i="1"/>
  <c r="G15596" i="1"/>
  <c r="B15250" i="1"/>
  <c r="D15250" i="1"/>
  <c r="G15250" i="1"/>
  <c r="B15597" i="1"/>
  <c r="D15597" i="1"/>
  <c r="G15597" i="1"/>
  <c r="B15251" i="1"/>
  <c r="D15251" i="1"/>
  <c r="G15251" i="1"/>
  <c r="B13494" i="1"/>
  <c r="D13494" i="1"/>
  <c r="G13494" i="1"/>
  <c r="B17264" i="1"/>
  <c r="D17264" i="1"/>
  <c r="G17264" i="1"/>
  <c r="B13165" i="1"/>
  <c r="D13165" i="1"/>
  <c r="G13165" i="1"/>
  <c r="B2982" i="1"/>
  <c r="D2982" i="1"/>
  <c r="G2982" i="1"/>
  <c r="B16155" i="1"/>
  <c r="D16155" i="1"/>
  <c r="G16155" i="1"/>
  <c r="B163" i="1"/>
  <c r="D163" i="1"/>
  <c r="G163" i="1"/>
  <c r="B15252" i="1"/>
  <c r="D15252" i="1"/>
  <c r="G15252" i="1"/>
  <c r="B20428" i="1"/>
  <c r="D20428" i="1"/>
  <c r="G20428" i="1"/>
  <c r="B12253" i="1"/>
  <c r="D12253" i="1"/>
  <c r="G12253" i="1"/>
  <c r="B420" i="1"/>
  <c r="D420" i="1"/>
  <c r="G420" i="1"/>
  <c r="B21414" i="1"/>
  <c r="D21414" i="1"/>
  <c r="G21414" i="1"/>
  <c r="B14862" i="1"/>
  <c r="D14862" i="1"/>
  <c r="G14862" i="1"/>
  <c r="B14391" i="1"/>
  <c r="D14391" i="1"/>
  <c r="G14391" i="1"/>
  <c r="B11897" i="1"/>
  <c r="D11897" i="1"/>
  <c r="G11897" i="1"/>
  <c r="B12399" i="1"/>
  <c r="D12399" i="1"/>
  <c r="G12399" i="1"/>
  <c r="B9999" i="1"/>
  <c r="D9999" i="1"/>
  <c r="G9999" i="1"/>
  <c r="B7631" i="1"/>
  <c r="D7631" i="1"/>
  <c r="G7631" i="1"/>
  <c r="B18196" i="1"/>
  <c r="D18196" i="1"/>
  <c r="G18196" i="1"/>
  <c r="B16767" i="1"/>
  <c r="D16767" i="1"/>
  <c r="G16767" i="1"/>
  <c r="B17331" i="1"/>
  <c r="D17331" i="1"/>
  <c r="G17331" i="1"/>
  <c r="B9140" i="1"/>
  <c r="D9140" i="1"/>
  <c r="G9140" i="1"/>
  <c r="B20014" i="1"/>
  <c r="D20014" i="1"/>
  <c r="G20014" i="1"/>
  <c r="B21602" i="1"/>
  <c r="D21602" i="1"/>
  <c r="G21602" i="1"/>
  <c r="B19722" i="1"/>
  <c r="D19722" i="1"/>
  <c r="G19722" i="1"/>
  <c r="B11441" i="1"/>
  <c r="D11441" i="1"/>
  <c r="G11441" i="1"/>
  <c r="B7632" i="1"/>
  <c r="D7632" i="1"/>
  <c r="G7632" i="1"/>
  <c r="B14195" i="1"/>
  <c r="D14195" i="1"/>
  <c r="G14195" i="1"/>
  <c r="B18144" i="1"/>
  <c r="D18144" i="1"/>
  <c r="G18144" i="1"/>
  <c r="B12254" i="1"/>
  <c r="D12254" i="1"/>
  <c r="G12254" i="1"/>
  <c r="B9278" i="1"/>
  <c r="D9278" i="1"/>
  <c r="G9278" i="1"/>
  <c r="B12400" i="1"/>
  <c r="D12400" i="1"/>
  <c r="G12400" i="1"/>
  <c r="B12255" i="1"/>
  <c r="D12255" i="1"/>
  <c r="G12255" i="1"/>
  <c r="B15774" i="1"/>
  <c r="D15774" i="1"/>
  <c r="G15774" i="1"/>
  <c r="B4564" i="1"/>
  <c r="D4564" i="1"/>
  <c r="G4564" i="1"/>
  <c r="B8225" i="1"/>
  <c r="D8225" i="1"/>
  <c r="G8225" i="1"/>
  <c r="B8226" i="1"/>
  <c r="D8226" i="1"/>
  <c r="G8226" i="1"/>
  <c r="B15692" i="1"/>
  <c r="D15692" i="1"/>
  <c r="G15692" i="1"/>
  <c r="B14138" i="1"/>
  <c r="D14138" i="1"/>
  <c r="G14138" i="1"/>
  <c r="B7633" i="1"/>
  <c r="D7633" i="1"/>
  <c r="G7633" i="1"/>
  <c r="B6971" i="1"/>
  <c r="D6971" i="1"/>
  <c r="G6971" i="1"/>
  <c r="B13113" i="1"/>
  <c r="D13113" i="1"/>
  <c r="G13113" i="1"/>
  <c r="B10084" i="1"/>
  <c r="D10084" i="1"/>
  <c r="G10084" i="1"/>
  <c r="B1475" i="1"/>
  <c r="D1475" i="1"/>
  <c r="G1475" i="1"/>
  <c r="B6972" i="1"/>
  <c r="D6972" i="1"/>
  <c r="G6972" i="1"/>
  <c r="B18935" i="1"/>
  <c r="D18935" i="1"/>
  <c r="G18935" i="1"/>
  <c r="B15253" i="1"/>
  <c r="D15253" i="1"/>
  <c r="G15253" i="1"/>
  <c r="B19305" i="1"/>
  <c r="D19305" i="1"/>
  <c r="G19305" i="1"/>
  <c r="B11290" i="1"/>
  <c r="D11290" i="1"/>
  <c r="G11290" i="1"/>
  <c r="B19306" i="1"/>
  <c r="D19306" i="1"/>
  <c r="G19306" i="1"/>
  <c r="B14754" i="1"/>
  <c r="D14754" i="1"/>
  <c r="G14754" i="1"/>
  <c r="B11726" i="1"/>
  <c r="D11726" i="1"/>
  <c r="G11726" i="1"/>
  <c r="B741" i="1"/>
  <c r="D741" i="1"/>
  <c r="G741" i="1"/>
  <c r="B10638" i="1"/>
  <c r="D10638" i="1"/>
  <c r="G10638" i="1"/>
  <c r="B16047" i="1"/>
  <c r="D16047" i="1"/>
  <c r="G16047" i="1"/>
  <c r="B4565" i="1"/>
  <c r="D4565" i="1"/>
  <c r="G4565" i="1"/>
  <c r="B12903" i="1"/>
  <c r="D12903" i="1"/>
  <c r="G12903" i="1"/>
  <c r="B11629" i="1"/>
  <c r="D11629" i="1"/>
  <c r="G11629" i="1"/>
  <c r="B11630" i="1"/>
  <c r="D11630" i="1"/>
  <c r="G11630" i="1"/>
  <c r="B11707" i="1"/>
  <c r="D11707" i="1"/>
  <c r="G11707" i="1"/>
  <c r="B11708" i="1"/>
  <c r="D11708" i="1"/>
  <c r="G11708" i="1"/>
  <c r="B8352" i="1"/>
  <c r="D8352" i="1"/>
  <c r="G8352" i="1"/>
  <c r="B17322" i="1"/>
  <c r="D17322" i="1"/>
  <c r="G17322" i="1"/>
  <c r="B17242" i="1"/>
  <c r="D17242" i="1"/>
  <c r="G17242" i="1"/>
  <c r="B9279" i="1"/>
  <c r="D9279" i="1"/>
  <c r="G9279" i="1"/>
  <c r="B12256" i="1"/>
  <c r="D12256" i="1"/>
  <c r="G12256" i="1"/>
  <c r="B2164" i="1"/>
  <c r="D2164" i="1"/>
  <c r="G2164" i="1"/>
  <c r="B11898" i="1"/>
  <c r="D11898" i="1"/>
  <c r="G11898" i="1"/>
  <c r="B18604" i="1"/>
  <c r="D18604" i="1"/>
  <c r="G18604" i="1"/>
  <c r="B20015" i="1"/>
  <c r="D20015" i="1"/>
  <c r="G20015" i="1"/>
  <c r="B8149" i="1"/>
  <c r="D8149" i="1"/>
  <c r="G8149" i="1"/>
  <c r="B11631" i="1"/>
  <c r="D11631" i="1"/>
  <c r="G11631" i="1"/>
  <c r="B11632" i="1"/>
  <c r="D11632" i="1"/>
  <c r="G11632" i="1"/>
  <c r="B4018" i="1"/>
  <c r="D4018" i="1"/>
  <c r="G4018" i="1"/>
  <c r="B4019" i="1"/>
  <c r="D4019" i="1"/>
  <c r="G4019" i="1"/>
  <c r="B19723" i="1"/>
  <c r="D19723" i="1"/>
  <c r="G19723" i="1"/>
  <c r="B19724" i="1"/>
  <c r="D19724" i="1"/>
  <c r="G19724" i="1"/>
  <c r="B16768" i="1"/>
  <c r="D16768" i="1"/>
  <c r="G16768" i="1"/>
  <c r="B11234" i="1"/>
  <c r="D11234" i="1"/>
  <c r="G11234" i="1"/>
  <c r="B8353" i="1"/>
  <c r="D8353" i="1"/>
  <c r="G8353" i="1"/>
  <c r="B18197" i="1"/>
  <c r="D18197" i="1"/>
  <c r="G18197" i="1"/>
  <c r="B9793" i="1"/>
  <c r="D9793" i="1"/>
  <c r="G9793" i="1"/>
  <c r="B9794" i="1"/>
  <c r="D9794" i="1"/>
  <c r="G9794" i="1"/>
  <c r="B17023" i="1"/>
  <c r="D17023" i="1"/>
  <c r="G17023" i="1"/>
  <c r="B7263" i="1"/>
  <c r="D7263" i="1"/>
  <c r="G7263" i="1"/>
  <c r="B7264" i="1"/>
  <c r="D7264" i="1"/>
  <c r="G7264" i="1"/>
  <c r="B21603" i="1"/>
  <c r="D21603" i="1"/>
  <c r="G21603" i="1"/>
  <c r="B5144" i="1"/>
  <c r="D5144" i="1"/>
  <c r="G5144" i="1"/>
  <c r="B8022" i="1"/>
  <c r="D8022" i="1"/>
  <c r="G8022" i="1"/>
  <c r="B8023" i="1"/>
  <c r="D8023" i="1"/>
  <c r="G8023" i="1"/>
  <c r="B2165" i="1"/>
  <c r="D2165" i="1"/>
  <c r="G2165" i="1"/>
  <c r="B21368" i="1"/>
  <c r="D21368" i="1"/>
  <c r="G21368" i="1"/>
  <c r="B14359" i="1"/>
  <c r="D14359" i="1"/>
  <c r="G14359" i="1"/>
  <c r="B954" i="1"/>
  <c r="D954" i="1"/>
  <c r="G954" i="1"/>
  <c r="B2983" i="1"/>
  <c r="D2983" i="1"/>
  <c r="G2983" i="1"/>
  <c r="B2166" i="1"/>
  <c r="D2166" i="1"/>
  <c r="G2166" i="1"/>
  <c r="B22206" i="1"/>
  <c r="D22206" i="1"/>
  <c r="G22206" i="1"/>
  <c r="B10972" i="1"/>
  <c r="D10972" i="1"/>
  <c r="G10972" i="1"/>
  <c r="B1802" i="1"/>
  <c r="D1802" i="1"/>
  <c r="G1802" i="1"/>
  <c r="B1803" i="1"/>
  <c r="D1803" i="1"/>
  <c r="G1803" i="1"/>
  <c r="B1804" i="1"/>
  <c r="D1804" i="1"/>
  <c r="G1804" i="1"/>
  <c r="B1805" i="1"/>
  <c r="D1805" i="1"/>
  <c r="G1805" i="1"/>
  <c r="B10639" i="1"/>
  <c r="D10639" i="1"/>
  <c r="G10639" i="1"/>
  <c r="B10640" i="1"/>
  <c r="D10640" i="1"/>
  <c r="G10640" i="1"/>
  <c r="B10973" i="1"/>
  <c r="D10973" i="1"/>
  <c r="G10973" i="1"/>
  <c r="B10974" i="1"/>
  <c r="D10974" i="1"/>
  <c r="G10974" i="1"/>
  <c r="B3798" i="1"/>
  <c r="D3798" i="1"/>
  <c r="G3798" i="1"/>
  <c r="B1806" i="1"/>
  <c r="D1806" i="1"/>
  <c r="G1806" i="1"/>
  <c r="B10095" i="1"/>
  <c r="D10095" i="1"/>
  <c r="G10095" i="1"/>
  <c r="B10096" i="1"/>
  <c r="D10096" i="1"/>
  <c r="G10096" i="1"/>
  <c r="B1476" i="1"/>
  <c r="D1476" i="1"/>
  <c r="G1476" i="1"/>
  <c r="B1807" i="1"/>
  <c r="D1807" i="1"/>
  <c r="G1807" i="1"/>
  <c r="B1550" i="1"/>
  <c r="D1550" i="1"/>
  <c r="G1550" i="1"/>
  <c r="B13166" i="1"/>
  <c r="D13166" i="1"/>
  <c r="G13166" i="1"/>
  <c r="B15693" i="1"/>
  <c r="D15693" i="1"/>
  <c r="G15693" i="1"/>
  <c r="B11271" i="1"/>
  <c r="D11271" i="1"/>
  <c r="G11271" i="1"/>
  <c r="B11747" i="1"/>
  <c r="D11747" i="1"/>
  <c r="G11747" i="1"/>
  <c r="B5092" i="1"/>
  <c r="D5092" i="1"/>
  <c r="G5092" i="1"/>
  <c r="B10641" i="1"/>
  <c r="D10641" i="1"/>
  <c r="G10641" i="1"/>
  <c r="B10642" i="1"/>
  <c r="D10642" i="1"/>
  <c r="G10642" i="1"/>
  <c r="B10975" i="1"/>
  <c r="D10975" i="1"/>
  <c r="G10975" i="1"/>
  <c r="B10976" i="1"/>
  <c r="D10976" i="1"/>
  <c r="G10976" i="1"/>
  <c r="B5637" i="1"/>
  <c r="D5637" i="1"/>
  <c r="G5637" i="1"/>
  <c r="B21244" i="1"/>
  <c r="D21244" i="1"/>
  <c r="G21244" i="1"/>
  <c r="B12257" i="1"/>
  <c r="D12257" i="1"/>
  <c r="G12257" i="1"/>
  <c r="B11235" i="1"/>
  <c r="D11235" i="1"/>
  <c r="G11235" i="1"/>
  <c r="B21172" i="1"/>
  <c r="D21172" i="1"/>
  <c r="G21172" i="1"/>
  <c r="B15967" i="1"/>
  <c r="D15967" i="1"/>
  <c r="G15967" i="1"/>
  <c r="B19725" i="1"/>
  <c r="D19725" i="1"/>
  <c r="G19725" i="1"/>
  <c r="B2984" i="1"/>
  <c r="D2984" i="1"/>
  <c r="G2984" i="1"/>
  <c r="B1354" i="1"/>
  <c r="D1354" i="1"/>
  <c r="G1354" i="1"/>
  <c r="B14009" i="1"/>
  <c r="D14009" i="1"/>
  <c r="G14009" i="1"/>
  <c r="B18936" i="1"/>
  <c r="D18936" i="1"/>
  <c r="G18936" i="1"/>
  <c r="B15254" i="1"/>
  <c r="D15254" i="1"/>
  <c r="G15254" i="1"/>
  <c r="B18212" i="1"/>
  <c r="D18212" i="1"/>
  <c r="G18212" i="1"/>
  <c r="B13428" i="1"/>
  <c r="D13428" i="1"/>
  <c r="G13428" i="1"/>
  <c r="B19307" i="1"/>
  <c r="D19307" i="1"/>
  <c r="G19307" i="1"/>
  <c r="B11442" i="1"/>
  <c r="D11442" i="1"/>
  <c r="G11442" i="1"/>
  <c r="B14788" i="1"/>
  <c r="D14788" i="1"/>
  <c r="G14788" i="1"/>
  <c r="B20925" i="1"/>
  <c r="D20925" i="1"/>
  <c r="G20925" i="1"/>
  <c r="B13231" i="1"/>
  <c r="D13231" i="1"/>
  <c r="G13231" i="1"/>
  <c r="B19308" i="1"/>
  <c r="D19308" i="1"/>
  <c r="G19308" i="1"/>
  <c r="B15598" i="1"/>
  <c r="D15598" i="1"/>
  <c r="G15598" i="1"/>
  <c r="B14654" i="1"/>
  <c r="D14654" i="1"/>
  <c r="G14654" i="1"/>
  <c r="B11633" i="1"/>
  <c r="D11633" i="1"/>
  <c r="G11633" i="1"/>
  <c r="B8602" i="1"/>
  <c r="D8602" i="1"/>
  <c r="G8602" i="1"/>
  <c r="B16769" i="1"/>
  <c r="D16769" i="1"/>
  <c r="G16769" i="1"/>
  <c r="B3812" i="1"/>
  <c r="D3812" i="1"/>
  <c r="G3812" i="1"/>
  <c r="B19918" i="1"/>
  <c r="D19918" i="1"/>
  <c r="G19918" i="1"/>
  <c r="B4020" i="1"/>
  <c r="D4020" i="1"/>
  <c r="G4020" i="1"/>
  <c r="B14755" i="1"/>
  <c r="D14755" i="1"/>
  <c r="G14755" i="1"/>
  <c r="B17188" i="1"/>
  <c r="D17188" i="1"/>
  <c r="G17188" i="1"/>
  <c r="B7634" i="1"/>
  <c r="D7634" i="1"/>
  <c r="G7634" i="1"/>
  <c r="B8396" i="1"/>
  <c r="D8396" i="1"/>
  <c r="G8396" i="1"/>
  <c r="B12258" i="1"/>
  <c r="D12258" i="1"/>
  <c r="G12258" i="1"/>
  <c r="B19726" i="1"/>
  <c r="D19726" i="1"/>
  <c r="G19726" i="1"/>
  <c r="B21751" i="1"/>
  <c r="D21751" i="1"/>
  <c r="G21751" i="1"/>
  <c r="B17424" i="1"/>
  <c r="D17424" i="1"/>
  <c r="G17424" i="1"/>
  <c r="B18754" i="1"/>
  <c r="D18754" i="1"/>
  <c r="G18754" i="1"/>
  <c r="B10137" i="1"/>
  <c r="D10137" i="1"/>
  <c r="G10137" i="1"/>
  <c r="B10138" i="1"/>
  <c r="D10138" i="1"/>
  <c r="G10138" i="1"/>
  <c r="B19084" i="1"/>
  <c r="D19084" i="1"/>
  <c r="G19084" i="1"/>
  <c r="B19727" i="1"/>
  <c r="D19727" i="1"/>
  <c r="G19727" i="1"/>
  <c r="B16156" i="1"/>
  <c r="D16156" i="1"/>
  <c r="G16156" i="1"/>
  <c r="B9034" i="1"/>
  <c r="D9034" i="1"/>
  <c r="G9034" i="1"/>
  <c r="B15599" i="1"/>
  <c r="D15599" i="1"/>
  <c r="G15599" i="1"/>
  <c r="B15255" i="1"/>
  <c r="D15255" i="1"/>
  <c r="G15255" i="1"/>
  <c r="B18605" i="1"/>
  <c r="D18605" i="1"/>
  <c r="G18605" i="1"/>
  <c r="B19728" i="1"/>
  <c r="D19728" i="1"/>
  <c r="G19728" i="1"/>
  <c r="B6843" i="1"/>
  <c r="D6843" i="1"/>
  <c r="G6843" i="1"/>
  <c r="B3368" i="1"/>
  <c r="D3368" i="1"/>
  <c r="G3368" i="1"/>
  <c r="B15256" i="1"/>
  <c r="D15256" i="1"/>
  <c r="G15256" i="1"/>
  <c r="B10643" i="1"/>
  <c r="D10643" i="1"/>
  <c r="G10643" i="1"/>
  <c r="B18606" i="1"/>
  <c r="D18606" i="1"/>
  <c r="G18606" i="1"/>
  <c r="B9928" i="1"/>
  <c r="D9928" i="1"/>
  <c r="G9928" i="1"/>
  <c r="B17888" i="1"/>
  <c r="D17888" i="1"/>
  <c r="G17888" i="1"/>
  <c r="B4853" i="1"/>
  <c r="D4853" i="1"/>
  <c r="G4853" i="1"/>
  <c r="B8293" i="1"/>
  <c r="D8293" i="1"/>
  <c r="G8293" i="1"/>
  <c r="B1808" i="1"/>
  <c r="D1808" i="1"/>
  <c r="G1808" i="1"/>
  <c r="B9110" i="1"/>
  <c r="D9110" i="1"/>
  <c r="G9110" i="1"/>
  <c r="B5268" i="1"/>
  <c r="D5268" i="1"/>
  <c r="G5268" i="1"/>
  <c r="B2985" i="1"/>
  <c r="D2985" i="1"/>
  <c r="G2985" i="1"/>
  <c r="B14803" i="1"/>
  <c r="D14803" i="1"/>
  <c r="G14803" i="1"/>
  <c r="B8227" i="1"/>
  <c r="D8227" i="1"/>
  <c r="G8227" i="1"/>
  <c r="B11899" i="1"/>
  <c r="D11899" i="1"/>
  <c r="G11899" i="1"/>
  <c r="B14069" i="1"/>
  <c r="D14069" i="1"/>
  <c r="G14069" i="1"/>
  <c r="B17889" i="1"/>
  <c r="D17889" i="1"/>
  <c r="G17889" i="1"/>
  <c r="B17890" i="1"/>
  <c r="D17890" i="1"/>
  <c r="G17890" i="1"/>
  <c r="B17891" i="1"/>
  <c r="D17891" i="1"/>
  <c r="G17891" i="1"/>
  <c r="B17892" i="1"/>
  <c r="D17892" i="1"/>
  <c r="G17892" i="1"/>
  <c r="B11634" i="1"/>
  <c r="D11634" i="1"/>
  <c r="G11634" i="1"/>
  <c r="B17893" i="1"/>
  <c r="D17893" i="1"/>
  <c r="G17893" i="1"/>
  <c r="B17894" i="1"/>
  <c r="D17894" i="1"/>
  <c r="G17894" i="1"/>
  <c r="B17895" i="1"/>
  <c r="D17895" i="1"/>
  <c r="G17895" i="1"/>
  <c r="B17896" i="1"/>
  <c r="D17896" i="1"/>
  <c r="G17896" i="1"/>
  <c r="B17897" i="1"/>
  <c r="D17897" i="1"/>
  <c r="G17897" i="1"/>
  <c r="B12259" i="1"/>
  <c r="D12259" i="1"/>
  <c r="G12259" i="1"/>
  <c r="B18705" i="1"/>
  <c r="D18705" i="1"/>
  <c r="G18705" i="1"/>
  <c r="B1355" i="1"/>
  <c r="D1355" i="1"/>
  <c r="G1355" i="1"/>
  <c r="B5560" i="1"/>
  <c r="D5560" i="1"/>
  <c r="G5560" i="1"/>
  <c r="B11443" i="1"/>
  <c r="D11443" i="1"/>
  <c r="G11443" i="1"/>
  <c r="B4497" i="1"/>
  <c r="D4497" i="1"/>
  <c r="G4497" i="1"/>
  <c r="B1448" i="1"/>
  <c r="D1448" i="1"/>
  <c r="G1448" i="1"/>
  <c r="B11829" i="1"/>
  <c r="D11829" i="1"/>
  <c r="G11829" i="1"/>
  <c r="B1005" i="1"/>
  <c r="D1005" i="1"/>
  <c r="G1005" i="1"/>
  <c r="B1006" i="1"/>
  <c r="D1006" i="1"/>
  <c r="G1006" i="1"/>
  <c r="B15257" i="1"/>
  <c r="D15257" i="1"/>
  <c r="G15257" i="1"/>
  <c r="B10644" i="1"/>
  <c r="D10644" i="1"/>
  <c r="G10644" i="1"/>
  <c r="B11900" i="1"/>
  <c r="D11900" i="1"/>
  <c r="G11900" i="1"/>
  <c r="B5561" i="1"/>
  <c r="D5561" i="1"/>
  <c r="G5561" i="1"/>
  <c r="B13167" i="1"/>
  <c r="D13167" i="1"/>
  <c r="G13167" i="1"/>
  <c r="B19309" i="1"/>
  <c r="D19309" i="1"/>
  <c r="G19309" i="1"/>
  <c r="B18937" i="1"/>
  <c r="D18937" i="1"/>
  <c r="G18937" i="1"/>
  <c r="B11444" i="1"/>
  <c r="D11444" i="1"/>
  <c r="G11444" i="1"/>
  <c r="B11305" i="1"/>
  <c r="D11305" i="1"/>
  <c r="G11305" i="1"/>
  <c r="B4021" i="1"/>
  <c r="D4021" i="1"/>
  <c r="G4021" i="1"/>
  <c r="B10977" i="1"/>
  <c r="D10977" i="1"/>
  <c r="G10977" i="1"/>
  <c r="B11236" i="1"/>
  <c r="D11236" i="1"/>
  <c r="G11236" i="1"/>
  <c r="B5638" i="1"/>
  <c r="D5638" i="1"/>
  <c r="G5638" i="1"/>
  <c r="B19729" i="1"/>
  <c r="D19729" i="1"/>
  <c r="G19729" i="1"/>
  <c r="B10645" i="1"/>
  <c r="D10645" i="1"/>
  <c r="G10645" i="1"/>
  <c r="B14340" i="1"/>
  <c r="D14340" i="1"/>
  <c r="G14340" i="1"/>
  <c r="B21752" i="1"/>
  <c r="D21752" i="1"/>
  <c r="G21752" i="1"/>
  <c r="B21753" i="1"/>
  <c r="D21753" i="1"/>
  <c r="G21753" i="1"/>
  <c r="B17550" i="1"/>
  <c r="D17550" i="1"/>
  <c r="G17550" i="1"/>
  <c r="B18343" i="1"/>
  <c r="D18343" i="1"/>
  <c r="G18343" i="1"/>
  <c r="B2167" i="1"/>
  <c r="D2167" i="1"/>
  <c r="G2167" i="1"/>
  <c r="B9035" i="1"/>
  <c r="D9035" i="1"/>
  <c r="G9035" i="1"/>
  <c r="B18341" i="1"/>
  <c r="D18341" i="1"/>
  <c r="G18341" i="1"/>
  <c r="B19730" i="1"/>
  <c r="D19730" i="1"/>
  <c r="G19730" i="1"/>
  <c r="B20926" i="1"/>
  <c r="D20926" i="1"/>
  <c r="G20926" i="1"/>
  <c r="B10646" i="1"/>
  <c r="D10646" i="1"/>
  <c r="G10646" i="1"/>
  <c r="B14445" i="1"/>
  <c r="D14445" i="1"/>
  <c r="G14445" i="1"/>
  <c r="B19310" i="1"/>
  <c r="D19310" i="1"/>
  <c r="G19310" i="1"/>
  <c r="B16770" i="1"/>
  <c r="D16770" i="1"/>
  <c r="G16770" i="1"/>
  <c r="B19311" i="1"/>
  <c r="D19311" i="1"/>
  <c r="G19311" i="1"/>
  <c r="B12387" i="1"/>
  <c r="D12387" i="1"/>
  <c r="G12387" i="1"/>
  <c r="B16771" i="1"/>
  <c r="D16771" i="1"/>
  <c r="G16771" i="1"/>
  <c r="B2168" i="1"/>
  <c r="D2168" i="1"/>
  <c r="G2168" i="1"/>
  <c r="B10242" i="1"/>
  <c r="D10242" i="1"/>
  <c r="G10242" i="1"/>
  <c r="B10243" i="1"/>
  <c r="D10243" i="1"/>
  <c r="G10243" i="1"/>
  <c r="B17425" i="1"/>
  <c r="D17425" i="1"/>
  <c r="G17425" i="1"/>
  <c r="B11237" i="1"/>
  <c r="D11237" i="1"/>
  <c r="G11237" i="1"/>
  <c r="B3196" i="1"/>
  <c r="D3196" i="1"/>
  <c r="G3196" i="1"/>
  <c r="B17606" i="1"/>
  <c r="D17606" i="1"/>
  <c r="G17606" i="1"/>
  <c r="B20927" i="1"/>
  <c r="D20927" i="1"/>
  <c r="G20927" i="1"/>
  <c r="B19312" i="1"/>
  <c r="D19312" i="1"/>
  <c r="G19312" i="1"/>
  <c r="B14655" i="1"/>
  <c r="D14655" i="1"/>
  <c r="G14655" i="1"/>
  <c r="B13705" i="1"/>
  <c r="D13705" i="1"/>
  <c r="G13705" i="1"/>
  <c r="B11238" i="1"/>
  <c r="D11238" i="1"/>
  <c r="G11238" i="1"/>
  <c r="B21173" i="1"/>
  <c r="D21173" i="1"/>
  <c r="G21173" i="1"/>
  <c r="B13502" i="1"/>
  <c r="D13502" i="1"/>
  <c r="G13502" i="1"/>
  <c r="B895" i="1"/>
  <c r="D895" i="1"/>
  <c r="G895" i="1"/>
  <c r="B892" i="1"/>
  <c r="D892" i="1"/>
  <c r="G892" i="1"/>
  <c r="B5275" i="1"/>
  <c r="D5275" i="1"/>
  <c r="G5275" i="1"/>
  <c r="B9280" i="1"/>
  <c r="D9280" i="1"/>
  <c r="G9280" i="1"/>
  <c r="B10978" i="1"/>
  <c r="D10978" i="1"/>
  <c r="G10978" i="1"/>
  <c r="B12260" i="1"/>
  <c r="D12260" i="1"/>
  <c r="G12260" i="1"/>
  <c r="B18342" i="1"/>
  <c r="D18342" i="1"/>
  <c r="G18342" i="1"/>
  <c r="B17426" i="1"/>
  <c r="D17426" i="1"/>
  <c r="G17426" i="1"/>
  <c r="B6905" i="1"/>
  <c r="D6905" i="1"/>
  <c r="G6905" i="1"/>
  <c r="B14565" i="1"/>
  <c r="D14565" i="1"/>
  <c r="G14565" i="1"/>
  <c r="B10979" i="1"/>
  <c r="D10979" i="1"/>
  <c r="G10979" i="1"/>
  <c r="B8024" i="1"/>
  <c r="D8024" i="1"/>
  <c r="G8024" i="1"/>
  <c r="B8025" i="1"/>
  <c r="D8025" i="1"/>
  <c r="G8025" i="1"/>
  <c r="B11272" i="1"/>
  <c r="D11272" i="1"/>
  <c r="G11272" i="1"/>
  <c r="B11748" i="1"/>
  <c r="D11748" i="1"/>
  <c r="G11748" i="1"/>
  <c r="B19313" i="1"/>
  <c r="D19313" i="1"/>
  <c r="G19313" i="1"/>
  <c r="B15929" i="1"/>
  <c r="D15929" i="1"/>
  <c r="G15929" i="1"/>
  <c r="B20429" i="1"/>
  <c r="D20429" i="1"/>
  <c r="G20429" i="1"/>
  <c r="B20334" i="1"/>
  <c r="D20334" i="1"/>
  <c r="G20334" i="1"/>
  <c r="B12261" i="1"/>
  <c r="D12261" i="1"/>
  <c r="G12261" i="1"/>
  <c r="B15824" i="1"/>
  <c r="D15824" i="1"/>
  <c r="G15824" i="1"/>
  <c r="B5639" i="1"/>
  <c r="D5639" i="1"/>
  <c r="G5639" i="1"/>
  <c r="B12262" i="1"/>
  <c r="D12262" i="1"/>
  <c r="G12262" i="1"/>
  <c r="B20692" i="1"/>
  <c r="D20692" i="1"/>
  <c r="G20692" i="1"/>
  <c r="B2531" i="1"/>
  <c r="D2531" i="1"/>
  <c r="G2531" i="1"/>
  <c r="B10980" i="1"/>
  <c r="D10980" i="1"/>
  <c r="G10980" i="1"/>
  <c r="B22081" i="1"/>
  <c r="D22081" i="1"/>
  <c r="G22081" i="1"/>
  <c r="B10981" i="1"/>
  <c r="D10981" i="1"/>
  <c r="G10981" i="1"/>
  <c r="B12263" i="1"/>
  <c r="D12263" i="1"/>
  <c r="G12263" i="1"/>
  <c r="B21341" i="1"/>
  <c r="D21341" i="1"/>
  <c r="G21341" i="1"/>
  <c r="B742" i="1"/>
  <c r="D742" i="1"/>
  <c r="G742" i="1"/>
  <c r="B10322" i="1"/>
  <c r="D10322" i="1"/>
  <c r="G10322" i="1"/>
  <c r="B17551" i="1"/>
  <c r="D17551" i="1"/>
  <c r="G17551" i="1"/>
  <c r="B4566" i="1"/>
  <c r="D4566" i="1"/>
  <c r="G4566" i="1"/>
  <c r="B11239" i="1"/>
  <c r="D11239" i="1"/>
  <c r="G11239" i="1"/>
  <c r="B12542" i="1"/>
  <c r="D12542" i="1"/>
  <c r="G12542" i="1"/>
  <c r="B12543" i="1"/>
  <c r="D12543" i="1"/>
  <c r="G12543" i="1"/>
  <c r="B16026" i="1"/>
  <c r="D16026" i="1"/>
  <c r="G16026" i="1"/>
  <c r="B5578" i="1"/>
  <c r="D5578" i="1"/>
  <c r="G5578" i="1"/>
  <c r="B12264" i="1"/>
  <c r="D12264" i="1"/>
  <c r="G12264" i="1"/>
  <c r="B10323" i="1"/>
  <c r="D10323" i="1"/>
  <c r="G10323" i="1"/>
  <c r="B12904" i="1"/>
  <c r="D12904" i="1"/>
  <c r="G12904" i="1"/>
  <c r="B19731" i="1"/>
  <c r="D19731" i="1"/>
  <c r="G19731" i="1"/>
  <c r="B20693" i="1"/>
  <c r="D20693" i="1"/>
  <c r="G20693" i="1"/>
  <c r="B19732" i="1"/>
  <c r="D19732" i="1"/>
  <c r="G19732" i="1"/>
  <c r="B12451" i="1"/>
  <c r="D12451" i="1"/>
  <c r="G12451" i="1"/>
  <c r="B13640" i="1"/>
  <c r="D13640" i="1"/>
  <c r="G13640" i="1"/>
  <c r="B20016" i="1"/>
  <c r="D20016" i="1"/>
  <c r="G20016" i="1"/>
  <c r="B11306" i="1"/>
  <c r="D11306" i="1"/>
  <c r="G11306" i="1"/>
  <c r="B11307" i="1"/>
  <c r="D11307" i="1"/>
  <c r="G11307" i="1"/>
  <c r="B12544" i="1"/>
  <c r="D12544" i="1"/>
  <c r="G12544" i="1"/>
  <c r="B8026" i="1"/>
  <c r="D8026" i="1"/>
  <c r="G8026" i="1"/>
  <c r="B8027" i="1"/>
  <c r="D8027" i="1"/>
  <c r="G8027" i="1"/>
  <c r="B2546" i="1"/>
  <c r="D2546" i="1"/>
  <c r="G2546" i="1"/>
  <c r="B20928" i="1"/>
  <c r="D20928" i="1"/>
  <c r="G20928" i="1"/>
  <c r="B15258" i="1"/>
  <c r="D15258" i="1"/>
  <c r="G15258" i="1"/>
  <c r="B19314" i="1"/>
  <c r="D19314" i="1"/>
  <c r="G19314" i="1"/>
  <c r="B20929" i="1"/>
  <c r="D20929" i="1"/>
  <c r="G20929" i="1"/>
  <c r="B15600" i="1"/>
  <c r="D15600" i="1"/>
  <c r="G15600" i="1"/>
  <c r="B17898" i="1"/>
  <c r="D17898" i="1"/>
  <c r="G17898" i="1"/>
  <c r="B17899" i="1"/>
  <c r="D17899" i="1"/>
  <c r="G17899" i="1"/>
  <c r="B8228" i="1"/>
  <c r="D8228" i="1"/>
  <c r="G8228" i="1"/>
  <c r="B4567" i="1"/>
  <c r="D4567" i="1"/>
  <c r="G4567" i="1"/>
  <c r="B20694" i="1"/>
  <c r="D20694" i="1"/>
  <c r="G20694" i="1"/>
  <c r="B7099" i="1"/>
  <c r="D7099" i="1"/>
  <c r="G7099" i="1"/>
  <c r="B1449" i="1"/>
  <c r="D1449" i="1"/>
  <c r="G1449" i="1"/>
  <c r="B4022" i="1"/>
  <c r="D4022" i="1"/>
  <c r="G4022" i="1"/>
  <c r="B4023" i="1"/>
  <c r="D4023" i="1"/>
  <c r="G4023" i="1"/>
  <c r="B17552" i="1"/>
  <c r="D17552" i="1"/>
  <c r="G17552" i="1"/>
  <c r="B12449" i="1"/>
  <c r="D12449" i="1"/>
  <c r="G12449" i="1"/>
  <c r="B9036" i="1"/>
  <c r="D9036" i="1"/>
  <c r="G9036" i="1"/>
  <c r="B12905" i="1"/>
  <c r="D12905" i="1"/>
  <c r="G12905" i="1"/>
  <c r="B9281" i="1"/>
  <c r="D9281" i="1"/>
  <c r="G9281" i="1"/>
  <c r="B22207" i="1"/>
  <c r="D22207" i="1"/>
  <c r="G22207" i="1"/>
  <c r="B19831" i="1"/>
  <c r="D19831" i="1"/>
  <c r="G19831" i="1"/>
  <c r="B9183" i="1"/>
  <c r="D9183" i="1"/>
  <c r="G9183" i="1"/>
  <c r="B15259" i="1"/>
  <c r="D15259" i="1"/>
  <c r="G15259" i="1"/>
  <c r="B21174" i="1"/>
  <c r="D21174" i="1"/>
  <c r="G21174" i="1"/>
  <c r="B6095" i="1"/>
  <c r="D6095" i="1"/>
  <c r="G6095" i="1"/>
  <c r="B16772" i="1"/>
  <c r="D16772" i="1"/>
  <c r="G16772" i="1"/>
  <c r="B18755" i="1"/>
  <c r="D18755" i="1"/>
  <c r="G18755" i="1"/>
  <c r="B15601" i="1"/>
  <c r="D15601" i="1"/>
  <c r="G15601" i="1"/>
  <c r="B5640" i="1"/>
  <c r="D5640" i="1"/>
  <c r="G5640" i="1"/>
  <c r="B18099" i="1"/>
  <c r="D18099" i="1"/>
  <c r="G18099" i="1"/>
  <c r="B20430" i="1"/>
  <c r="D20430" i="1"/>
  <c r="G20430" i="1"/>
  <c r="B6898" i="1"/>
  <c r="D6898" i="1"/>
  <c r="G6898" i="1"/>
  <c r="B1896" i="1"/>
  <c r="D1896" i="1"/>
  <c r="G1896" i="1"/>
  <c r="B20462" i="1"/>
  <c r="D20462" i="1"/>
  <c r="G20462" i="1"/>
  <c r="B22208" i="1"/>
  <c r="D22208" i="1"/>
  <c r="G22208" i="1"/>
  <c r="B421" i="1"/>
  <c r="D421" i="1"/>
  <c r="G421" i="1"/>
  <c r="B15602" i="1"/>
  <c r="D15602" i="1"/>
  <c r="G15602" i="1"/>
  <c r="B12265" i="1"/>
  <c r="D12265" i="1"/>
  <c r="G12265" i="1"/>
  <c r="B11047" i="1"/>
  <c r="D11047" i="1"/>
  <c r="G11047" i="1"/>
  <c r="B21970" i="1"/>
  <c r="D21970" i="1"/>
  <c r="G21970" i="1"/>
  <c r="B17427" i="1"/>
  <c r="D17427" i="1"/>
  <c r="G17427" i="1"/>
  <c r="B6973" i="1"/>
  <c r="D6973" i="1"/>
  <c r="G6973" i="1"/>
  <c r="B1008" i="1"/>
  <c r="D1008" i="1"/>
  <c r="G1008" i="1"/>
  <c r="B17900" i="1"/>
  <c r="D17900" i="1"/>
  <c r="G17900" i="1"/>
  <c r="B11291" i="1"/>
  <c r="D11291" i="1"/>
  <c r="G11291" i="1"/>
  <c r="B21604" i="1"/>
  <c r="D21604" i="1"/>
  <c r="G21604" i="1"/>
  <c r="B661" i="1"/>
  <c r="D661" i="1"/>
  <c r="G661" i="1"/>
  <c r="B19733" i="1"/>
  <c r="D19733" i="1"/>
  <c r="G19733" i="1"/>
  <c r="B11273" i="1"/>
  <c r="D11273" i="1"/>
  <c r="G11273" i="1"/>
  <c r="B13862" i="1"/>
  <c r="D13862" i="1"/>
  <c r="G13862" i="1"/>
  <c r="B19085" i="1"/>
  <c r="D19085" i="1"/>
  <c r="G19085" i="1"/>
  <c r="B18711" i="1"/>
  <c r="D18711" i="1"/>
  <c r="G18711" i="1"/>
  <c r="B19315" i="1"/>
  <c r="D19315" i="1"/>
  <c r="G19315" i="1"/>
  <c r="B12266" i="1"/>
  <c r="D12266" i="1"/>
  <c r="G12266" i="1"/>
  <c r="B21312" i="1"/>
  <c r="D21312" i="1"/>
  <c r="G21312" i="1"/>
  <c r="B17901" i="1"/>
  <c r="D17901" i="1"/>
  <c r="G17901" i="1"/>
  <c r="B19316" i="1"/>
  <c r="D19316" i="1"/>
  <c r="G19316" i="1"/>
  <c r="B20930" i="1"/>
  <c r="D20930" i="1"/>
  <c r="G20930" i="1"/>
  <c r="B15825" i="1"/>
  <c r="D15825" i="1"/>
  <c r="G15825" i="1"/>
  <c r="B10085" i="1"/>
  <c r="D10085" i="1"/>
  <c r="G10085" i="1"/>
  <c r="B2986" i="1"/>
  <c r="D2986" i="1"/>
  <c r="G2986" i="1"/>
  <c r="B13232" i="1"/>
  <c r="D13232" i="1"/>
  <c r="G13232" i="1"/>
  <c r="B1356" i="1"/>
  <c r="D1356" i="1"/>
  <c r="G1356" i="1"/>
  <c r="B4282" i="1"/>
  <c r="D4282" i="1"/>
  <c r="G4282" i="1"/>
  <c r="B10982" i="1"/>
  <c r="D10982" i="1"/>
  <c r="G10982" i="1"/>
  <c r="B15260" i="1"/>
  <c r="D15260" i="1"/>
  <c r="G15260" i="1"/>
  <c r="B17902" i="1"/>
  <c r="D17902" i="1"/>
  <c r="G17902" i="1"/>
  <c r="B10983" i="1"/>
  <c r="D10983" i="1"/>
  <c r="G10983" i="1"/>
  <c r="B9282" i="1"/>
  <c r="D9282" i="1"/>
  <c r="G9282" i="1"/>
  <c r="B6688" i="1"/>
  <c r="D6688" i="1"/>
  <c r="G6688" i="1"/>
  <c r="B11635" i="1"/>
  <c r="D11635" i="1"/>
  <c r="G11635" i="1"/>
  <c r="B11636" i="1"/>
  <c r="D11636" i="1"/>
  <c r="G11636" i="1"/>
  <c r="B4835" i="1"/>
  <c r="D4835" i="1"/>
  <c r="G4835" i="1"/>
  <c r="B5562" i="1"/>
  <c r="D5562" i="1"/>
  <c r="G5562" i="1"/>
  <c r="B6570" i="1"/>
  <c r="D6570" i="1"/>
  <c r="G6570" i="1"/>
  <c r="B18607" i="1"/>
  <c r="D18607" i="1"/>
  <c r="G18607" i="1"/>
  <c r="B13168" i="1"/>
  <c r="D13168" i="1"/>
  <c r="G13168" i="1"/>
  <c r="B7635" i="1"/>
  <c r="D7635" i="1"/>
  <c r="G7635" i="1"/>
  <c r="B9037" i="1"/>
  <c r="D9037" i="1"/>
  <c r="G9037" i="1"/>
  <c r="B17428" i="1"/>
  <c r="D17428" i="1"/>
  <c r="G17428" i="1"/>
  <c r="B5563" i="1"/>
  <c r="D5563" i="1"/>
  <c r="G5563" i="1"/>
  <c r="B20335" i="1"/>
  <c r="D20335" i="1"/>
  <c r="G20335" i="1"/>
  <c r="B20431" i="1"/>
  <c r="D20431" i="1"/>
  <c r="G20431" i="1"/>
  <c r="B19734" i="1"/>
  <c r="D19734" i="1"/>
  <c r="G19734" i="1"/>
  <c r="B21605" i="1"/>
  <c r="D21605" i="1"/>
  <c r="G21605" i="1"/>
  <c r="B16773" i="1"/>
  <c r="D16773" i="1"/>
  <c r="G16773" i="1"/>
  <c r="B13169" i="1"/>
  <c r="D13169" i="1"/>
  <c r="G13169" i="1"/>
  <c r="B16774" i="1"/>
  <c r="D16774" i="1"/>
  <c r="G16774" i="1"/>
  <c r="B21175" i="1"/>
  <c r="D21175" i="1"/>
  <c r="G21175" i="1"/>
  <c r="B16775" i="1"/>
  <c r="D16775" i="1"/>
  <c r="G16775" i="1"/>
  <c r="B11240" i="1"/>
  <c r="D11240" i="1"/>
  <c r="G11240" i="1"/>
  <c r="B10647" i="1"/>
  <c r="D10647" i="1"/>
  <c r="G10647" i="1"/>
  <c r="B17429" i="1"/>
  <c r="D17429" i="1"/>
  <c r="G17429" i="1"/>
  <c r="B5564" i="1"/>
  <c r="D5564" i="1"/>
  <c r="G5564" i="1"/>
  <c r="B13662" i="1"/>
  <c r="D13662" i="1"/>
  <c r="G13662" i="1"/>
  <c r="B21328" i="1"/>
  <c r="D21328" i="1"/>
  <c r="G21328" i="1"/>
  <c r="B18780" i="1"/>
  <c r="D18780" i="1"/>
  <c r="G18780" i="1"/>
  <c r="B17430" i="1"/>
  <c r="D17430" i="1"/>
  <c r="G17430" i="1"/>
  <c r="B12267" i="1"/>
  <c r="D12267" i="1"/>
  <c r="G12267" i="1"/>
  <c r="B20432" i="1"/>
  <c r="D20432" i="1"/>
  <c r="G20432" i="1"/>
  <c r="B5565" i="1"/>
  <c r="D5565" i="1"/>
  <c r="G5565" i="1"/>
  <c r="B5566" i="1"/>
  <c r="D5566" i="1"/>
  <c r="G5566" i="1"/>
  <c r="B9184" i="1"/>
  <c r="D9184" i="1"/>
  <c r="G9184" i="1"/>
  <c r="B662" i="1"/>
  <c r="D662" i="1"/>
  <c r="G662" i="1"/>
  <c r="B9038" i="1"/>
  <c r="D9038" i="1"/>
  <c r="G9038" i="1"/>
  <c r="B12268" i="1"/>
  <c r="D12268" i="1"/>
  <c r="G12268" i="1"/>
  <c r="B19317" i="1"/>
  <c r="D19317" i="1"/>
  <c r="G19317" i="1"/>
  <c r="B18938" i="1"/>
  <c r="D18938" i="1"/>
  <c r="G18938" i="1"/>
  <c r="B12269" i="1"/>
  <c r="D12269" i="1"/>
  <c r="G12269" i="1"/>
  <c r="B10648" i="1"/>
  <c r="D10648" i="1"/>
  <c r="G10648" i="1"/>
  <c r="B10649" i="1"/>
  <c r="D10649" i="1"/>
  <c r="G10649" i="1"/>
  <c r="B10984" i="1"/>
  <c r="D10984" i="1"/>
  <c r="G10984" i="1"/>
  <c r="B20931" i="1"/>
  <c r="D20931" i="1"/>
  <c r="G20931" i="1"/>
  <c r="B15261" i="1"/>
  <c r="D15261" i="1"/>
  <c r="G15261" i="1"/>
  <c r="B9039" i="1"/>
  <c r="D9039" i="1"/>
  <c r="G9039" i="1"/>
  <c r="B4024" i="1"/>
  <c r="D4024" i="1"/>
  <c r="G4024" i="1"/>
  <c r="B20433" i="1"/>
  <c r="D20433" i="1"/>
  <c r="G20433" i="1"/>
  <c r="B21369" i="1"/>
  <c r="D21369" i="1"/>
  <c r="G21369" i="1"/>
  <c r="B17189" i="1"/>
  <c r="D17189" i="1"/>
  <c r="G17189" i="1"/>
  <c r="B12545" i="1"/>
  <c r="D12545" i="1"/>
  <c r="G12545" i="1"/>
  <c r="B17903" i="1"/>
  <c r="D17903" i="1"/>
  <c r="G17903" i="1"/>
  <c r="B5886" i="1"/>
  <c r="D5886" i="1"/>
  <c r="G5886" i="1"/>
  <c r="B787" i="1"/>
  <c r="D787" i="1"/>
  <c r="G787" i="1"/>
  <c r="B16776" i="1"/>
  <c r="D16776" i="1"/>
  <c r="G16776" i="1"/>
  <c r="B17431" i="1"/>
  <c r="D17431" i="1"/>
  <c r="G17431" i="1"/>
  <c r="B15744" i="1"/>
  <c r="D15744" i="1"/>
  <c r="G15744" i="1"/>
  <c r="B21606" i="1"/>
  <c r="D21606" i="1"/>
  <c r="G21606" i="1"/>
  <c r="B21607" i="1"/>
  <c r="D21607" i="1"/>
  <c r="G21607" i="1"/>
  <c r="B13114" i="1"/>
  <c r="D13114" i="1"/>
  <c r="G13114" i="1"/>
  <c r="B17432" i="1"/>
  <c r="D17432" i="1"/>
  <c r="G17432" i="1"/>
  <c r="B15262" i="1"/>
  <c r="D15262" i="1"/>
  <c r="G15262" i="1"/>
  <c r="B10139" i="1"/>
  <c r="D10139" i="1"/>
  <c r="G10139" i="1"/>
  <c r="B10140" i="1"/>
  <c r="D10140" i="1"/>
  <c r="G10140" i="1"/>
  <c r="B17904" i="1"/>
  <c r="D17904" i="1"/>
  <c r="G17904" i="1"/>
  <c r="B13863" i="1"/>
  <c r="D13863" i="1"/>
  <c r="G13863" i="1"/>
  <c r="B10056" i="1"/>
  <c r="D10056" i="1"/>
  <c r="G10056" i="1"/>
  <c r="B10650" i="1"/>
  <c r="D10650" i="1"/>
  <c r="G10650" i="1"/>
  <c r="B15603" i="1"/>
  <c r="D15603" i="1"/>
  <c r="G15603" i="1"/>
  <c r="B19919" i="1"/>
  <c r="D19919" i="1"/>
  <c r="G19919" i="1"/>
  <c r="B21971" i="1"/>
  <c r="D21971" i="1"/>
  <c r="G21971" i="1"/>
  <c r="B5887" i="1"/>
  <c r="D5887" i="1"/>
  <c r="G5887" i="1"/>
  <c r="B6070" i="1"/>
  <c r="D6070" i="1"/>
  <c r="G6070" i="1"/>
  <c r="B15263" i="1"/>
  <c r="D15263" i="1"/>
  <c r="G15263" i="1"/>
  <c r="B16777" i="1"/>
  <c r="D16777" i="1"/>
  <c r="G16777" i="1"/>
  <c r="B15604" i="1"/>
  <c r="D15604" i="1"/>
  <c r="G15604" i="1"/>
  <c r="B13170" i="1"/>
  <c r="D13170" i="1"/>
  <c r="G13170" i="1"/>
  <c r="B20695" i="1"/>
  <c r="D20695" i="1"/>
  <c r="G20695" i="1"/>
  <c r="B13171" i="1"/>
  <c r="D13171" i="1"/>
  <c r="G13171" i="1"/>
  <c r="B14087" i="1"/>
  <c r="D14087" i="1"/>
  <c r="G14087" i="1"/>
  <c r="B20696" i="1"/>
  <c r="D20696" i="1"/>
  <c r="G20696" i="1"/>
  <c r="B3799" i="1"/>
  <c r="D3799" i="1"/>
  <c r="G3799" i="1"/>
  <c r="B2169" i="1"/>
  <c r="D2169" i="1"/>
  <c r="G2169" i="1"/>
  <c r="B17905" i="1"/>
  <c r="D17905" i="1"/>
  <c r="G17905" i="1"/>
  <c r="B13115" i="1"/>
  <c r="D13115" i="1"/>
  <c r="G13115" i="1"/>
  <c r="B17906" i="1"/>
  <c r="D17906" i="1"/>
  <c r="G17906" i="1"/>
  <c r="B11465" i="1"/>
  <c r="D11465" i="1"/>
  <c r="G11465" i="1"/>
  <c r="B10041" i="1"/>
  <c r="D10041" i="1"/>
  <c r="G10041" i="1"/>
  <c r="B12402" i="1"/>
  <c r="D12402" i="1"/>
  <c r="G12402" i="1"/>
  <c r="B19735" i="1"/>
  <c r="D19735" i="1"/>
  <c r="G19735" i="1"/>
  <c r="B12270" i="1"/>
  <c r="D12270" i="1"/>
  <c r="G12270" i="1"/>
  <c r="B19086" i="1"/>
  <c r="D19086" i="1"/>
  <c r="G19086" i="1"/>
  <c r="B14756" i="1"/>
  <c r="D14756" i="1"/>
  <c r="G14756" i="1"/>
  <c r="B16778" i="1"/>
  <c r="D16778" i="1"/>
  <c r="G16778" i="1"/>
  <c r="B4877" i="1"/>
  <c r="D4877" i="1"/>
  <c r="G4877" i="1"/>
  <c r="B13346" i="1"/>
  <c r="D13346" i="1"/>
  <c r="G13346" i="1"/>
  <c r="B12906" i="1"/>
  <c r="D12906" i="1"/>
  <c r="G12906" i="1"/>
  <c r="B12271" i="1"/>
  <c r="D12271" i="1"/>
  <c r="G12271" i="1"/>
  <c r="B9040" i="1"/>
  <c r="D9040" i="1"/>
  <c r="G9040" i="1"/>
  <c r="B16779" i="1"/>
  <c r="D16779" i="1"/>
  <c r="G16779" i="1"/>
  <c r="B13233" i="1"/>
  <c r="D13233" i="1"/>
  <c r="G13233" i="1"/>
  <c r="B20477" i="1"/>
  <c r="D20477" i="1"/>
  <c r="G20477" i="1"/>
  <c r="B17607" i="1"/>
  <c r="D17607" i="1"/>
  <c r="G17607" i="1"/>
  <c r="B8229" i="1"/>
  <c r="D8229" i="1"/>
  <c r="G8229" i="1"/>
  <c r="B7100" i="1"/>
  <c r="D7100" i="1"/>
  <c r="G7100" i="1"/>
  <c r="B21608" i="1"/>
  <c r="D21608" i="1"/>
  <c r="G21608" i="1"/>
  <c r="B6974" i="1"/>
  <c r="D6974" i="1"/>
  <c r="G6974" i="1"/>
  <c r="B16182" i="1"/>
  <c r="D16182" i="1"/>
  <c r="G16182" i="1"/>
  <c r="B10187" i="1"/>
  <c r="D10187" i="1"/>
  <c r="G10187" i="1"/>
  <c r="B16011" i="1"/>
  <c r="D16011" i="1"/>
  <c r="G16011" i="1"/>
  <c r="B18198" i="1"/>
  <c r="D18198" i="1"/>
  <c r="G18198" i="1"/>
  <c r="B20183" i="1"/>
  <c r="D20183" i="1"/>
  <c r="G20183" i="1"/>
  <c r="B16780" i="1"/>
  <c r="D16780" i="1"/>
  <c r="G16780" i="1"/>
  <c r="B12994" i="1"/>
  <c r="D12994" i="1"/>
  <c r="G12994" i="1"/>
  <c r="B12995" i="1"/>
  <c r="D12995" i="1"/>
  <c r="G12995" i="1"/>
  <c r="B10000" i="1"/>
  <c r="D10000" i="1"/>
  <c r="G10000" i="1"/>
  <c r="B13116" i="1"/>
  <c r="D13116" i="1"/>
  <c r="G13116" i="1"/>
  <c r="B3369" i="1"/>
  <c r="D3369" i="1"/>
  <c r="G3369" i="1"/>
  <c r="B3370" i="1"/>
  <c r="D3370" i="1"/>
  <c r="G3370" i="1"/>
  <c r="B1809" i="1"/>
  <c r="D1809" i="1"/>
  <c r="G1809" i="1"/>
  <c r="B1810" i="1"/>
  <c r="D1810" i="1"/>
  <c r="G1810" i="1"/>
  <c r="B13177" i="1"/>
  <c r="D13177" i="1"/>
  <c r="G13177" i="1"/>
  <c r="B12702" i="1"/>
  <c r="D12702" i="1"/>
  <c r="G12702" i="1"/>
  <c r="B6689" i="1"/>
  <c r="D6689" i="1"/>
  <c r="G6689" i="1"/>
  <c r="B21754" i="1"/>
  <c r="D21754" i="1"/>
  <c r="G21754" i="1"/>
  <c r="B18756" i="1"/>
  <c r="D18756" i="1"/>
  <c r="G18756" i="1"/>
  <c r="B4450" i="1"/>
  <c r="D4450" i="1"/>
  <c r="G4450" i="1"/>
  <c r="B16781" i="1"/>
  <c r="D16781" i="1"/>
  <c r="G16781" i="1"/>
  <c r="B788" i="1"/>
  <c r="D788" i="1"/>
  <c r="G788" i="1"/>
  <c r="B13021" i="1"/>
  <c r="D13021" i="1"/>
  <c r="G13021" i="1"/>
  <c r="B14392" i="1"/>
  <c r="D14392" i="1"/>
  <c r="G14392" i="1"/>
  <c r="B9795" i="1"/>
  <c r="D9795" i="1"/>
  <c r="G9795" i="1"/>
  <c r="B9796" i="1"/>
  <c r="D9796" i="1"/>
  <c r="G9796" i="1"/>
  <c r="B19736" i="1"/>
  <c r="D19736" i="1"/>
  <c r="G19736" i="1"/>
  <c r="B10651" i="1"/>
  <c r="D10651" i="1"/>
  <c r="G10651" i="1"/>
  <c r="B10652" i="1"/>
  <c r="D10652" i="1"/>
  <c r="G10652" i="1"/>
  <c r="B10985" i="1"/>
  <c r="D10985" i="1"/>
  <c r="G10985" i="1"/>
  <c r="B13347" i="1"/>
  <c r="D13347" i="1"/>
  <c r="G13347" i="1"/>
  <c r="B15605" i="1"/>
  <c r="D15605" i="1"/>
  <c r="G15605" i="1"/>
  <c r="B2170" i="1"/>
  <c r="D2170" i="1"/>
  <c r="G2170" i="1"/>
  <c r="B2171" i="1"/>
  <c r="D2171" i="1"/>
  <c r="G2171" i="1"/>
  <c r="B4767" i="1"/>
  <c r="D4767" i="1"/>
  <c r="G4767" i="1"/>
  <c r="B4025" i="1"/>
  <c r="D4025" i="1"/>
  <c r="G4025" i="1"/>
  <c r="B19087" i="1"/>
  <c r="D19087" i="1"/>
  <c r="G19087" i="1"/>
  <c r="B9563" i="1"/>
  <c r="D9563" i="1"/>
  <c r="G9563" i="1"/>
  <c r="B16999" i="1"/>
  <c r="D16999" i="1"/>
  <c r="G16999" i="1"/>
  <c r="B6844" i="1"/>
  <c r="D6844" i="1"/>
  <c r="G6844" i="1"/>
  <c r="B19318" i="1"/>
  <c r="D19318" i="1"/>
  <c r="G19318" i="1"/>
  <c r="B19319" i="1"/>
  <c r="D19319" i="1"/>
  <c r="G19319" i="1"/>
  <c r="B15264" i="1"/>
  <c r="D15264" i="1"/>
  <c r="G15264" i="1"/>
  <c r="B15265" i="1"/>
  <c r="D15265" i="1"/>
  <c r="G15265" i="1"/>
  <c r="B15606" i="1"/>
  <c r="D15606" i="1"/>
  <c r="G15606" i="1"/>
  <c r="B15745" i="1"/>
  <c r="D15745" i="1"/>
  <c r="G15745" i="1"/>
  <c r="B12907" i="1"/>
  <c r="D12907" i="1"/>
  <c r="G12907" i="1"/>
  <c r="B20336" i="1"/>
  <c r="D20336" i="1"/>
  <c r="G20336" i="1"/>
  <c r="B22082" i="1"/>
  <c r="D22082" i="1"/>
  <c r="G22082" i="1"/>
  <c r="B18608" i="1"/>
  <c r="D18608" i="1"/>
  <c r="G18608" i="1"/>
  <c r="B15266" i="1"/>
  <c r="D15266" i="1"/>
  <c r="G15266" i="1"/>
  <c r="B22209" i="1"/>
  <c r="D22209" i="1"/>
  <c r="G22209" i="1"/>
  <c r="B11637" i="1"/>
  <c r="D11637" i="1"/>
  <c r="G11637" i="1"/>
  <c r="B10986" i="1"/>
  <c r="D10986" i="1"/>
  <c r="G10986" i="1"/>
  <c r="B14174" i="1"/>
  <c r="D14174" i="1"/>
  <c r="G14174" i="1"/>
  <c r="B14029" i="1"/>
  <c r="D14029" i="1"/>
  <c r="G14029" i="1"/>
  <c r="B2263" i="1"/>
  <c r="D2263" i="1"/>
  <c r="G2263" i="1"/>
  <c r="B16183" i="1"/>
  <c r="D16183" i="1"/>
  <c r="G16183" i="1"/>
  <c r="B10244" i="1"/>
  <c r="D10244" i="1"/>
  <c r="G10244" i="1"/>
  <c r="B16782" i="1"/>
  <c r="D16782" i="1"/>
  <c r="G16782" i="1"/>
  <c r="B3800" i="1"/>
  <c r="D3800" i="1"/>
  <c r="G3800" i="1"/>
  <c r="B11830" i="1"/>
  <c r="D11830" i="1"/>
  <c r="G11830" i="1"/>
  <c r="B12625" i="1"/>
  <c r="D12625" i="1"/>
  <c r="G12625" i="1"/>
  <c r="B11241" i="1"/>
  <c r="D11241" i="1"/>
  <c r="G11241" i="1"/>
  <c r="B6690" i="1"/>
  <c r="D6690" i="1"/>
  <c r="G6690" i="1"/>
  <c r="B15746" i="1"/>
  <c r="D15746" i="1"/>
  <c r="G15746" i="1"/>
  <c r="B1357" i="1"/>
  <c r="D1357" i="1"/>
  <c r="G1357" i="1"/>
  <c r="B10653" i="1"/>
  <c r="D10653" i="1"/>
  <c r="G10653" i="1"/>
  <c r="B16783" i="1"/>
  <c r="D16783" i="1"/>
  <c r="G16783" i="1"/>
  <c r="B19737" i="1"/>
  <c r="D19737" i="1"/>
  <c r="G19737" i="1"/>
  <c r="B21404" i="1"/>
  <c r="D21404" i="1"/>
  <c r="G21404" i="1"/>
  <c r="B12272" i="1"/>
  <c r="D12272" i="1"/>
  <c r="G12272" i="1"/>
  <c r="B18609" i="1"/>
  <c r="D18609" i="1"/>
  <c r="G18609" i="1"/>
  <c r="B22210" i="1"/>
  <c r="D22210" i="1"/>
  <c r="G22210" i="1"/>
  <c r="B13535" i="1"/>
  <c r="D13535" i="1"/>
  <c r="G13535" i="1"/>
  <c r="B12546" i="1"/>
  <c r="D12546" i="1"/>
  <c r="G12546" i="1"/>
  <c r="B4836" i="1"/>
  <c r="D4836" i="1"/>
  <c r="G4836" i="1"/>
  <c r="B5567" i="1"/>
  <c r="D5567" i="1"/>
  <c r="G5567" i="1"/>
  <c r="B14469" i="1"/>
  <c r="D14469" i="1"/>
  <c r="G14469" i="1"/>
  <c r="B12908" i="1"/>
  <c r="D12908" i="1"/>
  <c r="G12908" i="1"/>
  <c r="B9564" i="1"/>
  <c r="D9564" i="1"/>
  <c r="G9564" i="1"/>
  <c r="B9565" i="1"/>
  <c r="D9565" i="1"/>
  <c r="G9565" i="1"/>
  <c r="B20434" i="1"/>
  <c r="D20434" i="1"/>
  <c r="G20434" i="1"/>
  <c r="B10987" i="1"/>
  <c r="D10987" i="1"/>
  <c r="G10987" i="1"/>
  <c r="B11242" i="1"/>
  <c r="D11242" i="1"/>
  <c r="G11242" i="1"/>
  <c r="B5568" i="1"/>
  <c r="D5568" i="1"/>
  <c r="G5568" i="1"/>
  <c r="B20697" i="1"/>
  <c r="D20697" i="1"/>
  <c r="G20697" i="1"/>
  <c r="B20116" i="1"/>
  <c r="D20116" i="1"/>
  <c r="G20116" i="1"/>
  <c r="B14516" i="1"/>
  <c r="D14516" i="1"/>
  <c r="G14516" i="1"/>
  <c r="B21972" i="1"/>
  <c r="D21972" i="1"/>
  <c r="G21972" i="1"/>
  <c r="B663" i="1"/>
  <c r="D663" i="1"/>
  <c r="G663" i="1"/>
  <c r="B10097" i="1"/>
  <c r="D10097" i="1"/>
  <c r="G10097" i="1"/>
  <c r="B10098" i="1"/>
  <c r="D10098" i="1"/>
  <c r="G10098" i="1"/>
  <c r="B664" i="1"/>
  <c r="D664" i="1"/>
  <c r="G664" i="1"/>
  <c r="B4431" i="1"/>
  <c r="D4431" i="1"/>
  <c r="G4431" i="1"/>
  <c r="B20987" i="1"/>
  <c r="D20987" i="1"/>
  <c r="G20987" i="1"/>
  <c r="B10654" i="1"/>
  <c r="D10654" i="1"/>
  <c r="G10654" i="1"/>
  <c r="B16784" i="1"/>
  <c r="D16784" i="1"/>
  <c r="G16784" i="1"/>
  <c r="B21755" i="1"/>
  <c r="D21755" i="1"/>
  <c r="G21755" i="1"/>
  <c r="B12703" i="1"/>
  <c r="D12703" i="1"/>
  <c r="G12703" i="1"/>
  <c r="B665" i="1"/>
  <c r="D665" i="1"/>
  <c r="G665" i="1"/>
  <c r="B21329" i="1"/>
  <c r="D21329" i="1"/>
  <c r="G21329" i="1"/>
  <c r="B5569" i="1"/>
  <c r="D5569" i="1"/>
  <c r="G5569" i="1"/>
  <c r="B5570" i="1"/>
  <c r="D5570" i="1"/>
  <c r="G5570" i="1"/>
  <c r="B12547" i="1"/>
  <c r="D12547" i="1"/>
  <c r="G12547" i="1"/>
  <c r="B13627" i="1"/>
  <c r="D13627" i="1"/>
  <c r="G13627" i="1"/>
  <c r="B21609" i="1"/>
  <c r="D21609" i="1"/>
  <c r="G21609" i="1"/>
  <c r="B10988" i="1"/>
  <c r="D10988" i="1"/>
  <c r="G10988" i="1"/>
  <c r="B19320" i="1"/>
  <c r="D19320" i="1"/>
  <c r="G19320" i="1"/>
  <c r="B14805" i="1"/>
  <c r="D14805" i="1"/>
  <c r="G14805" i="1"/>
  <c r="B7052" i="1"/>
  <c r="D7052" i="1"/>
  <c r="G7052" i="1"/>
  <c r="B11638" i="1"/>
  <c r="D11638" i="1"/>
  <c r="G11638" i="1"/>
  <c r="B11639" i="1"/>
  <c r="D11639" i="1"/>
  <c r="G11639" i="1"/>
  <c r="B17553" i="1"/>
  <c r="D17553" i="1"/>
  <c r="G17553" i="1"/>
  <c r="B21176" i="1"/>
  <c r="D21176" i="1"/>
  <c r="G21176" i="1"/>
  <c r="B11445" i="1"/>
  <c r="D11445" i="1"/>
  <c r="G11445" i="1"/>
  <c r="B16785" i="1"/>
  <c r="D16785" i="1"/>
  <c r="G16785" i="1"/>
  <c r="B13558" i="1"/>
  <c r="D13558" i="1"/>
  <c r="G13558" i="1"/>
  <c r="B21756" i="1"/>
  <c r="D21756" i="1"/>
  <c r="G21756" i="1"/>
  <c r="B4026" i="1"/>
  <c r="D4026" i="1"/>
  <c r="G4026" i="1"/>
  <c r="B4027" i="1"/>
  <c r="D4027" i="1"/>
  <c r="G4027" i="1"/>
  <c r="B19920" i="1"/>
  <c r="D19920" i="1"/>
  <c r="G19920" i="1"/>
  <c r="B19921" i="1"/>
  <c r="D19921" i="1"/>
  <c r="G19921" i="1"/>
  <c r="B19088" i="1"/>
  <c r="D19088" i="1"/>
  <c r="G19088" i="1"/>
  <c r="B20932" i="1"/>
  <c r="D20932" i="1"/>
  <c r="G20932" i="1"/>
  <c r="B844" i="1"/>
  <c r="D844" i="1"/>
  <c r="G844" i="1"/>
  <c r="B17907" i="1"/>
  <c r="D17907" i="1"/>
  <c r="G17907" i="1"/>
  <c r="B15267" i="1"/>
  <c r="D15267" i="1"/>
  <c r="G15267" i="1"/>
  <c r="B12548" i="1"/>
  <c r="D12548" i="1"/>
  <c r="G12548" i="1"/>
  <c r="B12549" i="1"/>
  <c r="D12549" i="1"/>
  <c r="G12549" i="1"/>
  <c r="B16069" i="1"/>
  <c r="D16069" i="1"/>
  <c r="G16069" i="1"/>
  <c r="B21821" i="1"/>
  <c r="D21821" i="1"/>
  <c r="G21821" i="1"/>
  <c r="B12273" i="1"/>
  <c r="D12273" i="1"/>
  <c r="G12273" i="1"/>
  <c r="B21973" i="1"/>
  <c r="D21973" i="1"/>
  <c r="G21973" i="1"/>
  <c r="B14566" i="1"/>
  <c r="D14566" i="1"/>
  <c r="G14566" i="1"/>
  <c r="B5269" i="1"/>
  <c r="D5269" i="1"/>
  <c r="G5269" i="1"/>
  <c r="B17341" i="1"/>
  <c r="D17341" i="1"/>
  <c r="G17341" i="1"/>
  <c r="B666" i="1"/>
  <c r="D666" i="1"/>
  <c r="G666" i="1"/>
  <c r="B7101" i="1"/>
  <c r="D7101" i="1"/>
  <c r="G7101" i="1"/>
  <c r="B13439" i="1"/>
  <c r="D13439" i="1"/>
  <c r="G13439" i="1"/>
  <c r="B4122" i="1"/>
  <c r="D4122" i="1"/>
  <c r="G4122" i="1"/>
  <c r="B21429" i="1"/>
  <c r="D21429" i="1"/>
  <c r="G21429" i="1"/>
  <c r="B14108" i="1"/>
  <c r="D14108" i="1"/>
  <c r="G14108" i="1"/>
  <c r="B12274" i="1"/>
  <c r="D12274" i="1"/>
  <c r="G12274" i="1"/>
  <c r="B10655" i="1"/>
  <c r="D10655" i="1"/>
  <c r="G10655" i="1"/>
  <c r="B10656" i="1"/>
  <c r="D10656" i="1"/>
  <c r="G10656" i="1"/>
  <c r="B10989" i="1"/>
  <c r="D10989" i="1"/>
  <c r="G10989" i="1"/>
  <c r="B10990" i="1"/>
  <c r="D10990" i="1"/>
  <c r="G10990" i="1"/>
  <c r="B11831" i="1"/>
  <c r="D11831" i="1"/>
  <c r="G11831" i="1"/>
  <c r="B14757" i="1"/>
  <c r="D14757" i="1"/>
  <c r="G14757" i="1"/>
  <c r="B10657" i="1"/>
  <c r="D10657" i="1"/>
  <c r="G10657" i="1"/>
  <c r="B13991" i="1"/>
  <c r="D13991" i="1"/>
  <c r="G13991" i="1"/>
  <c r="B19089" i="1"/>
  <c r="D19089" i="1"/>
  <c r="G19089" i="1"/>
  <c r="B18939" i="1"/>
  <c r="D18939" i="1"/>
  <c r="G18939" i="1"/>
  <c r="B12275" i="1"/>
  <c r="D12275" i="1"/>
  <c r="G12275" i="1"/>
  <c r="B20337" i="1"/>
  <c r="D20337" i="1"/>
  <c r="G20337" i="1"/>
  <c r="B20435" i="1"/>
  <c r="D20435" i="1"/>
  <c r="G20435" i="1"/>
  <c r="B6071" i="1"/>
  <c r="D6071" i="1"/>
  <c r="G6071" i="1"/>
  <c r="B21757" i="1"/>
  <c r="D21757" i="1"/>
  <c r="G21757" i="1"/>
  <c r="B164" i="1"/>
  <c r="D164" i="1"/>
  <c r="G164" i="1"/>
  <c r="B10991" i="1"/>
  <c r="D10991" i="1"/>
  <c r="G10991" i="1"/>
  <c r="B293" i="1"/>
  <c r="D293" i="1"/>
  <c r="G293" i="1"/>
  <c r="B1897" i="1"/>
  <c r="D1897" i="1"/>
  <c r="G1897" i="1"/>
  <c r="B10992" i="1"/>
  <c r="D10992" i="1"/>
  <c r="G10992" i="1"/>
  <c r="B4878" i="1"/>
  <c r="D4878" i="1"/>
  <c r="G4878" i="1"/>
  <c r="B16786" i="1"/>
  <c r="D16786" i="1"/>
  <c r="G16786" i="1"/>
  <c r="B11243" i="1"/>
  <c r="D11243" i="1"/>
  <c r="G11243" i="1"/>
  <c r="B11244" i="1"/>
  <c r="D11244" i="1"/>
  <c r="G11244" i="1"/>
  <c r="B5093" i="1"/>
  <c r="D5093" i="1"/>
  <c r="G5093" i="1"/>
  <c r="B9041" i="1"/>
  <c r="D9041" i="1"/>
  <c r="G9041" i="1"/>
  <c r="B4028" i="1"/>
  <c r="D4028" i="1"/>
  <c r="G4028" i="1"/>
  <c r="B12550" i="1"/>
  <c r="D12550" i="1"/>
  <c r="G12550" i="1"/>
  <c r="B16787" i="1"/>
  <c r="D16787" i="1"/>
  <c r="G16787" i="1"/>
  <c r="B16788" i="1"/>
  <c r="D16788" i="1"/>
  <c r="G16788" i="1"/>
  <c r="B7102" i="1"/>
  <c r="D7102" i="1"/>
  <c r="G7102" i="1"/>
  <c r="B12909" i="1"/>
  <c r="D12909" i="1"/>
  <c r="G12909" i="1"/>
  <c r="B21177" i="1"/>
  <c r="D21177" i="1"/>
  <c r="G21177" i="1"/>
  <c r="B1811" i="1"/>
  <c r="D1811" i="1"/>
  <c r="G1811" i="1"/>
  <c r="B743" i="1"/>
  <c r="D743" i="1"/>
  <c r="G743" i="1"/>
  <c r="B744" i="1"/>
  <c r="D744" i="1"/>
  <c r="G744" i="1"/>
  <c r="B5888" i="1"/>
  <c r="D5888" i="1"/>
  <c r="G5888" i="1"/>
  <c r="B17433" i="1"/>
  <c r="D17433" i="1"/>
  <c r="G17433" i="1"/>
  <c r="B13417" i="1"/>
  <c r="D13417" i="1"/>
  <c r="G13417" i="1"/>
  <c r="B12551" i="1"/>
  <c r="D12551" i="1"/>
  <c r="G12551" i="1"/>
  <c r="B4568" i="1"/>
  <c r="D4568" i="1"/>
  <c r="G4568" i="1"/>
  <c r="B11245" i="1"/>
  <c r="D11245" i="1"/>
  <c r="G11245" i="1"/>
  <c r="B13348" i="1"/>
  <c r="D13348" i="1"/>
  <c r="G13348" i="1"/>
  <c r="B19738" i="1"/>
  <c r="D19738" i="1"/>
  <c r="G19738" i="1"/>
  <c r="B12276" i="1"/>
  <c r="D12276" i="1"/>
  <c r="G12276" i="1"/>
  <c r="B14517" i="1"/>
  <c r="D14517" i="1"/>
  <c r="G14517" i="1"/>
  <c r="B22211" i="1"/>
  <c r="D22211" i="1"/>
  <c r="G22211" i="1"/>
  <c r="B19739" i="1"/>
  <c r="D19739" i="1"/>
  <c r="G19739" i="1"/>
  <c r="B15268" i="1"/>
  <c r="D15268" i="1"/>
  <c r="G15268" i="1"/>
  <c r="B10993" i="1"/>
  <c r="D10993" i="1"/>
  <c r="G10993" i="1"/>
  <c r="B13729" i="1"/>
  <c r="D13729" i="1"/>
  <c r="G13729" i="1"/>
  <c r="B21178" i="1"/>
  <c r="D21178" i="1"/>
  <c r="G21178" i="1"/>
  <c r="B10188" i="1"/>
  <c r="D10188" i="1"/>
  <c r="G10188" i="1"/>
  <c r="B10189" i="1"/>
  <c r="D10189" i="1"/>
  <c r="G10189" i="1"/>
  <c r="B11901" i="1"/>
  <c r="D11901" i="1"/>
  <c r="G11901" i="1"/>
  <c r="B12704" i="1"/>
  <c r="D12704" i="1"/>
  <c r="G12704" i="1"/>
  <c r="B13923" i="1"/>
  <c r="D13923" i="1"/>
  <c r="G13923" i="1"/>
  <c r="B13801" i="1"/>
  <c r="D13801" i="1"/>
  <c r="G13801" i="1"/>
  <c r="B11446" i="1"/>
  <c r="D11446" i="1"/>
  <c r="G11446" i="1"/>
  <c r="B1812" i="1"/>
  <c r="D1812" i="1"/>
  <c r="G1812" i="1"/>
  <c r="B1813" i="1"/>
  <c r="D1813" i="1"/>
  <c r="G1813" i="1"/>
  <c r="B12277" i="1"/>
  <c r="D12277" i="1"/>
  <c r="G12277" i="1"/>
  <c r="B13117" i="1"/>
  <c r="D13117" i="1"/>
  <c r="G13117" i="1"/>
  <c r="B17908" i="1"/>
  <c r="D17908" i="1"/>
  <c r="G17908" i="1"/>
  <c r="B17909" i="1"/>
  <c r="D17909" i="1"/>
  <c r="G17909" i="1"/>
  <c r="B13234" i="1"/>
  <c r="D13234" i="1"/>
  <c r="G13234" i="1"/>
  <c r="B20933" i="1"/>
  <c r="D20933" i="1"/>
  <c r="G20933" i="1"/>
  <c r="B11640" i="1"/>
  <c r="D11640" i="1"/>
  <c r="G11640" i="1"/>
  <c r="B9042" i="1"/>
  <c r="D9042" i="1"/>
  <c r="G9042" i="1"/>
  <c r="B14175" i="1"/>
  <c r="D14175" i="1"/>
  <c r="G14175" i="1"/>
  <c r="B20436" i="1"/>
  <c r="D20436" i="1"/>
  <c r="G20436" i="1"/>
  <c r="B20338" i="1"/>
  <c r="D20338" i="1"/>
  <c r="G20338" i="1"/>
  <c r="B10324" i="1"/>
  <c r="D10324" i="1"/>
  <c r="G10324" i="1"/>
  <c r="B20251" i="1"/>
  <c r="D20251" i="1"/>
  <c r="G20251" i="1"/>
  <c r="B21610" i="1"/>
  <c r="D21610" i="1"/>
  <c r="G21610" i="1"/>
  <c r="B18610" i="1"/>
  <c r="D18610" i="1"/>
  <c r="G18610" i="1"/>
  <c r="B13118" i="1"/>
  <c r="D13118" i="1"/>
  <c r="G13118" i="1"/>
  <c r="B22083" i="1"/>
  <c r="D22083" i="1"/>
  <c r="G22083" i="1"/>
  <c r="B12552" i="1"/>
  <c r="D12552" i="1"/>
  <c r="G12552" i="1"/>
  <c r="B19922" i="1"/>
  <c r="D19922" i="1"/>
  <c r="G19922" i="1"/>
  <c r="B19923" i="1"/>
  <c r="D19923" i="1"/>
  <c r="G19923" i="1"/>
  <c r="B12278" i="1"/>
  <c r="D12278" i="1"/>
  <c r="G12278" i="1"/>
  <c r="B13119" i="1"/>
  <c r="D13119" i="1"/>
  <c r="G13119" i="1"/>
  <c r="B20184" i="1"/>
  <c r="D20184" i="1"/>
  <c r="G20184" i="1"/>
  <c r="B14863" i="1"/>
  <c r="D14863" i="1"/>
  <c r="G14863" i="1"/>
  <c r="B10658" i="1"/>
  <c r="D10658" i="1"/>
  <c r="G10658" i="1"/>
  <c r="B13235" i="1"/>
  <c r="D13235" i="1"/>
  <c r="G13235" i="1"/>
  <c r="B11351" i="1"/>
  <c r="D11351" i="1"/>
  <c r="G11351" i="1"/>
  <c r="B7636" i="1"/>
  <c r="D7636" i="1"/>
  <c r="G7636" i="1"/>
  <c r="B5641" i="1"/>
  <c r="D5641" i="1"/>
  <c r="G5641" i="1"/>
  <c r="B21611" i="1"/>
  <c r="D21611" i="1"/>
  <c r="G21611" i="1"/>
  <c r="B20934" i="1"/>
  <c r="D20934" i="1"/>
  <c r="G20934" i="1"/>
  <c r="B20698" i="1"/>
  <c r="D20698" i="1"/>
  <c r="G20698" i="1"/>
  <c r="B19740" i="1"/>
  <c r="D19740" i="1"/>
  <c r="G19740" i="1"/>
  <c r="B18611" i="1"/>
  <c r="D18611" i="1"/>
  <c r="G18611" i="1"/>
  <c r="B16789" i="1"/>
  <c r="D16789" i="1"/>
  <c r="G16789" i="1"/>
  <c r="B13172" i="1"/>
  <c r="D13172" i="1"/>
  <c r="G13172" i="1"/>
  <c r="B11246" i="1"/>
  <c r="D11246" i="1"/>
  <c r="G11246" i="1"/>
  <c r="B13495" i="1"/>
  <c r="D13495" i="1"/>
  <c r="G13495" i="1"/>
  <c r="B10659" i="1"/>
  <c r="D10659" i="1"/>
  <c r="G10659" i="1"/>
  <c r="B10660" i="1"/>
  <c r="D10660" i="1"/>
  <c r="G10660" i="1"/>
  <c r="B10994" i="1"/>
  <c r="D10994" i="1"/>
  <c r="G10994" i="1"/>
  <c r="B10995" i="1"/>
  <c r="D10995" i="1"/>
  <c r="G10995" i="1"/>
  <c r="B11247" i="1"/>
  <c r="D11247" i="1"/>
  <c r="G11247" i="1"/>
  <c r="B10661" i="1"/>
  <c r="D10661" i="1"/>
  <c r="G10661" i="1"/>
  <c r="B21974" i="1"/>
  <c r="D21974" i="1"/>
  <c r="G21974" i="1"/>
  <c r="B19321" i="1"/>
  <c r="D19321" i="1"/>
  <c r="G19321" i="1"/>
  <c r="B8028" i="1"/>
  <c r="D8028" i="1"/>
  <c r="G8028" i="1"/>
  <c r="B13615" i="1"/>
  <c r="D13615" i="1"/>
  <c r="G13615" i="1"/>
  <c r="B21179" i="1"/>
  <c r="D21179" i="1"/>
  <c r="G21179" i="1"/>
  <c r="B7637" i="1"/>
  <c r="D7637" i="1"/>
  <c r="G7637" i="1"/>
  <c r="B7382" i="1"/>
  <c r="D7382" i="1"/>
  <c r="G7382" i="1"/>
  <c r="B10996" i="1"/>
  <c r="D10996" i="1"/>
  <c r="G10996" i="1"/>
  <c r="B12279" i="1"/>
  <c r="D12279" i="1"/>
  <c r="G12279" i="1"/>
  <c r="B14360" i="1"/>
  <c r="D14360" i="1"/>
  <c r="G14360" i="1"/>
  <c r="B18774" i="1"/>
  <c r="D18774" i="1"/>
  <c r="G18774" i="1"/>
  <c r="B21370" i="1"/>
  <c r="D21370" i="1"/>
  <c r="G21370" i="1"/>
  <c r="B17012" i="1"/>
  <c r="D17012" i="1"/>
  <c r="G17012" i="1"/>
  <c r="B12280" i="1"/>
  <c r="D12280" i="1"/>
  <c r="G12280" i="1"/>
  <c r="B16790" i="1"/>
  <c r="D16790" i="1"/>
  <c r="G16790" i="1"/>
  <c r="B17342" i="1"/>
  <c r="D17342" i="1"/>
  <c r="G17342" i="1"/>
  <c r="B12553" i="1"/>
  <c r="D12553" i="1"/>
  <c r="G12553" i="1"/>
  <c r="B13440" i="1"/>
  <c r="D13440" i="1"/>
  <c r="G13440" i="1"/>
  <c r="B13441" i="1"/>
  <c r="D13441" i="1"/>
  <c r="G13441" i="1"/>
  <c r="B13472" i="1"/>
  <c r="D13472" i="1"/>
  <c r="G13472" i="1"/>
  <c r="B9797" i="1"/>
  <c r="D9797" i="1"/>
  <c r="G9797" i="1"/>
  <c r="B17434" i="1"/>
  <c r="D17434" i="1"/>
  <c r="G17434" i="1"/>
  <c r="B12281" i="1"/>
  <c r="D12281" i="1"/>
  <c r="G12281" i="1"/>
  <c r="B21975" i="1"/>
  <c r="D21975" i="1"/>
  <c r="G21975" i="1"/>
  <c r="B13173" i="1"/>
  <c r="D13173" i="1"/>
  <c r="G13173" i="1"/>
  <c r="B13992" i="1"/>
  <c r="D13992" i="1"/>
  <c r="G13992" i="1"/>
  <c r="B16791" i="1"/>
  <c r="D16791" i="1"/>
  <c r="G16791" i="1"/>
  <c r="B10042" i="1"/>
  <c r="D10042" i="1"/>
  <c r="G10042" i="1"/>
  <c r="B9798" i="1"/>
  <c r="D9798" i="1"/>
  <c r="G9798" i="1"/>
  <c r="B9799" i="1"/>
  <c r="D9799" i="1"/>
  <c r="G9799" i="1"/>
  <c r="B21758" i="1"/>
  <c r="D21758" i="1"/>
  <c r="G21758" i="1"/>
  <c r="B11248" i="1"/>
  <c r="D11248" i="1"/>
  <c r="G11248" i="1"/>
  <c r="B10662" i="1"/>
  <c r="D10662" i="1"/>
  <c r="G10662" i="1"/>
  <c r="B745" i="1"/>
  <c r="D745" i="1"/>
  <c r="G745" i="1"/>
  <c r="B17190" i="1"/>
  <c r="D17190" i="1"/>
  <c r="G17190" i="1"/>
  <c r="B14190" i="1"/>
  <c r="D14190" i="1"/>
  <c r="G14190" i="1"/>
  <c r="B18775" i="1"/>
  <c r="D18775" i="1"/>
  <c r="G18775" i="1"/>
  <c r="B18757" i="1"/>
  <c r="D18757" i="1"/>
  <c r="G18757" i="1"/>
  <c r="B16048" i="1"/>
  <c r="D16048" i="1"/>
  <c r="G16048" i="1"/>
  <c r="B6986" i="1"/>
  <c r="D6986" i="1"/>
  <c r="G6986" i="1"/>
  <c r="B15930" i="1"/>
  <c r="D15930" i="1"/>
  <c r="G15930" i="1"/>
  <c r="B22212" i="1"/>
  <c r="D22212" i="1"/>
  <c r="G22212" i="1"/>
  <c r="B9862" i="1"/>
  <c r="D9862" i="1"/>
  <c r="G9862" i="1"/>
  <c r="B21612" i="1"/>
  <c r="D21612" i="1"/>
  <c r="G21612" i="1"/>
  <c r="B123" i="1"/>
  <c r="D123" i="1"/>
  <c r="G123" i="1"/>
  <c r="B19741" i="1"/>
  <c r="D19741" i="1"/>
  <c r="G19741" i="1"/>
  <c r="B20699" i="1"/>
  <c r="D20699" i="1"/>
  <c r="G20699" i="1"/>
  <c r="B13944" i="1"/>
  <c r="D13944" i="1"/>
  <c r="G13944" i="1"/>
  <c r="B12282" i="1"/>
  <c r="D12282" i="1"/>
  <c r="G12282" i="1"/>
  <c r="B12554" i="1"/>
  <c r="D12554" i="1"/>
  <c r="G12554" i="1"/>
  <c r="B12555" i="1"/>
  <c r="D12555" i="1"/>
  <c r="G12555" i="1"/>
  <c r="B12556" i="1"/>
  <c r="D12556" i="1"/>
  <c r="G12556" i="1"/>
  <c r="B8265" i="1"/>
  <c r="D8265" i="1"/>
  <c r="G8265" i="1"/>
  <c r="B16792" i="1"/>
  <c r="D16792" i="1"/>
  <c r="G16792" i="1"/>
  <c r="B11727" i="1"/>
  <c r="D11727" i="1"/>
  <c r="G11727" i="1"/>
  <c r="B14656" i="1"/>
  <c r="D14656" i="1"/>
  <c r="G14656" i="1"/>
  <c r="B1814" i="1"/>
  <c r="D1814" i="1"/>
  <c r="G1814" i="1"/>
  <c r="B15607" i="1"/>
  <c r="D15607" i="1"/>
  <c r="G15607" i="1"/>
  <c r="B11641" i="1"/>
  <c r="D11641" i="1"/>
  <c r="G11641" i="1"/>
  <c r="B11642" i="1"/>
  <c r="D11642" i="1"/>
  <c r="G11642" i="1"/>
  <c r="B12283" i="1"/>
  <c r="D12283" i="1"/>
  <c r="G12283" i="1"/>
  <c r="B13120" i="1"/>
  <c r="D13120" i="1"/>
  <c r="G13120" i="1"/>
  <c r="B1815" i="1"/>
  <c r="D1815" i="1"/>
  <c r="G1815" i="1"/>
  <c r="B1816" i="1"/>
  <c r="D1816" i="1"/>
  <c r="G1816" i="1"/>
  <c r="B14864" i="1"/>
  <c r="D14864" i="1"/>
  <c r="G14864" i="1"/>
  <c r="B18612" i="1"/>
  <c r="D18612" i="1"/>
  <c r="G18612" i="1"/>
  <c r="B18199" i="1"/>
  <c r="D18199" i="1"/>
  <c r="G18199" i="1"/>
  <c r="B20059" i="1"/>
  <c r="D20059" i="1"/>
  <c r="G20059" i="1"/>
  <c r="B12557" i="1"/>
  <c r="D12557" i="1"/>
  <c r="G12557" i="1"/>
  <c r="B13864" i="1"/>
  <c r="D13864" i="1"/>
  <c r="G13864" i="1"/>
  <c r="B21180" i="1"/>
  <c r="D21180" i="1"/>
  <c r="G21180" i="1"/>
  <c r="B16793" i="1"/>
  <c r="D16793" i="1"/>
  <c r="G16793" i="1"/>
  <c r="B18613" i="1"/>
  <c r="D18613" i="1"/>
  <c r="G18613" i="1"/>
  <c r="B12558" i="1"/>
  <c r="D12558" i="1"/>
  <c r="G12558" i="1"/>
  <c r="B13674" i="1"/>
  <c r="D13674" i="1"/>
  <c r="G13674" i="1"/>
  <c r="B13924" i="1"/>
  <c r="D13924" i="1"/>
  <c r="G13924" i="1"/>
  <c r="B21613" i="1"/>
  <c r="D21613" i="1"/>
  <c r="G21613" i="1"/>
  <c r="B19322" i="1"/>
  <c r="D19322" i="1"/>
  <c r="G19322" i="1"/>
  <c r="B18940" i="1"/>
  <c r="D18940" i="1"/>
  <c r="G18940" i="1"/>
  <c r="B13865" i="1"/>
  <c r="D13865" i="1"/>
  <c r="G13865" i="1"/>
  <c r="B19742" i="1"/>
  <c r="D19742" i="1"/>
  <c r="G19742" i="1"/>
  <c r="B21371" i="1"/>
  <c r="D21371" i="1"/>
  <c r="G21371" i="1"/>
  <c r="B10663" i="1"/>
  <c r="D10663" i="1"/>
  <c r="G10663" i="1"/>
  <c r="B16794" i="1"/>
  <c r="D16794" i="1"/>
  <c r="G16794" i="1"/>
  <c r="B17554" i="1"/>
  <c r="D17554" i="1"/>
  <c r="G17554" i="1"/>
  <c r="B6845" i="1"/>
  <c r="D6845" i="1"/>
  <c r="G6845" i="1"/>
  <c r="B2172" i="1"/>
  <c r="D2172" i="1"/>
  <c r="G2172" i="1"/>
  <c r="B9920" i="1"/>
  <c r="D9920" i="1"/>
  <c r="G9920" i="1"/>
  <c r="B19743" i="1"/>
  <c r="D19743" i="1"/>
  <c r="G19743" i="1"/>
  <c r="B12284" i="1"/>
  <c r="D12284" i="1"/>
  <c r="G12284" i="1"/>
  <c r="B10664" i="1"/>
  <c r="D10664" i="1"/>
  <c r="G10664" i="1"/>
  <c r="B10665" i="1"/>
  <c r="D10665" i="1"/>
  <c r="G10665" i="1"/>
  <c r="B10997" i="1"/>
  <c r="D10997" i="1"/>
  <c r="G10997" i="1"/>
  <c r="B10998" i="1"/>
  <c r="D10998" i="1"/>
  <c r="G10998" i="1"/>
  <c r="B10999" i="1"/>
  <c r="D10999" i="1"/>
  <c r="G10999" i="1"/>
  <c r="B11249" i="1"/>
  <c r="D11249" i="1"/>
  <c r="G11249" i="1"/>
  <c r="B12285" i="1"/>
  <c r="D12285" i="1"/>
  <c r="G12285" i="1"/>
  <c r="B11250" i="1"/>
  <c r="D11250" i="1"/>
  <c r="G11250" i="1"/>
  <c r="B10384" i="1"/>
  <c r="D10384" i="1"/>
  <c r="G10384" i="1"/>
  <c r="B1009" i="1"/>
  <c r="D1009" i="1"/>
  <c r="G1009" i="1"/>
  <c r="B11251" i="1"/>
  <c r="D11251" i="1"/>
  <c r="G11251" i="1"/>
  <c r="B7383" i="1"/>
  <c r="D7383" i="1"/>
  <c r="G7383" i="1"/>
  <c r="B7638" i="1"/>
  <c r="D7638" i="1"/>
  <c r="G7638" i="1"/>
  <c r="B12286" i="1"/>
  <c r="D12286" i="1"/>
  <c r="G12286" i="1"/>
  <c r="B17608" i="1"/>
  <c r="D17608" i="1"/>
  <c r="G17608" i="1"/>
  <c r="B18758" i="1"/>
  <c r="D18758" i="1"/>
  <c r="G18758" i="1"/>
  <c r="B13488" i="1"/>
  <c r="D13488" i="1"/>
  <c r="G13488" i="1"/>
  <c r="B1358" i="1"/>
  <c r="D1358" i="1"/>
  <c r="G1358" i="1"/>
  <c r="B14287" i="1"/>
  <c r="D14287" i="1"/>
  <c r="G14287" i="1"/>
  <c r="B11000" i="1"/>
  <c r="D11000" i="1"/>
  <c r="G11000" i="1"/>
  <c r="B13121" i="1"/>
  <c r="D13121" i="1"/>
  <c r="G13121" i="1"/>
  <c r="B17243" i="1"/>
  <c r="D17243" i="1"/>
  <c r="G17243" i="1"/>
  <c r="B18200" i="1"/>
  <c r="D18200" i="1"/>
  <c r="G18200" i="1"/>
  <c r="B20437" i="1"/>
  <c r="D20437" i="1"/>
  <c r="G20437" i="1"/>
  <c r="B20339" i="1"/>
  <c r="D20339" i="1"/>
  <c r="G20339" i="1"/>
  <c r="B14361" i="1"/>
  <c r="D14361" i="1"/>
  <c r="G14361" i="1"/>
  <c r="B11001" i="1"/>
  <c r="D11001" i="1"/>
  <c r="G11001" i="1"/>
  <c r="B21181" i="1"/>
  <c r="D21181" i="1"/>
  <c r="G21181" i="1"/>
  <c r="B22084" i="1"/>
  <c r="D22084" i="1"/>
  <c r="G22084" i="1"/>
  <c r="B8150" i="1"/>
  <c r="D8150" i="1"/>
  <c r="G8150" i="1"/>
  <c r="B1030" i="1"/>
  <c r="D1030" i="1"/>
  <c r="G1030" i="1"/>
  <c r="B9043" i="1"/>
  <c r="D9043" i="1"/>
  <c r="G9043" i="1"/>
  <c r="B13122" i="1"/>
  <c r="D13122" i="1"/>
  <c r="G13122" i="1"/>
  <c r="B4029" i="1"/>
  <c r="D4029" i="1"/>
  <c r="G4029" i="1"/>
  <c r="B12287" i="1"/>
  <c r="D12287" i="1"/>
  <c r="G12287" i="1"/>
  <c r="B9800" i="1"/>
  <c r="D9800" i="1"/>
  <c r="G9800" i="1"/>
  <c r="B9801" i="1"/>
  <c r="D9801" i="1"/>
  <c r="G9801" i="1"/>
  <c r="B11314" i="1"/>
  <c r="D11314" i="1"/>
  <c r="G11314" i="1"/>
  <c r="B14518" i="1"/>
  <c r="D14518" i="1"/>
  <c r="G14518" i="1"/>
  <c r="B1551" i="1"/>
  <c r="D1551" i="1"/>
  <c r="G1551" i="1"/>
  <c r="B8354" i="1"/>
  <c r="D8354" i="1"/>
  <c r="G8354" i="1"/>
  <c r="B21614" i="1"/>
  <c r="D21614" i="1"/>
  <c r="G21614" i="1"/>
  <c r="B19744" i="1"/>
  <c r="D19744" i="1"/>
  <c r="G19744" i="1"/>
  <c r="B18614" i="1"/>
  <c r="D18614" i="1"/>
  <c r="G18614" i="1"/>
  <c r="B8288" i="1"/>
  <c r="D8288" i="1"/>
  <c r="G8288" i="1"/>
  <c r="B11252" i="1"/>
  <c r="D11252" i="1"/>
  <c r="G11252" i="1"/>
  <c r="B8289" i="1"/>
  <c r="D8289" i="1"/>
  <c r="G8289" i="1"/>
  <c r="B7265" i="1"/>
  <c r="D7265" i="1"/>
  <c r="G7265" i="1"/>
  <c r="B7266" i="1"/>
  <c r="D7266" i="1"/>
  <c r="G7266" i="1"/>
  <c r="B8029" i="1"/>
  <c r="D8029" i="1"/>
  <c r="G8029" i="1"/>
  <c r="B8030" i="1"/>
  <c r="D8030" i="1"/>
  <c r="G8030" i="1"/>
  <c r="B20935" i="1"/>
  <c r="D20935" i="1"/>
  <c r="G20935" i="1"/>
  <c r="B18213" i="1"/>
  <c r="D18213" i="1"/>
  <c r="G18213" i="1"/>
  <c r="B18941" i="1"/>
  <c r="D18941" i="1"/>
  <c r="G18941" i="1"/>
  <c r="B7267" i="1"/>
  <c r="D7267" i="1"/>
  <c r="G7267" i="1"/>
  <c r="B7268" i="1"/>
  <c r="D7268" i="1"/>
  <c r="G7268" i="1"/>
  <c r="B8031" i="1"/>
  <c r="D8031" i="1"/>
  <c r="G8031" i="1"/>
  <c r="B8032" i="1"/>
  <c r="D8032" i="1"/>
  <c r="G8032" i="1"/>
  <c r="B15694" i="1"/>
  <c r="D15694" i="1"/>
  <c r="G15694" i="1"/>
  <c r="B14010" i="1"/>
  <c r="D14010" i="1"/>
  <c r="G14010" i="1"/>
  <c r="B22213" i="1"/>
  <c r="D22213" i="1"/>
  <c r="G22213" i="1"/>
  <c r="B14281" i="1"/>
  <c r="D14281" i="1"/>
  <c r="G14281" i="1"/>
  <c r="B789" i="1"/>
  <c r="D789" i="1"/>
  <c r="G789" i="1"/>
  <c r="B8151" i="1"/>
  <c r="D8151" i="1"/>
  <c r="G8151" i="1"/>
  <c r="B18942" i="1"/>
  <c r="D18942" i="1"/>
  <c r="G18942" i="1"/>
  <c r="B15269" i="1"/>
  <c r="D15269" i="1"/>
  <c r="G15269" i="1"/>
  <c r="B9566" i="1"/>
  <c r="D9566" i="1"/>
  <c r="G9566" i="1"/>
  <c r="B9567" i="1"/>
  <c r="D9567" i="1"/>
  <c r="G9567" i="1"/>
  <c r="B15608" i="1"/>
  <c r="D15608" i="1"/>
  <c r="G15608" i="1"/>
  <c r="B11643" i="1"/>
  <c r="D11643" i="1"/>
  <c r="G11643" i="1"/>
  <c r="B12288" i="1"/>
  <c r="D12288" i="1"/>
  <c r="G12288" i="1"/>
  <c r="B14657" i="1"/>
  <c r="D14657" i="1"/>
  <c r="G14657" i="1"/>
  <c r="B15270" i="1"/>
  <c r="D15270" i="1"/>
  <c r="G15270" i="1"/>
  <c r="B12559" i="1"/>
  <c r="D12559" i="1"/>
  <c r="G12559" i="1"/>
  <c r="B16795" i="1"/>
  <c r="D16795" i="1"/>
  <c r="G16795" i="1"/>
  <c r="B13349" i="1"/>
  <c r="D13349" i="1"/>
  <c r="G13349" i="1"/>
  <c r="B19745" i="1"/>
  <c r="D19745" i="1"/>
  <c r="G19745" i="1"/>
  <c r="B14758" i="1"/>
  <c r="D14758" i="1"/>
  <c r="G14758" i="1"/>
  <c r="B20936" i="1"/>
  <c r="D20936" i="1"/>
  <c r="G20936" i="1"/>
  <c r="B13350" i="1"/>
  <c r="D13350" i="1"/>
  <c r="G13350" i="1"/>
  <c r="B19746" i="1"/>
  <c r="D19746" i="1"/>
  <c r="G19746" i="1"/>
  <c r="B19323" i="1"/>
  <c r="D19323" i="1"/>
  <c r="G19323" i="1"/>
  <c r="B14658" i="1"/>
  <c r="D14658" i="1"/>
  <c r="G14658" i="1"/>
  <c r="B12910" i="1"/>
  <c r="D12910" i="1"/>
  <c r="G12910" i="1"/>
  <c r="B15271" i="1"/>
  <c r="D15271" i="1"/>
  <c r="G15271" i="1"/>
  <c r="B18201" i="1"/>
  <c r="D18201" i="1"/>
  <c r="G18201" i="1"/>
  <c r="B12911" i="1"/>
  <c r="D12911" i="1"/>
  <c r="G12911" i="1"/>
  <c r="B21651" i="1"/>
  <c r="D21651" i="1"/>
  <c r="G21651" i="1"/>
  <c r="B19090" i="1"/>
  <c r="D19090" i="1"/>
  <c r="G19090" i="1"/>
  <c r="B12289" i="1"/>
  <c r="D12289" i="1"/>
  <c r="G12289" i="1"/>
  <c r="B8033" i="1"/>
  <c r="D8033" i="1"/>
  <c r="G8033" i="1"/>
  <c r="B8034" i="1"/>
  <c r="D8034" i="1"/>
  <c r="G8034" i="1"/>
  <c r="B19324" i="1"/>
  <c r="D19324" i="1"/>
  <c r="G19324" i="1"/>
  <c r="B343" i="1"/>
  <c r="D343" i="1"/>
  <c r="G343" i="1"/>
  <c r="B11447" i="1"/>
  <c r="D11447" i="1"/>
  <c r="G11447" i="1"/>
  <c r="B11352" i="1"/>
  <c r="D11352" i="1"/>
  <c r="G11352" i="1"/>
  <c r="B20988" i="1"/>
  <c r="D20988" i="1"/>
  <c r="G20988" i="1"/>
  <c r="B18254" i="1"/>
  <c r="D18254" i="1"/>
  <c r="G18254" i="1"/>
  <c r="B13866" i="1"/>
  <c r="D13866" i="1"/>
  <c r="G13866" i="1"/>
  <c r="B339" i="1"/>
  <c r="D339" i="1"/>
  <c r="G339" i="1"/>
  <c r="B19325" i="1"/>
  <c r="D19325" i="1"/>
  <c r="G19325" i="1"/>
  <c r="B15272" i="1"/>
  <c r="D15272" i="1"/>
  <c r="G15272" i="1"/>
  <c r="B10666" i="1"/>
  <c r="D10666" i="1"/>
  <c r="G10666" i="1"/>
  <c r="B11002" i="1"/>
  <c r="D11002" i="1"/>
  <c r="G11002" i="1"/>
  <c r="B10667" i="1"/>
  <c r="D10667" i="1"/>
  <c r="G10667" i="1"/>
  <c r="B21182" i="1"/>
  <c r="D21182" i="1"/>
  <c r="G21182" i="1"/>
  <c r="B7639" i="1"/>
  <c r="D7639" i="1"/>
  <c r="G7639" i="1"/>
  <c r="B21307" i="1"/>
  <c r="D21307" i="1"/>
  <c r="G21307" i="1"/>
  <c r="B14804" i="1"/>
  <c r="D14804" i="1"/>
  <c r="G14804" i="1"/>
  <c r="B12912" i="1"/>
  <c r="D12912" i="1"/>
  <c r="G12912" i="1"/>
  <c r="B3290" i="1"/>
  <c r="D3290" i="1"/>
  <c r="G3290" i="1"/>
  <c r="B3291" i="1"/>
  <c r="D3291" i="1"/>
  <c r="G3291" i="1"/>
  <c r="B21447" i="1"/>
  <c r="D21447" i="1"/>
  <c r="G21447" i="1"/>
  <c r="B11048" i="1"/>
  <c r="D11048" i="1"/>
  <c r="G11048" i="1"/>
  <c r="B19924" i="1"/>
  <c r="D19924" i="1"/>
  <c r="G19924" i="1"/>
  <c r="B19925" i="1"/>
  <c r="D19925" i="1"/>
  <c r="G19925" i="1"/>
  <c r="B17910" i="1"/>
  <c r="D17910" i="1"/>
  <c r="G17910" i="1"/>
  <c r="B10668" i="1"/>
  <c r="D10668" i="1"/>
  <c r="G10668" i="1"/>
  <c r="B9044" i="1"/>
  <c r="D9044" i="1"/>
  <c r="G9044" i="1"/>
  <c r="B14393" i="1"/>
  <c r="D14393" i="1"/>
  <c r="G14393" i="1"/>
  <c r="B20185" i="1"/>
  <c r="D20185" i="1"/>
  <c r="G20185" i="1"/>
  <c r="B14462" i="1"/>
  <c r="D14462" i="1"/>
  <c r="G14462" i="1"/>
  <c r="B14047" i="1"/>
  <c r="D14047" i="1"/>
  <c r="G14047" i="1"/>
  <c r="B13611" i="1"/>
  <c r="D13611" i="1"/>
  <c r="G13611" i="1"/>
  <c r="B3371" i="1"/>
  <c r="D3371" i="1"/>
  <c r="G3371" i="1"/>
  <c r="B17277" i="1"/>
  <c r="D17277" i="1"/>
  <c r="G17277" i="1"/>
  <c r="B2173" i="1"/>
  <c r="D2173" i="1"/>
  <c r="G2173" i="1"/>
  <c r="B21976" i="1"/>
  <c r="D21976" i="1"/>
  <c r="G21976" i="1"/>
  <c r="B17555" i="1"/>
  <c r="D17555" i="1"/>
  <c r="G17555" i="1"/>
  <c r="B13796" i="1"/>
  <c r="D13796" i="1"/>
  <c r="G13796" i="1"/>
  <c r="B19747" i="1"/>
  <c r="D19747" i="1"/>
  <c r="G19747" i="1"/>
  <c r="B18664" i="1"/>
  <c r="D18664" i="1"/>
  <c r="G18664" i="1"/>
  <c r="B19091" i="1"/>
  <c r="D19091" i="1"/>
  <c r="G19091" i="1"/>
  <c r="B19326" i="1"/>
  <c r="D19326" i="1"/>
  <c r="G19326" i="1"/>
  <c r="B14253" i="1"/>
  <c r="D14253" i="1"/>
  <c r="G14253" i="1"/>
  <c r="B21183" i="1"/>
  <c r="D21183" i="1"/>
  <c r="G21183" i="1"/>
  <c r="B15273" i="1"/>
  <c r="D15273" i="1"/>
  <c r="G15273" i="1"/>
  <c r="B20438" i="1"/>
  <c r="D20438" i="1"/>
  <c r="G20438" i="1"/>
  <c r="B11253" i="1"/>
  <c r="D11253" i="1"/>
  <c r="G11253" i="1"/>
  <c r="B3372" i="1"/>
  <c r="D3372" i="1"/>
  <c r="G3372" i="1"/>
  <c r="B20047" i="1"/>
  <c r="D20047" i="1"/>
  <c r="G20047" i="1"/>
  <c r="B20937" i="1"/>
  <c r="D20937" i="1"/>
  <c r="G20937" i="1"/>
  <c r="B19327" i="1"/>
  <c r="D19327" i="1"/>
  <c r="G19327" i="1"/>
  <c r="B4432" i="1"/>
  <c r="D4432" i="1"/>
  <c r="G4432" i="1"/>
  <c r="B13351" i="1"/>
  <c r="D13351" i="1"/>
  <c r="G13351" i="1"/>
  <c r="B10385" i="1"/>
  <c r="D10385" i="1"/>
  <c r="G10385" i="1"/>
  <c r="B19832" i="1"/>
  <c r="D19832" i="1"/>
  <c r="G19832" i="1"/>
  <c r="B11003" i="1"/>
  <c r="D11003" i="1"/>
  <c r="G11003" i="1"/>
  <c r="B19748" i="1"/>
  <c r="D19748" i="1"/>
  <c r="G19748" i="1"/>
  <c r="B12290" i="1"/>
  <c r="D12290" i="1"/>
  <c r="G12290" i="1"/>
  <c r="B16796" i="1"/>
  <c r="D16796" i="1"/>
  <c r="G16796" i="1"/>
  <c r="B18615" i="1"/>
  <c r="D18615" i="1"/>
  <c r="G18615" i="1"/>
  <c r="B11004" i="1"/>
  <c r="D11004" i="1"/>
  <c r="G11004" i="1"/>
  <c r="B8359" i="1"/>
  <c r="D8359" i="1"/>
  <c r="G8359" i="1"/>
  <c r="B13473" i="1"/>
  <c r="D13473" i="1"/>
  <c r="G13473" i="1"/>
  <c r="B13211" i="1"/>
  <c r="D13211" i="1"/>
  <c r="G13211" i="1"/>
  <c r="B341" i="1"/>
  <c r="D341" i="1"/>
  <c r="G341" i="1"/>
  <c r="B6571" i="1"/>
  <c r="D6571" i="1"/>
  <c r="G6571" i="1"/>
  <c r="B6572" i="1"/>
  <c r="D6572" i="1"/>
  <c r="G6572" i="1"/>
  <c r="B17556" i="1"/>
  <c r="D17556" i="1"/>
  <c r="G17556" i="1"/>
  <c r="B4901" i="1"/>
  <c r="D4901" i="1"/>
  <c r="G4901" i="1"/>
  <c r="B4283" i="1"/>
  <c r="D4283" i="1"/>
  <c r="G4283" i="1"/>
  <c r="B14759" i="1"/>
  <c r="D14759" i="1"/>
  <c r="G14759" i="1"/>
  <c r="B19328" i="1"/>
  <c r="D19328" i="1"/>
  <c r="G19328" i="1"/>
  <c r="B14659" i="1"/>
  <c r="D14659" i="1"/>
  <c r="G14659" i="1"/>
  <c r="B10245" i="1"/>
  <c r="D10245" i="1"/>
  <c r="G10245" i="1"/>
  <c r="B15274" i="1"/>
  <c r="D15274" i="1"/>
  <c r="G15274" i="1"/>
  <c r="B21372" i="1"/>
  <c r="D21372" i="1"/>
  <c r="G21372" i="1"/>
  <c r="B12291" i="1"/>
  <c r="D12291" i="1"/>
  <c r="G12291" i="1"/>
  <c r="B14789" i="1"/>
  <c r="D14789" i="1"/>
  <c r="G14789" i="1"/>
  <c r="B9045" i="1"/>
  <c r="D9045" i="1"/>
  <c r="G9045" i="1"/>
  <c r="B10099" i="1"/>
  <c r="D10099" i="1"/>
  <c r="G10099" i="1"/>
  <c r="B12292" i="1"/>
  <c r="D12292" i="1"/>
  <c r="G12292" i="1"/>
  <c r="B10325" i="1"/>
  <c r="D10325" i="1"/>
  <c r="G10325" i="1"/>
  <c r="B22214" i="1"/>
  <c r="D22214" i="1"/>
  <c r="G22214" i="1"/>
  <c r="B18616" i="1"/>
  <c r="D18616" i="1"/>
  <c r="G18616" i="1"/>
  <c r="B20938" i="1"/>
  <c r="D20938" i="1"/>
  <c r="G20938" i="1"/>
  <c r="B19329" i="1"/>
  <c r="D19329" i="1"/>
  <c r="G19329" i="1"/>
  <c r="B14660" i="1"/>
  <c r="D14660" i="1"/>
  <c r="G14660" i="1"/>
  <c r="B12913" i="1"/>
  <c r="D12913" i="1"/>
  <c r="G12913" i="1"/>
  <c r="B4123" i="1"/>
  <c r="D4123" i="1"/>
  <c r="G4123" i="1"/>
  <c r="B4124" i="1"/>
  <c r="D4124" i="1"/>
  <c r="G4124" i="1"/>
  <c r="B9046" i="1"/>
  <c r="D9046" i="1"/>
  <c r="G9046" i="1"/>
  <c r="B21184" i="1"/>
  <c r="D21184" i="1"/>
  <c r="G21184" i="1"/>
  <c r="B4030" i="1"/>
  <c r="D4030" i="1"/>
  <c r="G4030" i="1"/>
  <c r="B19926" i="1"/>
  <c r="D19926" i="1"/>
  <c r="G19926" i="1"/>
  <c r="B9047" i="1"/>
  <c r="D9047" i="1"/>
  <c r="G9047" i="1"/>
  <c r="B7384" i="1"/>
  <c r="D7384" i="1"/>
  <c r="G7384" i="1"/>
  <c r="B21977" i="1"/>
  <c r="D21977" i="1"/>
  <c r="G21977" i="1"/>
  <c r="B7269" i="1"/>
  <c r="D7269" i="1"/>
  <c r="G7269" i="1"/>
  <c r="B7270" i="1"/>
  <c r="D7270" i="1"/>
  <c r="G7270" i="1"/>
  <c r="B12914" i="1"/>
  <c r="D12914" i="1"/>
  <c r="G12914" i="1"/>
  <c r="B12293" i="1"/>
  <c r="D12293" i="1"/>
  <c r="G12293" i="1"/>
  <c r="B20206" i="1"/>
  <c r="D20206" i="1"/>
  <c r="G20206" i="1"/>
  <c r="B13793" i="1"/>
  <c r="D13793" i="1"/>
  <c r="G13793" i="1"/>
  <c r="B17609" i="1"/>
  <c r="D17609" i="1"/>
  <c r="G17609" i="1"/>
  <c r="B20939" i="1"/>
  <c r="D20939" i="1"/>
  <c r="G20939" i="1"/>
  <c r="B20940" i="1"/>
  <c r="D20940" i="1"/>
  <c r="G20940" i="1"/>
  <c r="B7053" i="1"/>
  <c r="D7053" i="1"/>
  <c r="G7053" i="1"/>
  <c r="B12357" i="1"/>
  <c r="D12357" i="1"/>
  <c r="G12357" i="1"/>
  <c r="B20146" i="1"/>
  <c r="D20146" i="1"/>
  <c r="G20146" i="1"/>
  <c r="B20088" i="1"/>
  <c r="D20088" i="1"/>
  <c r="G20088" i="1"/>
  <c r="B12294" i="1"/>
  <c r="D12294" i="1"/>
  <c r="G12294" i="1"/>
  <c r="B17911" i="1"/>
  <c r="D17911" i="1"/>
  <c r="G17911" i="1"/>
  <c r="B16797" i="1"/>
  <c r="D16797" i="1"/>
  <c r="G16797" i="1"/>
  <c r="B12295" i="1"/>
  <c r="D12295" i="1"/>
  <c r="G12295" i="1"/>
  <c r="B14326" i="1"/>
  <c r="D14326" i="1"/>
  <c r="G14326" i="1"/>
  <c r="B9421" i="1"/>
  <c r="D9421" i="1"/>
  <c r="G9421" i="1"/>
  <c r="B22085" i="1"/>
  <c r="D22085" i="1"/>
  <c r="G22085" i="1"/>
  <c r="B13442" i="1"/>
  <c r="D13442" i="1"/>
  <c r="G13442" i="1"/>
  <c r="B13352" i="1"/>
  <c r="D13352" i="1"/>
  <c r="G13352" i="1"/>
  <c r="B17912" i="1"/>
  <c r="D17912" i="1"/>
  <c r="G17912" i="1"/>
  <c r="B21185" i="1"/>
  <c r="D21185" i="1"/>
  <c r="G21185" i="1"/>
  <c r="B13123" i="1"/>
  <c r="D13123" i="1"/>
  <c r="G13123" i="1"/>
  <c r="B14254" i="1"/>
  <c r="D14254" i="1"/>
  <c r="G14254" i="1"/>
  <c r="B20941" i="1"/>
  <c r="D20941" i="1"/>
  <c r="G20941" i="1"/>
  <c r="B13993" i="1"/>
  <c r="D13993" i="1"/>
  <c r="G13993" i="1"/>
  <c r="B17557" i="1"/>
  <c r="D17557" i="1"/>
  <c r="G17557" i="1"/>
  <c r="B19330" i="1"/>
  <c r="D19330" i="1"/>
  <c r="G19330" i="1"/>
  <c r="B14567" i="1"/>
  <c r="D14567" i="1"/>
  <c r="G14567" i="1"/>
  <c r="B14470" i="1"/>
  <c r="D14470" i="1"/>
  <c r="G14470" i="1"/>
  <c r="B14519" i="1"/>
  <c r="D14519" i="1"/>
  <c r="G14519" i="1"/>
  <c r="B16070" i="1"/>
  <c r="D16070" i="1"/>
  <c r="G16070" i="1"/>
  <c r="B19092" i="1"/>
  <c r="D19092" i="1"/>
  <c r="G19092" i="1"/>
  <c r="B18943" i="1"/>
  <c r="D18943" i="1"/>
  <c r="G18943" i="1"/>
  <c r="B14760" i="1"/>
  <c r="D14760" i="1"/>
  <c r="G14760" i="1"/>
  <c r="B19749" i="1"/>
  <c r="D19749" i="1"/>
  <c r="G19749" i="1"/>
  <c r="B10669" i="1"/>
  <c r="D10669" i="1"/>
  <c r="G10669" i="1"/>
  <c r="B7640" i="1"/>
  <c r="D7640" i="1"/>
  <c r="G7640" i="1"/>
  <c r="B15609" i="1"/>
  <c r="D15609" i="1"/>
  <c r="G15609" i="1"/>
  <c r="B15931" i="1"/>
  <c r="D15931" i="1"/>
  <c r="G15931" i="1"/>
  <c r="B15826" i="1"/>
  <c r="D15826" i="1"/>
  <c r="G15826" i="1"/>
  <c r="B8035" i="1"/>
  <c r="D8035" i="1"/>
  <c r="G8035" i="1"/>
  <c r="B8036" i="1"/>
  <c r="D8036" i="1"/>
  <c r="G8036" i="1"/>
  <c r="B9048" i="1"/>
  <c r="D9048" i="1"/>
  <c r="G9048" i="1"/>
  <c r="B9921" i="1"/>
  <c r="D9921" i="1"/>
  <c r="G9921" i="1"/>
  <c r="B15275" i="1"/>
  <c r="D15275" i="1"/>
  <c r="G15275" i="1"/>
  <c r="B14288" i="1"/>
  <c r="D14288" i="1"/>
  <c r="G14288" i="1"/>
  <c r="B17558" i="1"/>
  <c r="D17558" i="1"/>
  <c r="G17558" i="1"/>
  <c r="B12296" i="1"/>
  <c r="D12296" i="1"/>
  <c r="G12296" i="1"/>
  <c r="B22215" i="1"/>
  <c r="D22215" i="1"/>
  <c r="G22215" i="1"/>
  <c r="B4854" i="1"/>
  <c r="D4854" i="1"/>
  <c r="G4854" i="1"/>
  <c r="B8609" i="1"/>
  <c r="D8609" i="1"/>
  <c r="G8609" i="1"/>
  <c r="B9185" i="1"/>
  <c r="D9185" i="1"/>
  <c r="G9185" i="1"/>
  <c r="B16798" i="1"/>
  <c r="D16798" i="1"/>
  <c r="G16798" i="1"/>
  <c r="B14327" i="1"/>
  <c r="D14327" i="1"/>
  <c r="G14327" i="1"/>
  <c r="B13124" i="1"/>
  <c r="D13124" i="1"/>
  <c r="G13124" i="1"/>
  <c r="B21397" i="1"/>
  <c r="D21397" i="1"/>
  <c r="G21397" i="1"/>
  <c r="B20207" i="1"/>
  <c r="D20207" i="1"/>
  <c r="G20207" i="1"/>
  <c r="B13353" i="1"/>
  <c r="D13353" i="1"/>
  <c r="G13353" i="1"/>
  <c r="B20089" i="1"/>
  <c r="D20089" i="1"/>
  <c r="G20089" i="1"/>
  <c r="B12915" i="1"/>
  <c r="D12915" i="1"/>
  <c r="G12915" i="1"/>
  <c r="B12297" i="1"/>
  <c r="D12297" i="1"/>
  <c r="G12297" i="1"/>
  <c r="B19750" i="1"/>
  <c r="D19750" i="1"/>
  <c r="G19750" i="1"/>
  <c r="B19751" i="1"/>
  <c r="D19751" i="1"/>
  <c r="G19751" i="1"/>
  <c r="B18617" i="1"/>
  <c r="D18617" i="1"/>
  <c r="G18617" i="1"/>
  <c r="B14139" i="1"/>
  <c r="D14139" i="1"/>
  <c r="G14139" i="1"/>
  <c r="B13354" i="1"/>
  <c r="D13354" i="1"/>
  <c r="G13354" i="1"/>
  <c r="B9049" i="1"/>
  <c r="D9049" i="1"/>
  <c r="G9049" i="1"/>
  <c r="B12298" i="1"/>
  <c r="D12298" i="1"/>
  <c r="G12298" i="1"/>
  <c r="B10386" i="1"/>
  <c r="D10386" i="1"/>
  <c r="G10386" i="1"/>
  <c r="B15276" i="1"/>
  <c r="D15276" i="1"/>
  <c r="G15276" i="1"/>
  <c r="B11005" i="1"/>
  <c r="D11005" i="1"/>
  <c r="G11005" i="1"/>
  <c r="B20942" i="1"/>
  <c r="D20942" i="1"/>
  <c r="G20942" i="1"/>
  <c r="B13902" i="1"/>
  <c r="D13902" i="1"/>
  <c r="G13902" i="1"/>
  <c r="B19752" i="1"/>
  <c r="D19752" i="1"/>
  <c r="G19752" i="1"/>
  <c r="B20700" i="1"/>
  <c r="D20700" i="1"/>
  <c r="G20700" i="1"/>
  <c r="B14176" i="1"/>
  <c r="D14176" i="1"/>
  <c r="G14176" i="1"/>
  <c r="B18202" i="1"/>
  <c r="D18202" i="1"/>
  <c r="G18202" i="1"/>
  <c r="B15277" i="1"/>
  <c r="D15277" i="1"/>
  <c r="G15277" i="1"/>
  <c r="B12705" i="1"/>
  <c r="D12705" i="1"/>
  <c r="G12705" i="1"/>
  <c r="B13355" i="1"/>
  <c r="D13355" i="1"/>
  <c r="G13355" i="1"/>
  <c r="B13945" i="1"/>
  <c r="D13945" i="1"/>
  <c r="G13945" i="1"/>
  <c r="B19753" i="1"/>
  <c r="D19753" i="1"/>
  <c r="G19753" i="1"/>
  <c r="B14362" i="1"/>
  <c r="D14362" i="1"/>
  <c r="G14362" i="1"/>
  <c r="B12560" i="1"/>
  <c r="D12560" i="1"/>
  <c r="G12560" i="1"/>
  <c r="B12561" i="1"/>
  <c r="D12561" i="1"/>
  <c r="G12561" i="1"/>
  <c r="B17913" i="1"/>
  <c r="D17913" i="1"/>
  <c r="G17913" i="1"/>
  <c r="B17191" i="1"/>
  <c r="D17191" i="1"/>
  <c r="G17191" i="1"/>
  <c r="B7641" i="1"/>
  <c r="D7641" i="1"/>
  <c r="G7641" i="1"/>
  <c r="B12916" i="1"/>
  <c r="D12916" i="1"/>
  <c r="G12916" i="1"/>
  <c r="B9050" i="1"/>
  <c r="D9050" i="1"/>
  <c r="G9050" i="1"/>
  <c r="B14568" i="1"/>
  <c r="D14568" i="1"/>
  <c r="G14568" i="1"/>
  <c r="B16071" i="1"/>
  <c r="D16071" i="1"/>
  <c r="G16071" i="1"/>
  <c r="B14569" i="1"/>
  <c r="D14569" i="1"/>
  <c r="G14569" i="1"/>
  <c r="B8618" i="1"/>
  <c r="D8618" i="1"/>
  <c r="G8618" i="1"/>
  <c r="B17914" i="1"/>
  <c r="D17914" i="1"/>
  <c r="G17914" i="1"/>
  <c r="B14520" i="1"/>
  <c r="D14520" i="1"/>
  <c r="G14520" i="1"/>
  <c r="B20340" i="1"/>
  <c r="D20340" i="1"/>
  <c r="G20340" i="1"/>
  <c r="B21615" i="1"/>
  <c r="D21615" i="1"/>
  <c r="G21615" i="1"/>
  <c r="B16799" i="1"/>
  <c r="D16799" i="1"/>
  <c r="G16799" i="1"/>
  <c r="B16800" i="1"/>
  <c r="D16800" i="1"/>
  <c r="G16800" i="1"/>
  <c r="B13946" i="1"/>
  <c r="D13946" i="1"/>
  <c r="G13946" i="1"/>
  <c r="B3045" i="1"/>
  <c r="D3045" i="1"/>
  <c r="G3045" i="1"/>
  <c r="B18759" i="1"/>
  <c r="D18759" i="1"/>
  <c r="G18759" i="1"/>
  <c r="B19331" i="1"/>
  <c r="D19331" i="1"/>
  <c r="G19331" i="1"/>
  <c r="B18944" i="1"/>
  <c r="D18944" i="1"/>
  <c r="G18944" i="1"/>
  <c r="B22086" i="1"/>
  <c r="D22086" i="1"/>
  <c r="G22086" i="1"/>
  <c r="B15610" i="1"/>
  <c r="D15610" i="1"/>
  <c r="G15610" i="1"/>
  <c r="B15932" i="1"/>
  <c r="D15932" i="1"/>
  <c r="G15932" i="1"/>
  <c r="B15611" i="1"/>
  <c r="D15611" i="1"/>
  <c r="G15611" i="1"/>
  <c r="B15827" i="1"/>
  <c r="D15827" i="1"/>
  <c r="G15827" i="1"/>
  <c r="B15933" i="1"/>
  <c r="D15933" i="1"/>
  <c r="G15933" i="1"/>
  <c r="B15828" i="1"/>
  <c r="D15828" i="1"/>
  <c r="G15828" i="1"/>
  <c r="B12917" i="1"/>
  <c r="D12917" i="1"/>
  <c r="G12917" i="1"/>
  <c r="B15278" i="1"/>
  <c r="D15278" i="1"/>
  <c r="G15278" i="1"/>
  <c r="B15695" i="1"/>
  <c r="D15695" i="1"/>
  <c r="G15695" i="1"/>
  <c r="B20943" i="1"/>
  <c r="D20943" i="1"/>
  <c r="G20943" i="1"/>
  <c r="B17915" i="1"/>
  <c r="D17915" i="1"/>
  <c r="G17915" i="1"/>
  <c r="B20186" i="1"/>
  <c r="D20186" i="1"/>
  <c r="G20186" i="1"/>
  <c r="B19754" i="1"/>
  <c r="D19754" i="1"/>
  <c r="G19754" i="1"/>
  <c r="B15612" i="1"/>
  <c r="D15612" i="1"/>
  <c r="G15612" i="1"/>
  <c r="B22087" i="1"/>
  <c r="D22087" i="1"/>
  <c r="G22087" i="1"/>
  <c r="B9186" i="1"/>
  <c r="D9186" i="1"/>
  <c r="G9186" i="1"/>
  <c r="B14661" i="1"/>
  <c r="D14661" i="1"/>
  <c r="G14661" i="1"/>
  <c r="B18100" i="1"/>
  <c r="D18100" i="1"/>
  <c r="G18100" i="1"/>
  <c r="B15279" i="1"/>
  <c r="D15279" i="1"/>
  <c r="G15279" i="1"/>
  <c r="B15613" i="1"/>
  <c r="D15613" i="1"/>
  <c r="G15613" i="1"/>
  <c r="B9051" i="1"/>
  <c r="D9051" i="1"/>
  <c r="G9051" i="1"/>
  <c r="B8037" i="1"/>
  <c r="D8037" i="1"/>
  <c r="G8037" i="1"/>
  <c r="B8038" i="1"/>
  <c r="D8038" i="1"/>
  <c r="G8038" i="1"/>
  <c r="B21415" i="1"/>
  <c r="D21415" i="1"/>
  <c r="G21415" i="1"/>
  <c r="B20701" i="1"/>
  <c r="D20701" i="1"/>
  <c r="G20701" i="1"/>
  <c r="B14761" i="1"/>
  <c r="D14761" i="1"/>
  <c r="G14761" i="1"/>
  <c r="B13616" i="1"/>
  <c r="D13616" i="1"/>
  <c r="G13616" i="1"/>
  <c r="B16801" i="1"/>
  <c r="D16801" i="1"/>
  <c r="G16801" i="1"/>
  <c r="B9052" i="1"/>
  <c r="D9052" i="1"/>
  <c r="G9052" i="1"/>
  <c r="B10072" i="1"/>
  <c r="D10072" i="1"/>
  <c r="G10072" i="1"/>
  <c r="B10073" i="1"/>
  <c r="D10073" i="1"/>
  <c r="G10073" i="1"/>
  <c r="B16802" i="1"/>
  <c r="D16802" i="1"/>
  <c r="G16802" i="1"/>
  <c r="B22216" i="1"/>
  <c r="D22216" i="1"/>
  <c r="G22216" i="1"/>
  <c r="B12299" i="1"/>
  <c r="D12299" i="1"/>
  <c r="G12299" i="1"/>
  <c r="B16049" i="1"/>
  <c r="D16049" i="1"/>
  <c r="G16049" i="1"/>
  <c r="B17916" i="1"/>
  <c r="D17916" i="1"/>
  <c r="G17916" i="1"/>
  <c r="B12562" i="1"/>
  <c r="D12562" i="1"/>
  <c r="G12562" i="1"/>
  <c r="B12563" i="1"/>
  <c r="D12563" i="1"/>
  <c r="G12563" i="1"/>
  <c r="B15280" i="1"/>
  <c r="D15280" i="1"/>
  <c r="G15280" i="1"/>
  <c r="B10670" i="1"/>
  <c r="D10670" i="1"/>
  <c r="G10670" i="1"/>
  <c r="B955" i="1"/>
  <c r="D955" i="1"/>
  <c r="G955" i="1"/>
  <c r="B21186" i="1"/>
  <c r="D21186" i="1"/>
  <c r="G21186" i="1"/>
  <c r="B13425" i="1"/>
  <c r="D13425" i="1"/>
  <c r="G13425" i="1"/>
  <c r="B11839" i="1"/>
  <c r="D11839" i="1"/>
  <c r="G11839" i="1"/>
  <c r="B19927" i="1"/>
  <c r="D19927" i="1"/>
  <c r="G19927" i="1"/>
  <c r="B14343" i="1"/>
  <c r="D14343" i="1"/>
  <c r="G14343" i="1"/>
  <c r="B12300" i="1"/>
  <c r="D12300" i="1"/>
  <c r="G12300" i="1"/>
  <c r="B20944" i="1"/>
  <c r="D20944" i="1"/>
  <c r="G20944" i="1"/>
  <c r="B14059" i="1"/>
  <c r="D14059" i="1"/>
  <c r="G14059" i="1"/>
  <c r="B14071" i="1"/>
  <c r="D14071" i="1"/>
  <c r="G14071" i="1"/>
  <c r="B13909" i="1"/>
  <c r="D13909" i="1"/>
  <c r="G13909" i="1"/>
  <c r="B10161" i="1"/>
  <c r="D10161" i="1"/>
  <c r="G10161" i="1"/>
  <c r="B20702" i="1"/>
  <c r="D20702" i="1"/>
  <c r="G20702" i="1"/>
  <c r="B13973" i="1"/>
  <c r="D13973" i="1"/>
  <c r="G13973" i="1"/>
  <c r="B21978" i="1"/>
  <c r="D21978" i="1"/>
  <c r="G21978" i="1"/>
  <c r="B13994" i="1"/>
  <c r="D13994" i="1"/>
  <c r="G13994" i="1"/>
  <c r="B17192" i="1"/>
  <c r="D17192" i="1"/>
  <c r="G17192" i="1"/>
  <c r="B13236" i="1"/>
  <c r="D13236" i="1"/>
  <c r="G13236" i="1"/>
  <c r="B12951" i="1"/>
  <c r="D12951" i="1"/>
  <c r="G12951" i="1"/>
  <c r="B13406" i="1"/>
  <c r="D13406" i="1"/>
  <c r="G13406" i="1"/>
  <c r="B19755" i="1"/>
  <c r="D19755" i="1"/>
  <c r="G19755" i="1"/>
  <c r="B10190" i="1"/>
  <c r="D10190" i="1"/>
  <c r="G10190" i="1"/>
  <c r="B16803" i="1"/>
  <c r="D16803" i="1"/>
  <c r="G16803" i="1"/>
  <c r="B15281" i="1"/>
  <c r="D15281" i="1"/>
  <c r="G15281" i="1"/>
  <c r="B20341" i="1"/>
  <c r="D20341" i="1"/>
  <c r="G20341" i="1"/>
  <c r="B15614" i="1"/>
  <c r="D15614" i="1"/>
  <c r="G15614" i="1"/>
  <c r="B13125" i="1"/>
  <c r="D13125" i="1"/>
  <c r="G13125" i="1"/>
  <c r="B13237" i="1"/>
  <c r="D13237" i="1"/>
  <c r="G13237" i="1"/>
  <c r="B17024" i="1"/>
  <c r="D17024" i="1"/>
  <c r="G17024" i="1"/>
  <c r="B18618" i="1"/>
  <c r="D18618" i="1"/>
  <c r="G18618" i="1"/>
  <c r="B18619" i="1"/>
  <c r="D18619" i="1"/>
  <c r="G18619" i="1"/>
  <c r="B9053" i="1"/>
  <c r="D9053" i="1"/>
  <c r="G9053" i="1"/>
  <c r="B9054" i="1"/>
  <c r="D9054" i="1"/>
  <c r="G9054" i="1"/>
  <c r="B15615" i="1"/>
  <c r="D15615" i="1"/>
  <c r="G15615" i="1"/>
  <c r="B15282" i="1"/>
  <c r="D15282" i="1"/>
  <c r="G15282" i="1"/>
  <c r="B7642" i="1"/>
  <c r="D7642" i="1"/>
  <c r="G7642" i="1"/>
  <c r="B20090" i="1"/>
  <c r="D20090" i="1"/>
  <c r="G20090" i="1"/>
  <c r="B18101" i="1"/>
  <c r="D18101" i="1"/>
  <c r="G18101" i="1"/>
  <c r="B9141" i="1"/>
  <c r="D9141" i="1"/>
  <c r="G9141" i="1"/>
  <c r="B16804" i="1"/>
  <c r="D16804" i="1"/>
  <c r="G16804" i="1"/>
  <c r="B12301" i="1"/>
  <c r="D12301" i="1"/>
  <c r="G12301" i="1"/>
  <c r="B13126" i="1"/>
  <c r="D13126" i="1"/>
  <c r="G13126" i="1"/>
  <c r="B11049" i="1"/>
  <c r="D11049" i="1"/>
  <c r="G11049" i="1"/>
  <c r="B11050" i="1"/>
  <c r="D11050" i="1"/>
  <c r="G11050" i="1"/>
  <c r="B15616" i="1"/>
  <c r="D15616" i="1"/>
  <c r="G15616" i="1"/>
  <c r="B18102" i="1"/>
  <c r="D18102" i="1"/>
  <c r="G18102" i="1"/>
  <c r="B14120" i="1"/>
  <c r="D14120" i="1"/>
  <c r="G14120" i="1"/>
  <c r="B21822" i="1"/>
  <c r="D21822" i="1"/>
  <c r="G21822" i="1"/>
  <c r="B21187" i="1"/>
  <c r="D21187" i="1"/>
  <c r="G21187" i="1"/>
  <c r="B14762" i="1"/>
  <c r="D14762" i="1"/>
  <c r="G14762" i="1"/>
  <c r="B19332" i="1"/>
  <c r="D19332" i="1"/>
  <c r="G19332" i="1"/>
  <c r="B14662" i="1"/>
  <c r="D14662" i="1"/>
  <c r="G14662" i="1"/>
  <c r="B16805" i="1"/>
  <c r="D16805" i="1"/>
  <c r="G16805" i="1"/>
  <c r="B21759" i="1"/>
  <c r="D21759" i="1"/>
  <c r="G21759" i="1"/>
  <c r="B9055" i="1"/>
  <c r="D9055" i="1"/>
  <c r="G9055" i="1"/>
  <c r="B12302" i="1"/>
  <c r="D12302" i="1"/>
  <c r="G12302" i="1"/>
  <c r="B20945" i="1"/>
  <c r="D20945" i="1"/>
  <c r="G20945" i="1"/>
  <c r="B12303" i="1"/>
  <c r="D12303" i="1"/>
  <c r="G12303" i="1"/>
  <c r="B20091" i="1"/>
  <c r="D20091" i="1"/>
  <c r="G20091" i="1"/>
  <c r="B21616" i="1"/>
  <c r="D21616" i="1"/>
  <c r="G21616" i="1"/>
  <c r="B19756" i="1"/>
  <c r="D19756" i="1"/>
  <c r="G19756" i="1"/>
  <c r="B10200" i="1"/>
  <c r="D10200" i="1"/>
  <c r="G10200" i="1"/>
  <c r="B4031" i="1"/>
  <c r="D4031" i="1"/>
  <c r="G4031" i="1"/>
  <c r="B13009" i="1"/>
  <c r="D13009" i="1"/>
  <c r="G13009" i="1"/>
  <c r="B19333" i="1"/>
  <c r="D19333" i="1"/>
  <c r="G19333" i="1"/>
  <c r="B18945" i="1"/>
  <c r="D18945" i="1"/>
  <c r="G18945" i="1"/>
  <c r="B13238" i="1"/>
  <c r="D13238" i="1"/>
  <c r="G13238" i="1"/>
  <c r="B18203" i="1"/>
  <c r="D18203" i="1"/>
  <c r="G18203" i="1"/>
  <c r="B13127" i="1"/>
  <c r="D13127" i="1"/>
  <c r="G13127" i="1"/>
  <c r="B13717" i="1"/>
  <c r="D13717" i="1"/>
  <c r="G13717" i="1"/>
  <c r="B13718" i="1"/>
  <c r="D13718" i="1"/>
  <c r="G13718" i="1"/>
  <c r="B15283" i="1"/>
  <c r="D15283" i="1"/>
  <c r="G15283" i="1"/>
  <c r="B9568" i="1"/>
  <c r="D9568" i="1"/>
  <c r="G9568" i="1"/>
  <c r="B10141" i="1"/>
  <c r="D10141" i="1"/>
  <c r="G10141" i="1"/>
  <c r="B19093" i="1"/>
  <c r="D19093" i="1"/>
  <c r="G19093" i="1"/>
  <c r="B19334" i="1"/>
  <c r="D19334" i="1"/>
  <c r="G19334" i="1"/>
  <c r="B15284" i="1"/>
  <c r="D15284" i="1"/>
  <c r="G15284" i="1"/>
  <c r="B14363" i="1"/>
  <c r="D14363" i="1"/>
  <c r="G14363" i="1"/>
  <c r="B17000" i="1"/>
  <c r="D17000" i="1"/>
  <c r="G17000" i="1"/>
  <c r="B16806" i="1"/>
  <c r="D16806" i="1"/>
  <c r="G16806" i="1"/>
  <c r="B13474" i="1"/>
  <c r="D13474" i="1"/>
  <c r="G13474" i="1"/>
  <c r="B21617" i="1"/>
  <c r="D21617" i="1"/>
  <c r="G21617" i="1"/>
  <c r="B22217" i="1"/>
  <c r="D22217" i="1"/>
  <c r="G22217" i="1"/>
  <c r="B165" i="1"/>
  <c r="D165" i="1"/>
  <c r="G165" i="1"/>
  <c r="B20478" i="1"/>
  <c r="D20478" i="1"/>
  <c r="G20478" i="1"/>
  <c r="B3801" i="1"/>
  <c r="D3801" i="1"/>
  <c r="G3801" i="1"/>
  <c r="B11832" i="1"/>
  <c r="D11832" i="1"/>
  <c r="G11832" i="1"/>
  <c r="B12304" i="1"/>
  <c r="D12304" i="1"/>
  <c r="G12304" i="1"/>
  <c r="B16807" i="1"/>
  <c r="D16807" i="1"/>
  <c r="G16807" i="1"/>
  <c r="B15285" i="1"/>
  <c r="D15285" i="1"/>
  <c r="G15285" i="1"/>
  <c r="B12952" i="1"/>
  <c r="D12952" i="1"/>
  <c r="G12952" i="1"/>
  <c r="B12918" i="1"/>
  <c r="D12918" i="1"/>
  <c r="G12918" i="1"/>
  <c r="B9569" i="1"/>
  <c r="D9569" i="1"/>
  <c r="G9569" i="1"/>
  <c r="B9570" i="1"/>
  <c r="D9570" i="1"/>
  <c r="G9570" i="1"/>
  <c r="B22218" i="1"/>
  <c r="D22218" i="1"/>
  <c r="G22218" i="1"/>
  <c r="B18204" i="1"/>
  <c r="D18204" i="1"/>
  <c r="G18204" i="1"/>
  <c r="B4879" i="1"/>
  <c r="D4879" i="1"/>
  <c r="G4879" i="1"/>
  <c r="B13536" i="1"/>
  <c r="D13536" i="1"/>
  <c r="G13536" i="1"/>
  <c r="B20187" i="1"/>
  <c r="D20187" i="1"/>
  <c r="G20187" i="1"/>
  <c r="B17254" i="1"/>
  <c r="D17254" i="1"/>
  <c r="G17254" i="1"/>
  <c r="B12564" i="1"/>
  <c r="D12564" i="1"/>
  <c r="G12564" i="1"/>
  <c r="B13710" i="1"/>
  <c r="D13710" i="1"/>
  <c r="G13710" i="1"/>
  <c r="B22088" i="1"/>
  <c r="D22088" i="1"/>
  <c r="G22088" i="1"/>
  <c r="B15286" i="1"/>
  <c r="D15286" i="1"/>
  <c r="G15286" i="1"/>
  <c r="B14790" i="1"/>
  <c r="D14790" i="1"/>
  <c r="G14790" i="1"/>
  <c r="B21188" i="1"/>
  <c r="D21188" i="1"/>
  <c r="G21188" i="1"/>
  <c r="B16808" i="1"/>
  <c r="D16808" i="1"/>
  <c r="G16808" i="1"/>
  <c r="B14364" i="1"/>
  <c r="D14364" i="1"/>
  <c r="G14364" i="1"/>
  <c r="B20946" i="1"/>
  <c r="D20946" i="1"/>
  <c r="G20946" i="1"/>
  <c r="B15747" i="1"/>
  <c r="D15747" i="1"/>
  <c r="G15747" i="1"/>
  <c r="B19335" i="1"/>
  <c r="D19335" i="1"/>
  <c r="G19335" i="1"/>
  <c r="B14763" i="1"/>
  <c r="D14763" i="1"/>
  <c r="G14763" i="1"/>
  <c r="B13356" i="1"/>
  <c r="D13356" i="1"/>
  <c r="G13356" i="1"/>
  <c r="B11644" i="1"/>
  <c r="D11644" i="1"/>
  <c r="G11644" i="1"/>
  <c r="B11051" i="1"/>
  <c r="D11051" i="1"/>
  <c r="G11051" i="1"/>
  <c r="B12919" i="1"/>
  <c r="D12919" i="1"/>
  <c r="G12919" i="1"/>
  <c r="B15287" i="1"/>
  <c r="D15287" i="1"/>
  <c r="G15287" i="1"/>
  <c r="B12419" i="1"/>
  <c r="D12419" i="1"/>
  <c r="G12419" i="1"/>
  <c r="B11052" i="1"/>
  <c r="D11052" i="1"/>
  <c r="G11052" i="1"/>
  <c r="B13867" i="1"/>
  <c r="D13867" i="1"/>
  <c r="G13867" i="1"/>
  <c r="B17559" i="1"/>
  <c r="D17559" i="1"/>
  <c r="G17559" i="1"/>
  <c r="B17001" i="1"/>
  <c r="D17001" i="1"/>
  <c r="G17001" i="1"/>
  <c r="B9215" i="1"/>
  <c r="D9215" i="1"/>
  <c r="G9215" i="1"/>
  <c r="B422" i="1"/>
  <c r="D422" i="1"/>
  <c r="G422" i="1"/>
  <c r="B6987" i="1"/>
  <c r="D6987" i="1"/>
  <c r="G6987" i="1"/>
  <c r="B21618" i="1"/>
  <c r="D21618" i="1"/>
  <c r="G21618" i="1"/>
  <c r="B14663" i="1"/>
  <c r="D14663" i="1"/>
  <c r="G14663" i="1"/>
  <c r="B15288" i="1"/>
  <c r="D15288" i="1"/>
  <c r="G15288" i="1"/>
  <c r="B19336" i="1"/>
  <c r="D19336" i="1"/>
  <c r="G19336" i="1"/>
  <c r="B18946" i="1"/>
  <c r="D18946" i="1"/>
  <c r="G18946" i="1"/>
  <c r="B15617" i="1"/>
  <c r="D15617" i="1"/>
  <c r="G15617" i="1"/>
  <c r="B20479" i="1"/>
  <c r="D20479" i="1"/>
  <c r="G20479" i="1"/>
  <c r="B14791" i="1"/>
  <c r="D14791" i="1"/>
  <c r="G14791" i="1"/>
  <c r="B746" i="1"/>
  <c r="D746" i="1"/>
  <c r="G746" i="1"/>
  <c r="B12447" i="1"/>
  <c r="D12447" i="1"/>
  <c r="G12447" i="1"/>
  <c r="B13815" i="1"/>
  <c r="D13815" i="1"/>
  <c r="G13815" i="1"/>
  <c r="B15289" i="1"/>
  <c r="D15289" i="1"/>
  <c r="G15289" i="1"/>
  <c r="B10671" i="1"/>
  <c r="D10671" i="1"/>
  <c r="G10671" i="1"/>
  <c r="B10001" i="1"/>
  <c r="D10001" i="1"/>
  <c r="G10001" i="1"/>
  <c r="B19757" i="1"/>
  <c r="D19757" i="1"/>
  <c r="G19757" i="1"/>
  <c r="B14764" i="1"/>
  <c r="D14764" i="1"/>
  <c r="G14764" i="1"/>
  <c r="B13574" i="1"/>
  <c r="D13574" i="1"/>
  <c r="G13574" i="1"/>
  <c r="B13575" i="1"/>
  <c r="D13575" i="1"/>
  <c r="G13575" i="1"/>
  <c r="B13933" i="1"/>
  <c r="D13933" i="1"/>
  <c r="G13933" i="1"/>
  <c r="B15290" i="1"/>
  <c r="D15290" i="1"/>
  <c r="G15290" i="1"/>
  <c r="B13522" i="1"/>
  <c r="D13522" i="1"/>
  <c r="G13522" i="1"/>
  <c r="B14570" i="1"/>
  <c r="D14570" i="1"/>
  <c r="G14570" i="1"/>
  <c r="B13357" i="1"/>
  <c r="D13357" i="1"/>
  <c r="G13357" i="1"/>
  <c r="B17255" i="1"/>
  <c r="D17255" i="1"/>
  <c r="G17255" i="1"/>
  <c r="B14328" i="1"/>
  <c r="D14328" i="1"/>
  <c r="G14328" i="1"/>
  <c r="B11308" i="1"/>
  <c r="D11308" i="1"/>
  <c r="G11308" i="1"/>
  <c r="B11309" i="1"/>
  <c r="D11309" i="1"/>
  <c r="G11309" i="1"/>
  <c r="B16809" i="1"/>
  <c r="D16809" i="1"/>
  <c r="G16809" i="1"/>
  <c r="B12920" i="1"/>
  <c r="D12920" i="1"/>
  <c r="G12920" i="1"/>
  <c r="B13475" i="1"/>
  <c r="D13475" i="1"/>
  <c r="G13475" i="1"/>
  <c r="B19337" i="1"/>
  <c r="D19337" i="1"/>
  <c r="G19337" i="1"/>
  <c r="B15934" i="1"/>
  <c r="D15934" i="1"/>
  <c r="G15934" i="1"/>
  <c r="B15829" i="1"/>
  <c r="D15829" i="1"/>
  <c r="G15829" i="1"/>
  <c r="B8290" i="1"/>
  <c r="D8290" i="1"/>
  <c r="G8290" i="1"/>
  <c r="B19094" i="1"/>
  <c r="D19094" i="1"/>
  <c r="G19094" i="1"/>
  <c r="B19338" i="1"/>
  <c r="D19338" i="1"/>
  <c r="G19338" i="1"/>
  <c r="B16810" i="1"/>
  <c r="D16810" i="1"/>
  <c r="G16810" i="1"/>
  <c r="B21760" i="1"/>
  <c r="D21760" i="1"/>
  <c r="G21760" i="1"/>
  <c r="B21761" i="1"/>
  <c r="D21761" i="1"/>
  <c r="G21761" i="1"/>
  <c r="B19095" i="1"/>
  <c r="D19095" i="1"/>
  <c r="G19095" i="1"/>
  <c r="B18947" i="1"/>
  <c r="D18947" i="1"/>
  <c r="G18947" i="1"/>
  <c r="B16811" i="1"/>
  <c r="D16811" i="1"/>
  <c r="G16811" i="1"/>
  <c r="B9056" i="1"/>
  <c r="D9056" i="1"/>
  <c r="G9056" i="1"/>
  <c r="B12305" i="1"/>
  <c r="D12305" i="1"/>
  <c r="G12305" i="1"/>
  <c r="B1477" i="1"/>
  <c r="D1477" i="1"/>
  <c r="G1477" i="1"/>
  <c r="B1478" i="1"/>
  <c r="D1478" i="1"/>
  <c r="G1478" i="1"/>
  <c r="B13868" i="1"/>
  <c r="D13868" i="1"/>
  <c r="G13868" i="1"/>
  <c r="B19758" i="1"/>
  <c r="D19758" i="1"/>
  <c r="G19758" i="1"/>
  <c r="B14427" i="1"/>
  <c r="D14427" i="1"/>
  <c r="G14427" i="1"/>
  <c r="B16157" i="1"/>
  <c r="D16157" i="1"/>
  <c r="G16157" i="1"/>
  <c r="B1817" i="1"/>
  <c r="D1817" i="1"/>
  <c r="G1817" i="1"/>
  <c r="B1818" i="1"/>
  <c r="D1818" i="1"/>
  <c r="G1818" i="1"/>
  <c r="B14329" i="1"/>
  <c r="D14329" i="1"/>
  <c r="G14329" i="1"/>
  <c r="B667" i="1"/>
  <c r="D667" i="1"/>
  <c r="G667" i="1"/>
  <c r="B747" i="1"/>
  <c r="D747" i="1"/>
  <c r="G747" i="1"/>
  <c r="B748" i="1"/>
  <c r="D748" i="1"/>
  <c r="G748" i="1"/>
  <c r="B20947" i="1"/>
  <c r="D20947" i="1"/>
  <c r="G20947" i="1"/>
  <c r="B11006" i="1"/>
  <c r="D11006" i="1"/>
  <c r="G11006" i="1"/>
  <c r="B11254" i="1"/>
  <c r="D11254" i="1"/>
  <c r="G11254" i="1"/>
  <c r="B19339" i="1"/>
  <c r="D19339" i="1"/>
  <c r="G19339" i="1"/>
  <c r="B9057" i="1"/>
  <c r="D9057" i="1"/>
  <c r="G9057" i="1"/>
  <c r="B16812" i="1"/>
  <c r="D16812" i="1"/>
  <c r="G16812" i="1"/>
  <c r="B13665" i="1"/>
  <c r="D13665" i="1"/>
  <c r="G13665" i="1"/>
  <c r="B21189" i="1"/>
  <c r="D21189" i="1"/>
  <c r="G21189" i="1"/>
  <c r="B6975" i="1"/>
  <c r="D6975" i="1"/>
  <c r="G6975" i="1"/>
  <c r="B18620" i="1"/>
  <c r="D18620" i="1"/>
  <c r="G18620" i="1"/>
  <c r="B20439" i="1"/>
  <c r="D20439" i="1"/>
  <c r="G20439" i="1"/>
  <c r="B19759" i="1"/>
  <c r="D19759" i="1"/>
  <c r="G19759" i="1"/>
  <c r="B15830" i="1"/>
  <c r="D15830" i="1"/>
  <c r="G15830" i="1"/>
  <c r="B15831" i="1"/>
  <c r="D15831" i="1"/>
  <c r="G15831" i="1"/>
  <c r="B15832" i="1"/>
  <c r="D15832" i="1"/>
  <c r="G15832" i="1"/>
  <c r="B15711" i="1"/>
  <c r="D15711" i="1"/>
  <c r="G15711" i="1"/>
  <c r="B14330" i="1"/>
  <c r="D14330" i="1"/>
  <c r="G14330" i="1"/>
  <c r="B18621" i="1"/>
  <c r="D18621" i="1"/>
  <c r="G18621" i="1"/>
  <c r="B17278" i="1"/>
  <c r="D17278" i="1"/>
  <c r="G17278" i="1"/>
  <c r="B20948" i="1"/>
  <c r="D20948" i="1"/>
  <c r="G20948" i="1"/>
  <c r="B15618" i="1"/>
  <c r="D15618" i="1"/>
  <c r="G15618" i="1"/>
  <c r="B14664" i="1"/>
  <c r="D14664" i="1"/>
  <c r="G14664" i="1"/>
  <c r="B12921" i="1"/>
  <c r="D12921" i="1"/>
  <c r="G12921" i="1"/>
  <c r="B9964" i="1"/>
  <c r="D9964" i="1"/>
  <c r="G9964" i="1"/>
  <c r="B10191" i="1"/>
  <c r="D10191" i="1"/>
  <c r="G10191" i="1"/>
  <c r="B10192" i="1"/>
  <c r="D10192" i="1"/>
  <c r="G10192" i="1"/>
  <c r="B17917" i="1"/>
  <c r="D17917" i="1"/>
  <c r="G17917" i="1"/>
  <c r="B17918" i="1"/>
  <c r="D17918" i="1"/>
  <c r="G17918" i="1"/>
  <c r="B13358" i="1"/>
  <c r="D13358" i="1"/>
  <c r="G13358" i="1"/>
  <c r="B17193" i="1"/>
  <c r="D17193" i="1"/>
  <c r="G17193" i="1"/>
  <c r="B17919" i="1"/>
  <c r="D17919" i="1"/>
  <c r="G17919" i="1"/>
  <c r="B12306" i="1"/>
  <c r="D12306" i="1"/>
  <c r="G12306" i="1"/>
  <c r="B15712" i="1"/>
  <c r="D15712" i="1"/>
  <c r="G15712" i="1"/>
  <c r="B20949" i="1"/>
  <c r="D20949" i="1"/>
  <c r="G20949" i="1"/>
  <c r="B20703" i="1"/>
  <c r="D20703" i="1"/>
  <c r="G20703" i="1"/>
  <c r="B11645" i="1"/>
  <c r="D11645" i="1"/>
  <c r="G11645" i="1"/>
  <c r="B16158" i="1"/>
  <c r="D16158" i="1"/>
  <c r="G16158" i="1"/>
  <c r="B17194" i="1"/>
  <c r="D17194" i="1"/>
  <c r="G17194" i="1"/>
  <c r="B22219" i="1"/>
  <c r="D22219" i="1"/>
  <c r="G22219" i="1"/>
  <c r="B9058" i="1"/>
  <c r="D9058" i="1"/>
  <c r="G9058" i="1"/>
  <c r="B4032" i="1"/>
  <c r="D4032" i="1"/>
  <c r="G4032" i="1"/>
  <c r="B19928" i="1"/>
  <c r="D19928" i="1"/>
  <c r="G19928" i="1"/>
  <c r="B16813" i="1"/>
  <c r="D16813" i="1"/>
  <c r="G16813" i="1"/>
  <c r="B9855" i="1"/>
  <c r="D9855" i="1"/>
  <c r="G9855" i="1"/>
  <c r="B14036" i="1"/>
  <c r="D14036" i="1"/>
  <c r="G14036" i="1"/>
  <c r="B15291" i="1"/>
  <c r="D15291" i="1"/>
  <c r="G15291" i="1"/>
  <c r="B21295" i="1"/>
  <c r="D21295" i="1"/>
  <c r="G21295" i="1"/>
  <c r="B13128" i="1"/>
  <c r="D13128" i="1"/>
  <c r="G13128" i="1"/>
  <c r="B16952" i="1"/>
  <c r="D16952" i="1"/>
  <c r="G16952" i="1"/>
  <c r="B20440" i="1"/>
  <c r="D20440" i="1"/>
  <c r="G20440" i="1"/>
  <c r="B15619" i="1"/>
  <c r="D15619" i="1"/>
  <c r="G15619" i="1"/>
  <c r="B20252" i="1"/>
  <c r="D20252" i="1"/>
  <c r="G20252" i="1"/>
  <c r="B18103" i="1"/>
  <c r="D18103" i="1"/>
  <c r="G18103" i="1"/>
  <c r="B17560" i="1"/>
  <c r="D17560" i="1"/>
  <c r="G17560" i="1"/>
  <c r="B12307" i="1"/>
  <c r="D12307" i="1"/>
  <c r="G12307" i="1"/>
  <c r="B12565" i="1"/>
  <c r="D12565" i="1"/>
  <c r="G12565" i="1"/>
  <c r="B19096" i="1"/>
  <c r="D19096" i="1"/>
  <c r="G19096" i="1"/>
  <c r="B12566" i="1"/>
  <c r="D12566" i="1"/>
  <c r="G12566" i="1"/>
  <c r="B19340" i="1"/>
  <c r="D19340" i="1"/>
  <c r="G19340" i="1"/>
  <c r="B12308" i="1"/>
  <c r="D12308" i="1"/>
  <c r="G12308" i="1"/>
  <c r="B17920" i="1"/>
  <c r="D17920" i="1"/>
  <c r="G17920" i="1"/>
  <c r="B19760" i="1"/>
  <c r="D19760" i="1"/>
  <c r="G19760" i="1"/>
  <c r="B19097" i="1"/>
  <c r="D19097" i="1"/>
  <c r="G19097" i="1"/>
  <c r="B18948" i="1"/>
  <c r="D18948" i="1"/>
  <c r="G18948" i="1"/>
  <c r="B16814" i="1"/>
  <c r="D16814" i="1"/>
  <c r="G16814" i="1"/>
  <c r="B7643" i="1"/>
  <c r="D7643" i="1"/>
  <c r="G7643" i="1"/>
  <c r="B10672" i="1"/>
  <c r="D10672" i="1"/>
  <c r="G10672" i="1"/>
  <c r="B10673" i="1"/>
  <c r="D10673" i="1"/>
  <c r="G10673" i="1"/>
  <c r="B11007" i="1"/>
  <c r="D11007" i="1"/>
  <c r="G11007" i="1"/>
  <c r="B11008" i="1"/>
  <c r="D11008" i="1"/>
  <c r="G11008" i="1"/>
  <c r="B20950" i="1"/>
  <c r="D20950" i="1"/>
  <c r="G20950" i="1"/>
  <c r="B19341" i="1"/>
  <c r="D19341" i="1"/>
  <c r="G19341" i="1"/>
  <c r="B17195" i="1"/>
  <c r="D17195" i="1"/>
  <c r="G17195" i="1"/>
  <c r="B11255" i="1"/>
  <c r="D11255" i="1"/>
  <c r="G11255" i="1"/>
  <c r="B13359" i="1"/>
  <c r="D13359" i="1"/>
  <c r="G13359" i="1"/>
  <c r="B14011" i="1"/>
  <c r="D14011" i="1"/>
  <c r="G14011" i="1"/>
  <c r="B20951" i="1"/>
  <c r="D20951" i="1"/>
  <c r="G20951" i="1"/>
  <c r="B19342" i="1"/>
  <c r="D19342" i="1"/>
  <c r="G19342" i="1"/>
  <c r="B14665" i="1"/>
  <c r="D14665" i="1"/>
  <c r="G14665" i="1"/>
  <c r="B12922" i="1"/>
  <c r="D12922" i="1"/>
  <c r="G12922" i="1"/>
  <c r="B16815" i="1"/>
  <c r="D16815" i="1"/>
  <c r="G16815" i="1"/>
  <c r="B12923" i="1"/>
  <c r="D12923" i="1"/>
  <c r="G12923" i="1"/>
  <c r="B13239" i="1"/>
  <c r="D13239" i="1"/>
  <c r="G13239" i="1"/>
  <c r="B17561" i="1"/>
  <c r="D17561" i="1"/>
  <c r="G17561" i="1"/>
  <c r="B12309" i="1"/>
  <c r="D12309" i="1"/>
  <c r="G12309" i="1"/>
  <c r="B20704" i="1"/>
  <c r="D20704" i="1"/>
  <c r="G20704" i="1"/>
  <c r="B21190" i="1"/>
  <c r="D21190" i="1"/>
  <c r="G21190" i="1"/>
  <c r="B14166" i="1"/>
  <c r="D14166" i="1"/>
  <c r="G14166" i="1"/>
  <c r="B7644" i="1"/>
  <c r="D7644" i="1"/>
  <c r="G7644" i="1"/>
  <c r="B13360" i="1"/>
  <c r="D13360" i="1"/>
  <c r="G13360" i="1"/>
  <c r="B16816" i="1"/>
  <c r="D16816" i="1"/>
  <c r="G16816" i="1"/>
  <c r="B12388" i="1"/>
  <c r="D12388" i="1"/>
  <c r="G12388" i="1"/>
  <c r="B21619" i="1"/>
  <c r="D21619" i="1"/>
  <c r="G21619" i="1"/>
  <c r="B22220" i="1"/>
  <c r="D22220" i="1"/>
  <c r="G22220" i="1"/>
  <c r="B13789" i="1"/>
  <c r="D13789" i="1"/>
  <c r="G13789" i="1"/>
  <c r="B12924" i="1"/>
  <c r="D12924" i="1"/>
  <c r="G12924" i="1"/>
  <c r="B12389" i="1"/>
  <c r="D12389" i="1"/>
  <c r="G12389" i="1"/>
  <c r="B12706" i="1"/>
  <c r="D12706" i="1"/>
  <c r="G12706" i="1"/>
  <c r="B19343" i="1"/>
  <c r="D19343" i="1"/>
  <c r="G19343" i="1"/>
  <c r="B18949" i="1"/>
  <c r="D18949" i="1"/>
  <c r="G18949" i="1"/>
  <c r="B21296" i="1"/>
  <c r="D21296" i="1"/>
  <c r="G21296" i="1"/>
  <c r="B17323" i="1"/>
  <c r="D17323" i="1"/>
  <c r="G17323" i="1"/>
  <c r="B13995" i="1"/>
  <c r="D13995" i="1"/>
  <c r="G13995" i="1"/>
  <c r="B11646" i="1"/>
  <c r="D11646" i="1"/>
  <c r="G11646" i="1"/>
  <c r="B16817" i="1"/>
  <c r="D16817" i="1"/>
  <c r="G16817" i="1"/>
  <c r="B12310" i="1"/>
  <c r="D12310" i="1"/>
  <c r="G12310" i="1"/>
  <c r="B9845" i="1"/>
  <c r="D9845" i="1"/>
  <c r="G9845" i="1"/>
  <c r="B17562" i="1"/>
  <c r="D17562" i="1"/>
  <c r="G17562" i="1"/>
  <c r="B21191" i="1"/>
  <c r="D21191" i="1"/>
  <c r="G21191" i="1"/>
  <c r="B9846" i="1"/>
  <c r="D9846" i="1"/>
  <c r="G9846" i="1"/>
  <c r="B9216" i="1"/>
  <c r="D9216" i="1"/>
  <c r="G9216" i="1"/>
  <c r="B17324" i="1"/>
  <c r="D17324" i="1"/>
  <c r="G17324" i="1"/>
  <c r="B1819" i="1"/>
  <c r="D1819" i="1"/>
  <c r="G1819" i="1"/>
  <c r="B1820" i="1"/>
  <c r="D1820" i="1"/>
  <c r="G1820" i="1"/>
  <c r="B16954" i="1"/>
  <c r="D16954" i="1"/>
  <c r="G16954" i="1"/>
  <c r="B19929" i="1"/>
  <c r="D19929" i="1"/>
  <c r="G19929" i="1"/>
  <c r="B13361" i="1"/>
  <c r="D13361" i="1"/>
  <c r="G13361" i="1"/>
  <c r="B19761" i="1"/>
  <c r="D19761" i="1"/>
  <c r="G19761" i="1"/>
  <c r="B12707" i="1"/>
  <c r="D12707" i="1"/>
  <c r="G12707" i="1"/>
  <c r="B17921" i="1"/>
  <c r="D17921" i="1"/>
  <c r="G17921" i="1"/>
  <c r="B14865" i="1"/>
  <c r="D14865" i="1"/>
  <c r="G14865" i="1"/>
  <c r="B1821" i="1"/>
  <c r="D1821" i="1"/>
  <c r="G1821" i="1"/>
  <c r="B1822" i="1"/>
  <c r="D1822" i="1"/>
  <c r="G1822" i="1"/>
  <c r="B12311" i="1"/>
  <c r="D12311" i="1"/>
  <c r="G12311" i="1"/>
  <c r="B19762" i="1"/>
  <c r="D19762" i="1"/>
  <c r="G19762" i="1"/>
  <c r="B18622" i="1"/>
  <c r="D18622" i="1"/>
  <c r="G18622" i="1"/>
  <c r="B11902" i="1"/>
  <c r="D11902" i="1"/>
  <c r="G11902" i="1"/>
  <c r="B14571" i="1"/>
  <c r="D14571" i="1"/>
  <c r="G14571" i="1"/>
  <c r="B17435" i="1"/>
  <c r="D17435" i="1"/>
  <c r="G17435" i="1"/>
  <c r="B20952" i="1"/>
  <c r="D20952" i="1"/>
  <c r="G20952" i="1"/>
  <c r="B16818" i="1"/>
  <c r="D16818" i="1"/>
  <c r="G16818" i="1"/>
  <c r="B12567" i="1"/>
  <c r="D12567" i="1"/>
  <c r="G12567" i="1"/>
  <c r="B21448" i="1"/>
  <c r="D21448" i="1"/>
  <c r="G21448" i="1"/>
  <c r="B14866" i="1"/>
  <c r="D14866" i="1"/>
  <c r="G14866" i="1"/>
  <c r="B16960" i="1"/>
  <c r="D16960" i="1"/>
  <c r="G16960" i="1"/>
  <c r="B13240" i="1"/>
  <c r="D13240" i="1"/>
  <c r="G13240" i="1"/>
  <c r="B13489" i="1"/>
  <c r="D13489" i="1"/>
  <c r="G13489" i="1"/>
  <c r="B11310" i="1"/>
  <c r="D11310" i="1"/>
  <c r="G11310" i="1"/>
  <c r="B21979" i="1"/>
  <c r="D21979" i="1"/>
  <c r="G21979" i="1"/>
  <c r="B13523" i="1"/>
  <c r="D13523" i="1"/>
  <c r="G13523" i="1"/>
  <c r="B13524" i="1"/>
  <c r="D13524" i="1"/>
  <c r="G13524" i="1"/>
  <c r="B19344" i="1"/>
  <c r="D19344" i="1"/>
  <c r="G19344" i="1"/>
  <c r="B15935" i="1"/>
  <c r="D15935" i="1"/>
  <c r="G15935" i="1"/>
  <c r="B19098" i="1"/>
  <c r="D19098" i="1"/>
  <c r="G19098" i="1"/>
  <c r="B18950" i="1"/>
  <c r="D18950" i="1"/>
  <c r="G18950" i="1"/>
  <c r="B15833" i="1"/>
  <c r="D15833" i="1"/>
  <c r="G15833" i="1"/>
  <c r="B15292" i="1"/>
  <c r="D15292" i="1"/>
  <c r="G15292" i="1"/>
  <c r="B17563" i="1"/>
  <c r="D17563" i="1"/>
  <c r="G17563" i="1"/>
  <c r="B16050" i="1"/>
  <c r="D16050" i="1"/>
  <c r="G16050" i="1"/>
  <c r="B20989" i="1"/>
  <c r="D20989" i="1"/>
  <c r="G20989" i="1"/>
  <c r="B18623" i="1"/>
  <c r="D18623" i="1"/>
  <c r="G18623" i="1"/>
  <c r="B1823" i="1"/>
  <c r="D1823" i="1"/>
  <c r="G1823" i="1"/>
  <c r="B10674" i="1"/>
  <c r="D10674" i="1"/>
  <c r="G10674" i="1"/>
  <c r="B17922" i="1"/>
  <c r="D17922" i="1"/>
  <c r="G17922" i="1"/>
  <c r="B13925" i="1"/>
  <c r="D13925" i="1"/>
  <c r="G13925" i="1"/>
  <c r="B16819" i="1"/>
  <c r="D16819" i="1"/>
  <c r="G16819" i="1"/>
  <c r="B6988" i="1"/>
  <c r="D6988" i="1"/>
  <c r="G6988" i="1"/>
  <c r="B17923" i="1"/>
  <c r="D17923" i="1"/>
  <c r="G17923" i="1"/>
  <c r="B17924" i="1"/>
  <c r="D17924" i="1"/>
  <c r="G17924" i="1"/>
  <c r="B21762" i="1"/>
  <c r="D21762" i="1"/>
  <c r="G21762" i="1"/>
  <c r="B13174" i="1"/>
  <c r="D13174" i="1"/>
  <c r="G13174" i="1"/>
  <c r="B12708" i="1"/>
  <c r="D12708" i="1"/>
  <c r="G12708" i="1"/>
  <c r="B13869" i="1"/>
  <c r="D13869" i="1"/>
  <c r="G13869" i="1"/>
  <c r="B19345" i="1"/>
  <c r="D19345" i="1"/>
  <c r="G19345" i="1"/>
  <c r="B13476" i="1"/>
  <c r="D13476" i="1"/>
  <c r="G13476" i="1"/>
  <c r="B18951" i="1"/>
  <c r="D18951" i="1"/>
  <c r="G18951" i="1"/>
  <c r="B19763" i="1"/>
  <c r="D19763" i="1"/>
  <c r="G19763" i="1"/>
  <c r="B12925" i="1"/>
  <c r="D12925" i="1"/>
  <c r="G12925" i="1"/>
  <c r="B12568" i="1"/>
  <c r="D12568" i="1"/>
  <c r="G12568" i="1"/>
  <c r="B11256" i="1"/>
  <c r="D11256" i="1"/>
  <c r="G11256" i="1"/>
  <c r="B19764" i="1"/>
  <c r="D19764" i="1"/>
  <c r="G19764" i="1"/>
  <c r="B13362" i="1"/>
  <c r="D13362" i="1"/>
  <c r="G13362" i="1"/>
  <c r="B16820" i="1"/>
  <c r="D16820" i="1"/>
  <c r="G16820" i="1"/>
  <c r="B17196" i="1"/>
  <c r="D17196" i="1"/>
  <c r="G17196" i="1"/>
  <c r="B21823" i="1"/>
  <c r="D21823" i="1"/>
  <c r="G21823" i="1"/>
  <c r="B16051" i="1"/>
  <c r="D16051" i="1"/>
  <c r="G16051" i="1"/>
  <c r="B16821" i="1"/>
  <c r="D16821" i="1"/>
  <c r="G16821" i="1"/>
  <c r="B21192" i="1"/>
  <c r="D21192" i="1"/>
  <c r="G21192" i="1"/>
  <c r="B6989" i="1"/>
  <c r="D6989" i="1"/>
  <c r="G6989" i="1"/>
  <c r="B12347" i="1"/>
  <c r="D12347" i="1"/>
  <c r="G12347" i="1"/>
  <c r="B16822" i="1"/>
  <c r="D16822" i="1"/>
  <c r="G16822" i="1"/>
  <c r="B16823" i="1"/>
  <c r="D16823" i="1"/>
  <c r="G16823" i="1"/>
  <c r="B11009" i="1"/>
  <c r="D11009" i="1"/>
  <c r="G11009" i="1"/>
  <c r="B2532" i="1"/>
  <c r="D2532" i="1"/>
  <c r="G2532" i="1"/>
  <c r="B17197" i="1"/>
  <c r="D17197" i="1"/>
  <c r="G17197" i="1"/>
  <c r="B16824" i="1"/>
  <c r="D16824" i="1"/>
  <c r="G16824" i="1"/>
  <c r="B17198" i="1"/>
  <c r="D17198" i="1"/>
  <c r="G17198" i="1"/>
  <c r="B13363" i="1"/>
  <c r="D13363" i="1"/>
  <c r="G13363" i="1"/>
  <c r="B15936" i="1"/>
  <c r="D15936" i="1"/>
  <c r="G15936" i="1"/>
  <c r="B13129" i="1"/>
  <c r="D13129" i="1"/>
  <c r="G13129" i="1"/>
  <c r="B15620" i="1"/>
  <c r="D15620" i="1"/>
  <c r="G15620" i="1"/>
  <c r="B15293" i="1"/>
  <c r="D15293" i="1"/>
  <c r="G15293" i="1"/>
  <c r="B11749" i="1"/>
  <c r="D11749" i="1"/>
  <c r="G11749" i="1"/>
  <c r="B11859" i="1"/>
  <c r="D11859" i="1"/>
  <c r="G11859" i="1"/>
  <c r="B16825" i="1"/>
  <c r="D16825" i="1"/>
  <c r="G16825" i="1"/>
  <c r="B18624" i="1"/>
  <c r="D18624" i="1"/>
  <c r="G18624" i="1"/>
  <c r="B19099" i="1"/>
  <c r="D19099" i="1"/>
  <c r="G19099" i="1"/>
  <c r="B16159" i="1"/>
  <c r="D16159" i="1"/>
  <c r="G16159" i="1"/>
  <c r="B17199" i="1"/>
  <c r="D17199" i="1"/>
  <c r="G17199" i="1"/>
  <c r="B13496" i="1"/>
  <c r="D13496" i="1"/>
  <c r="G13496" i="1"/>
  <c r="B12312" i="1"/>
  <c r="D12312" i="1"/>
  <c r="G12312" i="1"/>
  <c r="B13490" i="1"/>
  <c r="D13490" i="1"/>
  <c r="G13490" i="1"/>
  <c r="B15621" i="1"/>
  <c r="D15621" i="1"/>
  <c r="G15621" i="1"/>
  <c r="B15294" i="1"/>
  <c r="D15294" i="1"/>
  <c r="G15294" i="1"/>
  <c r="B17925" i="1"/>
  <c r="D17925" i="1"/>
  <c r="G17925" i="1"/>
  <c r="B14867" i="1"/>
  <c r="D14867" i="1"/>
  <c r="G14867" i="1"/>
  <c r="B15295" i="1"/>
  <c r="D15295" i="1"/>
  <c r="G15295" i="1"/>
  <c r="B13525" i="1"/>
  <c r="D13525" i="1"/>
  <c r="G13525" i="1"/>
  <c r="B16160" i="1"/>
  <c r="D16160" i="1"/>
  <c r="G16160" i="1"/>
  <c r="B15622" i="1"/>
  <c r="D15622" i="1"/>
  <c r="G15622" i="1"/>
  <c r="B15937" i="1"/>
  <c r="D15937" i="1"/>
  <c r="G15937" i="1"/>
  <c r="B18952" i="1"/>
  <c r="D18952" i="1"/>
  <c r="G18952" i="1"/>
  <c r="B15938" i="1"/>
  <c r="D15938" i="1"/>
  <c r="G15938" i="1"/>
  <c r="B9571" i="1"/>
  <c r="D9571" i="1"/>
  <c r="G9571" i="1"/>
  <c r="B9572" i="1"/>
  <c r="D9572" i="1"/>
  <c r="G9572" i="1"/>
  <c r="B14365" i="1"/>
  <c r="D14365" i="1"/>
  <c r="G14365" i="1"/>
  <c r="B15623" i="1"/>
  <c r="D15623" i="1"/>
  <c r="G15623" i="1"/>
  <c r="B15296" i="1"/>
  <c r="D15296" i="1"/>
  <c r="G15296" i="1"/>
  <c r="B15624" i="1"/>
  <c r="D15624" i="1"/>
  <c r="G15624" i="1"/>
  <c r="B14140" i="1"/>
  <c r="D14140" i="1"/>
  <c r="G14140" i="1"/>
  <c r="B20705" i="1"/>
  <c r="D20705" i="1"/>
  <c r="G20705" i="1"/>
  <c r="B21416" i="1"/>
  <c r="D21416" i="1"/>
  <c r="G21416" i="1"/>
  <c r="B14868" i="1"/>
  <c r="D14868" i="1"/>
  <c r="G14868" i="1"/>
  <c r="B18104" i="1"/>
  <c r="D18104" i="1"/>
  <c r="G18104" i="1"/>
  <c r="B16161" i="1"/>
  <c r="D16161" i="1"/>
  <c r="G16161" i="1"/>
  <c r="B18145" i="1"/>
  <c r="D18145" i="1"/>
  <c r="G18145" i="1"/>
  <c r="B21410" i="1"/>
  <c r="D21410" i="1"/>
  <c r="G21410" i="1"/>
  <c r="B14521" i="1"/>
  <c r="D14521" i="1"/>
  <c r="G14521" i="1"/>
  <c r="B21763" i="1"/>
  <c r="D21763" i="1"/>
  <c r="G21763" i="1"/>
  <c r="B21764" i="1"/>
  <c r="D21764" i="1"/>
  <c r="G21764" i="1"/>
  <c r="B19100" i="1"/>
  <c r="D19100" i="1"/>
  <c r="G19100" i="1"/>
  <c r="B19346" i="1"/>
  <c r="D19346" i="1"/>
  <c r="G19346" i="1"/>
  <c r="B8039" i="1"/>
  <c r="D8039" i="1"/>
  <c r="G8039" i="1"/>
  <c r="B8040" i="1"/>
  <c r="D8040" i="1"/>
  <c r="G8040" i="1"/>
  <c r="B19765" i="1"/>
  <c r="D19765" i="1"/>
  <c r="G19765" i="1"/>
  <c r="B16052" i="1"/>
  <c r="D16052" i="1"/>
  <c r="G16052" i="1"/>
  <c r="B15696" i="1"/>
  <c r="D15696" i="1"/>
  <c r="G15696" i="1"/>
  <c r="B16826" i="1"/>
  <c r="D16826" i="1"/>
  <c r="G16826" i="1"/>
  <c r="B16827" i="1"/>
  <c r="D16827" i="1"/>
  <c r="G16827" i="1"/>
  <c r="B14282" i="1"/>
  <c r="D14282" i="1"/>
  <c r="G14282" i="1"/>
  <c r="B17564" i="1"/>
  <c r="D17564" i="1"/>
  <c r="G17564" i="1"/>
  <c r="B16828" i="1"/>
  <c r="D16828" i="1"/>
  <c r="G16828" i="1"/>
  <c r="B22089" i="1"/>
  <c r="D22089" i="1"/>
  <c r="G22089" i="1"/>
  <c r="B18953" i="1"/>
  <c r="D18953" i="1"/>
  <c r="G18953" i="1"/>
  <c r="B15297" i="1"/>
  <c r="D15297" i="1"/>
  <c r="G15297" i="1"/>
  <c r="B15625" i="1"/>
  <c r="D15625" i="1"/>
  <c r="G15625" i="1"/>
  <c r="B18625" i="1"/>
  <c r="D18625" i="1"/>
  <c r="G18625" i="1"/>
  <c r="B14765" i="1"/>
  <c r="D14765" i="1"/>
  <c r="G14765" i="1"/>
  <c r="B21980" i="1"/>
  <c r="D21980" i="1"/>
  <c r="G21980" i="1"/>
  <c r="B17926" i="1"/>
  <c r="D17926" i="1"/>
  <c r="G17926" i="1"/>
  <c r="B12569" i="1"/>
  <c r="D12569" i="1"/>
  <c r="G12569" i="1"/>
  <c r="B14366" i="1"/>
  <c r="D14366" i="1"/>
  <c r="G14366" i="1"/>
  <c r="B17565" i="1"/>
  <c r="D17565" i="1"/>
  <c r="G17565" i="1"/>
  <c r="B17566" i="1"/>
  <c r="D17566" i="1"/>
  <c r="G17566" i="1"/>
  <c r="B21620" i="1"/>
  <c r="D21620" i="1"/>
  <c r="G21620" i="1"/>
  <c r="B16012" i="1"/>
  <c r="D16012" i="1"/>
  <c r="G16012" i="1"/>
  <c r="B13590" i="1"/>
  <c r="D13590" i="1"/>
  <c r="G13590" i="1"/>
  <c r="B20208" i="1"/>
  <c r="D20208" i="1"/>
  <c r="G20208" i="1"/>
  <c r="B17200" i="1"/>
  <c r="D17200" i="1"/>
  <c r="G17200" i="1"/>
  <c r="B12390" i="1"/>
  <c r="D12390" i="1"/>
  <c r="G12390" i="1"/>
  <c r="B17610" i="1"/>
  <c r="D17610" i="1"/>
  <c r="G17610" i="1"/>
  <c r="B17611" i="1"/>
  <c r="D17611" i="1"/>
  <c r="G17611" i="1"/>
  <c r="B19101" i="1"/>
  <c r="D19101" i="1"/>
  <c r="G19101" i="1"/>
  <c r="B18954" i="1"/>
  <c r="D18954" i="1"/>
  <c r="G18954" i="1"/>
  <c r="B16829" i="1"/>
  <c r="D16829" i="1"/>
  <c r="G16829" i="1"/>
  <c r="B17325" i="1"/>
  <c r="D17325" i="1"/>
  <c r="G17325" i="1"/>
  <c r="B15298" i="1"/>
  <c r="D15298" i="1"/>
  <c r="G15298" i="1"/>
  <c r="B15626" i="1"/>
  <c r="D15626" i="1"/>
  <c r="G15626" i="1"/>
  <c r="B14141" i="1"/>
  <c r="D14141" i="1"/>
  <c r="G14141" i="1"/>
  <c r="B15299" i="1"/>
  <c r="D15299" i="1"/>
  <c r="G15299" i="1"/>
  <c r="B17927" i="1"/>
  <c r="D17927" i="1"/>
  <c r="G17927" i="1"/>
  <c r="B11010" i="1"/>
  <c r="D11010" i="1"/>
  <c r="G11010" i="1"/>
  <c r="B15627" i="1"/>
  <c r="D15627" i="1"/>
  <c r="G15627" i="1"/>
  <c r="B15713" i="1"/>
  <c r="D15713" i="1"/>
  <c r="G15713" i="1"/>
  <c r="B13559" i="1"/>
  <c r="D13559" i="1"/>
  <c r="G13559" i="1"/>
  <c r="B4125" i="1"/>
  <c r="D4125" i="1"/>
  <c r="G4125" i="1"/>
  <c r="B15992" i="1"/>
  <c r="D15992" i="1"/>
  <c r="G15992" i="1"/>
  <c r="B17002" i="1"/>
  <c r="D17002" i="1"/>
  <c r="G17002" i="1"/>
  <c r="B18626" i="1"/>
  <c r="D18626" i="1"/>
  <c r="G18626" i="1"/>
  <c r="B17035" i="1"/>
  <c r="D17035" i="1"/>
  <c r="G17035" i="1"/>
  <c r="B13870" i="1"/>
  <c r="D13870" i="1"/>
  <c r="G13870" i="1"/>
  <c r="B16830" i="1"/>
  <c r="D16830" i="1"/>
  <c r="G16830" i="1"/>
  <c r="B15748" i="1"/>
  <c r="D15748" i="1"/>
  <c r="G15748" i="1"/>
  <c r="B18146" i="1"/>
  <c r="D18146" i="1"/>
  <c r="G18146" i="1"/>
  <c r="B20480" i="1"/>
  <c r="D20480" i="1"/>
  <c r="G20480" i="1"/>
  <c r="B13130" i="1"/>
  <c r="D13130" i="1"/>
  <c r="G13130" i="1"/>
  <c r="B15300" i="1"/>
  <c r="D15300" i="1"/>
  <c r="G15300" i="1"/>
  <c r="B21981" i="1"/>
  <c r="D21981" i="1"/>
  <c r="G21981" i="1"/>
  <c r="B14182" i="1"/>
  <c r="D14182" i="1"/>
  <c r="G14182" i="1"/>
  <c r="B14030" i="1"/>
  <c r="D14030" i="1"/>
  <c r="G14030" i="1"/>
  <c r="B19102" i="1"/>
  <c r="D19102" i="1"/>
  <c r="G19102" i="1"/>
  <c r="B18955" i="1"/>
  <c r="D18955" i="1"/>
  <c r="G18955" i="1"/>
  <c r="B18255" i="1"/>
  <c r="D18255" i="1"/>
  <c r="G18255" i="1"/>
  <c r="B15628" i="1"/>
  <c r="D15628" i="1"/>
  <c r="G15628" i="1"/>
  <c r="B14388" i="1"/>
  <c r="D14388" i="1"/>
  <c r="G14388" i="1"/>
  <c r="B16831" i="1"/>
  <c r="D16831" i="1"/>
  <c r="G16831" i="1"/>
  <c r="B15749" i="1"/>
  <c r="D15749" i="1"/>
  <c r="G15749" i="1"/>
  <c r="B17201" i="1"/>
  <c r="D17201" i="1"/>
  <c r="G17201" i="1"/>
  <c r="B18229" i="1"/>
  <c r="D18229" i="1"/>
  <c r="G18229" i="1"/>
  <c r="B13241" i="1"/>
  <c r="D13241" i="1"/>
  <c r="G13241" i="1"/>
  <c r="B18158" i="1"/>
  <c r="D18158" i="1"/>
  <c r="G18158" i="1"/>
  <c r="B14019" i="1"/>
  <c r="D14019" i="1"/>
  <c r="G14019" i="1"/>
  <c r="B17293" i="1"/>
  <c r="D17293" i="1"/>
  <c r="G17293" i="1"/>
  <c r="B20953" i="1"/>
  <c r="D20953" i="1"/>
  <c r="G20953" i="1"/>
  <c r="B22221" i="1"/>
  <c r="D22221" i="1"/>
  <c r="G22221" i="1"/>
  <c r="B15629" i="1"/>
  <c r="D15629" i="1"/>
  <c r="G15629" i="1"/>
  <c r="B14666" i="1"/>
  <c r="D14666" i="1"/>
  <c r="G14666" i="1"/>
  <c r="B15939" i="1"/>
  <c r="D15939" i="1"/>
  <c r="G15939" i="1"/>
  <c r="B12570" i="1"/>
  <c r="D12570" i="1"/>
  <c r="G12570" i="1"/>
  <c r="B15630" i="1"/>
  <c r="D15630" i="1"/>
  <c r="G15630" i="1"/>
  <c r="B15301" i="1"/>
  <c r="D15301" i="1"/>
  <c r="G15301" i="1"/>
  <c r="B17265" i="1"/>
  <c r="D17265" i="1"/>
  <c r="G17265" i="1"/>
  <c r="B14012" i="1"/>
  <c r="D14012" i="1"/>
  <c r="G14012" i="1"/>
  <c r="B18956" i="1"/>
  <c r="D18956" i="1"/>
  <c r="G18956" i="1"/>
  <c r="B15302" i="1"/>
  <c r="D15302" i="1"/>
  <c r="G15302" i="1"/>
  <c r="B16013" i="1"/>
  <c r="D16013" i="1"/>
  <c r="G16013" i="1"/>
  <c r="B12313" i="1"/>
  <c r="D12313" i="1"/>
  <c r="G12313" i="1"/>
  <c r="B14792" i="1"/>
  <c r="D14792" i="1"/>
  <c r="G14792" i="1"/>
  <c r="B17928" i="1"/>
  <c r="D17928" i="1"/>
  <c r="G17928" i="1"/>
  <c r="B21430" i="1"/>
  <c r="D21430" i="1"/>
  <c r="G21430" i="1"/>
  <c r="B16832" i="1"/>
  <c r="D16832" i="1"/>
  <c r="G16832" i="1"/>
  <c r="B4126" i="1"/>
  <c r="D4126" i="1"/>
  <c r="G4126" i="1"/>
  <c r="B13774" i="1"/>
  <c r="D13774" i="1"/>
  <c r="G13774" i="1"/>
  <c r="B12571" i="1"/>
  <c r="D12571" i="1"/>
  <c r="G12571" i="1"/>
  <c r="B13688" i="1"/>
  <c r="D13688" i="1"/>
  <c r="G13688" i="1"/>
  <c r="B14065" i="1"/>
  <c r="D14065" i="1"/>
  <c r="G14065" i="1"/>
  <c r="B14331" i="1"/>
  <c r="D14331" i="1"/>
  <c r="G14331" i="1"/>
  <c r="B18706" i="1"/>
  <c r="D18706" i="1"/>
  <c r="G18706" i="1"/>
  <c r="B13364" i="1"/>
  <c r="D13364" i="1"/>
  <c r="G13364" i="1"/>
  <c r="B18957" i="1"/>
  <c r="D18957" i="1"/>
  <c r="G18957" i="1"/>
  <c r="B9059" i="1"/>
  <c r="D9059" i="1"/>
  <c r="G9059" i="1"/>
  <c r="B15631" i="1"/>
  <c r="D15631" i="1"/>
  <c r="G15631" i="1"/>
  <c r="B10065" i="1"/>
  <c r="D10065" i="1"/>
  <c r="G10065" i="1"/>
  <c r="B18256" i="1"/>
  <c r="D18256" i="1"/>
  <c r="G18256" i="1"/>
  <c r="B13175" i="1"/>
  <c r="D13175" i="1"/>
  <c r="G13175" i="1"/>
  <c r="B12314" i="1"/>
  <c r="D12314" i="1"/>
  <c r="G12314" i="1"/>
  <c r="B15632" i="1"/>
  <c r="D15632" i="1"/>
  <c r="G15632" i="1"/>
  <c r="B19103" i="1"/>
  <c r="D19103" i="1"/>
  <c r="G19103" i="1"/>
  <c r="B18958" i="1"/>
  <c r="D18958" i="1"/>
  <c r="G18958" i="1"/>
  <c r="B16021" i="1"/>
  <c r="D16021" i="1"/>
  <c r="G16021" i="1"/>
  <c r="B14255" i="1"/>
  <c r="D14255" i="1"/>
  <c r="G14255" i="1"/>
  <c r="B18230" i="1"/>
  <c r="D18230" i="1"/>
  <c r="G18230" i="1"/>
  <c r="B16833" i="1"/>
  <c r="D16833" i="1"/>
  <c r="G16833" i="1"/>
  <c r="B16162" i="1"/>
  <c r="D16162" i="1"/>
  <c r="G16162" i="1"/>
  <c r="B2998" i="1"/>
  <c r="D2998" i="1"/>
  <c r="G2998" i="1"/>
  <c r="B9060" i="1"/>
  <c r="D9060" i="1"/>
  <c r="G9060" i="1"/>
  <c r="B12315" i="1"/>
  <c r="D12315" i="1"/>
  <c r="G12315" i="1"/>
  <c r="B16027" i="1"/>
  <c r="D16027" i="1"/>
  <c r="G16027" i="1"/>
  <c r="B18627" i="1"/>
  <c r="D18627" i="1"/>
  <c r="G18627" i="1"/>
  <c r="B17612" i="1"/>
  <c r="D17612" i="1"/>
  <c r="G17612" i="1"/>
  <c r="B19766" i="1"/>
  <c r="D19766" i="1"/>
  <c r="G19766" i="1"/>
  <c r="B16163" i="1"/>
  <c r="D16163" i="1"/>
  <c r="G16163" i="1"/>
  <c r="B17003" i="1"/>
  <c r="D17003" i="1"/>
  <c r="G17003" i="1"/>
  <c r="B21286" i="1"/>
  <c r="D21286" i="1"/>
  <c r="G21286" i="1"/>
  <c r="B17929" i="1"/>
  <c r="D17929" i="1"/>
  <c r="G17929" i="1"/>
  <c r="B13996" i="1"/>
  <c r="D13996" i="1"/>
  <c r="G13996" i="1"/>
  <c r="B17202" i="1"/>
  <c r="D17202" i="1"/>
  <c r="G17202" i="1"/>
  <c r="B16164" i="1"/>
  <c r="D16164" i="1"/>
  <c r="G16164" i="1"/>
  <c r="B19767" i="1"/>
  <c r="D19767" i="1"/>
  <c r="G19767" i="1"/>
  <c r="B18628" i="1"/>
  <c r="D18628" i="1"/>
  <c r="G18628" i="1"/>
  <c r="B13131" i="1"/>
  <c r="D13131" i="1"/>
  <c r="G13131" i="1"/>
  <c r="B16834" i="1"/>
  <c r="D16834" i="1"/>
  <c r="G16834" i="1"/>
  <c r="B13617" i="1"/>
  <c r="D13617" i="1"/>
  <c r="G13617" i="1"/>
  <c r="B15303" i="1"/>
  <c r="D15303" i="1"/>
  <c r="G15303" i="1"/>
  <c r="B16835" i="1"/>
  <c r="D16835" i="1"/>
  <c r="G16835" i="1"/>
  <c r="B17346" i="1"/>
  <c r="D17346" i="1"/>
  <c r="G17346" i="1"/>
  <c r="B14109" i="1"/>
  <c r="D14109" i="1"/>
  <c r="G14109" i="1"/>
  <c r="B13365" i="1"/>
  <c r="D13365" i="1"/>
  <c r="G13365" i="1"/>
  <c r="B13618" i="1"/>
  <c r="D13618" i="1"/>
  <c r="G13618" i="1"/>
  <c r="B13719" i="1"/>
  <c r="D13719" i="1"/>
  <c r="G13719" i="1"/>
  <c r="B20954" i="1"/>
  <c r="D20954" i="1"/>
  <c r="G20954" i="1"/>
  <c r="B19347" i="1"/>
  <c r="D19347" i="1"/>
  <c r="G19347" i="1"/>
  <c r="B14667" i="1"/>
  <c r="D14667" i="1"/>
  <c r="G14667" i="1"/>
  <c r="B21765" i="1"/>
  <c r="D21765" i="1"/>
  <c r="G21765" i="1"/>
  <c r="B18760" i="1"/>
  <c r="D18760" i="1"/>
  <c r="G18760" i="1"/>
  <c r="B15750" i="1"/>
  <c r="D15750" i="1"/>
  <c r="G15750" i="1"/>
  <c r="B10086" i="1"/>
  <c r="D10086" i="1"/>
  <c r="G10086" i="1"/>
  <c r="B13366" i="1"/>
  <c r="D13366" i="1"/>
  <c r="G13366" i="1"/>
  <c r="B12316" i="1"/>
  <c r="D12316" i="1"/>
  <c r="G12316" i="1"/>
  <c r="B16836" i="1"/>
  <c r="D16836" i="1"/>
  <c r="G16836" i="1"/>
  <c r="B19768" i="1"/>
  <c r="D19768" i="1"/>
  <c r="G19768" i="1"/>
  <c r="B13871" i="1"/>
  <c r="D13871" i="1"/>
  <c r="G13871" i="1"/>
  <c r="B14572" i="1"/>
  <c r="D14572" i="1"/>
  <c r="G14572" i="1"/>
  <c r="B11448" i="1"/>
  <c r="D11448" i="1"/>
  <c r="G11448" i="1"/>
  <c r="B13443" i="1"/>
  <c r="D13443" i="1"/>
  <c r="G13443" i="1"/>
  <c r="B13477" i="1"/>
  <c r="D13477" i="1"/>
  <c r="G13477" i="1"/>
  <c r="B21193" i="1"/>
  <c r="D21193" i="1"/>
  <c r="G21193" i="1"/>
  <c r="B4033" i="1"/>
  <c r="D4033" i="1"/>
  <c r="G4033" i="1"/>
  <c r="B4034" i="1"/>
  <c r="D4034" i="1"/>
  <c r="G4034" i="1"/>
  <c r="B13997" i="1"/>
  <c r="D13997" i="1"/>
  <c r="G13997" i="1"/>
  <c r="B19348" i="1"/>
  <c r="D19348" i="1"/>
  <c r="G19348" i="1"/>
  <c r="B15940" i="1"/>
  <c r="D15940" i="1"/>
  <c r="G15940" i="1"/>
  <c r="B10142" i="1"/>
  <c r="D10142" i="1"/>
  <c r="G10142" i="1"/>
  <c r="B15834" i="1"/>
  <c r="D15834" i="1"/>
  <c r="G15834" i="1"/>
  <c r="B21621" i="1"/>
  <c r="D21621" i="1"/>
  <c r="G21621" i="1"/>
  <c r="B12572" i="1"/>
  <c r="D12572" i="1"/>
  <c r="G12572" i="1"/>
  <c r="B17203" i="1"/>
  <c r="D17203" i="1"/>
  <c r="G17203" i="1"/>
  <c r="B13872" i="1"/>
  <c r="D13872" i="1"/>
  <c r="G13872" i="1"/>
  <c r="B14418" i="1"/>
  <c r="D14418" i="1"/>
  <c r="G14418" i="1"/>
  <c r="B18629" i="1"/>
  <c r="D18629" i="1"/>
  <c r="G18629" i="1"/>
  <c r="B17930" i="1"/>
  <c r="D17930" i="1"/>
  <c r="G17930" i="1"/>
  <c r="B18257" i="1"/>
  <c r="D18257" i="1"/>
  <c r="G18257" i="1"/>
  <c r="B14573" i="1"/>
  <c r="D14573" i="1"/>
  <c r="G14573" i="1"/>
  <c r="B15633" i="1"/>
  <c r="D15633" i="1"/>
  <c r="G15633" i="1"/>
  <c r="B17226" i="1"/>
  <c r="D17226" i="1"/>
  <c r="G17226" i="1"/>
  <c r="B16837" i="1"/>
  <c r="D16837" i="1"/>
  <c r="G16837" i="1"/>
  <c r="B15634" i="1"/>
  <c r="D15634" i="1"/>
  <c r="G15634" i="1"/>
  <c r="B11647" i="1"/>
  <c r="D11647" i="1"/>
  <c r="G11647" i="1"/>
  <c r="B15835" i="1"/>
  <c r="D15835" i="1"/>
  <c r="G15835" i="1"/>
  <c r="B16838" i="1"/>
  <c r="D16838" i="1"/>
  <c r="G16838" i="1"/>
  <c r="B11053" i="1"/>
  <c r="D11053" i="1"/>
  <c r="G11053" i="1"/>
  <c r="B11054" i="1"/>
  <c r="D11054" i="1"/>
  <c r="G11054" i="1"/>
  <c r="B14332" i="1"/>
  <c r="D14332" i="1"/>
  <c r="G14332" i="1"/>
  <c r="B15304" i="1"/>
  <c r="D15304" i="1"/>
  <c r="G15304" i="1"/>
  <c r="B15941" i="1"/>
  <c r="D15941" i="1"/>
  <c r="G15941" i="1"/>
  <c r="B19349" i="1"/>
  <c r="D19349" i="1"/>
  <c r="G19349" i="1"/>
  <c r="B18959" i="1"/>
  <c r="D18959" i="1"/>
  <c r="G18959" i="1"/>
  <c r="B17436" i="1"/>
  <c r="D17436" i="1"/>
  <c r="G17436" i="1"/>
  <c r="B17204" i="1"/>
  <c r="D17204" i="1"/>
  <c r="G17204" i="1"/>
  <c r="B16165" i="1"/>
  <c r="D16165" i="1"/>
  <c r="G16165" i="1"/>
  <c r="B18630" i="1"/>
  <c r="D18630" i="1"/>
  <c r="G18630" i="1"/>
  <c r="B13022" i="1"/>
  <c r="D13022" i="1"/>
  <c r="G13022" i="1"/>
  <c r="B16839" i="1"/>
  <c r="D16839" i="1"/>
  <c r="G16839" i="1"/>
  <c r="B21766" i="1"/>
  <c r="D21766" i="1"/>
  <c r="G21766" i="1"/>
  <c r="B10387" i="1"/>
  <c r="D10387" i="1"/>
  <c r="G10387" i="1"/>
  <c r="B10675" i="1"/>
  <c r="D10675" i="1"/>
  <c r="G10675" i="1"/>
  <c r="B344" i="1"/>
  <c r="D344" i="1"/>
  <c r="G344" i="1"/>
  <c r="B14167" i="1"/>
  <c r="D14167" i="1"/>
  <c r="G14167" i="1"/>
  <c r="B342" i="1"/>
  <c r="D342" i="1"/>
  <c r="G342" i="1"/>
  <c r="B17437" i="1"/>
  <c r="D17437" i="1"/>
  <c r="G17437" i="1"/>
  <c r="B13779" i="1"/>
  <c r="D13779" i="1"/>
  <c r="G13779" i="1"/>
  <c r="B21767" i="1"/>
  <c r="D21767" i="1"/>
  <c r="G21767" i="1"/>
  <c r="B11449" i="1"/>
  <c r="D11449" i="1"/>
  <c r="G11449" i="1"/>
  <c r="B4284" i="1"/>
  <c r="D4284" i="1"/>
  <c r="G4284" i="1"/>
  <c r="B16166" i="1"/>
  <c r="D16166" i="1"/>
  <c r="G16166" i="1"/>
  <c r="B16840" i="1"/>
  <c r="D16840" i="1"/>
  <c r="G16840" i="1"/>
  <c r="B13771" i="1"/>
  <c r="D13771" i="1"/>
  <c r="G13771" i="1"/>
  <c r="B10201" i="1"/>
  <c r="D10201" i="1"/>
  <c r="G10201" i="1"/>
  <c r="B4035" i="1"/>
  <c r="D4035" i="1"/>
  <c r="G4035" i="1"/>
  <c r="B13638" i="1"/>
  <c r="D13638" i="1"/>
  <c r="G13638" i="1"/>
  <c r="B13444" i="1"/>
  <c r="D13444" i="1"/>
  <c r="G13444" i="1"/>
  <c r="B16841" i="1"/>
  <c r="D16841" i="1"/>
  <c r="G16841" i="1"/>
  <c r="B17205" i="1"/>
  <c r="D17205" i="1"/>
  <c r="G17205" i="1"/>
  <c r="B10326" i="1"/>
  <c r="D10326" i="1"/>
  <c r="G10326" i="1"/>
  <c r="B17438" i="1"/>
  <c r="D17438" i="1"/>
  <c r="G17438" i="1"/>
  <c r="B15987" i="1"/>
  <c r="D15987" i="1"/>
  <c r="G15987" i="1"/>
  <c r="B13567" i="1"/>
  <c r="D13567" i="1"/>
  <c r="G13567" i="1"/>
  <c r="B13132" i="1"/>
  <c r="D13132" i="1"/>
  <c r="G13132" i="1"/>
  <c r="B1898" i="1"/>
  <c r="D1898" i="1"/>
  <c r="G1898" i="1"/>
  <c r="B19930" i="1"/>
  <c r="D19930" i="1"/>
  <c r="G19930" i="1"/>
  <c r="B13873" i="1"/>
  <c r="D13873" i="1"/>
  <c r="G13873" i="1"/>
  <c r="B13367" i="1"/>
  <c r="D13367" i="1"/>
  <c r="G13367" i="1"/>
  <c r="B4285" i="1"/>
  <c r="D4285" i="1"/>
  <c r="G4285" i="1"/>
  <c r="B11011" i="1"/>
  <c r="D11011" i="1"/>
  <c r="G11011" i="1"/>
  <c r="B19350" i="1"/>
  <c r="D19350" i="1"/>
  <c r="G19350" i="1"/>
  <c r="B14574" i="1"/>
  <c r="D14574" i="1"/>
  <c r="G14574" i="1"/>
  <c r="B15305" i="1"/>
  <c r="D15305" i="1"/>
  <c r="G15305" i="1"/>
  <c r="B19351" i="1"/>
  <c r="D19351" i="1"/>
  <c r="G19351" i="1"/>
  <c r="B15942" i="1"/>
  <c r="D15942" i="1"/>
  <c r="G15942" i="1"/>
  <c r="B15836" i="1"/>
  <c r="D15836" i="1"/>
  <c r="G15836" i="1"/>
  <c r="B16842" i="1"/>
  <c r="D16842" i="1"/>
  <c r="G16842" i="1"/>
  <c r="B16843" i="1"/>
  <c r="D16843" i="1"/>
  <c r="G16843" i="1"/>
  <c r="B13689" i="1"/>
  <c r="D13689" i="1"/>
  <c r="G13689" i="1"/>
  <c r="B15635" i="1"/>
  <c r="D15635" i="1"/>
  <c r="G15635" i="1"/>
  <c r="B18105" i="1"/>
  <c r="D18105" i="1"/>
  <c r="G18105" i="1"/>
  <c r="B15636" i="1"/>
  <c r="D15636" i="1"/>
  <c r="G15636" i="1"/>
  <c r="B15637" i="1"/>
  <c r="D15637" i="1"/>
  <c r="G15637" i="1"/>
  <c r="B15714" i="1"/>
  <c r="D15714" i="1"/>
  <c r="G15714" i="1"/>
  <c r="B17206" i="1"/>
  <c r="D17206" i="1"/>
  <c r="G17206" i="1"/>
  <c r="B16844" i="1"/>
  <c r="D16844" i="1"/>
  <c r="G16844" i="1"/>
  <c r="B17207" i="1"/>
  <c r="D17207" i="1"/>
  <c r="G17207" i="1"/>
  <c r="B4880" i="1"/>
  <c r="D4880" i="1"/>
  <c r="G4880" i="1"/>
  <c r="B16845" i="1"/>
  <c r="D16845" i="1"/>
  <c r="G16845" i="1"/>
  <c r="B18205" i="1"/>
  <c r="D18205" i="1"/>
  <c r="G18205" i="1"/>
  <c r="B11292" i="1"/>
  <c r="D11292" i="1"/>
  <c r="G11292" i="1"/>
  <c r="B15943" i="1"/>
  <c r="D15943" i="1"/>
  <c r="G15943" i="1"/>
  <c r="B17030" i="1"/>
  <c r="D17030" i="1"/>
  <c r="G17030" i="1"/>
  <c r="B15638" i="1"/>
  <c r="D15638" i="1"/>
  <c r="G15638" i="1"/>
  <c r="B15306" i="1"/>
  <c r="D15306" i="1"/>
  <c r="G15306" i="1"/>
  <c r="B14367" i="1"/>
  <c r="D14367" i="1"/>
  <c r="G14367" i="1"/>
  <c r="B11055" i="1"/>
  <c r="D11055" i="1"/>
  <c r="G11055" i="1"/>
  <c r="B18631" i="1"/>
  <c r="D18631" i="1"/>
  <c r="G18631" i="1"/>
  <c r="B13926" i="1"/>
  <c r="D13926" i="1"/>
  <c r="G13926" i="1"/>
  <c r="B6573" i="1"/>
  <c r="D6573" i="1"/>
  <c r="G6573" i="1"/>
  <c r="B12317" i="1"/>
  <c r="D12317" i="1"/>
  <c r="G12317" i="1"/>
  <c r="B11056" i="1"/>
  <c r="D11056" i="1"/>
  <c r="G11056" i="1"/>
  <c r="B17031" i="1"/>
  <c r="D17031" i="1"/>
  <c r="G17031" i="1"/>
  <c r="B12450" i="1"/>
  <c r="D12450" i="1"/>
  <c r="G12450" i="1"/>
  <c r="B16846" i="1"/>
  <c r="D16846" i="1"/>
  <c r="G16846" i="1"/>
  <c r="B16847" i="1"/>
  <c r="D16847" i="1"/>
  <c r="G16847" i="1"/>
  <c r="B13133" i="1"/>
  <c r="D13133" i="1"/>
  <c r="G13133" i="1"/>
  <c r="B11012" i="1"/>
  <c r="D11012" i="1"/>
  <c r="G11012" i="1"/>
  <c r="B15307" i="1"/>
  <c r="D15307" i="1"/>
  <c r="G15307" i="1"/>
  <c r="B20441" i="1"/>
  <c r="D20441" i="1"/>
  <c r="G20441" i="1"/>
  <c r="B13242" i="1"/>
  <c r="D13242" i="1"/>
  <c r="G13242" i="1"/>
  <c r="B11257" i="1"/>
  <c r="D11257" i="1"/>
  <c r="G11257" i="1"/>
  <c r="B22222" i="1"/>
  <c r="D22222" i="1"/>
  <c r="G22222" i="1"/>
  <c r="B20188" i="1"/>
  <c r="D20188" i="1"/>
  <c r="G20188" i="1"/>
  <c r="B10327" i="1"/>
  <c r="D10327" i="1"/>
  <c r="G10327" i="1"/>
  <c r="B16848" i="1"/>
  <c r="D16848" i="1"/>
  <c r="G16848" i="1"/>
  <c r="B17208" i="1"/>
  <c r="D17208" i="1"/>
  <c r="G17208" i="1"/>
  <c r="B18960" i="1"/>
  <c r="D18960" i="1"/>
  <c r="G18960" i="1"/>
  <c r="B15308" i="1"/>
  <c r="D15308" i="1"/>
  <c r="G15308" i="1"/>
  <c r="B15639" i="1"/>
  <c r="D15639" i="1"/>
  <c r="G15639" i="1"/>
  <c r="B15640" i="1"/>
  <c r="D15640" i="1"/>
  <c r="G15640" i="1"/>
  <c r="B11353" i="1"/>
  <c r="D11353" i="1"/>
  <c r="G11353" i="1"/>
  <c r="B20706" i="1"/>
  <c r="D20706" i="1"/>
  <c r="G20706" i="1"/>
  <c r="B16849" i="1"/>
  <c r="D16849" i="1"/>
  <c r="G16849" i="1"/>
  <c r="B15944" i="1"/>
  <c r="D15944" i="1"/>
  <c r="G15944" i="1"/>
  <c r="B19352" i="1"/>
  <c r="D19352" i="1"/>
  <c r="G19352" i="1"/>
  <c r="B18961" i="1"/>
  <c r="D18961" i="1"/>
  <c r="G18961" i="1"/>
  <c r="B13368" i="1"/>
  <c r="D13368" i="1"/>
  <c r="G13368" i="1"/>
  <c r="B10676" i="1"/>
  <c r="D10676" i="1"/>
  <c r="G10676" i="1"/>
  <c r="B10677" i="1"/>
  <c r="D10677" i="1"/>
  <c r="G10677" i="1"/>
  <c r="B11013" i="1"/>
  <c r="D11013" i="1"/>
  <c r="G11013" i="1"/>
  <c r="B11014" i="1"/>
  <c r="D11014" i="1"/>
  <c r="G11014" i="1"/>
  <c r="B17567" i="1"/>
  <c r="D17567" i="1"/>
  <c r="G17567" i="1"/>
  <c r="B11258" i="1"/>
  <c r="D11258" i="1"/>
  <c r="G11258" i="1"/>
  <c r="B16850" i="1"/>
  <c r="D16850" i="1"/>
  <c r="G16850" i="1"/>
  <c r="B15309" i="1"/>
  <c r="D15309" i="1"/>
  <c r="G15309" i="1"/>
  <c r="B12926" i="1"/>
  <c r="D12926" i="1"/>
  <c r="G12926" i="1"/>
  <c r="B16851" i="1"/>
  <c r="D16851" i="1"/>
  <c r="G16851" i="1"/>
  <c r="B18206" i="1"/>
  <c r="D18206" i="1"/>
  <c r="G18206" i="1"/>
  <c r="B16852" i="1"/>
  <c r="D16852" i="1"/>
  <c r="G16852" i="1"/>
  <c r="B16853" i="1"/>
  <c r="D16853" i="1"/>
  <c r="G16853" i="1"/>
  <c r="B22223" i="1"/>
  <c r="D22223" i="1"/>
  <c r="G22223" i="1"/>
  <c r="B15641" i="1"/>
  <c r="D15641" i="1"/>
  <c r="G15641" i="1"/>
  <c r="B17326" i="1"/>
  <c r="D17326" i="1"/>
  <c r="G17326" i="1"/>
  <c r="B18106" i="1"/>
  <c r="D18106" i="1"/>
  <c r="G18106" i="1"/>
  <c r="B21330" i="1"/>
  <c r="D21330" i="1"/>
  <c r="G21330" i="1"/>
  <c r="B17613" i="1"/>
  <c r="D17613" i="1"/>
  <c r="G17613" i="1"/>
  <c r="B12318" i="1"/>
  <c r="D12318" i="1"/>
  <c r="G12318" i="1"/>
  <c r="B17931" i="1"/>
  <c r="D17931" i="1"/>
  <c r="G17931" i="1"/>
  <c r="B16854" i="1"/>
  <c r="D16854" i="1"/>
  <c r="G16854" i="1"/>
  <c r="B13874" i="1"/>
  <c r="D13874" i="1"/>
  <c r="G13874" i="1"/>
  <c r="B14869" i="1"/>
  <c r="D14869" i="1"/>
  <c r="G14869" i="1"/>
  <c r="B18632" i="1"/>
  <c r="D18632" i="1"/>
  <c r="G18632" i="1"/>
  <c r="B16855" i="1"/>
  <c r="D16855" i="1"/>
  <c r="G16855" i="1"/>
  <c r="B21768" i="1"/>
  <c r="D21768" i="1"/>
  <c r="G21768" i="1"/>
  <c r="B17244" i="1"/>
  <c r="D17244" i="1"/>
  <c r="G17244" i="1"/>
  <c r="B17004" i="1"/>
  <c r="D17004" i="1"/>
  <c r="G17004" i="1"/>
  <c r="B18761" i="1"/>
  <c r="D18761" i="1"/>
  <c r="G18761" i="1"/>
  <c r="B17005" i="1"/>
  <c r="D17005" i="1"/>
  <c r="G17005" i="1"/>
  <c r="B1899" i="1"/>
  <c r="D1899" i="1"/>
  <c r="G1899" i="1"/>
  <c r="B12319" i="1"/>
  <c r="D12319" i="1"/>
  <c r="G12319" i="1"/>
  <c r="B13134" i="1"/>
  <c r="D13134" i="1"/>
  <c r="G13134" i="1"/>
  <c r="B16856" i="1"/>
  <c r="D16856" i="1"/>
  <c r="G16856" i="1"/>
  <c r="B11293" i="1"/>
  <c r="D11293" i="1"/>
  <c r="G11293" i="1"/>
  <c r="B22224" i="1"/>
  <c r="D22224" i="1"/>
  <c r="G22224" i="1"/>
  <c r="B11903" i="1"/>
  <c r="D11903" i="1"/>
  <c r="G11903" i="1"/>
  <c r="B14283" i="1"/>
  <c r="D14283" i="1"/>
  <c r="G14283" i="1"/>
  <c r="B10193" i="1"/>
  <c r="D10193" i="1"/>
  <c r="G10193" i="1"/>
  <c r="B10194" i="1"/>
  <c r="D10194" i="1"/>
  <c r="G10194" i="1"/>
  <c r="B18207" i="1"/>
  <c r="D18207" i="1"/>
  <c r="G18207" i="1"/>
  <c r="B15310" i="1"/>
  <c r="D15310" i="1"/>
  <c r="G15310" i="1"/>
  <c r="B20189" i="1"/>
  <c r="D20189" i="1"/>
  <c r="G20189" i="1"/>
  <c r="B18962" i="1"/>
  <c r="D18962" i="1"/>
  <c r="G18962" i="1"/>
  <c r="B15311" i="1"/>
  <c r="D15311" i="1"/>
  <c r="G15311" i="1"/>
  <c r="B15642" i="1"/>
  <c r="D15642" i="1"/>
  <c r="G15642" i="1"/>
  <c r="B15751" i="1"/>
  <c r="D15751" i="1"/>
  <c r="G15751" i="1"/>
  <c r="B20147" i="1"/>
  <c r="D20147" i="1"/>
  <c r="G20147" i="1"/>
  <c r="B12573" i="1"/>
  <c r="D12573" i="1"/>
  <c r="G12573" i="1"/>
  <c r="B14766" i="1"/>
  <c r="D14766" i="1"/>
  <c r="G14766" i="1"/>
  <c r="B14031" i="1"/>
  <c r="D14031" i="1"/>
  <c r="G14031" i="1"/>
  <c r="B16014" i="1"/>
  <c r="D16014" i="1"/>
  <c r="G16014" i="1"/>
  <c r="B18633" i="1"/>
  <c r="D18633" i="1"/>
  <c r="G18633" i="1"/>
  <c r="B15312" i="1"/>
  <c r="D15312" i="1"/>
  <c r="G15312" i="1"/>
  <c r="B20442" i="1"/>
  <c r="D20442" i="1"/>
  <c r="G20442" i="1"/>
  <c r="B18634" i="1"/>
  <c r="D18634" i="1"/>
  <c r="G18634" i="1"/>
  <c r="B13875" i="1"/>
  <c r="D13875" i="1"/>
  <c r="G13875" i="1"/>
  <c r="B10678" i="1"/>
  <c r="D10678" i="1"/>
  <c r="G10678" i="1"/>
  <c r="B13135" i="1"/>
  <c r="D13135" i="1"/>
  <c r="G13135" i="1"/>
  <c r="B13176" i="1"/>
  <c r="D13176" i="1"/>
  <c r="G13176" i="1"/>
  <c r="B16857" i="1"/>
  <c r="D16857" i="1"/>
  <c r="G16857" i="1"/>
  <c r="B16858" i="1"/>
  <c r="D16858" i="1"/>
  <c r="G16858" i="1"/>
  <c r="B11259" i="1"/>
  <c r="D11259" i="1"/>
  <c r="G11259" i="1"/>
  <c r="B10679" i="1"/>
  <c r="D10679" i="1"/>
  <c r="G10679" i="1"/>
  <c r="B11260" i="1"/>
  <c r="D11260" i="1"/>
  <c r="G11260" i="1"/>
  <c r="B1900" i="1"/>
  <c r="D1900" i="1"/>
  <c r="G1900" i="1"/>
  <c r="B16859" i="1"/>
  <c r="D16859" i="1"/>
  <c r="G16859" i="1"/>
  <c r="B16860" i="1"/>
  <c r="D16860" i="1"/>
  <c r="G16860" i="1"/>
  <c r="B21373" i="1"/>
  <c r="D21373" i="1"/>
  <c r="G21373" i="1"/>
  <c r="B17209" i="1"/>
  <c r="D17209" i="1"/>
  <c r="G17209" i="1"/>
  <c r="B18963" i="1"/>
  <c r="D18963" i="1"/>
  <c r="G18963" i="1"/>
  <c r="B22090" i="1"/>
  <c r="D22090" i="1"/>
  <c r="G22090" i="1"/>
  <c r="B15313" i="1"/>
  <c r="D15313" i="1"/>
  <c r="G15313" i="1"/>
  <c r="B15643" i="1"/>
  <c r="D15643" i="1"/>
  <c r="G15643" i="1"/>
  <c r="B15314" i="1"/>
  <c r="D15314" i="1"/>
  <c r="G15314" i="1"/>
  <c r="B11015" i="1"/>
  <c r="D11015" i="1"/>
  <c r="G11015" i="1"/>
  <c r="B10680" i="1"/>
  <c r="D10680" i="1"/>
  <c r="G10680" i="1"/>
  <c r="B10681" i="1"/>
  <c r="D10681" i="1"/>
  <c r="G10681" i="1"/>
  <c r="B11016" i="1"/>
  <c r="D11016" i="1"/>
  <c r="G11016" i="1"/>
  <c r="B11017" i="1"/>
  <c r="D11017" i="1"/>
  <c r="G11017" i="1"/>
  <c r="B15315" i="1"/>
  <c r="D15315" i="1"/>
  <c r="G15315" i="1"/>
  <c r="B12320" i="1"/>
  <c r="D12320" i="1"/>
  <c r="G12320" i="1"/>
  <c r="B19104" i="1"/>
  <c r="D19104" i="1"/>
  <c r="G19104" i="1"/>
  <c r="B11261" i="1"/>
  <c r="D11261" i="1"/>
  <c r="G11261" i="1"/>
  <c r="B16861" i="1"/>
  <c r="D16861" i="1"/>
  <c r="G16861" i="1"/>
  <c r="B18669" i="1"/>
  <c r="D18669" i="1"/>
  <c r="G18669" i="1"/>
  <c r="B16862" i="1"/>
  <c r="D16862" i="1"/>
  <c r="G16862" i="1"/>
  <c r="B15644" i="1"/>
  <c r="D15644" i="1"/>
  <c r="G15644" i="1"/>
  <c r="B15316" i="1"/>
  <c r="D15316" i="1"/>
  <c r="G15316" i="1"/>
  <c r="B13369" i="1"/>
  <c r="D13369" i="1"/>
  <c r="G13369" i="1"/>
  <c r="B17006" i="1"/>
  <c r="D17006" i="1"/>
  <c r="G17006" i="1"/>
  <c r="B16167" i="1"/>
  <c r="D16167" i="1"/>
  <c r="G16167" i="1"/>
  <c r="B20955" i="1"/>
  <c r="D20955" i="1"/>
  <c r="G20955" i="1"/>
  <c r="B19353" i="1"/>
  <c r="D19353" i="1"/>
  <c r="G19353" i="1"/>
  <c r="B14668" i="1"/>
  <c r="D14668" i="1"/>
  <c r="G14668" i="1"/>
  <c r="B12927" i="1"/>
  <c r="D12927" i="1"/>
  <c r="G12927" i="1"/>
  <c r="B12321" i="1"/>
  <c r="D12321" i="1"/>
  <c r="G12321" i="1"/>
  <c r="B10328" i="1"/>
  <c r="D10328" i="1"/>
  <c r="G10328" i="1"/>
  <c r="B16168" i="1"/>
  <c r="D16168" i="1"/>
  <c r="G16168" i="1"/>
  <c r="B15752" i="1"/>
  <c r="D15752" i="1"/>
  <c r="G15752" i="1"/>
  <c r="B16953" i="1"/>
  <c r="D16953" i="1"/>
  <c r="G16953" i="1"/>
  <c r="B17932" i="1"/>
  <c r="D17932" i="1"/>
  <c r="G17932" i="1"/>
  <c r="B12322" i="1"/>
  <c r="D12322" i="1"/>
  <c r="G12322" i="1"/>
  <c r="B15317" i="1"/>
  <c r="D15317" i="1"/>
  <c r="G15317" i="1"/>
  <c r="B15645" i="1"/>
  <c r="D15645" i="1"/>
  <c r="G15645" i="1"/>
  <c r="B14870" i="1"/>
  <c r="D14870" i="1"/>
  <c r="G14870" i="1"/>
  <c r="B17933" i="1"/>
  <c r="D17933" i="1"/>
  <c r="G17933" i="1"/>
  <c r="B16169" i="1"/>
  <c r="D16169" i="1"/>
  <c r="G16169" i="1"/>
  <c r="B16863" i="1"/>
  <c r="D16863" i="1"/>
  <c r="G16863" i="1"/>
  <c r="B18231" i="1"/>
  <c r="D18231" i="1"/>
  <c r="G18231" i="1"/>
  <c r="B21331" i="1"/>
  <c r="D21331" i="1"/>
  <c r="G21331" i="1"/>
  <c r="B11057" i="1"/>
  <c r="D11057" i="1"/>
  <c r="G11057" i="1"/>
  <c r="B18667" i="1"/>
  <c r="D18667" i="1"/>
  <c r="G18667" i="1"/>
  <c r="B20342" i="1"/>
  <c r="D20342" i="1"/>
  <c r="G20342" i="1"/>
  <c r="B13136" i="1"/>
  <c r="D13136" i="1"/>
  <c r="G13136" i="1"/>
  <c r="B20443" i="1"/>
  <c r="D20443" i="1"/>
  <c r="G20443" i="1"/>
  <c r="B17934" i="1"/>
  <c r="D17934" i="1"/>
  <c r="G17934" i="1"/>
  <c r="B15753" i="1"/>
  <c r="D15753" i="1"/>
  <c r="G15753" i="1"/>
  <c r="B18762" i="1"/>
  <c r="D18762" i="1"/>
  <c r="G18762" i="1"/>
  <c r="B18390" i="1"/>
  <c r="D18390" i="1"/>
  <c r="G18390" i="1"/>
  <c r="B20209" i="1"/>
  <c r="D20209" i="1"/>
  <c r="G20209" i="1"/>
  <c r="B18147" i="1"/>
  <c r="D18147" i="1"/>
  <c r="G18147" i="1"/>
  <c r="B19769" i="1"/>
  <c r="D19769" i="1"/>
  <c r="G19769" i="1"/>
  <c r="B16864" i="1"/>
  <c r="D16864" i="1"/>
  <c r="G16864" i="1"/>
  <c r="B21622" i="1"/>
  <c r="D21622" i="1"/>
  <c r="G21622" i="1"/>
  <c r="B18635" i="1"/>
  <c r="D18635" i="1"/>
  <c r="G18635" i="1"/>
  <c r="B20092" i="1"/>
  <c r="D20092" i="1"/>
  <c r="G20092" i="1"/>
  <c r="B12323" i="1"/>
  <c r="D12323" i="1"/>
  <c r="G12323" i="1"/>
  <c r="B17935" i="1"/>
  <c r="D17935" i="1"/>
  <c r="G17935" i="1"/>
  <c r="B20048" i="1"/>
  <c r="D20048" i="1"/>
  <c r="G20048" i="1"/>
  <c r="B20060" i="1"/>
  <c r="D20060" i="1"/>
  <c r="G20060" i="1"/>
  <c r="B17568" i="1"/>
  <c r="D17568" i="1"/>
  <c r="G17568" i="1"/>
  <c r="B13876" i="1"/>
  <c r="D13876" i="1"/>
  <c r="G13876" i="1"/>
  <c r="B13478" i="1"/>
  <c r="D13478" i="1"/>
  <c r="G13478" i="1"/>
  <c r="B16865" i="1"/>
  <c r="D16865" i="1"/>
  <c r="G16865" i="1"/>
  <c r="B21424" i="1"/>
  <c r="D21424" i="1"/>
  <c r="G21424" i="1"/>
  <c r="B21623" i="1"/>
  <c r="D21623" i="1"/>
  <c r="G21623" i="1"/>
  <c r="B13720" i="1"/>
  <c r="D13720" i="1"/>
  <c r="G13720" i="1"/>
  <c r="B13529" i="1"/>
  <c r="D13529" i="1"/>
  <c r="G13529" i="1"/>
  <c r="B17439" i="1"/>
  <c r="D17439" i="1"/>
  <c r="G17439" i="1"/>
  <c r="B17569" i="1"/>
  <c r="D17569" i="1"/>
  <c r="G17569" i="1"/>
  <c r="B12574" i="1"/>
  <c r="D12574" i="1"/>
  <c r="G12574" i="1"/>
  <c r="B16866" i="1"/>
  <c r="D16866" i="1"/>
  <c r="G16866" i="1"/>
  <c r="B13370" i="1"/>
  <c r="D13370" i="1"/>
  <c r="G13370" i="1"/>
  <c r="B20956" i="1"/>
  <c r="D20956" i="1"/>
  <c r="G20956" i="1"/>
  <c r="B11058" i="1"/>
  <c r="D11058" i="1"/>
  <c r="G11058" i="1"/>
  <c r="B19354" i="1"/>
  <c r="D19354" i="1"/>
  <c r="G19354" i="1"/>
  <c r="B14669" i="1"/>
  <c r="D14669" i="1"/>
  <c r="G14669" i="1"/>
  <c r="B12928" i="1"/>
  <c r="D12928" i="1"/>
  <c r="G12928" i="1"/>
  <c r="B11450" i="1"/>
  <c r="D11450" i="1"/>
  <c r="G11450" i="1"/>
  <c r="B11354" i="1"/>
  <c r="D11354" i="1"/>
  <c r="G11354" i="1"/>
  <c r="B16867" i="1"/>
  <c r="D16867" i="1"/>
  <c r="G16867" i="1"/>
  <c r="B19770" i="1"/>
  <c r="D19770" i="1"/>
  <c r="G19770" i="1"/>
  <c r="B18665" i="1"/>
  <c r="D18665" i="1"/>
  <c r="G18665" i="1"/>
  <c r="B12324" i="1"/>
  <c r="D12324" i="1"/>
  <c r="G12324" i="1"/>
  <c r="B17614" i="1"/>
  <c r="D17614" i="1"/>
  <c r="G17614" i="1"/>
  <c r="B17570" i="1"/>
  <c r="D17570" i="1"/>
  <c r="G17570" i="1"/>
  <c r="B12575" i="1"/>
  <c r="D12575" i="1"/>
  <c r="G12575" i="1"/>
  <c r="B11018" i="1"/>
  <c r="D11018" i="1"/>
  <c r="G11018" i="1"/>
  <c r="B16170" i="1"/>
  <c r="D16170" i="1"/>
  <c r="G16170" i="1"/>
  <c r="B10682" i="1"/>
  <c r="D10682" i="1"/>
  <c r="G10682" i="1"/>
  <c r="B17245" i="1"/>
  <c r="D17245" i="1"/>
  <c r="G17245" i="1"/>
  <c r="B11019" i="1"/>
  <c r="D11019" i="1"/>
  <c r="G11019" i="1"/>
  <c r="B20444" i="1"/>
  <c r="D20444" i="1"/>
  <c r="G20444" i="1"/>
  <c r="B20343" i="1"/>
  <c r="D20343" i="1"/>
  <c r="G20343" i="1"/>
  <c r="B21374" i="1"/>
  <c r="D21374" i="1"/>
  <c r="G21374" i="1"/>
  <c r="B11262" i="1"/>
  <c r="D11262" i="1"/>
  <c r="G11262" i="1"/>
  <c r="B20253" i="1"/>
  <c r="D20253" i="1"/>
  <c r="G20253" i="1"/>
  <c r="B15318" i="1"/>
  <c r="D15318" i="1"/>
  <c r="G15318" i="1"/>
  <c r="B22091" i="1"/>
  <c r="D22091" i="1"/>
  <c r="G22091" i="1"/>
  <c r="B17571" i="1"/>
  <c r="D17571" i="1"/>
  <c r="G17571" i="1"/>
  <c r="B11263" i="1"/>
  <c r="D11263" i="1"/>
  <c r="G11263" i="1"/>
  <c r="B12929" i="1"/>
  <c r="D12929" i="1"/>
  <c r="G12929" i="1"/>
  <c r="B14256" i="1"/>
  <c r="D14256" i="1"/>
  <c r="G14256" i="1"/>
  <c r="B21297" i="1"/>
  <c r="D21297" i="1"/>
  <c r="G21297" i="1"/>
  <c r="B17210" i="1"/>
  <c r="D17210" i="1"/>
  <c r="G17210" i="1"/>
  <c r="B11020" i="1"/>
  <c r="D11020" i="1"/>
  <c r="G11020" i="1"/>
  <c r="B21624" i="1"/>
  <c r="D21624" i="1"/>
  <c r="G21624" i="1"/>
  <c r="B18636" i="1"/>
  <c r="D18636" i="1"/>
  <c r="G18636" i="1"/>
  <c r="B16868" i="1"/>
  <c r="D16868" i="1"/>
  <c r="G16868" i="1"/>
  <c r="B17936" i="1"/>
  <c r="D17936" i="1"/>
  <c r="G17936" i="1"/>
  <c r="B17937" i="1"/>
  <c r="D17937" i="1"/>
  <c r="G17937" i="1"/>
  <c r="B17938" i="1"/>
  <c r="D17938" i="1"/>
  <c r="G17938" i="1"/>
  <c r="B16869" i="1"/>
  <c r="D16869" i="1"/>
  <c r="G16869" i="1"/>
  <c r="B20707" i="1"/>
  <c r="D20707" i="1"/>
  <c r="G20707" i="1"/>
  <c r="B13497" i="1"/>
  <c r="D13497" i="1"/>
  <c r="G13497" i="1"/>
  <c r="B16870" i="1"/>
  <c r="D16870" i="1"/>
  <c r="G16870" i="1"/>
  <c r="B12325" i="1"/>
  <c r="D12325" i="1"/>
  <c r="G12325" i="1"/>
  <c r="B10329" i="1"/>
  <c r="D10329" i="1"/>
  <c r="G10329" i="1"/>
  <c r="B22225" i="1"/>
  <c r="D22225" i="1"/>
  <c r="G22225" i="1"/>
  <c r="B13371" i="1"/>
  <c r="D13371" i="1"/>
  <c r="G13371" i="1"/>
  <c r="B13775" i="1"/>
  <c r="D13775" i="1"/>
  <c r="G13775" i="1"/>
  <c r="B13137" i="1"/>
  <c r="D13137" i="1"/>
  <c r="G13137" i="1"/>
  <c r="B14333" i="1"/>
  <c r="D14333" i="1"/>
  <c r="G14333" i="1"/>
  <c r="B13212" i="1"/>
  <c r="D13212" i="1"/>
  <c r="G13212" i="1"/>
  <c r="B14575" i="1"/>
  <c r="D14575" i="1"/>
  <c r="G14575" i="1"/>
  <c r="B17327" i="1"/>
  <c r="D17327" i="1"/>
  <c r="G17327" i="1"/>
  <c r="B16072" i="1"/>
  <c r="D16072" i="1"/>
  <c r="G16072" i="1"/>
  <c r="B20148" i="1"/>
  <c r="D20148" i="1"/>
  <c r="G20148" i="1"/>
  <c r="B13570" i="1"/>
  <c r="D13570" i="1"/>
  <c r="G13570" i="1"/>
  <c r="B1901" i="1"/>
  <c r="D1901" i="1"/>
  <c r="G1901" i="1"/>
  <c r="B20049" i="1"/>
  <c r="D20049" i="1"/>
  <c r="G20049" i="1"/>
  <c r="B16871" i="1"/>
  <c r="D16871" i="1"/>
  <c r="G16871" i="1"/>
  <c r="B15646" i="1"/>
  <c r="D15646" i="1"/>
  <c r="G15646" i="1"/>
  <c r="B15945" i="1"/>
  <c r="D15945" i="1"/>
  <c r="G15945" i="1"/>
  <c r="B15837" i="1"/>
  <c r="D15837" i="1"/>
  <c r="G15837" i="1"/>
  <c r="B21298" i="1"/>
  <c r="D21298" i="1"/>
  <c r="G21298" i="1"/>
  <c r="B20149" i="1"/>
  <c r="D20149" i="1"/>
  <c r="G20149" i="1"/>
  <c r="B18115" i="1"/>
  <c r="D18115" i="1"/>
  <c r="G18115" i="1"/>
  <c r="B20050" i="1"/>
  <c r="D20050" i="1"/>
  <c r="G20050" i="1"/>
  <c r="B21287" i="1"/>
  <c r="D21287" i="1"/>
  <c r="G21287" i="1"/>
  <c r="B16872" i="1"/>
  <c r="D16872" i="1"/>
  <c r="G16872" i="1"/>
  <c r="B17268" i="1"/>
  <c r="D17268" i="1"/>
  <c r="G17268" i="1"/>
  <c r="B12930" i="1"/>
  <c r="D12930" i="1"/>
  <c r="G12930" i="1"/>
  <c r="B20957" i="1"/>
  <c r="D20957" i="1"/>
  <c r="G20957" i="1"/>
  <c r="B17211" i="1"/>
  <c r="D17211" i="1"/>
  <c r="G17211" i="1"/>
  <c r="B19771" i="1"/>
  <c r="D19771" i="1"/>
  <c r="G19771" i="1"/>
  <c r="B19772" i="1"/>
  <c r="D19772" i="1"/>
  <c r="G19772" i="1"/>
  <c r="B12326" i="1"/>
  <c r="D12326" i="1"/>
  <c r="G12326" i="1"/>
  <c r="B18258" i="1"/>
  <c r="D18258" i="1"/>
  <c r="G18258" i="1"/>
  <c r="B21982" i="1"/>
  <c r="D21982" i="1"/>
  <c r="G21982" i="1"/>
  <c r="B19105" i="1"/>
  <c r="D19105" i="1"/>
  <c r="G19105" i="1"/>
  <c r="B17440" i="1"/>
  <c r="D17440" i="1"/>
  <c r="G17440" i="1"/>
  <c r="B19355" i="1"/>
  <c r="D19355" i="1"/>
  <c r="G19355" i="1"/>
  <c r="B15647" i="1"/>
  <c r="D15647" i="1"/>
  <c r="G15647" i="1"/>
  <c r="B15319" i="1"/>
  <c r="D15319" i="1"/>
  <c r="G15319" i="1"/>
  <c r="B21305" i="1"/>
  <c r="D21305" i="1"/>
  <c r="G21305" i="1"/>
  <c r="B13372" i="1"/>
  <c r="D13372" i="1"/>
  <c r="G13372" i="1"/>
  <c r="B19773" i="1"/>
  <c r="D19773" i="1"/>
  <c r="G19773" i="1"/>
  <c r="B14871" i="1"/>
  <c r="D14871" i="1"/>
  <c r="G14871" i="1"/>
  <c r="B21375" i="1"/>
  <c r="D21375" i="1"/>
  <c r="G21375" i="1"/>
  <c r="B14576" i="1"/>
  <c r="D14576" i="1"/>
  <c r="G14576" i="1"/>
  <c r="B14767" i="1"/>
  <c r="D14767" i="1"/>
  <c r="G14767" i="1"/>
  <c r="B10683" i="1"/>
  <c r="D10683" i="1"/>
  <c r="G10683" i="1"/>
  <c r="B12576" i="1"/>
  <c r="D12576" i="1"/>
  <c r="G12576" i="1"/>
  <c r="B17939" i="1"/>
  <c r="D17939" i="1"/>
  <c r="G17939" i="1"/>
  <c r="B13952" i="1"/>
  <c r="D13952" i="1"/>
  <c r="G13952" i="1"/>
  <c r="B13953" i="1"/>
  <c r="D13953" i="1"/>
  <c r="G13953" i="1"/>
  <c r="B21332" i="1"/>
  <c r="D21332" i="1"/>
  <c r="G21332" i="1"/>
  <c r="B19356" i="1"/>
  <c r="D19356" i="1"/>
  <c r="G19356" i="1"/>
  <c r="B15946" i="1"/>
  <c r="D15946" i="1"/>
  <c r="G15946" i="1"/>
  <c r="B20344" i="1"/>
  <c r="D20344" i="1"/>
  <c r="G20344" i="1"/>
  <c r="B15838" i="1"/>
  <c r="D15838" i="1"/>
  <c r="G15838" i="1"/>
  <c r="B19774" i="1"/>
  <c r="D19774" i="1"/>
  <c r="G19774" i="1"/>
  <c r="B16171" i="1"/>
  <c r="D16171" i="1"/>
  <c r="G16171" i="1"/>
  <c r="B20445" i="1"/>
  <c r="D20445" i="1"/>
  <c r="G20445" i="1"/>
  <c r="B20345" i="1"/>
  <c r="D20345" i="1"/>
  <c r="G20345" i="1"/>
  <c r="B20070" i="1"/>
  <c r="D20070" i="1"/>
  <c r="G20070" i="1"/>
  <c r="B11059" i="1"/>
  <c r="D11059" i="1"/>
  <c r="G11059" i="1"/>
  <c r="B20071" i="1"/>
  <c r="D20071" i="1"/>
  <c r="G20071" i="1"/>
  <c r="B9889" i="1"/>
  <c r="D9889" i="1"/>
  <c r="G9889" i="1"/>
  <c r="B16873" i="1"/>
  <c r="D16873" i="1"/>
  <c r="G16873" i="1"/>
  <c r="B22092" i="1"/>
  <c r="D22092" i="1"/>
  <c r="G22092" i="1"/>
  <c r="B17009" i="1"/>
  <c r="D17009" i="1"/>
  <c r="G17009" i="1"/>
  <c r="B22093" i="1"/>
  <c r="D22093" i="1"/>
  <c r="G22093" i="1"/>
  <c r="B17212" i="1"/>
  <c r="D17212" i="1"/>
  <c r="G17212" i="1"/>
  <c r="B1010" i="1"/>
  <c r="D1010" i="1"/>
  <c r="G1010" i="1"/>
  <c r="B14379" i="1"/>
  <c r="D14379" i="1"/>
  <c r="G14379" i="1"/>
  <c r="B17213" i="1"/>
  <c r="D17213" i="1"/>
  <c r="G17213" i="1"/>
  <c r="B18148" i="1"/>
  <c r="D18148" i="1"/>
  <c r="G18148" i="1"/>
  <c r="B21824" i="1"/>
  <c r="D21824" i="1"/>
  <c r="G21824" i="1"/>
  <c r="B15947" i="1"/>
  <c r="D15947" i="1"/>
  <c r="G15947" i="1"/>
  <c r="B16874" i="1"/>
  <c r="D16874" i="1"/>
  <c r="G16874" i="1"/>
  <c r="B15648" i="1"/>
  <c r="D15648" i="1"/>
  <c r="G15648" i="1"/>
  <c r="B15320" i="1"/>
  <c r="D15320" i="1"/>
  <c r="G15320" i="1"/>
  <c r="B21194" i="1"/>
  <c r="D21194" i="1"/>
  <c r="G21194" i="1"/>
  <c r="B13750" i="1"/>
  <c r="D13750" i="1"/>
  <c r="G13750" i="1"/>
  <c r="B20708" i="1"/>
  <c r="D20708" i="1"/>
  <c r="G20708" i="1"/>
  <c r="B17940" i="1"/>
  <c r="D17940" i="1"/>
  <c r="G17940" i="1"/>
  <c r="B12416" i="1"/>
  <c r="D12416" i="1"/>
  <c r="G12416" i="1"/>
  <c r="B13373" i="1"/>
  <c r="D13373" i="1"/>
  <c r="G13373" i="1"/>
  <c r="B16875" i="1"/>
  <c r="D16875" i="1"/>
  <c r="G16875" i="1"/>
  <c r="B15321" i="1"/>
  <c r="D15321" i="1"/>
  <c r="G15321" i="1"/>
  <c r="B20958" i="1"/>
  <c r="D20958" i="1"/>
  <c r="G20958" i="1"/>
  <c r="B15649" i="1"/>
  <c r="D15649" i="1"/>
  <c r="G15649" i="1"/>
  <c r="B20709" i="1"/>
  <c r="D20709" i="1"/>
  <c r="G20709" i="1"/>
  <c r="B20710" i="1"/>
  <c r="D20710" i="1"/>
  <c r="G20710" i="1"/>
  <c r="B17214" i="1"/>
  <c r="D17214" i="1"/>
  <c r="G17214" i="1"/>
  <c r="B10388" i="1"/>
  <c r="D10388" i="1"/>
  <c r="G10388" i="1"/>
  <c r="B17615" i="1"/>
  <c r="D17615" i="1"/>
  <c r="G17615" i="1"/>
  <c r="B11021" i="1"/>
  <c r="D11021" i="1"/>
  <c r="G11021" i="1"/>
  <c r="B12417" i="1"/>
  <c r="D12417" i="1"/>
  <c r="G12417" i="1"/>
  <c r="B22226" i="1"/>
  <c r="D22226" i="1"/>
  <c r="G22226" i="1"/>
  <c r="B20150" i="1"/>
  <c r="D20150" i="1"/>
  <c r="G20150" i="1"/>
  <c r="B17350" i="1"/>
  <c r="D17350" i="1"/>
  <c r="G17350" i="1"/>
  <c r="B20051" i="1"/>
  <c r="D20051" i="1"/>
  <c r="G20051" i="1"/>
  <c r="B15948" i="1"/>
  <c r="D15948" i="1"/>
  <c r="G15948" i="1"/>
  <c r="B15650" i="1"/>
  <c r="D15650" i="1"/>
  <c r="G15650" i="1"/>
  <c r="B18107" i="1"/>
  <c r="D18107" i="1"/>
  <c r="G18107" i="1"/>
  <c r="B13499" i="1"/>
  <c r="D13499" i="1"/>
  <c r="G13499" i="1"/>
  <c r="B13507" i="1"/>
  <c r="D13507" i="1"/>
  <c r="G13507" i="1"/>
  <c r="B14116" i="1"/>
  <c r="D14116" i="1"/>
  <c r="G14116" i="1"/>
  <c r="B15322" i="1"/>
  <c r="D15322" i="1"/>
  <c r="G15322" i="1"/>
  <c r="B14091" i="1"/>
  <c r="D14091" i="1"/>
  <c r="G14091" i="1"/>
  <c r="B13908" i="1"/>
  <c r="D13908" i="1"/>
  <c r="G13908" i="1"/>
  <c r="B12633" i="1"/>
  <c r="D12633" i="1"/>
  <c r="G12633" i="1"/>
  <c r="B13680" i="1"/>
  <c r="D13680" i="1"/>
  <c r="G13680" i="1"/>
  <c r="B21195" i="1"/>
  <c r="D21195" i="1"/>
  <c r="G21195" i="1"/>
  <c r="B14872" i="1"/>
  <c r="D14872" i="1"/>
  <c r="G14872" i="1"/>
  <c r="B17441" i="1"/>
  <c r="D17441" i="1"/>
  <c r="G17441" i="1"/>
  <c r="B16876" i="1"/>
  <c r="D16876" i="1"/>
  <c r="G16876" i="1"/>
  <c r="B18763" i="1"/>
  <c r="D18763" i="1"/>
  <c r="G18763" i="1"/>
  <c r="B18159" i="1"/>
  <c r="D18159" i="1"/>
  <c r="G18159" i="1"/>
  <c r="B17215" i="1"/>
  <c r="D17215" i="1"/>
  <c r="G17215" i="1"/>
  <c r="B19775" i="1"/>
  <c r="D19775" i="1"/>
  <c r="G19775" i="1"/>
  <c r="B21196" i="1"/>
  <c r="D21196" i="1"/>
  <c r="G21196" i="1"/>
  <c r="B20959" i="1"/>
  <c r="D20959" i="1"/>
  <c r="G20959" i="1"/>
  <c r="B15981" i="1"/>
  <c r="D15981" i="1"/>
  <c r="G15981" i="1"/>
  <c r="B14771" i="1"/>
  <c r="D14771" i="1"/>
  <c r="G14771" i="1"/>
  <c r="B20960" i="1"/>
  <c r="D20960" i="1"/>
  <c r="G20960" i="1"/>
  <c r="B16877" i="1"/>
  <c r="D16877" i="1"/>
  <c r="G16877" i="1"/>
  <c r="B21983" i="1"/>
  <c r="D21983" i="1"/>
  <c r="G21983" i="1"/>
  <c r="B21449" i="1"/>
  <c r="D21449" i="1"/>
  <c r="G21449" i="1"/>
  <c r="B15323" i="1"/>
  <c r="D15323" i="1"/>
  <c r="G15323" i="1"/>
  <c r="B13780" i="1"/>
  <c r="D13780" i="1"/>
  <c r="G13780" i="1"/>
  <c r="B17616" i="1"/>
  <c r="D17616" i="1"/>
  <c r="G17616" i="1"/>
  <c r="B21984" i="1"/>
  <c r="D21984" i="1"/>
  <c r="G21984" i="1"/>
  <c r="B13560" i="1"/>
  <c r="D13560" i="1"/>
  <c r="G13560" i="1"/>
  <c r="B15651" i="1"/>
  <c r="D15651" i="1"/>
  <c r="G15651" i="1"/>
  <c r="B18108" i="1"/>
  <c r="D18108" i="1"/>
  <c r="G18108" i="1"/>
  <c r="B18068" i="1"/>
  <c r="D18068" i="1"/>
  <c r="G18068" i="1"/>
  <c r="B13899" i="1"/>
  <c r="D13899" i="1"/>
  <c r="G13899" i="1"/>
  <c r="B12327" i="1"/>
  <c r="D12327" i="1"/>
  <c r="G12327" i="1"/>
  <c r="B16878" i="1"/>
  <c r="D16878" i="1"/>
  <c r="G16878" i="1"/>
  <c r="B18259" i="1"/>
  <c r="D18259" i="1"/>
  <c r="G18259" i="1"/>
  <c r="B17941" i="1"/>
  <c r="D17941" i="1"/>
  <c r="G17941" i="1"/>
  <c r="B15652" i="1"/>
  <c r="D15652" i="1"/>
  <c r="G15652" i="1"/>
  <c r="B13998" i="1"/>
  <c r="D13998" i="1"/>
  <c r="G13998" i="1"/>
  <c r="B20446" i="1"/>
  <c r="D20446" i="1"/>
  <c r="G20446" i="1"/>
  <c r="B20346" i="1"/>
  <c r="D20346" i="1"/>
  <c r="G20346" i="1"/>
  <c r="B20254" i="1"/>
  <c r="D20254" i="1"/>
  <c r="G20254" i="1"/>
  <c r="B17246" i="1"/>
  <c r="D17246" i="1"/>
  <c r="G17246" i="1"/>
  <c r="B13426" i="1"/>
  <c r="D13426" i="1"/>
  <c r="G13426" i="1"/>
  <c r="B20024" i="1"/>
  <c r="D20024" i="1"/>
  <c r="G20024" i="1"/>
  <c r="B13407" i="1"/>
  <c r="D13407" i="1"/>
  <c r="G13407" i="1"/>
  <c r="B22094" i="1"/>
  <c r="D22094" i="1"/>
  <c r="G22094" i="1"/>
  <c r="B15988" i="1"/>
  <c r="D15988" i="1"/>
  <c r="G15988" i="1"/>
  <c r="B12709" i="1"/>
  <c r="D12709" i="1"/>
  <c r="G12709" i="1"/>
  <c r="B16879" i="1"/>
  <c r="D16879" i="1"/>
  <c r="G16879" i="1"/>
  <c r="B18707" i="1"/>
  <c r="D18707" i="1"/>
  <c r="G18707" i="1"/>
  <c r="B21197" i="1"/>
  <c r="D21197" i="1"/>
  <c r="G21197" i="1"/>
  <c r="B21825" i="1"/>
  <c r="D21825" i="1"/>
  <c r="G21825" i="1"/>
  <c r="B13243" i="1"/>
  <c r="D13243" i="1"/>
  <c r="G13243" i="1"/>
  <c r="B18666" i="1"/>
  <c r="D18666" i="1"/>
  <c r="G18666" i="1"/>
  <c r="B22227" i="1"/>
  <c r="D22227" i="1"/>
  <c r="G22227" i="1"/>
  <c r="B17442" i="1"/>
  <c r="D17442" i="1"/>
  <c r="G17442" i="1"/>
  <c r="B20447" i="1"/>
  <c r="D20447" i="1"/>
  <c r="G20447" i="1"/>
  <c r="B20151" i="1"/>
  <c r="D20151" i="1"/>
  <c r="G20151" i="1"/>
  <c r="B19931" i="1"/>
  <c r="D19931" i="1"/>
  <c r="G19931" i="1"/>
  <c r="B17007" i="1"/>
  <c r="D17007" i="1"/>
  <c r="G17007" i="1"/>
  <c r="B20961" i="1"/>
  <c r="D20961" i="1"/>
  <c r="G20961" i="1"/>
  <c r="B15653" i="1"/>
  <c r="D15653" i="1"/>
  <c r="G15653" i="1"/>
  <c r="B12328" i="1"/>
  <c r="D12328" i="1"/>
  <c r="G12328" i="1"/>
  <c r="B16880" i="1"/>
  <c r="D16880" i="1"/>
  <c r="G16880" i="1"/>
  <c r="B20481" i="1"/>
  <c r="D20481" i="1"/>
  <c r="G20481" i="1"/>
  <c r="B15754" i="1"/>
  <c r="D15754" i="1"/>
  <c r="G15754" i="1"/>
  <c r="B13138" i="1"/>
  <c r="D13138" i="1"/>
  <c r="G13138" i="1"/>
  <c r="B13408" i="1"/>
  <c r="D13408" i="1"/>
  <c r="G13408" i="1"/>
  <c r="B20711" i="1"/>
  <c r="D20711" i="1"/>
  <c r="G20711" i="1"/>
  <c r="B15324" i="1"/>
  <c r="D15324" i="1"/>
  <c r="G15324" i="1"/>
  <c r="B12637" i="1"/>
  <c r="D12637" i="1"/>
  <c r="G12637" i="1"/>
  <c r="B15654" i="1"/>
  <c r="D15654" i="1"/>
  <c r="G15654" i="1"/>
  <c r="B14032" i="1"/>
  <c r="D14032" i="1"/>
  <c r="G14032" i="1"/>
  <c r="B17256" i="1"/>
  <c r="D17256" i="1"/>
  <c r="G17256" i="1"/>
  <c r="B16881" i="1"/>
  <c r="D16881" i="1"/>
  <c r="G16881" i="1"/>
  <c r="B16882" i="1"/>
  <c r="D16882" i="1"/>
  <c r="G16882" i="1"/>
  <c r="B18764" i="1"/>
  <c r="D18764" i="1"/>
  <c r="G18764" i="1"/>
  <c r="B14471" i="1"/>
  <c r="D14471" i="1"/>
  <c r="G14471" i="1"/>
  <c r="B12329" i="1"/>
  <c r="D12329" i="1"/>
  <c r="G12329" i="1"/>
  <c r="B15755" i="1"/>
  <c r="D15755" i="1"/>
  <c r="G15755" i="1"/>
  <c r="B21985" i="1"/>
  <c r="D21985" i="1"/>
  <c r="G21985" i="1"/>
  <c r="B15655" i="1"/>
  <c r="D15655" i="1"/>
  <c r="G15655" i="1"/>
  <c r="B13877" i="1"/>
  <c r="D13877" i="1"/>
  <c r="G13877" i="1"/>
  <c r="B18208" i="1"/>
  <c r="D18208" i="1"/>
  <c r="G18208" i="1"/>
  <c r="B12577" i="1"/>
  <c r="D12577" i="1"/>
  <c r="G12577" i="1"/>
  <c r="B18232" i="1"/>
  <c r="D18232" i="1"/>
  <c r="G18232" i="1"/>
  <c r="B19357" i="1"/>
  <c r="D19357" i="1"/>
  <c r="G19357" i="1"/>
  <c r="B18964" i="1"/>
  <c r="D18964" i="1"/>
  <c r="G18964" i="1"/>
  <c r="B17216" i="1"/>
  <c r="D17216" i="1"/>
  <c r="G17216" i="1"/>
  <c r="B16172" i="1"/>
  <c r="D16172" i="1"/>
  <c r="G16172" i="1"/>
  <c r="B13878" i="1"/>
  <c r="D13878" i="1"/>
  <c r="G13878" i="1"/>
  <c r="B13479" i="1"/>
  <c r="D13479" i="1"/>
  <c r="G13479" i="1"/>
  <c r="B14368" i="1"/>
  <c r="D14368" i="1"/>
  <c r="G14368" i="1"/>
  <c r="B21198" i="1"/>
  <c r="D21198" i="1"/>
  <c r="G21198" i="1"/>
  <c r="B17227" i="1"/>
  <c r="D17227" i="1"/>
  <c r="G17227" i="1"/>
  <c r="B19833" i="1"/>
  <c r="D19833" i="1"/>
  <c r="G19833" i="1"/>
  <c r="B16883" i="1"/>
  <c r="D16883" i="1"/>
  <c r="G16883" i="1"/>
  <c r="B21625" i="1"/>
  <c r="D21625" i="1"/>
  <c r="G21625" i="1"/>
  <c r="B19776" i="1"/>
  <c r="D19776" i="1"/>
  <c r="G19776" i="1"/>
  <c r="B21626" i="1"/>
  <c r="D21626" i="1"/>
  <c r="G21626" i="1"/>
  <c r="B21627" i="1"/>
  <c r="D21627" i="1"/>
  <c r="G21627" i="1"/>
  <c r="B16173" i="1"/>
  <c r="D16173" i="1"/>
  <c r="G16173" i="1"/>
  <c r="B16884" i="1"/>
  <c r="D16884" i="1"/>
  <c r="G16884" i="1"/>
  <c r="B20482" i="1"/>
  <c r="D20482" i="1"/>
  <c r="G20482" i="1"/>
  <c r="B16885" i="1"/>
  <c r="D16885" i="1"/>
  <c r="G16885" i="1"/>
  <c r="B14020" i="1"/>
  <c r="D14020" i="1"/>
  <c r="G14020" i="1"/>
  <c r="B20962" i="1"/>
  <c r="D20962" i="1"/>
  <c r="G20962" i="1"/>
  <c r="B21337" i="1"/>
  <c r="D21337" i="1"/>
  <c r="G21337" i="1"/>
  <c r="B21199" i="1"/>
  <c r="D21199" i="1"/>
  <c r="G21199" i="1"/>
  <c r="B21450" i="1"/>
  <c r="D21450" i="1"/>
  <c r="G21450" i="1"/>
  <c r="B13737" i="1"/>
  <c r="D13737" i="1"/>
  <c r="G13737" i="1"/>
  <c r="B13431" i="1"/>
  <c r="D13431" i="1"/>
  <c r="G13431" i="1"/>
  <c r="B15325" i="1"/>
  <c r="D15325" i="1"/>
  <c r="G15325" i="1"/>
  <c r="B14334" i="1"/>
  <c r="D14334" i="1"/>
  <c r="G14334" i="1"/>
  <c r="B14284" i="1"/>
  <c r="D14284" i="1"/>
  <c r="G14284" i="1"/>
  <c r="B21986" i="1"/>
  <c r="D21986" i="1"/>
  <c r="G21986" i="1"/>
  <c r="B19932" i="1"/>
  <c r="D19932" i="1"/>
  <c r="G19932" i="1"/>
  <c r="B22095" i="1"/>
  <c r="D22095" i="1"/>
  <c r="G22095" i="1"/>
  <c r="B14670" i="1"/>
  <c r="D14670" i="1"/>
  <c r="G14670" i="1"/>
  <c r="B15326" i="1"/>
  <c r="D15326" i="1"/>
  <c r="G15326" i="1"/>
  <c r="B15656" i="1"/>
  <c r="D15656" i="1"/>
  <c r="G15656" i="1"/>
  <c r="B14793" i="1"/>
  <c r="D14793" i="1"/>
  <c r="G14793" i="1"/>
  <c r="B21628" i="1"/>
  <c r="D21628" i="1"/>
  <c r="G21628" i="1"/>
  <c r="B19777" i="1"/>
  <c r="D19777" i="1"/>
  <c r="G19777" i="1"/>
  <c r="B18637" i="1"/>
  <c r="D18637" i="1"/>
  <c r="G18637" i="1"/>
  <c r="B14096" i="1"/>
  <c r="D14096" i="1"/>
  <c r="G14096" i="1"/>
  <c r="B14768" i="1"/>
  <c r="D14768" i="1"/>
  <c r="G14768" i="1"/>
  <c r="B13879" i="1"/>
  <c r="D13879" i="1"/>
  <c r="G13879" i="1"/>
  <c r="B16174" i="1"/>
  <c r="D16174" i="1"/>
  <c r="G16174" i="1"/>
  <c r="B13023" i="1"/>
  <c r="D13023" i="1"/>
  <c r="G13023" i="1"/>
  <c r="B17942" i="1"/>
  <c r="D17942" i="1"/>
  <c r="G17942" i="1"/>
  <c r="B10389" i="1"/>
  <c r="D10389" i="1"/>
  <c r="G10389" i="1"/>
  <c r="B10684" i="1"/>
  <c r="D10684" i="1"/>
  <c r="G10684" i="1"/>
  <c r="B21826" i="1"/>
  <c r="D21826" i="1"/>
  <c r="G21826" i="1"/>
  <c r="B13880" i="1"/>
  <c r="D13880" i="1"/>
  <c r="G13880" i="1"/>
  <c r="B17943" i="1"/>
  <c r="D17943" i="1"/>
  <c r="G17943" i="1"/>
  <c r="B13881" i="1"/>
  <c r="D13881" i="1"/>
  <c r="G13881" i="1"/>
  <c r="B12578" i="1"/>
  <c r="D12578" i="1"/>
  <c r="G12578" i="1"/>
  <c r="B13882" i="1"/>
  <c r="D13882" i="1"/>
  <c r="G13882" i="1"/>
  <c r="B20448" i="1"/>
  <c r="D20448" i="1"/>
  <c r="G20448" i="1"/>
  <c r="B14153" i="1"/>
  <c r="D14153" i="1"/>
  <c r="G14153" i="1"/>
  <c r="B16886" i="1"/>
  <c r="D16886" i="1"/>
  <c r="G16886" i="1"/>
  <c r="B16887" i="1"/>
  <c r="D16887" i="1"/>
  <c r="G16887" i="1"/>
  <c r="B20483" i="1"/>
  <c r="D20483" i="1"/>
  <c r="G20483" i="1"/>
  <c r="B16888" i="1"/>
  <c r="D16888" i="1"/>
  <c r="G16888" i="1"/>
  <c r="B15657" i="1"/>
  <c r="D15657" i="1"/>
  <c r="G15657" i="1"/>
  <c r="B19106" i="1"/>
  <c r="D19106" i="1"/>
  <c r="G19106" i="1"/>
  <c r="B17443" i="1"/>
  <c r="D17443" i="1"/>
  <c r="G17443" i="1"/>
  <c r="B11022" i="1"/>
  <c r="D11022" i="1"/>
  <c r="G11022" i="1"/>
  <c r="B19358" i="1"/>
  <c r="D19358" i="1"/>
  <c r="G19358" i="1"/>
  <c r="B11264" i="1"/>
  <c r="D11264" i="1"/>
  <c r="G11264" i="1"/>
  <c r="B21827" i="1"/>
  <c r="D21827" i="1"/>
  <c r="G21827" i="1"/>
  <c r="B15327" i="1"/>
  <c r="D15327" i="1"/>
  <c r="G15327" i="1"/>
  <c r="B16889" i="1"/>
  <c r="D16889" i="1"/>
  <c r="G16889" i="1"/>
  <c r="B14335" i="1"/>
  <c r="D14335" i="1"/>
  <c r="G14335" i="1"/>
  <c r="B17444" i="1"/>
  <c r="D17444" i="1"/>
  <c r="G17444" i="1"/>
  <c r="B13409" i="1"/>
  <c r="D13409" i="1"/>
  <c r="G13409" i="1"/>
  <c r="B21200" i="1"/>
  <c r="D21200" i="1"/>
  <c r="G21200" i="1"/>
  <c r="B17217" i="1"/>
  <c r="D17217" i="1"/>
  <c r="G17217" i="1"/>
  <c r="B16890" i="1"/>
  <c r="D16890" i="1"/>
  <c r="G16890" i="1"/>
  <c r="B12579" i="1"/>
  <c r="D12579" i="1"/>
  <c r="G12579" i="1"/>
  <c r="B13569" i="1"/>
  <c r="D13569" i="1"/>
  <c r="G13569" i="1"/>
  <c r="B16891" i="1"/>
  <c r="D16891" i="1"/>
  <c r="G16891" i="1"/>
  <c r="B1902" i="1"/>
  <c r="D1902" i="1"/>
  <c r="G1902" i="1"/>
  <c r="B17944" i="1"/>
  <c r="D17944" i="1"/>
  <c r="G17944" i="1"/>
  <c r="B1903" i="1"/>
  <c r="D1903" i="1"/>
  <c r="G1903" i="1"/>
  <c r="B19778" i="1"/>
  <c r="D19778" i="1"/>
  <c r="G19778" i="1"/>
  <c r="B20152" i="1"/>
  <c r="D20152" i="1"/>
  <c r="G20152" i="1"/>
  <c r="B17283" i="1"/>
  <c r="D17283" i="1"/>
  <c r="G17283" i="1"/>
  <c r="B16892" i="1"/>
  <c r="D16892" i="1"/>
  <c r="G16892" i="1"/>
  <c r="B14794" i="1"/>
  <c r="D14794" i="1"/>
  <c r="G14794" i="1"/>
  <c r="B16175" i="1"/>
  <c r="D16175" i="1"/>
  <c r="G16175" i="1"/>
  <c r="B21201" i="1"/>
  <c r="D21201" i="1"/>
  <c r="G21201" i="1"/>
  <c r="B9890" i="1"/>
  <c r="D9890" i="1"/>
  <c r="G9890" i="1"/>
  <c r="B12330" i="1"/>
  <c r="D12330" i="1"/>
  <c r="G12330" i="1"/>
  <c r="B20963" i="1"/>
  <c r="D20963" i="1"/>
  <c r="G20963" i="1"/>
  <c r="B19359" i="1"/>
  <c r="D19359" i="1"/>
  <c r="G19359" i="1"/>
  <c r="B14671" i="1"/>
  <c r="D14671" i="1"/>
  <c r="G14671" i="1"/>
  <c r="B20964" i="1"/>
  <c r="D20964" i="1"/>
  <c r="G20964" i="1"/>
  <c r="B19360" i="1"/>
  <c r="D19360" i="1"/>
  <c r="G19360" i="1"/>
  <c r="B12331" i="1"/>
  <c r="D12331" i="1"/>
  <c r="G12331" i="1"/>
  <c r="B19779" i="1"/>
  <c r="D19779" i="1"/>
  <c r="G19779" i="1"/>
  <c r="B21202" i="1"/>
  <c r="D21202" i="1"/>
  <c r="G21202" i="1"/>
  <c r="B21629" i="1"/>
  <c r="D21629" i="1"/>
  <c r="G21629" i="1"/>
  <c r="B18638" i="1"/>
  <c r="D18638" i="1"/>
  <c r="G18638" i="1"/>
  <c r="B21465" i="1"/>
  <c r="D21465" i="1"/>
  <c r="G21465" i="1"/>
  <c r="B17218" i="1"/>
  <c r="D17218" i="1"/>
  <c r="G17218" i="1"/>
  <c r="B16893" i="1"/>
  <c r="D16893" i="1"/>
  <c r="G16893" i="1"/>
  <c r="B20965" i="1"/>
  <c r="D20965" i="1"/>
  <c r="G20965" i="1"/>
  <c r="B15658" i="1"/>
  <c r="D15658" i="1"/>
  <c r="G15658" i="1"/>
  <c r="B19107" i="1"/>
  <c r="D19107" i="1"/>
  <c r="G19107" i="1"/>
  <c r="B18965" i="1"/>
  <c r="D18965" i="1"/>
  <c r="G18965" i="1"/>
  <c r="B17328" i="1"/>
  <c r="D17328" i="1"/>
  <c r="G17328" i="1"/>
  <c r="B19961" i="1"/>
  <c r="D19961" i="1"/>
  <c r="G19961" i="1"/>
  <c r="B22228" i="1"/>
  <c r="D22228" i="1"/>
  <c r="G22228" i="1"/>
  <c r="B15328" i="1"/>
  <c r="D15328" i="1"/>
  <c r="G15328" i="1"/>
  <c r="B18639" i="1"/>
  <c r="D18639" i="1"/>
  <c r="G18639" i="1"/>
  <c r="B15949" i="1"/>
  <c r="D15949" i="1"/>
  <c r="G15949" i="1"/>
  <c r="B19361" i="1"/>
  <c r="D19361" i="1"/>
  <c r="G19361" i="1"/>
  <c r="B18966" i="1"/>
  <c r="D18966" i="1"/>
  <c r="G18966" i="1"/>
  <c r="B20449" i="1"/>
  <c r="D20449" i="1"/>
  <c r="G20449" i="1"/>
  <c r="B20347" i="1"/>
  <c r="D20347" i="1"/>
  <c r="G20347" i="1"/>
  <c r="B21426" i="1"/>
  <c r="D21426" i="1"/>
  <c r="G21426" i="1"/>
  <c r="B20450" i="1"/>
  <c r="D20450" i="1"/>
  <c r="G20450" i="1"/>
  <c r="B22096" i="1"/>
  <c r="D22096" i="1"/>
  <c r="G22096" i="1"/>
  <c r="B16894" i="1"/>
  <c r="D16894" i="1"/>
  <c r="G16894" i="1"/>
  <c r="B21828" i="1"/>
  <c r="D21828" i="1"/>
  <c r="G21828" i="1"/>
  <c r="B18765" i="1"/>
  <c r="D18765" i="1"/>
  <c r="G18765" i="1"/>
  <c r="B21630" i="1"/>
  <c r="D21630" i="1"/>
  <c r="G21630" i="1"/>
  <c r="B19780" i="1"/>
  <c r="D19780" i="1"/>
  <c r="G19780" i="1"/>
  <c r="B18640" i="1"/>
  <c r="D18640" i="1"/>
  <c r="G18640" i="1"/>
  <c r="B12332" i="1"/>
  <c r="D12332" i="1"/>
  <c r="G12332" i="1"/>
  <c r="B1904" i="1"/>
  <c r="D1904" i="1"/>
  <c r="G1904" i="1"/>
  <c r="B16895" i="1"/>
  <c r="D16895" i="1"/>
  <c r="G16895" i="1"/>
  <c r="B4127" i="1"/>
  <c r="D4127" i="1"/>
  <c r="G4127" i="1"/>
  <c r="B13927" i="1"/>
  <c r="D13927" i="1"/>
  <c r="G13927" i="1"/>
  <c r="B17445" i="1"/>
  <c r="D17445" i="1"/>
  <c r="G17445" i="1"/>
  <c r="B16896" i="1"/>
  <c r="D16896" i="1"/>
  <c r="G16896" i="1"/>
  <c r="B21203" i="1"/>
  <c r="D21203" i="1"/>
  <c r="G21203" i="1"/>
  <c r="B13244" i="1"/>
  <c r="D13244" i="1"/>
  <c r="G13244" i="1"/>
  <c r="B1905" i="1"/>
  <c r="D1905" i="1"/>
  <c r="G1905" i="1"/>
  <c r="B17945" i="1"/>
  <c r="D17945" i="1"/>
  <c r="G17945" i="1"/>
  <c r="B4128" i="1"/>
  <c r="D4128" i="1"/>
  <c r="G4128" i="1"/>
  <c r="B20712" i="1"/>
  <c r="D20712" i="1"/>
  <c r="G20712" i="1"/>
  <c r="B20117" i="1"/>
  <c r="D20117" i="1"/>
  <c r="G20117" i="1"/>
  <c r="B20017" i="1"/>
  <c r="D20017" i="1"/>
  <c r="G20017" i="1"/>
  <c r="B16897" i="1"/>
  <c r="D16897" i="1"/>
  <c r="G16897" i="1"/>
  <c r="B16176" i="1"/>
  <c r="D16176" i="1"/>
  <c r="G16176" i="1"/>
  <c r="B17219" i="1"/>
  <c r="D17219" i="1"/>
  <c r="G17219" i="1"/>
  <c r="B19362" i="1"/>
  <c r="D19362" i="1"/>
  <c r="G19362" i="1"/>
  <c r="B18967" i="1"/>
  <c r="D18967" i="1"/>
  <c r="G18967" i="1"/>
  <c r="B17946" i="1"/>
  <c r="D17946" i="1"/>
  <c r="G17946" i="1"/>
  <c r="B16898" i="1"/>
  <c r="D16898" i="1"/>
  <c r="G16898" i="1"/>
  <c r="B21631" i="1"/>
  <c r="D21631" i="1"/>
  <c r="G21631" i="1"/>
  <c r="B17025" i="1"/>
  <c r="D17025" i="1"/>
  <c r="G17025" i="1"/>
  <c r="B15950" i="1"/>
  <c r="D15950" i="1"/>
  <c r="G15950" i="1"/>
  <c r="B13374" i="1"/>
  <c r="D13374" i="1"/>
  <c r="G13374" i="1"/>
  <c r="B17220" i="1"/>
  <c r="D17220" i="1"/>
  <c r="G17220" i="1"/>
  <c r="B16899" i="1"/>
  <c r="D16899" i="1"/>
  <c r="G16899" i="1"/>
  <c r="B15659" i="1"/>
  <c r="D15659" i="1"/>
  <c r="G15659" i="1"/>
  <c r="B15329" i="1"/>
  <c r="D15329" i="1"/>
  <c r="G15329" i="1"/>
  <c r="B14577" i="1"/>
  <c r="D14577" i="1"/>
  <c r="G14577" i="1"/>
  <c r="B16900" i="1"/>
  <c r="D16900" i="1"/>
  <c r="G16900" i="1"/>
  <c r="B21204" i="1"/>
  <c r="D21204" i="1"/>
  <c r="G21204" i="1"/>
  <c r="B16177" i="1"/>
  <c r="D16177" i="1"/>
  <c r="G16177" i="1"/>
  <c r="B20348" i="1"/>
  <c r="D20348" i="1"/>
  <c r="G20348" i="1"/>
  <c r="B20451" i="1"/>
  <c r="D20451" i="1"/>
  <c r="G20451" i="1"/>
  <c r="B15660" i="1"/>
  <c r="D15660" i="1"/>
  <c r="G15660" i="1"/>
  <c r="B15951" i="1"/>
  <c r="D15951" i="1"/>
  <c r="G15951" i="1"/>
  <c r="B17446" i="1"/>
  <c r="D17446" i="1"/>
  <c r="G17446" i="1"/>
  <c r="B15839" i="1"/>
  <c r="D15839" i="1"/>
  <c r="G15839" i="1"/>
  <c r="B16053" i="1"/>
  <c r="D16053" i="1"/>
  <c r="G16053" i="1"/>
  <c r="B19933" i="1"/>
  <c r="D19933" i="1"/>
  <c r="G19933" i="1"/>
  <c r="B10002" i="1"/>
  <c r="D10002" i="1"/>
  <c r="G10002" i="1"/>
  <c r="B21205" i="1"/>
  <c r="D21205" i="1"/>
  <c r="G21205" i="1"/>
  <c r="B13895" i="1"/>
  <c r="D13895" i="1"/>
  <c r="G13895" i="1"/>
  <c r="B16901" i="1"/>
  <c r="D16901" i="1"/>
  <c r="G16901" i="1"/>
  <c r="B20463" i="1"/>
  <c r="D20463" i="1"/>
  <c r="G20463" i="1"/>
  <c r="B17338" i="1"/>
  <c r="D17338" i="1"/>
  <c r="G17338" i="1"/>
  <c r="B21987" i="1"/>
  <c r="D21987" i="1"/>
  <c r="G21987" i="1"/>
  <c r="B15330" i="1"/>
  <c r="D15330" i="1"/>
  <c r="G15330" i="1"/>
  <c r="B15661" i="1"/>
  <c r="D15661" i="1"/>
  <c r="G15661" i="1"/>
  <c r="B19781" i="1"/>
  <c r="D19781" i="1"/>
  <c r="G19781" i="1"/>
  <c r="B20713" i="1"/>
  <c r="D20713" i="1"/>
  <c r="G20713" i="1"/>
  <c r="B16902" i="1"/>
  <c r="D16902" i="1"/>
  <c r="G16902" i="1"/>
  <c r="B21340" i="1"/>
  <c r="D21340" i="1"/>
  <c r="G21340" i="1"/>
  <c r="B17221" i="1"/>
  <c r="D17221" i="1"/>
  <c r="G17221" i="1"/>
  <c r="B16903" i="1"/>
  <c r="D16903" i="1"/>
  <c r="G16903" i="1"/>
  <c r="B18160" i="1"/>
  <c r="D18160" i="1"/>
  <c r="G18160" i="1"/>
  <c r="B21206" i="1"/>
  <c r="D21206" i="1"/>
  <c r="G21206" i="1"/>
  <c r="B17257" i="1"/>
  <c r="D17257" i="1"/>
  <c r="G17257" i="1"/>
  <c r="B17947" i="1"/>
  <c r="D17947" i="1"/>
  <c r="G17947" i="1"/>
  <c r="B17948" i="1"/>
  <c r="D17948" i="1"/>
  <c r="G17948" i="1"/>
  <c r="B13664" i="1"/>
  <c r="D13664" i="1"/>
  <c r="G13664" i="1"/>
  <c r="B19108" i="1"/>
  <c r="D19108" i="1"/>
  <c r="G19108" i="1"/>
  <c r="B15662" i="1"/>
  <c r="D15662" i="1"/>
  <c r="G15662" i="1"/>
  <c r="B21769" i="1"/>
  <c r="D21769" i="1"/>
  <c r="G21769" i="1"/>
  <c r="B15331" i="1"/>
  <c r="D15331" i="1"/>
  <c r="G15331" i="1"/>
  <c r="B13694" i="1"/>
  <c r="D13694" i="1"/>
  <c r="G13694" i="1"/>
  <c r="B17572" i="1"/>
  <c r="D17572" i="1"/>
  <c r="G17572" i="1"/>
  <c r="B16904" i="1"/>
  <c r="D16904" i="1"/>
  <c r="G16904" i="1"/>
  <c r="B4286" i="1"/>
  <c r="D4286" i="1"/>
  <c r="G4286" i="1"/>
  <c r="B16905" i="1"/>
  <c r="D16905" i="1"/>
  <c r="G16905" i="1"/>
  <c r="B21632" i="1"/>
  <c r="D21632" i="1"/>
  <c r="G21632" i="1"/>
  <c r="B13591" i="1"/>
  <c r="D13591" i="1"/>
  <c r="G13591" i="1"/>
  <c r="B21988" i="1"/>
  <c r="D21988" i="1"/>
  <c r="G21988" i="1"/>
  <c r="B17222" i="1"/>
  <c r="D17222" i="1"/>
  <c r="G17222" i="1"/>
  <c r="B21333" i="1"/>
  <c r="D21333" i="1"/>
  <c r="G21333" i="1"/>
  <c r="B21829" i="1"/>
  <c r="D21829" i="1"/>
  <c r="G21829" i="1"/>
  <c r="B21207" i="1"/>
  <c r="D21207" i="1"/>
  <c r="G21207" i="1"/>
  <c r="B14369" i="1"/>
  <c r="D14369" i="1"/>
  <c r="G14369" i="1"/>
  <c r="B20255" i="1"/>
  <c r="D20255" i="1"/>
  <c r="G20255" i="1"/>
  <c r="B18777" i="1"/>
  <c r="D18777" i="1"/>
  <c r="G18777" i="1"/>
  <c r="B10003" i="1"/>
  <c r="D10003" i="1"/>
  <c r="G10003" i="1"/>
  <c r="B15332" i="1"/>
  <c r="D15332" i="1"/>
  <c r="G15332" i="1"/>
  <c r="B22097" i="1"/>
  <c r="D22097" i="1"/>
  <c r="G22097" i="1"/>
  <c r="B17617" i="1"/>
  <c r="D17617" i="1"/>
  <c r="G17617" i="1"/>
  <c r="B21830" i="1"/>
  <c r="D21830" i="1"/>
  <c r="G21830" i="1"/>
  <c r="B1552" i="1"/>
  <c r="D1552" i="1"/>
  <c r="G1552" i="1"/>
  <c r="B22229" i="1"/>
  <c r="D22229" i="1"/>
  <c r="G22229" i="1"/>
  <c r="B15663" i="1"/>
  <c r="D15663" i="1"/>
  <c r="G15663" i="1"/>
  <c r="B18109" i="1"/>
  <c r="D18109" i="1"/>
  <c r="G18109" i="1"/>
  <c r="B20190" i="1"/>
  <c r="D20190" i="1"/>
  <c r="G20190" i="1"/>
  <c r="B19782" i="1"/>
  <c r="D19782" i="1"/>
  <c r="G19782" i="1"/>
  <c r="B21431" i="1"/>
  <c r="D21431" i="1"/>
  <c r="G21431" i="1"/>
  <c r="B21633" i="1"/>
  <c r="D21633" i="1"/>
  <c r="G21633" i="1"/>
  <c r="B18968" i="1"/>
  <c r="D18968" i="1"/>
  <c r="G18968" i="1"/>
  <c r="B15333" i="1"/>
  <c r="D15333" i="1"/>
  <c r="G15333" i="1"/>
  <c r="B15664" i="1"/>
  <c r="D15664" i="1"/>
  <c r="G15664" i="1"/>
  <c r="B19109" i="1"/>
  <c r="D19109" i="1"/>
  <c r="G19109" i="1"/>
  <c r="B14795" i="1"/>
  <c r="D14795" i="1"/>
  <c r="G14795" i="1"/>
  <c r="B19363" i="1"/>
  <c r="D19363" i="1"/>
  <c r="G19363" i="1"/>
  <c r="B15334" i="1"/>
  <c r="D15334" i="1"/>
  <c r="G15334" i="1"/>
  <c r="B14769" i="1"/>
  <c r="D14769" i="1"/>
  <c r="G14769" i="1"/>
  <c r="B20104" i="1"/>
  <c r="D20104" i="1"/>
  <c r="G20104" i="1"/>
  <c r="B18350" i="1"/>
  <c r="D18350" i="1"/>
  <c r="G18350" i="1"/>
  <c r="B17573" i="1"/>
  <c r="D17573" i="1"/>
  <c r="G17573" i="1"/>
  <c r="B20018" i="1"/>
  <c r="D20018" i="1"/>
  <c r="G20018" i="1"/>
  <c r="B1906" i="1"/>
  <c r="D1906" i="1"/>
  <c r="G1906" i="1"/>
  <c r="B14257" i="1"/>
  <c r="D14257" i="1"/>
  <c r="G14257" i="1"/>
  <c r="B21451" i="1"/>
  <c r="D21451" i="1"/>
  <c r="G21451" i="1"/>
  <c r="B20452" i="1"/>
  <c r="D20452" i="1"/>
  <c r="G20452" i="1"/>
  <c r="B17949" i="1"/>
  <c r="D17949" i="1"/>
  <c r="G17949" i="1"/>
  <c r="B22098" i="1"/>
  <c r="D22098" i="1"/>
  <c r="G22098" i="1"/>
  <c r="B18641" i="1"/>
  <c r="D18641" i="1"/>
  <c r="G18641" i="1"/>
  <c r="B21770" i="1"/>
  <c r="D21770" i="1"/>
  <c r="G21770" i="1"/>
  <c r="B16906" i="1"/>
  <c r="D16906" i="1"/>
  <c r="G16906" i="1"/>
  <c r="B16015" i="1"/>
  <c r="D16015" i="1"/>
  <c r="G16015" i="1"/>
  <c r="B21208" i="1"/>
  <c r="D21208" i="1"/>
  <c r="G21208" i="1"/>
  <c r="B20210" i="1"/>
  <c r="D20210" i="1"/>
  <c r="G20210" i="1"/>
  <c r="B17447" i="1"/>
  <c r="D17447" i="1"/>
  <c r="G17447" i="1"/>
  <c r="B21376" i="1"/>
  <c r="D21376" i="1"/>
  <c r="G21376" i="1"/>
  <c r="B20464" i="1"/>
  <c r="D20464" i="1"/>
  <c r="G20464" i="1"/>
  <c r="B21452" i="1"/>
  <c r="D21452" i="1"/>
  <c r="G21452" i="1"/>
  <c r="B16907" i="1"/>
  <c r="D16907" i="1"/>
  <c r="G16907" i="1"/>
  <c r="B20966" i="1"/>
  <c r="D20966" i="1"/>
  <c r="G20966" i="1"/>
  <c r="B19364" i="1"/>
  <c r="D19364" i="1"/>
  <c r="G19364" i="1"/>
  <c r="B14672" i="1"/>
  <c r="D14672" i="1"/>
  <c r="G14672" i="1"/>
  <c r="B19783" i="1"/>
  <c r="D19783" i="1"/>
  <c r="G19783" i="1"/>
  <c r="B21989" i="1"/>
  <c r="D21989" i="1"/>
  <c r="G21989" i="1"/>
  <c r="B12333" i="1"/>
  <c r="D12333" i="1"/>
  <c r="G12333" i="1"/>
  <c r="B21634" i="1"/>
  <c r="D21634" i="1"/>
  <c r="G21634" i="1"/>
  <c r="B21209" i="1"/>
  <c r="D21209" i="1"/>
  <c r="G21209" i="1"/>
  <c r="B15665" i="1"/>
  <c r="D15665" i="1"/>
  <c r="G15665" i="1"/>
  <c r="B13781" i="1"/>
  <c r="D13781" i="1"/>
  <c r="G13781" i="1"/>
  <c r="B17008" i="1"/>
  <c r="D17008" i="1"/>
  <c r="G17008" i="1"/>
  <c r="B16908" i="1"/>
  <c r="D16908" i="1"/>
  <c r="G16908" i="1"/>
  <c r="B18233" i="1"/>
  <c r="D18233" i="1"/>
  <c r="G18233" i="1"/>
  <c r="B21210" i="1"/>
  <c r="D21210" i="1"/>
  <c r="G21210" i="1"/>
  <c r="B19834" i="1"/>
  <c r="D19834" i="1"/>
  <c r="G19834" i="1"/>
  <c r="B19784" i="1"/>
  <c r="D19784" i="1"/>
  <c r="G19784" i="1"/>
  <c r="B18642" i="1"/>
  <c r="D18642" i="1"/>
  <c r="G18642" i="1"/>
  <c r="B19110" i="1"/>
  <c r="D19110" i="1"/>
  <c r="G19110" i="1"/>
  <c r="B18969" i="1"/>
  <c r="D18969" i="1"/>
  <c r="G18969" i="1"/>
  <c r="B15335" i="1"/>
  <c r="D15335" i="1"/>
  <c r="G15335" i="1"/>
  <c r="B20967" i="1"/>
  <c r="D20967" i="1"/>
  <c r="G20967" i="1"/>
  <c r="B21771" i="1"/>
  <c r="D21771" i="1"/>
  <c r="G21771" i="1"/>
  <c r="B21453" i="1"/>
  <c r="D21453" i="1"/>
  <c r="G21453" i="1"/>
  <c r="B20453" i="1"/>
  <c r="D20453" i="1"/>
  <c r="G20453" i="1"/>
  <c r="B20349" i="1"/>
  <c r="D20349" i="1"/>
  <c r="G20349" i="1"/>
  <c r="B20093" i="1"/>
  <c r="D20093" i="1"/>
  <c r="G20093" i="1"/>
  <c r="B20256" i="1"/>
  <c r="D20256" i="1"/>
  <c r="G20256" i="1"/>
  <c r="B14033" i="1"/>
  <c r="D14033" i="1"/>
  <c r="G14033" i="1"/>
  <c r="B22099" i="1"/>
  <c r="D22099" i="1"/>
  <c r="G22099" i="1"/>
  <c r="B17223" i="1"/>
  <c r="D17223" i="1"/>
  <c r="G17223" i="1"/>
  <c r="B16178" i="1"/>
  <c r="D16178" i="1"/>
  <c r="G16178" i="1"/>
  <c r="B21990" i="1"/>
  <c r="D21990" i="1"/>
  <c r="G21990" i="1"/>
  <c r="B17026" i="1"/>
  <c r="D17026" i="1"/>
  <c r="G17026" i="1"/>
  <c r="B21299" i="1"/>
  <c r="D21299" i="1"/>
  <c r="G21299" i="1"/>
  <c r="B15756" i="1"/>
  <c r="D15756" i="1"/>
  <c r="G15756" i="1"/>
  <c r="B16054" i="1"/>
  <c r="D16054" i="1"/>
  <c r="G16054" i="1"/>
  <c r="B21831" i="1"/>
  <c r="D21831" i="1"/>
  <c r="G21831" i="1"/>
  <c r="B18260" i="1"/>
  <c r="D18260" i="1"/>
  <c r="G18260" i="1"/>
  <c r="B21211" i="1"/>
  <c r="D21211" i="1"/>
  <c r="G21211" i="1"/>
  <c r="B19785" i="1"/>
  <c r="D19785" i="1"/>
  <c r="G19785" i="1"/>
  <c r="B13883" i="1"/>
  <c r="D13883" i="1"/>
  <c r="G13883" i="1"/>
  <c r="B14013" i="1"/>
  <c r="D14013" i="1"/>
  <c r="G14013" i="1"/>
  <c r="B15666" i="1"/>
  <c r="D15666" i="1"/>
  <c r="G15666" i="1"/>
  <c r="B19934" i="1"/>
  <c r="D19934" i="1"/>
  <c r="G19934" i="1"/>
  <c r="B16909" i="1"/>
  <c r="D16909" i="1"/>
  <c r="G16909" i="1"/>
  <c r="B21405" i="1"/>
  <c r="D21405" i="1"/>
  <c r="G21405" i="1"/>
  <c r="B20019" i="1"/>
  <c r="D20019" i="1"/>
  <c r="G20019" i="1"/>
  <c r="B11860" i="1"/>
  <c r="D11860" i="1"/>
  <c r="G11860" i="1"/>
  <c r="B17950" i="1"/>
  <c r="D17950" i="1"/>
  <c r="G17950" i="1"/>
  <c r="B13884" i="1"/>
  <c r="D13884" i="1"/>
  <c r="G13884" i="1"/>
  <c r="B17951" i="1"/>
  <c r="D17951" i="1"/>
  <c r="G17951" i="1"/>
  <c r="B21212" i="1"/>
  <c r="D21212" i="1"/>
  <c r="G21212" i="1"/>
  <c r="B15667" i="1"/>
  <c r="D15667" i="1"/>
  <c r="G15667" i="1"/>
  <c r="B15952" i="1"/>
  <c r="D15952" i="1"/>
  <c r="G15952" i="1"/>
  <c r="B15840" i="1"/>
  <c r="D15840" i="1"/>
  <c r="G15840" i="1"/>
  <c r="B16179" i="1"/>
  <c r="D16179" i="1"/>
  <c r="G16179" i="1"/>
  <c r="B20454" i="1"/>
  <c r="D20454" i="1"/>
  <c r="G20454" i="1"/>
  <c r="B20350" i="1"/>
  <c r="D20350" i="1"/>
  <c r="G20350" i="1"/>
  <c r="B17224" i="1"/>
  <c r="D17224" i="1"/>
  <c r="G17224" i="1"/>
  <c r="B16180" i="1"/>
  <c r="D16180" i="1"/>
  <c r="G16180" i="1"/>
  <c r="B13641" i="1"/>
  <c r="D13641" i="1"/>
  <c r="G13641" i="1"/>
  <c r="B21432" i="1"/>
  <c r="D21432" i="1"/>
  <c r="G21432" i="1"/>
  <c r="B22100" i="1"/>
  <c r="D22100" i="1"/>
  <c r="G22100" i="1"/>
  <c r="B21213" i="1"/>
  <c r="D21213" i="1"/>
  <c r="G21213" i="1"/>
  <c r="B16910" i="1"/>
  <c r="D16910" i="1"/>
  <c r="G16910" i="1"/>
  <c r="B20968" i="1"/>
  <c r="D20968" i="1"/>
  <c r="G20968" i="1"/>
  <c r="B20191" i="1"/>
  <c r="D20191" i="1"/>
  <c r="G20191" i="1"/>
  <c r="B17952" i="1"/>
  <c r="D17952" i="1"/>
  <c r="G17952" i="1"/>
  <c r="B21841" i="1"/>
  <c r="D21841" i="1"/>
  <c r="G21841" i="1"/>
  <c r="B21991" i="1"/>
  <c r="D21991" i="1"/>
  <c r="G21991" i="1"/>
  <c r="B16911" i="1"/>
  <c r="D16911" i="1"/>
  <c r="G16911" i="1"/>
  <c r="B19935" i="1"/>
  <c r="D19935" i="1"/>
  <c r="G19935" i="1"/>
  <c r="B13619" i="1"/>
  <c r="D13619" i="1"/>
  <c r="G13619" i="1"/>
  <c r="B13794" i="1"/>
  <c r="D13794" i="1"/>
  <c r="G13794" i="1"/>
  <c r="B15336" i="1"/>
  <c r="D15336" i="1"/>
  <c r="G15336" i="1"/>
  <c r="B16912" i="1"/>
  <c r="D16912" i="1"/>
  <c r="G16912" i="1"/>
  <c r="B20714" i="1"/>
  <c r="D20714" i="1"/>
  <c r="G20714" i="1"/>
  <c r="B15668" i="1"/>
  <c r="D15668" i="1"/>
  <c r="G15668" i="1"/>
  <c r="B18110" i="1"/>
  <c r="D18110" i="1"/>
  <c r="G18110" i="1"/>
  <c r="B13480" i="1"/>
  <c r="D13480" i="1"/>
  <c r="G13480" i="1"/>
  <c r="B21772" i="1"/>
  <c r="D21772" i="1"/>
  <c r="G21772" i="1"/>
  <c r="B22230" i="1"/>
  <c r="D22230" i="1"/>
  <c r="G22230" i="1"/>
  <c r="B21635" i="1"/>
  <c r="D21635" i="1"/>
  <c r="G21635" i="1"/>
  <c r="B19786" i="1"/>
  <c r="D19786" i="1"/>
  <c r="G19786" i="1"/>
  <c r="B18643" i="1"/>
  <c r="D18643" i="1"/>
  <c r="G18643" i="1"/>
  <c r="B19936" i="1"/>
  <c r="D19936" i="1"/>
  <c r="G19936" i="1"/>
  <c r="B17279" i="1"/>
  <c r="D17279" i="1"/>
  <c r="G17279" i="1"/>
  <c r="B21636" i="1"/>
  <c r="D21636" i="1"/>
  <c r="G21636" i="1"/>
  <c r="B21214" i="1"/>
  <c r="D21214" i="1"/>
  <c r="G21214" i="1"/>
  <c r="B21215" i="1"/>
  <c r="D21215" i="1"/>
  <c r="G21215" i="1"/>
  <c r="B16913" i="1"/>
  <c r="D16913" i="1"/>
  <c r="G16913" i="1"/>
  <c r="B16016" i="1"/>
  <c r="D16016" i="1"/>
  <c r="G16016" i="1"/>
  <c r="B20969" i="1"/>
  <c r="D20969" i="1"/>
  <c r="G20969" i="1"/>
  <c r="B21454" i="1"/>
  <c r="D21454" i="1"/>
  <c r="G21454" i="1"/>
  <c r="B17329" i="1"/>
  <c r="D17329" i="1"/>
  <c r="G17329" i="1"/>
  <c r="B15337" i="1"/>
  <c r="D15337" i="1"/>
  <c r="G15337" i="1"/>
  <c r="B20970" i="1"/>
  <c r="D20970" i="1"/>
  <c r="G20970" i="1"/>
  <c r="B20715" i="1"/>
  <c r="D20715" i="1"/>
  <c r="G20715" i="1"/>
  <c r="B21992" i="1"/>
  <c r="D21992" i="1"/>
  <c r="G21992" i="1"/>
  <c r="B16914" i="1"/>
  <c r="D16914" i="1"/>
  <c r="G16914" i="1"/>
  <c r="B14873" i="1"/>
  <c r="D14873" i="1"/>
  <c r="G14873" i="1"/>
  <c r="B14142" i="1"/>
  <c r="D14142" i="1"/>
  <c r="G14142" i="1"/>
  <c r="B14400" i="1"/>
  <c r="D14400" i="1"/>
  <c r="G14400" i="1"/>
  <c r="B17953" i="1"/>
  <c r="D17953" i="1"/>
  <c r="G17953" i="1"/>
  <c r="B16055" i="1"/>
  <c r="D16055" i="1"/>
  <c r="G16055" i="1"/>
  <c r="B19948" i="1"/>
  <c r="D19948" i="1"/>
  <c r="G19948" i="1"/>
  <c r="B16056" i="1"/>
  <c r="D16056" i="1"/>
  <c r="G16056" i="1"/>
  <c r="B21334" i="1"/>
  <c r="D21334" i="1"/>
  <c r="G21334" i="1"/>
  <c r="B20020" i="1"/>
  <c r="D20020" i="1"/>
  <c r="G20020" i="1"/>
  <c r="B15757" i="1"/>
  <c r="D15757" i="1"/>
  <c r="G15757" i="1"/>
  <c r="B15758" i="1"/>
  <c r="D15758" i="1"/>
  <c r="G15758" i="1"/>
  <c r="B16915" i="1"/>
  <c r="D16915" i="1"/>
  <c r="G16915" i="1"/>
  <c r="B21380" i="1"/>
  <c r="D21380" i="1"/>
  <c r="G21380" i="1"/>
  <c r="B16916" i="1"/>
  <c r="D16916" i="1"/>
  <c r="G16916" i="1"/>
  <c r="B15338" i="1"/>
  <c r="D15338" i="1"/>
  <c r="G15338" i="1"/>
  <c r="B18209" i="1"/>
  <c r="D18209" i="1"/>
  <c r="G18209" i="1"/>
  <c r="B21216" i="1"/>
  <c r="D21216" i="1"/>
  <c r="G21216" i="1"/>
  <c r="B15759" i="1"/>
  <c r="D15759" i="1"/>
  <c r="G15759" i="1"/>
  <c r="B15339" i="1"/>
  <c r="D15339" i="1"/>
  <c r="G15339" i="1"/>
  <c r="B21842" i="1"/>
  <c r="D21842" i="1"/>
  <c r="G21842" i="1"/>
  <c r="B17448" i="1"/>
  <c r="D17448" i="1"/>
  <c r="G17448" i="1"/>
  <c r="B17449" i="1"/>
  <c r="D17449" i="1"/>
  <c r="G17449" i="1"/>
  <c r="B14196" i="1"/>
  <c r="D14196" i="1"/>
  <c r="G14196" i="1"/>
  <c r="B21217" i="1"/>
  <c r="D21217" i="1"/>
  <c r="G21217" i="1"/>
  <c r="B20971" i="1"/>
  <c r="D20971" i="1"/>
  <c r="G20971" i="1"/>
  <c r="B18970" i="1"/>
  <c r="D18970" i="1"/>
  <c r="G18970" i="1"/>
  <c r="B21637" i="1"/>
  <c r="D21637" i="1"/>
  <c r="G21637" i="1"/>
  <c r="B16917" i="1"/>
  <c r="D16917" i="1"/>
  <c r="G16917" i="1"/>
  <c r="B17225" i="1"/>
  <c r="D17225" i="1"/>
  <c r="G17225" i="1"/>
  <c r="B16918" i="1"/>
  <c r="D16918" i="1"/>
  <c r="G16918" i="1"/>
  <c r="B22231" i="1"/>
  <c r="D22231" i="1"/>
  <c r="G22231" i="1"/>
  <c r="B19111" i="1"/>
  <c r="D19111" i="1"/>
  <c r="G19111" i="1"/>
  <c r="B20153" i="1"/>
  <c r="D20153" i="1"/>
  <c r="G20153" i="1"/>
  <c r="B14285" i="1"/>
  <c r="D14285" i="1"/>
  <c r="G14285" i="1"/>
  <c r="B15669" i="1"/>
  <c r="D15669" i="1"/>
  <c r="G15669" i="1"/>
  <c r="B15340" i="1"/>
  <c r="D15340" i="1"/>
  <c r="G15340" i="1"/>
  <c r="B22101" i="1"/>
  <c r="D22101" i="1"/>
  <c r="G22101" i="1"/>
  <c r="B18971" i="1"/>
  <c r="D18971" i="1"/>
  <c r="G18971" i="1"/>
  <c r="B15341" i="1"/>
  <c r="D15341" i="1"/>
  <c r="G15341" i="1"/>
  <c r="B15670" i="1"/>
  <c r="D15670" i="1"/>
  <c r="G15670" i="1"/>
  <c r="B14796" i="1"/>
  <c r="D14796" i="1"/>
  <c r="G14796" i="1"/>
  <c r="B16919" i="1"/>
  <c r="D16919" i="1"/>
  <c r="G16919" i="1"/>
  <c r="B14874" i="1"/>
  <c r="D14874" i="1"/>
  <c r="G14874" i="1"/>
  <c r="B14770" i="1"/>
  <c r="D14770" i="1"/>
  <c r="G14770" i="1"/>
  <c r="B13885" i="1"/>
  <c r="D13885" i="1"/>
  <c r="G13885" i="1"/>
  <c r="B21993" i="1"/>
  <c r="D21993" i="1"/>
  <c r="G21993" i="1"/>
  <c r="B16920" i="1"/>
  <c r="D16920" i="1"/>
  <c r="G16920" i="1"/>
  <c r="B15342" i="1"/>
  <c r="D15342" i="1"/>
  <c r="G15342" i="1"/>
  <c r="B21832" i="1"/>
  <c r="D21832" i="1"/>
  <c r="G21832" i="1"/>
  <c r="B17032" i="1"/>
  <c r="D17032" i="1"/>
  <c r="G17032" i="1"/>
  <c r="B17618" i="1"/>
  <c r="D17618" i="1"/>
  <c r="G17618" i="1"/>
  <c r="B17016" i="1"/>
  <c r="D17016" i="1"/>
  <c r="G17016" i="1"/>
  <c r="B16921" i="1"/>
  <c r="D16921" i="1"/>
  <c r="G16921" i="1"/>
  <c r="B21638" i="1"/>
  <c r="D21638" i="1"/>
  <c r="G21638" i="1"/>
  <c r="B17247" i="1"/>
  <c r="D17247" i="1"/>
  <c r="G17247" i="1"/>
  <c r="B19787" i="1"/>
  <c r="D19787" i="1"/>
  <c r="G19787" i="1"/>
  <c r="B13772" i="1"/>
  <c r="D13772" i="1"/>
  <c r="G13772" i="1"/>
  <c r="B17954" i="1"/>
  <c r="D17954" i="1"/>
  <c r="G17954" i="1"/>
  <c r="B15343" i="1"/>
  <c r="D15343" i="1"/>
  <c r="G15343" i="1"/>
  <c r="B20455" i="1"/>
  <c r="D20455" i="1"/>
  <c r="G20455" i="1"/>
  <c r="B21218" i="1"/>
  <c r="D21218" i="1"/>
  <c r="G21218" i="1"/>
  <c r="B17955" i="1"/>
  <c r="D17955" i="1"/>
  <c r="G17955" i="1"/>
  <c r="B20972" i="1"/>
  <c r="D20972" i="1"/>
  <c r="G20972" i="1"/>
  <c r="B20154" i="1"/>
  <c r="D20154" i="1"/>
  <c r="G20154" i="1"/>
  <c r="B19365" i="1"/>
  <c r="D19365" i="1"/>
  <c r="G19365" i="1"/>
  <c r="B14673" i="1"/>
  <c r="D14673" i="1"/>
  <c r="G14673" i="1"/>
  <c r="B17956" i="1"/>
  <c r="D17956" i="1"/>
  <c r="G17956" i="1"/>
  <c r="B18778" i="1"/>
  <c r="D18778" i="1"/>
  <c r="G18778" i="1"/>
  <c r="B16922" i="1"/>
  <c r="D16922" i="1"/>
  <c r="G16922" i="1"/>
  <c r="B12334" i="1"/>
  <c r="D12334" i="1"/>
  <c r="G12334" i="1"/>
  <c r="B17450" i="1"/>
  <c r="D17450" i="1"/>
  <c r="G17450" i="1"/>
  <c r="B17451" i="1"/>
  <c r="D17451" i="1"/>
  <c r="G17451" i="1"/>
  <c r="B21639" i="1"/>
  <c r="D21639" i="1"/>
  <c r="G21639" i="1"/>
  <c r="B18644" i="1"/>
  <c r="D18644" i="1"/>
  <c r="G18644" i="1"/>
  <c r="B21219" i="1"/>
  <c r="D21219" i="1"/>
  <c r="G21219" i="1"/>
  <c r="B13481" i="1"/>
  <c r="D13481" i="1"/>
  <c r="G13481" i="1"/>
  <c r="B15671" i="1"/>
  <c r="D15671" i="1"/>
  <c r="G15671" i="1"/>
  <c r="B16028" i="1"/>
  <c r="D16028" i="1"/>
  <c r="G16028" i="1"/>
  <c r="B18779" i="1"/>
  <c r="D18779" i="1"/>
  <c r="G18779" i="1"/>
  <c r="B16923" i="1"/>
  <c r="D16923" i="1"/>
  <c r="G16923" i="1"/>
  <c r="B15953" i="1"/>
  <c r="D15953" i="1"/>
  <c r="G15953" i="1"/>
  <c r="B15672" i="1"/>
  <c r="D15672" i="1"/>
  <c r="G15672" i="1"/>
  <c r="B15344" i="1"/>
  <c r="D15344" i="1"/>
  <c r="G15344" i="1"/>
  <c r="B21640" i="1"/>
  <c r="D21640" i="1"/>
  <c r="G21640" i="1"/>
  <c r="B17017" i="1"/>
  <c r="D17017" i="1"/>
  <c r="G17017" i="1"/>
  <c r="B19788" i="1"/>
  <c r="D19788" i="1"/>
  <c r="G19788" i="1"/>
  <c r="B16181" i="1"/>
  <c r="D16181" i="1"/>
  <c r="G16181" i="1"/>
  <c r="B17574" i="1"/>
  <c r="D17574" i="1"/>
  <c r="G17574" i="1"/>
  <c r="B21220" i="1"/>
  <c r="D21220" i="1"/>
  <c r="G21220" i="1"/>
  <c r="B21221" i="1"/>
  <c r="D21221" i="1"/>
  <c r="G21221" i="1"/>
  <c r="B20155" i="1"/>
  <c r="D20155" i="1"/>
  <c r="G20155" i="1"/>
  <c r="B21377" i="1"/>
  <c r="D21377" i="1"/>
  <c r="G21377" i="1"/>
  <c r="B20484" i="1"/>
  <c r="D20484" i="1"/>
  <c r="G20484" i="1"/>
  <c r="B17619" i="1"/>
  <c r="D17619" i="1"/>
  <c r="G17619" i="1"/>
  <c r="B14578" i="1"/>
  <c r="D14578" i="1"/>
  <c r="G14578" i="1"/>
  <c r="B13886" i="1"/>
  <c r="D13886" i="1"/>
  <c r="G13886" i="1"/>
  <c r="B17248" i="1"/>
  <c r="D17248" i="1"/>
  <c r="G17248" i="1"/>
  <c r="B16924" i="1"/>
  <c r="D16924" i="1"/>
  <c r="G16924" i="1"/>
  <c r="B15673" i="1"/>
  <c r="D15673" i="1"/>
  <c r="G15673" i="1"/>
  <c r="B15954" i="1"/>
  <c r="D15954" i="1"/>
  <c r="G15954" i="1"/>
  <c r="B15841" i="1"/>
  <c r="D15841" i="1"/>
  <c r="G15841" i="1"/>
  <c r="B20485" i="1"/>
  <c r="D20485" i="1"/>
  <c r="G20485" i="1"/>
  <c r="B17266" i="1"/>
  <c r="D17266" i="1"/>
  <c r="G17266" i="1"/>
  <c r="B17957" i="1"/>
  <c r="D17957" i="1"/>
  <c r="G17957" i="1"/>
  <c r="B20052" i="1"/>
  <c r="D20052" i="1"/>
  <c r="G20052" i="1"/>
  <c r="B16925" i="1"/>
  <c r="D16925" i="1"/>
  <c r="G16925" i="1"/>
  <c r="B16926" i="1"/>
  <c r="D16926" i="1"/>
  <c r="G16926" i="1"/>
  <c r="B21288" i="1"/>
  <c r="D21288" i="1"/>
  <c r="G21288" i="1"/>
  <c r="B19789" i="1"/>
  <c r="D19789" i="1"/>
  <c r="G19789" i="1"/>
  <c r="B20053" i="1"/>
  <c r="D20053" i="1"/>
  <c r="G20053" i="1"/>
  <c r="B19366" i="1"/>
  <c r="D19366" i="1"/>
  <c r="G19366" i="1"/>
  <c r="B21222" i="1"/>
  <c r="D21222" i="1"/>
  <c r="G21222" i="1"/>
  <c r="B15345" i="1"/>
  <c r="D15345" i="1"/>
  <c r="G15345" i="1"/>
  <c r="B19790" i="1"/>
  <c r="D19790" i="1"/>
  <c r="G19790" i="1"/>
  <c r="B15674" i="1"/>
  <c r="D15674" i="1"/>
  <c r="G15674" i="1"/>
  <c r="B18111" i="1"/>
  <c r="D18111" i="1"/>
  <c r="G18111" i="1"/>
  <c r="B15346" i="1"/>
  <c r="D15346" i="1"/>
  <c r="G15346" i="1"/>
  <c r="B20456" i="1"/>
  <c r="D20456" i="1"/>
  <c r="G20456" i="1"/>
  <c r="B20351" i="1"/>
  <c r="D20351" i="1"/>
  <c r="G20351" i="1"/>
  <c r="B20973" i="1"/>
  <c r="D20973" i="1"/>
  <c r="G20973" i="1"/>
  <c r="B15675" i="1"/>
  <c r="D15675" i="1"/>
  <c r="G15675" i="1"/>
  <c r="B20716" i="1"/>
  <c r="D20716" i="1"/>
  <c r="G20716" i="1"/>
  <c r="B21406" i="1"/>
  <c r="D21406" i="1"/>
  <c r="G21406" i="1"/>
  <c r="B22102" i="1"/>
  <c r="D22102" i="1"/>
  <c r="G22102" i="1"/>
  <c r="B21843" i="1"/>
  <c r="D21843" i="1"/>
  <c r="G21843" i="1"/>
  <c r="B20457" i="1"/>
  <c r="D20457" i="1"/>
  <c r="G20457" i="1"/>
  <c r="B20352" i="1"/>
  <c r="D20352" i="1"/>
  <c r="G20352" i="1"/>
  <c r="B16927" i="1"/>
  <c r="D16927" i="1"/>
  <c r="G16927" i="1"/>
  <c r="B18766" i="1"/>
  <c r="D18766" i="1"/>
  <c r="G18766" i="1"/>
  <c r="B13245" i="1"/>
  <c r="D13245" i="1"/>
  <c r="G13245" i="1"/>
  <c r="B22103" i="1"/>
  <c r="D22103" i="1"/>
  <c r="G22103" i="1"/>
  <c r="B20717" i="1"/>
  <c r="D20717" i="1"/>
  <c r="G20717" i="1"/>
  <c r="B16017" i="1"/>
  <c r="D16017" i="1"/>
  <c r="G16017" i="1"/>
  <c r="B21844" i="1"/>
  <c r="D21844" i="1"/>
  <c r="G21844" i="1"/>
  <c r="B16928" i="1"/>
  <c r="D16928" i="1"/>
  <c r="G16928" i="1"/>
  <c r="B20718" i="1"/>
  <c r="D20718" i="1"/>
  <c r="G20718" i="1"/>
  <c r="B16929" i="1"/>
  <c r="D16929" i="1"/>
  <c r="G16929" i="1"/>
  <c r="B21223" i="1"/>
  <c r="D21223" i="1"/>
  <c r="G21223" i="1"/>
  <c r="B19937" i="1"/>
  <c r="D19937" i="1"/>
  <c r="G19937" i="1"/>
  <c r="B17280" i="1"/>
  <c r="D17280" i="1"/>
  <c r="G17280" i="1"/>
  <c r="B20974" i="1"/>
  <c r="D20974" i="1"/>
  <c r="G20974" i="1"/>
  <c r="B21455" i="1"/>
  <c r="D21455" i="1"/>
  <c r="G21455" i="1"/>
  <c r="B21224" i="1"/>
  <c r="D21224" i="1"/>
  <c r="G21224" i="1"/>
  <c r="B15347" i="1"/>
  <c r="D15347" i="1"/>
  <c r="G15347" i="1"/>
  <c r="B20486" i="1"/>
  <c r="D20486" i="1"/>
  <c r="G20486" i="1"/>
  <c r="B20487" i="1"/>
  <c r="D20487" i="1"/>
  <c r="G20487" i="1"/>
  <c r="B20975" i="1"/>
  <c r="D20975" i="1"/>
  <c r="G20975" i="1"/>
  <c r="B15760" i="1"/>
  <c r="D15760" i="1"/>
  <c r="G15760" i="1"/>
  <c r="B15348" i="1"/>
  <c r="D15348" i="1"/>
  <c r="G15348" i="1"/>
  <c r="B20458" i="1"/>
  <c r="D20458" i="1"/>
  <c r="G20458" i="1"/>
  <c r="B21994" i="1"/>
  <c r="D21994" i="1"/>
  <c r="G21994" i="1"/>
  <c r="B15349" i="1"/>
  <c r="D15349" i="1"/>
  <c r="G15349" i="1"/>
  <c r="B20976" i="1"/>
  <c r="D20976" i="1"/>
  <c r="G20976" i="1"/>
  <c r="B16930" i="1"/>
  <c r="D16930" i="1"/>
  <c r="G16930" i="1"/>
  <c r="B13410" i="1"/>
  <c r="D13410" i="1"/>
  <c r="G13410" i="1"/>
  <c r="B21995" i="1"/>
  <c r="D21995" i="1"/>
  <c r="G21995" i="1"/>
  <c r="B16931" i="1"/>
  <c r="D16931" i="1"/>
  <c r="G16931" i="1"/>
  <c r="B18767" i="1"/>
  <c r="D18767" i="1"/>
  <c r="G18767" i="1"/>
  <c r="B15761" i="1"/>
  <c r="D15761" i="1"/>
  <c r="G15761" i="1"/>
  <c r="B21300" i="1"/>
  <c r="D21300" i="1"/>
  <c r="G21300" i="1"/>
  <c r="B13887" i="1"/>
  <c r="D13887" i="1"/>
  <c r="G13887" i="1"/>
  <c r="B13482" i="1"/>
  <c r="D13482" i="1"/>
  <c r="G13482" i="1"/>
  <c r="B16932" i="1"/>
  <c r="D16932" i="1"/>
  <c r="G16932" i="1"/>
  <c r="B16022" i="1"/>
  <c r="D16022" i="1"/>
  <c r="G16022" i="1"/>
  <c r="B13690" i="1"/>
  <c r="D13690" i="1"/>
  <c r="G13690" i="1"/>
  <c r="B21845" i="1"/>
  <c r="D21845" i="1"/>
  <c r="G21845" i="1"/>
  <c r="B21833" i="1"/>
  <c r="D21833" i="1"/>
  <c r="G21833" i="1"/>
  <c r="B21225" i="1"/>
  <c r="D21225" i="1"/>
  <c r="G21225" i="1"/>
  <c r="B13691" i="1"/>
  <c r="D13691" i="1"/>
  <c r="G13691" i="1"/>
  <c r="B21641" i="1"/>
  <c r="D21641" i="1"/>
  <c r="G21641" i="1"/>
  <c r="B21846" i="1"/>
  <c r="D21846" i="1"/>
  <c r="G21846" i="1"/>
  <c r="B21834" i="1"/>
  <c r="D21834" i="1"/>
  <c r="G21834" i="1"/>
  <c r="B21226" i="1"/>
  <c r="D21226" i="1"/>
  <c r="G21226" i="1"/>
  <c r="B15350" i="1"/>
  <c r="D15350" i="1"/>
  <c r="G15350" i="1"/>
  <c r="B14112" i="1"/>
  <c r="D14112" i="1"/>
  <c r="G14112" i="1"/>
  <c r="B16933" i="1"/>
  <c r="D16933" i="1"/>
  <c r="G16933" i="1"/>
  <c r="B17452" i="1"/>
  <c r="D17452" i="1"/>
  <c r="G17452" i="1"/>
  <c r="B20156" i="1"/>
  <c r="D20156" i="1"/>
  <c r="G20156" i="1"/>
  <c r="B21335" i="1"/>
  <c r="D21335" i="1"/>
  <c r="G21335" i="1"/>
  <c r="B21378" i="1"/>
  <c r="D21378" i="1"/>
  <c r="G21378" i="1"/>
  <c r="B16934" i="1"/>
  <c r="D16934" i="1"/>
  <c r="G16934" i="1"/>
  <c r="B21301" i="1"/>
  <c r="D21301" i="1"/>
  <c r="G21301" i="1"/>
  <c r="B17453" i="1"/>
  <c r="D17453" i="1"/>
  <c r="G17453" i="1"/>
  <c r="B16935" i="1"/>
  <c r="D16935" i="1"/>
  <c r="G16935" i="1"/>
  <c r="B17958" i="1"/>
  <c r="D17958" i="1"/>
  <c r="G17958" i="1"/>
  <c r="B17959" i="1"/>
  <c r="D17959" i="1"/>
  <c r="G17959" i="1"/>
  <c r="B21642" i="1"/>
  <c r="D21642" i="1"/>
  <c r="G21642" i="1"/>
  <c r="B19791" i="1"/>
  <c r="D19791" i="1"/>
  <c r="G19791" i="1"/>
  <c r="B18645" i="1"/>
  <c r="D18645" i="1"/>
  <c r="G18645" i="1"/>
  <c r="B21643" i="1"/>
  <c r="D21643" i="1"/>
  <c r="G21643" i="1"/>
  <c r="B19792" i="1"/>
  <c r="D19792" i="1"/>
  <c r="G19792" i="1"/>
  <c r="B19793" i="1"/>
  <c r="D19793" i="1"/>
  <c r="G19793" i="1"/>
  <c r="B18646" i="1"/>
  <c r="D18646" i="1"/>
  <c r="G18646" i="1"/>
  <c r="B14875" i="1"/>
  <c r="D14875" i="1"/>
  <c r="G14875" i="1"/>
  <c r="B16936" i="1"/>
  <c r="D16936" i="1"/>
  <c r="G16936" i="1"/>
  <c r="B17960" i="1"/>
  <c r="D17960" i="1"/>
  <c r="G17960" i="1"/>
  <c r="B20459" i="1"/>
  <c r="D20459" i="1"/>
  <c r="G20459" i="1"/>
  <c r="B20353" i="1"/>
  <c r="D20353" i="1"/>
  <c r="G20353" i="1"/>
  <c r="B20257" i="1"/>
  <c r="D20257" i="1"/>
  <c r="G20257" i="1"/>
  <c r="B22104" i="1"/>
  <c r="D22104" i="1"/>
  <c r="G22104" i="1"/>
  <c r="B21245" i="1"/>
  <c r="D21245" i="1"/>
  <c r="G21245" i="1"/>
  <c r="B16937" i="1"/>
  <c r="D16937" i="1"/>
  <c r="G16937" i="1"/>
  <c r="B20719" i="1"/>
  <c r="D20719" i="1"/>
  <c r="G20719" i="1"/>
  <c r="B14339" i="1"/>
  <c r="D14339" i="1"/>
  <c r="G14339" i="1"/>
  <c r="B20021" i="1"/>
  <c r="D20021" i="1"/>
  <c r="G20021" i="1"/>
  <c r="B15955" i="1"/>
  <c r="D15955" i="1"/>
  <c r="G15955" i="1"/>
  <c r="B15676" i="1"/>
  <c r="D15676" i="1"/>
  <c r="G15676" i="1"/>
  <c r="B15351" i="1"/>
  <c r="D15351" i="1"/>
  <c r="G15351" i="1"/>
  <c r="B20354" i="1"/>
  <c r="D20354" i="1"/>
  <c r="G20354" i="1"/>
  <c r="B17961" i="1"/>
  <c r="D17961" i="1"/>
  <c r="G17961" i="1"/>
  <c r="B21417" i="1"/>
  <c r="D21417" i="1"/>
  <c r="G21417" i="1"/>
  <c r="B14876" i="1"/>
  <c r="D14876" i="1"/>
  <c r="G14876" i="1"/>
  <c r="B21227" i="1"/>
  <c r="D21227" i="1"/>
  <c r="G21227" i="1"/>
  <c r="B17962" i="1"/>
  <c r="D17962" i="1"/>
  <c r="G17962" i="1"/>
  <c r="B16029" i="1"/>
  <c r="D16029" i="1"/>
  <c r="G16029" i="1"/>
  <c r="B20720" i="1"/>
  <c r="D20720" i="1"/>
  <c r="G20720" i="1"/>
  <c r="B21228" i="1"/>
  <c r="D21228" i="1"/>
  <c r="G21228" i="1"/>
  <c r="B17295" i="1"/>
  <c r="D17295" i="1"/>
  <c r="G17295" i="1"/>
  <c r="B20072" i="1"/>
  <c r="D20072" i="1"/>
  <c r="G20072" i="1"/>
  <c r="B20977" i="1"/>
  <c r="D20977" i="1"/>
  <c r="G20977" i="1"/>
  <c r="B18149" i="1"/>
  <c r="D18149" i="1"/>
  <c r="G18149" i="1"/>
  <c r="B21456" i="1"/>
  <c r="D21456" i="1"/>
  <c r="G21456" i="1"/>
  <c r="B13911" i="1"/>
  <c r="D13911" i="1"/>
  <c r="G13911" i="1"/>
  <c r="B21229" i="1"/>
  <c r="D21229" i="1"/>
  <c r="G21229" i="1"/>
  <c r="B17963" i="1"/>
  <c r="D17963" i="1"/>
  <c r="G17963" i="1"/>
  <c r="B21996" i="1"/>
  <c r="D21996" i="1"/>
  <c r="G21996" i="1"/>
  <c r="B21230" i="1"/>
  <c r="D21230" i="1"/>
  <c r="G21230" i="1"/>
  <c r="B13675" i="1"/>
  <c r="D13675" i="1"/>
  <c r="G13675" i="1"/>
  <c r="B20978" i="1"/>
  <c r="D20978" i="1"/>
  <c r="G20978" i="1"/>
  <c r="B21457" i="1"/>
  <c r="D21457" i="1"/>
  <c r="G21457" i="1"/>
  <c r="B13738" i="1"/>
  <c r="D13738" i="1"/>
  <c r="G13738" i="1"/>
  <c r="B21835" i="1"/>
  <c r="D21835" i="1"/>
  <c r="G21835" i="1"/>
  <c r="B13568" i="1"/>
  <c r="D13568" i="1"/>
  <c r="G13568" i="1"/>
  <c r="B21997" i="1"/>
  <c r="D21997" i="1"/>
  <c r="G21997" i="1"/>
  <c r="B18152" i="1"/>
  <c r="D18152" i="1"/>
  <c r="G18152" i="1"/>
  <c r="B21773" i="1"/>
  <c r="D21773" i="1"/>
  <c r="G21773" i="1"/>
  <c r="B21836" i="1"/>
  <c r="D21836" i="1"/>
  <c r="G21836" i="1"/>
  <c r="B17249" i="1"/>
  <c r="D17249" i="1"/>
  <c r="G17249" i="1"/>
  <c r="B17018" i="1"/>
  <c r="D17018" i="1"/>
  <c r="G17018" i="1"/>
  <c r="B21336" i="1"/>
  <c r="D21336" i="1"/>
  <c r="G21336" i="1"/>
  <c r="B21774" i="1"/>
  <c r="D21774" i="1"/>
  <c r="G21774" i="1"/>
  <c r="B21837" i="1"/>
  <c r="D21837" i="1"/>
  <c r="G21837" i="1"/>
  <c r="B21231" i="1"/>
  <c r="D21231" i="1"/>
  <c r="G21231" i="1"/>
  <c r="B21780" i="1"/>
  <c r="D21780" i="1"/>
  <c r="G21780" i="1"/>
  <c r="B21232" i="1"/>
  <c r="D21232" i="1"/>
  <c r="G21232" i="1"/>
  <c r="B18150" i="1"/>
  <c r="D18150" i="1"/>
  <c r="G18150" i="1"/>
  <c r="B21233" i="1"/>
  <c r="D21233" i="1"/>
  <c r="G21233" i="1"/>
  <c r="B18261" i="1"/>
  <c r="D18261" i="1"/>
  <c r="G18261" i="1"/>
  <c r="B19367" i="1"/>
  <c r="D19367" i="1"/>
  <c r="G19367" i="1"/>
  <c r="B21234" i="1"/>
  <c r="D21234" i="1"/>
  <c r="G21234" i="1"/>
  <c r="B21644" i="1"/>
  <c r="D21644" i="1"/>
  <c r="G21644" i="1"/>
  <c r="B22234" i="1"/>
  <c r="D22234" i="1"/>
  <c r="G22234" i="1"/>
  <c r="B18151" i="1"/>
  <c r="D18151" i="1"/>
  <c r="G18151" i="1"/>
  <c r="B13888" i="1"/>
  <c r="D13888" i="1"/>
  <c r="G13888" i="1"/>
  <c r="B20022" i="1"/>
  <c r="D20022" i="1"/>
  <c r="G20022" i="1"/>
  <c r="B16938" i="1"/>
  <c r="D16938" i="1"/>
  <c r="G16938" i="1"/>
  <c r="B16057" i="1"/>
  <c r="D16057" i="1"/>
  <c r="G16057" i="1"/>
  <c r="B18708" i="1"/>
  <c r="D18708" i="1"/>
  <c r="G18708" i="1"/>
  <c r="B15352" i="1"/>
  <c r="D15352" i="1"/>
  <c r="G15352" i="1"/>
  <c r="B20979" i="1"/>
  <c r="D20979" i="1"/>
  <c r="G20979" i="1"/>
  <c r="B20721" i="1"/>
  <c r="D20721" i="1"/>
  <c r="G20721" i="1"/>
  <c r="B21838" i="1"/>
  <c r="D21838" i="1"/>
  <c r="G21838" i="1"/>
  <c r="B16939" i="1"/>
  <c r="D16939" i="1"/>
  <c r="G16939" i="1"/>
  <c r="B18768" i="1"/>
  <c r="D18768" i="1"/>
  <c r="G18768" i="1"/>
  <c r="B21235" i="1"/>
  <c r="D21235" i="1"/>
  <c r="G21235" i="1"/>
  <c r="B21236" i="1"/>
  <c r="D21236" i="1"/>
  <c r="G21236" i="1"/>
  <c r="B20355" i="1"/>
  <c r="D20355" i="1"/>
  <c r="G20355" i="1"/>
  <c r="B20460" i="1"/>
  <c r="D20460" i="1"/>
  <c r="G20460" i="1"/>
  <c r="B16940" i="1"/>
  <c r="D16940" i="1"/>
  <c r="G16940" i="1"/>
  <c r="B16941" i="1"/>
  <c r="D16941" i="1"/>
  <c r="G16941" i="1"/>
  <c r="B20061" i="1"/>
  <c r="D20061" i="1"/>
  <c r="G20061" i="1"/>
  <c r="B21304" i="1"/>
  <c r="D21304" i="1"/>
  <c r="G21304" i="1"/>
  <c r="B20356" i="1"/>
  <c r="D20356" i="1"/>
  <c r="G20356" i="1"/>
  <c r="B20258" i="1"/>
  <c r="D20258" i="1"/>
  <c r="G20258" i="1"/>
  <c r="B22105" i="1"/>
  <c r="D22105" i="1"/>
  <c r="G22105" i="1"/>
  <c r="B20192" i="1"/>
  <c r="D20192" i="1"/>
  <c r="G20192" i="1"/>
  <c r="B21418" i="1"/>
  <c r="D21418" i="1"/>
  <c r="G21418" i="1"/>
  <c r="B20722" i="1"/>
  <c r="D20722" i="1"/>
  <c r="G20722" i="1"/>
  <c r="B21466" i="1"/>
  <c r="D21466" i="1"/>
  <c r="G21466" i="1"/>
  <c r="B21237" i="1"/>
  <c r="D21237" i="1"/>
  <c r="G21237" i="1"/>
  <c r="B20980" i="1"/>
  <c r="D20980" i="1"/>
  <c r="G20980" i="1"/>
  <c r="B21998" i="1"/>
  <c r="D21998" i="1"/>
  <c r="G21998" i="1"/>
  <c r="B16058" i="1"/>
  <c r="D16058" i="1"/>
  <c r="G16058" i="1"/>
  <c r="B16059" i="1"/>
  <c r="D16059" i="1"/>
  <c r="G16059" i="1"/>
  <c r="B21338" i="1"/>
  <c r="D21338" i="1"/>
  <c r="G21338" i="1"/>
  <c r="B21775" i="1"/>
  <c r="D21775" i="1"/>
  <c r="G21775" i="1"/>
  <c r="B21302" i="1"/>
  <c r="D21302" i="1"/>
  <c r="G21302" i="1"/>
  <c r="B21238" i="1"/>
  <c r="D21238" i="1"/>
  <c r="G21238" i="1"/>
  <c r="B21239" i="1"/>
  <c r="D21239" i="1"/>
  <c r="G21239" i="1"/>
  <c r="B13650" i="1"/>
  <c r="D13650" i="1"/>
  <c r="G13650" i="1"/>
  <c r="B12580" i="1"/>
  <c r="D12580" i="1"/>
  <c r="G12580" i="1"/>
  <c r="B16942" i="1"/>
  <c r="D16942" i="1"/>
  <c r="G16942" i="1"/>
  <c r="B13735" i="1"/>
  <c r="D13735" i="1"/>
  <c r="G13735" i="1"/>
  <c r="B9422" i="1"/>
  <c r="D9422" i="1"/>
  <c r="G9422" i="1"/>
  <c r="B12710" i="1"/>
  <c r="D12710" i="1"/>
  <c r="G12710" i="1"/>
  <c r="B12711" i="1"/>
  <c r="D12711" i="1"/>
  <c r="G12711" i="1"/>
  <c r="B4280" i="1"/>
  <c r="D4280" i="1"/>
  <c r="G4280" i="1"/>
  <c r="B19802" i="1"/>
  <c r="D19802" i="1"/>
  <c r="G19802" i="1"/>
  <c r="B211" i="1"/>
  <c r="D211" i="1"/>
  <c r="G211" i="1"/>
  <c r="B212" i="1"/>
  <c r="D212" i="1"/>
  <c r="G212" i="1"/>
  <c r="B14450" i="1"/>
  <c r="D14450" i="1"/>
  <c r="G14450" i="1"/>
  <c r="B12712" i="1"/>
  <c r="D12712" i="1"/>
  <c r="G12712" i="1"/>
  <c r="B22550" i="1"/>
  <c r="D22550" i="1"/>
  <c r="G22550" i="1"/>
  <c r="B14372" i="1"/>
  <c r="D14372" i="1"/>
  <c r="G14372" i="1"/>
  <c r="B40" i="1"/>
  <c r="D40" i="1"/>
  <c r="G40" i="1"/>
  <c r="B9213" i="1"/>
  <c r="D9213" i="1"/>
  <c r="G9213" i="1"/>
  <c r="B2216" i="1"/>
  <c r="D2216" i="1"/>
  <c r="G2216" i="1"/>
  <c r="B22366" i="1"/>
  <c r="D22366" i="1"/>
  <c r="G22366" i="1"/>
  <c r="B3216" i="1"/>
  <c r="D3216" i="1"/>
  <c r="G3216" i="1"/>
  <c r="B3245" i="1"/>
  <c r="D3245" i="1"/>
  <c r="G3245" i="1"/>
  <c r="B3246" i="1"/>
  <c r="D3246" i="1"/>
  <c r="G3246" i="1"/>
  <c r="B3247" i="1"/>
  <c r="D3247" i="1"/>
  <c r="G3247" i="1"/>
  <c r="B3248" i="1"/>
  <c r="D3248" i="1"/>
  <c r="G3248" i="1"/>
  <c r="B3249" i="1"/>
  <c r="D3249" i="1"/>
  <c r="G3249" i="1"/>
  <c r="B3250" i="1"/>
  <c r="D3250" i="1"/>
  <c r="G3250" i="1"/>
  <c r="B3251" i="1"/>
  <c r="D3251" i="1"/>
  <c r="G3251" i="1"/>
  <c r="B3252" i="1"/>
  <c r="D3252" i="1"/>
  <c r="G3252" i="1"/>
  <c r="B9423" i="1"/>
  <c r="D9423" i="1"/>
  <c r="G9423" i="1"/>
  <c r="B18372" i="1"/>
  <c r="D18372" i="1"/>
  <c r="G18372" i="1"/>
  <c r="B21311" i="1"/>
  <c r="D21311" i="1"/>
  <c r="G21311" i="1"/>
  <c r="B18379" i="1"/>
  <c r="D18379" i="1"/>
  <c r="G18379" i="1"/>
  <c r="B19938" i="1"/>
  <c r="D19938" i="1"/>
  <c r="G19938" i="1"/>
  <c r="B961" i="1"/>
  <c r="D961" i="1"/>
  <c r="G961" i="1"/>
  <c r="B963" i="1"/>
  <c r="D963" i="1"/>
  <c r="G963" i="1"/>
  <c r="B1023" i="1"/>
  <c r="D1023" i="1"/>
  <c r="G1023" i="1"/>
  <c r="B959" i="1"/>
  <c r="D959" i="1"/>
  <c r="G959" i="1"/>
  <c r="B13785" i="1"/>
  <c r="D13785" i="1"/>
  <c r="G13785" i="1"/>
  <c r="B213" i="1"/>
  <c r="D213" i="1"/>
  <c r="G213" i="1"/>
  <c r="B13651" i="1"/>
  <c r="D13651" i="1"/>
  <c r="G13651" i="1"/>
  <c r="B20068" i="1"/>
  <c r="D20068" i="1"/>
  <c r="G20068" i="1"/>
  <c r="B3413" i="1"/>
  <c r="D3413" i="1"/>
  <c r="G3413" i="1"/>
  <c r="B13657" i="1"/>
  <c r="D13657" i="1"/>
  <c r="G13657" i="1"/>
  <c r="B17454" i="1"/>
  <c r="D17454" i="1"/>
  <c r="G17454" i="1"/>
  <c r="B8041" i="1"/>
  <c r="D8041" i="1"/>
  <c r="G8041" i="1"/>
  <c r="B13897" i="1"/>
  <c r="D13897" i="1"/>
  <c r="G13897" i="1"/>
  <c r="B18367" i="1"/>
  <c r="D18367" i="1"/>
  <c r="G18367" i="1"/>
  <c r="B1507" i="1"/>
  <c r="D1507" i="1"/>
  <c r="G1507" i="1"/>
  <c r="B13730" i="1"/>
  <c r="D13730" i="1"/>
  <c r="G13730" i="1"/>
  <c r="B6906" i="1"/>
  <c r="D6906" i="1"/>
  <c r="G6906" i="1"/>
  <c r="B9842" i="1"/>
  <c r="D9842" i="1"/>
  <c r="G9842" i="1"/>
  <c r="B8042" i="1"/>
  <c r="D8042" i="1"/>
  <c r="G8042" i="1"/>
  <c r="B9061" i="1"/>
  <c r="D9061" i="1"/>
  <c r="G9061" i="1"/>
  <c r="B22232" i="1"/>
  <c r="D22232" i="1"/>
  <c r="G22232" i="1"/>
  <c r="B9062" i="1"/>
  <c r="D9062" i="1"/>
  <c r="G9062" i="1"/>
  <c r="B9063" i="1"/>
  <c r="D9063" i="1"/>
  <c r="G9063" i="1"/>
  <c r="B14258" i="1"/>
  <c r="D14258" i="1"/>
  <c r="G14258" i="1"/>
  <c r="B22233" i="1"/>
  <c r="D22233" i="1"/>
  <c r="G22233" i="1"/>
  <c r="B9064" i="1"/>
  <c r="D9064" i="1"/>
  <c r="G9064" i="1"/>
  <c r="B9065" i="1"/>
  <c r="D9065" i="1"/>
  <c r="G9065" i="1"/>
  <c r="B769" i="1"/>
  <c r="D769" i="1"/>
  <c r="G769" i="1"/>
  <c r="B9066" i="1"/>
  <c r="D9066" i="1"/>
  <c r="G9066" i="1"/>
  <c r="B682" i="1"/>
  <c r="D682" i="1"/>
  <c r="G682" i="1"/>
  <c r="B753" i="1"/>
  <c r="D753" i="1"/>
  <c r="G753" i="1"/>
  <c r="B6691" i="1"/>
  <c r="D6691" i="1"/>
  <c r="G6691" i="1"/>
  <c r="B681" i="1"/>
  <c r="D681" i="1"/>
  <c r="G681" i="1"/>
  <c r="B4449" i="1"/>
  <c r="D4449" i="1"/>
  <c r="G4449" i="1"/>
  <c r="B1017" i="1"/>
  <c r="D1017" i="1"/>
  <c r="G1017" i="1"/>
  <c r="B1553" i="1"/>
  <c r="D1553" i="1"/>
  <c r="G1553" i="1"/>
  <c r="B4482" i="1"/>
  <c r="D4482" i="1"/>
  <c r="G4482" i="1"/>
  <c r="B1423" i="1"/>
  <c r="D1423" i="1"/>
  <c r="G1423" i="1"/>
  <c r="B932" i="1"/>
  <c r="D932" i="1"/>
  <c r="G932" i="1"/>
  <c r="B2246" i="1"/>
  <c r="D2246" i="1"/>
  <c r="G2246" i="1"/>
  <c r="B2320" i="1"/>
  <c r="D2320" i="1"/>
  <c r="G2320" i="1"/>
  <c r="B11023" i="1"/>
  <c r="D11023" i="1"/>
  <c r="G11023" i="1"/>
  <c r="B6072" i="1"/>
  <c r="D6072" i="1"/>
  <c r="G6072" i="1"/>
  <c r="B3037" i="1"/>
  <c r="D3037" i="1"/>
  <c r="G3037" i="1"/>
  <c r="B2987" i="1"/>
  <c r="D2987" i="1"/>
  <c r="G2987" i="1"/>
  <c r="B3391" i="1"/>
  <c r="D3391" i="1"/>
  <c r="G3391" i="1"/>
  <c r="B320" i="1"/>
  <c r="D320" i="1"/>
  <c r="G320" i="1"/>
  <c r="B313" i="1"/>
  <c r="D313" i="1"/>
  <c r="G313" i="1"/>
  <c r="B2488" i="1"/>
  <c r="D2488" i="1"/>
  <c r="G2488" i="1"/>
  <c r="B1516" i="1"/>
  <c r="D1516" i="1"/>
  <c r="G1516" i="1"/>
  <c r="B124" i="1"/>
  <c r="D124" i="1"/>
  <c r="G124" i="1"/>
  <c r="B2220" i="1"/>
  <c r="D2220" i="1"/>
  <c r="G2220" i="1"/>
  <c r="B334" i="1"/>
  <c r="D334" i="1"/>
  <c r="G334" i="1"/>
  <c r="B76" i="1"/>
  <c r="D76" i="1"/>
  <c r="G76" i="1"/>
  <c r="B430" i="1"/>
  <c r="D430" i="1"/>
  <c r="G430" i="1"/>
  <c r="B1479" i="1"/>
  <c r="D1479" i="1"/>
  <c r="G1479" i="1"/>
  <c r="B423" i="1"/>
  <c r="D423" i="1"/>
  <c r="G423" i="1"/>
  <c r="B1515" i="1"/>
  <c r="D1515" i="1"/>
  <c r="G1515" i="1"/>
  <c r="B1518" i="1"/>
  <c r="D1518" i="1"/>
  <c r="G1518" i="1"/>
  <c r="B357" i="1"/>
  <c r="D357" i="1"/>
  <c r="G357" i="1"/>
  <c r="B2548" i="1"/>
  <c r="D2548" i="1"/>
  <c r="G2548" i="1"/>
  <c r="B2102" i="1"/>
  <c r="D2102" i="1"/>
  <c r="G2102" i="1"/>
  <c r="B49" i="1"/>
  <c r="D49" i="1"/>
  <c r="G49" i="1"/>
  <c r="B2988" i="1"/>
  <c r="D2988" i="1"/>
  <c r="G2988" i="1"/>
  <c r="B332" i="1"/>
  <c r="D332" i="1"/>
  <c r="G332" i="1"/>
  <c r="B1480" i="1"/>
  <c r="D1480" i="1"/>
  <c r="G1480" i="1"/>
  <c r="B969" i="1"/>
  <c r="D969" i="1"/>
  <c r="G969" i="1"/>
  <c r="B435" i="1"/>
  <c r="D435" i="1"/>
  <c r="G435" i="1"/>
  <c r="B432" i="1"/>
  <c r="D432" i="1"/>
  <c r="G432" i="1"/>
  <c r="B1429" i="1"/>
  <c r="D1429" i="1"/>
  <c r="G1429" i="1"/>
  <c r="B462" i="1"/>
  <c r="D462" i="1"/>
  <c r="G462" i="1"/>
  <c r="B1468" i="1"/>
  <c r="D1468" i="1"/>
  <c r="G1468" i="1"/>
  <c r="B1018" i="1"/>
  <c r="D1018" i="1"/>
  <c r="G1018" i="1"/>
  <c r="B3108" i="1"/>
  <c r="D3108" i="1"/>
  <c r="G3108" i="1"/>
  <c r="B790" i="1"/>
  <c r="D790" i="1"/>
  <c r="G790" i="1"/>
  <c r="B3109" i="1"/>
  <c r="D3109" i="1"/>
  <c r="G3109" i="1"/>
  <c r="B4036" i="1"/>
  <c r="D4036" i="1"/>
  <c r="G4036" i="1"/>
  <c r="B3110" i="1"/>
  <c r="D3110" i="1"/>
  <c r="G3110" i="1"/>
  <c r="B749" i="1"/>
  <c r="D749" i="1"/>
  <c r="G749" i="1"/>
  <c r="B4373" i="1"/>
  <c r="D4373" i="1"/>
  <c r="G4373" i="1"/>
  <c r="B879" i="1"/>
  <c r="D879" i="1"/>
  <c r="G879" i="1"/>
  <c r="B1824" i="1"/>
  <c r="D1824" i="1"/>
  <c r="G1824" i="1"/>
  <c r="B166" i="1"/>
  <c r="D166" i="1"/>
  <c r="G166" i="1"/>
  <c r="B1519" i="1"/>
  <c r="D1519" i="1"/>
  <c r="G1519" i="1"/>
  <c r="B3318" i="1"/>
  <c r="D3318" i="1"/>
  <c r="G3318" i="1"/>
  <c r="B668" i="1"/>
  <c r="D668" i="1"/>
  <c r="G668" i="1"/>
  <c r="B3773" i="1"/>
  <c r="D3773" i="1"/>
  <c r="G3773" i="1"/>
  <c r="B4074" i="1"/>
  <c r="D4074" i="1"/>
  <c r="G4074" i="1"/>
  <c r="B3373" i="1"/>
  <c r="D3373" i="1"/>
  <c r="G3373" i="1"/>
  <c r="B4362" i="1"/>
  <c r="D4362" i="1"/>
  <c r="G4362" i="1"/>
  <c r="B3253" i="1"/>
  <c r="D3253" i="1"/>
  <c r="G3253" i="1"/>
  <c r="B3385" i="1"/>
  <c r="D3385" i="1"/>
  <c r="G3385" i="1"/>
  <c r="B3254" i="1"/>
  <c r="D3254" i="1"/>
  <c r="G3254" i="1"/>
  <c r="B3255" i="1"/>
  <c r="D3255" i="1"/>
  <c r="G3255" i="1"/>
  <c r="B3256" i="1"/>
  <c r="D3256" i="1"/>
  <c r="G3256" i="1"/>
  <c r="B3257" i="1"/>
  <c r="D3257" i="1"/>
  <c r="G3257" i="1"/>
  <c r="B3258" i="1"/>
  <c r="D3258" i="1"/>
  <c r="G3258" i="1"/>
  <c r="B3111" i="1"/>
  <c r="D3111" i="1"/>
  <c r="G3111" i="1"/>
  <c r="B845" i="1"/>
  <c r="D845" i="1"/>
  <c r="G845" i="1"/>
  <c r="B458" i="1"/>
  <c r="D458" i="1"/>
  <c r="G458" i="1"/>
  <c r="B3112" i="1"/>
  <c r="D3112" i="1"/>
  <c r="G3112" i="1"/>
  <c r="B3113" i="1"/>
  <c r="D3113" i="1"/>
  <c r="G3113" i="1"/>
  <c r="B2210" i="1"/>
  <c r="D2210" i="1"/>
  <c r="G2210" i="1"/>
  <c r="B318" i="1"/>
  <c r="D318" i="1"/>
  <c r="G318" i="1"/>
  <c r="B241" i="1"/>
  <c r="D241" i="1"/>
  <c r="G241" i="1"/>
  <c r="B251" i="1"/>
  <c r="D251" i="1"/>
  <c r="G251" i="1"/>
  <c r="B4179" i="1"/>
  <c r="D4179" i="1"/>
  <c r="G4179" i="1"/>
  <c r="B4062" i="1"/>
  <c r="D4062" i="1"/>
  <c r="G4062" i="1"/>
  <c r="B252" i="1"/>
  <c r="D252" i="1"/>
  <c r="G252" i="1"/>
  <c r="B921" i="1"/>
  <c r="D921" i="1"/>
  <c r="G921" i="1"/>
  <c r="B3404" i="1"/>
  <c r="D3404" i="1"/>
  <c r="G3404" i="1"/>
  <c r="B4133" i="1"/>
  <c r="D4133" i="1"/>
  <c r="G4133" i="1"/>
  <c r="B4185" i="1"/>
  <c r="D4185" i="1"/>
  <c r="G4185" i="1"/>
  <c r="B695" i="1"/>
  <c r="D695" i="1"/>
  <c r="G695" i="1"/>
  <c r="B3693" i="1"/>
  <c r="D3693" i="1"/>
  <c r="G3693" i="1"/>
  <c r="B3694" i="1"/>
  <c r="D3694" i="1"/>
  <c r="G3694" i="1"/>
  <c r="B4673" i="1"/>
  <c r="D4673" i="1"/>
  <c r="G4673" i="1"/>
  <c r="B3114" i="1"/>
  <c r="D3114" i="1"/>
  <c r="G3114" i="1"/>
  <c r="B4065" i="1"/>
  <c r="D4065" i="1"/>
  <c r="G4065" i="1"/>
  <c r="B1977" i="1"/>
  <c r="D1977" i="1"/>
  <c r="G1977" i="1"/>
  <c r="B4091" i="1"/>
  <c r="D4091" i="1"/>
  <c r="G4091" i="1"/>
  <c r="B4131" i="1"/>
  <c r="D4131" i="1"/>
  <c r="G4131" i="1"/>
  <c r="B2423" i="1"/>
  <c r="D2423" i="1"/>
  <c r="G2423" i="1"/>
  <c r="B3115" i="1"/>
  <c r="D3115" i="1"/>
  <c r="G3115" i="1"/>
  <c r="B4135" i="1"/>
  <c r="D4135" i="1"/>
  <c r="G4135" i="1"/>
  <c r="B4184" i="1"/>
  <c r="D4184" i="1"/>
  <c r="G4184" i="1"/>
  <c r="B3116" i="1"/>
  <c r="D3116" i="1"/>
  <c r="G3116" i="1"/>
  <c r="B3117" i="1"/>
  <c r="D3117" i="1"/>
  <c r="G3117" i="1"/>
  <c r="B3118" i="1"/>
  <c r="D3118" i="1"/>
  <c r="G3118" i="1"/>
  <c r="B4674" i="1"/>
  <c r="D4674" i="1"/>
  <c r="G4674" i="1"/>
  <c r="B1359" i="1"/>
  <c r="D1359" i="1"/>
  <c r="G1359" i="1"/>
  <c r="B4073" i="1"/>
  <c r="D4073" i="1"/>
  <c r="G4073" i="1"/>
  <c r="B4056" i="1"/>
  <c r="D4056" i="1"/>
  <c r="G4056" i="1"/>
  <c r="B2238" i="1"/>
  <c r="D2238" i="1"/>
  <c r="G2238" i="1"/>
  <c r="B3259" i="1"/>
  <c r="D3259" i="1"/>
  <c r="G3259" i="1"/>
  <c r="B4182" i="1"/>
  <c r="D4182" i="1"/>
  <c r="G4182" i="1"/>
  <c r="B167" i="1"/>
  <c r="D167" i="1"/>
  <c r="G167" i="1"/>
  <c r="B3414" i="1"/>
  <c r="D3414" i="1"/>
  <c r="G3414" i="1"/>
  <c r="B7649" i="1"/>
  <c r="D7649" i="1"/>
  <c r="G7649" i="1"/>
  <c r="B214" i="1"/>
  <c r="D214" i="1"/>
  <c r="G214" i="1"/>
  <c r="B8377" i="1"/>
  <c r="D8377" i="1"/>
  <c r="G8377" i="1"/>
  <c r="B888" i="1"/>
  <c r="D888" i="1"/>
  <c r="G888" i="1"/>
  <c r="B4768" i="1"/>
  <c r="D4768" i="1"/>
  <c r="G4768" i="1"/>
  <c r="B3119" i="1"/>
  <c r="D3119" i="1"/>
  <c r="G3119" i="1"/>
  <c r="B4180" i="1"/>
  <c r="D4180" i="1"/>
  <c r="G4180" i="1"/>
  <c r="B3802" i="1"/>
  <c r="D3802" i="1"/>
  <c r="G3802" i="1"/>
  <c r="B5119" i="1"/>
  <c r="D5119" i="1"/>
  <c r="G5119" i="1"/>
  <c r="B127" i="1"/>
  <c r="D127" i="1"/>
  <c r="G127" i="1"/>
  <c r="B4183" i="1"/>
  <c r="D4183" i="1"/>
  <c r="G4183" i="1"/>
  <c r="B2201" i="1"/>
  <c r="D2201" i="1"/>
  <c r="G2201" i="1"/>
  <c r="B3774" i="1"/>
  <c r="D3774" i="1"/>
  <c r="G3774" i="1"/>
  <c r="B1995" i="1"/>
  <c r="D1995" i="1"/>
  <c r="G1995" i="1"/>
  <c r="B4367" i="1"/>
  <c r="D4367" i="1"/>
  <c r="G4367" i="1"/>
  <c r="B4368" i="1"/>
  <c r="D4368" i="1"/>
  <c r="G4368" i="1"/>
  <c r="B970" i="1"/>
  <c r="D970" i="1"/>
  <c r="G970" i="1"/>
  <c r="B4132" i="1"/>
  <c r="D4132" i="1"/>
  <c r="G4132" i="1"/>
  <c r="B168" i="1"/>
  <c r="D168" i="1"/>
  <c r="G168" i="1"/>
  <c r="B4455" i="1"/>
  <c r="D4455" i="1"/>
  <c r="G4455" i="1"/>
  <c r="B3695" i="1"/>
  <c r="D3695" i="1"/>
  <c r="G3695" i="1"/>
  <c r="B3775" i="1"/>
  <c r="D3775" i="1"/>
  <c r="G3775" i="1"/>
  <c r="B4255" i="1"/>
  <c r="D4255" i="1"/>
  <c r="G4255" i="1"/>
  <c r="B433" i="1"/>
  <c r="D433" i="1"/>
  <c r="G433" i="1"/>
  <c r="B335" i="1"/>
  <c r="D335" i="1"/>
  <c r="G335" i="1"/>
  <c r="B77" i="1"/>
  <c r="D77" i="1"/>
  <c r="G77" i="1"/>
  <c r="B4382" i="1"/>
  <c r="D4382" i="1"/>
  <c r="G4382" i="1"/>
  <c r="B3319" i="1"/>
  <c r="D3319" i="1"/>
  <c r="G3319" i="1"/>
  <c r="B896" i="1"/>
  <c r="D896" i="1"/>
  <c r="G896" i="1"/>
  <c r="B669" i="1"/>
  <c r="D669" i="1"/>
  <c r="G669" i="1"/>
  <c r="B4433" i="1"/>
  <c r="D4433" i="1"/>
  <c r="G4433" i="1"/>
  <c r="B4374" i="1"/>
  <c r="D4374" i="1"/>
  <c r="G4374" i="1"/>
  <c r="B3415" i="1"/>
  <c r="D3415" i="1"/>
  <c r="G3415" i="1"/>
  <c r="B3827" i="1"/>
  <c r="D3827" i="1"/>
  <c r="G3827" i="1"/>
  <c r="B683" i="1"/>
  <c r="D683" i="1"/>
  <c r="G683" i="1"/>
  <c r="B4493" i="1"/>
  <c r="D4493" i="1"/>
  <c r="G4493" i="1"/>
  <c r="B750" i="1"/>
  <c r="D750" i="1"/>
  <c r="G750" i="1"/>
  <c r="B5750" i="1"/>
  <c r="D5750" i="1"/>
  <c r="G5750" i="1"/>
  <c r="B1825" i="1"/>
  <c r="D1825" i="1"/>
  <c r="G1825" i="1"/>
  <c r="B4403" i="1"/>
  <c r="D4403" i="1"/>
  <c r="G4403" i="1"/>
  <c r="B4386" i="1"/>
  <c r="D4386" i="1"/>
  <c r="G4386" i="1"/>
  <c r="B1978" i="1"/>
  <c r="D1978" i="1"/>
  <c r="G1978" i="1"/>
  <c r="B4837" i="1"/>
  <c r="D4837" i="1"/>
  <c r="G4837" i="1"/>
  <c r="B881" i="1"/>
  <c r="D881" i="1"/>
  <c r="G881" i="1"/>
  <c r="B880" i="1"/>
  <c r="D880" i="1"/>
  <c r="G880" i="1"/>
  <c r="B4057" i="1"/>
  <c r="D4057" i="1"/>
  <c r="G4057" i="1"/>
  <c r="B459" i="1"/>
  <c r="D459" i="1"/>
  <c r="G459" i="1"/>
  <c r="B8043" i="1"/>
  <c r="D8043" i="1"/>
  <c r="G8043" i="1"/>
  <c r="B1554" i="1"/>
  <c r="D1554" i="1"/>
  <c r="G1554" i="1"/>
  <c r="B696" i="1"/>
  <c r="D696" i="1"/>
  <c r="G696" i="1"/>
  <c r="B463" i="1"/>
  <c r="D463" i="1"/>
  <c r="G463" i="1"/>
  <c r="B215" i="1"/>
  <c r="D215" i="1"/>
  <c r="G215" i="1"/>
  <c r="B125" i="1"/>
  <c r="D125" i="1"/>
  <c r="G125" i="1"/>
  <c r="B4923" i="1"/>
  <c r="D4923" i="1"/>
  <c r="G4923" i="1"/>
  <c r="B1360" i="1"/>
  <c r="D1360" i="1"/>
  <c r="G1360" i="1"/>
  <c r="B861" i="1"/>
  <c r="D861" i="1"/>
  <c r="G861" i="1"/>
  <c r="B7124" i="1"/>
  <c r="D7124" i="1"/>
  <c r="G7124" i="1"/>
  <c r="B4974" i="1"/>
  <c r="D4974" i="1"/>
  <c r="G4974" i="1"/>
  <c r="B4675" i="1"/>
  <c r="D4675" i="1"/>
  <c r="G4675" i="1"/>
  <c r="B3120" i="1"/>
  <c r="D3120" i="1"/>
  <c r="G3120" i="1"/>
  <c r="B3374" i="1"/>
  <c r="D3374" i="1"/>
  <c r="G3374" i="1"/>
  <c r="B3121" i="1"/>
  <c r="D3121" i="1"/>
  <c r="G3121" i="1"/>
  <c r="B4260" i="1"/>
  <c r="D4260" i="1"/>
  <c r="G4260" i="1"/>
  <c r="B6091" i="1"/>
  <c r="D6091" i="1"/>
  <c r="G6091" i="1"/>
  <c r="B314" i="1"/>
  <c r="D314" i="1"/>
  <c r="G314" i="1"/>
  <c r="B2989" i="1"/>
  <c r="D2989" i="1"/>
  <c r="G2989" i="1"/>
  <c r="B889" i="1"/>
  <c r="D889" i="1"/>
  <c r="G889" i="1"/>
  <c r="B697" i="1"/>
  <c r="D697" i="1"/>
  <c r="G697" i="1"/>
  <c r="B2103" i="1"/>
  <c r="D2103" i="1"/>
  <c r="G2103" i="1"/>
  <c r="B2091" i="1"/>
  <c r="D2091" i="1"/>
  <c r="G2091" i="1"/>
  <c r="B3696" i="1"/>
  <c r="D3696" i="1"/>
  <c r="G3696" i="1"/>
  <c r="B424" i="1"/>
  <c r="D424" i="1"/>
  <c r="G424" i="1"/>
  <c r="B3697" i="1"/>
  <c r="D3697" i="1"/>
  <c r="G3697" i="1"/>
  <c r="B5571" i="1"/>
  <c r="D5571" i="1"/>
  <c r="G5571" i="1"/>
  <c r="B169" i="1"/>
  <c r="D169" i="1"/>
  <c r="G169" i="1"/>
  <c r="B425" i="1"/>
  <c r="D425" i="1"/>
  <c r="G425" i="1"/>
  <c r="B4884" i="1"/>
  <c r="D4884" i="1"/>
  <c r="G4884" i="1"/>
  <c r="B933" i="1"/>
  <c r="D933" i="1"/>
  <c r="G933" i="1"/>
  <c r="B2202" i="1"/>
  <c r="D2202" i="1"/>
  <c r="G2202" i="1"/>
  <c r="B4913" i="1"/>
  <c r="D4913" i="1"/>
  <c r="G4913" i="1"/>
  <c r="B1019" i="1"/>
  <c r="D1019" i="1"/>
  <c r="G1019" i="1"/>
  <c r="B684" i="1"/>
  <c r="D684" i="1"/>
  <c r="G684" i="1"/>
  <c r="B4883" i="1"/>
  <c r="D4883" i="1"/>
  <c r="G4883" i="1"/>
  <c r="B4975" i="1"/>
  <c r="D4975" i="1"/>
  <c r="G4975" i="1"/>
  <c r="B242" i="1"/>
  <c r="D242" i="1"/>
  <c r="G242" i="1"/>
  <c r="B2990" i="1"/>
  <c r="D2990" i="1"/>
  <c r="G2990" i="1"/>
  <c r="B170" i="1"/>
  <c r="D170" i="1"/>
  <c r="G170" i="1"/>
  <c r="B5889" i="1"/>
  <c r="D5889" i="1"/>
  <c r="G5889" i="1"/>
  <c r="B4510" i="1"/>
  <c r="D4510" i="1"/>
  <c r="G4510" i="1"/>
  <c r="B5096" i="1"/>
  <c r="D5096" i="1"/>
  <c r="G5096" i="1"/>
  <c r="B791" i="1"/>
  <c r="D791" i="1"/>
  <c r="G791" i="1"/>
  <c r="B5100" i="1"/>
  <c r="D5100" i="1"/>
  <c r="G5100" i="1"/>
  <c r="B4569" i="1"/>
  <c r="D4569" i="1"/>
  <c r="G4569" i="1"/>
  <c r="B216" i="1"/>
  <c r="D216" i="1"/>
  <c r="G216" i="1"/>
  <c r="B239" i="1"/>
  <c r="D239" i="1"/>
  <c r="G239" i="1"/>
  <c r="B2991" i="1"/>
  <c r="D2991" i="1"/>
  <c r="G2991" i="1"/>
  <c r="B4968" i="1"/>
  <c r="D4968" i="1"/>
  <c r="G4968" i="1"/>
  <c r="B5890" i="1"/>
  <c r="D5890" i="1"/>
  <c r="G5890" i="1"/>
  <c r="B5165" i="1"/>
  <c r="D5165" i="1"/>
  <c r="G5165" i="1"/>
  <c r="B3698" i="1"/>
  <c r="D3698" i="1"/>
  <c r="G3698" i="1"/>
  <c r="B4838" i="1"/>
  <c r="D4838" i="1"/>
  <c r="G4838" i="1"/>
  <c r="B2992" i="1"/>
  <c r="D2992" i="1"/>
  <c r="G2992" i="1"/>
  <c r="B1361" i="1"/>
  <c r="D1361" i="1"/>
  <c r="G1361" i="1"/>
  <c r="B670" i="1"/>
  <c r="D670" i="1"/>
  <c r="G670" i="1"/>
  <c r="B5891" i="1"/>
  <c r="D5891" i="1"/>
  <c r="G5891" i="1"/>
  <c r="B5270" i="1"/>
  <c r="D5270" i="1"/>
  <c r="G5270" i="1"/>
  <c r="B5572" i="1"/>
  <c r="D5572" i="1"/>
  <c r="G5572" i="1"/>
  <c r="B1826" i="1"/>
  <c r="D1826" i="1"/>
  <c r="G1826" i="1"/>
  <c r="B6104" i="1"/>
  <c r="D6104" i="1"/>
  <c r="G6104" i="1"/>
  <c r="B6692" i="1"/>
  <c r="D6692" i="1"/>
  <c r="G6692" i="1"/>
  <c r="B685" i="1"/>
  <c r="D685" i="1"/>
  <c r="G685" i="1"/>
  <c r="B3416" i="1"/>
  <c r="D3416" i="1"/>
  <c r="G3416" i="1"/>
  <c r="B1362" i="1"/>
  <c r="D1362" i="1"/>
  <c r="G1362" i="1"/>
  <c r="B4037" i="1"/>
  <c r="D4037" i="1"/>
  <c r="G4037" i="1"/>
  <c r="B5892" i="1"/>
  <c r="D5892" i="1"/>
  <c r="G5892" i="1"/>
  <c r="B78" i="1"/>
  <c r="D78" i="1"/>
  <c r="G78" i="1"/>
  <c r="B5642" i="1"/>
  <c r="D5642" i="1"/>
  <c r="G5642" i="1"/>
  <c r="B5685" i="1"/>
  <c r="D5685" i="1"/>
  <c r="G5685" i="1"/>
  <c r="B5271" i="1"/>
  <c r="D5271" i="1"/>
  <c r="G5271" i="1"/>
  <c r="B5754" i="1"/>
  <c r="D5754" i="1"/>
  <c r="G5754" i="1"/>
  <c r="B315" i="1"/>
  <c r="D315" i="1"/>
  <c r="G315" i="1"/>
  <c r="B5737" i="1"/>
  <c r="D5737" i="1"/>
  <c r="G5737" i="1"/>
  <c r="B171" i="1"/>
  <c r="D171" i="1"/>
  <c r="G171" i="1"/>
  <c r="B5893" i="1"/>
  <c r="D5893" i="1"/>
  <c r="G5893" i="1"/>
  <c r="B5894" i="1"/>
  <c r="D5894" i="1"/>
  <c r="G5894" i="1"/>
  <c r="B11751" i="1"/>
  <c r="D11751" i="1"/>
  <c r="G11751" i="1"/>
  <c r="B217" i="1"/>
  <c r="D217" i="1"/>
  <c r="G217" i="1"/>
  <c r="B5895" i="1"/>
  <c r="D5895" i="1"/>
  <c r="G5895" i="1"/>
  <c r="B751" i="1"/>
  <c r="D751" i="1"/>
  <c r="G751" i="1"/>
  <c r="B6119" i="1"/>
  <c r="D6119" i="1"/>
  <c r="G6119" i="1"/>
  <c r="B4570" i="1"/>
  <c r="D4570" i="1"/>
  <c r="G4570" i="1"/>
  <c r="B6524" i="1"/>
  <c r="D6524" i="1"/>
  <c r="G6524" i="1"/>
  <c r="B671" i="1"/>
  <c r="D671" i="1"/>
  <c r="G671" i="1"/>
  <c r="B5896" i="1"/>
  <c r="D5896" i="1"/>
  <c r="G5896" i="1"/>
  <c r="B460" i="1"/>
  <c r="D460" i="1"/>
  <c r="G460" i="1"/>
  <c r="B6846" i="1"/>
  <c r="D6846" i="1"/>
  <c r="G6846" i="1"/>
  <c r="B5897" i="1"/>
  <c r="D5897" i="1"/>
  <c r="G5897" i="1"/>
  <c r="B6884" i="1"/>
  <c r="D6884" i="1"/>
  <c r="G6884" i="1"/>
  <c r="B6609" i="1"/>
  <c r="D6609" i="1"/>
  <c r="G6609" i="1"/>
  <c r="B5974" i="1"/>
  <c r="D5974" i="1"/>
  <c r="G5974" i="1"/>
  <c r="B6465" i="1"/>
  <c r="D6465" i="1"/>
  <c r="G6465" i="1"/>
  <c r="B6466" i="1"/>
  <c r="D6466" i="1"/>
  <c r="G6466" i="1"/>
  <c r="B6610" i="1"/>
  <c r="D6610" i="1"/>
  <c r="G6610" i="1"/>
  <c r="B4998" i="1"/>
  <c r="D4998" i="1"/>
  <c r="G4998" i="1"/>
  <c r="B6569" i="1"/>
  <c r="D6569" i="1"/>
  <c r="G6569" i="1"/>
  <c r="B17964" i="1"/>
  <c r="D17964" i="1"/>
  <c r="G17964" i="1"/>
  <c r="B5983" i="1"/>
  <c r="D5983" i="1"/>
  <c r="G5983" i="1"/>
  <c r="B2081" i="1"/>
  <c r="D2081" i="1"/>
  <c r="G2081" i="1"/>
  <c r="B1424" i="1"/>
  <c r="D1424" i="1"/>
  <c r="G1424" i="1"/>
  <c r="B21411" i="1"/>
  <c r="D21411" i="1"/>
  <c r="G21411" i="1"/>
  <c r="B5976" i="1"/>
  <c r="D5976" i="1"/>
  <c r="G5976" i="1"/>
  <c r="B3392" i="1"/>
  <c r="D3392" i="1"/>
  <c r="G3392" i="1"/>
  <c r="B5573" i="1"/>
  <c r="D5573" i="1"/>
  <c r="G5573" i="1"/>
  <c r="B5752" i="1"/>
  <c r="D5752" i="1"/>
  <c r="G5752" i="1"/>
  <c r="B6913" i="1"/>
  <c r="D6913" i="1"/>
  <c r="G6913" i="1"/>
  <c r="B434" i="1"/>
  <c r="D434" i="1"/>
  <c r="G434" i="1"/>
  <c r="B6519" i="1"/>
  <c r="D6519" i="1"/>
  <c r="G6519" i="1"/>
  <c r="B846" i="1"/>
  <c r="D846" i="1"/>
  <c r="G846" i="1"/>
  <c r="B2239" i="1"/>
  <c r="D2239" i="1"/>
  <c r="G2239" i="1"/>
  <c r="B6611" i="1"/>
  <c r="D6611" i="1"/>
  <c r="G6611" i="1"/>
  <c r="B5105" i="1"/>
  <c r="D5105" i="1"/>
  <c r="G5105" i="1"/>
  <c r="B6887" i="1"/>
  <c r="D6887" i="1"/>
  <c r="G6887" i="1"/>
  <c r="B5898" i="1"/>
  <c r="D5898" i="1"/>
  <c r="G5898" i="1"/>
  <c r="B6127" i="1"/>
  <c r="D6127" i="1"/>
  <c r="G6127" i="1"/>
  <c r="B3047" i="1"/>
  <c r="D3047" i="1"/>
  <c r="G3047" i="1"/>
  <c r="B6467" i="1"/>
  <c r="D6467" i="1"/>
  <c r="G6467" i="1"/>
  <c r="B1425" i="1"/>
  <c r="D1425" i="1"/>
  <c r="G1425" i="1"/>
  <c r="B6693" i="1"/>
  <c r="D6693" i="1"/>
  <c r="G6693" i="1"/>
  <c r="B6694" i="1"/>
  <c r="D6694" i="1"/>
  <c r="G6694" i="1"/>
  <c r="B6517" i="1"/>
  <c r="D6517" i="1"/>
  <c r="G6517" i="1"/>
  <c r="B1363" i="1"/>
  <c r="D1363" i="1"/>
  <c r="G1363" i="1"/>
  <c r="B7385" i="1"/>
  <c r="D7385" i="1"/>
  <c r="G7385" i="1"/>
  <c r="B14522" i="1"/>
  <c r="D14522" i="1"/>
  <c r="G14522" i="1"/>
  <c r="B1364" i="1"/>
  <c r="D1364" i="1"/>
  <c r="G1364" i="1"/>
  <c r="B4914" i="1"/>
  <c r="D4914" i="1"/>
  <c r="G4914" i="1"/>
  <c r="B4038" i="1"/>
  <c r="D4038" i="1"/>
  <c r="G4038" i="1"/>
  <c r="B7271" i="1"/>
  <c r="D7271" i="1"/>
  <c r="G7271" i="1"/>
  <c r="B5686" i="1"/>
  <c r="D5686" i="1"/>
  <c r="G5686" i="1"/>
  <c r="B6468" i="1"/>
  <c r="D6468" i="1"/>
  <c r="G6468" i="1"/>
  <c r="B5643" i="1"/>
  <c r="D5643" i="1"/>
  <c r="G5643" i="1"/>
  <c r="B6469" i="1"/>
  <c r="D6469" i="1"/>
  <c r="G6469" i="1"/>
  <c r="B6574" i="1"/>
  <c r="D6574" i="1"/>
  <c r="G6574" i="1"/>
  <c r="B21379" i="1"/>
  <c r="D21379" i="1"/>
  <c r="G21379" i="1"/>
  <c r="B6470" i="1"/>
  <c r="D6470" i="1"/>
  <c r="G6470" i="1"/>
  <c r="B5687" i="1"/>
  <c r="D5687" i="1"/>
  <c r="G5687" i="1"/>
  <c r="B5751" i="1"/>
  <c r="D5751" i="1"/>
  <c r="G5751" i="1"/>
  <c r="B6847" i="1"/>
  <c r="D6847" i="1"/>
  <c r="G6847" i="1"/>
  <c r="B6092" i="1"/>
  <c r="D6092" i="1"/>
  <c r="G6092" i="1"/>
  <c r="B14523" i="1"/>
  <c r="D14523" i="1"/>
  <c r="G14523" i="1"/>
  <c r="B4456" i="1"/>
  <c r="D4456" i="1"/>
  <c r="G4456" i="1"/>
  <c r="B3375" i="1"/>
  <c r="D3375" i="1"/>
  <c r="G3375" i="1"/>
  <c r="B13889" i="1"/>
  <c r="D13889" i="1"/>
  <c r="G13889" i="1"/>
  <c r="B6471" i="1"/>
  <c r="D6471" i="1"/>
  <c r="G6471" i="1"/>
  <c r="B1827" i="1"/>
  <c r="D1827" i="1"/>
  <c r="G1827" i="1"/>
  <c r="B6472" i="1"/>
  <c r="D6472" i="1"/>
  <c r="G6472" i="1"/>
  <c r="B4039" i="1"/>
  <c r="D4039" i="1"/>
  <c r="G4039" i="1"/>
  <c r="B8152" i="1"/>
  <c r="D8152" i="1"/>
  <c r="G8152" i="1"/>
  <c r="B4434" i="1"/>
  <c r="D4434" i="1"/>
  <c r="G4434" i="1"/>
  <c r="B10057" i="1"/>
  <c r="D10057" i="1"/>
  <c r="G10057" i="1"/>
  <c r="B6976" i="1"/>
  <c r="D6976" i="1"/>
  <c r="G6976" i="1"/>
  <c r="B3421" i="1"/>
  <c r="D3421" i="1"/>
  <c r="G3421" i="1"/>
  <c r="B686" i="1"/>
  <c r="D686" i="1"/>
  <c r="G686" i="1"/>
  <c r="B897" i="1"/>
  <c r="D897" i="1"/>
  <c r="G897" i="1"/>
  <c r="B1520" i="1"/>
  <c r="D1520" i="1"/>
  <c r="G1520" i="1"/>
  <c r="B6990" i="1"/>
  <c r="D6990" i="1"/>
  <c r="G6990" i="1"/>
  <c r="B5272" i="1"/>
  <c r="D5272" i="1"/>
  <c r="G5272" i="1"/>
  <c r="B7104" i="1"/>
  <c r="D7104" i="1"/>
  <c r="G7104" i="1"/>
  <c r="B79" i="1"/>
  <c r="D79" i="1"/>
  <c r="G79" i="1"/>
  <c r="B8603" i="1"/>
  <c r="D8603" i="1"/>
  <c r="G8603" i="1"/>
  <c r="B4261" i="1"/>
  <c r="D4261" i="1"/>
  <c r="G4261" i="1"/>
  <c r="B7054" i="1"/>
  <c r="D7054" i="1"/>
  <c r="G7054" i="1"/>
  <c r="B172" i="1"/>
  <c r="D172" i="1"/>
  <c r="G172" i="1"/>
  <c r="B7030" i="1"/>
  <c r="D7030" i="1"/>
  <c r="G7030" i="1"/>
  <c r="B80" i="1"/>
  <c r="D80" i="1"/>
  <c r="G80" i="1"/>
  <c r="B2082" i="1"/>
  <c r="D2082" i="1"/>
  <c r="G2082" i="1"/>
  <c r="B3048" i="1"/>
  <c r="D3048" i="1"/>
  <c r="G3048" i="1"/>
  <c r="B4571" i="1"/>
  <c r="D4571" i="1"/>
  <c r="G4571" i="1"/>
  <c r="B7272" i="1"/>
  <c r="D7272" i="1"/>
  <c r="G7272" i="1"/>
  <c r="B3803" i="1"/>
  <c r="D3803" i="1"/>
  <c r="G3803" i="1"/>
  <c r="B21652" i="1"/>
  <c r="D21652" i="1"/>
  <c r="G21652" i="1"/>
  <c r="B218" i="1"/>
  <c r="D218" i="1"/>
  <c r="G218" i="1"/>
  <c r="B934" i="1"/>
  <c r="D934" i="1"/>
  <c r="G934" i="1"/>
  <c r="B1555" i="1"/>
  <c r="D1555" i="1"/>
  <c r="G1555" i="1"/>
  <c r="B14259" i="1"/>
  <c r="D14259" i="1"/>
  <c r="G14259" i="1"/>
  <c r="B2240" i="1"/>
  <c r="D2240" i="1"/>
  <c r="G2240" i="1"/>
  <c r="B1828" i="1"/>
  <c r="D1828" i="1"/>
  <c r="G1828" i="1"/>
  <c r="B8355" i="1"/>
  <c r="D8355" i="1"/>
  <c r="G8355" i="1"/>
  <c r="B7103" i="1"/>
  <c r="D7103" i="1"/>
  <c r="G7103" i="1"/>
  <c r="B316" i="1"/>
  <c r="D316" i="1"/>
  <c r="G316" i="1"/>
  <c r="B319" i="1"/>
  <c r="D319" i="1"/>
  <c r="G319" i="1"/>
  <c r="B5688" i="1"/>
  <c r="D5688" i="1"/>
  <c r="G5688" i="1"/>
  <c r="B8266" i="1"/>
  <c r="D8266" i="1"/>
  <c r="G8266" i="1"/>
  <c r="B4511" i="1"/>
  <c r="D4511" i="1"/>
  <c r="G4511" i="1"/>
  <c r="B672" i="1"/>
  <c r="D672" i="1"/>
  <c r="G672" i="1"/>
  <c r="B4040" i="1"/>
  <c r="D4040" i="1"/>
  <c r="G4040" i="1"/>
  <c r="B5644" i="1"/>
  <c r="D5644" i="1"/>
  <c r="G5644" i="1"/>
  <c r="B8080" i="1"/>
  <c r="D8080" i="1"/>
  <c r="G8080" i="1"/>
  <c r="B7645" i="1"/>
  <c r="D7645" i="1"/>
  <c r="G7645" i="1"/>
  <c r="B7386" i="1"/>
  <c r="D7386" i="1"/>
  <c r="G7386" i="1"/>
  <c r="B5645" i="1"/>
  <c r="D5645" i="1"/>
  <c r="G5645" i="1"/>
  <c r="B8271" i="1"/>
  <c r="D8271" i="1"/>
  <c r="G8271" i="1"/>
  <c r="B1430" i="1"/>
  <c r="D1430" i="1"/>
  <c r="G1430" i="1"/>
  <c r="B426" i="1"/>
  <c r="D426" i="1"/>
  <c r="G426" i="1"/>
  <c r="B7273" i="1"/>
  <c r="D7273" i="1"/>
  <c r="G7273" i="1"/>
  <c r="B2221" i="1"/>
  <c r="D2221" i="1"/>
  <c r="G2221" i="1"/>
  <c r="B11451" i="1"/>
  <c r="D11451" i="1"/>
  <c r="G11451" i="1"/>
  <c r="B7387" i="1"/>
  <c r="D7387" i="1"/>
  <c r="G7387" i="1"/>
  <c r="B8291" i="1"/>
  <c r="D8291" i="1"/>
  <c r="G8291" i="1"/>
  <c r="B10685" i="1"/>
  <c r="D10685" i="1"/>
  <c r="G10685" i="1"/>
  <c r="B8044" i="1"/>
  <c r="D8044" i="1"/>
  <c r="G8044" i="1"/>
  <c r="B922" i="1"/>
  <c r="D922" i="1"/>
  <c r="G922" i="1"/>
  <c r="B4095" i="1"/>
  <c r="D4095" i="1"/>
  <c r="G4095" i="1"/>
  <c r="B8153" i="1"/>
  <c r="D8153" i="1"/>
  <c r="G8153" i="1"/>
  <c r="B5273" i="1"/>
  <c r="D5273" i="1"/>
  <c r="G5273" i="1"/>
  <c r="B4041" i="1"/>
  <c r="D4041" i="1"/>
  <c r="G4041" i="1"/>
  <c r="B3417" i="1"/>
  <c r="D3417" i="1"/>
  <c r="G3417" i="1"/>
  <c r="B13761" i="1"/>
  <c r="D13761" i="1"/>
  <c r="G13761" i="1"/>
  <c r="B3422" i="1"/>
  <c r="D3422" i="1"/>
  <c r="G3422" i="1"/>
  <c r="B8045" i="1"/>
  <c r="D8045" i="1"/>
  <c r="G8045" i="1"/>
  <c r="B8604" i="1"/>
  <c r="D8604" i="1"/>
  <c r="G8604" i="1"/>
  <c r="B8154" i="1"/>
  <c r="D8154" i="1"/>
  <c r="G8154" i="1"/>
  <c r="B5689" i="1"/>
  <c r="D5689" i="1"/>
  <c r="G5689" i="1"/>
  <c r="B11265" i="1"/>
  <c r="D11265" i="1"/>
  <c r="G11265" i="1"/>
  <c r="B18262" i="1"/>
  <c r="D18262" i="1"/>
  <c r="G18262" i="1"/>
  <c r="B3376" i="1"/>
  <c r="D3376" i="1"/>
  <c r="G3376" i="1"/>
  <c r="B8605" i="1"/>
  <c r="D8605" i="1"/>
  <c r="G8605" i="1"/>
  <c r="B9067" i="1"/>
  <c r="D9067" i="1"/>
  <c r="G9067" i="1"/>
  <c r="B5101" i="1"/>
  <c r="D5101" i="1"/>
  <c r="G5101" i="1"/>
  <c r="B9424" i="1"/>
  <c r="D9424" i="1"/>
  <c r="G9424" i="1"/>
  <c r="B5102" i="1"/>
  <c r="D5102" i="1"/>
  <c r="G5102" i="1"/>
  <c r="B8621" i="1"/>
  <c r="D8621" i="1"/>
  <c r="G8621" i="1"/>
  <c r="B9425" i="1"/>
  <c r="D9425" i="1"/>
  <c r="G9425" i="1"/>
  <c r="B9853" i="1"/>
  <c r="D9853" i="1"/>
  <c r="G9853" i="1"/>
  <c r="B673" i="1"/>
  <c r="D673" i="1"/>
  <c r="G673" i="1"/>
  <c r="B8606" i="1"/>
  <c r="D8606" i="1"/>
  <c r="G8606" i="1"/>
  <c r="B9187" i="1"/>
  <c r="D9187" i="1"/>
  <c r="G9187" i="1"/>
  <c r="B7388" i="1"/>
  <c r="D7388" i="1"/>
  <c r="G7388" i="1"/>
  <c r="B9176" i="1"/>
  <c r="D9176" i="1"/>
  <c r="G9176" i="1"/>
  <c r="B9426" i="1"/>
  <c r="D9426" i="1"/>
  <c r="G9426" i="1"/>
  <c r="B9109" i="1"/>
  <c r="D9109" i="1"/>
  <c r="G9109" i="1"/>
  <c r="B9427" i="1"/>
  <c r="D9427" i="1"/>
  <c r="G9427" i="1"/>
  <c r="B9854" i="1"/>
  <c r="D9854" i="1"/>
  <c r="G9854" i="1"/>
  <c r="B9188" i="1"/>
  <c r="D9188" i="1"/>
  <c r="G9188" i="1"/>
  <c r="B365" i="1"/>
  <c r="D365" i="1"/>
  <c r="G365" i="1"/>
  <c r="B1021" i="1"/>
  <c r="D1021" i="1"/>
  <c r="G1021" i="1"/>
  <c r="B8607" i="1"/>
  <c r="D8607" i="1"/>
  <c r="G8607" i="1"/>
  <c r="B9207" i="1"/>
  <c r="D9207" i="1"/>
  <c r="G9207" i="1"/>
  <c r="B9925" i="1"/>
  <c r="D9925" i="1"/>
  <c r="G9925" i="1"/>
  <c r="B9196" i="1"/>
  <c r="D9196" i="1"/>
  <c r="G9196" i="1"/>
  <c r="B9194" i="1"/>
  <c r="D9194" i="1"/>
  <c r="G9194" i="1"/>
  <c r="B6848" i="1"/>
  <c r="D6848" i="1"/>
  <c r="G6848" i="1"/>
  <c r="B6849" i="1"/>
  <c r="D6849" i="1"/>
  <c r="G6849" i="1"/>
  <c r="B8372" i="1"/>
  <c r="D8372" i="1"/>
  <c r="G8372" i="1"/>
  <c r="B6977" i="1"/>
  <c r="D6977" i="1"/>
  <c r="G6977" i="1"/>
  <c r="B20094" i="1"/>
  <c r="D20094" i="1"/>
  <c r="G20094" i="1"/>
  <c r="B9912" i="1"/>
  <c r="D9912" i="1"/>
  <c r="G9912" i="1"/>
  <c r="B8608" i="1"/>
  <c r="D8608" i="1"/>
  <c r="G8608" i="1"/>
  <c r="B11318" i="1"/>
  <c r="D11318" i="1"/>
  <c r="G11318" i="1"/>
  <c r="B173" i="1"/>
  <c r="D173" i="1"/>
  <c r="G173" i="1"/>
  <c r="B9573" i="1"/>
  <c r="D9573" i="1"/>
  <c r="G9573" i="1"/>
  <c r="B9975" i="1"/>
  <c r="D9975" i="1"/>
  <c r="G9975" i="1"/>
  <c r="B1829" i="1"/>
  <c r="D1829" i="1"/>
  <c r="G1829" i="1"/>
  <c r="B9802" i="1"/>
  <c r="D9802" i="1"/>
  <c r="G9802" i="1"/>
  <c r="B9910" i="1"/>
  <c r="D9910" i="1"/>
  <c r="G9910" i="1"/>
  <c r="B21412" i="1"/>
  <c r="D21412" i="1"/>
  <c r="G21412" i="1"/>
  <c r="B674" i="1"/>
  <c r="D674" i="1"/>
  <c r="G674" i="1"/>
  <c r="B9850" i="1"/>
  <c r="D9850" i="1"/>
  <c r="G9850" i="1"/>
  <c r="B3393" i="1"/>
  <c r="D3393" i="1"/>
  <c r="G3393" i="1"/>
  <c r="B14260" i="1"/>
  <c r="D14260" i="1"/>
  <c r="G14260" i="1"/>
  <c r="B17281" i="1"/>
  <c r="D17281" i="1"/>
  <c r="G17281" i="1"/>
  <c r="B10162" i="1"/>
  <c r="D10162" i="1"/>
  <c r="G10162" i="1"/>
  <c r="B9579" i="1"/>
  <c r="D9579" i="1"/>
  <c r="G9579" i="1"/>
  <c r="B219" i="1"/>
  <c r="D219" i="1"/>
  <c r="G219" i="1"/>
  <c r="B9574" i="1"/>
  <c r="D9574" i="1"/>
  <c r="G9574" i="1"/>
  <c r="B8292" i="1"/>
  <c r="D8292" i="1"/>
  <c r="G8292" i="1"/>
  <c r="B8081" i="1"/>
  <c r="D8081" i="1"/>
  <c r="G8081" i="1"/>
  <c r="B9841" i="1"/>
  <c r="D9841" i="1"/>
  <c r="G9841" i="1"/>
  <c r="B9068" i="1"/>
  <c r="D9068" i="1"/>
  <c r="G9068" i="1"/>
  <c r="B9869" i="1"/>
  <c r="D9869" i="1"/>
  <c r="G9869" i="1"/>
  <c r="B9839" i="1"/>
  <c r="D9839" i="1"/>
  <c r="G9839" i="1"/>
  <c r="B4042" i="1"/>
  <c r="D4042" i="1"/>
  <c r="G4042" i="1"/>
  <c r="B9195" i="1"/>
  <c r="D9195" i="1"/>
  <c r="G9195" i="1"/>
  <c r="B9197" i="1"/>
  <c r="D9197" i="1"/>
  <c r="G9197" i="1"/>
  <c r="B5646" i="1"/>
  <c r="D5646" i="1"/>
  <c r="G5646" i="1"/>
  <c r="B9283" i="1"/>
  <c r="D9283" i="1"/>
  <c r="G9283" i="1"/>
  <c r="B9284" i="1"/>
  <c r="D9284" i="1"/>
  <c r="G9284" i="1"/>
  <c r="B5690" i="1"/>
  <c r="D5690" i="1"/>
  <c r="G5690" i="1"/>
  <c r="B8267" i="1"/>
  <c r="D8267" i="1"/>
  <c r="G8267" i="1"/>
  <c r="B9352" i="1"/>
  <c r="D9352" i="1"/>
  <c r="G9352" i="1"/>
  <c r="B9285" i="1"/>
  <c r="D9285" i="1"/>
  <c r="G9285" i="1"/>
  <c r="B9871" i="1"/>
  <c r="D9871" i="1"/>
  <c r="G9871" i="1"/>
  <c r="B9977" i="1"/>
  <c r="D9977" i="1"/>
  <c r="G9977" i="1"/>
  <c r="B17965" i="1"/>
  <c r="D17965" i="1"/>
  <c r="G17965" i="1"/>
  <c r="B9866" i="1"/>
  <c r="D9866" i="1"/>
  <c r="G9866" i="1"/>
  <c r="B5647" i="1"/>
  <c r="D5647" i="1"/>
  <c r="G5647" i="1"/>
  <c r="B9428" i="1"/>
  <c r="D9428" i="1"/>
  <c r="G9428" i="1"/>
  <c r="B17966" i="1"/>
  <c r="D17966" i="1"/>
  <c r="G17966" i="1"/>
  <c r="B9429" i="1"/>
  <c r="D9429" i="1"/>
  <c r="G9429" i="1"/>
  <c r="B942" i="1"/>
  <c r="D942" i="1"/>
  <c r="G942" i="1"/>
  <c r="B2174" i="1"/>
  <c r="D2174" i="1"/>
  <c r="G2174" i="1"/>
  <c r="B9803" i="1"/>
  <c r="D9803" i="1"/>
  <c r="G9803" i="1"/>
  <c r="B1830" i="1"/>
  <c r="D1830" i="1"/>
  <c r="G1830" i="1"/>
  <c r="B1831" i="1"/>
  <c r="D1831" i="1"/>
  <c r="G1831" i="1"/>
  <c r="B9804" i="1"/>
  <c r="D9804" i="1"/>
  <c r="G9804" i="1"/>
  <c r="B9430" i="1"/>
  <c r="D9430" i="1"/>
  <c r="G9430" i="1"/>
  <c r="B9805" i="1"/>
  <c r="D9805" i="1"/>
  <c r="G9805" i="1"/>
  <c r="B17967" i="1"/>
  <c r="D17967" i="1"/>
  <c r="G17967" i="1"/>
  <c r="B4096" i="1"/>
  <c r="D4096" i="1"/>
  <c r="G4096" i="1"/>
  <c r="B9965" i="1"/>
  <c r="D9965" i="1"/>
  <c r="G9965" i="1"/>
  <c r="B10045" i="1"/>
  <c r="D10045" i="1"/>
  <c r="G10045" i="1"/>
  <c r="B9431" i="1"/>
  <c r="D9431" i="1"/>
  <c r="G9431" i="1"/>
  <c r="B21776" i="1"/>
  <c r="D21776" i="1"/>
  <c r="G21776" i="1"/>
  <c r="B11060" i="1"/>
  <c r="D11060" i="1"/>
  <c r="G11060" i="1"/>
  <c r="B9988" i="1"/>
  <c r="D9988" i="1"/>
  <c r="G9988" i="1"/>
  <c r="B2203" i="1"/>
  <c r="D2203" i="1"/>
  <c r="G2203" i="1"/>
  <c r="B898" i="1"/>
  <c r="D898" i="1"/>
  <c r="G898" i="1"/>
  <c r="B10246" i="1"/>
  <c r="D10246" i="1"/>
  <c r="G10246" i="1"/>
  <c r="B6978" i="1"/>
  <c r="D6978" i="1"/>
  <c r="G6978" i="1"/>
  <c r="B9069" i="1"/>
  <c r="D9069" i="1"/>
  <c r="G9069" i="1"/>
  <c r="B21413" i="1"/>
  <c r="D21413" i="1"/>
  <c r="G21413" i="1"/>
  <c r="B10066" i="1"/>
  <c r="D10066" i="1"/>
  <c r="G10066" i="1"/>
  <c r="B10058" i="1"/>
  <c r="D10058" i="1"/>
  <c r="G10058" i="1"/>
  <c r="B2092" i="1"/>
  <c r="D2092" i="1"/>
  <c r="G2092" i="1"/>
  <c r="B9070" i="1"/>
  <c r="D9070" i="1"/>
  <c r="G9070" i="1"/>
  <c r="B11024" i="1"/>
  <c r="D11024" i="1"/>
  <c r="G11024" i="1"/>
  <c r="B11648" i="1"/>
  <c r="D11648" i="1"/>
  <c r="G11648" i="1"/>
  <c r="B11709" i="1"/>
  <c r="D11709" i="1"/>
  <c r="G11709" i="1"/>
  <c r="B10087" i="1"/>
  <c r="D10087" i="1"/>
  <c r="G10087" i="1"/>
  <c r="B2175" i="1"/>
  <c r="D2175" i="1"/>
  <c r="G2175" i="1"/>
  <c r="B6979" i="1"/>
  <c r="D6979" i="1"/>
  <c r="G6979" i="1"/>
  <c r="B11452" i="1"/>
  <c r="D11452" i="1"/>
  <c r="G11452" i="1"/>
  <c r="B20095" i="1"/>
  <c r="D20095" i="1"/>
  <c r="G20095" i="1"/>
  <c r="B11319" i="1"/>
  <c r="D11319" i="1"/>
  <c r="G11319" i="1"/>
  <c r="B10330" i="1"/>
  <c r="D10330" i="1"/>
  <c r="G10330" i="1"/>
  <c r="B9806" i="1"/>
  <c r="D9806" i="1"/>
  <c r="G9806" i="1"/>
  <c r="B4043" i="1"/>
  <c r="D4043" i="1"/>
  <c r="G4043" i="1"/>
  <c r="B2204" i="1"/>
  <c r="D2204" i="1"/>
  <c r="G2204" i="1"/>
  <c r="B10113" i="1"/>
  <c r="D10113" i="1"/>
  <c r="G10113" i="1"/>
  <c r="B11355" i="1"/>
  <c r="D11355" i="1"/>
  <c r="G11355" i="1"/>
  <c r="B12391" i="1"/>
  <c r="D12391" i="1"/>
  <c r="G12391" i="1"/>
  <c r="B10143" i="1"/>
  <c r="D10143" i="1"/>
  <c r="G10143" i="1"/>
  <c r="B847" i="1"/>
  <c r="D847" i="1"/>
  <c r="G847" i="1"/>
  <c r="B9159" i="1"/>
  <c r="D9159" i="1"/>
  <c r="G9159" i="1"/>
  <c r="B3804" i="1"/>
  <c r="D3804" i="1"/>
  <c r="G3804" i="1"/>
  <c r="B13890" i="1"/>
  <c r="D13890" i="1"/>
  <c r="G13890" i="1"/>
  <c r="B126" i="1"/>
  <c r="D126" i="1"/>
  <c r="G126" i="1"/>
  <c r="B21777" i="1"/>
  <c r="D21777" i="1"/>
  <c r="G21777" i="1"/>
  <c r="B11833" i="1"/>
  <c r="D11833" i="1"/>
  <c r="G11833" i="1"/>
  <c r="B11834" i="1"/>
  <c r="D11834" i="1"/>
  <c r="G11834" i="1"/>
  <c r="B5648" i="1"/>
  <c r="D5648" i="1"/>
  <c r="G5648" i="1"/>
  <c r="B8373" i="1"/>
  <c r="D8373" i="1"/>
  <c r="G8373" i="1"/>
  <c r="B9142" i="1"/>
  <c r="D9142" i="1"/>
  <c r="G9142" i="1"/>
  <c r="B10390" i="1"/>
  <c r="D10390" i="1"/>
  <c r="G10390" i="1"/>
  <c r="B11061" i="1"/>
  <c r="D11061" i="1"/>
  <c r="G11061" i="1"/>
  <c r="B1431" i="1"/>
  <c r="D1431" i="1"/>
  <c r="G1431" i="1"/>
  <c r="B9840" i="1"/>
  <c r="D9840" i="1"/>
  <c r="G9840" i="1"/>
  <c r="B935" i="1"/>
  <c r="D935" i="1"/>
  <c r="G935" i="1"/>
  <c r="B21778" i="1"/>
  <c r="D21778" i="1"/>
  <c r="G21778" i="1"/>
  <c r="B11062" i="1"/>
  <c r="D11062" i="1"/>
  <c r="G11062" i="1"/>
  <c r="B11458" i="1"/>
  <c r="D11458" i="1"/>
  <c r="G11458" i="1"/>
  <c r="B427" i="1"/>
  <c r="D427" i="1"/>
  <c r="G427" i="1"/>
  <c r="B4885" i="1"/>
  <c r="D4885" i="1"/>
  <c r="G4885" i="1"/>
  <c r="B11266" i="1"/>
  <c r="D11266" i="1"/>
  <c r="G11266" i="1"/>
  <c r="B10195" i="1"/>
  <c r="D10195" i="1"/>
  <c r="G10195" i="1"/>
  <c r="B11728" i="1"/>
  <c r="D11728" i="1"/>
  <c r="G11728" i="1"/>
  <c r="B9922" i="1"/>
  <c r="D9922" i="1"/>
  <c r="G9922" i="1"/>
  <c r="B9432" i="1"/>
  <c r="D9432" i="1"/>
  <c r="G9432" i="1"/>
  <c r="B12335" i="1"/>
  <c r="D12335" i="1"/>
  <c r="G12335" i="1"/>
  <c r="B11649" i="1"/>
  <c r="D11649" i="1"/>
  <c r="G11649" i="1"/>
  <c r="B11453" i="1"/>
  <c r="D11453" i="1"/>
  <c r="G11453" i="1"/>
  <c r="B11904" i="1"/>
  <c r="D11904" i="1"/>
  <c r="G11904" i="1"/>
  <c r="B4097" i="1"/>
  <c r="D4097" i="1"/>
  <c r="G4097" i="1"/>
  <c r="B2176" i="1"/>
  <c r="D2176" i="1"/>
  <c r="G2176" i="1"/>
  <c r="B10247" i="1"/>
  <c r="D10247" i="1"/>
  <c r="G10247" i="1"/>
  <c r="B12336" i="1"/>
  <c r="D12336" i="1"/>
  <c r="G12336" i="1"/>
  <c r="B12337" i="1"/>
  <c r="D12337" i="1"/>
  <c r="G12337" i="1"/>
  <c r="B17455" i="1"/>
  <c r="D17455" i="1"/>
  <c r="G17455" i="1"/>
  <c r="B35" i="1"/>
  <c r="D35" i="1"/>
  <c r="G35" i="1"/>
  <c r="B1907" i="1"/>
  <c r="D1907" i="1"/>
  <c r="G1907" i="1"/>
  <c r="B281" i="1"/>
  <c r="D281" i="1"/>
  <c r="G281" i="1"/>
  <c r="B867" i="1"/>
  <c r="D867" i="1"/>
  <c r="G867" i="1"/>
  <c r="B34" i="1"/>
  <c r="D34" i="1"/>
  <c r="G34" i="1"/>
  <c r="B1908" i="1"/>
  <c r="D1908" i="1"/>
  <c r="G1908" i="1"/>
  <c r="B1909" i="1"/>
  <c r="D1909" i="1"/>
  <c r="G1909" i="1"/>
  <c r="B2208" i="1"/>
  <c r="D2208" i="1"/>
  <c r="G2208" i="1"/>
  <c r="B3323" i="1"/>
  <c r="D3323" i="1"/>
  <c r="G3323" i="1"/>
  <c r="B5740" i="1"/>
  <c r="D5740" i="1"/>
  <c r="G5740" i="1"/>
  <c r="B18709" i="1"/>
  <c r="D18709" i="1"/>
  <c r="G18709" i="1"/>
  <c r="B1835" i="1"/>
  <c r="D1835" i="1"/>
  <c r="G1835" i="1"/>
  <c r="B12713" i="1"/>
  <c r="D12713" i="1"/>
  <c r="G12713" i="1"/>
  <c r="B282" i="1"/>
  <c r="D282" i="1"/>
  <c r="G282" i="1"/>
  <c r="B1426" i="1"/>
  <c r="D1426" i="1"/>
  <c r="G1426" i="1"/>
  <c r="B794" i="1"/>
  <c r="D794" i="1"/>
  <c r="G794" i="1"/>
  <c r="B3003" i="1"/>
  <c r="D3003" i="1"/>
  <c r="G3003" i="1"/>
  <c r="B9166" i="1"/>
  <c r="D9166" i="1"/>
  <c r="G9166" i="1"/>
  <c r="B3199" i="1"/>
  <c r="D3199" i="1"/>
  <c r="G3199" i="1"/>
  <c r="B22367" i="1"/>
  <c r="D22367" i="1"/>
  <c r="G22367" i="1"/>
  <c r="B12714" i="1"/>
  <c r="D12714" i="1"/>
  <c r="G12714" i="1"/>
  <c r="B9433" i="1"/>
  <c r="D9433" i="1"/>
  <c r="G9433" i="1"/>
  <c r="B9434" i="1"/>
  <c r="D9434" i="1"/>
  <c r="G9434" i="1"/>
  <c r="B22368" i="1"/>
  <c r="D22368" i="1"/>
  <c r="G22368" i="1"/>
  <c r="B22369" i="1"/>
  <c r="D22369" i="1"/>
  <c r="G22369" i="1"/>
  <c r="B1832" i="1"/>
  <c r="D1832" i="1"/>
  <c r="G1832" i="1"/>
  <c r="B5899" i="1"/>
  <c r="D5899" i="1"/>
  <c r="G5899" i="1"/>
  <c r="B22370" i="1"/>
  <c r="D22370" i="1"/>
  <c r="G22370" i="1"/>
  <c r="B327" i="1"/>
  <c r="D327" i="1"/>
  <c r="G327" i="1"/>
  <c r="B22371" i="1"/>
  <c r="D22371" i="1"/>
  <c r="G22371" i="1"/>
  <c r="B22372" i="1"/>
  <c r="D22372" i="1"/>
  <c r="G22372" i="1"/>
  <c r="B4375" i="1"/>
  <c r="D4375" i="1"/>
  <c r="G4375" i="1"/>
  <c r="B4376" i="1"/>
  <c r="D4376" i="1"/>
  <c r="G4376" i="1"/>
  <c r="B21284" i="1"/>
  <c r="D21284" i="1"/>
  <c r="G21284" i="1"/>
  <c r="B4129" i="1"/>
  <c r="D4129" i="1"/>
  <c r="G4129" i="1"/>
  <c r="B9435" i="1"/>
  <c r="D9435" i="1"/>
  <c r="G9435" i="1"/>
  <c r="B17456" i="1"/>
  <c r="D17456" i="1"/>
  <c r="G17456" i="1"/>
  <c r="B5900" i="1"/>
  <c r="D5900" i="1"/>
  <c r="G5900" i="1"/>
  <c r="B22373" i="1"/>
  <c r="D22373" i="1"/>
  <c r="G22373" i="1"/>
  <c r="B22374" i="1"/>
  <c r="D22374" i="1"/>
  <c r="G22374" i="1"/>
  <c r="B948" i="1"/>
  <c r="D948" i="1"/>
  <c r="G948" i="1"/>
  <c r="B283" i="1"/>
  <c r="D283" i="1"/>
  <c r="G283" i="1"/>
  <c r="B13699" i="1"/>
  <c r="D13699" i="1"/>
  <c r="G13699" i="1"/>
  <c r="B1446" i="1"/>
  <c r="D1446" i="1"/>
  <c r="G1446" i="1"/>
  <c r="B220" i="1"/>
  <c r="D220" i="1"/>
  <c r="G220" i="1"/>
  <c r="B13698" i="1"/>
  <c r="D13698" i="1"/>
  <c r="G13698" i="1"/>
  <c r="B6534" i="1"/>
  <c r="D6534" i="1"/>
  <c r="G6534" i="1"/>
  <c r="B22375" i="1"/>
  <c r="D22375" i="1"/>
  <c r="G22375" i="1"/>
  <c r="B6535" i="1"/>
  <c r="D6535" i="1"/>
  <c r="G6535" i="1"/>
  <c r="B17457" i="1"/>
  <c r="D17457" i="1"/>
  <c r="G17457" i="1"/>
  <c r="B13731" i="1"/>
  <c r="D13731" i="1"/>
  <c r="G13731" i="1"/>
  <c r="B18336" i="1"/>
  <c r="D18336" i="1"/>
  <c r="G18336" i="1"/>
  <c r="B22598" i="1"/>
  <c r="D22598" i="1"/>
  <c r="G22598" i="1"/>
  <c r="B9436" i="1"/>
  <c r="D9436" i="1"/>
  <c r="G9436" i="1"/>
  <c r="B3122" i="1"/>
  <c r="D3122" i="1"/>
  <c r="G3122" i="1"/>
  <c r="B22376" i="1"/>
  <c r="D22376" i="1"/>
  <c r="G22376" i="1"/>
  <c r="B22377" i="1"/>
  <c r="D22377" i="1"/>
  <c r="G22377" i="1"/>
  <c r="B22378" i="1"/>
  <c r="D22378" i="1"/>
  <c r="G22378" i="1"/>
  <c r="B4890" i="1"/>
  <c r="D4890" i="1"/>
  <c r="G4890" i="1"/>
  <c r="B9437" i="1"/>
  <c r="D9437" i="1"/>
  <c r="G9437" i="1"/>
  <c r="B12715" i="1"/>
  <c r="D12715" i="1"/>
  <c r="G12715" i="1"/>
  <c r="B5901" i="1"/>
  <c r="D5901" i="1"/>
  <c r="G5901" i="1"/>
  <c r="B12716" i="1"/>
  <c r="D12716" i="1"/>
  <c r="G12716" i="1"/>
  <c r="B13649" i="1"/>
  <c r="D13649" i="1"/>
  <c r="G13649" i="1"/>
  <c r="B9438" i="1"/>
  <c r="D9438" i="1"/>
  <c r="G9438" i="1"/>
  <c r="B22379" i="1"/>
  <c r="D22379" i="1"/>
  <c r="G22379" i="1"/>
  <c r="B22380" i="1"/>
  <c r="D22380" i="1"/>
  <c r="G22380" i="1"/>
  <c r="B12717" i="1"/>
  <c r="D12717" i="1"/>
  <c r="G12717" i="1"/>
  <c r="B9439" i="1"/>
  <c r="D9439" i="1"/>
  <c r="G9439" i="1"/>
  <c r="B9440" i="1"/>
  <c r="D9440" i="1"/>
  <c r="G9440" i="1"/>
  <c r="B13764" i="1"/>
  <c r="D13764" i="1"/>
  <c r="G13764" i="1"/>
  <c r="B3260" i="1"/>
  <c r="D3260" i="1"/>
  <c r="G3260" i="1"/>
  <c r="B4383" i="1"/>
  <c r="D4383" i="1"/>
  <c r="G4383" i="1"/>
  <c r="B13969" i="1"/>
  <c r="D13969" i="1"/>
  <c r="G13969" i="1"/>
  <c r="B5902" i="1"/>
  <c r="D5902" i="1"/>
  <c r="G5902" i="1"/>
  <c r="B3123" i="1"/>
  <c r="D3123" i="1"/>
  <c r="G3123" i="1"/>
  <c r="B5903" i="1"/>
  <c r="D5903" i="1"/>
  <c r="G5903" i="1"/>
  <c r="B5904" i="1"/>
  <c r="D5904" i="1"/>
  <c r="G5904" i="1"/>
  <c r="B9441" i="1"/>
  <c r="D9441" i="1"/>
  <c r="G9441" i="1"/>
  <c r="B13194" i="1"/>
  <c r="D13194" i="1"/>
  <c r="G13194" i="1"/>
  <c r="B22560" i="1"/>
  <c r="D22560" i="1"/>
  <c r="G22560" i="1"/>
  <c r="B5803" i="1"/>
  <c r="D5803" i="1"/>
  <c r="G5803" i="1"/>
  <c r="B13711" i="1"/>
  <c r="D13711" i="1"/>
  <c r="G13711" i="1"/>
  <c r="B3058" i="1"/>
  <c r="D3058" i="1"/>
  <c r="G3058" i="1"/>
  <c r="B3064" i="1"/>
  <c r="D3064" i="1"/>
  <c r="G3064" i="1"/>
  <c r="B3261" i="1"/>
  <c r="D3261" i="1"/>
  <c r="G3261" i="1"/>
  <c r="B3262" i="1"/>
  <c r="D3262" i="1"/>
  <c r="G3262" i="1"/>
  <c r="B3263" i="1"/>
  <c r="D3263" i="1"/>
  <c r="G3263" i="1"/>
  <c r="B3264" i="1"/>
  <c r="D3264" i="1"/>
  <c r="G3264" i="1"/>
  <c r="B3265" i="1"/>
  <c r="D3265" i="1"/>
  <c r="G3265" i="1"/>
  <c r="B18263" i="1"/>
  <c r="D18263" i="1"/>
  <c r="G18263" i="1"/>
  <c r="B18264" i="1"/>
  <c r="D18264" i="1"/>
  <c r="G18264" i="1"/>
  <c r="B9143" i="1"/>
  <c r="D9143" i="1"/>
  <c r="G9143" i="1"/>
  <c r="B4371" i="1"/>
  <c r="D4371" i="1"/>
  <c r="G4371" i="1"/>
  <c r="B3266" i="1"/>
  <c r="D3266" i="1"/>
  <c r="G3266" i="1"/>
  <c r="B13539" i="1"/>
  <c r="D13539" i="1"/>
  <c r="G13539" i="1"/>
  <c r="B22561" i="1"/>
  <c r="D22561" i="1"/>
  <c r="G22561" i="1"/>
  <c r="B5804" i="1"/>
  <c r="D5804" i="1"/>
  <c r="G5804" i="1"/>
  <c r="B22255" i="1"/>
  <c r="D22255" i="1"/>
  <c r="G22255" i="1"/>
  <c r="B862" i="1"/>
  <c r="D862" i="1"/>
  <c r="G862" i="1"/>
  <c r="B3065" i="1"/>
  <c r="D3065" i="1"/>
  <c r="G3065" i="1"/>
  <c r="B3066" i="1"/>
  <c r="D3066" i="1"/>
  <c r="G3066" i="1"/>
  <c r="B3067" i="1"/>
  <c r="D3067" i="1"/>
  <c r="G3067" i="1"/>
  <c r="B3267" i="1"/>
  <c r="D3267" i="1"/>
  <c r="G3267" i="1"/>
  <c r="B3268" i="1"/>
  <c r="D3268" i="1"/>
  <c r="G3268" i="1"/>
  <c r="B3269" i="1"/>
  <c r="D3269" i="1"/>
  <c r="G3269" i="1"/>
  <c r="B914" i="1"/>
  <c r="D914" i="1"/>
  <c r="G914" i="1"/>
  <c r="B13642" i="1"/>
  <c r="D13642" i="1"/>
  <c r="G13642" i="1"/>
  <c r="B2195" i="1"/>
  <c r="D2195" i="1"/>
  <c r="G2195" i="1"/>
  <c r="B18376" i="1"/>
  <c r="D18376" i="1"/>
  <c r="G18376" i="1"/>
  <c r="B18377" i="1"/>
  <c r="D18377" i="1"/>
  <c r="G18377" i="1"/>
  <c r="B221" i="1"/>
  <c r="D221" i="1"/>
  <c r="G221" i="1"/>
  <c r="B222" i="1"/>
  <c r="D222" i="1"/>
  <c r="G222" i="1"/>
  <c r="B13964" i="1"/>
  <c r="D13964" i="1"/>
  <c r="G13964" i="1"/>
  <c r="B1470" i="1"/>
  <c r="D1470" i="1"/>
  <c r="G1470" i="1"/>
  <c r="B3124" i="1"/>
  <c r="D3124" i="1"/>
  <c r="G3124" i="1"/>
  <c r="B4064" i="1"/>
  <c r="D4064" i="1"/>
  <c r="G4064" i="1"/>
  <c r="B4059" i="1"/>
  <c r="D4059" i="1"/>
  <c r="G4059" i="1"/>
  <c r="B13669" i="1"/>
  <c r="D13669" i="1"/>
  <c r="G13669" i="1"/>
  <c r="B1910" i="1"/>
  <c r="D1910" i="1"/>
  <c r="G1910" i="1"/>
  <c r="B2217" i="1"/>
  <c r="D2217" i="1"/>
  <c r="G2217" i="1"/>
  <c r="B284" i="1"/>
  <c r="D284" i="1"/>
  <c r="G284" i="1"/>
  <c r="B3270" i="1"/>
  <c r="D3270" i="1"/>
  <c r="G3270" i="1"/>
  <c r="B3271" i="1"/>
  <c r="D3271" i="1"/>
  <c r="G3271" i="1"/>
  <c r="B13639" i="1"/>
  <c r="D13639" i="1"/>
  <c r="G13639" i="1"/>
  <c r="B4070" i="1"/>
  <c r="D4070" i="1"/>
  <c r="G4070" i="1"/>
  <c r="B3838" i="1"/>
  <c r="D3838" i="1"/>
  <c r="G3838" i="1"/>
  <c r="B3839" i="1"/>
  <c r="D3839" i="1"/>
  <c r="G3839" i="1"/>
  <c r="B4054" i="1"/>
  <c r="D4054" i="1"/>
  <c r="G4054" i="1"/>
  <c r="B3125" i="1"/>
  <c r="D3125" i="1"/>
  <c r="G3125" i="1"/>
  <c r="B3126" i="1"/>
  <c r="D3126" i="1"/>
  <c r="G3126" i="1"/>
  <c r="B13684" i="1"/>
  <c r="D13684" i="1"/>
  <c r="G13684" i="1"/>
  <c r="B4053" i="1"/>
  <c r="D4053" i="1"/>
  <c r="G4053" i="1"/>
  <c r="B3127" i="1"/>
  <c r="D3127" i="1"/>
  <c r="G3127" i="1"/>
  <c r="B3128" i="1"/>
  <c r="D3128" i="1"/>
  <c r="G3128" i="1"/>
  <c r="B4055" i="1"/>
  <c r="D4055" i="1"/>
  <c r="G4055" i="1"/>
  <c r="B3129" i="1"/>
  <c r="D3129" i="1"/>
  <c r="G3129" i="1"/>
  <c r="B3130" i="1"/>
  <c r="D3130" i="1"/>
  <c r="G3130" i="1"/>
  <c r="B3131" i="1"/>
  <c r="D3131" i="1"/>
  <c r="G3131" i="1"/>
  <c r="B3132" i="1"/>
  <c r="D3132" i="1"/>
  <c r="G3132" i="1"/>
  <c r="B3133" i="1"/>
  <c r="D3133" i="1"/>
  <c r="G3133" i="1"/>
  <c r="B3134" i="1"/>
  <c r="D3134" i="1"/>
  <c r="G3134" i="1"/>
  <c r="B13181" i="1"/>
  <c r="D13181" i="1"/>
  <c r="G13181" i="1"/>
  <c r="B1836" i="1"/>
  <c r="D1836" i="1"/>
  <c r="G1836" i="1"/>
  <c r="B3135" i="1"/>
  <c r="D3135" i="1"/>
  <c r="G3135" i="1"/>
  <c r="B3136" i="1"/>
  <c r="D3136" i="1"/>
  <c r="G3136" i="1"/>
  <c r="B3137" i="1"/>
  <c r="D3137" i="1"/>
  <c r="G3137" i="1"/>
  <c r="B4060" i="1"/>
  <c r="D4060" i="1"/>
  <c r="G4060" i="1"/>
  <c r="B3138" i="1"/>
  <c r="D3138" i="1"/>
  <c r="G3138" i="1"/>
  <c r="B3139" i="1"/>
  <c r="D3139" i="1"/>
  <c r="G3139" i="1"/>
  <c r="B3140" i="1"/>
  <c r="D3140" i="1"/>
  <c r="G3140" i="1"/>
  <c r="B3141" i="1"/>
  <c r="D3141" i="1"/>
  <c r="G3141" i="1"/>
  <c r="B4075" i="1"/>
  <c r="D4075" i="1"/>
  <c r="G4075" i="1"/>
  <c r="B4061" i="1"/>
  <c r="D4061" i="1"/>
  <c r="G4061" i="1"/>
  <c r="B9442" i="1"/>
  <c r="D9442" i="1"/>
  <c r="G9442" i="1"/>
  <c r="B3142" i="1"/>
  <c r="D3142" i="1"/>
  <c r="G3142" i="1"/>
  <c r="B2093" i="1"/>
  <c r="D2093" i="1"/>
  <c r="G2093" i="1"/>
  <c r="B9167" i="1"/>
  <c r="D9167" i="1"/>
  <c r="G9167" i="1"/>
  <c r="B4071" i="1"/>
  <c r="D4071" i="1"/>
  <c r="G4071" i="1"/>
  <c r="B4069" i="1"/>
  <c r="D4069" i="1"/>
  <c r="G4069" i="1"/>
  <c r="B3208" i="1"/>
  <c r="D3208" i="1"/>
  <c r="G3208" i="1"/>
  <c r="B3272" i="1"/>
  <c r="D3272" i="1"/>
  <c r="G3272" i="1"/>
  <c r="B3273" i="1"/>
  <c r="D3273" i="1"/>
  <c r="G3273" i="1"/>
  <c r="B3274" i="1"/>
  <c r="D3274" i="1"/>
  <c r="G3274" i="1"/>
  <c r="B3143" i="1"/>
  <c r="D3143" i="1"/>
  <c r="G3143" i="1"/>
  <c r="B3144" i="1"/>
  <c r="D3144" i="1"/>
  <c r="G3144" i="1"/>
  <c r="B4063" i="1"/>
  <c r="D4063" i="1"/>
  <c r="G4063" i="1"/>
  <c r="B1981" i="1"/>
  <c r="D1981" i="1"/>
  <c r="G1981" i="1"/>
  <c r="B1022" i="1"/>
  <c r="D1022" i="1"/>
  <c r="G1022" i="1"/>
  <c r="B9443" i="1"/>
  <c r="D9443" i="1"/>
  <c r="G9443" i="1"/>
  <c r="B223" i="1"/>
  <c r="D223" i="1"/>
  <c r="G223" i="1"/>
  <c r="B13928" i="1"/>
  <c r="D13928" i="1"/>
  <c r="G13928" i="1"/>
  <c r="B2218" i="1"/>
  <c r="D2218" i="1"/>
  <c r="G2218" i="1"/>
  <c r="B5905" i="1"/>
  <c r="D5905" i="1"/>
  <c r="G5905" i="1"/>
  <c r="B972" i="1"/>
  <c r="D972" i="1"/>
  <c r="G972" i="1"/>
  <c r="B224" i="1"/>
  <c r="D224" i="1"/>
  <c r="G224" i="1"/>
  <c r="B269" i="1"/>
  <c r="D269" i="1"/>
  <c r="G269" i="1"/>
  <c r="B971" i="1"/>
  <c r="D971" i="1"/>
  <c r="G971" i="1"/>
  <c r="B5906" i="1"/>
  <c r="D5906" i="1"/>
  <c r="G5906" i="1"/>
  <c r="B3145" i="1"/>
  <c r="D3145" i="1"/>
  <c r="G3145" i="1"/>
  <c r="B5907" i="1"/>
  <c r="D5907" i="1"/>
  <c r="G5907" i="1"/>
  <c r="B12718" i="1"/>
  <c r="D12718" i="1"/>
  <c r="G12718" i="1"/>
  <c r="B5908" i="1"/>
  <c r="D5908" i="1"/>
  <c r="G5908" i="1"/>
  <c r="B5909" i="1"/>
  <c r="D5909" i="1"/>
  <c r="G5909" i="1"/>
  <c r="B3146" i="1"/>
  <c r="D3146" i="1"/>
  <c r="G3146" i="1"/>
  <c r="B1837" i="1"/>
  <c r="D1837" i="1"/>
  <c r="G1837" i="1"/>
  <c r="B13634" i="1"/>
  <c r="D13634" i="1"/>
  <c r="G13634" i="1"/>
  <c r="B285" i="1"/>
  <c r="D285" i="1"/>
  <c r="G285" i="1"/>
  <c r="B13549" i="1"/>
  <c r="D13549" i="1"/>
  <c r="G13549" i="1"/>
  <c r="B3300" i="1"/>
  <c r="D3300" i="1"/>
  <c r="G3300" i="1"/>
  <c r="B3275" i="1"/>
  <c r="D3275" i="1"/>
  <c r="G3275" i="1"/>
  <c r="B3276" i="1"/>
  <c r="D3276" i="1"/>
  <c r="G3276" i="1"/>
  <c r="B3277" i="1"/>
  <c r="D3277" i="1"/>
  <c r="G3277" i="1"/>
  <c r="B3209" i="1"/>
  <c r="D3209" i="1"/>
  <c r="G3209" i="1"/>
  <c r="B22381" i="1"/>
  <c r="D22381" i="1"/>
  <c r="G22381" i="1"/>
  <c r="B22382" i="1"/>
  <c r="D22382" i="1"/>
  <c r="G22382" i="1"/>
  <c r="B17458" i="1"/>
  <c r="D17458" i="1"/>
  <c r="G17458" i="1"/>
  <c r="B22567" i="1"/>
  <c r="D22567" i="1"/>
  <c r="G22567" i="1"/>
  <c r="B22383" i="1"/>
  <c r="D22383" i="1"/>
  <c r="G22383" i="1"/>
  <c r="B9444" i="1"/>
  <c r="D9444" i="1"/>
  <c r="G9444" i="1"/>
  <c r="B17459" i="1"/>
  <c r="D17459" i="1"/>
  <c r="G17459" i="1"/>
  <c r="B3147" i="1"/>
  <c r="D3147" i="1"/>
  <c r="G3147" i="1"/>
  <c r="B12719" i="1"/>
  <c r="D12719" i="1"/>
  <c r="G12719" i="1"/>
  <c r="B5910" i="1"/>
  <c r="D5910" i="1"/>
  <c r="G5910" i="1"/>
  <c r="B22384" i="1"/>
  <c r="D22384" i="1"/>
  <c r="G22384" i="1"/>
  <c r="B3835" i="1"/>
  <c r="D3835" i="1"/>
  <c r="G3835" i="1"/>
  <c r="B3148" i="1"/>
  <c r="D3148" i="1"/>
  <c r="G3148" i="1"/>
  <c r="B3836" i="1"/>
  <c r="D3836" i="1"/>
  <c r="G3836" i="1"/>
  <c r="B22385" i="1"/>
  <c r="D22385" i="1"/>
  <c r="G22385" i="1"/>
  <c r="B5911" i="1"/>
  <c r="D5911" i="1"/>
  <c r="G5911" i="1"/>
  <c r="B22568" i="1"/>
  <c r="D22568" i="1"/>
  <c r="G22568" i="1"/>
  <c r="B22565" i="1"/>
  <c r="D22565" i="1"/>
  <c r="G22565" i="1"/>
  <c r="B22386" i="1"/>
  <c r="D22386" i="1"/>
  <c r="G22386" i="1"/>
  <c r="B22387" i="1"/>
  <c r="D22387" i="1"/>
  <c r="G22387" i="1"/>
  <c r="B4045" i="1"/>
  <c r="D4045" i="1"/>
  <c r="G4045" i="1"/>
  <c r="B3050" i="1"/>
  <c r="D3050" i="1"/>
  <c r="G3050" i="1"/>
  <c r="B22566" i="1"/>
  <c r="D22566" i="1"/>
  <c r="G22566" i="1"/>
  <c r="B271" i="1"/>
  <c r="D271" i="1"/>
  <c r="G271" i="1"/>
  <c r="B9445" i="1"/>
  <c r="D9445" i="1"/>
  <c r="G9445" i="1"/>
  <c r="B3837" i="1"/>
  <c r="D3837" i="1"/>
  <c r="G3837" i="1"/>
  <c r="B3051" i="1"/>
  <c r="D3051" i="1"/>
  <c r="G3051" i="1"/>
  <c r="B5912" i="1"/>
  <c r="D5912" i="1"/>
  <c r="G5912" i="1"/>
  <c r="B13550" i="1"/>
  <c r="D13550" i="1"/>
  <c r="G13550" i="1"/>
  <c r="B13551" i="1"/>
  <c r="D13551" i="1"/>
  <c r="G13551" i="1"/>
  <c r="B4509" i="1"/>
  <c r="D4509" i="1"/>
  <c r="G4509" i="1"/>
  <c r="B13543" i="1"/>
  <c r="D13543" i="1"/>
  <c r="G13543" i="1"/>
  <c r="B3210" i="1"/>
  <c r="D3210" i="1"/>
  <c r="G3210" i="1"/>
  <c r="B3278" i="1"/>
  <c r="D3278" i="1"/>
  <c r="G3278" i="1"/>
  <c r="B3279" i="1"/>
  <c r="D3279" i="1"/>
  <c r="G3279" i="1"/>
  <c r="B22563" i="1"/>
  <c r="D22563" i="1"/>
  <c r="G22563" i="1"/>
  <c r="B5913" i="1"/>
  <c r="D5913" i="1"/>
  <c r="G5913" i="1"/>
  <c r="B12720" i="1"/>
  <c r="D12720" i="1"/>
  <c r="G12720" i="1"/>
  <c r="B13542" i="1"/>
  <c r="D13542" i="1"/>
  <c r="G13542" i="1"/>
  <c r="B1911" i="1"/>
  <c r="D1911" i="1"/>
  <c r="G1911" i="1"/>
  <c r="B286" i="1"/>
  <c r="D286" i="1"/>
  <c r="G286" i="1"/>
  <c r="B22569" i="1"/>
  <c r="D22569" i="1"/>
  <c r="G22569" i="1"/>
  <c r="B18352" i="1"/>
  <c r="D18352" i="1"/>
  <c r="G18352" i="1"/>
  <c r="B22570" i="1"/>
  <c r="D22570" i="1"/>
  <c r="G22570" i="1"/>
  <c r="B22571" i="1"/>
  <c r="D22571" i="1"/>
  <c r="G22571" i="1"/>
  <c r="B22572" i="1"/>
  <c r="D22572" i="1"/>
  <c r="G22572" i="1"/>
  <c r="B18353" i="1"/>
  <c r="D18353" i="1"/>
  <c r="G18353" i="1"/>
  <c r="B22573" i="1"/>
  <c r="D22573" i="1"/>
  <c r="G22573" i="1"/>
  <c r="B10011" i="1"/>
  <c r="D10011" i="1"/>
  <c r="G10011" i="1"/>
  <c r="B22574" i="1"/>
  <c r="D22574" i="1"/>
  <c r="G22574" i="1"/>
  <c r="B1989" i="1"/>
  <c r="D1989" i="1"/>
  <c r="G1989" i="1"/>
  <c r="B10012" i="1"/>
  <c r="D10012" i="1"/>
  <c r="G10012" i="1"/>
  <c r="B10013" i="1"/>
  <c r="D10013" i="1"/>
  <c r="G10013" i="1"/>
  <c r="B18354" i="1"/>
  <c r="D18354" i="1"/>
  <c r="G18354" i="1"/>
  <c r="B10014" i="1"/>
  <c r="D10014" i="1"/>
  <c r="G10014" i="1"/>
  <c r="B6540" i="1"/>
  <c r="D6540" i="1"/>
  <c r="G6540" i="1"/>
  <c r="B22575" i="1"/>
  <c r="D22575" i="1"/>
  <c r="G22575" i="1"/>
  <c r="B1990" i="1"/>
  <c r="D1990" i="1"/>
  <c r="G1990" i="1"/>
  <c r="B22576" i="1"/>
  <c r="D22576" i="1"/>
  <c r="G22576" i="1"/>
  <c r="B18355" i="1"/>
  <c r="D18355" i="1"/>
  <c r="G18355" i="1"/>
  <c r="B1991" i="1"/>
  <c r="D1991" i="1"/>
  <c r="G1991" i="1"/>
  <c r="B18356" i="1"/>
  <c r="D18356" i="1"/>
  <c r="G18356" i="1"/>
  <c r="B1992" i="1"/>
  <c r="D1992" i="1"/>
  <c r="G1992" i="1"/>
  <c r="B10015" i="1"/>
  <c r="D10015" i="1"/>
  <c r="G10015" i="1"/>
  <c r="B10016" i="1"/>
  <c r="D10016" i="1"/>
  <c r="G10016" i="1"/>
  <c r="B10017" i="1"/>
  <c r="D10017" i="1"/>
  <c r="G10017" i="1"/>
  <c r="B22577" i="1"/>
  <c r="D22577" i="1"/>
  <c r="G22577" i="1"/>
  <c r="B22578" i="1"/>
  <c r="D22578" i="1"/>
  <c r="G22578" i="1"/>
  <c r="B18357" i="1"/>
  <c r="D18357" i="1"/>
  <c r="G18357" i="1"/>
  <c r="B10018" i="1"/>
  <c r="D10018" i="1"/>
  <c r="G10018" i="1"/>
  <c r="B22579" i="1"/>
  <c r="D22579" i="1"/>
  <c r="G22579" i="1"/>
  <c r="B22580" i="1"/>
  <c r="D22580" i="1"/>
  <c r="G22580" i="1"/>
  <c r="B1993" i="1"/>
  <c r="D1993" i="1"/>
  <c r="G1993" i="1"/>
  <c r="B18358" i="1"/>
  <c r="D18358" i="1"/>
  <c r="G18358" i="1"/>
  <c r="B22581" i="1"/>
  <c r="D22581" i="1"/>
  <c r="G22581" i="1"/>
  <c r="B18359" i="1"/>
  <c r="D18359" i="1"/>
  <c r="G18359" i="1"/>
  <c r="B1994" i="1"/>
  <c r="D1994" i="1"/>
  <c r="G1994" i="1"/>
  <c r="B10019" i="1"/>
  <c r="D10019" i="1"/>
  <c r="G10019" i="1"/>
  <c r="B22582" i="1"/>
  <c r="D22582" i="1"/>
  <c r="G22582" i="1"/>
  <c r="B10020" i="1"/>
  <c r="D10020" i="1"/>
  <c r="G10020" i="1"/>
  <c r="B22583" i="1"/>
  <c r="D22583" i="1"/>
  <c r="G22583" i="1"/>
  <c r="B9446" i="1"/>
  <c r="D9446" i="1"/>
  <c r="G9446" i="1"/>
  <c r="B22584" i="1"/>
  <c r="D22584" i="1"/>
  <c r="G22584" i="1"/>
  <c r="B1912" i="1"/>
  <c r="D1912" i="1"/>
  <c r="G1912" i="1"/>
  <c r="B17460" i="1"/>
  <c r="D17460" i="1"/>
  <c r="G17460" i="1"/>
  <c r="B12721" i="1"/>
  <c r="D12721" i="1"/>
  <c r="G12721" i="1"/>
  <c r="B1838" i="1"/>
  <c r="D1838" i="1"/>
  <c r="G1838" i="1"/>
  <c r="B18360" i="1"/>
  <c r="D18360" i="1"/>
  <c r="G18360" i="1"/>
  <c r="B12722" i="1"/>
  <c r="D12722" i="1"/>
  <c r="G12722" i="1"/>
  <c r="B17461" i="1"/>
  <c r="D17461" i="1"/>
  <c r="G17461" i="1"/>
  <c r="B22388" i="1"/>
  <c r="D22388" i="1"/>
  <c r="G22388" i="1"/>
  <c r="B3149" i="1"/>
  <c r="D3149" i="1"/>
  <c r="G3149" i="1"/>
  <c r="B22389" i="1"/>
  <c r="D22389" i="1"/>
  <c r="G22389" i="1"/>
  <c r="B18361" i="1"/>
  <c r="D18361" i="1"/>
  <c r="G18361" i="1"/>
  <c r="B18362" i="1"/>
  <c r="D18362" i="1"/>
  <c r="G18362" i="1"/>
  <c r="B9447" i="1"/>
  <c r="D9447" i="1"/>
  <c r="G9447" i="1"/>
  <c r="B22390" i="1"/>
  <c r="D22390" i="1"/>
  <c r="G22390" i="1"/>
  <c r="B12723" i="1"/>
  <c r="D12723" i="1"/>
  <c r="G12723" i="1"/>
  <c r="B3150" i="1"/>
  <c r="D3150" i="1"/>
  <c r="G3150" i="1"/>
  <c r="B9448" i="1"/>
  <c r="D9448" i="1"/>
  <c r="G9448" i="1"/>
  <c r="B9449" i="1"/>
  <c r="D9449" i="1"/>
  <c r="G9449" i="1"/>
  <c r="B13544" i="1"/>
  <c r="D13544" i="1"/>
  <c r="G13544" i="1"/>
  <c r="B18363" i="1"/>
  <c r="D18363" i="1"/>
  <c r="G18363" i="1"/>
  <c r="B13653" i="1"/>
  <c r="D13653" i="1"/>
  <c r="G13653" i="1"/>
  <c r="B12997" i="1"/>
  <c r="D12997" i="1"/>
  <c r="G12997" i="1"/>
  <c r="B1011" i="1"/>
  <c r="D1011" i="1"/>
  <c r="G1011" i="1"/>
  <c r="B941" i="1"/>
  <c r="D941" i="1"/>
  <c r="G941" i="1"/>
  <c r="B5914" i="1"/>
  <c r="D5914" i="1"/>
  <c r="G5914" i="1"/>
  <c r="B12724" i="1"/>
  <c r="D12724" i="1"/>
  <c r="G12724" i="1"/>
  <c r="B289" i="1"/>
  <c r="D289" i="1"/>
  <c r="G289" i="1"/>
  <c r="B5915" i="1"/>
  <c r="D5915" i="1"/>
  <c r="G5915" i="1"/>
  <c r="B22585" i="1"/>
  <c r="D22585" i="1"/>
  <c r="G22585" i="1"/>
  <c r="B17462" i="1"/>
  <c r="D17462" i="1"/>
  <c r="G17462" i="1"/>
  <c r="B22391" i="1"/>
  <c r="D22391" i="1"/>
  <c r="G22391" i="1"/>
  <c r="B18364" i="1"/>
  <c r="D18364" i="1"/>
  <c r="G18364" i="1"/>
  <c r="B275" i="1"/>
  <c r="D275" i="1"/>
  <c r="G275" i="1"/>
  <c r="B3299" i="1"/>
  <c r="D3299" i="1"/>
  <c r="G3299" i="1"/>
  <c r="B13552" i="1"/>
  <c r="D13552" i="1"/>
  <c r="G13552" i="1"/>
  <c r="B1433" i="1"/>
  <c r="D1433" i="1"/>
  <c r="G1433" i="1"/>
  <c r="B3151" i="1"/>
  <c r="D3151" i="1"/>
  <c r="G3151" i="1"/>
  <c r="B22392" i="1"/>
  <c r="D22392" i="1"/>
  <c r="G22392" i="1"/>
  <c r="B22551" i="1"/>
  <c r="D22551" i="1"/>
  <c r="G22551" i="1"/>
  <c r="B12725" i="1"/>
  <c r="D12725" i="1"/>
  <c r="G12725" i="1"/>
  <c r="B3211" i="1"/>
  <c r="D3211" i="1"/>
  <c r="G3211" i="1"/>
  <c r="B10021" i="1"/>
  <c r="D10021" i="1"/>
  <c r="G10021" i="1"/>
  <c r="B22564" i="1"/>
  <c r="D22564" i="1"/>
  <c r="G22564" i="1"/>
  <c r="B22586" i="1"/>
  <c r="D22586" i="1"/>
  <c r="G22586" i="1"/>
  <c r="B13600" i="1"/>
  <c r="D13600" i="1"/>
  <c r="G13600" i="1"/>
  <c r="B6889" i="1"/>
  <c r="D6889" i="1"/>
  <c r="G6889" i="1"/>
  <c r="B3152" i="1"/>
  <c r="D3152" i="1"/>
  <c r="G3152" i="1"/>
  <c r="B3212" i="1"/>
  <c r="D3212" i="1"/>
  <c r="G3212" i="1"/>
  <c r="B2189" i="1"/>
  <c r="D2189" i="1"/>
  <c r="G2189" i="1"/>
  <c r="B440" i="1"/>
  <c r="D440" i="1"/>
  <c r="G440" i="1"/>
  <c r="B965" i="1"/>
  <c r="D965" i="1"/>
  <c r="G965" i="1"/>
  <c r="B966" i="1"/>
  <c r="D966" i="1"/>
  <c r="G966" i="1"/>
  <c r="B2005" i="1"/>
  <c r="D2005" i="1"/>
  <c r="G2005" i="1"/>
  <c r="B2542" i="1"/>
  <c r="D2542" i="1"/>
  <c r="G2542" i="1"/>
  <c r="B3002" i="1"/>
  <c r="D3002" i="1"/>
  <c r="G3002" i="1"/>
  <c r="B1913" i="1"/>
  <c r="D1913" i="1"/>
  <c r="G1913" i="1"/>
  <c r="B2537" i="1"/>
  <c r="D2537" i="1"/>
  <c r="G2537" i="1"/>
  <c r="B9450" i="1"/>
  <c r="D9450" i="1"/>
  <c r="G9450" i="1"/>
  <c r="B13645" i="1"/>
  <c r="D13645" i="1"/>
  <c r="G13645" i="1"/>
  <c r="B14037" i="1"/>
  <c r="D14037" i="1"/>
  <c r="G14037" i="1"/>
  <c r="B8613" i="1"/>
  <c r="D8613" i="1"/>
  <c r="G8613" i="1"/>
  <c r="B899" i="1"/>
  <c r="D899" i="1"/>
  <c r="G899" i="1"/>
  <c r="B17463" i="1"/>
  <c r="D17463" i="1"/>
  <c r="G17463" i="1"/>
  <c r="B12726" i="1"/>
  <c r="D12726" i="1"/>
  <c r="G12726" i="1"/>
  <c r="B3153" i="1"/>
  <c r="D3153" i="1"/>
  <c r="G3153" i="1"/>
  <c r="B13646" i="1"/>
  <c r="D13646" i="1"/>
  <c r="G13646" i="1"/>
  <c r="B13647" i="1"/>
  <c r="D13647" i="1"/>
  <c r="G13647" i="1"/>
  <c r="B900" i="1"/>
  <c r="D900" i="1"/>
  <c r="G900" i="1"/>
  <c r="B22393" i="1"/>
  <c r="D22393" i="1"/>
  <c r="G22393" i="1"/>
  <c r="B9451" i="1"/>
  <c r="D9451" i="1"/>
  <c r="G9451" i="1"/>
  <c r="B1839" i="1"/>
  <c r="D1839" i="1"/>
  <c r="G1839" i="1"/>
  <c r="B3154" i="1"/>
  <c r="D3154" i="1"/>
  <c r="G3154" i="1"/>
  <c r="B13186" i="1"/>
  <c r="D13186" i="1"/>
  <c r="G13186" i="1"/>
  <c r="B4176" i="1"/>
  <c r="D4176" i="1"/>
  <c r="G4176" i="1"/>
  <c r="B17464" i="1"/>
  <c r="D17464" i="1"/>
  <c r="G17464" i="1"/>
  <c r="B17465" i="1"/>
  <c r="D17465" i="1"/>
  <c r="G17465" i="1"/>
  <c r="B5289" i="1"/>
  <c r="D5289" i="1"/>
  <c r="G5289" i="1"/>
  <c r="B12727" i="1"/>
  <c r="D12727" i="1"/>
  <c r="G12727" i="1"/>
  <c r="B12728" i="1"/>
  <c r="D12728" i="1"/>
  <c r="G12728" i="1"/>
  <c r="B11841" i="1"/>
  <c r="D11841" i="1"/>
  <c r="G11841" i="1"/>
  <c r="B4503" i="1"/>
  <c r="D4503" i="1"/>
  <c r="G4503" i="1"/>
  <c r="B12729" i="1"/>
  <c r="D12729" i="1"/>
  <c r="G12729" i="1"/>
  <c r="B5649" i="1"/>
  <c r="D5649" i="1"/>
  <c r="G5649" i="1"/>
  <c r="B14161" i="1"/>
  <c r="D14161" i="1"/>
  <c r="G14161" i="1"/>
  <c r="B893" i="1"/>
  <c r="D893" i="1"/>
  <c r="G893" i="1"/>
  <c r="B5290" i="1"/>
  <c r="D5290" i="1"/>
  <c r="G5290" i="1"/>
  <c r="B17466" i="1"/>
  <c r="D17466" i="1"/>
  <c r="G17466" i="1"/>
  <c r="B2538" i="1"/>
  <c r="D2538" i="1"/>
  <c r="G2538" i="1"/>
  <c r="B9452" i="1"/>
  <c r="D9452" i="1"/>
  <c r="G9452" i="1"/>
  <c r="B10076" i="1"/>
  <c r="D10076" i="1"/>
  <c r="G10076" i="1"/>
  <c r="B14158" i="1"/>
  <c r="D14158" i="1"/>
  <c r="G14158" i="1"/>
  <c r="B5916" i="1"/>
  <c r="D5916" i="1"/>
  <c r="G5916" i="1"/>
  <c r="B9453" i="1"/>
  <c r="D9453" i="1"/>
  <c r="G9453" i="1"/>
  <c r="B1840" i="1"/>
  <c r="D1840" i="1"/>
  <c r="G1840" i="1"/>
  <c r="B9454" i="1"/>
  <c r="D9454" i="1"/>
  <c r="G9454" i="1"/>
  <c r="B3155" i="1"/>
  <c r="D3155" i="1"/>
  <c r="G3155" i="1"/>
  <c r="B9455" i="1"/>
  <c r="D9455" i="1"/>
  <c r="G9455" i="1"/>
  <c r="B17467" i="1"/>
  <c r="D17467" i="1"/>
  <c r="G17467" i="1"/>
  <c r="B6984" i="1"/>
  <c r="D6984" i="1"/>
  <c r="G6984" i="1"/>
  <c r="B9456" i="1"/>
  <c r="D9456" i="1"/>
  <c r="G9456" i="1"/>
  <c r="B1841" i="1"/>
  <c r="D1841" i="1"/>
  <c r="G1841" i="1"/>
  <c r="B225" i="1"/>
  <c r="D225" i="1"/>
  <c r="G225" i="1"/>
  <c r="B9457" i="1"/>
  <c r="D9457" i="1"/>
  <c r="G9457" i="1"/>
  <c r="B3156" i="1"/>
  <c r="D3156" i="1"/>
  <c r="G3156" i="1"/>
  <c r="B17468" i="1"/>
  <c r="D17468" i="1"/>
  <c r="G17468" i="1"/>
  <c r="B3157" i="1"/>
  <c r="D3157" i="1"/>
  <c r="G3157" i="1"/>
  <c r="B12730" i="1"/>
  <c r="D12730" i="1"/>
  <c r="G12730" i="1"/>
  <c r="B17469" i="1"/>
  <c r="D17469" i="1"/>
  <c r="G17469" i="1"/>
  <c r="B9458" i="1"/>
  <c r="D9458" i="1"/>
  <c r="G9458" i="1"/>
  <c r="B3158" i="1"/>
  <c r="D3158" i="1"/>
  <c r="G3158" i="1"/>
  <c r="B1842" i="1"/>
  <c r="D1842" i="1"/>
  <c r="G1842" i="1"/>
  <c r="B2512" i="1"/>
  <c r="D2512" i="1"/>
  <c r="G2512" i="1"/>
  <c r="B9459" i="1"/>
  <c r="D9459" i="1"/>
  <c r="G9459" i="1"/>
  <c r="B5917" i="1"/>
  <c r="D5917" i="1"/>
  <c r="G5917" i="1"/>
  <c r="B17470" i="1"/>
  <c r="D17470" i="1"/>
  <c r="G17470" i="1"/>
  <c r="B2003" i="1"/>
  <c r="D2003" i="1"/>
  <c r="G2003" i="1"/>
  <c r="B1843" i="1"/>
  <c r="D1843" i="1"/>
  <c r="G1843" i="1"/>
  <c r="B9460" i="1"/>
  <c r="D9460" i="1"/>
  <c r="G9460" i="1"/>
  <c r="B5918" i="1"/>
  <c r="D5918" i="1"/>
  <c r="G5918" i="1"/>
  <c r="B3159" i="1"/>
  <c r="D3159" i="1"/>
  <c r="G3159" i="1"/>
  <c r="B13201" i="1"/>
  <c r="D13201" i="1"/>
  <c r="G13201" i="1"/>
  <c r="B19794" i="1"/>
  <c r="D19794" i="1"/>
  <c r="G19794" i="1"/>
  <c r="B12953" i="1"/>
  <c r="D12953" i="1"/>
  <c r="G12953" i="1"/>
  <c r="B10686" i="1"/>
  <c r="D10686" i="1"/>
  <c r="G10686" i="1"/>
  <c r="B12338" i="1"/>
  <c r="D12338" i="1"/>
  <c r="G12338" i="1"/>
  <c r="B11267" i="1"/>
  <c r="D11267" i="1"/>
  <c r="G11267" i="1"/>
  <c r="B13530" i="1"/>
  <c r="D13530" i="1"/>
  <c r="G13530" i="1"/>
  <c r="B5120" i="1"/>
  <c r="D5120" i="1"/>
  <c r="G5120" i="1"/>
  <c r="B5919" i="1"/>
  <c r="D5919" i="1"/>
  <c r="G5919" i="1"/>
  <c r="B761" i="1"/>
  <c r="D761" i="1"/>
  <c r="G761" i="1"/>
  <c r="B6907" i="1"/>
  <c r="D6907" i="1"/>
  <c r="G6907" i="1"/>
  <c r="B5121" i="1"/>
  <c r="D5121" i="1"/>
  <c r="G5121" i="1"/>
  <c r="B4271" i="1"/>
  <c r="D4271" i="1"/>
  <c r="G4271" i="1"/>
  <c r="B5920" i="1"/>
  <c r="D5920" i="1"/>
  <c r="G5920" i="1"/>
  <c r="B3160" i="1"/>
  <c r="D3160" i="1"/>
  <c r="G3160" i="1"/>
  <c r="B5921" i="1"/>
  <c r="D5921" i="1"/>
  <c r="G5921" i="1"/>
  <c r="B2522" i="1"/>
  <c r="D2522" i="1"/>
  <c r="G2522" i="1"/>
  <c r="B3292" i="1"/>
  <c r="D3292" i="1"/>
  <c r="G3292" i="1"/>
  <c r="B3161" i="1"/>
  <c r="D3161" i="1"/>
  <c r="G3161" i="1"/>
  <c r="B13736" i="1"/>
  <c r="D13736" i="1"/>
  <c r="G13736" i="1"/>
  <c r="B13747" i="1"/>
  <c r="D13747" i="1"/>
  <c r="G13747" i="1"/>
  <c r="B4082" i="1"/>
  <c r="D4082" i="1"/>
  <c r="G4082" i="1"/>
  <c r="B3280" i="1"/>
  <c r="D3280" i="1"/>
  <c r="G3280" i="1"/>
  <c r="B4083" i="1"/>
  <c r="D4083" i="1"/>
  <c r="G4083" i="1"/>
  <c r="B13971" i="1"/>
  <c r="D13971" i="1"/>
  <c r="G13971" i="1"/>
  <c r="B13511" i="1"/>
  <c r="D13511" i="1"/>
  <c r="G13511" i="1"/>
  <c r="B23" i="1"/>
  <c r="D23" i="1"/>
  <c r="G23" i="1"/>
  <c r="B3162" i="1"/>
  <c r="D3162" i="1"/>
  <c r="G3162" i="1"/>
  <c r="B22256" i="1"/>
  <c r="D22256" i="1"/>
  <c r="G22256" i="1"/>
  <c r="B1471" i="1"/>
  <c r="D1471" i="1"/>
  <c r="G1471" i="1"/>
  <c r="B3163" i="1"/>
  <c r="D3163" i="1"/>
  <c r="G3163" i="1"/>
  <c r="B4084" i="1"/>
  <c r="D4084" i="1"/>
  <c r="G4084" i="1"/>
  <c r="B3281" i="1"/>
  <c r="D3281" i="1"/>
  <c r="G3281" i="1"/>
  <c r="B3282" i="1"/>
  <c r="D3282" i="1"/>
  <c r="G3282" i="1"/>
  <c r="B3164" i="1"/>
  <c r="D3164" i="1"/>
  <c r="G3164" i="1"/>
  <c r="B17968" i="1"/>
  <c r="D17968" i="1"/>
  <c r="G17968" i="1"/>
  <c r="B13963" i="1"/>
  <c r="D13963" i="1"/>
  <c r="G13963" i="1"/>
  <c r="B41" i="1"/>
  <c r="D41" i="1"/>
  <c r="G41" i="1"/>
  <c r="B2222" i="1"/>
  <c r="D2222" i="1"/>
  <c r="G2222" i="1"/>
  <c r="B1484" i="1"/>
  <c r="D1484" i="1"/>
  <c r="G1484" i="1"/>
  <c r="B2225" i="1"/>
  <c r="D2225" i="1"/>
  <c r="G2225" i="1"/>
  <c r="B1517" i="1"/>
  <c r="D1517" i="1"/>
  <c r="G1517" i="1"/>
  <c r="B2516" i="1"/>
  <c r="D2516" i="1"/>
  <c r="G2516" i="1"/>
  <c r="B9168" i="1"/>
  <c r="D9168" i="1"/>
  <c r="G9168" i="1"/>
  <c r="B6908" i="1"/>
  <c r="D6908" i="1"/>
  <c r="G6908" i="1"/>
  <c r="B3217" i="1"/>
  <c r="D3217" i="1"/>
  <c r="G3217" i="1"/>
  <c r="B3382" i="1"/>
  <c r="D3382" i="1"/>
  <c r="G3382" i="1"/>
  <c r="B3213" i="1"/>
  <c r="D3213" i="1"/>
  <c r="G3213" i="1"/>
  <c r="B1488" i="1"/>
  <c r="D1488" i="1"/>
  <c r="G1488" i="1"/>
  <c r="B3321" i="1"/>
  <c r="D3321" i="1"/>
  <c r="G3321" i="1"/>
  <c r="B4090" i="1"/>
  <c r="D4090" i="1"/>
  <c r="G4090" i="1"/>
  <c r="B1489" i="1"/>
  <c r="D1489" i="1"/>
  <c r="G1489" i="1"/>
  <c r="B4085" i="1"/>
  <c r="D4085" i="1"/>
  <c r="G4085" i="1"/>
  <c r="B2061" i="1"/>
  <c r="D2061" i="1"/>
  <c r="G2061" i="1"/>
  <c r="B3165" i="1"/>
  <c r="D3165" i="1"/>
  <c r="G3165" i="1"/>
  <c r="B4086" i="1"/>
  <c r="D4086" i="1"/>
  <c r="G4086" i="1"/>
  <c r="B2094" i="1"/>
  <c r="D2094" i="1"/>
  <c r="G2094" i="1"/>
  <c r="B4089" i="1"/>
  <c r="D4089" i="1"/>
  <c r="G4089" i="1"/>
  <c r="B3396" i="1"/>
  <c r="D3396" i="1"/>
  <c r="G3396" i="1"/>
  <c r="B2487" i="1"/>
  <c r="D2487" i="1"/>
  <c r="G2487" i="1"/>
  <c r="B2489" i="1"/>
  <c r="D2489" i="1"/>
  <c r="G2489" i="1"/>
  <c r="B9461" i="1"/>
  <c r="D9461" i="1"/>
  <c r="G9461" i="1"/>
  <c r="B1847" i="1"/>
  <c r="D1847" i="1"/>
  <c r="G1847" i="1"/>
  <c r="B2539" i="1"/>
  <c r="D2539" i="1"/>
  <c r="G2539" i="1"/>
  <c r="B442" i="1"/>
  <c r="D442" i="1"/>
  <c r="G442" i="1"/>
  <c r="B461" i="1"/>
  <c r="D461" i="1"/>
  <c r="G461" i="1"/>
  <c r="B890" i="1"/>
  <c r="D890" i="1"/>
  <c r="G890" i="1"/>
  <c r="B9169" i="1"/>
  <c r="D9169" i="1"/>
  <c r="G9169" i="1"/>
  <c r="B14177" i="1"/>
  <c r="D14177" i="1"/>
  <c r="G14177" i="1"/>
  <c r="B2513" i="1"/>
  <c r="D2513" i="1"/>
  <c r="G2513" i="1"/>
  <c r="B762" i="1"/>
  <c r="D762" i="1"/>
  <c r="G762" i="1"/>
  <c r="B6909" i="1"/>
  <c r="D6909" i="1"/>
  <c r="G6909" i="1"/>
  <c r="B328" i="1"/>
  <c r="D328" i="1"/>
  <c r="G328" i="1"/>
  <c r="B22595" i="1"/>
  <c r="D22595" i="1"/>
  <c r="G22595" i="1"/>
  <c r="B4369" i="1"/>
  <c r="D4369" i="1"/>
  <c r="G4369" i="1"/>
  <c r="B329" i="1"/>
  <c r="D329" i="1"/>
  <c r="G329" i="1"/>
  <c r="B13377" i="1"/>
  <c r="D13377" i="1"/>
  <c r="G13377" i="1"/>
  <c r="B5650" i="1"/>
  <c r="D5650" i="1"/>
  <c r="G5650" i="1"/>
  <c r="B3830" i="1"/>
  <c r="D3830" i="1"/>
  <c r="G3830" i="1"/>
  <c r="B4902" i="1"/>
  <c r="D4902" i="1"/>
  <c r="G4902" i="1"/>
  <c r="B331" i="1"/>
  <c r="D331" i="1"/>
  <c r="G331" i="1"/>
  <c r="B346" i="1"/>
  <c r="D346" i="1"/>
  <c r="G346" i="1"/>
  <c r="B330" i="1"/>
  <c r="D330" i="1"/>
  <c r="G330" i="1"/>
  <c r="B22596" i="1"/>
  <c r="D22596" i="1"/>
  <c r="G22596" i="1"/>
  <c r="B13537" i="1"/>
  <c r="D13537" i="1"/>
  <c r="G13537" i="1"/>
  <c r="B2223" i="1"/>
  <c r="D2223" i="1"/>
  <c r="G2223" i="1"/>
  <c r="B2071" i="1"/>
  <c r="D2071" i="1"/>
  <c r="G2071" i="1"/>
  <c r="B2095" i="1"/>
  <c r="D2095" i="1"/>
  <c r="G2095" i="1"/>
  <c r="B22394" i="1"/>
  <c r="D22394" i="1"/>
  <c r="G22394" i="1"/>
  <c r="B17471" i="1"/>
  <c r="D17471" i="1"/>
  <c r="G17471" i="1"/>
  <c r="B884" i="1"/>
  <c r="D884" i="1"/>
  <c r="G884" i="1"/>
  <c r="B5922" i="1"/>
  <c r="D5922" i="1"/>
  <c r="G5922" i="1"/>
  <c r="B5923" i="1"/>
  <c r="D5923" i="1"/>
  <c r="G5923" i="1"/>
  <c r="B5924" i="1"/>
  <c r="D5924" i="1"/>
  <c r="G5924" i="1"/>
  <c r="B19939" i="1"/>
  <c r="D19939" i="1"/>
  <c r="G19939" i="1"/>
  <c r="B22395" i="1"/>
  <c r="D22395" i="1"/>
  <c r="G22395" i="1"/>
  <c r="B3166" i="1"/>
  <c r="D3166" i="1"/>
  <c r="G3166" i="1"/>
  <c r="B2514" i="1"/>
  <c r="D2514" i="1"/>
  <c r="G2514" i="1"/>
  <c r="B5925" i="1"/>
  <c r="D5925" i="1"/>
  <c r="G5925" i="1"/>
  <c r="B3167" i="1"/>
  <c r="D3167" i="1"/>
  <c r="G3167" i="1"/>
  <c r="B1924" i="1"/>
  <c r="D1924" i="1"/>
  <c r="G1924" i="1"/>
  <c r="B9462" i="1"/>
  <c r="D9462" i="1"/>
  <c r="G9462" i="1"/>
  <c r="B5926" i="1"/>
  <c r="D5926" i="1"/>
  <c r="G5926" i="1"/>
  <c r="B9463" i="1"/>
  <c r="D9463" i="1"/>
  <c r="G9463" i="1"/>
  <c r="B5927" i="1"/>
  <c r="D5927" i="1"/>
  <c r="G5927" i="1"/>
  <c r="B22396" i="1"/>
  <c r="D22396" i="1"/>
  <c r="G22396" i="1"/>
  <c r="B3168" i="1"/>
  <c r="D3168" i="1"/>
  <c r="G3168" i="1"/>
  <c r="B3169" i="1"/>
  <c r="D3169" i="1"/>
  <c r="G3169" i="1"/>
  <c r="B3170" i="1"/>
  <c r="D3170" i="1"/>
  <c r="G3170" i="1"/>
  <c r="B5928" i="1"/>
  <c r="D5928" i="1"/>
  <c r="G5928" i="1"/>
  <c r="B3171" i="1"/>
  <c r="D3171" i="1"/>
  <c r="G3171" i="1"/>
  <c r="B3172" i="1"/>
  <c r="D3172" i="1"/>
  <c r="G3172" i="1"/>
  <c r="B22397" i="1"/>
  <c r="D22397" i="1"/>
  <c r="G22397" i="1"/>
  <c r="B3173" i="1"/>
  <c r="D3173" i="1"/>
  <c r="G3173" i="1"/>
  <c r="B687" i="1"/>
  <c r="D687" i="1"/>
  <c r="G687" i="1"/>
  <c r="B6910" i="1"/>
  <c r="D6910" i="1"/>
  <c r="G6910" i="1"/>
  <c r="B5929" i="1"/>
  <c r="D5929" i="1"/>
  <c r="G5929" i="1"/>
  <c r="B9464" i="1"/>
  <c r="D9464" i="1"/>
  <c r="G9464" i="1"/>
  <c r="B5930" i="1"/>
  <c r="D5930" i="1"/>
  <c r="G5930" i="1"/>
  <c r="B3174" i="1"/>
  <c r="D3174" i="1"/>
  <c r="G3174" i="1"/>
  <c r="B3283" i="1"/>
  <c r="D3283" i="1"/>
  <c r="G3283" i="1"/>
  <c r="B13770" i="1"/>
  <c r="D13770" i="1"/>
  <c r="G13770" i="1"/>
  <c r="B938" i="1"/>
  <c r="D938" i="1"/>
  <c r="G938" i="1"/>
  <c r="B5931" i="1"/>
  <c r="D5931" i="1"/>
  <c r="G5931" i="1"/>
  <c r="B9465" i="1"/>
  <c r="D9465" i="1"/>
  <c r="G9465" i="1"/>
  <c r="B17347" i="1"/>
  <c r="D17347" i="1"/>
  <c r="G17347" i="1"/>
  <c r="B9466" i="1"/>
  <c r="D9466" i="1"/>
  <c r="G9466" i="1"/>
  <c r="B9973" i="1"/>
  <c r="D9973" i="1"/>
  <c r="G9973" i="1"/>
  <c r="B9974" i="1"/>
  <c r="D9974" i="1"/>
  <c r="G9974" i="1"/>
  <c r="B9467" i="1"/>
  <c r="D9467" i="1"/>
  <c r="G9467" i="1"/>
  <c r="B3175" i="1"/>
  <c r="D3175" i="1"/>
  <c r="G3175" i="1"/>
  <c r="B12731" i="1"/>
  <c r="D12731" i="1"/>
  <c r="G12731" i="1"/>
  <c r="B5932" i="1"/>
  <c r="D5932" i="1"/>
  <c r="G5932" i="1"/>
  <c r="B22398" i="1"/>
  <c r="D22398" i="1"/>
  <c r="G22398" i="1"/>
  <c r="B9468" i="1"/>
  <c r="D9468" i="1"/>
  <c r="G9468" i="1"/>
  <c r="B6533" i="1"/>
  <c r="D6533" i="1"/>
  <c r="G6533" i="1"/>
  <c r="B12412" i="1"/>
  <c r="D12412" i="1"/>
  <c r="G12412" i="1"/>
  <c r="B1925" i="1"/>
  <c r="D1925" i="1"/>
  <c r="G1925" i="1"/>
  <c r="B9469" i="1"/>
  <c r="D9469" i="1"/>
  <c r="G9469" i="1"/>
  <c r="B5933" i="1"/>
  <c r="D5933" i="1"/>
  <c r="G5933" i="1"/>
  <c r="B9470" i="1"/>
  <c r="D9470" i="1"/>
  <c r="G9470" i="1"/>
  <c r="B19801" i="1"/>
  <c r="D19801" i="1"/>
  <c r="G19801" i="1"/>
  <c r="B3176" i="1"/>
  <c r="D3176" i="1"/>
  <c r="G3176" i="1"/>
  <c r="B3177" i="1"/>
  <c r="D3177" i="1"/>
  <c r="G3177" i="1"/>
  <c r="B5934" i="1"/>
  <c r="D5934" i="1"/>
  <c r="G5934" i="1"/>
  <c r="B5935" i="1"/>
  <c r="D5935" i="1"/>
  <c r="G5935" i="1"/>
  <c r="B3178" i="1"/>
  <c r="D3178" i="1"/>
  <c r="G3178" i="1"/>
  <c r="B12732" i="1"/>
  <c r="D12732" i="1"/>
  <c r="G12732" i="1"/>
  <c r="B12733" i="1"/>
  <c r="D12733" i="1"/>
  <c r="G12733" i="1"/>
  <c r="B3179" i="1"/>
  <c r="D3179" i="1"/>
  <c r="G3179" i="1"/>
  <c r="B3180" i="1"/>
  <c r="D3180" i="1"/>
  <c r="G3180" i="1"/>
  <c r="B5936" i="1"/>
  <c r="D5936" i="1"/>
  <c r="G5936" i="1"/>
  <c r="B1926" i="1"/>
  <c r="D1926" i="1"/>
  <c r="G1926" i="1"/>
  <c r="B3181" i="1"/>
  <c r="D3181" i="1"/>
  <c r="G3181" i="1"/>
  <c r="B3182" i="1"/>
  <c r="D3182" i="1"/>
  <c r="G3182" i="1"/>
  <c r="B9471" i="1"/>
  <c r="D9471" i="1"/>
  <c r="G9471" i="1"/>
  <c r="B9472" i="1"/>
  <c r="D9472" i="1"/>
  <c r="G9472" i="1"/>
  <c r="B3183" i="1"/>
  <c r="D3183" i="1"/>
  <c r="G3183" i="1"/>
  <c r="B3184" i="1"/>
  <c r="D3184" i="1"/>
  <c r="G3184" i="1"/>
  <c r="B5937" i="1"/>
  <c r="D5937" i="1"/>
  <c r="G5937" i="1"/>
  <c r="B12734" i="1"/>
  <c r="D12734" i="1"/>
  <c r="G12734" i="1"/>
  <c r="B5938" i="1"/>
  <c r="D5938" i="1"/>
  <c r="G5938" i="1"/>
  <c r="B3185" i="1"/>
  <c r="D3185" i="1"/>
  <c r="G3185" i="1"/>
  <c r="B1927" i="1"/>
  <c r="D1927" i="1"/>
  <c r="G1927" i="1"/>
  <c r="B3186" i="1"/>
  <c r="D3186" i="1"/>
  <c r="G3186" i="1"/>
  <c r="B1928" i="1"/>
  <c r="D1928" i="1"/>
  <c r="G1928" i="1"/>
  <c r="B17472" i="1"/>
  <c r="D17472" i="1"/>
  <c r="G17472" i="1"/>
  <c r="B9473" i="1"/>
  <c r="D9473" i="1"/>
  <c r="G9473" i="1"/>
  <c r="B3187" i="1"/>
  <c r="D3187" i="1"/>
  <c r="G3187" i="1"/>
  <c r="B3188" i="1"/>
  <c r="D3188" i="1"/>
  <c r="G3188" i="1"/>
  <c r="B1929" i="1"/>
  <c r="D1929" i="1"/>
  <c r="G1929" i="1"/>
  <c r="B9474" i="1"/>
  <c r="D9474" i="1"/>
  <c r="G9474" i="1"/>
  <c r="B5939" i="1"/>
  <c r="D5939" i="1"/>
  <c r="G5939" i="1"/>
  <c r="B9475" i="1"/>
  <c r="D9475" i="1"/>
  <c r="G9475" i="1"/>
  <c r="B12735" i="1"/>
  <c r="D12735" i="1"/>
  <c r="G12735" i="1"/>
  <c r="B1930" i="1"/>
  <c r="D1930" i="1"/>
  <c r="G1930" i="1"/>
  <c r="B5940" i="1"/>
  <c r="D5940" i="1"/>
  <c r="G5940" i="1"/>
  <c r="B12736" i="1"/>
  <c r="D12736" i="1"/>
  <c r="G12736" i="1"/>
  <c r="B1931" i="1"/>
  <c r="D1931" i="1"/>
  <c r="G1931" i="1"/>
  <c r="B22399" i="1"/>
  <c r="D22399" i="1"/>
  <c r="G22399" i="1"/>
  <c r="B22400" i="1"/>
  <c r="D22400" i="1"/>
  <c r="G22400" i="1"/>
  <c r="B22401" i="1"/>
  <c r="D22401" i="1"/>
  <c r="G22401" i="1"/>
  <c r="B22402" i="1"/>
  <c r="D22402" i="1"/>
  <c r="G22402" i="1"/>
  <c r="B5745" i="1"/>
  <c r="D5745" i="1"/>
  <c r="G5745" i="1"/>
  <c r="B22403" i="1"/>
  <c r="D22403" i="1"/>
  <c r="G22403" i="1"/>
  <c r="B13783" i="1"/>
  <c r="D13783" i="1"/>
  <c r="G13783" i="1"/>
  <c r="B5941" i="1"/>
  <c r="D5941" i="1"/>
  <c r="G5941" i="1"/>
  <c r="B3189" i="1"/>
  <c r="D3189" i="1"/>
  <c r="G3189" i="1"/>
  <c r="B1914" i="1"/>
  <c r="D1914" i="1"/>
  <c r="G1914" i="1"/>
  <c r="B9476" i="1"/>
  <c r="D9476" i="1"/>
  <c r="G9476" i="1"/>
  <c r="B22404" i="1"/>
  <c r="D22404" i="1"/>
  <c r="G22404" i="1"/>
  <c r="B17473" i="1"/>
  <c r="D17473" i="1"/>
  <c r="G17473" i="1"/>
  <c r="B362" i="1"/>
  <c r="D362" i="1"/>
  <c r="G362" i="1"/>
  <c r="B2219" i="1"/>
  <c r="D2219" i="1"/>
  <c r="G2219" i="1"/>
  <c r="B13732" i="1"/>
  <c r="D13732" i="1"/>
  <c r="G13732" i="1"/>
  <c r="B4046" i="1"/>
  <c r="D4046" i="1"/>
  <c r="G4046" i="1"/>
  <c r="B759" i="1"/>
  <c r="D759" i="1"/>
  <c r="G759" i="1"/>
  <c r="B967" i="1"/>
  <c r="D967" i="1"/>
  <c r="G967" i="1"/>
  <c r="B764" i="1"/>
  <c r="D764" i="1"/>
  <c r="G764" i="1"/>
  <c r="B3062" i="1"/>
  <c r="D3062" i="1"/>
  <c r="G3062" i="1"/>
  <c r="B22405" i="1"/>
  <c r="D22405" i="1"/>
  <c r="G22405" i="1"/>
  <c r="B22406" i="1"/>
  <c r="D22406" i="1"/>
  <c r="G22406" i="1"/>
  <c r="B22407" i="1"/>
  <c r="D22407" i="1"/>
  <c r="G22407" i="1"/>
  <c r="B22408" i="1"/>
  <c r="D22408" i="1"/>
  <c r="G22408" i="1"/>
  <c r="B9477" i="1"/>
  <c r="D9477" i="1"/>
  <c r="G9477" i="1"/>
  <c r="B4047" i="1"/>
  <c r="D4047" i="1"/>
  <c r="G4047" i="1"/>
  <c r="B1844" i="1"/>
  <c r="D1844" i="1"/>
  <c r="G1844" i="1"/>
  <c r="B6899" i="1"/>
  <c r="D6899" i="1"/>
  <c r="G6899" i="1"/>
  <c r="B5942" i="1"/>
  <c r="D5942" i="1"/>
  <c r="G5942" i="1"/>
  <c r="B9478" i="1"/>
  <c r="D9478" i="1"/>
  <c r="G9478" i="1"/>
  <c r="B760" i="1"/>
  <c r="D760" i="1"/>
  <c r="G760" i="1"/>
  <c r="B22409" i="1"/>
  <c r="D22409" i="1"/>
  <c r="G22409" i="1"/>
  <c r="B8626" i="1"/>
  <c r="D8626" i="1"/>
  <c r="G8626" i="1"/>
  <c r="B9479" i="1"/>
  <c r="D9479" i="1"/>
  <c r="G9479" i="1"/>
  <c r="B22410" i="1"/>
  <c r="D22410" i="1"/>
  <c r="G22410" i="1"/>
  <c r="B12737" i="1"/>
  <c r="D12737" i="1"/>
  <c r="G12737" i="1"/>
  <c r="B3190" i="1"/>
  <c r="D3190" i="1"/>
  <c r="G3190" i="1"/>
  <c r="B22553" i="1"/>
  <c r="D22553" i="1"/>
  <c r="G22553" i="1"/>
  <c r="B22554" i="1"/>
  <c r="D22554" i="1"/>
  <c r="G22554" i="1"/>
  <c r="B9480" i="1"/>
  <c r="D9480" i="1"/>
  <c r="G9480" i="1"/>
  <c r="B17474" i="1"/>
  <c r="D17474" i="1"/>
  <c r="G17474" i="1"/>
  <c r="B22555" i="1"/>
  <c r="D22555" i="1"/>
  <c r="G22555" i="1"/>
  <c r="B9481" i="1"/>
  <c r="D9481" i="1"/>
  <c r="G9481" i="1"/>
  <c r="B22589" i="1"/>
  <c r="D22589" i="1"/>
  <c r="G22589" i="1"/>
  <c r="B22411" i="1"/>
  <c r="D22411" i="1"/>
  <c r="G22411" i="1"/>
  <c r="B12738" i="1"/>
  <c r="D12738" i="1"/>
  <c r="G12738" i="1"/>
  <c r="B22593" i="1"/>
  <c r="D22593" i="1"/>
  <c r="G22593" i="1"/>
  <c r="B9482" i="1"/>
  <c r="D9482" i="1"/>
  <c r="G9482" i="1"/>
  <c r="B22412" i="1"/>
  <c r="D22412" i="1"/>
  <c r="G22412" i="1"/>
  <c r="B5943" i="1"/>
  <c r="D5943" i="1"/>
  <c r="G5943" i="1"/>
  <c r="B22413" i="1"/>
  <c r="D22413" i="1"/>
  <c r="G22413" i="1"/>
  <c r="B5944" i="1"/>
  <c r="D5944" i="1"/>
  <c r="G5944" i="1"/>
  <c r="B5945" i="1"/>
  <c r="D5945" i="1"/>
  <c r="G5945" i="1"/>
  <c r="B3191" i="1"/>
  <c r="D3191" i="1"/>
  <c r="G3191" i="1"/>
  <c r="B17475" i="1"/>
  <c r="D17475" i="1"/>
  <c r="G17475" i="1"/>
  <c r="B22414" i="1"/>
  <c r="D22414" i="1"/>
  <c r="G22414" i="1"/>
  <c r="B22552" i="1"/>
  <c r="D22552" i="1"/>
  <c r="G22552" i="1"/>
  <c r="B22557" i="1"/>
  <c r="D22557" i="1"/>
  <c r="G22557" i="1"/>
  <c r="B17476" i="1"/>
  <c r="D17476" i="1"/>
  <c r="G17476" i="1"/>
  <c r="B5946" i="1"/>
  <c r="D5946" i="1"/>
  <c r="G5946" i="1"/>
  <c r="B17477" i="1"/>
  <c r="D17477" i="1"/>
  <c r="G17477" i="1"/>
  <c r="B1915" i="1"/>
  <c r="D1915" i="1"/>
  <c r="G1915" i="1"/>
  <c r="B1845" i="1"/>
  <c r="D1845" i="1"/>
  <c r="G1845" i="1"/>
  <c r="B5947" i="1"/>
  <c r="D5947" i="1"/>
  <c r="G5947" i="1"/>
  <c r="B9483" i="1"/>
  <c r="D9483" i="1"/>
  <c r="G9483" i="1"/>
  <c r="B2515" i="1"/>
  <c r="D2515" i="1"/>
  <c r="G2515" i="1"/>
  <c r="B22415" i="1"/>
  <c r="D22415" i="1"/>
  <c r="G22415" i="1"/>
  <c r="B3192" i="1"/>
  <c r="D3192" i="1"/>
  <c r="G3192" i="1"/>
  <c r="B4279" i="1"/>
  <c r="D4279" i="1"/>
  <c r="G4279" i="1"/>
  <c r="B22591" i="1"/>
  <c r="D22591" i="1"/>
  <c r="G22591" i="1"/>
  <c r="B5948" i="1"/>
  <c r="D5948" i="1"/>
  <c r="G5948" i="1"/>
  <c r="B22558" i="1"/>
  <c r="D22558" i="1"/>
  <c r="G22558" i="1"/>
  <c r="B5949" i="1"/>
  <c r="D5949" i="1"/>
  <c r="G5949" i="1"/>
  <c r="B13798" i="1"/>
  <c r="D13798" i="1"/>
  <c r="G13798" i="1"/>
  <c r="B6097" i="1"/>
  <c r="D6097" i="1"/>
  <c r="G6097" i="1"/>
  <c r="B22416" i="1"/>
  <c r="D22416" i="1"/>
  <c r="G22416" i="1"/>
  <c r="B5950" i="1"/>
  <c r="D5950" i="1"/>
  <c r="G5950" i="1"/>
  <c r="B22592" i="1"/>
  <c r="D22592" i="1"/>
  <c r="G22592" i="1"/>
  <c r="B22417" i="1"/>
  <c r="D22417" i="1"/>
  <c r="G22417" i="1"/>
  <c r="B13932" i="1"/>
  <c r="D13932" i="1"/>
  <c r="G13932" i="1"/>
  <c r="B22418" i="1"/>
  <c r="D22418" i="1"/>
  <c r="G22418" i="1"/>
  <c r="B12739" i="1"/>
  <c r="D12739" i="1"/>
  <c r="G12739" i="1"/>
  <c r="B9484" i="1"/>
  <c r="D9484" i="1"/>
  <c r="G9484" i="1"/>
  <c r="B12740" i="1"/>
  <c r="D12740" i="1"/>
  <c r="G12740" i="1"/>
  <c r="B3193" i="1"/>
  <c r="D3193" i="1"/>
  <c r="G3193" i="1"/>
  <c r="B2178" i="1"/>
  <c r="D2178" i="1"/>
  <c r="G2178" i="1"/>
  <c r="B9485" i="1"/>
  <c r="D9485" i="1"/>
  <c r="G9485" i="1"/>
  <c r="B3200" i="1"/>
  <c r="D3200" i="1"/>
  <c r="G3200" i="1"/>
  <c r="B22419" i="1"/>
  <c r="D22419" i="1"/>
  <c r="G22419" i="1"/>
  <c r="B5274" i="1"/>
  <c r="D5274" i="1"/>
  <c r="G5274" i="1"/>
  <c r="B4855" i="1"/>
  <c r="D4855" i="1"/>
  <c r="G4855" i="1"/>
  <c r="B18388" i="1"/>
  <c r="D18388" i="1"/>
  <c r="G18388" i="1"/>
  <c r="B10331" i="1"/>
  <c r="D10331" i="1"/>
  <c r="G10331" i="1"/>
  <c r="B18386" i="1"/>
  <c r="D18386" i="1"/>
  <c r="G18386" i="1"/>
  <c r="B12407" i="1"/>
  <c r="D12407" i="1"/>
  <c r="G12407" i="1"/>
  <c r="B10687" i="1"/>
  <c r="D10687" i="1"/>
  <c r="G10687" i="1"/>
  <c r="B11268" i="1"/>
  <c r="D11268" i="1"/>
  <c r="G11268" i="1"/>
  <c r="B13610" i="1"/>
  <c r="D13610" i="1"/>
  <c r="G13610" i="1"/>
  <c r="B18374" i="1"/>
  <c r="D18374" i="1"/>
  <c r="G18374" i="1"/>
  <c r="B18387" i="1"/>
  <c r="D18387" i="1"/>
  <c r="G18387" i="1"/>
  <c r="B11905" i="1"/>
  <c r="D11905" i="1"/>
  <c r="G11905" i="1"/>
  <c r="B11311" i="1"/>
  <c r="D11311" i="1"/>
  <c r="G11311" i="1"/>
  <c r="B10100" i="1"/>
  <c r="D10100" i="1"/>
  <c r="G10100" i="1"/>
  <c r="B10332" i="1"/>
  <c r="D10332" i="1"/>
  <c r="G10332" i="1"/>
  <c r="B6980" i="1"/>
  <c r="D6980" i="1"/>
  <c r="G6980" i="1"/>
  <c r="B11025" i="1"/>
  <c r="D11025" i="1"/>
  <c r="G11025" i="1"/>
  <c r="B10059" i="1"/>
  <c r="D10059" i="1"/>
  <c r="G10059" i="1"/>
  <c r="B10067" i="1"/>
  <c r="D10067" i="1"/>
  <c r="G10067" i="1"/>
  <c r="B2177" i="1"/>
  <c r="D2177" i="1"/>
  <c r="G2177" i="1"/>
  <c r="B13795" i="1"/>
  <c r="D13795" i="1"/>
  <c r="G13795" i="1"/>
  <c r="B11906" i="1"/>
  <c r="D11906" i="1"/>
  <c r="G11906" i="1"/>
  <c r="B12339" i="1"/>
  <c r="D12339" i="1"/>
  <c r="G12339" i="1"/>
  <c r="B12448" i="1"/>
  <c r="D12448" i="1"/>
  <c r="G12448" i="1"/>
  <c r="B11269" i="1"/>
  <c r="D11269" i="1"/>
  <c r="G11269" i="1"/>
  <c r="B4856" i="1"/>
  <c r="D4856" i="1"/>
  <c r="G4856" i="1"/>
  <c r="B13010" i="1"/>
  <c r="D13010" i="1"/>
  <c r="G13010" i="1"/>
  <c r="B12420" i="1"/>
  <c r="D12420" i="1"/>
  <c r="G12420" i="1"/>
  <c r="B11729" i="1"/>
  <c r="D11729" i="1"/>
  <c r="G11729" i="1"/>
  <c r="B17478" i="1"/>
  <c r="D17478" i="1"/>
  <c r="G17478" i="1"/>
  <c r="B4272" i="1"/>
  <c r="D4272" i="1"/>
  <c r="G4272" i="1"/>
  <c r="B4273" i="1"/>
  <c r="D4273" i="1"/>
  <c r="G4273" i="1"/>
  <c r="B1932" i="1"/>
  <c r="D1932" i="1"/>
  <c r="G1932" i="1"/>
  <c r="B1933" i="1"/>
  <c r="D1933" i="1"/>
  <c r="G1933" i="1"/>
  <c r="B4274" i="1"/>
  <c r="D4274" i="1"/>
  <c r="G4274" i="1"/>
  <c r="B4275" i="1"/>
  <c r="D4275" i="1"/>
  <c r="G4275" i="1"/>
  <c r="B1934" i="1"/>
  <c r="D1934" i="1"/>
  <c r="G1934" i="1"/>
  <c r="B1935" i="1"/>
  <c r="D1935" i="1"/>
  <c r="G1935" i="1"/>
  <c r="B4276" i="1"/>
  <c r="D4276" i="1"/>
  <c r="G4276" i="1"/>
  <c r="B4277" i="1"/>
  <c r="D4277" i="1"/>
  <c r="G4277" i="1"/>
  <c r="B1936" i="1"/>
  <c r="D1936" i="1"/>
  <c r="G1936" i="1"/>
  <c r="B1937" i="1"/>
  <c r="D1937" i="1"/>
  <c r="G1937" i="1"/>
  <c r="B9095" i="1"/>
  <c r="D9095" i="1"/>
  <c r="G9095" i="1"/>
  <c r="B9096" i="1"/>
  <c r="D9096" i="1"/>
  <c r="G9096" i="1"/>
  <c r="B9099" i="1"/>
  <c r="D9099" i="1"/>
  <c r="G9099" i="1"/>
  <c r="B9100" i="1"/>
  <c r="D9100" i="1"/>
  <c r="G9100" i="1"/>
  <c r="B9097" i="1"/>
  <c r="D9097" i="1"/>
  <c r="G9097" i="1"/>
  <c r="B9098" i="1"/>
  <c r="D9098" i="1"/>
  <c r="G9098" i="1"/>
  <c r="B9101" i="1"/>
  <c r="D9101" i="1"/>
  <c r="G9101" i="1"/>
  <c r="B9102" i="1"/>
  <c r="D9102" i="1"/>
  <c r="G9102" i="1"/>
  <c r="B11842" i="1"/>
  <c r="D11842" i="1"/>
  <c r="G11842" i="1"/>
  <c r="B11843" i="1"/>
  <c r="D11843" i="1"/>
  <c r="G11843" i="1"/>
  <c r="B9103" i="1"/>
  <c r="D9103" i="1"/>
  <c r="G9103" i="1"/>
  <c r="B9104" i="1"/>
  <c r="D9104" i="1"/>
  <c r="G9104" i="1"/>
  <c r="B20212" i="1"/>
  <c r="D20212" i="1"/>
  <c r="G20212" i="1"/>
  <c r="B20213" i="1"/>
  <c r="D20213" i="1"/>
  <c r="G20213" i="1"/>
  <c r="B20214" i="1"/>
  <c r="D20214" i="1"/>
  <c r="G20214" i="1"/>
  <c r="B20215" i="1"/>
  <c r="D20215" i="1"/>
  <c r="G20215" i="1"/>
  <c r="B1445" i="1"/>
  <c r="D1445" i="1"/>
  <c r="G1445" i="1"/>
  <c r="B13901" i="1"/>
  <c r="D13901" i="1"/>
  <c r="G13901" i="1"/>
  <c r="B13912" i="1"/>
  <c r="D13912" i="1"/>
  <c r="G13912" i="1"/>
  <c r="B13526" i="1"/>
  <c r="D13526" i="1"/>
  <c r="G13526" i="1"/>
  <c r="B333" i="1"/>
  <c r="D333" i="1"/>
  <c r="G333" i="1"/>
  <c r="B19950" i="1"/>
  <c r="D19950" i="1"/>
  <c r="G19950" i="1"/>
  <c r="B20106" i="1"/>
  <c r="D20106" i="1"/>
  <c r="G20106" i="1"/>
  <c r="B1916" i="1"/>
  <c r="D1916" i="1"/>
  <c r="G1916" i="1"/>
  <c r="B13702" i="1"/>
  <c r="D13702" i="1"/>
  <c r="G13702" i="1"/>
  <c r="B13704" i="1"/>
  <c r="D13704" i="1"/>
  <c r="G13704" i="1"/>
  <c r="B22250" i="1"/>
  <c r="D22250" i="1"/>
  <c r="G22250" i="1"/>
  <c r="B4512" i="1"/>
  <c r="D4512" i="1"/>
  <c r="G4512" i="1"/>
  <c r="B13681" i="1"/>
  <c r="D13681" i="1"/>
  <c r="G13681" i="1"/>
  <c r="B13685" i="1"/>
  <c r="D13685" i="1"/>
  <c r="G13685" i="1"/>
  <c r="B13792" i="1"/>
  <c r="D13792" i="1"/>
  <c r="G13792" i="1"/>
  <c r="B13803" i="1"/>
  <c r="D13803" i="1"/>
  <c r="G13803" i="1"/>
  <c r="B5140" i="1"/>
  <c r="D5140" i="1"/>
  <c r="G5140" i="1"/>
  <c r="B2264" i="1"/>
  <c r="D2264" i="1"/>
  <c r="G2264" i="1"/>
  <c r="B13804" i="1"/>
  <c r="D13804" i="1"/>
  <c r="G13804" i="1"/>
  <c r="B13778" i="1"/>
  <c r="D13778" i="1"/>
  <c r="G13778" i="1"/>
  <c r="B5103" i="1"/>
  <c r="D5103" i="1"/>
  <c r="G5103" i="1"/>
  <c r="B3423" i="1"/>
  <c r="D3423" i="1"/>
  <c r="G3423" i="1"/>
  <c r="B13762" i="1"/>
  <c r="D13762" i="1"/>
  <c r="G13762" i="1"/>
  <c r="B1917" i="1"/>
  <c r="D1917" i="1"/>
  <c r="G1917" i="1"/>
  <c r="B18389" i="1"/>
  <c r="D18389" i="1"/>
  <c r="G18389" i="1"/>
  <c r="B13643" i="1"/>
  <c r="D13643" i="1"/>
  <c r="G13643" i="1"/>
  <c r="B2528" i="1"/>
  <c r="D2528" i="1"/>
  <c r="G2528" i="1"/>
  <c r="B21342" i="1"/>
  <c r="D21342" i="1"/>
  <c r="G21342" i="1"/>
  <c r="B361" i="1"/>
  <c r="D361" i="1"/>
  <c r="G361" i="1"/>
  <c r="B2226" i="1"/>
  <c r="D2226" i="1"/>
  <c r="G2226" i="1"/>
  <c r="B13564" i="1"/>
  <c r="D13564" i="1"/>
  <c r="G13564" i="1"/>
  <c r="B4377" i="1"/>
  <c r="D4377" i="1"/>
  <c r="G4377" i="1"/>
  <c r="B10088" i="1"/>
  <c r="D10088" i="1"/>
  <c r="G10088" i="1"/>
  <c r="B5651" i="1"/>
  <c r="D5651" i="1"/>
  <c r="G5651" i="1"/>
  <c r="B321" i="1"/>
  <c r="D321" i="1"/>
  <c r="G321" i="1"/>
  <c r="B3297" i="1"/>
  <c r="D3297" i="1"/>
  <c r="G3297" i="1"/>
  <c r="B11454" i="1"/>
  <c r="D11454" i="1"/>
  <c r="G11454" i="1"/>
  <c r="B317" i="1"/>
  <c r="D317" i="1"/>
  <c r="G317" i="1"/>
  <c r="B21653" i="1"/>
  <c r="D21653" i="1"/>
  <c r="G21653" i="1"/>
  <c r="B13751" i="1"/>
  <c r="D13751" i="1"/>
  <c r="G13751" i="1"/>
  <c r="B13752" i="1"/>
  <c r="D13752" i="1"/>
  <c r="G13752" i="1"/>
  <c r="B9486" i="1"/>
  <c r="D9486" i="1"/>
  <c r="G9486" i="1"/>
  <c r="B5951" i="1"/>
  <c r="D5951" i="1"/>
  <c r="G5951" i="1"/>
  <c r="B1918" i="1"/>
  <c r="D1918" i="1"/>
  <c r="G1918" i="1"/>
  <c r="B1846" i="1"/>
  <c r="D1846" i="1"/>
  <c r="G1846" i="1"/>
  <c r="B1919" i="1"/>
  <c r="D1919" i="1"/>
  <c r="G1919" i="1"/>
  <c r="B1920" i="1"/>
  <c r="D1920" i="1"/>
  <c r="G1920" i="1"/>
  <c r="B1921" i="1"/>
  <c r="D1921" i="1"/>
  <c r="G1921" i="1"/>
  <c r="B340" i="1"/>
  <c r="D340" i="1"/>
  <c r="G340" i="1"/>
  <c r="B11455" i="1"/>
  <c r="D11455" i="1"/>
  <c r="G11455" i="1"/>
  <c r="B3194" i="1"/>
  <c r="D3194" i="1"/>
  <c r="G3194" i="1"/>
  <c r="B4404" i="1"/>
  <c r="D4404" i="1"/>
  <c r="G4404" i="1"/>
  <c r="B226" i="1"/>
  <c r="D226" i="1"/>
  <c r="G226" i="1"/>
  <c r="B882" i="1"/>
  <c r="D882" i="1"/>
  <c r="G882" i="1"/>
  <c r="B22420" i="1"/>
  <c r="D22420" i="1"/>
  <c r="G22420" i="1"/>
  <c r="B9487" i="1"/>
  <c r="D9487" i="1"/>
  <c r="G9487" i="1"/>
  <c r="B1946" i="1"/>
  <c r="D1946" i="1"/>
  <c r="G1946" i="1"/>
  <c r="B6911" i="1"/>
  <c r="D6911" i="1"/>
  <c r="G6911" i="1"/>
  <c r="B22530" i="1"/>
  <c r="D22530" i="1"/>
  <c r="G22530" i="1"/>
  <c r="B299" i="1"/>
  <c r="D299" i="1"/>
  <c r="G299" i="1"/>
  <c r="B174" i="1"/>
  <c r="D174" i="1"/>
  <c r="G174" i="1"/>
  <c r="B2540" i="1"/>
  <c r="D2540" i="1"/>
  <c r="G2540" i="1"/>
  <c r="B13763" i="1"/>
  <c r="D13763" i="1"/>
  <c r="G13763" i="1"/>
  <c r="B227" i="1"/>
  <c r="D227" i="1"/>
  <c r="G227" i="1"/>
  <c r="B11457" i="1"/>
  <c r="D11457" i="1"/>
  <c r="G11457" i="1"/>
  <c r="B18670" i="1"/>
  <c r="D18670" i="1"/>
  <c r="G18670" i="1"/>
  <c r="B17479" i="1"/>
  <c r="D17479" i="1"/>
  <c r="G17479" i="1"/>
  <c r="B16185" i="1"/>
  <c r="D16185" i="1"/>
  <c r="G16185" i="1"/>
  <c r="B16186" i="1"/>
  <c r="D16186" i="1"/>
  <c r="G16186" i="1"/>
  <c r="B16187" i="1"/>
  <c r="D16187" i="1"/>
  <c r="G16187" i="1"/>
  <c r="B13746" i="1"/>
  <c r="D13746" i="1"/>
  <c r="G13746" i="1"/>
  <c r="B20990" i="1"/>
  <c r="D20990" i="1"/>
  <c r="G20990" i="1"/>
  <c r="B14383" i="1"/>
  <c r="D14383" i="1"/>
  <c r="G14383" i="1"/>
  <c r="B18382" i="1"/>
  <c r="D18382" i="1"/>
  <c r="G18382" i="1"/>
  <c r="B17480" i="1"/>
  <c r="D17480" i="1"/>
  <c r="G17480" i="1"/>
  <c r="B16188" i="1"/>
  <c r="D16188" i="1"/>
  <c r="G16188" i="1"/>
  <c r="B21786" i="1"/>
  <c r="D21786" i="1"/>
  <c r="G21786" i="1"/>
  <c r="B22493" i="1"/>
  <c r="D22493" i="1"/>
  <c r="G22493" i="1"/>
  <c r="B22494" i="1"/>
  <c r="D22494" i="1"/>
  <c r="G22494" i="1"/>
  <c r="B22495" i="1"/>
  <c r="D22495" i="1"/>
  <c r="G22495" i="1"/>
  <c r="B428" i="1"/>
  <c r="D428" i="1"/>
  <c r="G428" i="1"/>
  <c r="B22496" i="1"/>
  <c r="D22496" i="1"/>
  <c r="G22496" i="1"/>
  <c r="B22497" i="1"/>
  <c r="D22497" i="1"/>
  <c r="G22497" i="1"/>
  <c r="B9071" i="1"/>
  <c r="D9071" i="1"/>
  <c r="G9071" i="1"/>
  <c r="B18265" i="1"/>
  <c r="D18265" i="1"/>
  <c r="G18265" i="1"/>
  <c r="B18266" i="1"/>
  <c r="D18266" i="1"/>
  <c r="G18266" i="1"/>
  <c r="B18267" i="1"/>
  <c r="D18267" i="1"/>
  <c r="G18267" i="1"/>
  <c r="B18268" i="1"/>
  <c r="D18268" i="1"/>
  <c r="G18268" i="1"/>
  <c r="B5282" i="1"/>
  <c r="D5282" i="1"/>
  <c r="G5282" i="1"/>
  <c r="B18269" i="1"/>
  <c r="D18269" i="1"/>
  <c r="G18269" i="1"/>
  <c r="B18270" i="1"/>
  <c r="D18270" i="1"/>
  <c r="G18270" i="1"/>
  <c r="B18271" i="1"/>
  <c r="D18271" i="1"/>
  <c r="G18271" i="1"/>
  <c r="B18272" i="1"/>
  <c r="D18272" i="1"/>
  <c r="G18272" i="1"/>
  <c r="B9144" i="1"/>
  <c r="D9144" i="1"/>
  <c r="G9144" i="1"/>
  <c r="B18273" i="1"/>
  <c r="D18273" i="1"/>
  <c r="G18273" i="1"/>
  <c r="B18274" i="1"/>
  <c r="D18274" i="1"/>
  <c r="G18274" i="1"/>
  <c r="B22498" i="1"/>
  <c r="D22498" i="1"/>
  <c r="G22498" i="1"/>
  <c r="B20066" i="1"/>
  <c r="D20066" i="1"/>
  <c r="G20066" i="1"/>
  <c r="B9145" i="1"/>
  <c r="D9145" i="1"/>
  <c r="G9145" i="1"/>
  <c r="B18275" i="1"/>
  <c r="D18275" i="1"/>
  <c r="G18275" i="1"/>
  <c r="B1502" i="1"/>
  <c r="D1502" i="1"/>
  <c r="G1502" i="1"/>
  <c r="B1503" i="1"/>
  <c r="D1503" i="1"/>
  <c r="G1503" i="1"/>
  <c r="B18276" i="1"/>
  <c r="D18276" i="1"/>
  <c r="G18276" i="1"/>
  <c r="B18277" i="1"/>
  <c r="D18277" i="1"/>
  <c r="G18277" i="1"/>
  <c r="B18278" i="1"/>
  <c r="D18278" i="1"/>
  <c r="G18278" i="1"/>
  <c r="B22499" i="1"/>
  <c r="D22499" i="1"/>
  <c r="G22499" i="1"/>
  <c r="B14192" i="1"/>
  <c r="D14192" i="1"/>
  <c r="G14192" i="1"/>
  <c r="B14193" i="1"/>
  <c r="D14193" i="1"/>
  <c r="G14193" i="1"/>
  <c r="B16943" i="1"/>
  <c r="D16943" i="1"/>
  <c r="G16943" i="1"/>
  <c r="B18279" i="1"/>
  <c r="D18279" i="1"/>
  <c r="G18279" i="1"/>
  <c r="B52" i="1"/>
  <c r="D52" i="1"/>
  <c r="G52" i="1"/>
  <c r="B20064" i="1"/>
  <c r="D20064" i="1"/>
  <c r="G20064" i="1"/>
  <c r="B22500" i="1"/>
  <c r="D22500" i="1"/>
  <c r="G22500" i="1"/>
  <c r="B20488" i="1"/>
  <c r="D20488" i="1"/>
  <c r="G20488" i="1"/>
  <c r="B18280" i="1"/>
  <c r="D18280" i="1"/>
  <c r="G18280" i="1"/>
  <c r="B18281" i="1"/>
  <c r="D18281" i="1"/>
  <c r="G18281" i="1"/>
  <c r="B5283" i="1"/>
  <c r="D5283" i="1"/>
  <c r="G5283" i="1"/>
  <c r="B18282" i="1"/>
  <c r="D18282" i="1"/>
  <c r="G18282" i="1"/>
  <c r="B21268" i="1"/>
  <c r="D21268" i="1"/>
  <c r="G21268" i="1"/>
  <c r="B21269" i="1"/>
  <c r="D21269" i="1"/>
  <c r="G21269" i="1"/>
  <c r="B21270" i="1"/>
  <c r="D21270" i="1"/>
  <c r="G21270" i="1"/>
  <c r="B1504" i="1"/>
  <c r="D1504" i="1"/>
  <c r="G1504" i="1"/>
  <c r="B18668" i="1"/>
  <c r="D18668" i="1"/>
  <c r="G18668" i="1"/>
  <c r="B18283" i="1"/>
  <c r="D18283" i="1"/>
  <c r="G18283" i="1"/>
  <c r="B18284" i="1"/>
  <c r="D18284" i="1"/>
  <c r="G18284" i="1"/>
  <c r="B20216" i="1"/>
  <c r="D20216" i="1"/>
  <c r="G20216" i="1"/>
  <c r="B12629" i="1"/>
  <c r="D12629" i="1"/>
  <c r="G12629" i="1"/>
  <c r="B17019" i="1"/>
  <c r="D17019" i="1"/>
  <c r="G17019" i="1"/>
  <c r="B21271" i="1"/>
  <c r="D21271" i="1"/>
  <c r="G21271" i="1"/>
  <c r="B17020" i="1"/>
  <c r="D17020" i="1"/>
  <c r="G17020" i="1"/>
  <c r="B9146" i="1"/>
  <c r="D9146" i="1"/>
  <c r="G9146" i="1"/>
  <c r="B18285" i="1"/>
  <c r="D18285" i="1"/>
  <c r="G18285" i="1"/>
  <c r="B18286" i="1"/>
  <c r="D18286" i="1"/>
  <c r="G18286" i="1"/>
  <c r="B18287" i="1"/>
  <c r="D18287" i="1"/>
  <c r="G18287" i="1"/>
  <c r="B18288" i="1"/>
  <c r="D18288" i="1"/>
  <c r="G18288" i="1"/>
  <c r="B22501" i="1"/>
  <c r="D22501" i="1"/>
  <c r="G22501" i="1"/>
  <c r="B22502" i="1"/>
  <c r="D22502" i="1"/>
  <c r="G22502" i="1"/>
  <c r="B12340" i="1"/>
  <c r="D12340" i="1"/>
  <c r="G12340" i="1"/>
  <c r="B20157" i="1"/>
  <c r="D20157" i="1"/>
  <c r="G20157" i="1"/>
  <c r="B20489" i="1"/>
  <c r="D20489" i="1"/>
  <c r="G20489" i="1"/>
  <c r="B20490" i="1"/>
  <c r="D20490" i="1"/>
  <c r="G20490" i="1"/>
  <c r="B20491" i="1"/>
  <c r="D20491" i="1"/>
  <c r="G20491" i="1"/>
  <c r="B20492" i="1"/>
  <c r="D20492" i="1"/>
  <c r="G20492" i="1"/>
  <c r="B20493" i="1"/>
  <c r="D20493" i="1"/>
  <c r="G20493" i="1"/>
  <c r="B15762" i="1"/>
  <c r="D15762" i="1"/>
  <c r="G15762" i="1"/>
  <c r="B20494" i="1"/>
  <c r="D20494" i="1"/>
  <c r="G20494" i="1"/>
  <c r="B18331" i="1"/>
  <c r="D18331" i="1"/>
  <c r="G18331" i="1"/>
  <c r="B1365" i="1"/>
  <c r="D1365" i="1"/>
  <c r="G1365" i="1"/>
  <c r="B9072" i="1"/>
  <c r="D9072" i="1"/>
  <c r="G9072" i="1"/>
  <c r="B15763" i="1"/>
  <c r="D15763" i="1"/>
  <c r="G15763" i="1"/>
  <c r="B9078" i="1"/>
  <c r="D9078" i="1"/>
  <c r="G9078" i="1"/>
  <c r="B18289" i="1"/>
  <c r="D18289" i="1"/>
  <c r="G18289" i="1"/>
  <c r="B22503" i="1"/>
  <c r="D22503" i="1"/>
  <c r="G22503" i="1"/>
  <c r="B16944" i="1"/>
  <c r="D16944" i="1"/>
  <c r="G16944" i="1"/>
  <c r="B12341" i="1"/>
  <c r="D12341" i="1"/>
  <c r="G12341" i="1"/>
  <c r="B5122" i="1"/>
  <c r="D5122" i="1"/>
  <c r="G5122" i="1"/>
  <c r="B5123" i="1"/>
  <c r="D5123" i="1"/>
  <c r="G5123" i="1"/>
  <c r="B5124" i="1"/>
  <c r="D5124" i="1"/>
  <c r="G5124" i="1"/>
  <c r="B9079" i="1"/>
  <c r="D9079" i="1"/>
  <c r="G9079" i="1"/>
  <c r="B16945" i="1"/>
  <c r="D16945" i="1"/>
  <c r="G16945" i="1"/>
  <c r="B2993" i="1"/>
  <c r="D2993" i="1"/>
  <c r="G2993" i="1"/>
  <c r="B9073" i="1"/>
  <c r="D9073" i="1"/>
  <c r="G9073" i="1"/>
  <c r="B9074" i="1"/>
  <c r="D9074" i="1"/>
  <c r="G9074" i="1"/>
  <c r="B16946" i="1"/>
  <c r="D16946" i="1"/>
  <c r="G16946" i="1"/>
  <c r="B22504" i="1"/>
  <c r="D22504" i="1"/>
  <c r="G22504" i="1"/>
  <c r="B22505" i="1"/>
  <c r="D22505" i="1"/>
  <c r="G22505" i="1"/>
  <c r="B4881" i="1"/>
  <c r="D4881" i="1"/>
  <c r="G4881" i="1"/>
  <c r="B20495" i="1"/>
  <c r="D20495" i="1"/>
  <c r="G20495" i="1"/>
  <c r="B18290" i="1"/>
  <c r="D18290" i="1"/>
  <c r="G18290" i="1"/>
  <c r="B18291" i="1"/>
  <c r="D18291" i="1"/>
  <c r="G18291" i="1"/>
  <c r="B18292" i="1"/>
  <c r="D18292" i="1"/>
  <c r="G18292" i="1"/>
  <c r="B18293" i="1"/>
  <c r="D18293" i="1"/>
  <c r="G18293" i="1"/>
  <c r="B18294" i="1"/>
  <c r="D18294" i="1"/>
  <c r="G18294" i="1"/>
  <c r="B18295" i="1"/>
  <c r="D18295" i="1"/>
  <c r="G18295" i="1"/>
  <c r="B18296" i="1"/>
  <c r="D18296" i="1"/>
  <c r="G18296" i="1"/>
  <c r="B18297" i="1"/>
  <c r="D18297" i="1"/>
  <c r="G18297" i="1"/>
  <c r="B18298" i="1"/>
  <c r="D18298" i="1"/>
  <c r="G18298" i="1"/>
  <c r="B18299" i="1"/>
  <c r="D18299" i="1"/>
  <c r="G18299" i="1"/>
  <c r="B9147" i="1"/>
  <c r="D9147" i="1"/>
  <c r="G9147" i="1"/>
  <c r="B18300" i="1"/>
  <c r="D18300" i="1"/>
  <c r="G18300" i="1"/>
  <c r="B18301" i="1"/>
  <c r="D18301" i="1"/>
  <c r="G18301" i="1"/>
  <c r="B18302" i="1"/>
  <c r="D18302" i="1"/>
  <c r="G18302" i="1"/>
  <c r="B18303" i="1"/>
  <c r="D18303" i="1"/>
  <c r="G18303" i="1"/>
  <c r="B12630" i="1"/>
  <c r="D12630" i="1"/>
  <c r="G12630" i="1"/>
  <c r="B18304" i="1"/>
  <c r="D18304" i="1"/>
  <c r="G18304" i="1"/>
  <c r="B3828" i="1"/>
  <c r="D3828" i="1"/>
  <c r="G3828" i="1"/>
  <c r="B12631" i="1"/>
  <c r="D12631" i="1"/>
  <c r="G12631" i="1"/>
  <c r="B1505" i="1"/>
  <c r="D1505" i="1"/>
  <c r="G1505" i="1"/>
  <c r="B18305" i="1"/>
  <c r="D18305" i="1"/>
  <c r="G18305" i="1"/>
  <c r="B18306" i="1"/>
  <c r="D18306" i="1"/>
  <c r="G18306" i="1"/>
  <c r="B18307" i="1"/>
  <c r="D18307" i="1"/>
  <c r="G18307" i="1"/>
  <c r="B18308" i="1"/>
  <c r="D18308" i="1"/>
  <c r="G18308" i="1"/>
  <c r="B14130" i="1"/>
  <c r="D14130" i="1"/>
  <c r="G14130" i="1"/>
  <c r="B20991" i="1"/>
  <c r="D20991" i="1"/>
  <c r="G20991" i="1"/>
  <c r="B2209" i="1"/>
  <c r="D2209" i="1"/>
  <c r="G2209" i="1"/>
  <c r="B960" i="1"/>
  <c r="D960" i="1"/>
  <c r="G960" i="1"/>
  <c r="B9080" i="1"/>
  <c r="D9080" i="1"/>
  <c r="G9080" i="1"/>
  <c r="B22506" i="1"/>
  <c r="D22506" i="1"/>
  <c r="G22506" i="1"/>
  <c r="B11320" i="1"/>
  <c r="D11320" i="1"/>
  <c r="G11320" i="1"/>
  <c r="B18309" i="1"/>
  <c r="D18309" i="1"/>
  <c r="G18309" i="1"/>
  <c r="B228" i="1"/>
  <c r="D228" i="1"/>
  <c r="G228" i="1"/>
  <c r="B18310" i="1"/>
  <c r="D18310" i="1"/>
  <c r="G18310" i="1"/>
  <c r="B18311" i="1"/>
  <c r="D18311" i="1"/>
  <c r="G18311" i="1"/>
  <c r="B18312" i="1"/>
  <c r="D18312" i="1"/>
  <c r="G18312" i="1"/>
  <c r="B18313" i="1"/>
  <c r="D18313" i="1"/>
  <c r="G18313" i="1"/>
  <c r="B21787" i="1"/>
  <c r="D21787" i="1"/>
  <c r="G21787" i="1"/>
  <c r="B19951" i="1"/>
  <c r="D19951" i="1"/>
  <c r="G19951" i="1"/>
  <c r="B9081" i="1"/>
  <c r="D9081" i="1"/>
  <c r="G9081" i="1"/>
  <c r="B5125" i="1"/>
  <c r="D5125" i="1"/>
  <c r="G5125" i="1"/>
  <c r="B5126" i="1"/>
  <c r="D5126" i="1"/>
  <c r="G5126" i="1"/>
  <c r="B20105" i="1"/>
  <c r="D20105" i="1"/>
  <c r="G20105" i="1"/>
  <c r="B229" i="1"/>
  <c r="D229" i="1"/>
  <c r="G229" i="1"/>
  <c r="B5127" i="1"/>
  <c r="D5127" i="1"/>
  <c r="G5127" i="1"/>
  <c r="B5128" i="1"/>
  <c r="D5128" i="1"/>
  <c r="G5128" i="1"/>
  <c r="B9082" i="1"/>
  <c r="D9082" i="1"/>
  <c r="G9082" i="1"/>
  <c r="B4489" i="1"/>
  <c r="D4489" i="1"/>
  <c r="G4489" i="1"/>
  <c r="B18314" i="1"/>
  <c r="D18314" i="1"/>
  <c r="G18314" i="1"/>
  <c r="B13510" i="1"/>
  <c r="D13510" i="1"/>
  <c r="G13510" i="1"/>
  <c r="B21272" i="1"/>
  <c r="D21272" i="1"/>
  <c r="G21272" i="1"/>
  <c r="B21273" i="1"/>
  <c r="D21273" i="1"/>
  <c r="G21273" i="1"/>
  <c r="B21274" i="1"/>
  <c r="D21274" i="1"/>
  <c r="G21274" i="1"/>
  <c r="B21275" i="1"/>
  <c r="D21275" i="1"/>
  <c r="G21275" i="1"/>
  <c r="B21276" i="1"/>
  <c r="D21276" i="1"/>
  <c r="G21276" i="1"/>
  <c r="B21277" i="1"/>
  <c r="D21277" i="1"/>
  <c r="G21277" i="1"/>
  <c r="B21278" i="1"/>
  <c r="D21278" i="1"/>
  <c r="G21278" i="1"/>
  <c r="B21279" i="1"/>
  <c r="D21279" i="1"/>
  <c r="G21279" i="1"/>
  <c r="B21280" i="1"/>
  <c r="D21280" i="1"/>
  <c r="G21280" i="1"/>
  <c r="B21281" i="1"/>
  <c r="D21281" i="1"/>
  <c r="G21281" i="1"/>
  <c r="B21282" i="1"/>
  <c r="D21282" i="1"/>
  <c r="G21282" i="1"/>
  <c r="B21283" i="1"/>
  <c r="D21283" i="1"/>
  <c r="G21283" i="1"/>
  <c r="B9075" i="1"/>
  <c r="D9075" i="1"/>
  <c r="G9075" i="1"/>
  <c r="B18315" i="1"/>
  <c r="D18315" i="1"/>
  <c r="G18315" i="1"/>
  <c r="B1506" i="1"/>
  <c r="D1506" i="1"/>
  <c r="G1506" i="1"/>
  <c r="B19835" i="1"/>
  <c r="D19835" i="1"/>
  <c r="G19835" i="1"/>
  <c r="B19836" i="1"/>
  <c r="D19836" i="1"/>
  <c r="G19836" i="1"/>
  <c r="B19837" i="1"/>
  <c r="D19837" i="1"/>
  <c r="G19837" i="1"/>
  <c r="B19838" i="1"/>
  <c r="D19838" i="1"/>
  <c r="G19838" i="1"/>
  <c r="B19839" i="1"/>
  <c r="D19839" i="1"/>
  <c r="G19839" i="1"/>
  <c r="B1500" i="1"/>
  <c r="D1500" i="1"/>
  <c r="G1500" i="1"/>
  <c r="B19840" i="1"/>
  <c r="D19840" i="1"/>
  <c r="G19840" i="1"/>
  <c r="B19841" i="1"/>
  <c r="D19841" i="1"/>
  <c r="G19841" i="1"/>
  <c r="B19842" i="1"/>
  <c r="D19842" i="1"/>
  <c r="G19842" i="1"/>
  <c r="B19843" i="1"/>
  <c r="D19843" i="1"/>
  <c r="G19843" i="1"/>
  <c r="B19844" i="1"/>
  <c r="D19844" i="1"/>
  <c r="G19844" i="1"/>
  <c r="B19845" i="1"/>
  <c r="D19845" i="1"/>
  <c r="G19845" i="1"/>
  <c r="B19846" i="1"/>
  <c r="D19846" i="1"/>
  <c r="G19846" i="1"/>
  <c r="B19847" i="1"/>
  <c r="D19847" i="1"/>
  <c r="G19847" i="1"/>
  <c r="B13492" i="1"/>
  <c r="D13492" i="1"/>
  <c r="G13492" i="1"/>
  <c r="B22507" i="1"/>
  <c r="D22507" i="1"/>
  <c r="G22507" i="1"/>
  <c r="B2265" i="1"/>
  <c r="D2265" i="1"/>
  <c r="G2265" i="1"/>
  <c r="B2266" i="1"/>
  <c r="D2266" i="1"/>
  <c r="G2266" i="1"/>
  <c r="B22487" i="1"/>
  <c r="D22487" i="1"/>
  <c r="G22487" i="1"/>
  <c r="B22488" i="1"/>
  <c r="D22488" i="1"/>
  <c r="G22488" i="1"/>
  <c r="B22489" i="1"/>
  <c r="D22489" i="1"/>
  <c r="G22489" i="1"/>
  <c r="B9076" i="1"/>
  <c r="D9076" i="1"/>
  <c r="G9076" i="1"/>
  <c r="B20992" i="1"/>
  <c r="D20992" i="1"/>
  <c r="G20992" i="1"/>
  <c r="B22529" i="1"/>
  <c r="D22529" i="1"/>
  <c r="G22529" i="1"/>
  <c r="B175" i="1"/>
  <c r="D175" i="1"/>
  <c r="G175" i="1"/>
  <c r="B10077" i="1"/>
  <c r="D10077" i="1"/>
  <c r="G10077" i="1"/>
  <c r="B18316" i="1"/>
  <c r="D18316" i="1"/>
  <c r="G18316" i="1"/>
  <c r="B9077" i="1"/>
  <c r="D9077" i="1"/>
  <c r="G9077" i="1"/>
  <c r="B22508" i="1"/>
  <c r="D22508" i="1"/>
  <c r="G22508" i="1"/>
  <c r="B21788" i="1"/>
  <c r="D21788" i="1"/>
  <c r="G21788" i="1"/>
  <c r="B16947" i="1"/>
  <c r="D16947" i="1"/>
  <c r="G16947" i="1"/>
  <c r="B2994" i="1"/>
  <c r="D2994" i="1"/>
  <c r="G2994" i="1"/>
  <c r="B22509" i="1"/>
  <c r="D22509" i="1"/>
  <c r="G22509" i="1"/>
  <c r="B22510" i="1"/>
  <c r="D22510" i="1"/>
  <c r="G22510" i="1"/>
  <c r="B22511" i="1"/>
  <c r="D22511" i="1"/>
  <c r="G22511" i="1"/>
  <c r="B20993" i="1"/>
  <c r="D20993" i="1"/>
  <c r="G20993" i="1"/>
  <c r="B22512" i="1"/>
  <c r="D22512" i="1"/>
  <c r="G22512" i="1"/>
  <c r="B22513" i="1"/>
  <c r="D22513" i="1"/>
  <c r="G22513" i="1"/>
  <c r="B15993" i="1"/>
  <c r="D15993" i="1"/>
  <c r="G15993" i="1"/>
  <c r="B15994" i="1"/>
  <c r="D15994" i="1"/>
  <c r="G15994" i="1"/>
  <c r="B15995" i="1"/>
  <c r="D15995" i="1"/>
  <c r="G15995" i="1"/>
  <c r="B15996" i="1"/>
  <c r="D15996" i="1"/>
  <c r="G15996" i="1"/>
  <c r="B7126" i="1"/>
  <c r="D7126" i="1"/>
  <c r="G7126" i="1"/>
  <c r="B4483" i="1"/>
  <c r="D4483" i="1"/>
  <c r="G4483" i="1"/>
  <c r="B20158" i="1"/>
  <c r="D20158" i="1"/>
  <c r="G20158" i="1"/>
  <c r="B22514" i="1"/>
  <c r="D22514" i="1"/>
  <c r="G22514" i="1"/>
  <c r="B22515" i="1"/>
  <c r="D22515" i="1"/>
  <c r="G22515" i="1"/>
  <c r="B22516" i="1"/>
  <c r="D22516" i="1"/>
  <c r="G22516" i="1"/>
  <c r="B22517" i="1"/>
  <c r="D22517" i="1"/>
  <c r="G22517" i="1"/>
  <c r="B19848" i="1"/>
  <c r="D19848" i="1"/>
  <c r="G19848" i="1"/>
  <c r="B19849" i="1"/>
  <c r="D19849" i="1"/>
  <c r="G19849" i="1"/>
  <c r="B16948" i="1"/>
  <c r="D16948" i="1"/>
  <c r="G16948" i="1"/>
  <c r="B22518" i="1"/>
  <c r="D22518" i="1"/>
  <c r="G22518" i="1"/>
  <c r="B19850" i="1"/>
  <c r="D19850" i="1"/>
  <c r="G19850" i="1"/>
  <c r="B19851" i="1"/>
  <c r="D19851" i="1"/>
  <c r="G19851" i="1"/>
  <c r="B19852" i="1"/>
  <c r="D19852" i="1"/>
  <c r="G19852" i="1"/>
  <c r="B19853" i="1"/>
  <c r="D19853" i="1"/>
  <c r="G19853" i="1"/>
  <c r="B19854" i="1"/>
  <c r="D19854" i="1"/>
  <c r="G19854" i="1"/>
  <c r="B19855" i="1"/>
  <c r="D19855" i="1"/>
  <c r="G19855" i="1"/>
  <c r="B1501" i="1"/>
  <c r="D1501" i="1"/>
  <c r="G1501" i="1"/>
  <c r="B19856" i="1"/>
  <c r="D19856" i="1"/>
  <c r="G19856" i="1"/>
  <c r="B19857" i="1"/>
  <c r="D19857" i="1"/>
  <c r="G19857" i="1"/>
  <c r="B19858" i="1"/>
  <c r="D19858" i="1"/>
  <c r="G19858" i="1"/>
  <c r="B19859" i="1"/>
  <c r="D19859" i="1"/>
  <c r="G19859" i="1"/>
  <c r="B19860" i="1"/>
  <c r="D19860" i="1"/>
  <c r="G19860" i="1"/>
  <c r="B22519" i="1"/>
  <c r="D22519" i="1"/>
  <c r="G22519" i="1"/>
  <c r="B22490" i="1"/>
  <c r="D22490" i="1"/>
  <c r="G22490" i="1"/>
  <c r="B22491" i="1"/>
  <c r="D22491" i="1"/>
  <c r="G22491" i="1"/>
  <c r="B22520" i="1"/>
  <c r="D22520" i="1"/>
  <c r="G22520" i="1"/>
  <c r="B19809" i="1"/>
  <c r="D19809" i="1"/>
  <c r="G19809" i="1"/>
  <c r="B2083" i="1"/>
  <c r="D2083" i="1"/>
  <c r="G2083" i="1"/>
  <c r="B19810" i="1"/>
  <c r="D19810" i="1"/>
  <c r="G19810" i="1"/>
  <c r="B19811" i="1"/>
  <c r="D19811" i="1"/>
  <c r="G19811" i="1"/>
  <c r="B19812" i="1"/>
  <c r="D19812" i="1"/>
  <c r="G19812" i="1"/>
  <c r="B19813" i="1"/>
  <c r="D19813" i="1"/>
  <c r="G19813" i="1"/>
  <c r="B13566" i="1"/>
  <c r="D13566" i="1"/>
  <c r="G13566" i="1"/>
  <c r="B21313" i="1"/>
  <c r="D21313" i="1"/>
  <c r="G21313" i="1"/>
  <c r="B5129" i="1"/>
  <c r="D5129" i="1"/>
  <c r="G5129" i="1"/>
  <c r="B20496" i="1"/>
  <c r="D20496" i="1"/>
  <c r="G20496" i="1"/>
  <c r="B20497" i="1"/>
  <c r="D20497" i="1"/>
  <c r="G20497" i="1"/>
  <c r="B2084" i="1"/>
  <c r="D2084" i="1"/>
  <c r="G2084" i="1"/>
  <c r="B22521" i="1"/>
  <c r="D22521" i="1"/>
  <c r="G22521" i="1"/>
  <c r="B18317" i="1"/>
  <c r="D18317" i="1"/>
  <c r="G18317" i="1"/>
  <c r="B2252" i="1"/>
  <c r="D2252" i="1"/>
  <c r="G2252" i="1"/>
  <c r="B2253" i="1"/>
  <c r="D2253" i="1"/>
  <c r="G2253" i="1"/>
  <c r="B20498" i="1"/>
  <c r="D20498" i="1"/>
  <c r="G20498" i="1"/>
  <c r="B20499" i="1"/>
  <c r="D20499" i="1"/>
  <c r="G20499" i="1"/>
  <c r="B19814" i="1"/>
  <c r="D19814" i="1"/>
  <c r="G19814" i="1"/>
  <c r="B20500" i="1"/>
  <c r="D20500" i="1"/>
  <c r="G20500" i="1"/>
  <c r="B18318" i="1"/>
  <c r="D18318" i="1"/>
  <c r="G18318" i="1"/>
  <c r="B18385" i="1"/>
  <c r="D18385" i="1"/>
  <c r="G18385" i="1"/>
  <c r="B13661" i="1"/>
  <c r="D13661" i="1"/>
  <c r="G13661" i="1"/>
  <c r="B18368" i="1"/>
  <c r="D18368" i="1"/>
  <c r="G18368" i="1"/>
  <c r="B18380" i="1"/>
  <c r="D18380" i="1"/>
  <c r="G18380" i="1"/>
  <c r="B18381" i="1"/>
  <c r="D18381" i="1"/>
  <c r="G18381" i="1"/>
  <c r="B18383" i="1"/>
  <c r="D18383" i="1"/>
  <c r="G18383" i="1"/>
  <c r="B18391" i="1"/>
  <c r="D18391" i="1"/>
  <c r="G18391" i="1"/>
  <c r="B18375" i="1"/>
  <c r="D18375" i="1"/>
  <c r="G18375" i="1"/>
  <c r="B18373" i="1"/>
  <c r="D18373" i="1"/>
  <c r="G18373" i="1"/>
  <c r="B18378" i="1"/>
  <c r="D18378" i="1"/>
  <c r="G18378" i="1"/>
  <c r="B13703" i="1"/>
  <c r="D13703" i="1"/>
  <c r="G13703" i="1"/>
  <c r="B18210" i="1"/>
  <c r="D18210" i="1"/>
  <c r="G18210" i="1"/>
  <c r="B13706" i="1"/>
  <c r="D13706" i="1"/>
  <c r="G13706" i="1"/>
  <c r="B18366" i="1"/>
  <c r="D18366" i="1"/>
  <c r="G18366" i="1"/>
  <c r="B13613" i="1"/>
  <c r="D13613" i="1"/>
  <c r="G13613" i="1"/>
  <c r="B14048" i="1"/>
  <c r="D14048" i="1"/>
  <c r="G14048" i="1"/>
  <c r="B13749" i="1"/>
  <c r="D13749" i="1"/>
  <c r="G13749" i="1"/>
  <c r="B1943" i="1"/>
  <c r="D1943" i="1"/>
  <c r="G1943" i="1"/>
  <c r="B18319" i="1"/>
  <c r="D18319" i="1"/>
  <c r="G18319" i="1"/>
  <c r="B21645" i="1"/>
  <c r="D21645" i="1"/>
  <c r="G21645" i="1"/>
  <c r="B20108" i="1"/>
  <c r="D20108" i="1"/>
  <c r="G20108" i="1"/>
  <c r="B2995" i="1"/>
  <c r="D2995" i="1"/>
  <c r="G2995" i="1"/>
  <c r="B12342" i="1"/>
  <c r="D12342" i="1"/>
  <c r="G12342" i="1"/>
  <c r="B20501" i="1"/>
  <c r="D20501" i="1"/>
  <c r="G20501" i="1"/>
  <c r="B9083" i="1"/>
  <c r="D9083" i="1"/>
  <c r="G9083" i="1"/>
  <c r="B18320" i="1"/>
  <c r="D18320" i="1"/>
  <c r="G18320" i="1"/>
  <c r="B18321" i="1"/>
  <c r="D18321" i="1"/>
  <c r="G18321" i="1"/>
  <c r="B12632" i="1"/>
  <c r="D12632" i="1"/>
  <c r="G12632" i="1"/>
  <c r="B18322" i="1"/>
  <c r="D18322" i="1"/>
  <c r="G18322" i="1"/>
  <c r="B18323" i="1"/>
  <c r="D18323" i="1"/>
  <c r="G18323" i="1"/>
  <c r="B18324" i="1"/>
  <c r="D18324" i="1"/>
  <c r="G18324" i="1"/>
  <c r="B18325" i="1"/>
  <c r="D18325" i="1"/>
  <c r="G18325" i="1"/>
  <c r="B9148" i="1"/>
  <c r="D9148" i="1"/>
  <c r="G9148" i="1"/>
  <c r="B15764" i="1"/>
  <c r="D15764" i="1"/>
  <c r="G15764" i="1"/>
  <c r="B20502" i="1"/>
  <c r="D20502" i="1"/>
  <c r="G20502" i="1"/>
  <c r="B13930" i="1"/>
  <c r="D13930" i="1"/>
  <c r="G13930" i="1"/>
  <c r="B20259" i="1"/>
  <c r="D20259" i="1"/>
  <c r="G20259" i="1"/>
  <c r="B20260" i="1"/>
  <c r="D20260" i="1"/>
  <c r="G20260" i="1"/>
  <c r="B20261" i="1"/>
  <c r="D20261" i="1"/>
  <c r="G20261" i="1"/>
  <c r="B20503" i="1"/>
  <c r="D20503" i="1"/>
  <c r="G20503" i="1"/>
  <c r="B20504" i="1"/>
  <c r="D20504" i="1"/>
  <c r="G20504" i="1"/>
  <c r="B5806" i="1"/>
  <c r="D5806" i="1"/>
  <c r="G5806" i="1"/>
  <c r="B9084" i="1"/>
  <c r="D9084" i="1"/>
  <c r="G9084" i="1"/>
  <c r="B5130" i="1"/>
  <c r="D5130" i="1"/>
  <c r="G5130" i="1"/>
  <c r="B6695" i="1"/>
  <c r="D6695" i="1"/>
  <c r="G6695" i="1"/>
  <c r="B9085" i="1"/>
  <c r="D9085" i="1"/>
  <c r="G9085" i="1"/>
  <c r="B9086" i="1"/>
  <c r="D9086" i="1"/>
  <c r="G9086" i="1"/>
  <c r="B5131" i="1"/>
  <c r="D5131" i="1"/>
  <c r="G5131" i="1"/>
  <c r="B5132" i="1"/>
  <c r="D5132" i="1"/>
  <c r="G5132" i="1"/>
  <c r="B5133" i="1"/>
  <c r="D5133" i="1"/>
  <c r="G5133" i="1"/>
  <c r="B9087" i="1"/>
  <c r="D9087" i="1"/>
  <c r="G9087" i="1"/>
  <c r="B9088" i="1"/>
  <c r="D9088" i="1"/>
  <c r="G9088" i="1"/>
  <c r="B5134" i="1"/>
  <c r="D5134" i="1"/>
  <c r="G5134" i="1"/>
  <c r="B9089" i="1"/>
  <c r="D9089" i="1"/>
  <c r="G9089" i="1"/>
  <c r="B5135" i="1"/>
  <c r="D5135" i="1"/>
  <c r="G5135" i="1"/>
  <c r="B5136" i="1"/>
  <c r="D5136" i="1"/>
  <c r="G5136" i="1"/>
  <c r="B5137" i="1"/>
  <c r="D5137" i="1"/>
  <c r="G5137" i="1"/>
  <c r="B13493" i="1"/>
  <c r="D13493" i="1"/>
  <c r="G13493" i="1"/>
  <c r="B16949" i="1"/>
  <c r="D16949" i="1"/>
  <c r="G16949" i="1"/>
  <c r="B19952" i="1"/>
  <c r="D19952" i="1"/>
  <c r="G19952" i="1"/>
  <c r="B4044" i="1"/>
  <c r="D4044" i="1"/>
  <c r="G4044" i="1"/>
  <c r="B20505" i="1"/>
  <c r="D20505" i="1"/>
  <c r="G20505" i="1"/>
  <c r="B14064" i="1"/>
  <c r="D14064" i="1"/>
  <c r="G14064" i="1"/>
  <c r="B20994" i="1"/>
  <c r="D20994" i="1"/>
  <c r="G20994" i="1"/>
  <c r="B22247" i="1"/>
  <c r="D22247" i="1"/>
  <c r="G22247" i="1"/>
  <c r="B21310" i="1"/>
  <c r="D21310" i="1"/>
  <c r="G21310" i="1"/>
  <c r="B7274" i="1"/>
  <c r="D7274" i="1"/>
  <c r="G7274" i="1"/>
  <c r="B21398" i="1"/>
  <c r="D21398" i="1"/>
  <c r="G21398" i="1"/>
  <c r="B13744" i="1"/>
  <c r="D13744" i="1"/>
  <c r="G13744" i="1"/>
  <c r="B9090" i="1"/>
  <c r="D9090" i="1"/>
  <c r="G9090" i="1"/>
  <c r="B13540" i="1"/>
  <c r="D13540" i="1"/>
  <c r="G13540" i="1"/>
  <c r="B5805" i="1"/>
  <c r="D5805" i="1"/>
  <c r="G5805" i="1"/>
  <c r="B20995" i="1"/>
  <c r="D20995" i="1"/>
  <c r="G20995" i="1"/>
  <c r="B20996" i="1"/>
  <c r="D20996" i="1"/>
  <c r="G20996" i="1"/>
  <c r="B15968" i="1"/>
  <c r="D15968" i="1"/>
  <c r="G15968" i="1"/>
  <c r="B22522" i="1"/>
  <c r="D22522" i="1"/>
  <c r="G22522" i="1"/>
  <c r="B14156" i="1"/>
  <c r="D14156" i="1"/>
  <c r="G14156" i="1"/>
  <c r="B15969" i="1"/>
  <c r="D15969" i="1"/>
  <c r="G15969" i="1"/>
  <c r="B15970" i="1"/>
  <c r="D15970" i="1"/>
  <c r="G15970" i="1"/>
  <c r="B15971" i="1"/>
  <c r="D15971" i="1"/>
  <c r="G15971" i="1"/>
  <c r="B15972" i="1"/>
  <c r="D15972" i="1"/>
  <c r="G15972" i="1"/>
  <c r="B15973" i="1"/>
  <c r="D15973" i="1"/>
  <c r="G15973" i="1"/>
  <c r="B20997" i="1"/>
  <c r="D20997" i="1"/>
  <c r="G20997" i="1"/>
  <c r="B20998" i="1"/>
  <c r="D20998" i="1"/>
  <c r="G20998" i="1"/>
  <c r="B15974" i="1"/>
  <c r="D15974" i="1"/>
  <c r="G15974" i="1"/>
  <c r="B15975" i="1"/>
  <c r="D15975" i="1"/>
  <c r="G15975" i="1"/>
  <c r="B20999" i="1"/>
  <c r="D20999" i="1"/>
  <c r="G20999" i="1"/>
  <c r="B15976" i="1"/>
  <c r="D15976" i="1"/>
  <c r="G15976" i="1"/>
  <c r="B21000" i="1"/>
  <c r="D21000" i="1"/>
  <c r="G21000" i="1"/>
  <c r="B230" i="1"/>
  <c r="D230" i="1"/>
  <c r="G230" i="1"/>
  <c r="B1498" i="1"/>
  <c r="D1498" i="1"/>
  <c r="G1498" i="1"/>
  <c r="B231" i="1"/>
  <c r="D231" i="1"/>
  <c r="G231" i="1"/>
  <c r="B15977" i="1"/>
  <c r="D15977" i="1"/>
  <c r="G15977" i="1"/>
  <c r="B19962" i="1"/>
  <c r="D19962" i="1"/>
  <c r="G19962" i="1"/>
  <c r="B11464" i="1"/>
  <c r="D11464" i="1"/>
  <c r="G11464" i="1"/>
  <c r="B22528" i="1"/>
  <c r="D22528" i="1"/>
  <c r="G22528" i="1"/>
  <c r="B232" i="1"/>
  <c r="D232" i="1"/>
  <c r="G232" i="1"/>
  <c r="B21001" i="1"/>
  <c r="D21001" i="1"/>
  <c r="G21001" i="1"/>
  <c r="B21002" i="1"/>
  <c r="D21002" i="1"/>
  <c r="G21002" i="1"/>
  <c r="B21003" i="1"/>
  <c r="D21003" i="1"/>
  <c r="G21003" i="1"/>
  <c r="B22523" i="1"/>
  <c r="D22523" i="1"/>
  <c r="G22523" i="1"/>
  <c r="B15765" i="1"/>
  <c r="D15765" i="1"/>
  <c r="G15765" i="1"/>
  <c r="B20027" i="1"/>
  <c r="D20027" i="1"/>
  <c r="G20027" i="1"/>
  <c r="B20028" i="1"/>
  <c r="D20028" i="1"/>
  <c r="G20028" i="1"/>
  <c r="B20029" i="1"/>
  <c r="D20029" i="1"/>
  <c r="G20029" i="1"/>
  <c r="B20030" i="1"/>
  <c r="D20030" i="1"/>
  <c r="G20030" i="1"/>
  <c r="B10074" i="1"/>
  <c r="D10074" i="1"/>
  <c r="G10074" i="1"/>
  <c r="B22492" i="1"/>
  <c r="D22492" i="1"/>
  <c r="G22492" i="1"/>
  <c r="B18335" i="1"/>
  <c r="D18335" i="1"/>
  <c r="G18335" i="1"/>
  <c r="B22524" i="1"/>
  <c r="D22524" i="1"/>
  <c r="G22524" i="1"/>
  <c r="B4505" i="1"/>
  <c r="D4505" i="1"/>
  <c r="G4505" i="1"/>
  <c r="B20506" i="1"/>
  <c r="D20506" i="1"/>
  <c r="G20506" i="1"/>
  <c r="B12343" i="1"/>
  <c r="D12343" i="1"/>
  <c r="G12343" i="1"/>
  <c r="B12344" i="1"/>
  <c r="D12344" i="1"/>
  <c r="G12344" i="1"/>
  <c r="B12345" i="1"/>
  <c r="D12345" i="1"/>
  <c r="G12345" i="1"/>
  <c r="B19803" i="1"/>
  <c r="D19803" i="1"/>
  <c r="G19803" i="1"/>
  <c r="B2241" i="1"/>
  <c r="D2241" i="1"/>
  <c r="G2241" i="1"/>
  <c r="B22486" i="1"/>
  <c r="D22486" i="1"/>
  <c r="G22486" i="1"/>
  <c r="B14058" i="1"/>
  <c r="D14058" i="1"/>
  <c r="G14058" i="1"/>
  <c r="B22525" i="1"/>
  <c r="D22525" i="1"/>
  <c r="G22525" i="1"/>
  <c r="B14384" i="1"/>
  <c r="D14384" i="1"/>
  <c r="G14384" i="1"/>
  <c r="B22531" i="1"/>
  <c r="D22531" i="1"/>
  <c r="G22531" i="1"/>
  <c r="B12394" i="1"/>
  <c r="D12394" i="1"/>
  <c r="G12394" i="1"/>
  <c r="B20507" i="1"/>
  <c r="D20507" i="1"/>
  <c r="G20507" i="1"/>
  <c r="B233" i="1"/>
  <c r="D233" i="1"/>
  <c r="G233" i="1"/>
  <c r="B15978" i="1"/>
  <c r="D15978" i="1"/>
  <c r="G15978" i="1"/>
  <c r="B15979" i="1"/>
  <c r="D15979" i="1"/>
  <c r="G15979" i="1"/>
  <c r="B15980" i="1"/>
  <c r="D15980" i="1"/>
  <c r="G15980" i="1"/>
  <c r="B15766" i="1"/>
  <c r="D15766" i="1"/>
  <c r="G15766" i="1"/>
  <c r="B15767" i="1"/>
  <c r="D15767" i="1"/>
  <c r="G15767" i="1"/>
  <c r="B15768" i="1"/>
  <c r="D15768" i="1"/>
  <c r="G15768" i="1"/>
  <c r="B14420" i="1"/>
  <c r="D14420" i="1"/>
  <c r="G14420" i="1"/>
  <c r="B17271" i="1"/>
  <c r="D17271" i="1"/>
  <c r="G17271" i="1"/>
  <c r="B19963" i="1"/>
  <c r="D19963" i="1"/>
  <c r="G19963" i="1"/>
  <c r="B15769" i="1"/>
  <c r="D15769" i="1"/>
  <c r="G15769" i="1"/>
  <c r="B15770" i="1"/>
  <c r="D15770" i="1"/>
  <c r="G15770" i="1"/>
  <c r="B15771" i="1"/>
  <c r="D15771" i="1"/>
  <c r="G15771" i="1"/>
  <c r="B22559" i="1"/>
  <c r="D22559" i="1"/>
  <c r="G22559" i="1"/>
  <c r="B20262" i="1"/>
  <c r="D20262" i="1"/>
  <c r="G20262" i="1"/>
  <c r="B14261" i="1"/>
  <c r="D14261" i="1"/>
  <c r="G14261" i="1"/>
  <c r="B13512" i="1"/>
  <c r="D13512" i="1"/>
  <c r="G13512" i="1"/>
  <c r="B19953" i="1"/>
  <c r="D19953" i="1"/>
  <c r="G19953" i="1"/>
  <c r="B20508" i="1"/>
  <c r="D20508" i="1"/>
  <c r="G20508" i="1"/>
  <c r="B22526" i="1"/>
  <c r="D22526" i="1"/>
  <c r="G22526" i="1"/>
  <c r="B19954" i="1"/>
  <c r="D19954" i="1"/>
  <c r="G19954" i="1"/>
  <c r="B13766" i="1"/>
  <c r="D13766" i="1"/>
  <c r="G13766" i="1"/>
  <c r="B20509" i="1"/>
  <c r="D20509" i="1"/>
  <c r="G20509" i="1"/>
  <c r="B20510" i="1"/>
  <c r="D20510" i="1"/>
  <c r="G20510" i="1"/>
  <c r="B20511" i="1"/>
  <c r="D20511" i="1"/>
  <c r="G20511" i="1"/>
  <c r="B20512" i="1"/>
  <c r="D20512" i="1"/>
  <c r="G20512" i="1"/>
  <c r="B20513" i="1"/>
  <c r="D20513" i="1"/>
  <c r="G20513" i="1"/>
  <c r="B20514" i="1"/>
  <c r="D20514" i="1"/>
  <c r="G20514" i="1"/>
  <c r="B22527" i="1"/>
  <c r="D22527" i="1"/>
  <c r="G22527" i="1"/>
  <c r="B22532" i="1"/>
  <c r="D22532" i="1"/>
  <c r="G22532" i="1"/>
  <c r="B287" i="1"/>
  <c r="D287" i="1"/>
  <c r="G287" i="1"/>
  <c r="B6576" i="1"/>
  <c r="D6576" i="1"/>
  <c r="G6576" i="1"/>
  <c r="B3324" i="1"/>
  <c r="D3324" i="1"/>
  <c r="G3324" i="1"/>
  <c r="B4999" i="1"/>
  <c r="D4999" i="1"/>
  <c r="G4999" i="1"/>
  <c r="B5000" i="1"/>
  <c r="D5000" i="1"/>
  <c r="G5000" i="1"/>
  <c r="B5001" i="1"/>
  <c r="D5001" i="1"/>
  <c r="G5001" i="1"/>
  <c r="B5002" i="1"/>
  <c r="D5002" i="1"/>
  <c r="G5002" i="1"/>
  <c r="B5003" i="1"/>
  <c r="D5003" i="1"/>
  <c r="G5003" i="1"/>
  <c r="B5004" i="1"/>
  <c r="D5004" i="1"/>
  <c r="G5004" i="1"/>
  <c r="B5005" i="1"/>
  <c r="D5005" i="1"/>
  <c r="G5005" i="1"/>
  <c r="B5006" i="1"/>
  <c r="D5006" i="1"/>
  <c r="G5006" i="1"/>
  <c r="B5007" i="1"/>
  <c r="D5007" i="1"/>
  <c r="G5007" i="1"/>
  <c r="B5008" i="1"/>
  <c r="D5008" i="1"/>
  <c r="G5008" i="1"/>
  <c r="B5009" i="1"/>
  <c r="D5009" i="1"/>
  <c r="G5009" i="1"/>
  <c r="B5010" i="1"/>
  <c r="D5010" i="1"/>
  <c r="G5010" i="1"/>
  <c r="B22257" i="1"/>
  <c r="D22257" i="1"/>
  <c r="G22257" i="1"/>
  <c r="B22258" i="1"/>
  <c r="D22258" i="1"/>
  <c r="G22258" i="1"/>
  <c r="B12581" i="1"/>
  <c r="D12581" i="1"/>
  <c r="G12581" i="1"/>
  <c r="B22259" i="1"/>
  <c r="D22259" i="1"/>
  <c r="G22259" i="1"/>
  <c r="B22260" i="1"/>
  <c r="D22260" i="1"/>
  <c r="G22260" i="1"/>
  <c r="B22261" i="1"/>
  <c r="D22261" i="1"/>
  <c r="G22261" i="1"/>
  <c r="B12582" i="1"/>
  <c r="D12582" i="1"/>
  <c r="G12582" i="1"/>
  <c r="B22262" i="1"/>
  <c r="D22262" i="1"/>
  <c r="G22262" i="1"/>
  <c r="B12583" i="1"/>
  <c r="D12583" i="1"/>
  <c r="G12583" i="1"/>
  <c r="B17969" i="1"/>
  <c r="D17969" i="1"/>
  <c r="G17969" i="1"/>
  <c r="B9286" i="1"/>
  <c r="D9286" i="1"/>
  <c r="G9286" i="1"/>
  <c r="B22263" i="1"/>
  <c r="D22263" i="1"/>
  <c r="G22263" i="1"/>
  <c r="B17970" i="1"/>
  <c r="D17970" i="1"/>
  <c r="G17970" i="1"/>
  <c r="B22264" i="1"/>
  <c r="D22264" i="1"/>
  <c r="G22264" i="1"/>
  <c r="B9287" i="1"/>
  <c r="D9287" i="1"/>
  <c r="G9287" i="1"/>
  <c r="B9288" i="1"/>
  <c r="D9288" i="1"/>
  <c r="G9288" i="1"/>
  <c r="B22265" i="1"/>
  <c r="D22265" i="1"/>
  <c r="G22265" i="1"/>
  <c r="B22266" i="1"/>
  <c r="D22266" i="1"/>
  <c r="G22266" i="1"/>
  <c r="B22267" i="1"/>
  <c r="D22267" i="1"/>
  <c r="G22267" i="1"/>
  <c r="B22268" i="1"/>
  <c r="D22268" i="1"/>
  <c r="G22268" i="1"/>
  <c r="B22269" i="1"/>
  <c r="D22269" i="1"/>
  <c r="G22269" i="1"/>
  <c r="B17971" i="1"/>
  <c r="D17971" i="1"/>
  <c r="G17971" i="1"/>
  <c r="B22270" i="1"/>
  <c r="D22270" i="1"/>
  <c r="G22270" i="1"/>
  <c r="B22271" i="1"/>
  <c r="D22271" i="1"/>
  <c r="G22271" i="1"/>
  <c r="B22272" i="1"/>
  <c r="D22272" i="1"/>
  <c r="G22272" i="1"/>
  <c r="B22273" i="1"/>
  <c r="D22273" i="1"/>
  <c r="G22273" i="1"/>
  <c r="B13553" i="1"/>
  <c r="D13553" i="1"/>
  <c r="G13553" i="1"/>
  <c r="B13554" i="1"/>
  <c r="D13554" i="1"/>
  <c r="G13554" i="1"/>
  <c r="B6891" i="1"/>
  <c r="D6891" i="1"/>
  <c r="G6891" i="1"/>
  <c r="B5819" i="1"/>
  <c r="D5819" i="1"/>
  <c r="G5819" i="1"/>
  <c r="B6114" i="1"/>
  <c r="D6114" i="1"/>
  <c r="G6114" i="1"/>
  <c r="B6886" i="1"/>
  <c r="D6886" i="1"/>
  <c r="G6886" i="1"/>
  <c r="B9580" i="1"/>
  <c r="D9580" i="1"/>
  <c r="G9580" i="1"/>
  <c r="B17011" i="1"/>
  <c r="D17011" i="1"/>
  <c r="G17011" i="1"/>
  <c r="B5011" i="1"/>
  <c r="D5011" i="1"/>
  <c r="G5011" i="1"/>
  <c r="B5012" i="1"/>
  <c r="D5012" i="1"/>
  <c r="G5012" i="1"/>
  <c r="B5013" i="1"/>
  <c r="D5013" i="1"/>
  <c r="G5013" i="1"/>
  <c r="B5014" i="1"/>
  <c r="D5014" i="1"/>
  <c r="G5014" i="1"/>
  <c r="B5015" i="1"/>
  <c r="D5015" i="1"/>
  <c r="G5015" i="1"/>
  <c r="B5016" i="1"/>
  <c r="D5016" i="1"/>
  <c r="G5016" i="1"/>
  <c r="B5017" i="1"/>
  <c r="D5017" i="1"/>
  <c r="G5017" i="1"/>
  <c r="B5018" i="1"/>
  <c r="D5018" i="1"/>
  <c r="G5018" i="1"/>
  <c r="B5019" i="1"/>
  <c r="D5019" i="1"/>
  <c r="G5019" i="1"/>
  <c r="B5020" i="1"/>
  <c r="D5020" i="1"/>
  <c r="G5020" i="1"/>
  <c r="B5021" i="1"/>
  <c r="D5021" i="1"/>
  <c r="G5021" i="1"/>
  <c r="B22421" i="1"/>
  <c r="D22421" i="1"/>
  <c r="G22421" i="1"/>
  <c r="B13947" i="1"/>
  <c r="D13947" i="1"/>
  <c r="G13947" i="1"/>
  <c r="B22422" i="1"/>
  <c r="D22422" i="1"/>
  <c r="G22422" i="1"/>
  <c r="B22423" i="1"/>
  <c r="D22423" i="1"/>
  <c r="G22423" i="1"/>
  <c r="B22424" i="1"/>
  <c r="D22424" i="1"/>
  <c r="G22424" i="1"/>
  <c r="B5952" i="1"/>
  <c r="D5952" i="1"/>
  <c r="G5952" i="1"/>
  <c r="B9289" i="1"/>
  <c r="D9289" i="1"/>
  <c r="G9289" i="1"/>
  <c r="B9290" i="1"/>
  <c r="D9290" i="1"/>
  <c r="G9290" i="1"/>
  <c r="B9291" i="1"/>
  <c r="D9291" i="1"/>
  <c r="G9291" i="1"/>
  <c r="B9292" i="1"/>
  <c r="D9292" i="1"/>
  <c r="G9292" i="1"/>
  <c r="B9293" i="1"/>
  <c r="D9293" i="1"/>
  <c r="G9293" i="1"/>
  <c r="B9294" i="1"/>
  <c r="D9294" i="1"/>
  <c r="G9294" i="1"/>
  <c r="B17972" i="1"/>
  <c r="D17972" i="1"/>
  <c r="G17972" i="1"/>
  <c r="B17973" i="1"/>
  <c r="D17973" i="1"/>
  <c r="G17973" i="1"/>
  <c r="B12584" i="1"/>
  <c r="D12584" i="1"/>
  <c r="G12584" i="1"/>
  <c r="B12585" i="1"/>
  <c r="D12585" i="1"/>
  <c r="G12585" i="1"/>
  <c r="B12586" i="1"/>
  <c r="D12586" i="1"/>
  <c r="G12586" i="1"/>
  <c r="B12587" i="1"/>
  <c r="D12587" i="1"/>
  <c r="G12587" i="1"/>
  <c r="B17974" i="1"/>
  <c r="D17974" i="1"/>
  <c r="G17974" i="1"/>
  <c r="B12588" i="1"/>
  <c r="D12588" i="1"/>
  <c r="G12588" i="1"/>
  <c r="B17975" i="1"/>
  <c r="D17975" i="1"/>
  <c r="G17975" i="1"/>
  <c r="B12589" i="1"/>
  <c r="D12589" i="1"/>
  <c r="G12589" i="1"/>
  <c r="B12590" i="1"/>
  <c r="D12590" i="1"/>
  <c r="G12590" i="1"/>
  <c r="B22274" i="1"/>
  <c r="D22274" i="1"/>
  <c r="G22274" i="1"/>
  <c r="B12591" i="1"/>
  <c r="D12591" i="1"/>
  <c r="G12591" i="1"/>
  <c r="B12592" i="1"/>
  <c r="D12592" i="1"/>
  <c r="G12592" i="1"/>
  <c r="B12593" i="1"/>
  <c r="D12593" i="1"/>
  <c r="G12593" i="1"/>
  <c r="B22275" i="1"/>
  <c r="D22275" i="1"/>
  <c r="G22275" i="1"/>
  <c r="B17976" i="1"/>
  <c r="D17976" i="1"/>
  <c r="G17976" i="1"/>
  <c r="B22276" i="1"/>
  <c r="D22276" i="1"/>
  <c r="G22276" i="1"/>
  <c r="B22277" i="1"/>
  <c r="D22277" i="1"/>
  <c r="G22277" i="1"/>
  <c r="B22278" i="1"/>
  <c r="D22278" i="1"/>
  <c r="G22278" i="1"/>
  <c r="B22279" i="1"/>
  <c r="D22279" i="1"/>
  <c r="G22279" i="1"/>
  <c r="B10023" i="1"/>
  <c r="D10023" i="1"/>
  <c r="G10023" i="1"/>
  <c r="B14447" i="1"/>
  <c r="D14447" i="1"/>
  <c r="G14447" i="1"/>
  <c r="B22425" i="1"/>
  <c r="D22425" i="1"/>
  <c r="G22425" i="1"/>
  <c r="B12741" i="1"/>
  <c r="D12741" i="1"/>
  <c r="G12741" i="1"/>
  <c r="B22426" i="1"/>
  <c r="D22426" i="1"/>
  <c r="G22426" i="1"/>
  <c r="B22427" i="1"/>
  <c r="D22427" i="1"/>
  <c r="G22427" i="1"/>
  <c r="B22485" i="1"/>
  <c r="D22485" i="1"/>
  <c r="G22485" i="1"/>
  <c r="B12742" i="1"/>
  <c r="D12742" i="1"/>
  <c r="G12742" i="1"/>
  <c r="B14067" i="1"/>
  <c r="D14067" i="1"/>
  <c r="G14067" i="1"/>
  <c r="B4915" i="1"/>
  <c r="D4915" i="1"/>
  <c r="G4915" i="1"/>
  <c r="B9488" i="1"/>
  <c r="D9488" i="1"/>
  <c r="G9488" i="1"/>
  <c r="B9489" i="1"/>
  <c r="D9489" i="1"/>
  <c r="G9489" i="1"/>
  <c r="B12743" i="1"/>
  <c r="D12743" i="1"/>
  <c r="G12743" i="1"/>
  <c r="B9490" i="1"/>
  <c r="D9490" i="1"/>
  <c r="G9490" i="1"/>
  <c r="B9991" i="1"/>
  <c r="D9991" i="1"/>
  <c r="G9991" i="1"/>
  <c r="B8610" i="1"/>
  <c r="D8610" i="1"/>
  <c r="G8610" i="1"/>
  <c r="B14160" i="1"/>
  <c r="D14160" i="1"/>
  <c r="G14160" i="1"/>
  <c r="B14159" i="1"/>
  <c r="D14159" i="1"/>
  <c r="G14159" i="1"/>
  <c r="B12744" i="1"/>
  <c r="D12744" i="1"/>
  <c r="G12744" i="1"/>
  <c r="B20226" i="1"/>
  <c r="D20226" i="1"/>
  <c r="G20226" i="1"/>
  <c r="B20228" i="1"/>
  <c r="D20228" i="1"/>
  <c r="G20228" i="1"/>
  <c r="B16184" i="1"/>
  <c r="D16184" i="1"/>
  <c r="G16184" i="1"/>
  <c r="B17267" i="1"/>
  <c r="D17267" i="1"/>
  <c r="G17267" i="1"/>
  <c r="B2996" i="1"/>
  <c r="D2996" i="1"/>
  <c r="G2996" i="1"/>
  <c r="B13929" i="1"/>
  <c r="D13929" i="1"/>
  <c r="G13929" i="1"/>
  <c r="B4916" i="1"/>
  <c r="D4916" i="1"/>
  <c r="G4916" i="1"/>
  <c r="B6093" i="1"/>
  <c r="D6093" i="1"/>
  <c r="G6093" i="1"/>
  <c r="B5277" i="1"/>
  <c r="D5277" i="1"/>
  <c r="G5277" i="1"/>
  <c r="B14063" i="1"/>
  <c r="D14063" i="1"/>
  <c r="G14063" i="1"/>
  <c r="B14070" i="1"/>
  <c r="D14070" i="1"/>
  <c r="G14070" i="1"/>
  <c r="B14122" i="1"/>
  <c r="D14122" i="1"/>
  <c r="G14122" i="1"/>
  <c r="B20073" i="1"/>
  <c r="D20073" i="1"/>
  <c r="G20073" i="1"/>
  <c r="B4846" i="1"/>
  <c r="D4846" i="1"/>
  <c r="G4846" i="1"/>
  <c r="B11844" i="1"/>
  <c r="D11844" i="1"/>
  <c r="G11844" i="1"/>
  <c r="B5022" i="1"/>
  <c r="D5022" i="1"/>
  <c r="G5022" i="1"/>
  <c r="B5023" i="1"/>
  <c r="D5023" i="1"/>
  <c r="G5023" i="1"/>
  <c r="B5024" i="1"/>
  <c r="D5024" i="1"/>
  <c r="G5024" i="1"/>
  <c r="B5025" i="1"/>
  <c r="D5025" i="1"/>
  <c r="G5025" i="1"/>
  <c r="B5026" i="1"/>
  <c r="D5026" i="1"/>
  <c r="G5026" i="1"/>
  <c r="B5027" i="1"/>
  <c r="D5027" i="1"/>
  <c r="G5027" i="1"/>
  <c r="B5028" i="1"/>
  <c r="D5028" i="1"/>
  <c r="G5028" i="1"/>
  <c r="B5029" i="1"/>
  <c r="D5029" i="1"/>
  <c r="G5029" i="1"/>
  <c r="B5030" i="1"/>
  <c r="D5030" i="1"/>
  <c r="G5030" i="1"/>
  <c r="B5031" i="1"/>
  <c r="D5031" i="1"/>
  <c r="G5031" i="1"/>
  <c r="B5032" i="1"/>
  <c r="D5032" i="1"/>
  <c r="G5032" i="1"/>
  <c r="B5033" i="1"/>
  <c r="D5033" i="1"/>
  <c r="G5033" i="1"/>
  <c r="B5034" i="1"/>
  <c r="D5034" i="1"/>
  <c r="G5034" i="1"/>
  <c r="B12594" i="1"/>
  <c r="D12594" i="1"/>
  <c r="G12594" i="1"/>
  <c r="B17977" i="1"/>
  <c r="D17977" i="1"/>
  <c r="G17977" i="1"/>
  <c r="B12745" i="1"/>
  <c r="D12745" i="1"/>
  <c r="G12745" i="1"/>
  <c r="B17978" i="1"/>
  <c r="D17978" i="1"/>
  <c r="G17978" i="1"/>
  <c r="B22280" i="1"/>
  <c r="D22280" i="1"/>
  <c r="G22280" i="1"/>
  <c r="B22281" i="1"/>
  <c r="D22281" i="1"/>
  <c r="G22281" i="1"/>
  <c r="B22282" i="1"/>
  <c r="D22282" i="1"/>
  <c r="G22282" i="1"/>
  <c r="B17979" i="1"/>
  <c r="D17979" i="1"/>
  <c r="G17979" i="1"/>
  <c r="B22283" i="1"/>
  <c r="D22283" i="1"/>
  <c r="G22283" i="1"/>
  <c r="B9295" i="1"/>
  <c r="D9295" i="1"/>
  <c r="G9295" i="1"/>
  <c r="B22284" i="1"/>
  <c r="D22284" i="1"/>
  <c r="G22284" i="1"/>
  <c r="B22285" i="1"/>
  <c r="D22285" i="1"/>
  <c r="G22285" i="1"/>
  <c r="B22286" i="1"/>
  <c r="D22286" i="1"/>
  <c r="G22286" i="1"/>
  <c r="B22287" i="1"/>
  <c r="D22287" i="1"/>
  <c r="G22287" i="1"/>
  <c r="B22288" i="1"/>
  <c r="D22288" i="1"/>
  <c r="G22288" i="1"/>
  <c r="B22289" i="1"/>
  <c r="D22289" i="1"/>
  <c r="G22289" i="1"/>
  <c r="B9296" i="1"/>
  <c r="D9296" i="1"/>
  <c r="G9296" i="1"/>
  <c r="B22290" i="1"/>
  <c r="D22290" i="1"/>
  <c r="G22290" i="1"/>
  <c r="B9297" i="1"/>
  <c r="D9297" i="1"/>
  <c r="G9297" i="1"/>
  <c r="B9298" i="1"/>
  <c r="D9298" i="1"/>
  <c r="G9298" i="1"/>
  <c r="B9299" i="1"/>
  <c r="D9299" i="1"/>
  <c r="G9299" i="1"/>
  <c r="B22291" i="1"/>
  <c r="D22291" i="1"/>
  <c r="G22291" i="1"/>
  <c r="B9300" i="1"/>
  <c r="D9300" i="1"/>
  <c r="G9300" i="1"/>
  <c r="B9301" i="1"/>
  <c r="D9301" i="1"/>
  <c r="G9301" i="1"/>
  <c r="B9302" i="1"/>
  <c r="D9302" i="1"/>
  <c r="G9302" i="1"/>
  <c r="B9303" i="1"/>
  <c r="D9303" i="1"/>
  <c r="G9303" i="1"/>
  <c r="B9304" i="1"/>
  <c r="D9304" i="1"/>
  <c r="G9304" i="1"/>
  <c r="B9305" i="1"/>
  <c r="D9305" i="1"/>
  <c r="G9305" i="1"/>
  <c r="B9306" i="1"/>
  <c r="D9306" i="1"/>
  <c r="G9306" i="1"/>
  <c r="B9307" i="1"/>
  <c r="D9307" i="1"/>
  <c r="G9307" i="1"/>
  <c r="B17980" i="1"/>
  <c r="D17980" i="1"/>
  <c r="G17980" i="1"/>
  <c r="B11462" i="1"/>
  <c r="D11462" i="1"/>
  <c r="G11462" i="1"/>
  <c r="B14397" i="1"/>
  <c r="D14397" i="1"/>
  <c r="G14397" i="1"/>
  <c r="B14460" i="1"/>
  <c r="D14460" i="1"/>
  <c r="G14460" i="1"/>
  <c r="B19964" i="1"/>
  <c r="D19964" i="1"/>
  <c r="G19964" i="1"/>
  <c r="B17981" i="1"/>
  <c r="D17981" i="1"/>
  <c r="G17981" i="1"/>
  <c r="B18332" i="1"/>
  <c r="D18332" i="1"/>
  <c r="G18332" i="1"/>
  <c r="B14398" i="1"/>
  <c r="D14398" i="1"/>
  <c r="G14398" i="1"/>
  <c r="B22428" i="1"/>
  <c r="D22428" i="1"/>
  <c r="G22428" i="1"/>
  <c r="B9170" i="1"/>
  <c r="D9170" i="1"/>
  <c r="G9170" i="1"/>
  <c r="B9217" i="1"/>
  <c r="D9217" i="1"/>
  <c r="G9217" i="1"/>
  <c r="B13635" i="1"/>
  <c r="D13635" i="1"/>
  <c r="G13635" i="1"/>
  <c r="B14039" i="1"/>
  <c r="D14039" i="1"/>
  <c r="G14039" i="1"/>
  <c r="B20107" i="1"/>
  <c r="D20107" i="1"/>
  <c r="G20107" i="1"/>
  <c r="B17294" i="1"/>
  <c r="D17294" i="1"/>
  <c r="G17294" i="1"/>
  <c r="B19940" i="1"/>
  <c r="D19940" i="1"/>
  <c r="G19940" i="1"/>
  <c r="B19941" i="1"/>
  <c r="D19941" i="1"/>
  <c r="G19941" i="1"/>
  <c r="B19942" i="1"/>
  <c r="D19942" i="1"/>
  <c r="G19942" i="1"/>
  <c r="B19943" i="1"/>
  <c r="D19943" i="1"/>
  <c r="G19943" i="1"/>
  <c r="B19944" i="1"/>
  <c r="D19944" i="1"/>
  <c r="G19944" i="1"/>
  <c r="B13687" i="1"/>
  <c r="D13687" i="1"/>
  <c r="G13687" i="1"/>
  <c r="B9491" i="1"/>
  <c r="D9491" i="1"/>
  <c r="G9491" i="1"/>
  <c r="B9492" i="1"/>
  <c r="D9492" i="1"/>
  <c r="G9492" i="1"/>
  <c r="B13961" i="1"/>
  <c r="D13961" i="1"/>
  <c r="G13961" i="1"/>
  <c r="B12746" i="1"/>
  <c r="D12746" i="1"/>
  <c r="G12746" i="1"/>
  <c r="B9926" i="1"/>
  <c r="D9926" i="1"/>
  <c r="G9926" i="1"/>
  <c r="B14449" i="1"/>
  <c r="D14449" i="1"/>
  <c r="G14449" i="1"/>
  <c r="B13767" i="1"/>
  <c r="D13767" i="1"/>
  <c r="G13767" i="1"/>
  <c r="B10089" i="1"/>
  <c r="D10089" i="1"/>
  <c r="G10089" i="1"/>
  <c r="B4845" i="1"/>
  <c r="D4845" i="1"/>
  <c r="G4845" i="1"/>
  <c r="B5278" i="1"/>
  <c r="D5278" i="1"/>
  <c r="G5278" i="1"/>
  <c r="B6107" i="1"/>
  <c r="D6107" i="1"/>
  <c r="G6107" i="1"/>
  <c r="B6700" i="1"/>
  <c r="D6700" i="1"/>
  <c r="G6700" i="1"/>
  <c r="B13972" i="1"/>
  <c r="D13972" i="1"/>
  <c r="G13972" i="1"/>
  <c r="B3805" i="1"/>
  <c r="D3805" i="1"/>
  <c r="G3805" i="1"/>
  <c r="B14001" i="1"/>
  <c r="D14001" i="1"/>
  <c r="G14001" i="1"/>
  <c r="B13721" i="1"/>
  <c r="D13721" i="1"/>
  <c r="G13721" i="1"/>
  <c r="B6893" i="1"/>
  <c r="D6893" i="1"/>
  <c r="G6893" i="1"/>
  <c r="B13562" i="1"/>
  <c r="D13562" i="1"/>
  <c r="G13562" i="1"/>
  <c r="B19955" i="1"/>
  <c r="D19955" i="1"/>
  <c r="G19955" i="1"/>
  <c r="B9493" i="1"/>
  <c r="D9493" i="1"/>
  <c r="G9493" i="1"/>
  <c r="B9171" i="1"/>
  <c r="D9171" i="1"/>
  <c r="G9171" i="1"/>
  <c r="B22429" i="1"/>
  <c r="D22429" i="1"/>
  <c r="G22429" i="1"/>
  <c r="B22292" i="1"/>
  <c r="D22292" i="1"/>
  <c r="G22292" i="1"/>
  <c r="B13513" i="1"/>
  <c r="D13513" i="1"/>
  <c r="G13513" i="1"/>
  <c r="B6523" i="1"/>
  <c r="D6523" i="1"/>
  <c r="G6523" i="1"/>
  <c r="B6522" i="1"/>
  <c r="D6522" i="1"/>
  <c r="G6522" i="1"/>
  <c r="B9927" i="1"/>
  <c r="D9927" i="1"/>
  <c r="G9927" i="1"/>
  <c r="B14424" i="1"/>
  <c r="D14424" i="1"/>
  <c r="G14424" i="1"/>
  <c r="B14451" i="1"/>
  <c r="D14451" i="1"/>
  <c r="G14451" i="1"/>
  <c r="B5035" i="1"/>
  <c r="D5035" i="1"/>
  <c r="G5035" i="1"/>
  <c r="B5036" i="1"/>
  <c r="D5036" i="1"/>
  <c r="G5036" i="1"/>
  <c r="B5037" i="1"/>
  <c r="D5037" i="1"/>
  <c r="G5037" i="1"/>
  <c r="B5038" i="1"/>
  <c r="D5038" i="1"/>
  <c r="G5038" i="1"/>
  <c r="B5039" i="1"/>
  <c r="D5039" i="1"/>
  <c r="G5039" i="1"/>
  <c r="B5040" i="1"/>
  <c r="D5040" i="1"/>
  <c r="G5040" i="1"/>
  <c r="B5041" i="1"/>
  <c r="D5041" i="1"/>
  <c r="G5041" i="1"/>
  <c r="B5042" i="1"/>
  <c r="D5042" i="1"/>
  <c r="G5042" i="1"/>
  <c r="B5043" i="1"/>
  <c r="D5043" i="1"/>
  <c r="G5043" i="1"/>
  <c r="B5044" i="1"/>
  <c r="D5044" i="1"/>
  <c r="G5044" i="1"/>
  <c r="B5045" i="1"/>
  <c r="D5045" i="1"/>
  <c r="G5045" i="1"/>
  <c r="B5046" i="1"/>
  <c r="D5046" i="1"/>
  <c r="G5046" i="1"/>
  <c r="B5047" i="1"/>
  <c r="D5047" i="1"/>
  <c r="G5047" i="1"/>
  <c r="B5048" i="1"/>
  <c r="D5048" i="1"/>
  <c r="G5048" i="1"/>
  <c r="B5049" i="1"/>
  <c r="D5049" i="1"/>
  <c r="G5049" i="1"/>
  <c r="B5050" i="1"/>
  <c r="D5050" i="1"/>
  <c r="G5050" i="1"/>
  <c r="B5051" i="1"/>
  <c r="D5051" i="1"/>
  <c r="G5051" i="1"/>
  <c r="B13555" i="1"/>
  <c r="D13555" i="1"/>
  <c r="G13555" i="1"/>
  <c r="B9308" i="1"/>
  <c r="D9308" i="1"/>
  <c r="G9308" i="1"/>
  <c r="B17982" i="1"/>
  <c r="D17982" i="1"/>
  <c r="G17982" i="1"/>
  <c r="B17983" i="1"/>
  <c r="D17983" i="1"/>
  <c r="G17983" i="1"/>
  <c r="B9309" i="1"/>
  <c r="D9309" i="1"/>
  <c r="G9309" i="1"/>
  <c r="B9310" i="1"/>
  <c r="D9310" i="1"/>
  <c r="G9310" i="1"/>
  <c r="B9311" i="1"/>
  <c r="D9311" i="1"/>
  <c r="G9311" i="1"/>
  <c r="B17984" i="1"/>
  <c r="D17984" i="1"/>
  <c r="G17984" i="1"/>
  <c r="B17985" i="1"/>
  <c r="D17985" i="1"/>
  <c r="G17985" i="1"/>
  <c r="B9312" i="1"/>
  <c r="D9312" i="1"/>
  <c r="G9312" i="1"/>
  <c r="B17986" i="1"/>
  <c r="D17986" i="1"/>
  <c r="G17986" i="1"/>
  <c r="B17987" i="1"/>
  <c r="D17987" i="1"/>
  <c r="G17987" i="1"/>
  <c r="B22293" i="1"/>
  <c r="D22293" i="1"/>
  <c r="G22293" i="1"/>
  <c r="B9313" i="1"/>
  <c r="D9313" i="1"/>
  <c r="G9313" i="1"/>
  <c r="B9314" i="1"/>
  <c r="D9314" i="1"/>
  <c r="G9314" i="1"/>
  <c r="B9315" i="1"/>
  <c r="D9315" i="1"/>
  <c r="G9315" i="1"/>
  <c r="B9316" i="1"/>
  <c r="D9316" i="1"/>
  <c r="G9316" i="1"/>
  <c r="B22294" i="1"/>
  <c r="D22294" i="1"/>
  <c r="G22294" i="1"/>
  <c r="B17988" i="1"/>
  <c r="D17988" i="1"/>
  <c r="G17988" i="1"/>
  <c r="B17989" i="1"/>
  <c r="D17989" i="1"/>
  <c r="G17989" i="1"/>
  <c r="B9317" i="1"/>
  <c r="D9317" i="1"/>
  <c r="G9317" i="1"/>
  <c r="B9318" i="1"/>
  <c r="D9318" i="1"/>
  <c r="G9318" i="1"/>
  <c r="B17990" i="1"/>
  <c r="D17990" i="1"/>
  <c r="G17990" i="1"/>
  <c r="B9319" i="1"/>
  <c r="D9319" i="1"/>
  <c r="G9319" i="1"/>
  <c r="B17991" i="1"/>
  <c r="D17991" i="1"/>
  <c r="G17991" i="1"/>
  <c r="B17992" i="1"/>
  <c r="D17992" i="1"/>
  <c r="G17992" i="1"/>
  <c r="B17993" i="1"/>
  <c r="D17993" i="1"/>
  <c r="G17993" i="1"/>
  <c r="B17994" i="1"/>
  <c r="D17994" i="1"/>
  <c r="G17994" i="1"/>
  <c r="B9320" i="1"/>
  <c r="D9320" i="1"/>
  <c r="G9320" i="1"/>
  <c r="B9321" i="1"/>
  <c r="D9321" i="1"/>
  <c r="G9321" i="1"/>
  <c r="B17995" i="1"/>
  <c r="D17995" i="1"/>
  <c r="G17995" i="1"/>
  <c r="B17996" i="1"/>
  <c r="D17996" i="1"/>
  <c r="G17996" i="1"/>
  <c r="B17997" i="1"/>
  <c r="D17997" i="1"/>
  <c r="G17997" i="1"/>
  <c r="B22295" i="1"/>
  <c r="D22295" i="1"/>
  <c r="G22295" i="1"/>
  <c r="B22296" i="1"/>
  <c r="D22296" i="1"/>
  <c r="G22296" i="1"/>
  <c r="B22430" i="1"/>
  <c r="D22430" i="1"/>
  <c r="G22430" i="1"/>
  <c r="B22431" i="1"/>
  <c r="D22431" i="1"/>
  <c r="G22431" i="1"/>
  <c r="B13807" i="1"/>
  <c r="D13807" i="1"/>
  <c r="G13807" i="1"/>
  <c r="B22432" i="1"/>
  <c r="D22432" i="1"/>
  <c r="G22432" i="1"/>
  <c r="B22433" i="1"/>
  <c r="D22433" i="1"/>
  <c r="G22433" i="1"/>
  <c r="B17481" i="1"/>
  <c r="D17481" i="1"/>
  <c r="G17481" i="1"/>
  <c r="B17482" i="1"/>
  <c r="D17482" i="1"/>
  <c r="G17482" i="1"/>
  <c r="B12595" i="1"/>
  <c r="D12595" i="1"/>
  <c r="G12595" i="1"/>
  <c r="B13784" i="1"/>
  <c r="D13784" i="1"/>
  <c r="G13784" i="1"/>
  <c r="B12747" i="1"/>
  <c r="D12747" i="1"/>
  <c r="G12747" i="1"/>
  <c r="B6541" i="1"/>
  <c r="D6541" i="1"/>
  <c r="G6541" i="1"/>
  <c r="B6577" i="1"/>
  <c r="D6577" i="1"/>
  <c r="G6577" i="1"/>
  <c r="B17483" i="1"/>
  <c r="D17483" i="1"/>
  <c r="G17483" i="1"/>
  <c r="B12748" i="1"/>
  <c r="D12748" i="1"/>
  <c r="G12748" i="1"/>
  <c r="B276" i="1"/>
  <c r="D276" i="1"/>
  <c r="G276" i="1"/>
  <c r="B13695" i="1"/>
  <c r="D13695" i="1"/>
  <c r="G13695" i="1"/>
  <c r="B22434" i="1"/>
  <c r="D22434" i="1"/>
  <c r="G22434" i="1"/>
  <c r="B22435" i="1"/>
  <c r="D22435" i="1"/>
  <c r="G22435" i="1"/>
  <c r="B9494" i="1"/>
  <c r="D9494" i="1"/>
  <c r="G9494" i="1"/>
  <c r="B14286" i="1"/>
  <c r="D14286" i="1"/>
  <c r="G14286" i="1"/>
  <c r="B12749" i="1"/>
  <c r="D12749" i="1"/>
  <c r="G12749" i="1"/>
  <c r="B12750" i="1"/>
  <c r="D12750" i="1"/>
  <c r="G12750" i="1"/>
  <c r="B17484" i="1"/>
  <c r="D17484" i="1"/>
  <c r="G17484" i="1"/>
  <c r="B12998" i="1"/>
  <c r="D12998" i="1"/>
  <c r="G12998" i="1"/>
  <c r="B17485" i="1"/>
  <c r="D17485" i="1"/>
  <c r="G17485" i="1"/>
  <c r="B22436" i="1"/>
  <c r="D22436" i="1"/>
  <c r="G22436" i="1"/>
  <c r="B22437" i="1"/>
  <c r="D22437" i="1"/>
  <c r="G22437" i="1"/>
  <c r="B17486" i="1"/>
  <c r="D17486" i="1"/>
  <c r="G17486" i="1"/>
  <c r="B22438" i="1"/>
  <c r="D22438" i="1"/>
  <c r="G22438" i="1"/>
  <c r="B19945" i="1"/>
  <c r="D19945" i="1"/>
  <c r="G19945" i="1"/>
  <c r="B19946" i="1"/>
  <c r="D19946" i="1"/>
  <c r="G19946" i="1"/>
  <c r="B22439" i="1"/>
  <c r="D22439" i="1"/>
  <c r="G22439" i="1"/>
  <c r="B22297" i="1"/>
  <c r="D22297" i="1"/>
  <c r="G22297" i="1"/>
  <c r="B22298" i="1"/>
  <c r="D22298" i="1"/>
  <c r="G22298" i="1"/>
  <c r="B22299" i="1"/>
  <c r="D22299" i="1"/>
  <c r="G22299" i="1"/>
  <c r="B22300" i="1"/>
  <c r="D22300" i="1"/>
  <c r="G22300" i="1"/>
  <c r="B22301" i="1"/>
  <c r="D22301" i="1"/>
  <c r="G22301" i="1"/>
  <c r="B17487" i="1"/>
  <c r="D17487" i="1"/>
  <c r="G17487" i="1"/>
  <c r="B19956" i="1"/>
  <c r="D19956" i="1"/>
  <c r="G19956" i="1"/>
  <c r="B13898" i="1"/>
  <c r="D13898" i="1"/>
  <c r="G13898" i="1"/>
  <c r="B5052" i="1"/>
  <c r="D5052" i="1"/>
  <c r="G5052" i="1"/>
  <c r="B5053" i="1"/>
  <c r="D5053" i="1"/>
  <c r="G5053" i="1"/>
  <c r="B5054" i="1"/>
  <c r="D5054" i="1"/>
  <c r="G5054" i="1"/>
  <c r="B5953" i="1"/>
  <c r="D5953" i="1"/>
  <c r="G5953" i="1"/>
  <c r="B12751" i="1"/>
  <c r="D12751" i="1"/>
  <c r="G12751" i="1"/>
  <c r="B13782" i="1"/>
  <c r="D13782" i="1"/>
  <c r="G13782" i="1"/>
  <c r="B13906" i="1"/>
  <c r="D13906" i="1"/>
  <c r="G13906" i="1"/>
  <c r="B12752" i="1"/>
  <c r="D12752" i="1"/>
  <c r="G12752" i="1"/>
  <c r="B12753" i="1"/>
  <c r="D12753" i="1"/>
  <c r="G12753" i="1"/>
  <c r="B12754" i="1"/>
  <c r="D12754" i="1"/>
  <c r="G12754" i="1"/>
  <c r="B12755" i="1"/>
  <c r="D12755" i="1"/>
  <c r="G12755" i="1"/>
  <c r="B18349" i="1"/>
  <c r="D18349" i="1"/>
  <c r="G18349" i="1"/>
  <c r="B9495" i="1"/>
  <c r="D9495" i="1"/>
  <c r="G9495" i="1"/>
  <c r="B12756" i="1"/>
  <c r="D12756" i="1"/>
  <c r="G12756" i="1"/>
  <c r="B22545" i="1"/>
  <c r="D22545" i="1"/>
  <c r="G22545" i="1"/>
  <c r="B22440" i="1"/>
  <c r="D22440" i="1"/>
  <c r="G22440" i="1"/>
  <c r="B9496" i="1"/>
  <c r="D9496" i="1"/>
  <c r="G9496" i="1"/>
  <c r="B5954" i="1"/>
  <c r="D5954" i="1"/>
  <c r="G5954" i="1"/>
  <c r="B9497" i="1"/>
  <c r="D9497" i="1"/>
  <c r="G9497" i="1"/>
  <c r="B22594" i="1"/>
  <c r="D22594" i="1"/>
  <c r="G22594" i="1"/>
  <c r="B22539" i="1"/>
  <c r="D22539" i="1"/>
  <c r="G22539" i="1"/>
  <c r="B22441" i="1"/>
  <c r="D22441" i="1"/>
  <c r="G22441" i="1"/>
  <c r="B22543" i="1"/>
  <c r="D22543" i="1"/>
  <c r="G22543" i="1"/>
  <c r="B5955" i="1"/>
  <c r="D5955" i="1"/>
  <c r="G5955" i="1"/>
  <c r="B22442" i="1"/>
  <c r="D22442" i="1"/>
  <c r="G22442" i="1"/>
  <c r="B10007" i="1"/>
  <c r="D10007" i="1"/>
  <c r="G10007" i="1"/>
  <c r="B9498" i="1"/>
  <c r="D9498" i="1"/>
  <c r="G9498" i="1"/>
  <c r="B7125" i="1"/>
  <c r="D7125" i="1"/>
  <c r="G7125" i="1"/>
  <c r="B22562" i="1"/>
  <c r="D22562" i="1"/>
  <c r="G22562" i="1"/>
  <c r="B9499" i="1"/>
  <c r="D9499" i="1"/>
  <c r="G9499" i="1"/>
  <c r="B13182" i="1"/>
  <c r="D13182" i="1"/>
  <c r="G13182" i="1"/>
  <c r="B10029" i="1"/>
  <c r="D10029" i="1"/>
  <c r="G10029" i="1"/>
  <c r="B9500" i="1"/>
  <c r="D9500" i="1"/>
  <c r="G9500" i="1"/>
  <c r="B22546" i="1"/>
  <c r="D22546" i="1"/>
  <c r="G22546" i="1"/>
  <c r="B9501" i="1"/>
  <c r="D9501" i="1"/>
  <c r="G9501" i="1"/>
  <c r="B9502" i="1"/>
  <c r="D9502" i="1"/>
  <c r="G9502" i="1"/>
  <c r="B5956" i="1"/>
  <c r="D5956" i="1"/>
  <c r="G5956" i="1"/>
  <c r="B22443" i="1"/>
  <c r="D22443" i="1"/>
  <c r="G22443" i="1"/>
  <c r="B22533" i="1"/>
  <c r="D22533" i="1"/>
  <c r="G22533" i="1"/>
  <c r="B9503" i="1"/>
  <c r="D9503" i="1"/>
  <c r="G9503" i="1"/>
  <c r="B9504" i="1"/>
  <c r="D9504" i="1"/>
  <c r="G9504" i="1"/>
  <c r="B5957" i="1"/>
  <c r="D5957" i="1"/>
  <c r="G5957" i="1"/>
  <c r="B5055" i="1"/>
  <c r="D5055" i="1"/>
  <c r="G5055" i="1"/>
  <c r="B5056" i="1"/>
  <c r="D5056" i="1"/>
  <c r="G5056" i="1"/>
  <c r="B5057" i="1"/>
  <c r="D5057" i="1"/>
  <c r="G5057" i="1"/>
  <c r="B5058" i="1"/>
  <c r="D5058" i="1"/>
  <c r="G5058" i="1"/>
  <c r="B5059" i="1"/>
  <c r="D5059" i="1"/>
  <c r="G5059" i="1"/>
  <c r="B22547" i="1"/>
  <c r="D22547" i="1"/>
  <c r="G22547" i="1"/>
  <c r="B9505" i="1"/>
  <c r="D9505" i="1"/>
  <c r="G9505" i="1"/>
  <c r="B17998" i="1"/>
  <c r="D17998" i="1"/>
  <c r="G17998" i="1"/>
  <c r="B9322" i="1"/>
  <c r="D9322" i="1"/>
  <c r="G9322" i="1"/>
  <c r="B22302" i="1"/>
  <c r="D22302" i="1"/>
  <c r="G22302" i="1"/>
  <c r="B12596" i="1"/>
  <c r="D12596" i="1"/>
  <c r="G12596" i="1"/>
  <c r="B12597" i="1"/>
  <c r="D12597" i="1"/>
  <c r="G12597" i="1"/>
  <c r="B17999" i="1"/>
  <c r="D17999" i="1"/>
  <c r="G17999" i="1"/>
  <c r="B22303" i="1"/>
  <c r="D22303" i="1"/>
  <c r="G22303" i="1"/>
  <c r="B12598" i="1"/>
  <c r="D12598" i="1"/>
  <c r="G12598" i="1"/>
  <c r="B18000" i="1"/>
  <c r="D18000" i="1"/>
  <c r="G18000" i="1"/>
  <c r="B12599" i="1"/>
  <c r="D12599" i="1"/>
  <c r="G12599" i="1"/>
  <c r="B12600" i="1"/>
  <c r="D12600" i="1"/>
  <c r="G12600" i="1"/>
  <c r="B22304" i="1"/>
  <c r="D22304" i="1"/>
  <c r="G22304" i="1"/>
  <c r="B18001" i="1"/>
  <c r="D18001" i="1"/>
  <c r="G18001" i="1"/>
  <c r="B22305" i="1"/>
  <c r="D22305" i="1"/>
  <c r="G22305" i="1"/>
  <c r="B18002" i="1"/>
  <c r="D18002" i="1"/>
  <c r="G18002" i="1"/>
  <c r="B18003" i="1"/>
  <c r="D18003" i="1"/>
  <c r="G18003" i="1"/>
  <c r="B22306" i="1"/>
  <c r="D22306" i="1"/>
  <c r="G22306" i="1"/>
  <c r="B18004" i="1"/>
  <c r="D18004" i="1"/>
  <c r="G18004" i="1"/>
  <c r="B22307" i="1"/>
  <c r="D22307" i="1"/>
  <c r="G22307" i="1"/>
  <c r="B22308" i="1"/>
  <c r="D22308" i="1"/>
  <c r="G22308" i="1"/>
  <c r="B22309" i="1"/>
  <c r="D22309" i="1"/>
  <c r="G22309" i="1"/>
  <c r="B22310" i="1"/>
  <c r="D22310" i="1"/>
  <c r="G22310" i="1"/>
  <c r="B17488" i="1"/>
  <c r="D17488" i="1"/>
  <c r="G17488" i="1"/>
  <c r="B18348" i="1"/>
  <c r="D18348" i="1"/>
  <c r="G18348" i="1"/>
  <c r="B22444" i="1"/>
  <c r="D22444" i="1"/>
  <c r="G22444" i="1"/>
  <c r="B22445" i="1"/>
  <c r="D22445" i="1"/>
  <c r="G22445" i="1"/>
  <c r="B22446" i="1"/>
  <c r="D22446" i="1"/>
  <c r="G22446" i="1"/>
  <c r="B13556" i="1"/>
  <c r="D13556" i="1"/>
  <c r="G13556" i="1"/>
  <c r="B13509" i="1"/>
  <c r="D13509" i="1"/>
  <c r="G13509" i="1"/>
  <c r="B19957" i="1"/>
  <c r="D19957" i="1"/>
  <c r="G19957" i="1"/>
  <c r="B868" i="1"/>
  <c r="D868" i="1"/>
  <c r="G868" i="1"/>
  <c r="B19958" i="1"/>
  <c r="D19958" i="1"/>
  <c r="G19958" i="1"/>
  <c r="B19959" i="1"/>
  <c r="D19959" i="1"/>
  <c r="G19959" i="1"/>
  <c r="B17296" i="1"/>
  <c r="D17296" i="1"/>
  <c r="G17296" i="1"/>
  <c r="B14297" i="1"/>
  <c r="D14297" i="1"/>
  <c r="G14297" i="1"/>
  <c r="B14402" i="1"/>
  <c r="D14402" i="1"/>
  <c r="G14402" i="1"/>
  <c r="B13557" i="1"/>
  <c r="D13557" i="1"/>
  <c r="G13557" i="1"/>
  <c r="B12785" i="1"/>
  <c r="D12785" i="1"/>
  <c r="G12785" i="1"/>
  <c r="B19960" i="1"/>
  <c r="D19960" i="1"/>
  <c r="G19960" i="1"/>
  <c r="B14419" i="1"/>
  <c r="D14419" i="1"/>
  <c r="G14419" i="1"/>
  <c r="B14425" i="1"/>
  <c r="D14425" i="1"/>
  <c r="G14425" i="1"/>
  <c r="B20263" i="1"/>
  <c r="D20263" i="1"/>
  <c r="G20263" i="1"/>
  <c r="B14034" i="1"/>
  <c r="D14034" i="1"/>
  <c r="G14034" i="1"/>
  <c r="B18769" i="1"/>
  <c r="D18769" i="1"/>
  <c r="G18769" i="1"/>
  <c r="B14429" i="1"/>
  <c r="D14429" i="1"/>
  <c r="G14429" i="1"/>
  <c r="B9506" i="1"/>
  <c r="D9506" i="1"/>
  <c r="G9506" i="1"/>
  <c r="B12757" i="1"/>
  <c r="D12757" i="1"/>
  <c r="G12757" i="1"/>
  <c r="B9911" i="1"/>
  <c r="D9911" i="1"/>
  <c r="G9911" i="1"/>
  <c r="B14298" i="1"/>
  <c r="D14298" i="1"/>
  <c r="G14298" i="1"/>
  <c r="B22447" i="1"/>
  <c r="D22447" i="1"/>
  <c r="G22447" i="1"/>
  <c r="B14459" i="1"/>
  <c r="D14459" i="1"/>
  <c r="G14459" i="1"/>
  <c r="B19861" i="1"/>
  <c r="D19861" i="1"/>
  <c r="G19861" i="1"/>
  <c r="B19862" i="1"/>
  <c r="D19862" i="1"/>
  <c r="G19862" i="1"/>
  <c r="B5958" i="1"/>
  <c r="D5958" i="1"/>
  <c r="G5958" i="1"/>
  <c r="B22540" i="1"/>
  <c r="D22540" i="1"/>
  <c r="G22540" i="1"/>
  <c r="B15958" i="1"/>
  <c r="D15958" i="1"/>
  <c r="G15958" i="1"/>
  <c r="B9507" i="1"/>
  <c r="D9507" i="1"/>
  <c r="G9507" i="1"/>
  <c r="B12601" i="1"/>
  <c r="D12601" i="1"/>
  <c r="G12601" i="1"/>
  <c r="B13753" i="1"/>
  <c r="D13753" i="1"/>
  <c r="G13753" i="1"/>
  <c r="B4506" i="1"/>
  <c r="D4506" i="1"/>
  <c r="G4506" i="1"/>
  <c r="B5060" i="1"/>
  <c r="D5060" i="1"/>
  <c r="G5060" i="1"/>
  <c r="B5061" i="1"/>
  <c r="D5061" i="1"/>
  <c r="G5061" i="1"/>
  <c r="B5062" i="1"/>
  <c r="D5062" i="1"/>
  <c r="G5062" i="1"/>
  <c r="B5063" i="1"/>
  <c r="D5063" i="1"/>
  <c r="G5063" i="1"/>
  <c r="B18005" i="1"/>
  <c r="D18005" i="1"/>
  <c r="G18005" i="1"/>
  <c r="B22311" i="1"/>
  <c r="D22311" i="1"/>
  <c r="G22311" i="1"/>
  <c r="B13970" i="1"/>
  <c r="D13970" i="1"/>
  <c r="G13970" i="1"/>
  <c r="B22556" i="1"/>
  <c r="D22556" i="1"/>
  <c r="G22556" i="1"/>
  <c r="B14073" i="1"/>
  <c r="D14073" i="1"/>
  <c r="G14073" i="1"/>
  <c r="B9323" i="1"/>
  <c r="D9323" i="1"/>
  <c r="G9323" i="1"/>
  <c r="B22312" i="1"/>
  <c r="D22312" i="1"/>
  <c r="G22312" i="1"/>
  <c r="B18006" i="1"/>
  <c r="D18006" i="1"/>
  <c r="G18006" i="1"/>
  <c r="B9324" i="1"/>
  <c r="D9324" i="1"/>
  <c r="G9324" i="1"/>
  <c r="B9325" i="1"/>
  <c r="D9325" i="1"/>
  <c r="G9325" i="1"/>
  <c r="B22313" i="1"/>
  <c r="D22313" i="1"/>
  <c r="G22313" i="1"/>
  <c r="B22314" i="1"/>
  <c r="D22314" i="1"/>
  <c r="G22314" i="1"/>
  <c r="B22315" i="1"/>
  <c r="D22315" i="1"/>
  <c r="G22315" i="1"/>
  <c r="B9508" i="1"/>
  <c r="D9508" i="1"/>
  <c r="G9508" i="1"/>
  <c r="B9936" i="1"/>
  <c r="D9936" i="1"/>
  <c r="G9936" i="1"/>
  <c r="B13748" i="1"/>
  <c r="D13748" i="1"/>
  <c r="G13748" i="1"/>
  <c r="B17575" i="1"/>
  <c r="D17575" i="1"/>
  <c r="G17575" i="1"/>
  <c r="B22448" i="1"/>
  <c r="D22448" i="1"/>
  <c r="G22448" i="1"/>
  <c r="B22449" i="1"/>
  <c r="D22449" i="1"/>
  <c r="G22449" i="1"/>
  <c r="B22450" i="1"/>
  <c r="D22450" i="1"/>
  <c r="G22450" i="1"/>
  <c r="B5959" i="1"/>
  <c r="D5959" i="1"/>
  <c r="G5959" i="1"/>
  <c r="B13811" i="1"/>
  <c r="D13811" i="1"/>
  <c r="G13811" i="1"/>
  <c r="B288" i="1"/>
  <c r="D288" i="1"/>
  <c r="G288" i="1"/>
  <c r="B22535" i="1"/>
  <c r="D22535" i="1"/>
  <c r="G22535" i="1"/>
  <c r="B22536" i="1"/>
  <c r="D22536" i="1"/>
  <c r="G22536" i="1"/>
  <c r="B22537" i="1"/>
  <c r="D22537" i="1"/>
  <c r="G22537" i="1"/>
  <c r="B5064" i="1"/>
  <c r="D5064" i="1"/>
  <c r="G5064" i="1"/>
  <c r="B22451" i="1"/>
  <c r="D22451" i="1"/>
  <c r="G22451" i="1"/>
  <c r="B12758" i="1"/>
  <c r="D12758" i="1"/>
  <c r="G12758" i="1"/>
  <c r="B22452" i="1"/>
  <c r="D22452" i="1"/>
  <c r="G22452" i="1"/>
  <c r="B12759" i="1"/>
  <c r="D12759" i="1"/>
  <c r="G12759" i="1"/>
  <c r="B17489" i="1"/>
  <c r="D17489" i="1"/>
  <c r="G17489" i="1"/>
  <c r="B12760" i="1"/>
  <c r="D12760" i="1"/>
  <c r="G12760" i="1"/>
  <c r="B22453" i="1"/>
  <c r="D22453" i="1"/>
  <c r="G22453" i="1"/>
  <c r="B17490" i="1"/>
  <c r="D17490" i="1"/>
  <c r="G17490" i="1"/>
  <c r="B12761" i="1"/>
  <c r="D12761" i="1"/>
  <c r="G12761" i="1"/>
  <c r="B22454" i="1"/>
  <c r="D22454" i="1"/>
  <c r="G22454" i="1"/>
  <c r="B22455" i="1"/>
  <c r="D22455" i="1"/>
  <c r="G22455" i="1"/>
  <c r="B22456" i="1"/>
  <c r="D22456" i="1"/>
  <c r="G22456" i="1"/>
  <c r="B12762" i="1"/>
  <c r="D12762" i="1"/>
  <c r="G12762" i="1"/>
  <c r="B22457" i="1"/>
  <c r="D22457" i="1"/>
  <c r="G22457" i="1"/>
  <c r="B9970" i="1"/>
  <c r="D9970" i="1"/>
  <c r="G9970" i="1"/>
  <c r="B12602" i="1"/>
  <c r="D12602" i="1"/>
  <c r="G12602" i="1"/>
  <c r="B18007" i="1"/>
  <c r="D18007" i="1"/>
  <c r="G18007" i="1"/>
  <c r="B18008" i="1"/>
  <c r="D18008" i="1"/>
  <c r="G18008" i="1"/>
  <c r="B12603" i="1"/>
  <c r="D12603" i="1"/>
  <c r="G12603" i="1"/>
  <c r="B18009" i="1"/>
  <c r="D18009" i="1"/>
  <c r="G18009" i="1"/>
  <c r="B18010" i="1"/>
  <c r="D18010" i="1"/>
  <c r="G18010" i="1"/>
  <c r="B12604" i="1"/>
  <c r="D12604" i="1"/>
  <c r="G12604" i="1"/>
  <c r="B18011" i="1"/>
  <c r="D18011" i="1"/>
  <c r="G18011" i="1"/>
  <c r="B12763" i="1"/>
  <c r="D12763" i="1"/>
  <c r="G12763" i="1"/>
  <c r="B22458" i="1"/>
  <c r="D22458" i="1"/>
  <c r="G22458" i="1"/>
  <c r="B22538" i="1"/>
  <c r="D22538" i="1"/>
  <c r="G22538" i="1"/>
  <c r="B22587" i="1"/>
  <c r="D22587" i="1"/>
  <c r="G22587" i="1"/>
  <c r="B22588" i="1"/>
  <c r="D22588" i="1"/>
  <c r="G22588" i="1"/>
  <c r="B12764" i="1"/>
  <c r="D12764" i="1"/>
  <c r="G12764" i="1"/>
  <c r="B5960" i="1"/>
  <c r="D5960" i="1"/>
  <c r="G5960" i="1"/>
  <c r="B6612" i="1"/>
  <c r="D6612" i="1"/>
  <c r="G6612" i="1"/>
  <c r="B6613" i="1"/>
  <c r="D6613" i="1"/>
  <c r="G6613" i="1"/>
  <c r="B6614" i="1"/>
  <c r="D6614" i="1"/>
  <c r="G6614" i="1"/>
  <c r="B6615" i="1"/>
  <c r="D6615" i="1"/>
  <c r="G6615" i="1"/>
  <c r="B6616" i="1"/>
  <c r="D6616" i="1"/>
  <c r="G6616" i="1"/>
  <c r="B13974" i="1"/>
  <c r="D13974" i="1"/>
  <c r="G13974" i="1"/>
  <c r="B13975" i="1"/>
  <c r="D13975" i="1"/>
  <c r="G13975" i="1"/>
  <c r="B9509" i="1"/>
  <c r="D9509" i="1"/>
  <c r="G9509" i="1"/>
  <c r="B12765" i="1"/>
  <c r="D12765" i="1"/>
  <c r="G12765" i="1"/>
  <c r="B13676" i="1"/>
  <c r="D13676" i="1"/>
  <c r="G13676" i="1"/>
  <c r="B12766" i="1"/>
  <c r="D12766" i="1"/>
  <c r="G12766" i="1"/>
  <c r="B13910" i="1"/>
  <c r="D13910" i="1"/>
  <c r="G13910" i="1"/>
  <c r="B12767" i="1"/>
  <c r="D12767" i="1"/>
  <c r="G12767" i="1"/>
  <c r="B12605" i="1"/>
  <c r="D12605" i="1"/>
  <c r="G12605" i="1"/>
  <c r="B12606" i="1"/>
  <c r="D12606" i="1"/>
  <c r="G12606" i="1"/>
  <c r="B12607" i="1"/>
  <c r="D12607" i="1"/>
  <c r="G12607" i="1"/>
  <c r="B9510" i="1"/>
  <c r="D9510" i="1"/>
  <c r="G9510" i="1"/>
  <c r="B18012" i="1"/>
  <c r="D18012" i="1"/>
  <c r="G18012" i="1"/>
  <c r="B12608" i="1"/>
  <c r="D12608" i="1"/>
  <c r="G12608" i="1"/>
  <c r="B12609" i="1"/>
  <c r="D12609" i="1"/>
  <c r="G12609" i="1"/>
  <c r="B12610" i="1"/>
  <c r="D12610" i="1"/>
  <c r="G12610" i="1"/>
  <c r="B12611" i="1"/>
  <c r="D12611" i="1"/>
  <c r="G12611" i="1"/>
  <c r="B12612" i="1"/>
  <c r="D12612" i="1"/>
  <c r="G12612" i="1"/>
  <c r="B12613" i="1"/>
  <c r="D12613" i="1"/>
  <c r="G12613" i="1"/>
  <c r="B18013" i="1"/>
  <c r="D18013" i="1"/>
  <c r="G18013" i="1"/>
  <c r="B18014" i="1"/>
  <c r="D18014" i="1"/>
  <c r="G18014" i="1"/>
  <c r="B18015" i="1"/>
  <c r="D18015" i="1"/>
  <c r="G18015" i="1"/>
  <c r="B18016" i="1"/>
  <c r="D18016" i="1"/>
  <c r="G18016" i="1"/>
  <c r="B18017" i="1"/>
  <c r="D18017" i="1"/>
  <c r="G18017" i="1"/>
  <c r="B18018" i="1"/>
  <c r="D18018" i="1"/>
  <c r="G18018" i="1"/>
  <c r="B18019" i="1"/>
  <c r="D18019" i="1"/>
  <c r="G18019" i="1"/>
  <c r="B18020" i="1"/>
  <c r="D18020" i="1"/>
  <c r="G18020" i="1"/>
  <c r="B18394" i="1"/>
  <c r="D18394" i="1"/>
  <c r="G18394" i="1"/>
  <c r="B13809" i="1"/>
  <c r="D13809" i="1"/>
  <c r="G13809" i="1"/>
  <c r="B13808" i="1"/>
  <c r="D13808" i="1"/>
  <c r="G13808" i="1"/>
  <c r="B4970" i="1"/>
  <c r="D4970" i="1"/>
  <c r="G4970" i="1"/>
  <c r="B22459" i="1"/>
  <c r="D22459" i="1"/>
  <c r="G22459" i="1"/>
  <c r="B13968" i="1"/>
  <c r="D13968" i="1"/>
  <c r="G13968" i="1"/>
  <c r="B17491" i="1"/>
  <c r="D17491" i="1"/>
  <c r="G17491" i="1"/>
  <c r="B9511" i="1"/>
  <c r="D9511" i="1"/>
  <c r="G9511" i="1"/>
  <c r="B9924" i="1"/>
  <c r="D9924" i="1"/>
  <c r="G9924" i="1"/>
  <c r="B14399" i="1"/>
  <c r="D14399" i="1"/>
  <c r="G14399" i="1"/>
  <c r="B21008" i="1"/>
  <c r="D21008" i="1"/>
  <c r="G21008" i="1"/>
  <c r="B6890" i="1"/>
  <c r="D6890" i="1"/>
  <c r="G6890" i="1"/>
  <c r="B234" i="1"/>
  <c r="D234" i="1"/>
  <c r="G234" i="1"/>
  <c r="B4256" i="1"/>
  <c r="D4256" i="1"/>
  <c r="G4256" i="1"/>
  <c r="B14428" i="1"/>
  <c r="D14428" i="1"/>
  <c r="G14428" i="1"/>
  <c r="B13957" i="1"/>
  <c r="D13957" i="1"/>
  <c r="G13957" i="1"/>
  <c r="B5286" i="1"/>
  <c r="D5286" i="1"/>
  <c r="G5286" i="1"/>
  <c r="B22460" i="1"/>
  <c r="D22460" i="1"/>
  <c r="G22460" i="1"/>
  <c r="B3843" i="1"/>
  <c r="D3843" i="1"/>
  <c r="G3843" i="1"/>
  <c r="B9172" i="1"/>
  <c r="D9172" i="1"/>
  <c r="G9172" i="1"/>
  <c r="B8611" i="1"/>
  <c r="D8611" i="1"/>
  <c r="G8611" i="1"/>
  <c r="B12768" i="1"/>
  <c r="D12768" i="1"/>
  <c r="G12768" i="1"/>
  <c r="B22461" i="1"/>
  <c r="D22461" i="1"/>
  <c r="G22461" i="1"/>
  <c r="B9512" i="1"/>
  <c r="D9512" i="1"/>
  <c r="G9512" i="1"/>
  <c r="B4257" i="1"/>
  <c r="D4257" i="1"/>
  <c r="G4257" i="1"/>
  <c r="B9982" i="1"/>
  <c r="D9982" i="1"/>
  <c r="G9982" i="1"/>
  <c r="B14125" i="1"/>
  <c r="D14125" i="1"/>
  <c r="G14125" i="1"/>
  <c r="B14294" i="1"/>
  <c r="D14294" i="1"/>
  <c r="G14294" i="1"/>
  <c r="B22462" i="1"/>
  <c r="D22462" i="1"/>
  <c r="G22462" i="1"/>
  <c r="B22463" i="1"/>
  <c r="D22463" i="1"/>
  <c r="G22463" i="1"/>
  <c r="B22464" i="1"/>
  <c r="D22464" i="1"/>
  <c r="G22464" i="1"/>
  <c r="B22465" i="1"/>
  <c r="D22465" i="1"/>
  <c r="G22465" i="1"/>
  <c r="B17492" i="1"/>
  <c r="D17492" i="1"/>
  <c r="G17492" i="1"/>
  <c r="B22466" i="1"/>
  <c r="D22466" i="1"/>
  <c r="G22466" i="1"/>
  <c r="B17493" i="1"/>
  <c r="D17493" i="1"/>
  <c r="G17493" i="1"/>
  <c r="B22254" i="1"/>
  <c r="D22254" i="1"/>
  <c r="G22254" i="1"/>
  <c r="B22590" i="1"/>
  <c r="D22590" i="1"/>
  <c r="G22590" i="1"/>
  <c r="B5961" i="1"/>
  <c r="D5961" i="1"/>
  <c r="G5961" i="1"/>
  <c r="B13894" i="1"/>
  <c r="D13894" i="1"/>
  <c r="G13894" i="1"/>
  <c r="B5285" i="1"/>
  <c r="D5285" i="1"/>
  <c r="G5285" i="1"/>
  <c r="B12769" i="1"/>
  <c r="D12769" i="1"/>
  <c r="G12769" i="1"/>
  <c r="B9513" i="1"/>
  <c r="D9513" i="1"/>
  <c r="G9513" i="1"/>
  <c r="B5962" i="1"/>
  <c r="D5962" i="1"/>
  <c r="G5962" i="1"/>
  <c r="B5065" i="1"/>
  <c r="D5065" i="1"/>
  <c r="G5065" i="1"/>
  <c r="B5066" i="1"/>
  <c r="D5066" i="1"/>
  <c r="G5066" i="1"/>
  <c r="B5067" i="1"/>
  <c r="D5067" i="1"/>
  <c r="G5067" i="1"/>
  <c r="B5068" i="1"/>
  <c r="D5068" i="1"/>
  <c r="G5068" i="1"/>
  <c r="B5069" i="1"/>
  <c r="D5069" i="1"/>
  <c r="G5069" i="1"/>
  <c r="B9514" i="1"/>
  <c r="D9514" i="1"/>
  <c r="G9514" i="1"/>
  <c r="B5963" i="1"/>
  <c r="D5963" i="1"/>
  <c r="G5963" i="1"/>
  <c r="B5964" i="1"/>
  <c r="D5964" i="1"/>
  <c r="G5964" i="1"/>
  <c r="B5965" i="1"/>
  <c r="D5965" i="1"/>
  <c r="G5965" i="1"/>
  <c r="B5966" i="1"/>
  <c r="D5966" i="1"/>
  <c r="G5966" i="1"/>
  <c r="B9515" i="1"/>
  <c r="D9515" i="1"/>
  <c r="G9515" i="1"/>
  <c r="B12770" i="1"/>
  <c r="D12770" i="1"/>
  <c r="G12770" i="1"/>
  <c r="B9198" i="1"/>
  <c r="D9198" i="1"/>
  <c r="G9198" i="1"/>
  <c r="B18021" i="1"/>
  <c r="D18021" i="1"/>
  <c r="G18021" i="1"/>
  <c r="B12614" i="1"/>
  <c r="D12614" i="1"/>
  <c r="G12614" i="1"/>
  <c r="B18022" i="1"/>
  <c r="D18022" i="1"/>
  <c r="G18022" i="1"/>
  <c r="B22316" i="1"/>
  <c r="D22316" i="1"/>
  <c r="G22316" i="1"/>
  <c r="B9326" i="1"/>
  <c r="D9326" i="1"/>
  <c r="G9326" i="1"/>
  <c r="B12615" i="1"/>
  <c r="D12615" i="1"/>
  <c r="G12615" i="1"/>
  <c r="B18023" i="1"/>
  <c r="D18023" i="1"/>
  <c r="G18023" i="1"/>
  <c r="B9327" i="1"/>
  <c r="D9327" i="1"/>
  <c r="G9327" i="1"/>
  <c r="B9328" i="1"/>
  <c r="D9328" i="1"/>
  <c r="G9328" i="1"/>
  <c r="B22317" i="1"/>
  <c r="D22317" i="1"/>
  <c r="G22317" i="1"/>
  <c r="B9329" i="1"/>
  <c r="D9329" i="1"/>
  <c r="G9329" i="1"/>
  <c r="B9330" i="1"/>
  <c r="D9330" i="1"/>
  <c r="G9330" i="1"/>
  <c r="B9331" i="1"/>
  <c r="D9331" i="1"/>
  <c r="G9331" i="1"/>
  <c r="B22318" i="1"/>
  <c r="D22318" i="1"/>
  <c r="G22318" i="1"/>
  <c r="B22319" i="1"/>
  <c r="D22319" i="1"/>
  <c r="G22319" i="1"/>
  <c r="B18024" i="1"/>
  <c r="D18024" i="1"/>
  <c r="G18024" i="1"/>
  <c r="B22320" i="1"/>
  <c r="D22320" i="1"/>
  <c r="G22320" i="1"/>
  <c r="B22321" i="1"/>
  <c r="D22321" i="1"/>
  <c r="G22321" i="1"/>
  <c r="B9332" i="1"/>
  <c r="D9332" i="1"/>
  <c r="G9332" i="1"/>
  <c r="B22597" i="1"/>
  <c r="D22597" i="1"/>
  <c r="G22597" i="1"/>
  <c r="B9516" i="1"/>
  <c r="D9516" i="1"/>
  <c r="G9516" i="1"/>
  <c r="B12771" i="1"/>
  <c r="D12771" i="1"/>
  <c r="G12771" i="1"/>
  <c r="B9517" i="1"/>
  <c r="D9517" i="1"/>
  <c r="G9517" i="1"/>
  <c r="B9333" i="1"/>
  <c r="D9333" i="1"/>
  <c r="G9333" i="1"/>
  <c r="B9518" i="1"/>
  <c r="D9518" i="1"/>
  <c r="G9518" i="1"/>
  <c r="B9519" i="1"/>
  <c r="D9519" i="1"/>
  <c r="G9519" i="1"/>
  <c r="B9334" i="1"/>
  <c r="D9334" i="1"/>
  <c r="G9334" i="1"/>
  <c r="B9520" i="1"/>
  <c r="D9520" i="1"/>
  <c r="G9520" i="1"/>
  <c r="B9521" i="1"/>
  <c r="D9521" i="1"/>
  <c r="G9521" i="1"/>
  <c r="B9522" i="1"/>
  <c r="D9522" i="1"/>
  <c r="G9522" i="1"/>
  <c r="B9335" i="1"/>
  <c r="D9335" i="1"/>
  <c r="G9335" i="1"/>
  <c r="B9336" i="1"/>
  <c r="D9336" i="1"/>
  <c r="G9336" i="1"/>
  <c r="B9337" i="1"/>
  <c r="D9337" i="1"/>
  <c r="G9337" i="1"/>
  <c r="B9338" i="1"/>
  <c r="D9338" i="1"/>
  <c r="G9338" i="1"/>
  <c r="B9339" i="1"/>
  <c r="D9339" i="1"/>
  <c r="G9339" i="1"/>
  <c r="B9340" i="1"/>
  <c r="D9340" i="1"/>
  <c r="G9340" i="1"/>
  <c r="B9341" i="1"/>
  <c r="D9341" i="1"/>
  <c r="G9341" i="1"/>
  <c r="B9342" i="1"/>
  <c r="D9342" i="1"/>
  <c r="G9342" i="1"/>
  <c r="B14155" i="1"/>
  <c r="D14155" i="1"/>
  <c r="G14155" i="1"/>
  <c r="B12772" i="1"/>
  <c r="D12772" i="1"/>
  <c r="G12772" i="1"/>
  <c r="B12773" i="1"/>
  <c r="D12773" i="1"/>
  <c r="G12773" i="1"/>
  <c r="B22467" i="1"/>
  <c r="D22467" i="1"/>
  <c r="G22467" i="1"/>
  <c r="B22468" i="1"/>
  <c r="D22468" i="1"/>
  <c r="G22468" i="1"/>
  <c r="B17494" i="1"/>
  <c r="D17494" i="1"/>
  <c r="G17494" i="1"/>
  <c r="B12774" i="1"/>
  <c r="D12774" i="1"/>
  <c r="G12774" i="1"/>
  <c r="B17495" i="1"/>
  <c r="D17495" i="1"/>
  <c r="G17495" i="1"/>
  <c r="B12775" i="1"/>
  <c r="D12775" i="1"/>
  <c r="G12775" i="1"/>
  <c r="B9523" i="1"/>
  <c r="D9523" i="1"/>
  <c r="G9523" i="1"/>
  <c r="B22469" i="1"/>
  <c r="D22469" i="1"/>
  <c r="G22469" i="1"/>
  <c r="B9524" i="1"/>
  <c r="D9524" i="1"/>
  <c r="G9524" i="1"/>
  <c r="B12776" i="1"/>
  <c r="D12776" i="1"/>
  <c r="G12776" i="1"/>
  <c r="B22470" i="1"/>
  <c r="D22470" i="1"/>
  <c r="G22470" i="1"/>
  <c r="B12777" i="1"/>
  <c r="D12777" i="1"/>
  <c r="G12777" i="1"/>
  <c r="B9525" i="1"/>
  <c r="D9525" i="1"/>
  <c r="G9525" i="1"/>
  <c r="B9526" i="1"/>
  <c r="D9526" i="1"/>
  <c r="G9526" i="1"/>
  <c r="B17496" i="1"/>
  <c r="D17496" i="1"/>
  <c r="G17496" i="1"/>
  <c r="B12778" i="1"/>
  <c r="D12778" i="1"/>
  <c r="G12778" i="1"/>
  <c r="B17497" i="1"/>
  <c r="D17497" i="1"/>
  <c r="G17497" i="1"/>
  <c r="B13722" i="1"/>
  <c r="D13722" i="1"/>
  <c r="G13722" i="1"/>
  <c r="B17498" i="1"/>
  <c r="D17498" i="1"/>
  <c r="G17498" i="1"/>
  <c r="B12779" i="1"/>
  <c r="D12779" i="1"/>
  <c r="G12779" i="1"/>
  <c r="B12780" i="1"/>
  <c r="D12780" i="1"/>
  <c r="G12780" i="1"/>
  <c r="B17499" i="1"/>
  <c r="D17499" i="1"/>
  <c r="G17499" i="1"/>
  <c r="B12781" i="1"/>
  <c r="D12781" i="1"/>
  <c r="G12781" i="1"/>
  <c r="B17500" i="1"/>
  <c r="D17500" i="1"/>
  <c r="G17500" i="1"/>
  <c r="B17501" i="1"/>
  <c r="D17501" i="1"/>
  <c r="G17501" i="1"/>
  <c r="B14291" i="1"/>
  <c r="D14291" i="1"/>
  <c r="G14291" i="1"/>
  <c r="B4507" i="1"/>
  <c r="D4507" i="1"/>
  <c r="G4507" i="1"/>
  <c r="B235" i="1"/>
  <c r="D235" i="1"/>
  <c r="G235" i="1"/>
  <c r="B13592" i="1"/>
  <c r="D13592" i="1"/>
  <c r="G13592" i="1"/>
  <c r="B13573" i="1"/>
  <c r="D13573" i="1"/>
  <c r="G13573" i="1"/>
  <c r="B13725" i="1"/>
  <c r="D13725" i="1"/>
  <c r="G13725" i="1"/>
  <c r="B13967" i="1"/>
  <c r="D13967" i="1"/>
  <c r="G13967" i="1"/>
  <c r="B4258" i="1"/>
  <c r="D4258" i="1"/>
  <c r="G4258" i="1"/>
  <c r="B22471" i="1"/>
  <c r="D22471" i="1"/>
  <c r="G22471" i="1"/>
  <c r="B1499" i="1"/>
  <c r="D1499" i="1"/>
  <c r="G1499" i="1"/>
  <c r="B14117" i="1"/>
  <c r="D14117" i="1"/>
  <c r="G14117" i="1"/>
  <c r="B22472" i="1"/>
  <c r="D22472" i="1"/>
  <c r="G22472" i="1"/>
  <c r="B13612" i="1"/>
  <c r="D13612" i="1"/>
  <c r="G13612" i="1"/>
  <c r="B18069" i="1"/>
  <c r="D18069" i="1"/>
  <c r="G18069" i="1"/>
  <c r="B15715" i="1"/>
  <c r="D15715" i="1"/>
  <c r="G15715" i="1"/>
  <c r="B5070" i="1"/>
  <c r="D5070" i="1"/>
  <c r="G5070" i="1"/>
  <c r="B5071" i="1"/>
  <c r="D5071" i="1"/>
  <c r="G5071" i="1"/>
  <c r="B5072" i="1"/>
  <c r="D5072" i="1"/>
  <c r="G5072" i="1"/>
  <c r="B5073" i="1"/>
  <c r="D5073" i="1"/>
  <c r="G5073" i="1"/>
  <c r="B5074" i="1"/>
  <c r="D5074" i="1"/>
  <c r="G5074" i="1"/>
  <c r="B5075" i="1"/>
  <c r="D5075" i="1"/>
  <c r="G5075" i="1"/>
  <c r="B5076" i="1"/>
  <c r="D5076" i="1"/>
  <c r="G5076" i="1"/>
  <c r="B5760" i="1"/>
  <c r="D5760" i="1"/>
  <c r="G5760" i="1"/>
  <c r="B14371" i="1"/>
  <c r="D14371" i="1"/>
  <c r="G14371" i="1"/>
  <c r="B22322" i="1"/>
  <c r="D22322" i="1"/>
  <c r="G22322" i="1"/>
  <c r="B18025" i="1"/>
  <c r="D18025" i="1"/>
  <c r="G18025" i="1"/>
  <c r="B22323" i="1"/>
  <c r="D22323" i="1"/>
  <c r="G22323" i="1"/>
  <c r="B18026" i="1"/>
  <c r="D18026" i="1"/>
  <c r="G18026" i="1"/>
  <c r="B22324" i="1"/>
  <c r="D22324" i="1"/>
  <c r="G22324" i="1"/>
  <c r="B22325" i="1"/>
  <c r="D22325" i="1"/>
  <c r="G22325" i="1"/>
  <c r="B18027" i="1"/>
  <c r="D18027" i="1"/>
  <c r="G18027" i="1"/>
  <c r="B18028" i="1"/>
  <c r="D18028" i="1"/>
  <c r="G18028" i="1"/>
  <c r="B9343" i="1"/>
  <c r="D9343" i="1"/>
  <c r="G9343" i="1"/>
  <c r="B9344" i="1"/>
  <c r="D9344" i="1"/>
  <c r="G9344" i="1"/>
  <c r="B18029" i="1"/>
  <c r="D18029" i="1"/>
  <c r="G18029" i="1"/>
  <c r="B22326" i="1"/>
  <c r="D22326" i="1"/>
  <c r="G22326" i="1"/>
  <c r="B22327" i="1"/>
  <c r="D22327" i="1"/>
  <c r="G22327" i="1"/>
  <c r="B22328" i="1"/>
  <c r="D22328" i="1"/>
  <c r="G22328" i="1"/>
  <c r="B18030" i="1"/>
  <c r="D18030" i="1"/>
  <c r="G18030" i="1"/>
  <c r="B22329" i="1"/>
  <c r="D22329" i="1"/>
  <c r="G22329" i="1"/>
  <c r="B18031" i="1"/>
  <c r="D18031" i="1"/>
  <c r="G18031" i="1"/>
  <c r="B22330" i="1"/>
  <c r="D22330" i="1"/>
  <c r="G22330" i="1"/>
  <c r="B22331" i="1"/>
  <c r="D22331" i="1"/>
  <c r="G22331" i="1"/>
  <c r="B14464" i="1"/>
  <c r="D14464" i="1"/>
  <c r="G14464" i="1"/>
  <c r="B15775" i="1"/>
  <c r="D15775" i="1"/>
  <c r="G15775" i="1"/>
  <c r="B853" i="1"/>
  <c r="D853" i="1"/>
  <c r="G853" i="1"/>
  <c r="B13637" i="1"/>
  <c r="D13637" i="1"/>
  <c r="G13637" i="1"/>
  <c r="B5280" i="1"/>
  <c r="D5280" i="1"/>
  <c r="G5280" i="1"/>
  <c r="B22332" i="1"/>
  <c r="D22332" i="1"/>
  <c r="G22332" i="1"/>
  <c r="B22548" i="1"/>
  <c r="D22548" i="1"/>
  <c r="G22548" i="1"/>
  <c r="B22541" i="1"/>
  <c r="D22541" i="1"/>
  <c r="G22541" i="1"/>
  <c r="B22544" i="1"/>
  <c r="D22544" i="1"/>
  <c r="G22544" i="1"/>
  <c r="B9527" i="1"/>
  <c r="D9527" i="1"/>
  <c r="G9527" i="1"/>
  <c r="B5077" i="1"/>
  <c r="D5077" i="1"/>
  <c r="G5077" i="1"/>
  <c r="B5078" i="1"/>
  <c r="D5078" i="1"/>
  <c r="G5078" i="1"/>
  <c r="B5079" i="1"/>
  <c r="D5079" i="1"/>
  <c r="G5079" i="1"/>
  <c r="B5080" i="1"/>
  <c r="D5080" i="1"/>
  <c r="G5080" i="1"/>
  <c r="B5081" i="1"/>
  <c r="D5081" i="1"/>
  <c r="G5081" i="1"/>
  <c r="B5082" i="1"/>
  <c r="D5082" i="1"/>
  <c r="G5082" i="1"/>
  <c r="B18032" i="1"/>
  <c r="D18032" i="1"/>
  <c r="G18032" i="1"/>
  <c r="B12616" i="1"/>
  <c r="D12616" i="1"/>
  <c r="G12616" i="1"/>
  <c r="B12617" i="1"/>
  <c r="D12617" i="1"/>
  <c r="G12617" i="1"/>
  <c r="B22333" i="1"/>
  <c r="D22333" i="1"/>
  <c r="G22333" i="1"/>
  <c r="B22334" i="1"/>
  <c r="D22334" i="1"/>
  <c r="G22334" i="1"/>
  <c r="B22335" i="1"/>
  <c r="D22335" i="1"/>
  <c r="G22335" i="1"/>
  <c r="B12618" i="1"/>
  <c r="D12618" i="1"/>
  <c r="G12618" i="1"/>
  <c r="B12619" i="1"/>
  <c r="D12619" i="1"/>
  <c r="G12619" i="1"/>
  <c r="B12620" i="1"/>
  <c r="D12620" i="1"/>
  <c r="G12620" i="1"/>
  <c r="B4898" i="1"/>
  <c r="D4898" i="1"/>
  <c r="G4898" i="1"/>
  <c r="B5967" i="1"/>
  <c r="D5967" i="1"/>
  <c r="G5967" i="1"/>
  <c r="B9528" i="1"/>
  <c r="D9528" i="1"/>
  <c r="G9528" i="1"/>
  <c r="B9173" i="1"/>
  <c r="D9173" i="1"/>
  <c r="G9173" i="1"/>
  <c r="B9529" i="1"/>
  <c r="D9529" i="1"/>
  <c r="G9529" i="1"/>
  <c r="B14194" i="1"/>
  <c r="D14194" i="1"/>
  <c r="G14194" i="1"/>
  <c r="B19947" i="1"/>
  <c r="D19947" i="1"/>
  <c r="G19947" i="1"/>
  <c r="B22473" i="1"/>
  <c r="D22473" i="1"/>
  <c r="G22473" i="1"/>
  <c r="B22474" i="1"/>
  <c r="D22474" i="1"/>
  <c r="G22474" i="1"/>
  <c r="B14066" i="1"/>
  <c r="D14066" i="1"/>
  <c r="G14066" i="1"/>
  <c r="B9530" i="1"/>
  <c r="D9530" i="1"/>
  <c r="G9530" i="1"/>
  <c r="B9531" i="1"/>
  <c r="D9531" i="1"/>
  <c r="G9531" i="1"/>
  <c r="B9532" i="1"/>
  <c r="D9532" i="1"/>
  <c r="G9532" i="1"/>
  <c r="B3842" i="1"/>
  <c r="D3842" i="1"/>
  <c r="G3842" i="1"/>
  <c r="B9533" i="1"/>
  <c r="D9533" i="1"/>
  <c r="G9533" i="1"/>
  <c r="B13379" i="1"/>
  <c r="D13379" i="1"/>
  <c r="G13379" i="1"/>
  <c r="B22475" i="1"/>
  <c r="D22475" i="1"/>
  <c r="G22475" i="1"/>
  <c r="B21399" i="1"/>
  <c r="D21399" i="1"/>
  <c r="G21399" i="1"/>
  <c r="B5968" i="1"/>
  <c r="D5968" i="1"/>
  <c r="G5968" i="1"/>
  <c r="B13199" i="1"/>
  <c r="D13199" i="1"/>
  <c r="G13199" i="1"/>
  <c r="B5083" i="1"/>
  <c r="D5083" i="1"/>
  <c r="G5083" i="1"/>
  <c r="B5969" i="1"/>
  <c r="D5969" i="1"/>
  <c r="G5969" i="1"/>
  <c r="B11468" i="1"/>
  <c r="D11468" i="1"/>
  <c r="G11468" i="1"/>
  <c r="B22476" i="1"/>
  <c r="D22476" i="1"/>
  <c r="G22476" i="1"/>
  <c r="B9345" i="1"/>
  <c r="D9345" i="1"/>
  <c r="G9345" i="1"/>
  <c r="B18033" i="1"/>
  <c r="D18033" i="1"/>
  <c r="G18033" i="1"/>
  <c r="B22336" i="1"/>
  <c r="D22336" i="1"/>
  <c r="G22336" i="1"/>
  <c r="B22337" i="1"/>
  <c r="D22337" i="1"/>
  <c r="G22337" i="1"/>
  <c r="B22338" i="1"/>
  <c r="D22338" i="1"/>
  <c r="G22338" i="1"/>
  <c r="B22339" i="1"/>
  <c r="D22339" i="1"/>
  <c r="G22339" i="1"/>
  <c r="B18034" i="1"/>
  <c r="D18034" i="1"/>
  <c r="G18034" i="1"/>
  <c r="B22340" i="1"/>
  <c r="D22340" i="1"/>
  <c r="G22340" i="1"/>
  <c r="B22477" i="1"/>
  <c r="D22477" i="1"/>
  <c r="G22477" i="1"/>
  <c r="B22478" i="1"/>
  <c r="D22478" i="1"/>
  <c r="G22478" i="1"/>
  <c r="B22479" i="1"/>
  <c r="D22479" i="1"/>
  <c r="G22479" i="1"/>
  <c r="B20025" i="1"/>
  <c r="D20025" i="1"/>
  <c r="G20025" i="1"/>
  <c r="B20227" i="1"/>
  <c r="D20227" i="1"/>
  <c r="G20227" i="1"/>
  <c r="B19797" i="1"/>
  <c r="D19797" i="1"/>
  <c r="G19797" i="1"/>
  <c r="B19804" i="1"/>
  <c r="D19804" i="1"/>
  <c r="G19804" i="1"/>
  <c r="B13799" i="1"/>
  <c r="D13799" i="1"/>
  <c r="G13799" i="1"/>
  <c r="B4576" i="1"/>
  <c r="D4576" i="1"/>
  <c r="G4576" i="1"/>
  <c r="B13805" i="1"/>
  <c r="D13805" i="1"/>
  <c r="G13805" i="1"/>
  <c r="B4919" i="1"/>
  <c r="D4919" i="1"/>
  <c r="G4919" i="1"/>
  <c r="B22542" i="1"/>
  <c r="D22542" i="1"/>
  <c r="G22542" i="1"/>
  <c r="B22534" i="1"/>
  <c r="D22534" i="1"/>
  <c r="G22534" i="1"/>
  <c r="B18346" i="1"/>
  <c r="D18346" i="1"/>
  <c r="G18346" i="1"/>
  <c r="B12634" i="1"/>
  <c r="D12634" i="1"/>
  <c r="G12634" i="1"/>
  <c r="B5084" i="1"/>
  <c r="D5084" i="1"/>
  <c r="G5084" i="1"/>
  <c r="B5085" i="1"/>
  <c r="D5085" i="1"/>
  <c r="G5085" i="1"/>
  <c r="B13697" i="1"/>
  <c r="D13697" i="1"/>
  <c r="G13697" i="1"/>
  <c r="B12635" i="1"/>
  <c r="D12635" i="1"/>
  <c r="G12635" i="1"/>
  <c r="B5970" i="1"/>
  <c r="D5970" i="1"/>
  <c r="G5970" i="1"/>
  <c r="B13965" i="1"/>
  <c r="D13965" i="1"/>
  <c r="G13965" i="1"/>
  <c r="B14015" i="1"/>
  <c r="D14015" i="1"/>
  <c r="G14015" i="1"/>
  <c r="B6892" i="1"/>
  <c r="D6892" i="1"/>
  <c r="G6892" i="1"/>
  <c r="B14040" i="1"/>
  <c r="D14040" i="1"/>
  <c r="G14040" i="1"/>
  <c r="B14041" i="1"/>
  <c r="D14041" i="1"/>
  <c r="G14041" i="1"/>
  <c r="B22549" i="1"/>
  <c r="D22549" i="1"/>
  <c r="G22549" i="1"/>
  <c r="B18035" i="1"/>
  <c r="D18035" i="1"/>
  <c r="G18035" i="1"/>
  <c r="B18036" i="1"/>
  <c r="D18036" i="1"/>
  <c r="G18036" i="1"/>
  <c r="B22341" i="1"/>
  <c r="D22341" i="1"/>
  <c r="G22341" i="1"/>
  <c r="B12621" i="1"/>
  <c r="D12621" i="1"/>
  <c r="G12621" i="1"/>
  <c r="B18037" i="1"/>
  <c r="D18037" i="1"/>
  <c r="G18037" i="1"/>
  <c r="B22342" i="1"/>
  <c r="D22342" i="1"/>
  <c r="G22342" i="1"/>
  <c r="B22343" i="1"/>
  <c r="D22343" i="1"/>
  <c r="G22343" i="1"/>
  <c r="B12636" i="1"/>
  <c r="D12636" i="1"/>
  <c r="G12636" i="1"/>
  <c r="B9859" i="1"/>
  <c r="D9859" i="1"/>
  <c r="G9859" i="1"/>
  <c r="B14126" i="1"/>
  <c r="D14126" i="1"/>
  <c r="G14126" i="1"/>
  <c r="B13376" i="1"/>
  <c r="D13376" i="1"/>
  <c r="G13376" i="1"/>
  <c r="B13966" i="1"/>
  <c r="D13966" i="1"/>
  <c r="G13966" i="1"/>
  <c r="B22480" i="1"/>
  <c r="D22480" i="1"/>
  <c r="G22480" i="1"/>
  <c r="B17502" i="1"/>
  <c r="D17502" i="1"/>
  <c r="G17502" i="1"/>
  <c r="B22481" i="1"/>
  <c r="D22481" i="1"/>
  <c r="G22481" i="1"/>
  <c r="B18347" i="1"/>
  <c r="D18347" i="1"/>
  <c r="G18347" i="1"/>
  <c r="B4903" i="1"/>
  <c r="D4903" i="1"/>
  <c r="G4903" i="1"/>
  <c r="B14295" i="1"/>
  <c r="D14295" i="1"/>
  <c r="G14295" i="1"/>
  <c r="B5971" i="1"/>
  <c r="D5971" i="1"/>
  <c r="G5971" i="1"/>
  <c r="B5086" i="1"/>
  <c r="D5086" i="1"/>
  <c r="G5086" i="1"/>
  <c r="B22482" i="1"/>
  <c r="D22482" i="1"/>
  <c r="G22482" i="1"/>
  <c r="B8378" i="1"/>
  <c r="D8378" i="1"/>
  <c r="G8378" i="1"/>
  <c r="B13248" i="1"/>
  <c r="D13248" i="1"/>
  <c r="G13248" i="1"/>
  <c r="B12782" i="1"/>
  <c r="D12782" i="1"/>
  <c r="G12782" i="1"/>
  <c r="B22483" i="1"/>
  <c r="D22483" i="1"/>
  <c r="G22483" i="1"/>
  <c r="B21004" i="1"/>
  <c r="D21004" i="1"/>
  <c r="G21004" i="1"/>
  <c r="B22484" i="1"/>
  <c r="D22484" i="1"/>
  <c r="G22484" i="1"/>
  <c r="B18326" i="1"/>
  <c r="D18326" i="1"/>
  <c r="G18326" i="1"/>
  <c r="B9091" i="1"/>
  <c r="D9091" i="1"/>
  <c r="G9091" i="1"/>
  <c r="B5284" i="1"/>
  <c r="D5284" i="1"/>
  <c r="G5284" i="1"/>
  <c r="B18327" i="1"/>
  <c r="D18327" i="1"/>
  <c r="G18327" i="1"/>
  <c r="B18328" i="1"/>
  <c r="D18328" i="1"/>
  <c r="G18328" i="1"/>
  <c r="B15772" i="1"/>
  <c r="D15772" i="1"/>
  <c r="G15772" i="1"/>
  <c r="B20515" i="1"/>
  <c r="D20515" i="1"/>
  <c r="G20515" i="1"/>
  <c r="B15773" i="1"/>
  <c r="D15773" i="1"/>
  <c r="G15773" i="1"/>
  <c r="B9092" i="1"/>
  <c r="D9092" i="1"/>
  <c r="G9092" i="1"/>
  <c r="B20516" i="1"/>
  <c r="D20516" i="1"/>
  <c r="G20516" i="1"/>
  <c r="B20517" i="1"/>
  <c r="D20517" i="1"/>
  <c r="G20517" i="1"/>
  <c r="B9093" i="1"/>
  <c r="D9093" i="1"/>
  <c r="G9093" i="1"/>
  <c r="B9094" i="1"/>
  <c r="D9094" i="1"/>
  <c r="G9094" i="1"/>
  <c r="B18329" i="1"/>
  <c r="D18329" i="1"/>
  <c r="G18329" i="1"/>
  <c r="B20518" i="1"/>
  <c r="D20518" i="1"/>
  <c r="G20518" i="1"/>
  <c r="B20519" i="1"/>
  <c r="D20519" i="1"/>
  <c r="G20519" i="1"/>
  <c r="B20520" i="1"/>
  <c r="D20520" i="1"/>
  <c r="G20520" i="1"/>
  <c r="B20521" i="1"/>
  <c r="D20521" i="1"/>
  <c r="G20521" i="1"/>
  <c r="B18330" i="1"/>
  <c r="D18330" i="1"/>
  <c r="G18330" i="1"/>
  <c r="B20522" i="1"/>
  <c r="D20522" i="1"/>
  <c r="G20522" i="1"/>
  <c r="B20523" i="1"/>
  <c r="D20523" i="1"/>
  <c r="G20523" i="1"/>
  <c r="B20524" i="1"/>
  <c r="D20524" i="1"/>
  <c r="G20524" i="1"/>
  <c r="B1922" i="1"/>
  <c r="D1922" i="1"/>
  <c r="G1922" i="1"/>
  <c r="B1923" i="1"/>
  <c r="D1923" i="1"/>
  <c r="G1923" i="1"/>
  <c r="B22344" i="1"/>
  <c r="D22344" i="1"/>
  <c r="G22344" i="1"/>
  <c r="B22345" i="1"/>
  <c r="D22345" i="1"/>
  <c r="G22345" i="1"/>
  <c r="B22346" i="1"/>
  <c r="D22346" i="1"/>
  <c r="G22346" i="1"/>
  <c r="B22347" i="1"/>
  <c r="D22347" i="1"/>
  <c r="G22347" i="1"/>
  <c r="B22348" i="1"/>
  <c r="D22348" i="1"/>
  <c r="G22348" i="1"/>
  <c r="B22349" i="1"/>
  <c r="D22349" i="1"/>
  <c r="G22349" i="1"/>
  <c r="B18038" i="1"/>
  <c r="D18038" i="1"/>
  <c r="G18038" i="1"/>
  <c r="B22350" i="1"/>
  <c r="D22350" i="1"/>
  <c r="G22350" i="1"/>
  <c r="B22351" i="1"/>
  <c r="D22351" i="1"/>
  <c r="G22351" i="1"/>
  <c r="B18039" i="1"/>
  <c r="D18039" i="1"/>
  <c r="G18039" i="1"/>
  <c r="B22352" i="1"/>
  <c r="D22352" i="1"/>
  <c r="G22352" i="1"/>
  <c r="B22353" i="1"/>
  <c r="D22353" i="1"/>
  <c r="G22353" i="1"/>
  <c r="B22354" i="1"/>
  <c r="D22354" i="1"/>
  <c r="G22354" i="1"/>
  <c r="B22355" i="1"/>
  <c r="D22355" i="1"/>
  <c r="G22355" i="1"/>
  <c r="B18040" i="1"/>
  <c r="D18040" i="1"/>
  <c r="G18040" i="1"/>
  <c r="B22356" i="1"/>
  <c r="D22356" i="1"/>
  <c r="G22356" i="1"/>
  <c r="B22357" i="1"/>
  <c r="D22357" i="1"/>
  <c r="G22357" i="1"/>
  <c r="B22358" i="1"/>
  <c r="D22358" i="1"/>
  <c r="G22358" i="1"/>
  <c r="B22359" i="1"/>
  <c r="D22359" i="1"/>
  <c r="G22359" i="1"/>
  <c r="B22360" i="1"/>
  <c r="D22360" i="1"/>
  <c r="G22360" i="1"/>
  <c r="B22361" i="1"/>
  <c r="D22361" i="1"/>
  <c r="G22361" i="1"/>
  <c r="B22362" i="1"/>
  <c r="D22362" i="1"/>
  <c r="G22362" i="1"/>
  <c r="B22363" i="1"/>
  <c r="D22363" i="1"/>
  <c r="G22363" i="1"/>
  <c r="B22364" i="1"/>
  <c r="D22364" i="1"/>
  <c r="G22364" i="1"/>
  <c r="B9534" i="1"/>
  <c r="D9534" i="1"/>
  <c r="G9534" i="1"/>
  <c r="B12783" i="1"/>
  <c r="D12783" i="1"/>
  <c r="G12783" i="1"/>
  <c r="B12784" i="1"/>
  <c r="D12784" i="1"/>
  <c r="G12784" i="1"/>
  <c r="B9535" i="1"/>
  <c r="D9535" i="1"/>
  <c r="G9535" i="1"/>
  <c r="B5087" i="1"/>
  <c r="D5087" i="1"/>
  <c r="G5087" i="1"/>
  <c r="B5088" i="1"/>
  <c r="D5088" i="1"/>
  <c r="G5088" i="1"/>
  <c r="B5089" i="1"/>
  <c r="D5089" i="1"/>
  <c r="G5089" i="1"/>
  <c r="B18041" i="1"/>
  <c r="D18041" i="1"/>
  <c r="G18041" i="1"/>
  <c r="B9346" i="1"/>
  <c r="D9346" i="1"/>
  <c r="G9346" i="1"/>
  <c r="B9347" i="1"/>
  <c r="D9347" i="1"/>
  <c r="G9347" i="1"/>
  <c r="B18042" i="1"/>
  <c r="D18042" i="1"/>
  <c r="G18042" i="1"/>
  <c r="B9348" i="1"/>
  <c r="D9348" i="1"/>
  <c r="G9348" i="1"/>
  <c r="B18043" i="1"/>
  <c r="D18043" i="1"/>
  <c r="G18043" i="1"/>
  <c r="B18044" i="1"/>
  <c r="D18044" i="1"/>
  <c r="G18044" i="1"/>
  <c r="B18045" i="1"/>
  <c r="D18045" i="1"/>
  <c r="G18045" i="1"/>
  <c r="B18046" i="1"/>
  <c r="D18046" i="1"/>
  <c r="G18046" i="1"/>
  <c r="B18047" i="1"/>
  <c r="D18047" i="1"/>
  <c r="G18047" i="1"/>
  <c r="B18048" i="1"/>
  <c r="D18048" i="1"/>
  <c r="G18048" i="1"/>
  <c r="B18049" i="1"/>
  <c r="D18049" i="1"/>
  <c r="G18049" i="1"/>
  <c r="B9349" i="1"/>
  <c r="D9349" i="1"/>
  <c r="G9349" i="1"/>
  <c r="B9350" i="1"/>
  <c r="D9350" i="1"/>
  <c r="G9350" i="1"/>
  <c r="B18050" i="1"/>
  <c r="D18050" i="1"/>
  <c r="G18050" i="1"/>
  <c r="B18051" i="1"/>
  <c r="D18051" i="1"/>
  <c r="G18051" i="1"/>
  <c r="B18052" i="1"/>
  <c r="D18052" i="1"/>
  <c r="G18052" i="1"/>
  <c r="B18053" i="1"/>
  <c r="D18053" i="1"/>
  <c r="G18053" i="1"/>
  <c r="B18054" i="1"/>
  <c r="D18054" i="1"/>
  <c r="G18054" i="1"/>
  <c r="B18055" i="1"/>
  <c r="D18055" i="1"/>
  <c r="G18055" i="1"/>
  <c r="B18056" i="1"/>
  <c r="D18056" i="1"/>
  <c r="G18056" i="1"/>
  <c r="B18057" i="1"/>
  <c r="D18057" i="1"/>
  <c r="G18057" i="1"/>
  <c r="B18058" i="1"/>
  <c r="D18058" i="1"/>
  <c r="G18058" i="1"/>
  <c r="B18059" i="1"/>
  <c r="D18059" i="1"/>
  <c r="G18059" i="1"/>
  <c r="B12622" i="1"/>
  <c r="D12622" i="1"/>
  <c r="G12622" i="1"/>
  <c r="B12623" i="1"/>
  <c r="D12623" i="1"/>
  <c r="G12623" i="1"/>
  <c r="B12624" i="1"/>
  <c r="D12624" i="1"/>
  <c r="G12624" i="1"/>
  <c r="B18060" i="1"/>
  <c r="D18060" i="1"/>
  <c r="G18060" i="1"/>
  <c r="B18061" i="1"/>
  <c r="D18061" i="1"/>
  <c r="G18061" i="1"/>
  <c r="B18062" i="1"/>
  <c r="D18062" i="1"/>
  <c r="G18062" i="1"/>
  <c r="B18063" i="1"/>
  <c r="D18063" i="1"/>
  <c r="G18063" i="1"/>
  <c r="B18064" i="1"/>
  <c r="D18064" i="1"/>
  <c r="G18064" i="1"/>
  <c r="B18065" i="1"/>
  <c r="D18065" i="1"/>
  <c r="G18065" i="1"/>
  <c r="B18066" i="1"/>
  <c r="D18066" i="1"/>
  <c r="G18066" i="1"/>
  <c r="B18067" i="1"/>
  <c r="D18067" i="1"/>
  <c r="G18067" i="1"/>
  <c r="B3284" i="1"/>
  <c r="D3284" i="1"/>
  <c r="G3284" i="1"/>
  <c r="B3285" i="1"/>
  <c r="D3285" i="1"/>
  <c r="G3285" i="1"/>
  <c r="B3286" i="1"/>
  <c r="D3286" i="1"/>
  <c r="G3286" i="1"/>
  <c r="B3287" i="1"/>
  <c r="D3287" i="1"/>
  <c r="G3287" i="1"/>
</calcChain>
</file>

<file path=xl/sharedStrings.xml><?xml version="1.0" encoding="utf-8"?>
<sst xmlns="http://schemas.openxmlformats.org/spreadsheetml/2006/main" count="89343" uniqueCount="6474">
  <si>
    <t>Type</t>
  </si>
  <si>
    <t>Alias</t>
  </si>
  <si>
    <t>ID</t>
  </si>
  <si>
    <t>Desc</t>
  </si>
  <si>
    <t>SYSCO EDI</t>
  </si>
  <si>
    <t>USFS EDI</t>
  </si>
  <si>
    <t>PAYEE ALIAS</t>
  </si>
  <si>
    <t>Labatt User Upload</t>
  </si>
  <si>
    <t>program</t>
  </si>
  <si>
    <t>RICH FOODS-OSAGE CASINO</t>
  </si>
  <si>
    <t>Osage Casino</t>
  </si>
  <si>
    <t>RICH PRODUCTS-DOD NAPA</t>
  </si>
  <si>
    <t>NAPA</t>
  </si>
  <si>
    <t>RICH PRODUCTS-ALL OK CASINOS</t>
  </si>
  <si>
    <t>Oklahoma Cherokee Casinos</t>
  </si>
  <si>
    <t>RICHS-TRADITIONS SPIRITS</t>
  </si>
  <si>
    <t>RICHS - VILLAGE TAVERN</t>
  </si>
  <si>
    <t>American Blue Ribbon Holding  O Charley etc</t>
  </si>
  <si>
    <t>RICH'S PRODUCTS-K-12 SCHOOL BL</t>
  </si>
  <si>
    <t>SY 17 18 National Blanket</t>
  </si>
  <si>
    <t>RICHS-SHARIS</t>
  </si>
  <si>
    <t>Shari's Restaurants 2016</t>
  </si>
  <si>
    <t>RICH FOODS PIZZA DOUGH-BLUE ME</t>
  </si>
  <si>
    <t>52 03 322 Blue Mesa Grill</t>
  </si>
  <si>
    <t>RICH-BLANKET SCHOOLS</t>
  </si>
  <si>
    <t>SY 16 17 NATIONAL BLANKET PRICE SHEET</t>
  </si>
  <si>
    <t>RICH'S-PENNY HILL SUB'S</t>
  </si>
  <si>
    <t>RICHS-PENN NATIONAL GAMING OPC</t>
  </si>
  <si>
    <t xml:space="preserve">Boyd Gaming &amp; Coast Properties </t>
  </si>
  <si>
    <t>RICH'S-WINCHELL'S</t>
  </si>
  <si>
    <t>WINCHELL'S PROGRAM</t>
  </si>
  <si>
    <t>RICHS - BOYD GAMING</t>
  </si>
  <si>
    <t>RICHS-HARRAH'S</t>
  </si>
  <si>
    <t>RICHS-OK CITY PUBLIC SCHOOLS</t>
  </si>
  <si>
    <t>RICH-WILDFLOWER BREAD COMPANY</t>
  </si>
  <si>
    <t>CASA DI BERTAC SODEXO AKXDOCK</t>
  </si>
  <si>
    <t>Sodexo Meatballs pricing</t>
  </si>
  <si>
    <t>RICH-WEST ADA SCHOOL</t>
  </si>
  <si>
    <t>7/1/2016   6/30/2017 West Ada (Joint School District No.2)</t>
  </si>
  <si>
    <t>RICH'S-REGION 8</t>
  </si>
  <si>
    <t>RICH FOODS-TREAT AMERICA</t>
  </si>
  <si>
    <t>Treat America 2014 Rebate</t>
  </si>
  <si>
    <t>RICH'S-TVC CO-OP</t>
  </si>
  <si>
    <t>RICH'S-SCHOOL BLANKET BID</t>
  </si>
  <si>
    <t>RICHS-ALL SCHOOLS DENVER</t>
  </si>
  <si>
    <t>RICH BREAD ROLLS SODEXO AK</t>
  </si>
  <si>
    <t>Sodexo Bread and Roll Pricing to include FMB 2015</t>
  </si>
  <si>
    <t>RICH PIZ &amp; ICING SODEXO AK MIX</t>
  </si>
  <si>
    <t>Sodexo Pizza Pricing</t>
  </si>
  <si>
    <t>RICHS-AMERICAN CASINO GROUP</t>
  </si>
  <si>
    <t>AVI RESORT &amp; CASINO LOYALTY PROGRAM</t>
  </si>
  <si>
    <t>RICH-AVI HOTEL</t>
  </si>
  <si>
    <t>RICHS-GATORS PIZZA</t>
  </si>
  <si>
    <t>Gator's Pizza</t>
  </si>
  <si>
    <t>RICH PRODUCTS PIZZA STUDIO</t>
  </si>
  <si>
    <t>52 Boston Pizza</t>
  </si>
  <si>
    <t>RICH-THE PANTRY</t>
  </si>
  <si>
    <t>RICHS-GRAND CANYON</t>
  </si>
  <si>
    <t>Grand Canyon Lodge North Rim Loyalty Program</t>
  </si>
  <si>
    <t>RICH'S-KEYSTONE FOODS</t>
  </si>
  <si>
    <t>RICH FOODS-ROCKFISH SFD GRILL</t>
  </si>
  <si>
    <t>52 Rockfish</t>
  </si>
  <si>
    <t>RICH'S-MGM GROUP</t>
  </si>
  <si>
    <t>MGM Properties</t>
  </si>
  <si>
    <t>RICH FOODS-SCHOOL BLANKET</t>
  </si>
  <si>
    <t>RICH-JEFFCO</t>
  </si>
  <si>
    <t>RICH'S-BAHAMA BUCK'S</t>
  </si>
  <si>
    <t>Bahama Buck's</t>
  </si>
  <si>
    <t>RICH FOODS-COLD STONE CREAMERY</t>
  </si>
  <si>
    <t>Cold Stone Creamery pricing (non SYGMA)</t>
  </si>
  <si>
    <t>RICH'S-JEROME SD</t>
  </si>
  <si>
    <t>RICH PRODUCTS-ROY'S CHICKEN</t>
  </si>
  <si>
    <t>RICH'S-JIFFY TRIP</t>
  </si>
  <si>
    <t xml:space="preserve">Jiffy Trip </t>
  </si>
  <si>
    <t>RICH'S-SNAPPY MART</t>
  </si>
  <si>
    <t>Snappy Pizza Crust Deviation</t>
  </si>
  <si>
    <t>RICH'S SWEET DOUGH SODEXO</t>
  </si>
  <si>
    <t>Sodexo Sweet Goods Pricing</t>
  </si>
  <si>
    <t>RICH'S TOPPINGS SODEXO</t>
  </si>
  <si>
    <t>52 Sodexo Toppings Pricing</t>
  </si>
  <si>
    <t>RICH FOODS - PEPI CORP</t>
  </si>
  <si>
    <t>RICH PRODUCTS ARAMARK</t>
  </si>
  <si>
    <t>Aramark Distributor Net Pricing (Excludes K12)</t>
  </si>
  <si>
    <t>RICH'S-NEPTUNE SUBMARINES</t>
  </si>
  <si>
    <t>Neptune Submarine Sandwiches</t>
  </si>
  <si>
    <t>RICH FOODS COLD STONE</t>
  </si>
  <si>
    <t>Cold Stone Creamery pricing</t>
  </si>
  <si>
    <t>USAF Rebate Rich Products deal</t>
  </si>
  <si>
    <t>EXPORT - RICH PRODUCTS (R731)</t>
  </si>
  <si>
    <t>FL Export Program</t>
  </si>
  <si>
    <t>RICH FOODS-SUBWAY</t>
  </si>
  <si>
    <t>52 Subway GF pc 09213</t>
  </si>
  <si>
    <t>RICH FOOD-BEEF O BRADY</t>
  </si>
  <si>
    <t>Beef O Brady's / Brass Tap</t>
  </si>
  <si>
    <t>RICH FOODS-FORUM</t>
  </si>
  <si>
    <t>Forum Distributor price without Entergra items</t>
  </si>
  <si>
    <t>RICH PRODUCTS-MONARCH CASINO</t>
  </si>
  <si>
    <t>Monarch Casino  Deviation</t>
  </si>
  <si>
    <t>RICH'S (FOB)-SILVER CITY SCHOO</t>
  </si>
  <si>
    <t>7/1/2016   6/30/2017 Silver City Consolidated School</t>
  </si>
  <si>
    <t>RICH'S-UNIVERSITY OF COLORADO</t>
  </si>
  <si>
    <t>University of Colorado</t>
  </si>
  <si>
    <t>RICH PRODUCT-THEO'S PIZZA</t>
  </si>
  <si>
    <t>344 Chicago Best  Theo's &amp; George'</t>
  </si>
  <si>
    <t>CASA DIBERTACCHI-ARAMARK</t>
  </si>
  <si>
    <t>52 Aramark Meatball Pricing</t>
  </si>
  <si>
    <t>RICH BETTERCREME CORE BB-CLDST</t>
  </si>
  <si>
    <t>RICH BETTERCREME NCORE-CLDSTNE</t>
  </si>
  <si>
    <t>&amp;RICHS DAIRY QUEEN</t>
  </si>
  <si>
    <t>IDQ</t>
  </si>
  <si>
    <t>RICH FOODS NORTL-COLD STONE</t>
  </si>
  <si>
    <t>NAPA 0262 RICH PRODUCTS</t>
  </si>
  <si>
    <t>RICHS PIZZA DOUGH CORE BB-SODX</t>
  </si>
  <si>
    <t>RICH PIZZA DOUGH NCORE BB-SODX</t>
  </si>
  <si>
    <t>RICH FOODS-TAHER</t>
  </si>
  <si>
    <t xml:space="preserve">Taher Guaranteed Distributor Pricing </t>
  </si>
  <si>
    <t>RICH (BB NCORE)-AFNAF</t>
  </si>
  <si>
    <t>&amp;RICHS TONY ROMAS</t>
  </si>
  <si>
    <t>52 Tony Romas (ROMACORP)</t>
  </si>
  <si>
    <t>FOODBUY AK  RICH'S</t>
  </si>
  <si>
    <t>Compass Foodbuy 2015 Pricing</t>
  </si>
  <si>
    <t>RICHS CASA DI BERTACCHI-SODEXO</t>
  </si>
  <si>
    <t>CASA DIBRTACHI PROTEIN-ARAMARK</t>
  </si>
  <si>
    <t>Aramark Meatballs Pricing</t>
  </si>
  <si>
    <t xml:space="preserve"> RICH FOODS BB NCORE HILTON</t>
  </si>
  <si>
    <t xml:space="preserve">Hilton Hotels Pricing </t>
  </si>
  <si>
    <t>RICH FOODS-MAIN ARAMARK</t>
  </si>
  <si>
    <t>Aramark Net Pricing #4</t>
  </si>
  <si>
    <t>RICH FOODS-SSS ARAMARK</t>
  </si>
  <si>
    <t>ARAMARK SCHOOL ONLY PRICING</t>
  </si>
  <si>
    <t>RICH FOODS-LA MADELEINE</t>
  </si>
  <si>
    <t>la Madeleine</t>
  </si>
  <si>
    <t>Cold Stone Creamery Topping Pricing (non SYGMA)</t>
  </si>
  <si>
    <t>Pizza Studio</t>
  </si>
  <si>
    <t>RICH (BB CORE)-AFNAF</t>
  </si>
  <si>
    <t>RICHS BREAD &amp; ROLLS-SODEXO</t>
  </si>
  <si>
    <t>Sodexo Bread and Roll Pricing to include FMB 2016</t>
  </si>
  <si>
    <t>RICHS SWEET DOUGH-SODEXO</t>
  </si>
  <si>
    <t>Sodexo Sweet Goods Pricing 2016</t>
  </si>
  <si>
    <t>RICH PRODUCTS-LA MADELEINE</t>
  </si>
  <si>
    <t>RICH FOODS-CAESARS</t>
  </si>
  <si>
    <t>RICH BREAD &amp; ROLLS-SODEXO</t>
  </si>
  <si>
    <t>RICH'S TOPPINGS-SODEXO</t>
  </si>
  <si>
    <t>RICH FOODS BB NCORE HILTON</t>
  </si>
  <si>
    <t>CASA DI BERTAC SODEXO AKMIXED</t>
  </si>
  <si>
    <t>FOODBUY AK  RICH'S BB</t>
  </si>
  <si>
    <t>RICH FOODS - FOODBUY</t>
  </si>
  <si>
    <t>Compass Foodbuy Deviated Pricing</t>
  </si>
  <si>
    <t>CASA DIBERTACCHI-MAIN ARAMARK</t>
  </si>
  <si>
    <t>Aramark Meatball Pricing</t>
  </si>
  <si>
    <t>CASA DIBERTACCHI-SSS ARAMARK</t>
  </si>
  <si>
    <t>RICH PRODUCTS BURGERFI</t>
  </si>
  <si>
    <t>BurgerFi program</t>
  </si>
  <si>
    <t>RICH FOODS-ROMANO'S MACARONI</t>
  </si>
  <si>
    <t>Macaroni Grill program</t>
  </si>
  <si>
    <t>RICH-FORUM</t>
  </si>
  <si>
    <t>RICH FOODS NCORE-BOSTON PIZZA</t>
  </si>
  <si>
    <t>RICHS COREBB-BOSTON PIZZA</t>
  </si>
  <si>
    <t>RICH BREAD &amp; ROLL BB CORE-SODX</t>
  </si>
  <si>
    <t>RICH BREAD&amp;ROLL BB NCORE-SODX</t>
  </si>
  <si>
    <t>Sodexo Meatballs Quarterly Formula Pricing</t>
  </si>
  <si>
    <t>RICHS SWEET DOUGH BB-SODEXO</t>
  </si>
  <si>
    <t>&amp;RICH'S DAIRY QUEEN</t>
  </si>
  <si>
    <t>MCMILLAN'S RICH'S PRODUCTS REB</t>
  </si>
  <si>
    <t xml:space="preserve">McMillians </t>
  </si>
  <si>
    <t>PIONEER CATERERS RICH'S PRODUC</t>
  </si>
  <si>
    <t>North Central University</t>
  </si>
  <si>
    <t>VON HANSON RICH'S PRODUCTS REB</t>
  </si>
  <si>
    <t>52 02 126  Von Hansons</t>
  </si>
  <si>
    <t>LETNES BROTHERS RICH'S PRODUCT</t>
  </si>
  <si>
    <t>Grizzly's</t>
  </si>
  <si>
    <t>CLEARWATER TRAVEL RICH'S PRODU</t>
  </si>
  <si>
    <t>52 02 Clearwater Truck Plaza</t>
  </si>
  <si>
    <t>PRAIRIE'S EDGE CASINO RICH'S R</t>
  </si>
  <si>
    <t>Local Casino Program 2013</t>
  </si>
  <si>
    <t>BRINE'S MARKET RICH'S PRODUCTS</t>
  </si>
  <si>
    <t>52 03 126 Brine's Restaurant</t>
  </si>
  <si>
    <t>D. BRIAN'S MPLS RICH'S PRODUCT</t>
  </si>
  <si>
    <t>52 02 126 Dbrians</t>
  </si>
  <si>
    <t>D. BRIAN'S ST PAUL RICH'S PROD</t>
  </si>
  <si>
    <t>RICH PIZZA &amp; ICING CBB-SODEXO</t>
  </si>
  <si>
    <t xml:space="preserve">Sodexo Pizza and Icing Pricing </t>
  </si>
  <si>
    <t>RICH PIZZA &amp; ICING NCBB-SODEXO</t>
  </si>
  <si>
    <t>RICH FOODS-HILTON</t>
  </si>
  <si>
    <t>Aramark Meats + Proteins Pricing 2017</t>
  </si>
  <si>
    <t>RICH FDS NCBB-MAIN ARAMARK</t>
  </si>
  <si>
    <t xml:space="preserve">Aramark Distributor  Net Pricing </t>
  </si>
  <si>
    <t>RICH FDS CBB-MAIN ARAMARK</t>
  </si>
  <si>
    <t>RICH FOODS-BLACK ANGUS</t>
  </si>
  <si>
    <t>&amp;RICH PRODUCTS ALL EXPORT</t>
  </si>
  <si>
    <t>RICH FOODS-DELAWARE</t>
  </si>
  <si>
    <t>Delaware North (DNC)</t>
  </si>
  <si>
    <t>RICH FOODS-DOT COLDSTONE</t>
  </si>
  <si>
    <t>8/1/2015   7/31/2016 NC Child Nutrition Procurement Alliance</t>
  </si>
  <si>
    <t>RICH FDS NCORE BB-MAIN ARAMARK</t>
  </si>
  <si>
    <t>Aramark Distributor Net Pricing (Excludes K 12)</t>
  </si>
  <si>
    <t>RICH FDS CORE BB-MAIN ARAMARK</t>
  </si>
  <si>
    <t>RICH FOODS NCBB-HILTON</t>
  </si>
  <si>
    <t>RICH FOODS CBB-LANDRYS</t>
  </si>
  <si>
    <t>Landry's Restaurants</t>
  </si>
  <si>
    <t>&amp;RICH PRODUCTS TONY ROMA'S</t>
  </si>
  <si>
    <t>RICH FOODS NCBB-LANDRYS</t>
  </si>
  <si>
    <t>52 Landry's Restaurants</t>
  </si>
  <si>
    <t>RICH FOODS-TOP GOLF</t>
  </si>
  <si>
    <t>TopGolf Pricing</t>
  </si>
  <si>
    <t>Sodexo Breads and Rolls</t>
  </si>
  <si>
    <t>HOMESTYLE DINING-LETNES RICH'S</t>
  </si>
  <si>
    <t>Homestle Dining LLC (Ponderosa &amp; Bonanza)</t>
  </si>
  <si>
    <t>METROMEDIA GROUP RICH'S PRODUC</t>
  </si>
  <si>
    <t>RICH FOODS BB-FOODBUY</t>
  </si>
  <si>
    <t>RICH PRODUCTS-SIZZLER</t>
  </si>
  <si>
    <t>Sizzler/ World Wide Rest Concepts</t>
  </si>
  <si>
    <t>RICH'S-COUNTRY KITCHEN</t>
  </si>
  <si>
    <t>Country Kitchen Pricing</t>
  </si>
  <si>
    <t>RICH FDS-BAPA AVI</t>
  </si>
  <si>
    <t>AVI</t>
  </si>
  <si>
    <t>RICH FOODS NONCORE BB ARAMARK</t>
  </si>
  <si>
    <t>RICH FOODS- MIMI CAFE</t>
  </si>
  <si>
    <t>SWH Mimis Cafe</t>
  </si>
  <si>
    <t>RICH PRODUCTS-BEEF O BRADY</t>
  </si>
  <si>
    <t>TopGolf Rebate</t>
  </si>
  <si>
    <t>RICH FOODS CORE BB ARAMARK</t>
  </si>
  <si>
    <t>RICHS TOPPINGS-SODEXO</t>
  </si>
  <si>
    <t>RICHS PIZZA DOUGH &amp; ICING-SODX</t>
  </si>
  <si>
    <t>RCH 100912</t>
  </si>
  <si>
    <t>SY 1819 COMMODITY NOI   DFV</t>
  </si>
  <si>
    <t>Aramark Net Pricing #1 2017</t>
  </si>
  <si>
    <t>Old Spaghetti Factory</t>
  </si>
  <si>
    <t>RICH FOODS BB FOODBUY</t>
  </si>
  <si>
    <t>RICH PIZZA_ICING SODEXO AK NC</t>
  </si>
  <si>
    <t>RICHS PIZZA CORE&amp;DC SODEXO AK</t>
  </si>
  <si>
    <t>RICH FOODS CC-FORUM</t>
  </si>
  <si>
    <t>RICH NCBB-HURRICANE GRILL</t>
  </si>
  <si>
    <t>Hurricane Grill &amp; Wings</t>
  </si>
  <si>
    <t>&amp;RICH'S-DAIRY QUEEN</t>
  </si>
  <si>
    <t>RICH CHEROKEE CASINO'S</t>
  </si>
  <si>
    <t>Sodexo Sweet Goods Pricing 2019</t>
  </si>
  <si>
    <t>RICH FOODS-FOODBUY</t>
  </si>
  <si>
    <t>RICH FOODS PRGM 3-FOODBUY</t>
  </si>
  <si>
    <t>RICHS WESTERN SIZZLIN</t>
  </si>
  <si>
    <t>Western Sizzlin</t>
  </si>
  <si>
    <t>RICH PDCTS-BURGERFI (CAKE)</t>
  </si>
  <si>
    <t>RICH FOODS-CENTERPLATE</t>
  </si>
  <si>
    <t>Centerplate TL Pricing</t>
  </si>
  <si>
    <t>OSSEO SCHLS RICHS REBATE</t>
  </si>
  <si>
    <t>SY 14 15 NATIONAL BLANKET</t>
  </si>
  <si>
    <t>CASA DIBRITACHI PROTEIN-ARMARK</t>
  </si>
  <si>
    <t>RICH PRODUCTS HSRG</t>
  </si>
  <si>
    <t>Hal Smith Restaurant Group</t>
  </si>
  <si>
    <t>RICH FOODS NCORE BB-FORUM</t>
  </si>
  <si>
    <t>RICHS SWEET DOUGH SODEXO AK</t>
  </si>
  <si>
    <t>RICH PRODUCTS-MESA SD</t>
  </si>
  <si>
    <t>RICH'S-DORNANS</t>
  </si>
  <si>
    <t>Dornan's</t>
  </si>
  <si>
    <t>RICH'S-CLASSIC SKATING</t>
  </si>
  <si>
    <t>Classic Skating</t>
  </si>
  <si>
    <t>ALEXANDRIA SCHLS RICHS REBATE</t>
  </si>
  <si>
    <t>RICH PRODUCTS ALL EXPORT</t>
  </si>
  <si>
    <t>El Dorado Resorts formerly Isle of Capri program</t>
  </si>
  <si>
    <t>11/1/2016   10/31/2021 State of Utah</t>
  </si>
  <si>
    <t>RICH FOODS-LANDRYS BAPA LOGIC</t>
  </si>
  <si>
    <t>CASA DIBRTACHI-SSS ARAMARK</t>
  </si>
  <si>
    <t>RICH'S K-12 SCHOOL DEAL</t>
  </si>
  <si>
    <t>RICH FOODS NC BB FOODBUY</t>
  </si>
  <si>
    <t>RICH FOODS CORE BB FOODBUY</t>
  </si>
  <si>
    <t>RICH RED VELVET CAKE BURGERFI</t>
  </si>
  <si>
    <t>RICHS PIZZA NC BB SODEXO AK</t>
  </si>
  <si>
    <t>RICHS PIZZA CORE BB SODEXO AK</t>
  </si>
  <si>
    <t>ANOKA SCHOOLS RICHS REBATE</t>
  </si>
  <si>
    <t>RICH FOODS-SOUTHERN FOODSERVIC</t>
  </si>
  <si>
    <t>Southern Foodservice Management</t>
  </si>
  <si>
    <t>CP-RICH FOODS BB-FOODBUY</t>
  </si>
  <si>
    <t>RICH FDS NCORE BB-SSS ARAMARK</t>
  </si>
  <si>
    <t>RICH BREAD &amp; ROLL CORE BB-SODX</t>
  </si>
  <si>
    <t>RICH BRED &amp; ROLL NCORE BB-SODX</t>
  </si>
  <si>
    <t>RICHS PIZZA DOUGH BB CORE-SODX</t>
  </si>
  <si>
    <t>MSFBG SCHOOLS RICH'S PRODUCTS</t>
  </si>
  <si>
    <t>SY 14 15 MSFBG</t>
  </si>
  <si>
    <t>7/1/2016   6/30/2017 Amarillo ISD</t>
  </si>
  <si>
    <t>RICH FOODS SCHOOL BLANKET</t>
  </si>
  <si>
    <t>RICH PRODUCTS-OLD SPAG FACTORY</t>
  </si>
  <si>
    <t>RICH FOODS- MIMI</t>
  </si>
  <si>
    <t>RICH C BB-DELAWARE</t>
  </si>
  <si>
    <t>Aramark Meats + Proteins Pricing #1 2017 2018</t>
  </si>
  <si>
    <t>RICH FOODS EXCL CHI-ROMANOS</t>
  </si>
  <si>
    <t>RICH FOODS-PIZZA STUDIO</t>
  </si>
  <si>
    <t>RICH FOODS-BETTERCREME-COLDSTO</t>
  </si>
  <si>
    <t>RICH FOODS-CBB-COLDSTONE</t>
  </si>
  <si>
    <t>RICHS PIZZA DOUGH&amp;ICING-SODEXO</t>
  </si>
  <si>
    <t>BLANKET BID RICHS SY14-15</t>
  </si>
  <si>
    <t>RICH FDS-BETTERCREME COLDSTONE</t>
  </si>
  <si>
    <t>Beef O Brady's / Brass Tap program</t>
  </si>
  <si>
    <t>RICH FOODS CC-BOSTON PIZZA</t>
  </si>
  <si>
    <t>Boston Pizza</t>
  </si>
  <si>
    <t>RICH PRODUCTS-SAMMYS WOODFIRED</t>
  </si>
  <si>
    <t>Sammy's Woodfire Pizza</t>
  </si>
  <si>
    <t>RICHS  AVOYELLES PARRISH SCHOO</t>
  </si>
  <si>
    <t>8/1/2017   5/31/2018 Avoyelles Parish School Board</t>
  </si>
  <si>
    <t>7/15/2016   6/30/2017 Texas 20 Purchasing Cooperative (Formerly 2013 Partnership Co Op/Region 20)</t>
  </si>
  <si>
    <t>CP RICH FOODS - FOODBUYUY AMM</t>
  </si>
  <si>
    <t>RICH FDS NCBB-SSS ARAMARK</t>
  </si>
  <si>
    <t>RICH FDS CBB-SSS ARAMARK</t>
  </si>
  <si>
    <t>CASA DU BERTACCHI SODEXO</t>
  </si>
  <si>
    <t>RICHS ICING&amp;DOUGH-SODEXO</t>
  </si>
  <si>
    <t>RICH FDS-B.CREME C COLDSTONE</t>
  </si>
  <si>
    <t>RICH FDS-B.CREME NC COLDSTONE</t>
  </si>
  <si>
    <t>Sodexo Sweet Goods  Icing and Misc Pricing</t>
  </si>
  <si>
    <t>RICH FOODS BB AFNAF DC</t>
  </si>
  <si>
    <t>RICHS DESOTO PARISH SCHOOLS</t>
  </si>
  <si>
    <t>7/1/2016   6/30/2017 Desoto Parish School Board</t>
  </si>
  <si>
    <t>CP RICH FOODS FOODBUY</t>
  </si>
  <si>
    <t>Pinnacle Entertainment</t>
  </si>
  <si>
    <t>RICHS SWEET DOUGH BB SODEXO</t>
  </si>
  <si>
    <t>RICH FOODS-PINNACLE</t>
  </si>
  <si>
    <t>7/1/2016   6/30/2017 West Texas Food Service Cooperative</t>
  </si>
  <si>
    <t>RICHS-BAKED BEAR</t>
  </si>
  <si>
    <t>the baked bear</t>
  </si>
  <si>
    <t>RICH FOODS-HSRG</t>
  </si>
  <si>
    <t>Treat America Pizza</t>
  </si>
  <si>
    <t>RICH FOODS BETTERCREME-COLDSTO</t>
  </si>
  <si>
    <t>RICH FOODS BAPA-MAIN ARAMARK</t>
  </si>
  <si>
    <t>RICH'S - DESOTO</t>
  </si>
  <si>
    <t>SY18 19 National Blanket</t>
  </si>
  <si>
    <t>METROMEDIA RICH'S PRODUCTS</t>
  </si>
  <si>
    <t>RICH FOOD-NUTRITION SYSTEMS</t>
  </si>
  <si>
    <t>Nutrition Systems Program   deviated price program</t>
  </si>
  <si>
    <t xml:space="preserve">BK's Pizza </t>
  </si>
  <si>
    <t>RICH PRODUCTS-BOB</t>
  </si>
  <si>
    <t>D. BRIAN'S RICH'S PRODUCTS</t>
  </si>
  <si>
    <t>&amp;RICH PRODCTS-BURGERFI (CAKE)</t>
  </si>
  <si>
    <t>CASA DIBRITACHI PROTEIN-ARAMAR</t>
  </si>
  <si>
    <t>Sodexo Breads and Rolls Pricing</t>
  </si>
  <si>
    <t>RICH FOODS-COLD STONE</t>
  </si>
  <si>
    <t>RICH CC BB- COLDSTONE</t>
  </si>
  <si>
    <t>RICHS OKCPS</t>
  </si>
  <si>
    <t>7/31/2017   6/30/2018 Oklahoma City</t>
  </si>
  <si>
    <t>RICH'S K12 BLANKET BID</t>
  </si>
  <si>
    <t>RICH FOODS-NUTRITION SYS</t>
  </si>
  <si>
    <t xml:space="preserve">SY 1718 Commodity NOI Reimbursements </t>
  </si>
  <si>
    <t>Sapp Brothers</t>
  </si>
  <si>
    <t>RICH FOODS-REVOLUTION FOODS</t>
  </si>
  <si>
    <t>SY 16 17 REVOLUTION FOODS LUNCH MAKER</t>
  </si>
  <si>
    <t>RICH PRODUCTS-FOODBUY</t>
  </si>
  <si>
    <t>RICH PRODUCTS-SHARI'S</t>
  </si>
  <si>
    <t>RICH   BURGERFI</t>
  </si>
  <si>
    <t>RICH'S AIRBORNE SPORT</t>
  </si>
  <si>
    <t>Pizza Crust</t>
  </si>
  <si>
    <t>Aramark Meats + Proteins Pricing #3 2017 2018</t>
  </si>
  <si>
    <t>RICH'S SCHOOL BLANKET 2017 18</t>
  </si>
  <si>
    <t>RICHS DOUGH &amp; ICING-SODEXO</t>
  </si>
  <si>
    <t>RICH GATORS PIZZA</t>
  </si>
  <si>
    <t>RICH'S M RESORT</t>
  </si>
  <si>
    <t>THE M RESORT PROGRAM</t>
  </si>
  <si>
    <t>Roy's Chicken</t>
  </si>
  <si>
    <t>RICHS BREAD&amp;ROLLS C BB SODEXO</t>
  </si>
  <si>
    <t>RICHS PIZZA DOUGH NC BB SODEXO</t>
  </si>
  <si>
    <t>RICHS PIZZA DOUGH C BB SODEXO</t>
  </si>
  <si>
    <t xml:space="preserve">IHOP Deviated Pricing </t>
  </si>
  <si>
    <t>RICH FOODS BAPA ARAMARK</t>
  </si>
  <si>
    <t>RICHS BREAD&amp;ROLLS BAPA SODEXO</t>
  </si>
  <si>
    <t>RICHS SWEET DOUGH BAPA SODEXO</t>
  </si>
  <si>
    <t>RICH FOODS TREAT AMERICA</t>
  </si>
  <si>
    <t>RICHS PIZZA&amp;ICING BAPA SODEXO</t>
  </si>
  <si>
    <t>RICH'S FOOD BAPA -FOODBUY</t>
  </si>
  <si>
    <t>BETTERCREME-RICH FDS COLDSTONE</t>
  </si>
  <si>
    <t>RICHS BOYD GAMING</t>
  </si>
  <si>
    <t>RICH FOODS BAPA-BEEF OBRADY</t>
  </si>
  <si>
    <t>GA-RICH FOODS - FOODBUY</t>
  </si>
  <si>
    <t xml:space="preserve">ARAMARK SCHOOL ONLY </t>
  </si>
  <si>
    <t>RICH'S CAPITAL PIZZA</t>
  </si>
  <si>
    <t>Capital Pizza 2014</t>
  </si>
  <si>
    <t>RICHS TOPPING SODEXO</t>
  </si>
  <si>
    <t>Aramark Meats + Proteins Pricing #2 2017 2018</t>
  </si>
  <si>
    <t>RICH FOODS BAPA-SSS ARAMARK</t>
  </si>
  <si>
    <t>Lagoon Amusement Park</t>
  </si>
  <si>
    <t>RICHS BB-AFNAF</t>
  </si>
  <si>
    <t>RICH FOODS-VILLAGE TAVERN</t>
  </si>
  <si>
    <t>Village Tavern</t>
  </si>
  <si>
    <t>CASA DI BERTACCHI-SODEXO</t>
  </si>
  <si>
    <t>RICHS SILVER CITY SCHOOLS</t>
  </si>
  <si>
    <t>7/1/2017   6/30/2018 Silver City Consolidated School</t>
  </si>
  <si>
    <t>Aramark Net Pricing #2 2017</t>
  </si>
  <si>
    <t>RICH'S PISA PIZZA</t>
  </si>
  <si>
    <t>Pisa Pizza</t>
  </si>
  <si>
    <t>RICH SWEET DOUGH-SODEXO</t>
  </si>
  <si>
    <t>RICH TOPPING-SODEXO</t>
  </si>
  <si>
    <t>RICH RIM BOWLING</t>
  </si>
  <si>
    <t>Rim Bowling</t>
  </si>
  <si>
    <t>CP RICH FOODS BB FOODBUY</t>
  </si>
  <si>
    <t>RICHS-FORUM</t>
  </si>
  <si>
    <t>Sodexo Sweet Goods Pricing 2018</t>
  </si>
  <si>
    <t>RICHS PIZZ DOUGH &amp; ICING-SODX</t>
  </si>
  <si>
    <t>DOOLITTLES (FOODBUY) RICH'S</t>
  </si>
  <si>
    <t>RICHS FOODS BB-FOODBUY</t>
  </si>
  <si>
    <t>RICH'S BLANKET SCHOOLS</t>
  </si>
  <si>
    <t>RICH PRODUCTS-CENTERPLATE</t>
  </si>
  <si>
    <t>Centerplate 2014 TL Pricing</t>
  </si>
  <si>
    <t>RICH FOODS-BLACK BEAR</t>
  </si>
  <si>
    <t>Black Bear Diner 2017</t>
  </si>
  <si>
    <t>RICH PRODUCTS BAPA HILTON</t>
  </si>
  <si>
    <t>RICH-CASA DU BERTACCHI SODEXO</t>
  </si>
  <si>
    <t>RICH-HSRG</t>
  </si>
  <si>
    <t>Sizzler World Wide Restaurant Concepts</t>
  </si>
  <si>
    <t>RICH FOODS TAHER</t>
  </si>
  <si>
    <t>HOMESTYLE DINING RICH'S PRODUC</t>
  </si>
  <si>
    <t>RICH-DELAWARE</t>
  </si>
  <si>
    <t>RICH LOS TRES AMIGOS</t>
  </si>
  <si>
    <t>Los Tres Amigos</t>
  </si>
  <si>
    <t>Aramark Net Pricing #3</t>
  </si>
  <si>
    <t>RICHS CASA DE BERTACCHI-SODEXO</t>
  </si>
  <si>
    <t>PIONEER CATERERS RICHS PRODUCT</t>
  </si>
  <si>
    <t>VON HANSON RICHS PRODUCTS</t>
  </si>
  <si>
    <t>MCMILLAN'S RICHS PRODUCTS</t>
  </si>
  <si>
    <t>CLEARWATER TRAVEL RICHS PROD</t>
  </si>
  <si>
    <t>BRINE'S MARKET RICHS PRODUCTS</t>
  </si>
  <si>
    <t>BLAINBROOK RICHS PRODUCTS</t>
  </si>
  <si>
    <t>RICH-CASA DI BERTACCHI SODEXO</t>
  </si>
  <si>
    <t>MOUNDSVIEW SCHLS RICH PRODUCTS</t>
  </si>
  <si>
    <t>Penn National Gaming Program</t>
  </si>
  <si>
    <t>RICHS WHIPPED TOPPINGS-SODEXO</t>
  </si>
  <si>
    <t>RCH 110244</t>
  </si>
  <si>
    <t>7/1/2017   6/30/2018 UCARE Cooperative</t>
  </si>
  <si>
    <t>RICH FOODS BAPA RED ROBIN</t>
  </si>
  <si>
    <t xml:space="preserve">Red Robin </t>
  </si>
  <si>
    <t>RICHS DOUGH&amp;ICING BAPA SODEXO</t>
  </si>
  <si>
    <t>RICH FOODS-AFNAF</t>
  </si>
  <si>
    <t>RICH PRODUCTS SALT LAKE CITY</t>
  </si>
  <si>
    <t>7/1/2017   6/30/2018 Salt Lake City School District</t>
  </si>
  <si>
    <t>Aramark Proteins Pricing</t>
  </si>
  <si>
    <t>RICH PRODUCTS-METRO DINER</t>
  </si>
  <si>
    <t>Metro Dinner Pricing</t>
  </si>
  <si>
    <t>RICH FRZN BREAD DGH-VIZIENT</t>
  </si>
  <si>
    <t>7/1/2017   6/30/2018 Mesa County Valley 51</t>
  </si>
  <si>
    <t>RICH FOODS GLACIER</t>
  </si>
  <si>
    <t>Glacier Restaurant Group Oct 2013 thru Sept 2014</t>
  </si>
  <si>
    <t>RICH FOODS-LANDRYS</t>
  </si>
  <si>
    <t>RICH PIZZA&amp;ICING-SODEXO</t>
  </si>
  <si>
    <t>Sodexo Bread and Roll Pricing to include FMB</t>
  </si>
  <si>
    <t>RICH PRODUCTS SCHL BLNKT</t>
  </si>
  <si>
    <t>RICH FOODS VARIETY-ARAMARK</t>
  </si>
  <si>
    <t>RICHS DOUGH &amp;ICING BAPA SODEXO</t>
  </si>
  <si>
    <t>RICH READ &amp; ROLLS-SODEXO</t>
  </si>
  <si>
    <t>RICH FOODS-REVOLUTION</t>
  </si>
  <si>
    <t>RICH PRODUCTS SBCUSD</t>
  </si>
  <si>
    <t>SY 14 15 San Bernardino N Cal</t>
  </si>
  <si>
    <t>RICH FOODS-BOB</t>
  </si>
  <si>
    <t>RICH FOODS-WHITSONS</t>
  </si>
  <si>
    <t xml:space="preserve">2014.2015 Whitson's Culinary Group </t>
  </si>
  <si>
    <t>RICH-BAHAMA BUCKS</t>
  </si>
  <si>
    <t>RICH'S SWEET DOUGH-SODEXO</t>
  </si>
  <si>
    <t>Country Kitchen</t>
  </si>
  <si>
    <t>RICH 100912</t>
  </si>
  <si>
    <t>RICH FOODS VARIETY-ARA SSS</t>
  </si>
  <si>
    <t>078 RICH PRODUCTS AMARILLO ISD</t>
  </si>
  <si>
    <t>8/1/2017   8/1/2018 Amarillo ISD</t>
  </si>
  <si>
    <t>RICHS-WESTERN SIZZLIN</t>
  </si>
  <si>
    <t>RICH PRODUCTS SALT LAKE CITY D</t>
  </si>
  <si>
    <t>RICH FOOD-ARAMARK LC</t>
  </si>
  <si>
    <t>RICH'S REGION 8</t>
  </si>
  <si>
    <t>7/1/2018   6/30/2019 Region 8   TIPS Food Purchasing Co Op</t>
  </si>
  <si>
    <t>RICH FZN BREAD-VIZIENT</t>
  </si>
  <si>
    <t>RICH PRODUCTS-JORDAN SD</t>
  </si>
  <si>
    <t>8/1/2017   6/30/2018 Jordan School District</t>
  </si>
  <si>
    <t>RICHS-IKEA</t>
  </si>
  <si>
    <t>IKEA</t>
  </si>
  <si>
    <t>CASA DEIBERTACCHI-SSS ARAMARK</t>
  </si>
  <si>
    <t>RICH FOODS NONMRTL COLDSTONE</t>
  </si>
  <si>
    <t>RICH FOODS-GOOD SAMARITAN</t>
  </si>
  <si>
    <t>RICH VVA-DAIRY QUEEN</t>
  </si>
  <si>
    <t>RICHS-ASPEN CREEK</t>
  </si>
  <si>
    <t>Aspen Creek</t>
  </si>
  <si>
    <t>RICH VARIETY-ARAMARK</t>
  </si>
  <si>
    <t>RICHS NATCHITOCHES</t>
  </si>
  <si>
    <t>7/1/2018   6/30/2019 Natchitoches Parish School Board</t>
  </si>
  <si>
    <t>RICH NONMTRTL-COLDSTONE</t>
  </si>
  <si>
    <t>RICH FOODS-HURRICANE GRILL</t>
  </si>
  <si>
    <t>52 Hurricane Grill &amp; Wings</t>
  </si>
  <si>
    <t>RICHS AVOYELLES</t>
  </si>
  <si>
    <t>7/1/2018   6/30/2019 Avoyelles Parish School Board</t>
  </si>
  <si>
    <t>RICH FOODS BAPA-PINNACLE</t>
  </si>
  <si>
    <t>MSFBG SCHOOLS RICHS</t>
  </si>
  <si>
    <t>RICHS DESOTO</t>
  </si>
  <si>
    <t>RICHS K-12 SCHOOL</t>
  </si>
  <si>
    <t>RICH FOODS-TONY ROMAS</t>
  </si>
  <si>
    <t>8/1/2016   7/31/2017 Osseo Area Schools</t>
  </si>
  <si>
    <t>Centerplate 2015 TL Pricing</t>
  </si>
  <si>
    <t>RICHS-JIMMIES GROCERY</t>
  </si>
  <si>
    <t>Jimmie's Grocery</t>
  </si>
  <si>
    <t>Black Angus January 2019</t>
  </si>
  <si>
    <t>RICHS PIZZA DGH &amp; ICING-SODEXO</t>
  </si>
  <si>
    <t>RICH FOODS HILTON</t>
  </si>
  <si>
    <t>RICH-TILTED KILT</t>
  </si>
  <si>
    <t>Tilted Kilt</t>
  </si>
  <si>
    <t>RICH'S-WHITSONS CULINARY ONLY</t>
  </si>
  <si>
    <t>RICH FOODS MAIN-ARAMARK</t>
  </si>
  <si>
    <t>7/31/2018   6/30/2019 Oklahoma City</t>
  </si>
  <si>
    <t>RICHS BMW SIZZLER</t>
  </si>
  <si>
    <t>52 Sizzler/ World Wide Rest Concepts</t>
  </si>
  <si>
    <t>RICH PRODUCT CORP-BOWLMOR</t>
  </si>
  <si>
    <t>Bowlmor AMF (BAMF)</t>
  </si>
  <si>
    <t>RICH VARIETY-ARA SSS</t>
  </si>
  <si>
    <t>RICH FOODS-COUNTRY KITCHEN</t>
  </si>
  <si>
    <t>Country Kitchen Pricing 2015</t>
  </si>
  <si>
    <t>Gandolfo's Net Pricing</t>
  </si>
  <si>
    <t>RICHS DOUGH&amp;ICING-SODEXO</t>
  </si>
  <si>
    <t>RICH FOODS-NUTRITION</t>
  </si>
  <si>
    <t>RICH FOODS DEV-RED ROBIN</t>
  </si>
  <si>
    <t>RICH FOODS BOYD GAMING</t>
  </si>
  <si>
    <t>RICH FOODS-BURGERFI</t>
  </si>
  <si>
    <t>RICH FOODS-MGM</t>
  </si>
  <si>
    <t>PRAIRIE'S EDGE RICH'S PRODUCTS</t>
  </si>
  <si>
    <t>RICH FDS-ARAMARK MAIN EX K12</t>
  </si>
  <si>
    <t>RICH FOODS NCORE-CENTERPLATE</t>
  </si>
  <si>
    <t>RICH FOODS NON CORE HILTONVOID</t>
  </si>
  <si>
    <t>RICH PRODUCTS-BURGERFI</t>
  </si>
  <si>
    <t>Novation Vizient Deviated Pricing All Products</t>
  </si>
  <si>
    <t>RICH FOODS HILTON NONCORE</t>
  </si>
  <si>
    <t>CASA DIBERTACCHI-ARAMARK MAIN</t>
  </si>
  <si>
    <t>Evangelical Lutheran Good Samaritan Society</t>
  </si>
  <si>
    <t>RICH APPS-VIZIENT</t>
  </si>
  <si>
    <t>RICH FOODS-EL DORADO</t>
  </si>
  <si>
    <t>RICH'S FOODS BK'S PIZZA</t>
  </si>
  <si>
    <t xml:space="preserve">2015.2016 Whitson's Culinary Group </t>
  </si>
  <si>
    <t>RICH-SHARIS</t>
  </si>
  <si>
    <t>RICH FOODS-ARA K12</t>
  </si>
  <si>
    <t>RICH CHEROKEE</t>
  </si>
  <si>
    <t>RICH'S SCHOOL BLANKET 2018 19</t>
  </si>
  <si>
    <t>RICH NCORE-TONY ROMA</t>
  </si>
  <si>
    <t>EMAGINE THEATERS RICH PRODUCTS</t>
  </si>
  <si>
    <t>EMAGINE Theaters 2016</t>
  </si>
  <si>
    <t>RICHS NEPTUNE SUBMARINES</t>
  </si>
  <si>
    <t>RICH FOODS-STAR BUFFET</t>
  </si>
  <si>
    <t>Star Buffet</t>
  </si>
  <si>
    <t>BLANKET BID SY17-18 RICHS PROD</t>
  </si>
  <si>
    <t>RICH FOODS-ARAMARK</t>
  </si>
  <si>
    <t>RICH FOODS-BOYD GAMING</t>
  </si>
  <si>
    <t>RICH PRODUCTS REST PARTNERS</t>
  </si>
  <si>
    <t>Restaurant Partners</t>
  </si>
  <si>
    <t>RICH'S - FAYARDS</t>
  </si>
  <si>
    <t>Fayards</t>
  </si>
  <si>
    <t>RICH'S FDS-MAIN ARAMARK EX-SSS</t>
  </si>
  <si>
    <t>RICH'S FDS-SSS ARAMARK</t>
  </si>
  <si>
    <t>RICH'S-FAT BABY AND ALISE'S</t>
  </si>
  <si>
    <t>Fat Baby &amp; Alises</t>
  </si>
  <si>
    <t>DEMING - RICH'S</t>
  </si>
  <si>
    <t>RICH CASA DI BERTACCHI -SODEXO</t>
  </si>
  <si>
    <t>APS - RICH'S</t>
  </si>
  <si>
    <t>7/1/2018   6/30/2019 Albuquerque Public Schools</t>
  </si>
  <si>
    <t>RICH FOODS-GANDOLFO'S</t>
  </si>
  <si>
    <t>RICH FOOD-BREAD AND ROLL-SODEX</t>
  </si>
  <si>
    <t>RICH PRODUCTS IHOP</t>
  </si>
  <si>
    <t>RICHS BREAD&amp;ROLLS-SODEXO</t>
  </si>
  <si>
    <t>RICHS DOUGH ICING-SODEXO</t>
  </si>
  <si>
    <t>RICH-SAPP BROTHERS</t>
  </si>
  <si>
    <t>RICH PRODUCTS-HILTON</t>
  </si>
  <si>
    <t>SY17 18 Minnesota School Food Buying Group (MSFBG)</t>
  </si>
  <si>
    <t>RICH FDS-MAIN ARAMARK EX-SSS</t>
  </si>
  <si>
    <t>078 - RICHS - SAISD 17-18</t>
  </si>
  <si>
    <t>RICHS FDS NCORE BB-SSS ARAMARK</t>
  </si>
  <si>
    <t>ST CLOUD SCHOOLS RICHS</t>
  </si>
  <si>
    <t>7/1/2017   6/30/2018 St. Cloud</t>
  </si>
  <si>
    <t>RICH FOODS HILTON NCORE</t>
  </si>
  <si>
    <t>RICHS FOODS BB FOODBUY</t>
  </si>
  <si>
    <t>RICH FOODS - SIZZLER</t>
  </si>
  <si>
    <t xml:space="preserve"> VOID H BREAD &amp; ROLL BB-SODEXO</t>
  </si>
  <si>
    <t>RICH FOODS-TILTED KILT</t>
  </si>
  <si>
    <t>RICHS BREAD &amp; ROLL BB-SODEXO</t>
  </si>
  <si>
    <t>RICH FOODS-SAMMYS WOOD FIRE</t>
  </si>
  <si>
    <t>RICHS BRD&amp;ROLL CORE BB-SODEXO</t>
  </si>
  <si>
    <t>RICHS BRD&amp;ROLL NCORE BB-SODEXO</t>
  </si>
  <si>
    <t>RICH FDS BB CORE-ARA EX-SSS</t>
  </si>
  <si>
    <t>RICH FDS BB NCORE-ARA EX-SSS</t>
  </si>
  <si>
    <t>RICH FOODS-PALACE ENT</t>
  </si>
  <si>
    <t>Palace Entertainment</t>
  </si>
  <si>
    <t>RICH FOODS-ARAMARK MAIN</t>
  </si>
  <si>
    <t>RICH'S CORE CC&amp;BB-COUNTRYKITCH</t>
  </si>
  <si>
    <t>RICH'S NONCORE-COUNTRYKITCHEN</t>
  </si>
  <si>
    <t>RICH FOODS-BOWLMOR</t>
  </si>
  <si>
    <t>LITTLE FALLS SCHS RICHS</t>
  </si>
  <si>
    <t>RICHS JIFFY TRIP</t>
  </si>
  <si>
    <t>RICH CORE-WHITSONS</t>
  </si>
  <si>
    <t>RICH RDS BB CORE-ARA EX-SSS</t>
  </si>
  <si>
    <t>RICHS PIZZA DOUGH BB-SODEXO</t>
  </si>
  <si>
    <t>FY19 RICH PRODUCTS (40901)</t>
  </si>
  <si>
    <t>7/1/2018   6/30/2019 Revolution Foods</t>
  </si>
  <si>
    <t>RICHS- BAHAMA BUCKS</t>
  </si>
  <si>
    <t>RICH FOODS BB-BOWLING CENTERS</t>
  </si>
  <si>
    <t>RICHS-CABOT SCHOOLS</t>
  </si>
  <si>
    <t>RICH - SIZZLER</t>
  </si>
  <si>
    <t>RICHS- PARRYS PIZZA</t>
  </si>
  <si>
    <t>Parry's Pizza</t>
  </si>
  <si>
    <t>RICH FOOD BETERCREME-COLDSTONE</t>
  </si>
  <si>
    <t>RICH FOODS PRGM 1-FOODBUY</t>
  </si>
  <si>
    <t>DOD- RICH PRODUCTS CORP</t>
  </si>
  <si>
    <t>RICH FOODS NONCORE-LANDRYS</t>
  </si>
  <si>
    <t>078 RICHS PRODUCTS SAISD 1819</t>
  </si>
  <si>
    <t>RICH'S STDBB-COUNTRY KITCHEN</t>
  </si>
  <si>
    <t>RICH FOODS-RED ROBIN</t>
  </si>
  <si>
    <t>GUSTAVUS RICHS PRODUCTS</t>
  </si>
  <si>
    <t>Gustavus Adolphus College</t>
  </si>
  <si>
    <t>Prairies Edge Casino</t>
  </si>
  <si>
    <t>RICHS PIZZA DOGH&amp;ICING CC-SODX</t>
  </si>
  <si>
    <t>RICH FOODS NCOREBB-CENTERPLATE</t>
  </si>
  <si>
    <t>RICH NCORE=TONY ROMA</t>
  </si>
  <si>
    <t>Von Hanson's Meats</t>
  </si>
  <si>
    <t>RICHS NONCORE-HURRICANE GRILL</t>
  </si>
  <si>
    <t>RICHS BB-HURRICANE GRILL</t>
  </si>
  <si>
    <t>RICH PRODUCTS-HC&amp;L SIEB</t>
  </si>
  <si>
    <t>Hotel Cuisine &amp; Lifestyle HC&amp;L</t>
  </si>
  <si>
    <t>RICHS NCBB-AFNAF</t>
  </si>
  <si>
    <t>RICH BAPA NONMTRTL-COLDSTONE</t>
  </si>
  <si>
    <t>VOID PRODUCTS CORP -DOD NAPA</t>
  </si>
  <si>
    <t>RICH PIZZA DOUGH BB CORE-SODX</t>
  </si>
  <si>
    <t>RICH PIZZA DOUGH BB NCORE-SODX</t>
  </si>
  <si>
    <t>RICH BREAD &amp; ROLL BB CORE SODX</t>
  </si>
  <si>
    <t>RICH PIZZA CRUST-VIZIENT</t>
  </si>
  <si>
    <t>Homestyle Dining LLC (Ponderosa &amp; Bonanza)</t>
  </si>
  <si>
    <t>RICH FDS NCORE BB-ARA EX-SSS</t>
  </si>
  <si>
    <t>RICH FDS CORE BB-ARA EX-SSS</t>
  </si>
  <si>
    <t>GROUND ROUND RICH'S PRODUCTS</t>
  </si>
  <si>
    <t>Ground Round</t>
  </si>
  <si>
    <t>RICH FOODS BAPA-KELLY GRP</t>
  </si>
  <si>
    <t>Kelly Restaurant Group</t>
  </si>
  <si>
    <t>RICH FOODS BB-SUBWAY</t>
  </si>
  <si>
    <t>RICH'S  AVI HOTEL</t>
  </si>
  <si>
    <t>RICH'S FIXBB-COUNTRY KITCHEN</t>
  </si>
  <si>
    <t>RICH FOODS NCORE-WHITSONS</t>
  </si>
  <si>
    <t xml:space="preserve">2016.2017 Whitson's Culinary Group </t>
  </si>
  <si>
    <t>RICH FOODS-DOD NAPA</t>
  </si>
  <si>
    <t>RICH FOODS NONMTRL-COLDSTONE</t>
  </si>
  <si>
    <t>RICH FOODS-SKY ZONE</t>
  </si>
  <si>
    <t xml:space="preserve">Sky Zone Trampoline Park </t>
  </si>
  <si>
    <t>RICH NCORE-AFNAF</t>
  </si>
  <si>
    <t>Revolution Billiards</t>
  </si>
  <si>
    <t>RICH-CULINART</t>
  </si>
  <si>
    <t>TL pricing for all distributors for flatbread sales to culinart Management company</t>
  </si>
  <si>
    <t>HOPKINS SCHOOLS RICHS</t>
  </si>
  <si>
    <t xml:space="preserve"> VOID  CASA DE BERTACCI-SODEXO</t>
  </si>
  <si>
    <t>RICH CBB-AFNAF</t>
  </si>
  <si>
    <t>RICH FDS NCORE BB MAIN ARAMARK</t>
  </si>
  <si>
    <t>RICH FDS CORE BB MAIN ARAMARK</t>
  </si>
  <si>
    <t>RICH FDS CC MAIN ARA EX-SSS</t>
  </si>
  <si>
    <t>RICH NAPA DOD</t>
  </si>
  <si>
    <t>RICH'S FOODS AMARILLO</t>
  </si>
  <si>
    <t>8/1/2018   8/30/2019 Amarillo ISD</t>
  </si>
  <si>
    <t>RICH PRODUCTS CORP -DOD NAPA</t>
  </si>
  <si>
    <t>RICH FOODS NC BB-TONY ROMA</t>
  </si>
  <si>
    <t>52 Sodexo Meatball and Seapak Rebate 2018</t>
  </si>
  <si>
    <t>RICH CORE BB-HURRICANE GRILL</t>
  </si>
  <si>
    <t>RICH NONCORE BB-HURRICANE GRIL</t>
  </si>
  <si>
    <t>RICH PRODUCTS UCARE</t>
  </si>
  <si>
    <t>RICH FOODS FIXBB-COUNTRYKITCHN</t>
  </si>
  <si>
    <t>RICH NCORE-CENTERPLATE</t>
  </si>
  <si>
    <t>RICH FOODS C BB-TONY ROMA</t>
  </si>
  <si>
    <t>BLANKET BID SY18-19 RICHS PROD</t>
  </si>
  <si>
    <t>ANOKA SCHOOLS RICHS</t>
  </si>
  <si>
    <t>RICH CHEESESTICKS-VIZIENT</t>
  </si>
  <si>
    <t>RICH PRODUCTS SLCSD</t>
  </si>
  <si>
    <t>SEVEN PEAKS SLC/LEHI</t>
  </si>
  <si>
    <t>RICH FOODS-ELIOR</t>
  </si>
  <si>
    <t>RICH'S JORDAN SD</t>
  </si>
  <si>
    <t>7/1/2018   6/30/2019 Jordan School District</t>
  </si>
  <si>
    <t>RICH FOODS CORE-LANDRYS</t>
  </si>
  <si>
    <t>RICH PRODUCTS MESA SD</t>
  </si>
  <si>
    <t>7/1/2018   6/30/2019 Mesa County Valley 51</t>
  </si>
  <si>
    <t>RICH WEEDS DOUGH BB SODEXO</t>
  </si>
  <si>
    <t>RICH FOODS-RACE TRAC</t>
  </si>
  <si>
    <t>RaceTrac 16" Docked Dough</t>
  </si>
  <si>
    <t>WORTHINGTON SCHLS RICHS</t>
  </si>
  <si>
    <t>RICH PRODUCTS FIESTA FUN CTR</t>
  </si>
  <si>
    <t>Fiesta Fun Center</t>
  </si>
  <si>
    <t>RICH FOODS-DAIRY QUEEN</t>
  </si>
  <si>
    <t>USDA NOI RICH'S PRODUCT 100912</t>
  </si>
  <si>
    <t>RICH PRODUCTS-SIZZLER USA</t>
  </si>
  <si>
    <t>RICHS (BB) CORE-AFNAF</t>
  </si>
  <si>
    <t>RICH FOODS-COLDSTONE</t>
  </si>
  <si>
    <t>RICH FOODS SEA PAK-FOODBUY</t>
  </si>
  <si>
    <t>XXRICH PIZ DOUGH CORE-SDX RETR</t>
  </si>
  <si>
    <t>XXRICH PIZ DOUGH NCORE-SDX RET</t>
  </si>
  <si>
    <t>RICHS (BB) CORE-AFNAF RETRO</t>
  </si>
  <si>
    <t>FAT BRANDS   Homestyle Dining LLC (Ponderosa &amp; Bonanza) &amp; Hurricane Grill</t>
  </si>
  <si>
    <t>RaceTrac Promotional Pricing   2019</t>
  </si>
  <si>
    <t>RICH FOODS BB FOODBUY RETRO</t>
  </si>
  <si>
    <t>Chowan College Pioneer College Caterers</t>
  </si>
  <si>
    <t>PRAIRIE'S EDGE RICH'S PRODCUTS</t>
  </si>
  <si>
    <t>RICH'S COIN CRAZY</t>
  </si>
  <si>
    <t>COIN CRAZY</t>
  </si>
  <si>
    <t>RICH FOODS CORE BB-PINNACLE</t>
  </si>
  <si>
    <t>RICH FOODS BB-DAIRY QUEEN</t>
  </si>
  <si>
    <t>RICH FOODS-TONY ROMA'S</t>
  </si>
  <si>
    <t>Tony Romas (ROMACORP)</t>
  </si>
  <si>
    <t>RICH NC BB-DELAWARE</t>
  </si>
  <si>
    <t>RICH FOODS NC BB-LANDRYS</t>
  </si>
  <si>
    <t>RICH FOODS-TONY ROMA</t>
  </si>
  <si>
    <t>RICH'S K12 BLANKET</t>
  </si>
  <si>
    <t>RICHS PRODUCTS JIMMYS FAMOUS</t>
  </si>
  <si>
    <t>Jimmy's Famous American Taverns</t>
  </si>
  <si>
    <t>RICH FOODS C BB-LANDRYS</t>
  </si>
  <si>
    <t>RICH PRODUCTS CHIN CHIN</t>
  </si>
  <si>
    <t>Chin Chin Las Vegas</t>
  </si>
  <si>
    <t>RICH WHITE POST FARMS</t>
  </si>
  <si>
    <t>White Post Farms 2015 deal thr Sysco Long Island</t>
  </si>
  <si>
    <t>Caesar's Entertainment</t>
  </si>
  <si>
    <t>RICH FOODS BB FOODBUY CORPRETO</t>
  </si>
  <si>
    <t>RICH FOODS   ARAMARK BAPA</t>
  </si>
  <si>
    <t>CP RICH FOODS BB-FOODBUY</t>
  </si>
  <si>
    <t>RICH FOODS-IHOP</t>
  </si>
  <si>
    <t>RICH TOP PUDDING-SIZZLER</t>
  </si>
  <si>
    <t>RICH SBCUSD FRZN</t>
  </si>
  <si>
    <t>RICHS-WHITSONS</t>
  </si>
  <si>
    <t>RICH FOODS-SAPP BROS</t>
  </si>
  <si>
    <t xml:space="preserve">2017.2018 Whitson's Culinary Group </t>
  </si>
  <si>
    <t>RICH PROD K12 BLANKET</t>
  </si>
  <si>
    <t>RICH FOODS-AVI</t>
  </si>
  <si>
    <t xml:space="preserve">AVI </t>
  </si>
  <si>
    <t>RICH'S  SPOLETO OVAL BRD</t>
  </si>
  <si>
    <t>Spoleto Oval Flatbread</t>
  </si>
  <si>
    <t>rich foods-foodbuy</t>
  </si>
  <si>
    <t>RETRO BB RICH FDS CORE BB-MAIN</t>
  </si>
  <si>
    <t>RETRO BB CASA DIBERTACCHI-MAIN</t>
  </si>
  <si>
    <t>RICH 100912 DOUGH</t>
  </si>
  <si>
    <t xml:space="preserve">SY 1617 Commodity NOI Reimbursements </t>
  </si>
  <si>
    <t>Glacier Restaurant Group</t>
  </si>
  <si>
    <t>rich-forum</t>
  </si>
  <si>
    <t>RICH-WEST ADA SCHOOL DIST. 201</t>
  </si>
  <si>
    <t>7/1/2017   6/30/2018 West Ada (Joint School District No.2)</t>
  </si>
  <si>
    <t>RICH FOODS CC BAGELS AND BREW</t>
  </si>
  <si>
    <t>RICH BAHAMA BUCKS</t>
  </si>
  <si>
    <t>RICHS-TVC 2017-18</t>
  </si>
  <si>
    <t>RICH-COMPASS CHARTER SCH 17-18</t>
  </si>
  <si>
    <t>RICH FOODS-SIZZLER</t>
  </si>
  <si>
    <t>RICH FOODS-SHARIS</t>
  </si>
  <si>
    <t>Shari's Management Corporation  Coco's &amp; Carrows</t>
  </si>
  <si>
    <t>RICH'S ALL CUSTOMER</t>
  </si>
  <si>
    <t>Sysco Inventory Reduction LTO</t>
  </si>
  <si>
    <t>RICH - BAKER SCHOOL</t>
  </si>
  <si>
    <t>RICHES 100912 DOUGH</t>
  </si>
  <si>
    <t>RICHES 110244 CHEESE</t>
  </si>
  <si>
    <t>RICH PRODUCTS WORLD OF BEER</t>
  </si>
  <si>
    <t>World Of Beer</t>
  </si>
  <si>
    <t>RICH-COOKIES AYRES</t>
  </si>
  <si>
    <t>Ayres Hotel Group</t>
  </si>
  <si>
    <t>RICH PROD GANDOLFOS DELI</t>
  </si>
  <si>
    <t>Gandolfo's</t>
  </si>
  <si>
    <t>RICHS MORONGO</t>
  </si>
  <si>
    <t>Morongo Casino Rebate</t>
  </si>
  <si>
    <t>RICH PRODUCTS-NAMPA SCHOOL</t>
  </si>
  <si>
    <t>7/1/2017   12/31/2017 Nampa SD #131</t>
  </si>
  <si>
    <t>Rich Foods-Granite City</t>
  </si>
  <si>
    <t>Granite City Restaurants</t>
  </si>
  <si>
    <t>="000076283 - RICHS- JAZZY</t>
  </si>
  <si>
    <t xml:space="preserve"> PIZZA &amp; PASTA"</t>
  </si>
  <si>
    <t>RICHS- JAZZY  PIZZA &amp; PASTA</t>
  </si>
  <si>
    <t>Jazzy's Pizza  Subs  Donuts  and Cookies</t>
  </si>
  <si>
    <t>RICH PAPAS PIZZA</t>
  </si>
  <si>
    <t>PAPPA'S PIZZA KENTUCKY</t>
  </si>
  <si>
    <t xml:space="preserve">2018.2019 Whitson's Culinary Group </t>
  </si>
  <si>
    <t>Rich Foods-Foodbuy</t>
  </si>
  <si>
    <t>RICH BLACKHORSE</t>
  </si>
  <si>
    <t>Blackhorse Pub</t>
  </si>
  <si>
    <t>RICH PRODUCTS - WEST ADA</t>
  </si>
  <si>
    <t>RICH 110244 CHEESE</t>
  </si>
  <si>
    <t>7/1/2017   6/30/2018 San Bernardino City Unified</t>
  </si>
  <si>
    <t>BID-RICH BLANKET</t>
  </si>
  <si>
    <t>RICH PRODUCTS -TREASURE VALLEY</t>
  </si>
  <si>
    <t>RICH - TREASURE VALLEY 2018-19</t>
  </si>
  <si>
    <t>RICH -TREASURE VALLEY 2018-19</t>
  </si>
  <si>
    <t>RICH WILD WING</t>
  </si>
  <si>
    <t>Wild Wing Cafe</t>
  </si>
  <si>
    <t>RICHES.100912 DOUGH</t>
  </si>
  <si>
    <t>Rich-Forum</t>
  </si>
  <si>
    <t>RICH DQ BB</t>
  </si>
  <si>
    <t>RICH GANDOLFO'S</t>
  </si>
  <si>
    <t>RICH BARTONVILLER DINER</t>
  </si>
  <si>
    <t>Bartonville Diner</t>
  </si>
  <si>
    <t>RICH JACKS CAFE</t>
  </si>
  <si>
    <t>Jacks Cafe</t>
  </si>
  <si>
    <t>RICHES MONTY'S SUB</t>
  </si>
  <si>
    <t>Monty's Submarine's</t>
  </si>
  <si>
    <t>Country Kitchen Pricing 2018</t>
  </si>
  <si>
    <t>RICH RICH PRODUCTS CO OVATIONS</t>
  </si>
  <si>
    <t>Buffet/Ryan's Deviated Pricing</t>
  </si>
  <si>
    <t>RICH STEW LEONARDS</t>
  </si>
  <si>
    <t xml:space="preserve">Stew Leonard's </t>
  </si>
  <si>
    <t>RICHES 100912 CHEESE</t>
  </si>
  <si>
    <t>RICH OVATIONS</t>
  </si>
  <si>
    <t>Sodexo Icing Pricing 2019</t>
  </si>
  <si>
    <t>RICH PRODUCTS PAN SEAFOOD</t>
  </si>
  <si>
    <t>Pan Foods</t>
  </si>
  <si>
    <t>RICHES HAMILTON CATERING</t>
  </si>
  <si>
    <t>Hamilton's Catering</t>
  </si>
  <si>
    <t>52 Delaware North</t>
  </si>
  <si>
    <t>rich(brwn&amp;top)sonny's</t>
  </si>
  <si>
    <t>Sonny's</t>
  </si>
  <si>
    <t>RICH FOODS CORE - HILTON VOID</t>
  </si>
  <si>
    <t>RICH FDBY BB Z</t>
  </si>
  <si>
    <t>RICHES LONZEROTTIS</t>
  </si>
  <si>
    <t>Lonzeratti's Restaurant</t>
  </si>
  <si>
    <t>RICH FDBY (CC) BB Z</t>
  </si>
  <si>
    <t>USDA RICH B198</t>
  </si>
  <si>
    <t>SY 14 15 Commodity NOI Reimbursements</t>
  </si>
  <si>
    <t>RICHES 100912  CHEESE</t>
  </si>
  <si>
    <t>RICHS - MCCALLS BBQ &amp; SF</t>
  </si>
  <si>
    <t>McCalls</t>
  </si>
  <si>
    <t>RICHS - ABRAMS GROUP</t>
  </si>
  <si>
    <t>Abrams Restaurant Rebate</t>
  </si>
  <si>
    <t>RICH FOODS FDBY SAN MANUEL</t>
  </si>
  <si>
    <t>RICH FOODS APEX PARKS</t>
  </si>
  <si>
    <t>Apex Parks Group</t>
  </si>
  <si>
    <t>RICHS - FIREWURST GROUP</t>
  </si>
  <si>
    <t>Firewurst Restaurants</t>
  </si>
  <si>
    <t>Rudloof's Pizza 2013</t>
  </si>
  <si>
    <t>RICHS LONZEROTIES</t>
  </si>
  <si>
    <t>RICHS MONTY'S</t>
  </si>
  <si>
    <t>RICH'S-DELAWARE NORTH</t>
  </si>
  <si>
    <t>Russillo's Pizza</t>
  </si>
  <si>
    <t>LEGENDS CASINO</t>
  </si>
  <si>
    <t>XXRICHFOODS RETRO BUCATINITRAT</t>
  </si>
  <si>
    <t>BUCATINI TRATTORIA</t>
  </si>
  <si>
    <t>RICH FOODS BUCATINI TRATTORIA</t>
  </si>
  <si>
    <t>RICH FOODS-GRANITE CITY</t>
  </si>
  <si>
    <t>SY 15 16 NATIONAL BLANKET PRICE SHEET</t>
  </si>
  <si>
    <t>RICHS NIEMERGS</t>
  </si>
  <si>
    <t>Niemergs Steakhouse</t>
  </si>
  <si>
    <t>RICHS(06) - SCHOOL BLANKET</t>
  </si>
  <si>
    <t>RICH-DC PAPPAS PIZZA</t>
  </si>
  <si>
    <t>Pappas Pizza</t>
  </si>
  <si>
    <t>RICHS - PENDER B198</t>
  </si>
  <si>
    <t>RICH PRODUCTS FRITZ</t>
  </si>
  <si>
    <t>Fritz's</t>
  </si>
  <si>
    <t>RICHS(06) - NCCNPA</t>
  </si>
  <si>
    <t>NC Purchasing Alliance  Interflex Program NC 2014 05532</t>
  </si>
  <si>
    <t>RICHS(04) - NCCNPA</t>
  </si>
  <si>
    <t>RICH-CORE-DELAWARE NORTH</t>
  </si>
  <si>
    <t>RICH-NONCORE-DELAWARE NORTH</t>
  </si>
  <si>
    <t>RICH'S BLANKET SCHOOL</t>
  </si>
  <si>
    <t>RICH NC(DPMRETRO)-DELAWARE NOR</t>
  </si>
  <si>
    <t>RICHS NC(DPMRETRO)-HILTON</t>
  </si>
  <si>
    <t>RICH PRODUCTS OZONES</t>
  </si>
  <si>
    <t>Ozone's</t>
  </si>
  <si>
    <t>RICHS - THE LOOP REST</t>
  </si>
  <si>
    <t>The Loop Restaurants</t>
  </si>
  <si>
    <t>RICH FOODS NONRTL-COLD STONE</t>
  </si>
  <si>
    <t>RICHS - QUEEN STREET DELI</t>
  </si>
  <si>
    <t>Queen Street Deli and Bakery</t>
  </si>
  <si>
    <t>RICH PRODUCTS CORP        NAPA</t>
  </si>
  <si>
    <t>Granite City Food &amp; Brewery</t>
  </si>
  <si>
    <t>RICH'S-BISCUIT LOCAL 5 STAR</t>
  </si>
  <si>
    <t>Five Star</t>
  </si>
  <si>
    <t>RICHS BISHOP GROUP</t>
  </si>
  <si>
    <t>Captain Jacks/Breakers</t>
  </si>
  <si>
    <t>USDA RICH 100912 (B198)</t>
  </si>
  <si>
    <t xml:space="preserve">SY 15 16 Commodity NOI Reimbursements </t>
  </si>
  <si>
    <t>RICHS - WOB</t>
  </si>
  <si>
    <t>RICH PROD -MKT DEV ALL CUST</t>
  </si>
  <si>
    <t>2014 Whip Topping Base Sysco's only</t>
  </si>
  <si>
    <t>RICH PRODUCTS GLACIER</t>
  </si>
  <si>
    <t>Rich's Bread-Sodexo</t>
  </si>
  <si>
    <t>RICHS FDS CORE BB-SSS ARAMARK</t>
  </si>
  <si>
    <t xml:space="preserve">Cold Stone Creamery </t>
  </si>
  <si>
    <t>RICHS CORE(DPMRETRO)-DELAWARE</t>
  </si>
  <si>
    <t>RICHS BB(DPMRETRO)-FOODBUY</t>
  </si>
  <si>
    <t>RICH PIZZA DOUGH UMO</t>
  </si>
  <si>
    <t>University of Maine (UMO)</t>
  </si>
  <si>
    <t>RICH FOODS NC-GRANITE CITY</t>
  </si>
  <si>
    <t>RICH FOODS C-GRANITE CITY</t>
  </si>
  <si>
    <t>RICH-CORE CC BB-DELAWARE</t>
  </si>
  <si>
    <t>RICHS COUSIN EDDIE'S</t>
  </si>
  <si>
    <t>Cousin Eddies</t>
  </si>
  <si>
    <t>RICH FOODS SHARI'S</t>
  </si>
  <si>
    <t>Shari's Restaurants July thru Dec 2013</t>
  </si>
  <si>
    <t>RICHS - RUTH CHRIS</t>
  </si>
  <si>
    <t>Ruth's Chris Steakhouse program</t>
  </si>
  <si>
    <t>RICH FOODS-NUTRITION SYSTEMS</t>
  </si>
  <si>
    <t>Nutrition Systems Program</t>
  </si>
  <si>
    <t>RICH FOODS NONRETAIL-COLDSTONE</t>
  </si>
  <si>
    <t>52 NAPA</t>
  </si>
  <si>
    <t>RICH FDS ARAM BB (CORE) EX-SSS</t>
  </si>
  <si>
    <t>RICH FDS ARAM BB (NCOR) EX-SSS</t>
  </si>
  <si>
    <t>RICH CWU</t>
  </si>
  <si>
    <t>Central Washington University</t>
  </si>
  <si>
    <t>RICH TOPPING-COSTA VIDA</t>
  </si>
  <si>
    <t>52 03 062 Costa Vida</t>
  </si>
  <si>
    <t>RICH'S PD1 HUNTS STEAK &amp; SEAFD</t>
  </si>
  <si>
    <t>Hunt's Steak and Seafood</t>
  </si>
  <si>
    <t>RICH FOODS JOHNS INCREDIBLE</t>
  </si>
  <si>
    <t>johns incredible pizza company</t>
  </si>
  <si>
    <t>RICH FOODS AMERICAN CRUISE LIN</t>
  </si>
  <si>
    <t>RICHS BLANKET K-12</t>
  </si>
  <si>
    <t>RICHS - RAGAZZI'S</t>
  </si>
  <si>
    <t>Ragazzi's Restaurant</t>
  </si>
  <si>
    <t>RICH'S CASSANO'S</t>
  </si>
  <si>
    <t>Cassanos</t>
  </si>
  <si>
    <t>RICH FOODS NC BB-GRANITE CITY</t>
  </si>
  <si>
    <t>RICH'S CC&amp;BB CAPTAIN ANDERSON</t>
  </si>
  <si>
    <t>Captain A's</t>
  </si>
  <si>
    <t>RICHS NDESC</t>
  </si>
  <si>
    <t>RICHS(NONCORE)-RUTH CHRIS</t>
  </si>
  <si>
    <t>RICH FOODS C BB-GRANITE CITY</t>
  </si>
  <si>
    <t>RICH FOODS-BOSTON PIZZA</t>
  </si>
  <si>
    <t>RICHS BB (DPMRETRO)-FOODBUY</t>
  </si>
  <si>
    <t>RICH ARAMARK (NCORE) BB</t>
  </si>
  <si>
    <t>RICH ARAMARK (CORE) BB</t>
  </si>
  <si>
    <t>RICH FOODS NON RETAIL-COLDSTNE</t>
  </si>
  <si>
    <t>RICH FOODS-HAGADONE</t>
  </si>
  <si>
    <t>RICH'S SONNY'S</t>
  </si>
  <si>
    <t>RICH FOOD BETTERCREME-COLDSTNE</t>
  </si>
  <si>
    <t>RICHS (06) SCHL BLNKT</t>
  </si>
  <si>
    <t>RICHS CORE BB(DPMRETRO)-GRANIT</t>
  </si>
  <si>
    <t>ERNIE'S BBQ - RICH PRODUCTS</t>
  </si>
  <si>
    <t>Ernie's BBQ 2015 Program Renewal</t>
  </si>
  <si>
    <t>RICH DOWNTOWN GRILL</t>
  </si>
  <si>
    <t>Downtown Grill</t>
  </si>
  <si>
    <t>BLNK:RICH FDS BLANKET SCHOOL</t>
  </si>
  <si>
    <t>RICH BETTERCREME NCORE-COLDSTN</t>
  </si>
  <si>
    <t>RICH FOODS-SOUTHERN</t>
  </si>
  <si>
    <t>RICH PRODS DC TRAVINIA</t>
  </si>
  <si>
    <t>Travinia Italian Kitchen &amp; Wine Bar</t>
  </si>
  <si>
    <t>RICH FDS COUNTRY KITCHEN</t>
  </si>
  <si>
    <t>RICH FOODS NONCORE-FORUM</t>
  </si>
  <si>
    <t>RICH PROD TEXAS ROADHOUSE</t>
  </si>
  <si>
    <t>Texas Roadhouse</t>
  </si>
  <si>
    <t>USDA RICH PRODUCTS 100912</t>
  </si>
  <si>
    <t>RICH PROD PASTRIES BY EDIE'S</t>
  </si>
  <si>
    <t>Pastries by Edie</t>
  </si>
  <si>
    <t>RICH'S-BAMBOO &amp; HOLIDAY SUNSPR</t>
  </si>
  <si>
    <t>Holiday Inn Resort Panama City Beach</t>
  </si>
  <si>
    <t>RICH'S   PAPA'S PIZZA DC</t>
  </si>
  <si>
    <t>RICHS CORE BB ARA EXCL SSS</t>
  </si>
  <si>
    <t>RICHS CORE BB-DELAWARE</t>
  </si>
  <si>
    <t>RICH PROD. SANTORO</t>
  </si>
  <si>
    <t>Santoro's Submarine Sandwiches</t>
  </si>
  <si>
    <t>RICHS SWTDGH BB(DPMRETRO)-SODE</t>
  </si>
  <si>
    <t>RICH FDS NCORE BB ARA MAIN</t>
  </si>
  <si>
    <t>RICHS   BLACKHORSE TAVERN</t>
  </si>
  <si>
    <t>RICHS   PAPA'S PIZZA DC</t>
  </si>
  <si>
    <t>RICH FOODS-COSTA VIDA</t>
  </si>
  <si>
    <t>RICH NCORE-NUTRITION</t>
  </si>
  <si>
    <t>RICHS SCHOOL BLANKET BID</t>
  </si>
  <si>
    <t>RICH FDS BB(DPMRETRO)-FOODBUY</t>
  </si>
  <si>
    <t>RICH PRODUCTS-HAGADONE</t>
  </si>
  <si>
    <t>RICH FDS NCORE BB-FORUM</t>
  </si>
  <si>
    <t>RICH RICARDO'S + SMITH WACO</t>
  </si>
  <si>
    <t>Richardo's and Smith Waco</t>
  </si>
  <si>
    <t>RICH ZELIAS</t>
  </si>
  <si>
    <t>ZELIAS</t>
  </si>
  <si>
    <t>RICH'S BARTONVILLE DINER</t>
  </si>
  <si>
    <t>RICH'S LINCOLN COLLEGE</t>
  </si>
  <si>
    <t>Lincoln College 2013 Program</t>
  </si>
  <si>
    <t>RICH FDS-SODEXO-DC</t>
  </si>
  <si>
    <t>NAPA RICH'S</t>
  </si>
  <si>
    <t>RICH FDS-FOODBUY DC</t>
  </si>
  <si>
    <t>RICH FDS-FOODBUY NONCORE</t>
  </si>
  <si>
    <t>RICH'S-PD1-ESCOMBIA</t>
  </si>
  <si>
    <t>8/1/2015   6/30/2016 Escambia County School District</t>
  </si>
  <si>
    <t>RICHS PINCO BID</t>
  </si>
  <si>
    <t>RICH SILVER DOLLAR</t>
  </si>
  <si>
    <t>SILVER DOLLAR PIZZARIA</t>
  </si>
  <si>
    <t>RICH'S COUNTRY KITCHEN</t>
  </si>
  <si>
    <t>RICH CBB-NUTRITION</t>
  </si>
  <si>
    <t>RICH FOODS-SIZZLER USA</t>
  </si>
  <si>
    <t>RICH PROD MONTEREY AT ENCINO</t>
  </si>
  <si>
    <t>Monterey at Encino</t>
  </si>
  <si>
    <t>RICH PROD CASTLE PARK CAFE</t>
  </si>
  <si>
    <t>Castle Park Cafe</t>
  </si>
  <si>
    <t>RICH CORE W BB-NUTRITION SYSTE</t>
  </si>
  <si>
    <t>RICH NONCORE-NUTRITION SYSTEMS</t>
  </si>
  <si>
    <t>RICH FOODS BB-FOODBUY BIGSTEAK</t>
  </si>
  <si>
    <t xml:space="preserve">SPIRIT LAKE CASINO </t>
  </si>
  <si>
    <t>8/1/2015   7/31/2016 Oregon Child Nutrition Coalition</t>
  </si>
  <si>
    <t>RICH WONDERLAND</t>
  </si>
  <si>
    <t>WONDERLAND FAMILY FUN CENTER</t>
  </si>
  <si>
    <t>RICH FOODS-FOODBUY NCORE RETRO</t>
  </si>
  <si>
    <t>RICH FOODS-FOODBUY CORE RETRO</t>
  </si>
  <si>
    <t>Cinnabon DH / Frosting / AA</t>
  </si>
  <si>
    <t>la Madeleine &amp; Mimi's</t>
  </si>
  <si>
    <t>RICH WILDERNESS</t>
  </si>
  <si>
    <t>The Wilderness</t>
  </si>
  <si>
    <t>RICH FDS NCORE BB-SONNYS BBQ</t>
  </si>
  <si>
    <t>RICH PROD-ARAMARK CORE</t>
  </si>
  <si>
    <t>RICHS CC BLANKET SCHOOL</t>
  </si>
  <si>
    <t>RICH PROD-ARAMARK NONCORE</t>
  </si>
  <si>
    <t>RICH PROD-ARAMARK NONCORE RETR</t>
  </si>
  <si>
    <t>RICHS CBB-BOSTON</t>
  </si>
  <si>
    <t>RICH FOODS-SOUTHERN FOODS</t>
  </si>
  <si>
    <t>RICH'S-PD1-THE COVE</t>
  </si>
  <si>
    <t>The Cove</t>
  </si>
  <si>
    <t>BID-RICH PROD KNOX SCHLS</t>
  </si>
  <si>
    <t>RICH DC SOUTHERN FDS</t>
  </si>
  <si>
    <t>RICH PRODUCTS(06) - SCHL BLNKT</t>
  </si>
  <si>
    <t>RICHS(06) NCCNPA</t>
  </si>
  <si>
    <t>8/1/2016   7/31/2017 NC Child Nutrition Procurement Alliance</t>
  </si>
  <si>
    <t>RICH PROD TREAT AMERICA</t>
  </si>
  <si>
    <t>RICH BABY BULLS</t>
  </si>
  <si>
    <t>Baby Bulls</t>
  </si>
  <si>
    <t>RICH FDS-ARAMARK CORE RETRO</t>
  </si>
  <si>
    <t>RICH FDS-ARAMARK NON CORE RETR</t>
  </si>
  <si>
    <t>DEPT. OF DEFENSE RICH'S</t>
  </si>
  <si>
    <t>RICHS MONKEY JOES</t>
  </si>
  <si>
    <t>Monkey Joe's</t>
  </si>
  <si>
    <t>RICH FEE HENDRICKS</t>
  </si>
  <si>
    <t>Hendrick House</t>
  </si>
  <si>
    <t>RICHS - WAKE B077</t>
  </si>
  <si>
    <t xml:space="preserve">Granite City Food &amp; Brewery Cinnamon Roll Program </t>
  </si>
  <si>
    <t>RICH FOODS NC BB-SONNYS</t>
  </si>
  <si>
    <t>RICHS MANDAN SCHOOLS</t>
  </si>
  <si>
    <t>RICH HILTON</t>
  </si>
  <si>
    <t>RICH FDS FDBY-COMPASS BB</t>
  </si>
  <si>
    <t>RICH PRODUCTS HURRICANE GRILL</t>
  </si>
  <si>
    <t>RICH FDS CORE BB ARA MAIN</t>
  </si>
  <si>
    <t>7/1/2015   6/30/2016 Partners in Nutrition Coop (PinCo)</t>
  </si>
  <si>
    <t>RICH PRODUCTS BECK OIL CO</t>
  </si>
  <si>
    <t>Beck Oil Company</t>
  </si>
  <si>
    <t>7/1/2016   6/30/2017 Oregon Child Nutrition Coalition</t>
  </si>
  <si>
    <t>RICH PROD SENIOR CARE</t>
  </si>
  <si>
    <t>Martha Gregory/Senior Care</t>
  </si>
  <si>
    <t>RICH NC BB-SONNYS</t>
  </si>
  <si>
    <t>RICH FOODS C BB-SONNYS BBQ</t>
  </si>
  <si>
    <t>RICH FOODS NC BB-SONNYS REVISE</t>
  </si>
  <si>
    <t>RICH FOODS C BB-SONNYS REVISED</t>
  </si>
  <si>
    <t>RICH PRODUCTS CORP NAPA</t>
  </si>
  <si>
    <t>RICH FOODS RUTH CHRIS NCORE</t>
  </si>
  <si>
    <t>RICH FDS CORE RUTH CHRIS</t>
  </si>
  <si>
    <t>Jinky's Cafe</t>
  </si>
  <si>
    <t>RICH NC BB-SONNYS REVISED</t>
  </si>
  <si>
    <t>RICH DC SEA PINES</t>
  </si>
  <si>
    <t>Sea Pines Resort</t>
  </si>
  <si>
    <t>RICH DQ</t>
  </si>
  <si>
    <t>RICH PEERLESS STK HOUSE</t>
  </si>
  <si>
    <t>PEERLESS STEAK HOUSE</t>
  </si>
  <si>
    <t>RICH'S WEATHERVANE</t>
  </si>
  <si>
    <t>Weathervane Seafood</t>
  </si>
  <si>
    <t>RICH FDS CC-RUTH CHRIS BAPA</t>
  </si>
  <si>
    <t>RICH PRODUCTS CARNIVAL CRUISE</t>
  </si>
  <si>
    <t>Carnival Cruise Lines (Holland America  Cunard  Princess Cruise  Seabourn  and Costa</t>
  </si>
  <si>
    <t>RICH CBB-SONNY'S BBQ</t>
  </si>
  <si>
    <t>star buffet-rich products</t>
  </si>
  <si>
    <t>RICH'S K-12</t>
  </si>
  <si>
    <t>RICH'S ISLAND WINGS</t>
  </si>
  <si>
    <t>Island Wing Company  All locations</t>
  </si>
  <si>
    <t>RICH PRODUCTS PD1 PAN SEAFOOD</t>
  </si>
  <si>
    <t>USDA RICH 100912</t>
  </si>
  <si>
    <t>RICHS (BB) NON CORE-AFNAF</t>
  </si>
  <si>
    <t>RICH PRODUCTS FARGO SCHOOLS</t>
  </si>
  <si>
    <t>RICH PRODUCTS-BLANKET</t>
  </si>
  <si>
    <t>RICH PRODUCTS SCHOOL BLANKET</t>
  </si>
  <si>
    <t>RICH PRODUCTS - NCCNPA</t>
  </si>
  <si>
    <t>8/1/2017   7/31/2018 NC Child Nutrition Procurement Alliance</t>
  </si>
  <si>
    <t>RICHS DOD</t>
  </si>
  <si>
    <t>RICH PRODUCTS BISMARCK SCHOOLS</t>
  </si>
  <si>
    <t>8/1/2017   6/30/2018 Bismarck 1</t>
  </si>
  <si>
    <t>RICH PROD-AVI</t>
  </si>
  <si>
    <t>52 AVI</t>
  </si>
  <si>
    <t>RICHS- WAKE B077</t>
  </si>
  <si>
    <t>RICHS -PENDER B198</t>
  </si>
  <si>
    <t>RICH FOODS-SONNYS BBQ</t>
  </si>
  <si>
    <t>PRG1013357 HIGH ON THE HOG RIC</t>
  </si>
  <si>
    <t>High on the Hog</t>
  </si>
  <si>
    <t>PRG1013370 RIV CTY MGMT-RICH</t>
  </si>
  <si>
    <t>River City</t>
  </si>
  <si>
    <t>PRG1013323 UNCLE LOU'S-RICH</t>
  </si>
  <si>
    <t>Uncle Lou's</t>
  </si>
  <si>
    <t>PRG1013321 HOLIDAY HAM-RICH</t>
  </si>
  <si>
    <t>Holiday Ham</t>
  </si>
  <si>
    <t>PRG1013338 BOSCOS RICH</t>
  </si>
  <si>
    <t>Boscos</t>
  </si>
  <si>
    <t>PRG1013356 GRECIAN RICH</t>
  </si>
  <si>
    <t>Olympic Grecian Steakhouse</t>
  </si>
  <si>
    <t>PRG1014872 CORKYS-RICH</t>
  </si>
  <si>
    <t>Corky's</t>
  </si>
  <si>
    <t>1013376 DANVERS RICH</t>
  </si>
  <si>
    <t>Danver's Rest</t>
  </si>
  <si>
    <t>RICH CC FATZ CAFE</t>
  </si>
  <si>
    <t>Fatz Cafe</t>
  </si>
  <si>
    <t>RICH'S B077 USDA NH  14 15</t>
  </si>
  <si>
    <t>RICH'S B198 USDA NOI 14 15</t>
  </si>
  <si>
    <t>RICH'S B077 USDA P1  14 15</t>
  </si>
  <si>
    <t>7/1/2016   6/30/2017 Ventura Unified SD</t>
  </si>
  <si>
    <t>EDI DEFAULT PROGRAM DO NOT DELETE</t>
  </si>
  <si>
    <t>RICH FDS NONRTL NCORE-COLDSTNE</t>
  </si>
  <si>
    <t>Export - Rich Products</t>
  </si>
  <si>
    <t>RICH FOODS-RED ROBIN(GF)</t>
  </si>
  <si>
    <t>Red Robin 2nd half 2014</t>
  </si>
  <si>
    <t>North Dakota University Systems</t>
  </si>
  <si>
    <t>RICH DC TRAVINIA</t>
  </si>
  <si>
    <t>RICH DC JASMINE BUFFET</t>
  </si>
  <si>
    <t>Jasmine Buffet</t>
  </si>
  <si>
    <t>RICH'S FOODS - BURNEY'S</t>
  </si>
  <si>
    <t>RICH PIZZA DOUGH LUCKY STRIKE</t>
  </si>
  <si>
    <t>Lucky Strike Rebate Program</t>
  </si>
  <si>
    <t>UNIV OF MICH RICH'S</t>
  </si>
  <si>
    <t>2016 University of Michigan</t>
  </si>
  <si>
    <t>RICH DC RIDGECREST COFFEE BAR</t>
  </si>
  <si>
    <t>Ridgecrest Coffee Bar</t>
  </si>
  <si>
    <t>UPPYS RICHS</t>
  </si>
  <si>
    <t>Uppy's</t>
  </si>
  <si>
    <t>RICH FOODS - GRANITE CITY</t>
  </si>
  <si>
    <t>(L)CASA DI BERT-SODEXO(F)(OR)</t>
  </si>
  <si>
    <t>RICH DC DADDY MAC'S</t>
  </si>
  <si>
    <t>Daddy Mac's</t>
  </si>
  <si>
    <t>FLANIGANS - RICH</t>
  </si>
  <si>
    <t>Flanigans</t>
  </si>
  <si>
    <t>RICHS MK PIZZERIA</t>
  </si>
  <si>
    <t>52 02 269 MK's Pizzeria</t>
  </si>
  <si>
    <t>RICH CC SC PURCHASE ALLIANCE</t>
  </si>
  <si>
    <t>South Carolina Purchasing Alliance</t>
  </si>
  <si>
    <t>Forum Rebate without Entegra items</t>
  </si>
  <si>
    <t>Burney's Sweets and More</t>
  </si>
  <si>
    <t>RICH MONTEREY ENCINO</t>
  </si>
  <si>
    <t>Monterey Encino   19" dough ball</t>
  </si>
  <si>
    <t>(L)RICH FOODS-DELAWARE(OR)</t>
  </si>
  <si>
    <t xml:space="preserve">  RICH FOODS-SOUTHERN FOODSERV</t>
  </si>
  <si>
    <t>RICH PROD PD1 CARNIVAL CRUISE</t>
  </si>
  <si>
    <t>Carnival Cruise Lines (Holland America  Cunard  Princess Cruise  Seabourn  and Costa) (Billback)</t>
  </si>
  <si>
    <t>(L)RICH BREAD&amp;ROLLS-SODEXO(OR)</t>
  </si>
  <si>
    <t>THE HENRY FORD RICH PRODUCTS</t>
  </si>
  <si>
    <t>52 02 297 Henry Ford Greenfield Village</t>
  </si>
  <si>
    <t>RICH CC WILD WINGS</t>
  </si>
  <si>
    <t>CHUBBYS-RICH PRODUCTS</t>
  </si>
  <si>
    <t>Chubby's</t>
  </si>
  <si>
    <t>TN-2014-06508 JAXSCHL-RICHS</t>
  </si>
  <si>
    <t>RICH FOODS BAPA-SONNYS BBQ</t>
  </si>
  <si>
    <t>(L)RICHS SWEET DOUGH-SODEX(OR)</t>
  </si>
  <si>
    <t>RICH PRODUCTS SUBWAY</t>
  </si>
  <si>
    <t>RICH PROD K&amp;K PORTAGE MEATS</t>
  </si>
  <si>
    <t>K&amp;K Portage Meats</t>
  </si>
  <si>
    <t xml:space="preserve">Vitos - Rich Products </t>
  </si>
  <si>
    <t>Vito's</t>
  </si>
  <si>
    <t>1024667 FLAT IRON GRL RICH</t>
  </si>
  <si>
    <t>Flat Iron Grill</t>
  </si>
  <si>
    <t>RICH'S DC REST PRTNR POP</t>
  </si>
  <si>
    <t>1022821 MGM RESRT RICH-178422</t>
  </si>
  <si>
    <t>RICH'S B077 USDA NOI 15 16</t>
  </si>
  <si>
    <t>RICHS DUNN BROS</t>
  </si>
  <si>
    <t>Dunn Brothers Coffee Rebate</t>
  </si>
  <si>
    <t>1025183 HUMDINGERS RICH PRD</t>
  </si>
  <si>
    <t>Humdingers</t>
  </si>
  <si>
    <t>1019561 SAMSTOWN RICH</t>
  </si>
  <si>
    <t>Sam's Town Casino</t>
  </si>
  <si>
    <t>RICH SCHOOL BLANKET</t>
  </si>
  <si>
    <t>NAT'L BLANKET SCHOOLS RICH</t>
  </si>
  <si>
    <t>SY 1516 Commodity NOI Reimbursements</t>
  </si>
  <si>
    <t>TINA'S RICH'S</t>
  </si>
  <si>
    <t>Tina's Tavern 2014</t>
  </si>
  <si>
    <t>RICH'S EDWARDS CATERING</t>
  </si>
  <si>
    <t>Edwards Catering 2014</t>
  </si>
  <si>
    <t>RICH ALL SCHOOLS BLANKET</t>
  </si>
  <si>
    <t>1013811 007 ISLECAPRI-RICHS</t>
  </si>
  <si>
    <t>(L)RICH BREAD(SODEXO-183372)</t>
  </si>
  <si>
    <t>MAMA JENNIES - RICH SEAPAK</t>
  </si>
  <si>
    <t>Mama Jennie's</t>
  </si>
  <si>
    <t>Compass Foodbuy 2013 Pricing</t>
  </si>
  <si>
    <t>RICH FOODS-TWO ROADS HOSP</t>
  </si>
  <si>
    <t>Two Roads Hospitality Fixed Pricing</t>
  </si>
  <si>
    <t>RICHS TRIP INTO CASES</t>
  </si>
  <si>
    <t xml:space="preserve">SYSCO Memphis 2016 Trip into Cases </t>
  </si>
  <si>
    <t>BB COLDSTONE FOB RICH</t>
  </si>
  <si>
    <t>BB OSF FOB RICH</t>
  </si>
  <si>
    <t>Z RICH PROD. TREAT AMERICA</t>
  </si>
  <si>
    <t>BB SODEXO FOB RICH SWEET DOUGH</t>
  </si>
  <si>
    <t>TREAT RICH</t>
  </si>
  <si>
    <t>RICHS FLOUR B198R</t>
  </si>
  <si>
    <t>CKI RICH</t>
  </si>
  <si>
    <t>52 Country Kitchen</t>
  </si>
  <si>
    <t>RICH FOODS-FOODBUY 182771</t>
  </si>
  <si>
    <t>RICH PRODUCTS-NCCNPA 06</t>
  </si>
  <si>
    <t>SY 18 19 NC Child Procurement Alliance</t>
  </si>
  <si>
    <t>RICH PRODUCTS-SYSCO SHARES</t>
  </si>
  <si>
    <t>52Sysco SHARES Promotion</t>
  </si>
  <si>
    <t>(L)RICH PROD(FOODBUY-187012)</t>
  </si>
  <si>
    <t>RICH DC CRAZY CRAB</t>
  </si>
  <si>
    <t>Crazy Crab</t>
  </si>
  <si>
    <t>CSM Richs</t>
  </si>
  <si>
    <t>CSM Coordinated Service MGMT</t>
  </si>
  <si>
    <t>RICHS ALL CUSTOMERS</t>
  </si>
  <si>
    <t>SFS HAMPTON ROADS Tortellini</t>
  </si>
  <si>
    <t>RICHS-PENDER 100912</t>
  </si>
  <si>
    <t>RICHS-WAKE 110244</t>
  </si>
  <si>
    <t>RICHS-CUMBELAND 110244</t>
  </si>
  <si>
    <t>BL-15-06768 SCHK12-RICHS</t>
  </si>
  <si>
    <t>CALECOS RICH</t>
  </si>
  <si>
    <t>52 02 167 Caleco's/Piasa Harbor</t>
  </si>
  <si>
    <t>TN-2015-06948 CHICKASAW-RICHS</t>
  </si>
  <si>
    <t>(L)RICH FDS(ARA-187368)</t>
  </si>
  <si>
    <t>RICHS PINCO</t>
  </si>
  <si>
    <t>7/1/2017   6/30/2018 Partners in Nutrition Coop (PinCo)</t>
  </si>
  <si>
    <t>RICH FOODS-IKEA LC</t>
  </si>
  <si>
    <t xml:space="preserve">RICH NCORE-NUTRITION </t>
  </si>
  <si>
    <t>RICH PROD. CIRCLE K</t>
  </si>
  <si>
    <t>Circle K Net Deal</t>
  </si>
  <si>
    <t>1022821 MGM GOLDS-RICHS</t>
  </si>
  <si>
    <t>Sky Zone Trampoline Park Marketing Rebate</t>
  </si>
  <si>
    <t>RICH BRUCHIS</t>
  </si>
  <si>
    <t xml:space="preserve">BRUCHI'S Fixed Pricing on French Bread Dough </t>
  </si>
  <si>
    <t>UNIV OF MICH RICH PRODUCTS</t>
  </si>
  <si>
    <t>52 02 297 University of Michigan</t>
  </si>
  <si>
    <t>University of Michigan</t>
  </si>
  <si>
    <t>RICH MET GROUP (DC)</t>
  </si>
  <si>
    <t>Met Back Bay Restaurants</t>
  </si>
  <si>
    <t>RICH CC GC JET FOOD STORES</t>
  </si>
  <si>
    <t>Jet Food Stores</t>
  </si>
  <si>
    <t>SCHOOLS BLNKT BID RICHS</t>
  </si>
  <si>
    <t>CAESARS--RICH PROD</t>
  </si>
  <si>
    <t>RICHS SAM &amp; LOUIE REBATE</t>
  </si>
  <si>
    <t>52 02 026 Sam and Louie's</t>
  </si>
  <si>
    <t>BB DELAWARE FOB RICH</t>
  </si>
  <si>
    <t>TN-2015-07477 MUNISCHL-RICHS</t>
  </si>
  <si>
    <t>STAR BUFFET-RICH PRODUCTS</t>
  </si>
  <si>
    <t>RICH - MASSO CATERING</t>
  </si>
  <si>
    <t>Masso's 2013 deal thr Sysco PHY</t>
  </si>
  <si>
    <t>RICH PROD CHESHIRE MARKET</t>
  </si>
  <si>
    <t>Cheshire Market</t>
  </si>
  <si>
    <t>BB GRANITE FOB RICH</t>
  </si>
  <si>
    <t>USDA 100912 RICH PRODUCTS - IL</t>
  </si>
  <si>
    <t>RICH PRODUCTS-HIBACHI GROUP</t>
  </si>
  <si>
    <t>Hibachi Grill/Asian Buffet Group</t>
  </si>
  <si>
    <t>BB LANDRYS FOB RICH</t>
  </si>
  <si>
    <t>RICH FOODS- RESTAURANT PARTNER</t>
  </si>
  <si>
    <t>RICH FOODS-SPAGWHSE</t>
  </si>
  <si>
    <t>Spaghetti Warehouse Flatbreads</t>
  </si>
  <si>
    <t>RICH PRODUCTS DEPT OF DEFENSE</t>
  </si>
  <si>
    <t>RICH PRODUCTS PJ WHELIHANS</t>
  </si>
  <si>
    <t>52 01 141  RP Design &amp; Mgt</t>
  </si>
  <si>
    <t>SY 18 19 NC Alliance Commodity</t>
  </si>
  <si>
    <t>RICH'S - HOULIHAN'S</t>
  </si>
  <si>
    <t>Houlihan's 2014 pricing</t>
  </si>
  <si>
    <t>RICH-LUCKY STRIKE</t>
  </si>
  <si>
    <t>RICH PRODUCTS COUNTRY KITCHEN</t>
  </si>
  <si>
    <t>RICH CC GREENVILLE CNTY SCHLS</t>
  </si>
  <si>
    <t>7/1/2015   6/30/2016 Greenville County Schools</t>
  </si>
  <si>
    <t>BB ARA SSS FOB RICHS</t>
  </si>
  <si>
    <t>BB PINNACLE FOB RICHS</t>
  </si>
  <si>
    <t>Ameristar Casino / Pinnacle Entertainment</t>
  </si>
  <si>
    <t>TN-2015-07625 JAXSCHL-RICHS</t>
  </si>
  <si>
    <t>RICH'S   NML</t>
  </si>
  <si>
    <t>(L)RICH FDS(SSS ARA-191116)</t>
  </si>
  <si>
    <t>Woolard Enterprises WS 2014</t>
  </si>
  <si>
    <t>RICH LUCKY STRIKE OK</t>
  </si>
  <si>
    <t>RICH'S DANNY'S 4 MILE #1015324</t>
  </si>
  <si>
    <t>Danny's Meats and Catering</t>
  </si>
  <si>
    <t>RICHS-THE LOOP REST</t>
  </si>
  <si>
    <t>BB SODEXO FOB PIZZA&amp;ICING RICH</t>
  </si>
  <si>
    <t>BB SODEXO FOB TOPPING RICH</t>
  </si>
  <si>
    <t>BB SODEXO FOB BREAD&amp;ROLLS RICH</t>
  </si>
  <si>
    <t>RICHS PASADENA USD</t>
  </si>
  <si>
    <t>11/1/2017   6/30/2018 Pasadena Unified</t>
  </si>
  <si>
    <t>RICH COUNTRY KITCHEN</t>
  </si>
  <si>
    <t>BB HILTON FOB RICH</t>
  </si>
  <si>
    <t>BB FDBY FOB RICH</t>
  </si>
  <si>
    <t>RICHS D'EGG DINER</t>
  </si>
  <si>
    <t>D'Egg Operator Program</t>
  </si>
  <si>
    <t>RICH PRODUCTS BRUCHI'S</t>
  </si>
  <si>
    <t>8/1/2015   7/31/2016 S.C. Foodservice Purchasing Alliance  Inc.</t>
  </si>
  <si>
    <t>RICHS BB CR PURCHASING FBY</t>
  </si>
  <si>
    <t>LUCKYS MRKT RICHS</t>
  </si>
  <si>
    <t>lucky's regional chain</t>
  </si>
  <si>
    <t>BB SODEXO FOB SW DOUGH RICHS</t>
  </si>
  <si>
    <t>BB SODEXHO FOB RICH PZ DOUG-IC</t>
  </si>
  <si>
    <t>RICHS CW</t>
  </si>
  <si>
    <t>Colonial Williamsburg Flatbread</t>
  </si>
  <si>
    <t>RICHS BLACK PELICAN</t>
  </si>
  <si>
    <t>Black Pelican</t>
  </si>
  <si>
    <t>RICH FOODS-SELECT RESTAURANT</t>
  </si>
  <si>
    <t>Restaurants Partners</t>
  </si>
  <si>
    <t>TN-2015-07477 MUNICIPAL-RICHS</t>
  </si>
  <si>
    <t>BB SODEXO RICH FOB BREAD&amp;ROLLS</t>
  </si>
  <si>
    <t>BB SODEXO RICH FOB TOPPINGS</t>
  </si>
  <si>
    <t>RICHS CNU (DC)</t>
  </si>
  <si>
    <t>Christopher Newport University</t>
  </si>
  <si>
    <t>BB ARA FOB RICHS</t>
  </si>
  <si>
    <t>USDA-RICH N.KINGSTOWN SCHL</t>
  </si>
  <si>
    <t>SY 13 14 Blanket Jason Shanks</t>
  </si>
  <si>
    <t>EXECUTIVE RICH</t>
  </si>
  <si>
    <t>Executive Dining Biscuit</t>
  </si>
  <si>
    <t>RICHS FOOD PRODUCTS-HOLLAND</t>
  </si>
  <si>
    <t>Carnival/Cunard/Norw/Holland Cruise Billback</t>
  </si>
  <si>
    <t>FDBY FOB RICH</t>
  </si>
  <si>
    <t>RICH'S VA&amp;NC SCHOOL BLANKET</t>
  </si>
  <si>
    <t>BB SODEXO FOB RICHS TOPPINGS</t>
  </si>
  <si>
    <t>RICHS NEWPORT NEWS SCHOOLS</t>
  </si>
  <si>
    <t>SY 14 15 Newport News Virginia</t>
  </si>
  <si>
    <t>1003201 SAMST BOYD-RICHS</t>
  </si>
  <si>
    <t>RICH FOODS FOODBUY (186345)</t>
  </si>
  <si>
    <t>RICHS VB PORTS NTHUM SUFFOLK</t>
  </si>
  <si>
    <t>SY 14 15 Virginia Beach ISD</t>
  </si>
  <si>
    <t>RICH FDS(CORE)-AVI</t>
  </si>
  <si>
    <t>RICH FDS(NONC)-AVI</t>
  </si>
  <si>
    <t>LANDRYS FOB RICH</t>
  </si>
  <si>
    <t>RICHS CHOWAN COLLEGE</t>
  </si>
  <si>
    <t>RICH - SPARC FY2015</t>
  </si>
  <si>
    <t>BB DELAWARE NORTH FOB RICH</t>
  </si>
  <si>
    <t>RICHS NC SCHOOL BLANKET</t>
  </si>
  <si>
    <t>RICHS WILD WING CAFE</t>
  </si>
  <si>
    <t>RICH'S JOHNNY V'S</t>
  </si>
  <si>
    <t>Johhny V's Cafe</t>
  </si>
  <si>
    <t>Foodbuy   Healthcare &amp; Campus Rebate</t>
  </si>
  <si>
    <t>1030371 SHIPLEY DONUTS #1 &amp; #2</t>
  </si>
  <si>
    <t>Shipley Donuts</t>
  </si>
  <si>
    <t>RICH PROD REST PARTNERS</t>
  </si>
  <si>
    <t>BB SODEXO FOB RICH DOUGH ICING</t>
  </si>
  <si>
    <t>BB SODEXO FOB RICH TOPPINGS</t>
  </si>
  <si>
    <t>1013811 010 ISLECAPRI-RICHS</t>
  </si>
  <si>
    <t>RICHS CHESTERFIELD SCHLS</t>
  </si>
  <si>
    <t>7/1/2015   6/30/2016 Chesterfield County Public Schools</t>
  </si>
  <si>
    <t>RICHS MOVIE TAVERN</t>
  </si>
  <si>
    <t>52 Movie Tavern</t>
  </si>
  <si>
    <t>GRANITE CITY FOB RICH</t>
  </si>
  <si>
    <t>RICH-CALABRIA'S</t>
  </si>
  <si>
    <t>2015 Calabria deal thr Sysco Metro NY</t>
  </si>
  <si>
    <t>RICHS FOODBUY (PHR)</t>
  </si>
  <si>
    <t>BB SODEXO FOB RICH BREAD ROLLS</t>
  </si>
  <si>
    <t>RICH TREAT AMERICA</t>
  </si>
  <si>
    <t>RICH PROD.   MEC SCHLS</t>
  </si>
  <si>
    <t>PRG-1022821 MGM GLD-RICH-BB</t>
  </si>
  <si>
    <t>RICH PROD.  APC SCHOOLS</t>
  </si>
  <si>
    <t>RICH HILTON CORE WBB</t>
  </si>
  <si>
    <t>RICHS FLOUR-B198R</t>
  </si>
  <si>
    <t>(L)RICH FDS BB(FOODBUY-201827)</t>
  </si>
  <si>
    <t>(L)RICH B&amp;R BB C(SODX-201953)</t>
  </si>
  <si>
    <t>(L)RICH B&amp;R BB NC(SOD-201954)</t>
  </si>
  <si>
    <t>Fatz - Rich Products</t>
  </si>
  <si>
    <t>USDA-RICH'S ARAMARK B198</t>
  </si>
  <si>
    <t>(L)RICH PDGH BB NC(SOD-201981</t>
  </si>
  <si>
    <t>(L)RICH PDGH BB C(SOD-201980)</t>
  </si>
  <si>
    <t>RICH FOODS CSM CNSLT (FDBY)</t>
  </si>
  <si>
    <t>RICH-COLUMBIA UNIVERSITY</t>
  </si>
  <si>
    <t>Columbia University deal thr Sysco Metro NY</t>
  </si>
  <si>
    <t>RICH DC TBONZ</t>
  </si>
  <si>
    <t>T Bonz/Homegrown Hospitality</t>
  </si>
  <si>
    <t>TREAT RICHS</t>
  </si>
  <si>
    <t xml:space="preserve"> (L)RICH BB CORE(ARA-202661)</t>
  </si>
  <si>
    <t xml:space="preserve"> (L)RICH BB NCORE(ARA-202660)</t>
  </si>
  <si>
    <t>RICH PD1 URBAN AIR</t>
  </si>
  <si>
    <t>Urban Air Distributor</t>
  </si>
  <si>
    <t>RICH-SIMPLIFIED CULINARY</t>
  </si>
  <si>
    <t>RICH FDS BB CR PURCHASING FBY</t>
  </si>
  <si>
    <t>RICH FOODS  MIMI CAFE</t>
  </si>
  <si>
    <t>RICH FOODS NCORE-BOSTON</t>
  </si>
  <si>
    <t>RICH'S CARMEL CAFE</t>
  </si>
  <si>
    <t>Carmel Cafe</t>
  </si>
  <si>
    <t>BB SODEXO FOB RICH PIZ DGH ICN</t>
  </si>
  <si>
    <t>BB DELAWARE FOB RICHS</t>
  </si>
  <si>
    <t>RICH-COOKIES CHOCOLATE FACTORY</t>
  </si>
  <si>
    <t>Chocolate Factory</t>
  </si>
  <si>
    <t>RICHS FOUR SEASONS</t>
  </si>
  <si>
    <t>Four Seasons</t>
  </si>
  <si>
    <t>BB CKI FOB RICHS</t>
  </si>
  <si>
    <t>BB GRANITE CITY FOB RICHS</t>
  </si>
  <si>
    <t>BL-2016-07822 SCHL BLNKT-RICHS</t>
  </si>
  <si>
    <t>RPI RICHS FOODS</t>
  </si>
  <si>
    <t>UNITED DELI&amp;GROCERY RICH</t>
  </si>
  <si>
    <t>United Deli &amp; Grocery</t>
  </si>
  <si>
    <t>PEARL RIVER RESORT RICH</t>
  </si>
  <si>
    <t>Pearl River Casino</t>
  </si>
  <si>
    <t>RICHS-CARNIVAL</t>
  </si>
  <si>
    <t>RICH RESTAURANT PARTNERS</t>
  </si>
  <si>
    <t>RICH PROD.-AVI</t>
  </si>
  <si>
    <t>RICHS TREAT AMERICA</t>
  </si>
  <si>
    <t>RICH-WORLD OF BEER</t>
  </si>
  <si>
    <t>RICH'S K12</t>
  </si>
  <si>
    <t>RICH'S   K-12</t>
  </si>
  <si>
    <t>BB COLDSTONE FOB RICHS</t>
  </si>
  <si>
    <t>RICH FOODS COUNTRY KITCHEN</t>
  </si>
  <si>
    <t>RICH U OF I HOSPITAL</t>
  </si>
  <si>
    <t>52 03 Univ of Iowa Hospital</t>
  </si>
  <si>
    <t xml:space="preserve"> CAESARS--RICH PROD</t>
  </si>
  <si>
    <t>RICH - CHARTWELL SWIM CLUB</t>
  </si>
  <si>
    <t>2015 Chartwells Swin Club deal thr Sysco PHY</t>
  </si>
  <si>
    <t>RICH'S DOD NAPA</t>
  </si>
  <si>
    <t>TN-2015-07477 MUNI-RICH(EXPIRE</t>
  </si>
  <si>
    <t>TN-2015-06948 CHICK-RICH(EXPIR</t>
  </si>
  <si>
    <t>7/1/2015   6/30/2016 Chickasaw Shiloh Area Partnership</t>
  </si>
  <si>
    <t>BL-15-06768 SCHK12-RICH(204325</t>
  </si>
  <si>
    <t>(L)RICH FDS BB(FDBUY-206569)</t>
  </si>
  <si>
    <t>BB ARA MAIN FOB RICHS</t>
  </si>
  <si>
    <t>Z RICH PROD LUCKY STRIKE</t>
  </si>
  <si>
    <t>lucky strike deviated program</t>
  </si>
  <si>
    <t>RICH PIZZA&amp;ICING-SODEXO(207142</t>
  </si>
  <si>
    <t>BLANKET SCHL BID RICH PRODUCTS</t>
  </si>
  <si>
    <t>RICH FOR ZOOT CAFE</t>
  </si>
  <si>
    <t>Cafe Zoot</t>
  </si>
  <si>
    <t>RICH BREAD ROLL-SODEXO 207246</t>
  </si>
  <si>
    <t>RICHS FRANKLIN BOWLING CENTER</t>
  </si>
  <si>
    <t>Franklin Bowling Center</t>
  </si>
  <si>
    <t>BB DELAWRE DPM FIX RICH</t>
  </si>
  <si>
    <t>BB FDBY DPM FIX RICH</t>
  </si>
  <si>
    <t>RICH FDS BEAU RIVAGE</t>
  </si>
  <si>
    <t>RICH'S PINCO</t>
  </si>
  <si>
    <t>RICH IPIC</t>
  </si>
  <si>
    <t>IPIC Entertainment</t>
  </si>
  <si>
    <t>RICHS ROCKAFELLERS</t>
  </si>
  <si>
    <t>Rockafeller's Restaurant</t>
  </si>
  <si>
    <t>RICH PRODUCT SAM &amp; LOUIE'S</t>
  </si>
  <si>
    <t>BB PINNACLE FOB RICH</t>
  </si>
  <si>
    <t>52 02 167 Pinnacle Entertainment</t>
  </si>
  <si>
    <t>RICH'S-FB COMM BARMUDA</t>
  </si>
  <si>
    <t>RICH'S SAM &amp; GREG'S</t>
  </si>
  <si>
    <t>Sam &amp; Gregs</t>
  </si>
  <si>
    <t>RICH FOODS BB LANDRYS</t>
  </si>
  <si>
    <t>RICH FOODS-SYSCO SHARES</t>
  </si>
  <si>
    <t>RICH LOOP PIZZA</t>
  </si>
  <si>
    <t>ISLE OF CARPI RICH PRODUCTS</t>
  </si>
  <si>
    <t>RICH FDS CORE BB(ARA-208557)</t>
  </si>
  <si>
    <t>RICH FDS NC BB(ARA-208558)</t>
  </si>
  <si>
    <t>(L)RICH CORE BB(ARA-208461)</t>
  </si>
  <si>
    <t>(L)RICH NC BB(ARA-208460)</t>
  </si>
  <si>
    <t>RICHS CENTRAL COLLEGE</t>
  </si>
  <si>
    <t>Central College</t>
  </si>
  <si>
    <t>RICH DC INDIGO ROAD</t>
  </si>
  <si>
    <t>Stu's Surfside Subs</t>
  </si>
  <si>
    <t>RICH'S BROTHERS PIZZA</t>
  </si>
  <si>
    <t>Brother's Pizza</t>
  </si>
  <si>
    <t>RICH'S BOY SCOUTS</t>
  </si>
  <si>
    <t>Boy Scouts Tidewater Division</t>
  </si>
  <si>
    <t>RICHS BLACKSTONE REDS ALEHOUSE</t>
  </si>
  <si>
    <t>Red's Alehouse</t>
  </si>
  <si>
    <t>RICH PROD SENIOR CARE-MARTHA</t>
  </si>
  <si>
    <t>RICH'S ADVENTURELAND</t>
  </si>
  <si>
    <t>52 03 Adventureland</t>
  </si>
  <si>
    <t>PRG-1022821 MGM GLD-RICH</t>
  </si>
  <si>
    <t>RICHS XANTERRA (DC)</t>
  </si>
  <si>
    <t>Kingsmill Resort &amp; Spa</t>
  </si>
  <si>
    <t>RICHS SWEET DOUGH-SODEXO(20933</t>
  </si>
  <si>
    <t>RICH FOODS-SPAGHETTI WAREHOUSE</t>
  </si>
  <si>
    <t>COLDSTONE FOB RICHS</t>
  </si>
  <si>
    <t>(L)RICH PIZZA(777755)(SOD-EXP)</t>
  </si>
  <si>
    <t>RICHS NCORE BB ARAMARK EX SSS</t>
  </si>
  <si>
    <t>RICHS  RENOS</t>
  </si>
  <si>
    <t>2013 Reno's pricing program</t>
  </si>
  <si>
    <t>RICHS CAFE SERVICES</t>
  </si>
  <si>
    <t>RICHS-SAPP BROTHERS</t>
  </si>
  <si>
    <t>52 01 Sapp Brothers</t>
  </si>
  <si>
    <t>RICH'S B198 USDA NOI 2017 2018</t>
  </si>
  <si>
    <t>RICH'S B077 USDA NOI 2017 2018</t>
  </si>
  <si>
    <t>RICH FOOD-ARAMARK(210652)</t>
  </si>
  <si>
    <t>Z RICH PROD   CEDAR POINT</t>
  </si>
  <si>
    <t>Cedar Fair 2017</t>
  </si>
  <si>
    <t>RICH WORLD OF BEER</t>
  </si>
  <si>
    <t>MONROE CITY SCHL RICH PRODUCTS</t>
  </si>
  <si>
    <t>SY14 15  Sysco Jackson (MS)</t>
  </si>
  <si>
    <t>BB GRANITE CITY FOB RICH</t>
  </si>
  <si>
    <t>RICHLAND PARISH RICH PRODUCTS</t>
  </si>
  <si>
    <t>RICHS DEPT OF DEFENSE</t>
  </si>
  <si>
    <t>USDA RICH FOODS           B198</t>
  </si>
  <si>
    <t>RICH   TREAT AMERICA</t>
  </si>
  <si>
    <t>JACKSON PUB SCHL RICH PRDTS</t>
  </si>
  <si>
    <t>Jackson Public Schools MS 2014 06300</t>
  </si>
  <si>
    <t>RICHS   NCBG</t>
  </si>
  <si>
    <t>RICH PROD GLACIER RST GRP</t>
  </si>
  <si>
    <t>SODEXO FOB BRD&amp;RLS RICHS</t>
  </si>
  <si>
    <t>RICH'S   ROCHESTER DELI</t>
  </si>
  <si>
    <t>The Rochester Deli Roll Dough</t>
  </si>
  <si>
    <t>RICH K-12 NAT SCHOOL BID</t>
  </si>
  <si>
    <t>RICH'S B198 NOI P2 2017 2018</t>
  </si>
  <si>
    <t>RICHS MOVIE TAVERN(CC)</t>
  </si>
  <si>
    <t>RICH'S B198 NOI P3 2017 2018</t>
  </si>
  <si>
    <t>RICH FOODS-AVENDRA</t>
  </si>
  <si>
    <t>52 Avendra Dev Pricing</t>
  </si>
  <si>
    <t>RICH VARIETY-ARAMARK(211788)</t>
  </si>
  <si>
    <t>RICH FOODS-DINING ALLIANCE</t>
  </si>
  <si>
    <t>RICH NH BUYING GRP OVRD K-12</t>
  </si>
  <si>
    <t>Buying Group of New Hampshire   K 12 Program 2014/2015</t>
  </si>
  <si>
    <t>RICH FDS(CORE W BB)-AVI</t>
  </si>
  <si>
    <t>RICH FOODS WESLEY FDBY</t>
  </si>
  <si>
    <t>RICH FDS CORE BB-SSS ARAMARK</t>
  </si>
  <si>
    <t>RICH PROD STEAK N SHAKE</t>
  </si>
  <si>
    <t>Steak n Shake</t>
  </si>
  <si>
    <t>RICHS NC BB-DELAWARE</t>
  </si>
  <si>
    <t>RICH BLANKET SCHOOL DEAL</t>
  </si>
  <si>
    <t>RICH PROD   SCHLS K-12</t>
  </si>
  <si>
    <t>RICH FOODS  HARRAH CAESAR</t>
  </si>
  <si>
    <t>RICH'S B198 NOI  P4 2017 18</t>
  </si>
  <si>
    <t>rich foods-granite city</t>
  </si>
  <si>
    <t>RICHS PIZZA&amp;ICING-SODEXO(21308</t>
  </si>
  <si>
    <t>RICH'S CAPT GEORGES</t>
  </si>
  <si>
    <t>Captain Georges</t>
  </si>
  <si>
    <t>RICH FOODS LANDRYS (CORE-BB)</t>
  </si>
  <si>
    <t>RICH'S B198 5 NOI 2017-2018</t>
  </si>
  <si>
    <t>8/1/2015   7/31/2016 Advanced Purchasing Company (APC)</t>
  </si>
  <si>
    <t>USDA RICH NH SCHOOLS</t>
  </si>
  <si>
    <t>RICHS TREAT AMERICA-LOCAL</t>
  </si>
  <si>
    <t>RICH'S B198 P6 NOI 2017 2018</t>
  </si>
  <si>
    <t>RICH FOODS-CKI</t>
  </si>
  <si>
    <t>RICHS VA BEACH SCHL GROUP</t>
  </si>
  <si>
    <t>7/1/2015   6/30/2016 Virginia Beach City</t>
  </si>
  <si>
    <t>RICHS CHESTERFIELD VA201506823</t>
  </si>
  <si>
    <t>RICHS VA&amp;NC SCHLS BL201506768</t>
  </si>
  <si>
    <t>RICHS NC SCHOOLS VA201506973</t>
  </si>
  <si>
    <t>BB FDBY FOB RICHS</t>
  </si>
  <si>
    <t>BB ARA SSS FOB NC RICHS</t>
  </si>
  <si>
    <t>BB HILTON DPM FX NCORE RICH</t>
  </si>
  <si>
    <t>8/1/2016   7/31/2017 S.C. Foodservice Purchasing Alliance  Inc.</t>
  </si>
  <si>
    <t>RICHS SAPP BROS LP OINV</t>
  </si>
  <si>
    <t>Rich BB DQ</t>
  </si>
  <si>
    <t>RICHS-WORLD OF BEER</t>
  </si>
  <si>
    <t>RICH FOODS-FOODBUY(214428</t>
  </si>
  <si>
    <t>BB DELAWARE DPMFX CR RICH</t>
  </si>
  <si>
    <t>BB DELAWARE FOB CR RICH</t>
  </si>
  <si>
    <t>BB DELAWARE FOB NC RICH</t>
  </si>
  <si>
    <t>BB SODEXO FOB NC FIX RICH</t>
  </si>
  <si>
    <t>RICH EMAGINE</t>
  </si>
  <si>
    <t>RICH CC GRNVLE CNTY SCHL</t>
  </si>
  <si>
    <t>7/1/2016   6/30/2017 Greenville County Schools</t>
  </si>
  <si>
    <t>RICHS  BREADBOARDS 1012396</t>
  </si>
  <si>
    <t>52 Breadboards</t>
  </si>
  <si>
    <t>RICH PROD MONTANA SUB SHOP</t>
  </si>
  <si>
    <t>52 03 334 Montana Sub Shop  Great Falls</t>
  </si>
  <si>
    <t>RICH'S FLOUR B198R</t>
  </si>
  <si>
    <t>RICH'S TOWN PUMP 1014949</t>
  </si>
  <si>
    <t>52 334 Town Pump SFS Montana</t>
  </si>
  <si>
    <t>USDA-RICH ARA RI SCHOOLS</t>
  </si>
  <si>
    <t>BB SODEXO FOB NC RICH BRD&amp;ROLL</t>
  </si>
  <si>
    <t>RICH'S  JCPS</t>
  </si>
  <si>
    <t>AFNAF NC DPM RICHS</t>
  </si>
  <si>
    <t>RICH 4 RIVERS BBQ</t>
  </si>
  <si>
    <t>Four Rivers Smokehouse</t>
  </si>
  <si>
    <t>RICH BREAD &amp; ROLL-SODEXO(21489</t>
  </si>
  <si>
    <t>RICH FOODS MAIN-ARAMARK(214796</t>
  </si>
  <si>
    <t>BB HILTON FOB NC RICH</t>
  </si>
  <si>
    <t>USDA RICH SODEXO (RI-L28190)</t>
  </si>
  <si>
    <t>BB PINNACLE FOB NC RICHS</t>
  </si>
  <si>
    <t>HUBERS  RICH'S</t>
  </si>
  <si>
    <t>2013 Hubers Winery</t>
  </si>
  <si>
    <t>RICH-AVENDRA</t>
  </si>
  <si>
    <t>Avendra Deviated Pricing</t>
  </si>
  <si>
    <t>RICHS WASSERHUND BREWING</t>
  </si>
  <si>
    <t>Wasserhund Brewing Company</t>
  </si>
  <si>
    <t>BB CKI FOB NC RICHS</t>
  </si>
  <si>
    <t>RICH CC WOODY'S BBQ</t>
  </si>
  <si>
    <t>52 Woody's</t>
  </si>
  <si>
    <t>RICH'S  DAIRY QUEEN</t>
  </si>
  <si>
    <t>TREAT RICH'S $ OFF</t>
  </si>
  <si>
    <t>RICH FOODS-PINNACLE ENT.</t>
  </si>
  <si>
    <t>RICH'S NC SUBWAY</t>
  </si>
  <si>
    <t>RICH'S WORLD OF BEER</t>
  </si>
  <si>
    <t>USDA RICH PEMBROKE&amp;GILFORD NH</t>
  </si>
  <si>
    <t>RICH PRODUCTS-FOODBUY(216765)</t>
  </si>
  <si>
    <t>RICH'S BD'S MONGOLIAN</t>
  </si>
  <si>
    <t>BD'S Mongolian Barbeque</t>
  </si>
  <si>
    <t>RICHS  CAFE SERVICES</t>
  </si>
  <si>
    <t>Cafe Services   Corporate Dining and Camp product usage rebate.</t>
  </si>
  <si>
    <t>RICH'S  CAFE SERVICES RETAIL</t>
  </si>
  <si>
    <t>RICH'S GLENDALE CAFE SERVICES</t>
  </si>
  <si>
    <t>Cafe Services   Glendale Senior Living rebate program</t>
  </si>
  <si>
    <t>RICH FOODS BIG STEER</t>
  </si>
  <si>
    <t>Big Steer Operator Program</t>
  </si>
  <si>
    <t>BB ARA EX SSS FOB NC RICHS</t>
  </si>
  <si>
    <t>TX ROADHOUSE RICH PRODUCTS</t>
  </si>
  <si>
    <t>Texas Roadhouse OI</t>
  </si>
  <si>
    <t xml:space="preserve"> STAR BUFFET(CORE)--RICH(OR)</t>
  </si>
  <si>
    <t>RICH'S-SPARTAN CNTL KITCHEN</t>
  </si>
  <si>
    <t>52 02 114 Spartan Central Kitchen</t>
  </si>
  <si>
    <t>RICH  KINGS DOMINION DC</t>
  </si>
  <si>
    <t>Kings Dominion Doswell</t>
  </si>
  <si>
    <t>BB  SODEXO FOB RICH ICNG DGH</t>
  </si>
  <si>
    <t>RICH'S COLUMBIA STEAK HOUSE</t>
  </si>
  <si>
    <t>2013 Columbia Steak House</t>
  </si>
  <si>
    <t>RICH PRODUCTS LATITUDE 30</t>
  </si>
  <si>
    <t xml:space="preserve">Latitude 30 (360) </t>
  </si>
  <si>
    <t>RICH PROD RIB &amp; CHOPHSE</t>
  </si>
  <si>
    <t>52 03 334 SFS MONTANA</t>
  </si>
  <si>
    <t>RICH PROD HOMETOWN DELI</t>
  </si>
  <si>
    <t>52 01 109 Hometown Deli Rebate</t>
  </si>
  <si>
    <t>RICH PRODUCTS-FOODBUY(218330)</t>
  </si>
  <si>
    <t>RICH H&amp;H CAMPS 2014</t>
  </si>
  <si>
    <t>H &amp; H Purchasing</t>
  </si>
  <si>
    <t>RICH PRODUCTS NAPA</t>
  </si>
  <si>
    <t>RICHS FOR OSAKA GRILL</t>
  </si>
  <si>
    <t>RICH FOODS FOODBUY (218954)</t>
  </si>
  <si>
    <t>RICH'S  H&amp;H</t>
  </si>
  <si>
    <t>STAR BUFFET(NC)--RICH(OR)</t>
  </si>
  <si>
    <t>RICH FOODS-RUTGERS 2015</t>
  </si>
  <si>
    <t>Rutgers University 2015.2016 deal</t>
  </si>
  <si>
    <t>GREENBERRYS RICHS</t>
  </si>
  <si>
    <t>SYSCO /  Greenberry's Coffee &amp; Tea</t>
  </si>
  <si>
    <t>RICH COUNTRY ROADS</t>
  </si>
  <si>
    <t>SY 14 15 Country Roads Virginia</t>
  </si>
  <si>
    <t>1022573 HUMDINGERS RICH PRD</t>
  </si>
  <si>
    <t>RICHS CORKY'S BBQ</t>
  </si>
  <si>
    <t>1019561 SAMSTOWN(RICH-245072)</t>
  </si>
  <si>
    <t>1003201 SAMSTOWN(RICH-245072)</t>
  </si>
  <si>
    <t>RICH FOODS BB-FOODBUY(219568)</t>
  </si>
  <si>
    <t>RICH PRODUCTS B198</t>
  </si>
  <si>
    <t>RICH FOODS-ARAMARK UVA RETRO</t>
  </si>
  <si>
    <t>RICH   STROUDSMOOR INN</t>
  </si>
  <si>
    <t>2014 Market Wide PA Deal</t>
  </si>
  <si>
    <t>FOODBUY-RICH FOODS</t>
  </si>
  <si>
    <t>RICHS PRESS BOX</t>
  </si>
  <si>
    <t>Press Box</t>
  </si>
  <si>
    <t xml:space="preserve">RICH FOODS- MIMI </t>
  </si>
  <si>
    <t>RICH BLANKET</t>
  </si>
  <si>
    <t>TOM LEONARDS RICH'S</t>
  </si>
  <si>
    <t>Tom Leonards Farmers Market</t>
  </si>
  <si>
    <t>RICH SUGAR BAKERS BILL SFDS</t>
  </si>
  <si>
    <t>SEM / Sugar Bakers / Bill's Seafood</t>
  </si>
  <si>
    <t>RICH'S K12 SCHOOLS</t>
  </si>
  <si>
    <t>RICH'S DELAWARE PARK</t>
  </si>
  <si>
    <t>SEM /  Delaware Park/Ocean Downs</t>
  </si>
  <si>
    <t>RICH PRODUCTS DOUGH ROLLER</t>
  </si>
  <si>
    <t>SEM / Dough Roller</t>
  </si>
  <si>
    <t>RICH SEACRETS</t>
  </si>
  <si>
    <t>Seacrets</t>
  </si>
  <si>
    <t>RICH FOODS BB-MAX BRENNER</t>
  </si>
  <si>
    <t>RICHS SMBSD</t>
  </si>
  <si>
    <t>RICH FOODS NONCORE BB-PINNACLE</t>
  </si>
  <si>
    <t>BB PINNACLE CR DPM RICHS</t>
  </si>
  <si>
    <t>BB PINNACLE NC DPM RICHS</t>
  </si>
  <si>
    <t>BB SODEXO FOB RICH DOGH&amp;ICING</t>
  </si>
  <si>
    <t>RPI RICHS FOODS NON CORE</t>
  </si>
  <si>
    <t>RICH'S FREDERICK</t>
  </si>
  <si>
    <t>SY 14 15 Frederick County Virginia</t>
  </si>
  <si>
    <t>RICH PRODUCTS DOD NAPA</t>
  </si>
  <si>
    <t>BB SODEXO FOB RICH SW DOUGH</t>
  </si>
  <si>
    <t>BB FORUM FOB RICH</t>
  </si>
  <si>
    <t>RICHS (BB) NONCORE AFNAF</t>
  </si>
  <si>
    <t>RICH'S-ARAMARK EX-SSS (221933)</t>
  </si>
  <si>
    <t>RICH PRODUCTS-FB  IPIC</t>
  </si>
  <si>
    <t>RICH FOODS BB-FOODBUY RETRO</t>
  </si>
  <si>
    <t>RICH FOODS BB-FB  IPIC</t>
  </si>
  <si>
    <t>BLNKTSCHL RICHS</t>
  </si>
  <si>
    <t>RICH PRODUCTS PARX</t>
  </si>
  <si>
    <t xml:space="preserve">Parx Casino deal </t>
  </si>
  <si>
    <t>TRAVINIA-RICH'S CHEESECAKE</t>
  </si>
  <si>
    <t>RICH PRODUCTS LITTLE ITALY</t>
  </si>
  <si>
    <t>SEM / Little Italy</t>
  </si>
  <si>
    <t>RICHS WATERMANS</t>
  </si>
  <si>
    <t>SEM / Watermans</t>
  </si>
  <si>
    <t>RICH BREAD &amp; ROLLS-SOD RETRO</t>
  </si>
  <si>
    <t>RICH BREAD&amp;ROLLS-SOD  RETRO</t>
  </si>
  <si>
    <t>BB HILTON FOB RICH NC</t>
  </si>
  <si>
    <t>RICH-100912-B198-SUNMAN</t>
  </si>
  <si>
    <t>RICH-110244-B077-RICHMOND</t>
  </si>
  <si>
    <t>USDA-RICHS ARA RI K-12 SCHLS</t>
  </si>
  <si>
    <t>RICH FOODS BB-FOODBUY  RETRO</t>
  </si>
  <si>
    <t>RICH REST PARTNER NONCORE</t>
  </si>
  <si>
    <t>RICH FOODS HILTON NONCORE RETR</t>
  </si>
  <si>
    <t>BB FDBY DPM FX RICH FOB</t>
  </si>
  <si>
    <t>BB AFNAF RICHS</t>
  </si>
  <si>
    <t>BB SODEXO DPMFX FOB RICH</t>
  </si>
  <si>
    <t>BB SODEXO DOUGH DPMFX FOB RICH</t>
  </si>
  <si>
    <t>BB SODEXO BREAD DPMFX FOB RICH</t>
  </si>
  <si>
    <t>USDA-RICH'S ARAMARK-NJ-B198</t>
  </si>
  <si>
    <t>USDA-RICH'S ARAMARK-NY-B198</t>
  </si>
  <si>
    <t>Woody's</t>
  </si>
  <si>
    <t>RICH PRODUCTS-UPC SCHOOLS</t>
  </si>
  <si>
    <t>SY 14 15 Unified Purchasing Coop</t>
  </si>
  <si>
    <t>PEARL RIVER RESORT PAR WAY</t>
  </si>
  <si>
    <t>BB AFNAF DPM RICHS</t>
  </si>
  <si>
    <t>RICH FOODS-BUSCH ENT</t>
  </si>
  <si>
    <t>Sea World   Busch Gardens BB program</t>
  </si>
  <si>
    <t>RICH'S FBY  BARMUDA</t>
  </si>
  <si>
    <t>RICHS FOODS BB-FOODBUY RETRO</t>
  </si>
  <si>
    <t>RICH-TREAT AMERICA</t>
  </si>
  <si>
    <t>CASSANOS RICHS</t>
  </si>
  <si>
    <t>BB SODEXO FOB RICHS SWEET</t>
  </si>
  <si>
    <t>RICH PROD-BURGATORY FUEL &amp; FUD</t>
  </si>
  <si>
    <t>52 01 116 Burgatory</t>
  </si>
  <si>
    <t>BB ARA NC DPM RICHS</t>
  </si>
  <si>
    <t>DELHI   RICHS</t>
  </si>
  <si>
    <t>8/1/2015   5/31/2016 Delhi Charter School   Agency</t>
  </si>
  <si>
    <t>USDA 100912 RICH PRODUCTS</t>
  </si>
  <si>
    <t>MOVIE TAVERN-RICH</t>
  </si>
  <si>
    <t>8/1/2015   7/31/2016 Jackson Public School District</t>
  </si>
  <si>
    <t>RICH FOODS FDBUY-U OF M (BB)</t>
  </si>
  <si>
    <t>LA COOP  RICH PRODUCTS</t>
  </si>
  <si>
    <t>0262 RICH NAPA</t>
  </si>
  <si>
    <t>MONROE CITY SCHL RICH PRODS</t>
  </si>
  <si>
    <t>8/1/2015   7/31/2016 City Of Monroe School Board</t>
  </si>
  <si>
    <t>RICHS BETHPAGE CAMP GROUND</t>
  </si>
  <si>
    <t>Bethpage Camp Ground</t>
  </si>
  <si>
    <t>BB ARA FOB NC RICHS</t>
  </si>
  <si>
    <t>Rich's Garden Fresh Sprtd</t>
  </si>
  <si>
    <t>52 02 144 Garden Fresh Rebate</t>
  </si>
  <si>
    <t>RICHS NC SCHOOLS NC201607962</t>
  </si>
  <si>
    <t>RICHS VA SCHOOLS BL201607822</t>
  </si>
  <si>
    <t>RICH'S SU</t>
  </si>
  <si>
    <t>SEM / Salisbury State</t>
  </si>
  <si>
    <t>RICH WINCHESTER</t>
  </si>
  <si>
    <t>RICH'S Y C</t>
  </si>
  <si>
    <t>RICHS AMHERST</t>
  </si>
  <si>
    <t>SY 14 15 Amherst County Virginia</t>
  </si>
  <si>
    <t>RICHS NORTHSTAR CASINO</t>
  </si>
  <si>
    <t>Mohican North Star Casino  Resort Pizza</t>
  </si>
  <si>
    <t>BB GRANITE DPMFX RICHS</t>
  </si>
  <si>
    <t>RICHS VB FIELDHSE 1033624001</t>
  </si>
  <si>
    <t>Virginia Beach Field House</t>
  </si>
  <si>
    <t>BL201708970 SCHL BLNKT--RICHS</t>
  </si>
  <si>
    <t>RICH CHARLOTTESVILLE</t>
  </si>
  <si>
    <t>SY 14 15 Charlottesville City Public Virginia</t>
  </si>
  <si>
    <t>RICH FDS CORE BB ARAMARK</t>
  </si>
  <si>
    <t>RICH FDS NCORE BB ARAMARK</t>
  </si>
  <si>
    <t>BB SODEXO FOB RICH PIZZA DOUGH</t>
  </si>
  <si>
    <t>BB CKI DPM CR RICHS</t>
  </si>
  <si>
    <t>RICH CORE-AVENDRA</t>
  </si>
  <si>
    <t>RICH'S B198 NOI 2018 2019</t>
  </si>
  <si>
    <t>RICH'S B198 NOI 2  2018 2019</t>
  </si>
  <si>
    <t>RICHS CHESTER SCHLS 201607927</t>
  </si>
  <si>
    <t>RICH'S (NCOR) RUTHS CHRIS</t>
  </si>
  <si>
    <t>RICH PRODUCTS OGS</t>
  </si>
  <si>
    <t>New York State OGS</t>
  </si>
  <si>
    <t>RICH FD BB CR PURCHASING FBY</t>
  </si>
  <si>
    <t>RICH TAHER</t>
  </si>
  <si>
    <t>RICH PRODUCTS SUMMER NO SHOW</t>
  </si>
  <si>
    <t>SYSCO Central Alabama Summer No Show Food Show</t>
  </si>
  <si>
    <t>RICH PRODCUST DUVAL SCHOOL</t>
  </si>
  <si>
    <t>7/1/2015   6/30/2016 Duval County School District</t>
  </si>
  <si>
    <t>RICHS   K-12</t>
  </si>
  <si>
    <t>BB SODEXO FOB RICHS</t>
  </si>
  <si>
    <t>RICH'S   GATEWAY</t>
  </si>
  <si>
    <t>2013.2014 Your Game Bar &amp; Grille/Gateway Travel Plaza rebate thr Ettline &amp; Reinhart</t>
  </si>
  <si>
    <t>CARNCORP   RICH</t>
  </si>
  <si>
    <t>RICHS SCHOOL BLANKET</t>
  </si>
  <si>
    <t>RICH PRODUCTS K-12 BLANKET</t>
  </si>
  <si>
    <t>RICH DAIRY QUEEN</t>
  </si>
  <si>
    <t>RICHS FOODS BB-FB  IPIC</t>
  </si>
  <si>
    <t>RICHS VA BEACH SCHL GRP</t>
  </si>
  <si>
    <t>7/1/2016   6/30/2017 Virginia Beach City</t>
  </si>
  <si>
    <t>RICHS GLOUC SCHLS 201608592</t>
  </si>
  <si>
    <t>RICH   PA RENAISSANCE FAIR</t>
  </si>
  <si>
    <t>2014 Mt Hope deal thr Sysco CPA</t>
  </si>
  <si>
    <t>cold stone bettercreme issues</t>
  </si>
  <si>
    <t>BB LANDRYS DPMFX CORE RICH</t>
  </si>
  <si>
    <t>RICHS BREAD DOUGH MAIN ST CAFE</t>
  </si>
  <si>
    <t>Main Street Cafe &amp; Bakery</t>
  </si>
  <si>
    <t>RICH AFNAF OCOBUS</t>
  </si>
  <si>
    <t>VILLAGE TAVERN-RICHS</t>
  </si>
  <si>
    <t>RICH PROD BLIMPIE</t>
  </si>
  <si>
    <t>Blimpie flatbread</t>
  </si>
  <si>
    <t>WOB - RICH'S $ OFF</t>
  </si>
  <si>
    <t>IHOP RICH'S</t>
  </si>
  <si>
    <t>Yuba City Unified SD</t>
  </si>
  <si>
    <t>BB SODEXO FOB RICHS PIZZA DOUG</t>
  </si>
  <si>
    <t>BB SODEXO FOB RICHS NC PIZA DG</t>
  </si>
  <si>
    <t>RICH FOOD BB-BOSTON PIZZA</t>
  </si>
  <si>
    <t>RICH   OGS</t>
  </si>
  <si>
    <t>CASA DIBERTACCHI  MAIN ARAMARK</t>
  </si>
  <si>
    <t>MMI HLTH BB RICHS</t>
  </si>
  <si>
    <t>RICHS DC WORLD OF BEER</t>
  </si>
  <si>
    <t>RICH FDS-NCBB ARAMARK RETRO F8</t>
  </si>
  <si>
    <t>RICH FDS-CORE BB ARAMARK MN F8</t>
  </si>
  <si>
    <t>USDA-B198R RICH'S FLOUR</t>
  </si>
  <si>
    <t>RICH PRODUCT   BCIU</t>
  </si>
  <si>
    <t>July Dec 2014 Berks County Intermediate Unit (BCIU)</t>
  </si>
  <si>
    <t>BB ARA EX SSS FOB RICHS</t>
  </si>
  <si>
    <t>RICH'S CKI</t>
  </si>
  <si>
    <t>TREAT AMERICA RICHS</t>
  </si>
  <si>
    <t>RICH   KUTZTOWN TAVERN</t>
  </si>
  <si>
    <t>2015 Kutztown Tavern deal thr Sysco CPA</t>
  </si>
  <si>
    <t>RICH PRODUCT   CAFCO</t>
  </si>
  <si>
    <t>7/1/2015   6/30/2016 CAFCO CO OP</t>
  </si>
  <si>
    <t>RICHS (NCOR) RUTHS CHRIS</t>
  </si>
  <si>
    <t>RICHS OSCAR PIZZA</t>
  </si>
  <si>
    <t>52 03 Oscar's Pizza</t>
  </si>
  <si>
    <t>RICH ISLES PIZZA</t>
  </si>
  <si>
    <t>Isles Restaurant</t>
  </si>
  <si>
    <t>RICH FDS CR PURCHASING FBY</t>
  </si>
  <si>
    <t>Casa Dibertacchi-aramark</t>
  </si>
  <si>
    <t>RICH'S  ASPEN CREEK</t>
  </si>
  <si>
    <t>Northwestern Mutual</t>
  </si>
  <si>
    <t>PARTY SAFARI RICH</t>
  </si>
  <si>
    <t>Party Safari</t>
  </si>
  <si>
    <t>BB COLDSTONE CR FOB RICHS BETT</t>
  </si>
  <si>
    <t>BB COLDSTONE NC FOB RICHS BETT</t>
  </si>
  <si>
    <t>RICH FOODS-ELIOR TRUSTHOUSE</t>
  </si>
  <si>
    <t>3/30/2015   12/31/2015 Jefferson County Kentucky</t>
  </si>
  <si>
    <t>MMI HTLCARE RICHS</t>
  </si>
  <si>
    <t>RICH CC JET FOOD STORES</t>
  </si>
  <si>
    <t>PAPPAS PIZZA RICH PRODUCTS</t>
  </si>
  <si>
    <t>RICHS BOSSELMANS</t>
  </si>
  <si>
    <t>Bosselmans</t>
  </si>
  <si>
    <t>RICH PROD.   MEC SCHOOLS</t>
  </si>
  <si>
    <t>RICH FOODS-CSM CNSLT-FDBY</t>
  </si>
  <si>
    <t>RICHS-MHCOOP</t>
  </si>
  <si>
    <t>MOUNTAINEER HIGHLAND COOP</t>
  </si>
  <si>
    <t>RICH PRODUCTS WINDY CITY PIZZA</t>
  </si>
  <si>
    <t>Windy City Pizza Virginia Beach and Chesapeake</t>
  </si>
  <si>
    <t>Richs Toppings-Sodexo</t>
  </si>
  <si>
    <t>AMERICAN FOOD &amp; VENDING-RICH'S</t>
  </si>
  <si>
    <t>American Food &amp; Vending 2016</t>
  </si>
  <si>
    <t>RICH'S FOODS OFF LUCKY STRIKE</t>
  </si>
  <si>
    <t>RICH PRODUCT-HIBACHI ASIAN GRI</t>
  </si>
  <si>
    <t>BRICK OVEN &amp; FRAZIER-RICH</t>
  </si>
  <si>
    <t>Brick Oven Pizza and Frazier's Tavern</t>
  </si>
  <si>
    <t>BB PINNACLE CR FOB RICHS</t>
  </si>
  <si>
    <t>BB CKI CR FOB RICHS</t>
  </si>
  <si>
    <t>BB CKI NC FOB RICHS</t>
  </si>
  <si>
    <t>BB LANDRYS FOB CR RICH</t>
  </si>
  <si>
    <t>BLACK BEAR RICH PRODUCTS</t>
  </si>
  <si>
    <t>Black Bear Diner</t>
  </si>
  <si>
    <t>SONNY'S  RICH'S</t>
  </si>
  <si>
    <t>RESTAURANT PARTNERS-RICH FOODS</t>
  </si>
  <si>
    <t>VALENTINO'S RICH'S</t>
  </si>
  <si>
    <t>Valentinos</t>
  </si>
  <si>
    <t>RICHS SUPER STOPS           EB</t>
  </si>
  <si>
    <t>Country Girls</t>
  </si>
  <si>
    <t>RICHS HASTI-MART            EB</t>
  </si>
  <si>
    <t>Hasti Mart</t>
  </si>
  <si>
    <t>RICHS QUIGLEY'S             EB</t>
  </si>
  <si>
    <t>Quigley's General Store</t>
  </si>
  <si>
    <t>RICH PROD.   APC SCHOOLS</t>
  </si>
  <si>
    <t>8/11/2015   8/10/2016 The Buying Group of NH</t>
  </si>
  <si>
    <t>RICHS B198 OSSINING  NOI</t>
  </si>
  <si>
    <t>RICHS B198 CHAPPAQUA NOI</t>
  </si>
  <si>
    <t>RICHS B198 NORTH SALEM NOI</t>
  </si>
  <si>
    <t>9/1/2015   8/31/2016 Manchester School District</t>
  </si>
  <si>
    <t>BB SODEXO DPMFX RICHS SW DOUGH</t>
  </si>
  <si>
    <t>RICH PRODUCTS-ELIOR</t>
  </si>
  <si>
    <t>RICH WASHINGTONVILLE</t>
  </si>
  <si>
    <t>RICH WOODYS</t>
  </si>
  <si>
    <t>ELEPHAN BAR RICH $OFF</t>
  </si>
  <si>
    <t>Elephant Bar Restaurants</t>
  </si>
  <si>
    <t>RICH NONCORE-AVENDRA</t>
  </si>
  <si>
    <t>MILLINGTON LAKELAND--RICHS</t>
  </si>
  <si>
    <t>SIZZLER RICH PRODUCTS</t>
  </si>
  <si>
    <t>RICH PROD. GENERAL STR &amp; DELI</t>
  </si>
  <si>
    <t>General Store &amp; Deli Sacramento  CA</t>
  </si>
  <si>
    <t>RICH FOODS CORE BB HILTON</t>
  </si>
  <si>
    <t>TREAT AMERICA RICH $OFF</t>
  </si>
  <si>
    <t>BB GLACIER FOB RICHS</t>
  </si>
  <si>
    <t>RICHS RESTAURANT PARTNERS</t>
  </si>
  <si>
    <t>RICHS 100912 FLOUR BREAD MILK</t>
  </si>
  <si>
    <t>RICH'S CAFE SERVICES</t>
  </si>
  <si>
    <t>RICH PRODUCTS JEI GOLD DUST WS</t>
  </si>
  <si>
    <t>52 03 344 Jacob's Entertainment</t>
  </si>
  <si>
    <t>BB ARA DPM FOB RICHS</t>
  </si>
  <si>
    <t>BB ARA DPM NC RICHS</t>
  </si>
  <si>
    <t xml:space="preserve">US Foods Fall Forum 2016 </t>
  </si>
  <si>
    <t>RICH  DYNACO</t>
  </si>
  <si>
    <t>Dynaco Food Concepts</t>
  </si>
  <si>
    <t>USDA RICH FOODS   B198</t>
  </si>
  <si>
    <t>BB PINNACLE FOB CR RICHS</t>
  </si>
  <si>
    <t>RICH PRODUCT   K12 BLANKET</t>
  </si>
  <si>
    <t>RICHS MOBILE 101</t>
  </si>
  <si>
    <t>Mobil 101 / Davis Oil</t>
  </si>
  <si>
    <t>VILLAGE INN RICH'S</t>
  </si>
  <si>
    <t>Village Inn Pizza Parlor</t>
  </si>
  <si>
    <t>BB DELAWARE FOB NC RICHS</t>
  </si>
  <si>
    <t>HEARTLAND GOURMET RICHS</t>
  </si>
  <si>
    <t>Heartland Gourmet</t>
  </si>
  <si>
    <t>RICH PRODUCTS-KINGS ISLAND</t>
  </si>
  <si>
    <t>Kings Island</t>
  </si>
  <si>
    <t>RICH JAX ZOO</t>
  </si>
  <si>
    <t>Jacksonville Zoo and Gardens</t>
  </si>
  <si>
    <t>RICH PROD.   COLUMBUS SCHLS</t>
  </si>
  <si>
    <t>IHOP MARCH 2015</t>
  </si>
  <si>
    <t xml:space="preserve">IHOP 2014 Deviated Pricing: Term Extention  Distributor Add  New Product Addition </t>
  </si>
  <si>
    <t>RICH'S-FUNFEST</t>
  </si>
  <si>
    <t>FUN FEST</t>
  </si>
  <si>
    <t>RICHS DC -TULLYS</t>
  </si>
  <si>
    <t>Tully's 2015</t>
  </si>
  <si>
    <t>RICH'S DAIRY QUEEN          MC</t>
  </si>
  <si>
    <t>CC-RICHS MOVIE TAVERN</t>
  </si>
  <si>
    <t>RICH CARMEL CAFE</t>
  </si>
  <si>
    <t>RICHS CC GRNVLE CNTY</t>
  </si>
  <si>
    <t>8/1/2017   6/30/2018 Greenville County Schools</t>
  </si>
  <si>
    <t>RETRO RICH FOODS BB FOODBUY</t>
  </si>
  <si>
    <t>BB SODEXO FOB RICH PIZZA&amp;ICING</t>
  </si>
  <si>
    <t>Avendra Dev Pricing</t>
  </si>
  <si>
    <t>RICHS SUBRUNNERS</t>
  </si>
  <si>
    <t>SEM / Subrunners</t>
  </si>
  <si>
    <t>RICH HIBACHI SUPREME</t>
  </si>
  <si>
    <t>RICHS COOKS DELI</t>
  </si>
  <si>
    <t>SEM /  Cooks Deli</t>
  </si>
  <si>
    <t>RICHS EMMINGS</t>
  </si>
  <si>
    <t>SEM /  Emings</t>
  </si>
  <si>
    <t>RICHS PIER I</t>
  </si>
  <si>
    <t>SEM / Pier 1</t>
  </si>
  <si>
    <t>RICHS TCBY</t>
  </si>
  <si>
    <t>TCBY</t>
  </si>
  <si>
    <t>BLNKTSCHL  RICHS</t>
  </si>
  <si>
    <t>ROCK &amp; BREWS RICHS</t>
  </si>
  <si>
    <t>ROCK &amp; BREW</t>
  </si>
  <si>
    <t>CAROWINDS-RICH'S</t>
  </si>
  <si>
    <t>Carowinds</t>
  </si>
  <si>
    <t>RICH'S HUMDINGER'S          JV</t>
  </si>
  <si>
    <t>RICHS STAR BUFFET  1013382</t>
  </si>
  <si>
    <t>CEDAR FAIR RICHS 1022274</t>
  </si>
  <si>
    <t>RICH PRODUCT H&amp;H PURCHASING</t>
  </si>
  <si>
    <t>RICHS SUBWAY</t>
  </si>
  <si>
    <t>0262 RICH PRODUCTS NAPA</t>
  </si>
  <si>
    <t>RICH FOODS   AMER FD &amp; VND</t>
  </si>
  <si>
    <t>52 American Food &amp; Vending</t>
  </si>
  <si>
    <t>RICH'S  DAIRY QUEEN RETO</t>
  </si>
  <si>
    <t>RICH ARAMARK BB ONLY</t>
  </si>
  <si>
    <t>RICHS VANDERBILT</t>
  </si>
  <si>
    <t>RICH   RESTAURANT PARTNERS</t>
  </si>
  <si>
    <t>Saucy Focaccia</t>
  </si>
  <si>
    <t>JACKSON PUBLIC SCHL RICH'S</t>
  </si>
  <si>
    <t>8/1/2016   7/31/2017 Jackson Public School District</t>
  </si>
  <si>
    <t>BB GRANITE FOB RICHS</t>
  </si>
  <si>
    <t>RICHS NC SCHOOLS</t>
  </si>
  <si>
    <t>RICH RUTH'S CHRIS</t>
  </si>
  <si>
    <t>RICH BB NCORE-ARA-SSS-RETRO</t>
  </si>
  <si>
    <t>RICH PRODUCTS (NC) NAPA</t>
  </si>
  <si>
    <t>8/1/2017   7/31/2018 S.C. Foodservice Purchasing Alliance  Inc.</t>
  </si>
  <si>
    <t>RICH FOODS-AMERICAN CRUISE LI</t>
  </si>
  <si>
    <t>ARAMARK RICH FOODS BB RICH PRO</t>
  </si>
  <si>
    <t>RICHS VANC SCHLS BL201708970</t>
  </si>
  <si>
    <t>ARAMARK  RICH FOODS BB</t>
  </si>
  <si>
    <t>100 MONTADITOS(DO)-RICH FOODS</t>
  </si>
  <si>
    <t>Cien Montaditos</t>
  </si>
  <si>
    <t>NPSO RICHS</t>
  </si>
  <si>
    <t>RICHS CHESTER SCHLS 201708941</t>
  </si>
  <si>
    <t>RICHS BLNKT  BELLEVUE SCHOOL.</t>
  </si>
  <si>
    <t>RICH FOODS-BB-FOODBUY</t>
  </si>
  <si>
    <t>BB CREATIVE FOB RICH</t>
  </si>
  <si>
    <t>WESTSIDE RICH BLNKT</t>
  </si>
  <si>
    <t>RICH FOODS-AFV</t>
  </si>
  <si>
    <t xml:space="preserve">American Food &amp; Vending </t>
  </si>
  <si>
    <t>Butte Elementary</t>
  </si>
  <si>
    <t>RICHS K-12 SCHOOL  2016-7822</t>
  </si>
  <si>
    <t xml:space="preserve">  Z RICH NCORE BB-MAIN ARAMARK</t>
  </si>
  <si>
    <t xml:space="preserve">  Z RICH CORE BB-MAIN ARAMARK</t>
  </si>
  <si>
    <t>RICH PRODUCTS CORP-WILD'S</t>
  </si>
  <si>
    <t>Wilds Conference Center</t>
  </si>
  <si>
    <t>7/1/2015   6/30/2016 New York State OGS</t>
  </si>
  <si>
    <t>SPARC RICH PRODUCTS</t>
  </si>
  <si>
    <t>RICH'S BLANKET-SCHOOL DEL.</t>
  </si>
  <si>
    <t>RCH-100912-NOI</t>
  </si>
  <si>
    <t>RCH-110244-NOI</t>
  </si>
  <si>
    <t>OTB RICH</t>
  </si>
  <si>
    <t>On The Border deviated pricing</t>
  </si>
  <si>
    <t>RICHS   DORNEY</t>
  </si>
  <si>
    <t>2016 Dorney Park Deal</t>
  </si>
  <si>
    <t>RICH PRODUCTS-GAILS</t>
  </si>
  <si>
    <t>Gails Food Factory (Gallins)</t>
  </si>
  <si>
    <t>SCHL RICH PROD-UPC</t>
  </si>
  <si>
    <t>7/1/2015   6/30/2016 Unified Purchasing Cooperative</t>
  </si>
  <si>
    <t>RICH MAURY CO. SCHL</t>
  </si>
  <si>
    <t>APOLLO  RICH</t>
  </si>
  <si>
    <t>Royal Caribbean International</t>
  </si>
  <si>
    <t>RICH FOODS FOODBUY CSM</t>
  </si>
  <si>
    <t>RICHS ROC OFF INV</t>
  </si>
  <si>
    <t>RICH'S  TRAVINIA</t>
  </si>
  <si>
    <t>RICH PRODUCTS CORP-SONNY'S</t>
  </si>
  <si>
    <t>RICH PRODUCTS TRAVINIA ITALIAN</t>
  </si>
  <si>
    <t>RICHS DIRTY DICKS</t>
  </si>
  <si>
    <t>Dirty Dicks Avon</t>
  </si>
  <si>
    <t>RICHS REBOUNDERZ</t>
  </si>
  <si>
    <t>Rebounderz of Newport News</t>
  </si>
  <si>
    <t>RICH PRODUCT-RUTGERS</t>
  </si>
  <si>
    <t>Rutgers University 2017.2018 deal</t>
  </si>
  <si>
    <t>RICH PRODUCTS   SAYLORS MARKET</t>
  </si>
  <si>
    <t>2015 Saylor's Market deal thr Sysco CPA</t>
  </si>
  <si>
    <t>SODEXO RICH FOODS BB RICH PROD</t>
  </si>
  <si>
    <t>RICH'S-AMHERST</t>
  </si>
  <si>
    <t>7/1/2015   6/30/2016 Amherst County Public Schools</t>
  </si>
  <si>
    <t>RICH JSNA</t>
  </si>
  <si>
    <t>JSPVP Pricing</t>
  </si>
  <si>
    <t>RICH FOODS ALONTI</t>
  </si>
  <si>
    <t>Alonti Cafe &amp; Catering</t>
  </si>
  <si>
    <t>RICH'S-WINCHESTER DELIVERED</t>
  </si>
  <si>
    <t>7/13/2015   6/30/2016 Winchester City Public Schools</t>
  </si>
  <si>
    <t>RICH NOI WORCESTER (110244)</t>
  </si>
  <si>
    <t>RICHS WORLD OF BEER</t>
  </si>
  <si>
    <t>MOVIE TAVERN-RICHS</t>
  </si>
  <si>
    <t>RICH PRODUCTS   FY15 FSH ALLOW</t>
  </si>
  <si>
    <t>Sysco CPA April 7  2015 Food show allowances</t>
  </si>
  <si>
    <t>ASPEN CREEK RICH</t>
  </si>
  <si>
    <t>7/1/2017   6/30/2018 Virginia Beach City</t>
  </si>
  <si>
    <t>GLACIER DPM RICHS</t>
  </si>
  <si>
    <t>RICH FDS BB-FORUM</t>
  </si>
  <si>
    <t>RUBY TUESDAY- RICH PRODUCTS</t>
  </si>
  <si>
    <t>Ruby Tuesday</t>
  </si>
  <si>
    <t>RICH'S-COUNTRY ROADS DEL.</t>
  </si>
  <si>
    <t>7/1/2015   6/30/2016 Country Roads Cooperative</t>
  </si>
  <si>
    <t>RICH FOODS CORE-BOSTON PIZZA</t>
  </si>
  <si>
    <t>RETRO RICH FOODS FOODBUY BB</t>
  </si>
  <si>
    <t>RICH PRODUCTS-FDBY NEMACOLIN</t>
  </si>
  <si>
    <t>RICH'S-CHARLOTTESVILLE DEL.</t>
  </si>
  <si>
    <t>RICH'S-FREDERICK DEL.</t>
  </si>
  <si>
    <t>8/1/2015   7/31/2016 Frederick County Public Schools</t>
  </si>
  <si>
    <t>RICH AFNAF OCONUS</t>
  </si>
  <si>
    <t>RICH PROD MTVIEW COOP</t>
  </si>
  <si>
    <t>SY 14 15 Mountain View Food Purch N Cal</t>
  </si>
  <si>
    <t>RICHS KINGSMILL</t>
  </si>
  <si>
    <t>RICH WHELIHAN</t>
  </si>
  <si>
    <t>RICH PARX</t>
  </si>
  <si>
    <t>RICH COMMISSARY</t>
  </si>
  <si>
    <t>52 01 141 SFS Philly</t>
  </si>
  <si>
    <t>RICH'S NEWCOMB-FIVE STAR</t>
  </si>
  <si>
    <t>2013 Newcomb Oil Company</t>
  </si>
  <si>
    <t>USDA-RICH'S ARAMARK-NJ-100912</t>
  </si>
  <si>
    <t>USDA-RICH'S ARAMARK-NY-100912</t>
  </si>
  <si>
    <t>RICH PROD ALL CUSTOMERS</t>
  </si>
  <si>
    <t>RICH PRODUCTS AFNAF CORE BB</t>
  </si>
  <si>
    <t>RICH PROD ROSEVILLE CSD DC</t>
  </si>
  <si>
    <t>ARAMARK RICH FOODS RICH PRODUC</t>
  </si>
  <si>
    <t>RICH PROD EUREKA</t>
  </si>
  <si>
    <t>RICH FOOD-CNTRY KIT</t>
  </si>
  <si>
    <t>RICH FOODS-STEFANI'S</t>
  </si>
  <si>
    <t>RICH PROD-SIZZLER</t>
  </si>
  <si>
    <t>RICH PRODUCTS BLACK BEAR</t>
  </si>
  <si>
    <t>RICH FOODS BB-FDBY CUST.536425</t>
  </si>
  <si>
    <t>YUBA CITY USD RICH CC</t>
  </si>
  <si>
    <t>SY 14 15 Yuba City N Cal</t>
  </si>
  <si>
    <t>RICHS DC-DARIEN LAKE</t>
  </si>
  <si>
    <t>Darien Lake Local Investment 2017</t>
  </si>
  <si>
    <t>RICH'S LAKE TAHOE USD</t>
  </si>
  <si>
    <t xml:space="preserve">SY 14 15 Folsom USD N Cal </t>
  </si>
  <si>
    <t>RICHS GLOUCESTER SCHLS</t>
  </si>
  <si>
    <t>RICH'S FOR INDIANA AROUND CLOK</t>
  </si>
  <si>
    <t>Round the Clock</t>
  </si>
  <si>
    <t>RICH'S PLACER-NV SCHLS</t>
  </si>
  <si>
    <t>RICH FOODS   FOODBUY DC</t>
  </si>
  <si>
    <t>RICH AFV</t>
  </si>
  <si>
    <t>MILL MTN COFFEE RICHS SCONES</t>
  </si>
  <si>
    <t xml:space="preserve">Mill Mountain Coffee and bakery company </t>
  </si>
  <si>
    <t>RICH'S LASSEN UNION HS</t>
  </si>
  <si>
    <t>RICH FOODS NON CORE-PINNACL</t>
  </si>
  <si>
    <t>RICHS MEX3 GROUP</t>
  </si>
  <si>
    <t>MEX3 (El Tapatio  Jose Tequila and Senor Fox)</t>
  </si>
  <si>
    <t>ISLE OF CAPRI RICH PRODUCTS</t>
  </si>
  <si>
    <t>RICH-CORE BB-PIN</t>
  </si>
  <si>
    <t>FATZ - RICH PRODUCTS</t>
  </si>
  <si>
    <t>USDA RICHS ROCKINGHAM</t>
  </si>
  <si>
    <t>RICH FAIRFAX</t>
  </si>
  <si>
    <t>RICHS SUPER STOPS COUNTRY GIRL</t>
  </si>
  <si>
    <t>RICHS  BLACK HORSE RESTAURANT</t>
  </si>
  <si>
    <t>HILT RICH NON RETRO OVERRIDE</t>
  </si>
  <si>
    <t>RICH FOODS   FOODBUY</t>
  </si>
  <si>
    <t>RICH PRODUCTS (NON)   HILTON</t>
  </si>
  <si>
    <t>RETRO RICHS BB - FOODBUY</t>
  </si>
  <si>
    <t>RICH PROD EAST STAR BUFFET</t>
  </si>
  <si>
    <t>E Star Buffet</t>
  </si>
  <si>
    <t>BB SODEXO FOB PIZZA DOUGH RICH</t>
  </si>
  <si>
    <t>RICH CC-OGS</t>
  </si>
  <si>
    <t>LA COOP RICH PRODUCTS</t>
  </si>
  <si>
    <t>RICH FOODS BB-DINING ALLIANCE</t>
  </si>
  <si>
    <t>RICH PRODUCTS  ALONTI DELI</t>
  </si>
  <si>
    <t>RICH ROSIES SPORTS BAR</t>
  </si>
  <si>
    <t>RICH (BB NCORE)-AVENDRA</t>
  </si>
  <si>
    <t>RICHS CC-K-12</t>
  </si>
  <si>
    <t>CINNABON RICH PRODUCTS</t>
  </si>
  <si>
    <t>RICH FDS TRI CITY FOODS</t>
  </si>
  <si>
    <t>Sysco Albany French Toast Stick Rebate for Tri City Foods</t>
  </si>
  <si>
    <t>RICHS PROD  UNO TRATTORIA</t>
  </si>
  <si>
    <t>Uno Pizza</t>
  </si>
  <si>
    <t>DEL NORTH RICHS BB</t>
  </si>
  <si>
    <t>RICHS FOUNDERS INN</t>
  </si>
  <si>
    <t>The Founder's Inn</t>
  </si>
  <si>
    <t>RICHS SMALLS SMOKEHOUSE</t>
  </si>
  <si>
    <t>Small's Smokehouse and Oyster Bar</t>
  </si>
  <si>
    <t>RETRO RICH FOODS-BB FOODBUY</t>
  </si>
  <si>
    <t>BB SODEXO FOB RICH BREADS&amp;ROLL</t>
  </si>
  <si>
    <t>RUTH CHRIS  RICH FOODS RICH PR</t>
  </si>
  <si>
    <t>BB SODEXO FOB RICH DOUGH</t>
  </si>
  <si>
    <t>RICH PRODUCTS BUCKHORN</t>
  </si>
  <si>
    <t>Buckhorn Grill</t>
  </si>
  <si>
    <t>USDA RICH PEMBROKE 04 19 XFER</t>
  </si>
  <si>
    <t>la Madeleine Promotion</t>
  </si>
  <si>
    <t>Hubers Winery</t>
  </si>
  <si>
    <t>BB SODEXO FOB RICH PZA DOU&amp;ICG</t>
  </si>
  <si>
    <t>OWN THE PLA RICH PRODUCTS CORP</t>
  </si>
  <si>
    <t>SFS Charlotte Fall Product Showcase Allowances</t>
  </si>
  <si>
    <t>RICH FOODS BB RETRO FOODBUY</t>
  </si>
  <si>
    <t>RICH SCHOOL</t>
  </si>
  <si>
    <t>RICH NORTHAMPTON</t>
  </si>
  <si>
    <t>RICH PROD LYON CSD</t>
  </si>
  <si>
    <t>SY 14 15 Lyon County NV (N Cal)</t>
  </si>
  <si>
    <t>RICH HIBACHI GRILL</t>
  </si>
  <si>
    <t>RICH FOODS-ARAMARK EXCL K12</t>
  </si>
  <si>
    <t>BATCH GASTROPUB  RICH</t>
  </si>
  <si>
    <t>Batch Gastropub 2014 Program</t>
  </si>
  <si>
    <t>RICHS FDBUY VANDERBILT</t>
  </si>
  <si>
    <t xml:space="preserve">52 ROC  Group </t>
  </si>
  <si>
    <t>RICH-SEAWORLD</t>
  </si>
  <si>
    <t>Sea World Busch Gardens BB program</t>
  </si>
  <si>
    <t>RICH'S   BUC-EE'S</t>
  </si>
  <si>
    <t>52 Bucees</t>
  </si>
  <si>
    <t>RICH'S SKY ZONE  #1034183</t>
  </si>
  <si>
    <t>RICHS  PAESANO'S REST</t>
  </si>
  <si>
    <t>Paesanos Restaurant Group</t>
  </si>
  <si>
    <t>USDA-RICHS ARA CNTRL FLS100912</t>
  </si>
  <si>
    <t>USDA-RICHS ARA LINCOLN 100912</t>
  </si>
  <si>
    <t>RICH LANDRYS CORE RETRO BB</t>
  </si>
  <si>
    <t>BAHAMA BUCKS RICHS</t>
  </si>
  <si>
    <t>RICH PROD LONE STAR COLLEGE</t>
  </si>
  <si>
    <t>Lone Star College Houston 2012   2013 Program</t>
  </si>
  <si>
    <t>RICH PROD CHINA STAR</t>
  </si>
  <si>
    <t>China Star</t>
  </si>
  <si>
    <t>RICH FOODS DC HURRICANE GRILL</t>
  </si>
  <si>
    <t>RICH 4 RIVERS</t>
  </si>
  <si>
    <t>RICHS ZDT AMUSEMENT  207501</t>
  </si>
  <si>
    <t>ZDT's Amusement</t>
  </si>
  <si>
    <t>RICHS  HIBACHI GRILL</t>
  </si>
  <si>
    <t>Hibachi Grill</t>
  </si>
  <si>
    <t>RICHS TROUT STREET</t>
  </si>
  <si>
    <t>52 03 327 Trout Street Deal</t>
  </si>
  <si>
    <t>RICHS-CATTALLEG SCHOOLS</t>
  </si>
  <si>
    <t>BB RETRO RICH FDS NC ARA X-SSS</t>
  </si>
  <si>
    <t>BB RETRO RICH CORE ARA X-SSS</t>
  </si>
  <si>
    <t>BOSTON PIZZA</t>
  </si>
  <si>
    <t>RICH UNITED SPORTS</t>
  </si>
  <si>
    <t>2016 United Sports deal thr Sysco PHY</t>
  </si>
  <si>
    <t>BB COLDSTONE FOB BETTERCREME</t>
  </si>
  <si>
    <t>RICH PRODUCTS NEWBURGH</t>
  </si>
  <si>
    <t>RICH NOI QUEEN ANNE 100912</t>
  </si>
  <si>
    <t>RICH NOI WORCESTER 110244</t>
  </si>
  <si>
    <t>RICH NOI SOMERSET 100912</t>
  </si>
  <si>
    <t>RICH NOI CAROLINE 110244</t>
  </si>
  <si>
    <t>RICH NOI CAROLINE 100912</t>
  </si>
  <si>
    <t>HENRY DOORLY ZOO RICHES</t>
  </si>
  <si>
    <t>Circle M/Clipper Petroleum Operator Rebate</t>
  </si>
  <si>
    <t>RICH PRODUCTS DCMO</t>
  </si>
  <si>
    <t>RICH PROD LUCKY STRIKE SPIN</t>
  </si>
  <si>
    <t>BB SODEXO FOB RICH PZA DGH&amp;ICN</t>
  </si>
  <si>
    <t>RICHS CORNER MARKETS</t>
  </si>
  <si>
    <t>Corner Market   Edgar  NE</t>
  </si>
  <si>
    <t>Elior/Valley Services special priced items</t>
  </si>
  <si>
    <t>RICHES BREWSKYS</t>
  </si>
  <si>
    <t>Brewsky's</t>
  </si>
  <si>
    <t>RICH FOODS DOUGH DC SODEXO</t>
  </si>
  <si>
    <t>MVTN-RICH'S-BB CC-1020063</t>
  </si>
  <si>
    <t>RICH (BB CORE)-AVENDRA</t>
  </si>
  <si>
    <t>RICH CC-SPICY PIE</t>
  </si>
  <si>
    <t>Spicy Pie</t>
  </si>
  <si>
    <t>RICH FOODS SUBWAY</t>
  </si>
  <si>
    <t>RICH PRODUCTS      IHOP NOV 15</t>
  </si>
  <si>
    <t>RICH-RDC DEL DUFFY'S</t>
  </si>
  <si>
    <t>Duffy's Sports Grill</t>
  </si>
  <si>
    <t>7.1.17 to 6.30.18 Maschio's School Food Service</t>
  </si>
  <si>
    <t>USDA RICH'S B198 100912 ALL</t>
  </si>
  <si>
    <t>RICHS PANCAKE PLACE#1036962</t>
  </si>
  <si>
    <t>Pancake Place Program</t>
  </si>
  <si>
    <t xml:space="preserve">Which Wich </t>
  </si>
  <si>
    <t>USDA RICH'S B077 ALL</t>
  </si>
  <si>
    <t>RICH AVENDRA(NC BB 6 8-6 15)</t>
  </si>
  <si>
    <t>TREAT AMERICA RICH FOODS RICH</t>
  </si>
  <si>
    <t>RICH PRODUCTS-FATZ (SPENDIFF)</t>
  </si>
  <si>
    <t>RICHS K-12 SCHOOL  2017-8970</t>
  </si>
  <si>
    <t>RICH PRODUCTS CIRCLE K</t>
  </si>
  <si>
    <t>RICHS FOODS   FOODBUY</t>
  </si>
  <si>
    <t>RICH (NON)   HILTON HOTEL DC</t>
  </si>
  <si>
    <t>SCHL UPC-RICH</t>
  </si>
  <si>
    <t>8/1/2016   6/30/2017 Unified Purchasing Cooperative</t>
  </si>
  <si>
    <t>STEAK'N'SHAKE RICH PRODUCTS</t>
  </si>
  <si>
    <t>Steak &amp; Shake</t>
  </si>
  <si>
    <t>8/1/2017   1/31/2018 Louisiana Child Nutrition Purchasing Cooperative</t>
  </si>
  <si>
    <t>JACKSON RANCHERIA</t>
  </si>
  <si>
    <t>Jackson Rancheria Casino</t>
  </si>
  <si>
    <t>JP'S Family Dining</t>
  </si>
  <si>
    <t>RICH PROD SUBWAY</t>
  </si>
  <si>
    <t>TN201810726 REELFOOT-RICHS</t>
  </si>
  <si>
    <t>7/1/2018   6/30/2019 Reelfoot Consortium</t>
  </si>
  <si>
    <t>TREAT-RICH'S $ OFF</t>
  </si>
  <si>
    <t>RICHS PIZZA DOUGH&amp;ICING-522037</t>
  </si>
  <si>
    <t>RICH DC WILD WATERS BROADWAY</t>
  </si>
  <si>
    <t>Wild Water &amp; Wheels/Broadway Grand Prix</t>
  </si>
  <si>
    <t>FOODBUY(CSM) RICHS</t>
  </si>
  <si>
    <t>RICH'S NATL BLANKET BID</t>
  </si>
  <si>
    <t>RICH FOODS BLACK BEAR</t>
  </si>
  <si>
    <t>RICH PRODUCTS CORP SHARI'S</t>
  </si>
  <si>
    <t>BB RETRO RICH FOODBUY</t>
  </si>
  <si>
    <t>Sugar Bakers / Bills Seafood</t>
  </si>
  <si>
    <t>RICHS 100912 FLOUR</t>
  </si>
  <si>
    <t>RICH FOODS CORE BB CRO</t>
  </si>
  <si>
    <t>12/31/2018   12/31/2019 Jackson Public School District</t>
  </si>
  <si>
    <t>RICH PRODUCTS-BAPA B198</t>
  </si>
  <si>
    <t>BB SODEXO FOB RICHS DOUGH&amp;ICIN</t>
  </si>
  <si>
    <t>RICH PRODUCTS-GALLINS</t>
  </si>
  <si>
    <t>Gallins Food Products</t>
  </si>
  <si>
    <t>BB SODEXO FOB RICHS SWEET DOUG</t>
  </si>
  <si>
    <t>201810168 SCHL--RICHS</t>
  </si>
  <si>
    <t>RICH PROD-BAPA K&amp;K PORTAGE MTS</t>
  </si>
  <si>
    <t>Z RICH PROD-BAPA TREAT AMERICA</t>
  </si>
  <si>
    <t>RICH PROD-BAPA CHESHIRE MARKET</t>
  </si>
  <si>
    <t>RICH PROD-BAPA   MEC SCHOOLS</t>
  </si>
  <si>
    <t>RICH PROD-BAPA   APC SCHOOLS</t>
  </si>
  <si>
    <t>RICH PROD-BAPA  COLUMBUS SCHL</t>
  </si>
  <si>
    <t>RICH PRODUCTS(VVA) DAIRY QUEEN</t>
  </si>
  <si>
    <t>RICH   H&amp;H PURCHASING</t>
  </si>
  <si>
    <t>RICH FDS COMPASS FIVE STAR  JV</t>
  </si>
  <si>
    <t>Vanderbilt University</t>
  </si>
  <si>
    <t>RICHS LA SURES  #1037938</t>
  </si>
  <si>
    <t>La Sure's Program</t>
  </si>
  <si>
    <t>ARA XSSS-RICHS NONC BB RETRO</t>
  </si>
  <si>
    <t xml:space="preserve">RICH (BB NCORE)-AFNAF </t>
  </si>
  <si>
    <t>BB SODEXO FOB RICHS ICING&amp;DOUG</t>
  </si>
  <si>
    <t>BB SODEXO FOB RICHS SW DOUGH</t>
  </si>
  <si>
    <t>RICHS FRANKS PIGGLY WIGGLY</t>
  </si>
  <si>
    <t>Frank's Piggly Wiggly Deli</t>
  </si>
  <si>
    <t>RICHS DANIELS PIGGLY WIGGLY</t>
  </si>
  <si>
    <t>Daniels' Sentry Deli</t>
  </si>
  <si>
    <t>BB ARAMARK SSS FOB RICH</t>
  </si>
  <si>
    <t>RICH-BAPA   APC SCHOOLS</t>
  </si>
  <si>
    <t>RICH FOODS-CEDAR FAIR</t>
  </si>
  <si>
    <t>Cedar Fair Loyalty Program</t>
  </si>
  <si>
    <t>RICH ROUXS</t>
  </si>
  <si>
    <t>Roux's</t>
  </si>
  <si>
    <t>RICH JOSIAHS COFFEEHOUSE</t>
  </si>
  <si>
    <t>Josiah's</t>
  </si>
  <si>
    <t>RICH FOODS BB-AFV</t>
  </si>
  <si>
    <t>Black Pelican NC and VA Locations</t>
  </si>
  <si>
    <t>RICH FOODS WOODYS BBQ</t>
  </si>
  <si>
    <t>RICH'S NATURES FOOD PATCH</t>
  </si>
  <si>
    <t>Nature's Food Patch</t>
  </si>
  <si>
    <t>RICH - SEAWORLD</t>
  </si>
  <si>
    <t>RICHS MOJO ROSAS-PW EGG HARBOR</t>
  </si>
  <si>
    <t>Mojo Rosas</t>
  </si>
  <si>
    <t>RICHS PIT ROW #1038225</t>
  </si>
  <si>
    <t>Pit Row</t>
  </si>
  <si>
    <t>RICHS PROD. OGD 7 1 16-6 30 17</t>
  </si>
  <si>
    <t>WORLD OF BEER(DO)-RICH FOODS</t>
  </si>
  <si>
    <t>BB RIB CITY RICH'S</t>
  </si>
  <si>
    <t>Rib City BBQ</t>
  </si>
  <si>
    <t>RICH FDS-BB-CORE-ARAMARK</t>
  </si>
  <si>
    <t>RICH FDS-NCORE-BB-ARAMARK</t>
  </si>
  <si>
    <t>AW SHUCKS RICHS</t>
  </si>
  <si>
    <t>Aw Shucks Cafe</t>
  </si>
  <si>
    <t>9/1/2016   8/31/2017 Manchester School District</t>
  </si>
  <si>
    <t>RICH BB MAZZONE</t>
  </si>
  <si>
    <t>BB SODEXO FOB DOUGH RICH</t>
  </si>
  <si>
    <t>RICH PRODUCTS  LODI USD</t>
  </si>
  <si>
    <t>SY 14 15 Lodi Unified N Cal</t>
  </si>
  <si>
    <t>DEL NORTH-RICHS BB</t>
  </si>
  <si>
    <t>RICH FOODS BB-RUTHS CHRIS (FDB</t>
  </si>
  <si>
    <t>RICH BOLD CITY SUBS</t>
  </si>
  <si>
    <t>Bold City Subs Sub Roll Program</t>
  </si>
  <si>
    <t>RICH BRD&amp;ROLL SODX LIBERTY RET</t>
  </si>
  <si>
    <t>RICH BRD&amp;RLL NCORE SODX LIBRTY</t>
  </si>
  <si>
    <t>RICH PIZZA DOUGH BB SODX LIBRT</t>
  </si>
  <si>
    <t>RICH PIZZA DGH NCR BB SODX LIB</t>
  </si>
  <si>
    <t>KINGS DOMINION RICH FOODS</t>
  </si>
  <si>
    <t>RICHS VANC SCHLS BL201810168</t>
  </si>
  <si>
    <t>RICH FOODS BB-FOODBUY NEMACOLI</t>
  </si>
  <si>
    <t>GRAY BROTHER'S RICH'S</t>
  </si>
  <si>
    <t>Gray Brothers Cafeteria</t>
  </si>
  <si>
    <t>RICH DC STU'S SURFSIDE</t>
  </si>
  <si>
    <t>END! RICH TAHER  1038503 001</t>
  </si>
  <si>
    <t>BB ARAMARK FOB RICHS</t>
  </si>
  <si>
    <t>MOE AND JOHNNY'S RICH'S</t>
  </si>
  <si>
    <t>MOE AND JOHNNY'S</t>
  </si>
  <si>
    <t>USDA RICH'S B198 100912 J010</t>
  </si>
  <si>
    <t>USDA RICH'S B198 100912 J025</t>
  </si>
  <si>
    <t>USDA RICH'S B198 100912 J127</t>
  </si>
  <si>
    <t>USDA RICH'S B198 100912 G041</t>
  </si>
  <si>
    <t>USDA RICH'S B198 100912 G072</t>
  </si>
  <si>
    <t>USDA RICH'S B198 100912 G039</t>
  </si>
  <si>
    <t>USDA RICH'S B198 100912 G101</t>
  </si>
  <si>
    <t>USDA RICH'S B198 100912 G114</t>
  </si>
  <si>
    <t>USDA RICH'S B077 G031</t>
  </si>
  <si>
    <t>RICHS GT</t>
  </si>
  <si>
    <t>The Greene Turtle</t>
  </si>
  <si>
    <t>RICHS CINEMA CAFE</t>
  </si>
  <si>
    <t>Cinema Cafe Group</t>
  </si>
  <si>
    <t>RICHS BLNKT  NPSO</t>
  </si>
  <si>
    <t>RICHS CC-SOUTHERN TIER</t>
  </si>
  <si>
    <t>USDA RICH PRODUCTS  B198</t>
  </si>
  <si>
    <t>RICH FIXBB-SEAWORLD</t>
  </si>
  <si>
    <t>RICHS  EZ'S</t>
  </si>
  <si>
    <t>52 Baker Bros American Deli (EZ's &amp; Ruby Tequilas)</t>
  </si>
  <si>
    <t>RICH PRODUCTS  AMADOR COUNTY</t>
  </si>
  <si>
    <t>SY 14 15 Amador County N Cal</t>
  </si>
  <si>
    <t>RICH FOODS-TRUSTHOUSE</t>
  </si>
  <si>
    <t>Trusthouse/Valley Services 2015 Pricing</t>
  </si>
  <si>
    <t>RICH-ALVA CTY DINER</t>
  </si>
  <si>
    <t>Alva City Diner</t>
  </si>
  <si>
    <t>RICH'S MARYS KITCHEN</t>
  </si>
  <si>
    <t>Mary's Kitchen</t>
  </si>
  <si>
    <t>BB SODEXO FOB DOUGH&amp;ICNG RICH</t>
  </si>
  <si>
    <t>RICH DC-SHORT STOP DELI</t>
  </si>
  <si>
    <t>RICH FOODS-JOHNNY ROCKETS</t>
  </si>
  <si>
    <t>Johnny Rocket's | Donut Hole Donut Dough</t>
  </si>
  <si>
    <t>RICH'S UCONN</t>
  </si>
  <si>
    <t>University of Connecticut 2016</t>
  </si>
  <si>
    <t>8/31/2016   6/30/2017 Missoula County Public Schools</t>
  </si>
  <si>
    <t>USDA RICH'S B198 100912 G210</t>
  </si>
  <si>
    <t>RICH BLNKT 14 15 BL201405559</t>
  </si>
  <si>
    <t>RICH (BREADROLLS)CORE   SODEXO</t>
  </si>
  <si>
    <t>RICH (BREADROLLS) NON   SODEXO</t>
  </si>
  <si>
    <t>RICH (PIZZADOUGH)CORE   SODEXO</t>
  </si>
  <si>
    <t>RICH (PIZZADOUGH) NON   SODEXO</t>
  </si>
  <si>
    <t>RICH FOODS BB SODEXO</t>
  </si>
  <si>
    <t>BB COLDSTONE FOB RICH BETTERCR</t>
  </si>
  <si>
    <t>8/1/2015   9/30/2016 Westside Community Schools</t>
  </si>
  <si>
    <t>RICHS  COUNTRY GIRLS TRUCK STP</t>
  </si>
  <si>
    <t>RICH'S  ROCKFISH  SPIN</t>
  </si>
  <si>
    <t>Buffalo Wings &amp; Rings</t>
  </si>
  <si>
    <t>RICHS CAFE MICHELINO</t>
  </si>
  <si>
    <t>Michelinos</t>
  </si>
  <si>
    <t>Casa DI Bertacchi-Sodexo</t>
  </si>
  <si>
    <t>USDA RICH'S B198 100912 J012</t>
  </si>
  <si>
    <t>USDA RICH'S B198 100912 G048</t>
  </si>
  <si>
    <t>USDA RICH'S B198 100912 G012</t>
  </si>
  <si>
    <t>USDA RICH'S B198 100912 G033</t>
  </si>
  <si>
    <t>USDA RICH'S B198 100912 J064</t>
  </si>
  <si>
    <t>RICH'S-COUNTRY RDS. DELIVERED</t>
  </si>
  <si>
    <t xml:space="preserve"> RICH CHINOOK WINDS CAS</t>
  </si>
  <si>
    <t>Chinook Winds Casino 2013</t>
  </si>
  <si>
    <t>RICH PRODUCTS  BRET HARTE UNI</t>
  </si>
  <si>
    <t>RICH-COUNTRY KITCHEN</t>
  </si>
  <si>
    <t>USDA RICH'S B198 100912 G064</t>
  </si>
  <si>
    <t>RICH PRODUCTS (CORE)   ARAMARK</t>
  </si>
  <si>
    <t>RICH PRODUCTS (NON)   ARAMARK</t>
  </si>
  <si>
    <t>RICH FOODS RUTHS CHRIS (FDBY)</t>
  </si>
  <si>
    <t>RICH'S COLUMBIA STEAK</t>
  </si>
  <si>
    <t>RICH'S TREAT AMERICA  $OFF</t>
  </si>
  <si>
    <t>FUDDRUCKERS - RICH PRODUCTS</t>
  </si>
  <si>
    <t>52 Fuddruckers</t>
  </si>
  <si>
    <t>CAESARS--RICH PRODUCTS</t>
  </si>
  <si>
    <t>RETRO RICH CORE BB-ARA MAIN</t>
  </si>
  <si>
    <t>RETRO RICH NCORE BB-ARA MAIN</t>
  </si>
  <si>
    <t>BB SODEXO FOB RICHS BREAD&amp;ROLL</t>
  </si>
  <si>
    <t>BB SODEXO FOB RICH DOUGH&amp;ICNG</t>
  </si>
  <si>
    <t>RICH CUNNINGHAM JOURNAL</t>
  </si>
  <si>
    <t>Cunninghams Journal</t>
  </si>
  <si>
    <t>RICH (FLATBREAD)   TRAVEL CTR</t>
  </si>
  <si>
    <t>2016 Snyder's Gateway deal thr Sysco CPA</t>
  </si>
  <si>
    <t>USDA-B198R RICH FOODS FLOUR</t>
  </si>
  <si>
    <t>RICH'S-GREENE TURTLE</t>
  </si>
  <si>
    <t>RICH FDS FOODBUY CORE BB</t>
  </si>
  <si>
    <t>RICH PRODUCTS  CALAVERAS SCHL</t>
  </si>
  <si>
    <t>RICHS DC-HONEY CAFE(BILLY BEE)</t>
  </si>
  <si>
    <t>Honey's Cafe   Billy Beez 2016 / 2017</t>
  </si>
  <si>
    <t>RICHS 100912 USDA</t>
  </si>
  <si>
    <t>RICH PROD-TREAT AMERICA   DC</t>
  </si>
  <si>
    <t>RICH VALAS PUMPKIN PATCH</t>
  </si>
  <si>
    <t>Vala's Pumpkin Patch</t>
  </si>
  <si>
    <t>RICH FOODS-RTPT 4RIVERS</t>
  </si>
  <si>
    <t>1041890 SHIPLEY DONUTS #1&amp;#2</t>
  </si>
  <si>
    <t>Shipley Donuts DBA SCARLETTS</t>
  </si>
  <si>
    <t>1040645 HIGH ON THE HOG-RICH</t>
  </si>
  <si>
    <t>VITOS - RICH PRODUCTS</t>
  </si>
  <si>
    <t>MATER ACADEMY   RICH</t>
  </si>
  <si>
    <t>SY 14 15 GRPMATER</t>
  </si>
  <si>
    <t>RICH PRODUCTS CC SC PURCHASING</t>
  </si>
  <si>
    <t>7/1/2018   6/30/2019 School Purchasing Alliance (SPA)</t>
  </si>
  <si>
    <t>RICH FDS REST. PARTNERS</t>
  </si>
  <si>
    <t>RICH FOODS BB-FOODBUY 262574</t>
  </si>
  <si>
    <t>RICH PRODUCTS  EMPIRE USD</t>
  </si>
  <si>
    <t>RICH MGM RESORTS</t>
  </si>
  <si>
    <t>BB ARA SSS FOB RICH</t>
  </si>
  <si>
    <t>RICH PRODUCTS  CENTRAL VALLEY</t>
  </si>
  <si>
    <t>8/1/2015   7/30/2016 Central Valley Co op</t>
  </si>
  <si>
    <t>RICH FDS NCORE BB-ARAMARK</t>
  </si>
  <si>
    <t>RICH FDS NCOREBB-MAIN ARAMARK</t>
  </si>
  <si>
    <t>EXPORT - RICH PRODUCTS</t>
  </si>
  <si>
    <t>RICH PROD-UPC</t>
  </si>
  <si>
    <t>RICH CC GREENVILLE</t>
  </si>
  <si>
    <t>8/1/2018   7/31/2019 Greenville County Schools</t>
  </si>
  <si>
    <t>RICH   WOODYS BBQ</t>
  </si>
  <si>
    <t>RICH'S CHULA VISTA</t>
  </si>
  <si>
    <t>Chula Vista Resort</t>
  </si>
  <si>
    <t>RICH STATE ST BRAT</t>
  </si>
  <si>
    <t>State Street Brats</t>
  </si>
  <si>
    <t>RICH'S ELLA'S REST</t>
  </si>
  <si>
    <t>Ella's Restaurant</t>
  </si>
  <si>
    <t>RICHS  BAHAMA BUCK'S</t>
  </si>
  <si>
    <t>RICHS SANTIKOS</t>
  </si>
  <si>
    <t>Santikos</t>
  </si>
  <si>
    <t>RICH'S HO CHUNK</t>
  </si>
  <si>
    <t>Ho Chunk Casino</t>
  </si>
  <si>
    <t>RICH PROD ELK GROVE USD</t>
  </si>
  <si>
    <t>7/1/2015   6/30/2016 Elk Grove Unified</t>
  </si>
  <si>
    <t>RICH FOODS LUCKY STRIKE</t>
  </si>
  <si>
    <t>RICH LUCKY STRIKE</t>
  </si>
  <si>
    <t>7/1/2015   6/30/2016 Placer/Nevada County Co Op Purchasing Group</t>
  </si>
  <si>
    <t>RICH'S WEAVERS</t>
  </si>
  <si>
    <t>WEAVERS OF WELLSVILLE Net Pricing  eff 09.15.13</t>
  </si>
  <si>
    <t>BB COUNTRY KITCHEN FOB RICH</t>
  </si>
  <si>
    <t>RICH'S COMPETITIVE BB</t>
  </si>
  <si>
    <t>Competitive Billback for Sysco Baraboo including Miller and Sons</t>
  </si>
  <si>
    <t>RICH'S NORSKE NOOK</t>
  </si>
  <si>
    <t>Norske Nook</t>
  </si>
  <si>
    <t>RICHS AAFED AAFESSEA</t>
  </si>
  <si>
    <t>AAFES Sub roll program</t>
  </si>
  <si>
    <t>RICHS CHESTER SCHLS</t>
  </si>
  <si>
    <t>8/1/2018   7/31/2019 Chesterfield County Public Schools</t>
  </si>
  <si>
    <t>Ladder 133 Sports Bar &amp; Grill</t>
  </si>
  <si>
    <t>USDA RICH'S B198 100912 G116</t>
  </si>
  <si>
    <t>RICH'S-AMHERST DEL. (OVRD)</t>
  </si>
  <si>
    <t>RICH'S BAR B CUTIES</t>
  </si>
  <si>
    <t>Bar B Cutie Smokehouse</t>
  </si>
  <si>
    <t>PRG1040867 CORKYS-RICH</t>
  </si>
  <si>
    <t>RICH BREAD &amp; ROLL BB CORE-SOD</t>
  </si>
  <si>
    <t>RICH BREAD&amp;ROLL BB NCORE-SOD</t>
  </si>
  <si>
    <t>RICH PIZZA DOUGH BB CORE-SOD</t>
  </si>
  <si>
    <t>RICH PIZZA DOUGH BB NCORE-SOD</t>
  </si>
  <si>
    <t>RICH'S FOR RUSH B B</t>
  </si>
  <si>
    <t>Rush Hospital</t>
  </si>
  <si>
    <t>RICHS WHSE DEL COMM FP</t>
  </si>
  <si>
    <t>RICH PRODUCTS   BROWNS ORCHARD</t>
  </si>
  <si>
    <t>2016 Brown's Orchard Market deal thr Ettline Dist</t>
  </si>
  <si>
    <t>RICH PRODUCTS CLOVIS USD</t>
  </si>
  <si>
    <t>SY 14 15 Clovis Unified N Cal</t>
  </si>
  <si>
    <t>RICH CC-MIGHTY TACO</t>
  </si>
  <si>
    <t>Sysco Syracuse Mighty Taco BBQ 2016</t>
  </si>
  <si>
    <t>RICHS SUFFOLK SCHLS 201810910</t>
  </si>
  <si>
    <t>RICH   STROUDSMOOR INN TOWN</t>
  </si>
  <si>
    <t>Stroudsmoor Inn Town 2016 deal through Sysco CPA</t>
  </si>
  <si>
    <t>RICH PRODUTS NORTHAMPTON</t>
  </si>
  <si>
    <t>RICH PRODUCTS-NCCNPA 16 17</t>
  </si>
  <si>
    <t>RICH KRUSH BURGER</t>
  </si>
  <si>
    <t>Krush Burger</t>
  </si>
  <si>
    <t>ARA-RICH FDS NC BB RETRO</t>
  </si>
  <si>
    <t>ARA-RICH FDS CORE BB RETRO</t>
  </si>
  <si>
    <t>BB FORUM FOB RICHS</t>
  </si>
  <si>
    <t>RICH PROD PREFERRED CHOICE</t>
  </si>
  <si>
    <t>7/1/2015   6/30/2016 Preferred Choice</t>
  </si>
  <si>
    <t>RICH NOI QUEEN ANNE (100912)</t>
  </si>
  <si>
    <t>RICH NOI TALBOT (100912)</t>
  </si>
  <si>
    <t>RICH NOI CAROLINE (110244)</t>
  </si>
  <si>
    <t>RICH FDS MOONLITE DINER</t>
  </si>
  <si>
    <t>Moonlite Diner</t>
  </si>
  <si>
    <t>RICH PRODUCTS-WINGHOUSE</t>
  </si>
  <si>
    <t>Kers Winghouse</t>
  </si>
  <si>
    <t>RICH DC PERKINS</t>
  </si>
  <si>
    <t>Perkins</t>
  </si>
  <si>
    <t>USDA RICH'S B198 100912 J035</t>
  </si>
  <si>
    <t>RICH FOODS-RTPT 4 RIVERS</t>
  </si>
  <si>
    <t>RICH PRODUCTS - FT LE BEOUF</t>
  </si>
  <si>
    <t>USDA RICH'S B198 100912 J112</t>
  </si>
  <si>
    <t>RICH DOD NAPA 0262</t>
  </si>
  <si>
    <t>RICH'S THAT'S AMORE#1040701</t>
  </si>
  <si>
    <t>That's Amore Italian Cafe</t>
  </si>
  <si>
    <t>RICH PROD MEX ALL SPIN</t>
  </si>
  <si>
    <t>MRI</t>
  </si>
  <si>
    <t>RIB CITY RICHS</t>
  </si>
  <si>
    <t>USDA RICHS ARA NJ - 100912</t>
  </si>
  <si>
    <t>USDA RICHS ARA NY - 100912</t>
  </si>
  <si>
    <t>7/1/2015   6/30/2016 Eureka City Unified</t>
  </si>
  <si>
    <t>RICH COREBB-SEAWORLD</t>
  </si>
  <si>
    <t>7/1/2017   6/30/2018 Jefferson County R 1</t>
  </si>
  <si>
    <t>RICHS-MH COOP</t>
  </si>
  <si>
    <t>FOODBUY(ESU) RICHS</t>
  </si>
  <si>
    <t>RICH PROD EL DORADO UHSD</t>
  </si>
  <si>
    <t>7/1/2015   6/30/2016 El Dorado Union High</t>
  </si>
  <si>
    <t>RICH PROD CHURCHILL CSD</t>
  </si>
  <si>
    <t>Isles Pizza   2016</t>
  </si>
  <si>
    <t>RICH JOSIAHS</t>
  </si>
  <si>
    <t>RICH PROD ROSEVILLE CSD</t>
  </si>
  <si>
    <t>RICH FDS FDBY-CLIE. REWRDS</t>
  </si>
  <si>
    <t>USDA RICHS ARA NY - 110244</t>
  </si>
  <si>
    <t>RICH IPIC ENTERTAINMENT</t>
  </si>
  <si>
    <t>RICH PRODUCTS FBUY TRS ACCOUNT</t>
  </si>
  <si>
    <t>RICH'S DOUGLAS CNTY SCHLS</t>
  </si>
  <si>
    <t>CREATIVE RICHS</t>
  </si>
  <si>
    <t>RICH'S YUMA SCHOOL</t>
  </si>
  <si>
    <t>RICH-VCR FDBY COS SQ 1 BRGR</t>
  </si>
  <si>
    <t>RICH PROD WOB SPIN</t>
  </si>
  <si>
    <t>7/1/2015   6/30/2016 Lake Tahoe Unified</t>
  </si>
  <si>
    <t>FLAVORS CAFE AND GRILL RICH'S</t>
  </si>
  <si>
    <t>FLAVORS CAFE &amp; GRILL</t>
  </si>
  <si>
    <t>RICHS PDQ ROLLS</t>
  </si>
  <si>
    <t>Bubble Cake Program</t>
  </si>
  <si>
    <t>1/1/2017   6/30/2017 Southwest Montana School Services</t>
  </si>
  <si>
    <t>RICH'S BARABOO SCHOOLS</t>
  </si>
  <si>
    <t>RICH'S SAC CITY USD</t>
  </si>
  <si>
    <t>8/1/2015   7/31/2016 Sacramento City Unified</t>
  </si>
  <si>
    <t>RICH'S MCKINLEYVILE USD</t>
  </si>
  <si>
    <t>8/1/2015   6/30/2016 Yuba City Unified SD</t>
  </si>
  <si>
    <t>RICH'S BAHAMA BUCKS</t>
  </si>
  <si>
    <t>RICH - RESA6</t>
  </si>
  <si>
    <t>7/1/2016   6/30/2017 RESA 6</t>
  </si>
  <si>
    <t xml:space="preserve">IHOP BB Deviated Pricing: Term Extention  Distributor Add  New Product Addition </t>
  </si>
  <si>
    <t>BUBBLE CAKE RICHS ICING</t>
  </si>
  <si>
    <t>SchillingBridge 2016</t>
  </si>
  <si>
    <t>Oscar's Pizza</t>
  </si>
  <si>
    <t>52 ROC Group</t>
  </si>
  <si>
    <t>RICH-BOSTON COOKER</t>
  </si>
  <si>
    <t>Boston Cooker</t>
  </si>
  <si>
    <t>RICH PRODUCTS SIZZLER</t>
  </si>
  <si>
    <t>RICH'S PIGGLY WIGGLY</t>
  </si>
  <si>
    <t>PIGGLY WIGGLY DELI   ALABAMA</t>
  </si>
  <si>
    <t>RICHS CIRCLE K BB</t>
  </si>
  <si>
    <t>Circle K ALL Division</t>
  </si>
  <si>
    <t>RICHS-SNOOK INN</t>
  </si>
  <si>
    <t>52 02 04 238 Snook Inn</t>
  </si>
  <si>
    <t>RICHS-RESTAURANT PARTNERS</t>
  </si>
  <si>
    <t>RICH-AFM MELS DINER</t>
  </si>
  <si>
    <t>Mel's Diner</t>
  </si>
  <si>
    <t>RICH FOODS 049-XANTERRA</t>
  </si>
  <si>
    <t>Xanterra (Grand Canyon)</t>
  </si>
  <si>
    <t>RICH RUTH CHRIS</t>
  </si>
  <si>
    <t>RICH'S ZEBB'S #1043903</t>
  </si>
  <si>
    <t>Zebb's Bread Dough</t>
  </si>
  <si>
    <t>8/1/2015   6/30/2016 Mountain View Food Purchasing Cooperative</t>
  </si>
  <si>
    <t>RICH FOODS VARIETY - ARA SSS</t>
  </si>
  <si>
    <t>RICH'S 2510 REST</t>
  </si>
  <si>
    <t>2510 Restaurant</t>
  </si>
  <si>
    <t>RICH PRODUCTS 100912 NOI</t>
  </si>
  <si>
    <t>Adana Kebab Flatbreads</t>
  </si>
  <si>
    <t>RICH PRODUCTS DEL NORTE USD</t>
  </si>
  <si>
    <t>8/1/2015   7/31/2016 Del Norte County Unified</t>
  </si>
  <si>
    <t>ARMRK SSS NCRE BB RICH  271174</t>
  </si>
  <si>
    <t>RICH PRODUCTS SPRING FOOD</t>
  </si>
  <si>
    <t>Coronado Springs Foodservice</t>
  </si>
  <si>
    <t>RICH (CORE)   SODEXO</t>
  </si>
  <si>
    <t>7/1/2016   6/30/2017 Maury County Public Schools</t>
  </si>
  <si>
    <t>BURTONS BB RICH FOODS</t>
  </si>
  <si>
    <t>RICH-BUSCH GARDENS(SEA WRLD)</t>
  </si>
  <si>
    <t>RICH'S-GRAFTON DEL.</t>
  </si>
  <si>
    <t>RICHS PBC USDA 110244</t>
  </si>
  <si>
    <t>RICH FDS-HOUSLERS (CSM FOODBUY</t>
  </si>
  <si>
    <t>RICH'S QUIGLEY'S GENERAL</t>
  </si>
  <si>
    <t>RICH FOODS MAZZONE</t>
  </si>
  <si>
    <t>RICH PRODUCTS-OCNC</t>
  </si>
  <si>
    <t xml:space="preserve">SY 14 15 Oregon Child Nutrition  </t>
  </si>
  <si>
    <t>RICHS   WINDSOR SCHOOLS</t>
  </si>
  <si>
    <t>8/17/2016   8/16/2017 Windsor School District</t>
  </si>
  <si>
    <t>RICH BB NCORE-ARA</t>
  </si>
  <si>
    <t>RICH BB-CORE-ARA</t>
  </si>
  <si>
    <t>RICHS K-12 SCHOOL  2018-2019</t>
  </si>
  <si>
    <t>RICH FOODS-IRON CACTUS   CLRWD</t>
  </si>
  <si>
    <t>RICH FOODS-GREEN MESQ   CLRWD</t>
  </si>
  <si>
    <t>RICH FOODS-THIRD BASE   CLRWD</t>
  </si>
  <si>
    <t>RICH PRODUCTS-APPLEGATE</t>
  </si>
  <si>
    <t>SY 14 15 Applegate Child Nutrition Oregon</t>
  </si>
  <si>
    <t>RICH PROD PBC SCHLS</t>
  </si>
  <si>
    <t>SY 14 15 Palm Beach County Florida</t>
  </si>
  <si>
    <t>RICH NAPA ALW SPE30015D3114</t>
  </si>
  <si>
    <t>RICHS-$OFF-CHUCKS FAMILY PIZZA</t>
  </si>
  <si>
    <t>Chuck's Family Pizza Buffet rebate</t>
  </si>
  <si>
    <t>LETS DISH RICHS</t>
  </si>
  <si>
    <t>Let's Dish</t>
  </si>
  <si>
    <t>RICH COLONIAL BOWL</t>
  </si>
  <si>
    <t>Colonial Bowling &amp; Entertainment rebate thr AFI Foods</t>
  </si>
  <si>
    <t>Emings</t>
  </si>
  <si>
    <t>RICH FDS HILTON'S RETRO</t>
  </si>
  <si>
    <t>CREATIVE RICH FOODS</t>
  </si>
  <si>
    <t>52 Creative Dining</t>
  </si>
  <si>
    <t>RICHS SWEET DOUGH BB-SODEXO RE</t>
  </si>
  <si>
    <t>RICHS   CAPONES</t>
  </si>
  <si>
    <t>Capone's Dinner &amp; Show Program</t>
  </si>
  <si>
    <t>RICH-MASCHIO'S</t>
  </si>
  <si>
    <t>DAVINCI'S RICH'S (FOODBUY)</t>
  </si>
  <si>
    <t>DQ (SPIN)VVA RICH PRODUCTS</t>
  </si>
  <si>
    <t>RICH PRODUCTS  LUCKY STRIKE</t>
  </si>
  <si>
    <t>RICH CORPORATION NOI FY15</t>
  </si>
  <si>
    <t>RICHS 100912 STERLING</t>
  </si>
  <si>
    <t>RICH PRODUCTS H&amp;HCAMPS</t>
  </si>
  <si>
    <t>RICH PRODUCTS-BEAVERTON SD</t>
  </si>
  <si>
    <t>RICHS CAFÃ‰ SERVICES</t>
  </si>
  <si>
    <t>Cafe Services / Corporate Dining &amp; Glendale Senior Dining 2016 2017</t>
  </si>
  <si>
    <t>RICH DAIRY QUEEN  1044186 001</t>
  </si>
  <si>
    <t>RICH'S PHILLIPS</t>
  </si>
  <si>
    <t>10 Tavern / Phillips Seafood</t>
  </si>
  <si>
    <t>RICH CORE BB(RETRO)- ARAMARK</t>
  </si>
  <si>
    <t>RICH NCORE BB (RETRO)- ARAMARK</t>
  </si>
  <si>
    <t>NYAJ   RICH'S</t>
  </si>
  <si>
    <t>Not Your Average's Joe</t>
  </si>
  <si>
    <t>RICHS-DC LEGOLAND</t>
  </si>
  <si>
    <t>Legoland</t>
  </si>
  <si>
    <t>DUTCH'S DAUGHTER RICH PRODUCTS</t>
  </si>
  <si>
    <t>Dutches Daughter</t>
  </si>
  <si>
    <t>RICH-BPAA (NATION BOWLING)</t>
  </si>
  <si>
    <t>RICH MILITARY NAPA</t>
  </si>
  <si>
    <t>CREATIVE RICH</t>
  </si>
  <si>
    <t>RICH RACCOON LODGE</t>
  </si>
  <si>
    <t>RACCOON LODGE</t>
  </si>
  <si>
    <t>RICH PRODUCTS DICKE JO'S</t>
  </si>
  <si>
    <t>Dickie Jo's Burgers 2013</t>
  </si>
  <si>
    <t>RICH(BB) NYPD</t>
  </si>
  <si>
    <t>NYPD Pizzeria</t>
  </si>
  <si>
    <t>CSM RICHS</t>
  </si>
  <si>
    <t>RICH'S SKY ZONE  #104227</t>
  </si>
  <si>
    <t>RICHS CENTRAL COLLEGE   ALLOW</t>
  </si>
  <si>
    <t>RICH PRODUCTS-CARMEL CAFE</t>
  </si>
  <si>
    <t>RICH NTNL BLNKT SCHLS 15 16</t>
  </si>
  <si>
    <t>GREENBERRY RICHS</t>
  </si>
  <si>
    <t>RICH PREFERRED MCO GRP</t>
  </si>
  <si>
    <t>MCO Enterprises</t>
  </si>
  <si>
    <t>RICHS 100912 USDA-RETRO</t>
  </si>
  <si>
    <t>RICHS  GLADY'S PORTER ZOO</t>
  </si>
  <si>
    <t xml:space="preserve">Gladys Porter Zoo </t>
  </si>
  <si>
    <t>RICH PRODUCTS   CITY FIRE</t>
  </si>
  <si>
    <t>City Fire American Oven and Bar</t>
  </si>
  <si>
    <t>RICHS - 100912 FLOUR</t>
  </si>
  <si>
    <t xml:space="preserve"> CPS   RICHS - 100912 FLOUR</t>
  </si>
  <si>
    <t>RICH DC-DELTA SONIC</t>
  </si>
  <si>
    <t>Delta Sonic Program 2017/2018</t>
  </si>
  <si>
    <t>RICH PRODUCTS IZZY'S</t>
  </si>
  <si>
    <t>IZZY'S PIZZA Nov 2014 thru Dec 2015</t>
  </si>
  <si>
    <t>RICH   MOLLYS</t>
  </si>
  <si>
    <t>Molly's Seafood Shack</t>
  </si>
  <si>
    <t>RICH JAVA CREW</t>
  </si>
  <si>
    <t>JAVA CREW</t>
  </si>
  <si>
    <t>LUCKY STRIKE RICHS</t>
  </si>
  <si>
    <t>RICH FOODS-IRON CACTUS CLRW</t>
  </si>
  <si>
    <t>RICH PRODUCTS  FRESNO EOC</t>
  </si>
  <si>
    <t>5/1/2015   9/30/2015 Fresno County Economic Opportunities Commission</t>
  </si>
  <si>
    <t>Vidlak's Brookside Cafe</t>
  </si>
  <si>
    <t>RICH'S OC BREWING CO</t>
  </si>
  <si>
    <t>Ocean City Brewing Company</t>
  </si>
  <si>
    <t>RICH FOODS-GREEN MESQ CLRW</t>
  </si>
  <si>
    <t>RICH FOODS REESE GRP</t>
  </si>
  <si>
    <t>MIL AFNAF - RICH FOODS</t>
  </si>
  <si>
    <t>The Good Life</t>
  </si>
  <si>
    <t>RICHS SKI BOWL</t>
  </si>
  <si>
    <t>MT HOOD SKIBOWL</t>
  </si>
  <si>
    <t>RICHS   MPS</t>
  </si>
  <si>
    <t>SY 18/19 Milwaukee Public Schools</t>
  </si>
  <si>
    <t>RICH'S LENNY &amp; JOE'S NH</t>
  </si>
  <si>
    <t>Lenny &amp; Joe's   Bread Dough 2016</t>
  </si>
  <si>
    <t>RICHS PROD OGS</t>
  </si>
  <si>
    <t>RICH CHUNKY'S (DC)</t>
  </si>
  <si>
    <t>Chunky's Cinema Pub</t>
  </si>
  <si>
    <t>RICH-STEVO'S</t>
  </si>
  <si>
    <t>52 01 113 Stevo Pizza / Fresco Pizza</t>
  </si>
  <si>
    <t>RICH-DC ORANGE LAKE CC</t>
  </si>
  <si>
    <t>Orange Lake Resort</t>
  </si>
  <si>
    <t>RICH FDS CORE DELAWARE NRTH BB</t>
  </si>
  <si>
    <t>RICHS H&amp;H PURCHASING</t>
  </si>
  <si>
    <t>RICH FDS NCORE FDBY BB 100948</t>
  </si>
  <si>
    <t>DQ VVA RICH PRODUCTS</t>
  </si>
  <si>
    <t>RICH K-12 SCH BID(NC ITEMS)</t>
  </si>
  <si>
    <t>RICH VILLAGE TAVERN</t>
  </si>
  <si>
    <t>RICHS-DC FUN SPOT</t>
  </si>
  <si>
    <t>Fun Spot America</t>
  </si>
  <si>
    <t>RICH PRODUCTS BLACKBEARD</t>
  </si>
  <si>
    <t>Blackbeard's Inn</t>
  </si>
  <si>
    <t>RICHS FOODS TREAT AMER SPIN</t>
  </si>
  <si>
    <t>RICHS-POKY DOT</t>
  </si>
  <si>
    <t>THE POKY DOT</t>
  </si>
  <si>
    <t>RICH-BB&amp;CC SEAWORLD</t>
  </si>
  <si>
    <t>MUG N MUFFIN RICH'S</t>
  </si>
  <si>
    <t>Mug N Muffin</t>
  </si>
  <si>
    <t>DAILY GRIND FRONT ROYAL-RICH'S</t>
  </si>
  <si>
    <t>Scone Dough rebate Main St Daily Grind</t>
  </si>
  <si>
    <t>BWF-RICH'S $ OFF</t>
  </si>
  <si>
    <t>Buffalo Wing Factory</t>
  </si>
  <si>
    <t>RICH FDS-BB-NCORE-RUTH CHRIS</t>
  </si>
  <si>
    <t>Fire Barn Pizza Program</t>
  </si>
  <si>
    <t>RICH-MAX BRENNER</t>
  </si>
  <si>
    <t>Max Brenner deal</t>
  </si>
  <si>
    <t>RICH PIZZA DEPOT</t>
  </si>
  <si>
    <t>Pizza Depot</t>
  </si>
  <si>
    <t>RICH PRODUCTS FIVE STAR</t>
  </si>
  <si>
    <t>Chicken Coop</t>
  </si>
  <si>
    <t>RICH'S BLANKET DELIVERED</t>
  </si>
  <si>
    <t>RICHS-SALEM'S</t>
  </si>
  <si>
    <t>Salem's Gyro's &amp; Subs Program</t>
  </si>
  <si>
    <t>USDA RICH'S B077 J012</t>
  </si>
  <si>
    <t>USDA RICH'S B077 J035</t>
  </si>
  <si>
    <t>USDA RICH'S B077 J067</t>
  </si>
  <si>
    <t>USDA RICH'S B077 G053</t>
  </si>
  <si>
    <t>RICH IHOP</t>
  </si>
  <si>
    <t>APOLLO   RICH</t>
  </si>
  <si>
    <t>RICH FDS  SIZZLER USA</t>
  </si>
  <si>
    <t>USDA RICH'S B077 G035</t>
  </si>
  <si>
    <t>RICH PRODUCTS  LINDSAY USD</t>
  </si>
  <si>
    <t>8/1/2015   6/30/2016 Lindsay Unified</t>
  </si>
  <si>
    <t>RICH FOODS THIRDBASE CLRW</t>
  </si>
  <si>
    <t>USDA 110244 RICH PRODUCTS - IL</t>
  </si>
  <si>
    <t>RICH FDS CC-GREEN MESQ CLRW</t>
  </si>
  <si>
    <t>RICH'S-MAKUTU ISLAND</t>
  </si>
  <si>
    <t>RICH PRODUCTS  SAN JOAQUIN VA</t>
  </si>
  <si>
    <t>7/1/2015   6/30/2016 San Joaquin Valley Purchasing Cooperative</t>
  </si>
  <si>
    <t>RICH ISLE CAPRI</t>
  </si>
  <si>
    <t>RICH COMPASS FIVE STAR      JV</t>
  </si>
  <si>
    <t>RICH FOODS CSM</t>
  </si>
  <si>
    <t>RICHS GABRIELLAS ITALIAN</t>
  </si>
  <si>
    <t>Gabriellas</t>
  </si>
  <si>
    <t>RICH PROD LODI USD FROZEN</t>
  </si>
  <si>
    <t>7/1/2015   6/30/2016 Lodi Unified SD</t>
  </si>
  <si>
    <t>RICH'S SKY ZONE CAKE PROMO</t>
  </si>
  <si>
    <t>RICH FOODS-FOODBUY AUDIT</t>
  </si>
  <si>
    <t>GROVE PARK 17 RICH PRODUCTS CO</t>
  </si>
  <si>
    <t>Sysco Charlotte Grove Park 2017 Allowances</t>
  </si>
  <si>
    <t>RICH FOODS-SLIM CHICKENS</t>
  </si>
  <si>
    <t>Slim Chicken's</t>
  </si>
  <si>
    <t>USDA RICH'S B077 G006</t>
  </si>
  <si>
    <t>RICH PRODUCTS  MANTECA USD</t>
  </si>
  <si>
    <t>7/1/2015   6/30/2016 Manteca Unified</t>
  </si>
  <si>
    <t>RICH LAZY RIVER SALOON</t>
  </si>
  <si>
    <t>Frontier Town   Pizza Products</t>
  </si>
  <si>
    <t>RICH BUXY'S</t>
  </si>
  <si>
    <t>Buxy's Salty Dog Saloon</t>
  </si>
  <si>
    <t>RICH FOODS IPIC</t>
  </si>
  <si>
    <t>RICH PRODUCTS-CRAFTY BURGER</t>
  </si>
  <si>
    <t>Crafty Burg'r</t>
  </si>
  <si>
    <t>8/1/2016   7/31/2017 Bellevue Public Schools</t>
  </si>
  <si>
    <t>RICH FOODS CC-AFV</t>
  </si>
  <si>
    <t xml:space="preserve">American Food &amp; Vending Enhancement Plan </t>
  </si>
  <si>
    <t>RICH PRODUCTS  RIPON USD</t>
  </si>
  <si>
    <t>8/1/2015   7/31/2016 Ripon Unified</t>
  </si>
  <si>
    <t>RICH HEIDI'S OF GRESHAM</t>
  </si>
  <si>
    <t>HEIDI'S OF GRESHAM</t>
  </si>
  <si>
    <t>RICH PRODUCTS  CVBG</t>
  </si>
  <si>
    <t>JACQUELINES-RTPT 4 RIVERS</t>
  </si>
  <si>
    <t>4 River's Smokehouse Jacqueline's Cookies</t>
  </si>
  <si>
    <t>RICH PRODUCT-(BAPA)-RUTH CHRIS</t>
  </si>
  <si>
    <t>RICH RETRO VILLAGE TAVERN</t>
  </si>
  <si>
    <t>Short Stop Deli 2016 (Italian Bread 03041)</t>
  </si>
  <si>
    <t>7/1/2016   6/30/2017 Lincoln Public Schools</t>
  </si>
  <si>
    <t>CHUBBY'S</t>
  </si>
  <si>
    <t>USDA-RICH ARA LOWELL</t>
  </si>
  <si>
    <t>USDA-RICH ARA STONEHAM</t>
  </si>
  <si>
    <t>TREAT AMER (D O)-RICH FOODS</t>
  </si>
  <si>
    <t>RICH PIZZA DOUGH NCOREBB RETRO</t>
  </si>
  <si>
    <t>7/1/2015   6/30/2016 Empire Union Elementary</t>
  </si>
  <si>
    <t>USDA-RICH ARA WOBURN</t>
  </si>
  <si>
    <t>RICH WILD RIVER</t>
  </si>
  <si>
    <t>WILD RIVER BREWING &amp; PIZZA</t>
  </si>
  <si>
    <t>7/1/2016   6/30/2017 Westside Community Schools</t>
  </si>
  <si>
    <t>RICH PRODUCTS  TURLOCK USD</t>
  </si>
  <si>
    <t>7/1/2015   6/30/2016 Turlock Joint Union High</t>
  </si>
  <si>
    <t>RICHS FOODS  SPLASHTOWN</t>
  </si>
  <si>
    <t>Splashtown USA</t>
  </si>
  <si>
    <t>8/8/2016   6/16/2017 Papillion La Vista Public Schs</t>
  </si>
  <si>
    <t>RICH'S-STEAK 44</t>
  </si>
  <si>
    <t>Steak 44</t>
  </si>
  <si>
    <t>RICH PROD NAT'L SCHOOL BLNKT</t>
  </si>
  <si>
    <t>Makatu's Island</t>
  </si>
  <si>
    <t>RICH NOI SDX TALBOT 100912</t>
  </si>
  <si>
    <t>RICH SDX QACPS NOI</t>
  </si>
  <si>
    <t>RICH HOULIHAN'S</t>
  </si>
  <si>
    <t>RICH FOODS WILDFLOWER BREAD</t>
  </si>
  <si>
    <t>Wildflower Bread Company</t>
  </si>
  <si>
    <t>RICHS-DC MAINSTREET GRILL</t>
  </si>
  <si>
    <t>Mainstreet Grill Cinnamon Roll Dough</t>
  </si>
  <si>
    <t>RICH PRODUCTS DAIRY QUEEN</t>
  </si>
  <si>
    <t>RICH'S HARRY O B B</t>
  </si>
  <si>
    <t>Harry O's</t>
  </si>
  <si>
    <t>RICH BACKWOODS</t>
  </si>
  <si>
    <t>RICHS-DETWILERS</t>
  </si>
  <si>
    <t>Detwiler's Market</t>
  </si>
  <si>
    <t>RICHS WITTENBERG SCHLS</t>
  </si>
  <si>
    <t>RICHS PIZZA RIO</t>
  </si>
  <si>
    <t>PIZZA RIO</t>
  </si>
  <si>
    <t>RICH PRODUCTS  LIVINGSTON USD</t>
  </si>
  <si>
    <t>7/1/2015   6/30/2016 Livingston Union Elementary</t>
  </si>
  <si>
    <t>ARAMAK EX-SSS(BB NOCRE)RICH FD</t>
  </si>
  <si>
    <t>ARAMARK EX-SSS(BB CORE)RICH FD</t>
  </si>
  <si>
    <t>PERKINS RICHS</t>
  </si>
  <si>
    <t>Perkins &amp; Marie Callendar's</t>
  </si>
  <si>
    <t>RICH FOODS-CAMERON-MITCH-FDBY</t>
  </si>
  <si>
    <t>RICHS(CASA DI BRTCCHI-SODEXO</t>
  </si>
  <si>
    <t>RICH'S-JOHNNY LEVEROCK'S CHAZE</t>
  </si>
  <si>
    <t>Johnny Leverocks</t>
  </si>
  <si>
    <t>RICH GAYLES ITALIAN</t>
  </si>
  <si>
    <t>GAYLES ITALIAN MARKET</t>
  </si>
  <si>
    <t>RICH MOTOR VU DRIVE INN</t>
  </si>
  <si>
    <t>MOTOR VU DRIVE INN</t>
  </si>
  <si>
    <t>RICH FOODS  TAHER INC</t>
  </si>
  <si>
    <t>Taher Distributor K 12 Program</t>
  </si>
  <si>
    <t>Johnny's Pizza</t>
  </si>
  <si>
    <t>RICH MANCHESTER SCHLS</t>
  </si>
  <si>
    <t>9/1/2017   8/31/2018 Manchester School District</t>
  </si>
  <si>
    <t>RICHS-WOB</t>
  </si>
  <si>
    <t>RICH PRODUCTS JUBITZ</t>
  </si>
  <si>
    <t>JUBITZ CORPORATION</t>
  </si>
  <si>
    <t>RICH PRODUCTS-FOODBUY LOCAL</t>
  </si>
  <si>
    <t>RICH'S   100912 FLOUR BREAD</t>
  </si>
  <si>
    <t>RICH'S   110244 MOZZARELLA</t>
  </si>
  <si>
    <t>RICH'S NOI SOMERSET 100912</t>
  </si>
  <si>
    <t>IHOP           JUNE 17</t>
  </si>
  <si>
    <t>RICH'S SKYZONE FREE CAKE</t>
  </si>
  <si>
    <t>RICH FOODS-WOODYS BBQ</t>
  </si>
  <si>
    <t>RICH'S-WILDS CONFERENCE</t>
  </si>
  <si>
    <t>RICH  JCPS 7565</t>
  </si>
  <si>
    <t>RICHS REGION 1  2015-16</t>
  </si>
  <si>
    <t>7/1/2015   6/30/2016 South Texas Co op /Region One</t>
  </si>
  <si>
    <t>RICH FOODS MRS.WINNERS</t>
  </si>
  <si>
    <t>Mrs. Winner's</t>
  </si>
  <si>
    <t>RICH ATLANTIS CASINO</t>
  </si>
  <si>
    <t>SPICY PIE   RICH PRODUCTS</t>
  </si>
  <si>
    <t>RICHS EMBERS REST</t>
  </si>
  <si>
    <t>Embers</t>
  </si>
  <si>
    <t>RICH FOODS (NSRCD)BB  FDBUY</t>
  </si>
  <si>
    <t>7/2/2018   6/30/2019 Jefferson County Kentucky</t>
  </si>
  <si>
    <t>RICH-UPC</t>
  </si>
  <si>
    <t>RICHS  100912  USDA</t>
  </si>
  <si>
    <t>RICH-MASON</t>
  </si>
  <si>
    <t>RICH FOODS DC-MEXICAN REST</t>
  </si>
  <si>
    <t>Specialty Restaurants 2015</t>
  </si>
  <si>
    <t>Variety - Aramark</t>
  </si>
  <si>
    <t>RICH PEPPERONI'S TAVERN</t>
  </si>
  <si>
    <t>Pepperonis Tavern</t>
  </si>
  <si>
    <t>RICH FOODS THIRDBASE  CLRW</t>
  </si>
  <si>
    <t>RICH FOODS (CORE)BB  DNC</t>
  </si>
  <si>
    <t>RICHS CC-GREECE SCHOOLS</t>
  </si>
  <si>
    <t>7/1/2017   6/30/2018 Greece CSD</t>
  </si>
  <si>
    <t>Stauffers Lincoln</t>
  </si>
  <si>
    <t>RICHS MAIN STREET</t>
  </si>
  <si>
    <t>Main Street Cafe</t>
  </si>
  <si>
    <t>RICHS MANTECA USD CATFULLYFUND</t>
  </si>
  <si>
    <t>RICH WORCESTER NOI 100912</t>
  </si>
  <si>
    <t>RICHS ALLOW GANDOLFO'S</t>
  </si>
  <si>
    <t>LYONS(PUDDING)REESE GRP</t>
  </si>
  <si>
    <t>USDA-RICH PROD 100912 NOI</t>
  </si>
  <si>
    <t>USDA RICH PRD MFS   B198</t>
  </si>
  <si>
    <t>RICHS JOHN &amp; NICKS</t>
  </si>
  <si>
    <t>John &amp; NIck's Steak &amp; Prime Rib</t>
  </si>
  <si>
    <t>RICH PRODUCTS-AVENDRA</t>
  </si>
  <si>
    <t>RICHS-COLUMB CHA CHA ULELE</t>
  </si>
  <si>
    <t>Columbia/Cha Cha's/Ulele</t>
  </si>
  <si>
    <t>RICH FOODS-MEXICAN RESTAURANTS</t>
  </si>
  <si>
    <t>RICHS BIG STEER</t>
  </si>
  <si>
    <t>RICH PRODUCTS-BURGERFI RETRO</t>
  </si>
  <si>
    <t>IHOP RICH      JUL 17</t>
  </si>
  <si>
    <t>RICH DC-716 SPORT</t>
  </si>
  <si>
    <t>716 Food &amp; Sport</t>
  </si>
  <si>
    <t>RICH'S GARDEN FRESH BB</t>
  </si>
  <si>
    <t>RICH'S ZOOT CAFE B B</t>
  </si>
  <si>
    <t>RICHS IRON C-Z TEJAS  CLRW</t>
  </si>
  <si>
    <t>RICH MOHEGAN SUN</t>
  </si>
  <si>
    <t>FOODBUY (BB) (CORE) RICH FOODS</t>
  </si>
  <si>
    <t>FOODBUY(BB)(NCORE)RICH FOODS</t>
  </si>
  <si>
    <t>RICH FOODS GREEN MESQ CLRW</t>
  </si>
  <si>
    <t>RICHS FOODS-CARMEL CAFE</t>
  </si>
  <si>
    <t>RICH FOODS BB-FOODBUY (RETRO)</t>
  </si>
  <si>
    <t>RICH OLATHE SCHOOLS</t>
  </si>
  <si>
    <t>SY 14 15 Olathe Schools Kansas</t>
  </si>
  <si>
    <t>RICH PRODUCTS CASINO'S</t>
  </si>
  <si>
    <t>Casino Account Allowances / Sysco Seattle Casino Program</t>
  </si>
  <si>
    <t>DOGMONEY REST.-RICHS FLATBREAD</t>
  </si>
  <si>
    <t>Dogmoney Restaurant Program</t>
  </si>
  <si>
    <t>RICH PRODUCTS CINNAMON WORKS</t>
  </si>
  <si>
    <t xml:space="preserve">Cinnamon Works </t>
  </si>
  <si>
    <t>RICH PRODUCTS AZTECA</t>
  </si>
  <si>
    <t xml:space="preserve">Azteca Mexican Restaurants </t>
  </si>
  <si>
    <t>RICHS SARDUCCI'S</t>
  </si>
  <si>
    <t>Sarducci's 2013</t>
  </si>
  <si>
    <t>RICH PRODUCTS PYRAMID BREWERY</t>
  </si>
  <si>
    <t>PYRAMID ALEHOUSE RESTAURANT Oct 2012 thru Dec 2013</t>
  </si>
  <si>
    <t>RICH'S PUGET SOUND PIZZA</t>
  </si>
  <si>
    <t xml:space="preserve">PUGET SOUND PIZZA </t>
  </si>
  <si>
    <t>RICH PRODUCTS   GEO GROUP</t>
  </si>
  <si>
    <t>Geo Group 2013</t>
  </si>
  <si>
    <t>RICH WORCESTER 110244</t>
  </si>
  <si>
    <t>HEAVENLY EDIBLES RICH PRODUCTS</t>
  </si>
  <si>
    <t>UBR Heavenly Edibles</t>
  </si>
  <si>
    <t>RICH CAROLINE 110244</t>
  </si>
  <si>
    <t>RICH PRODUCTS BLACK BEAR DINER</t>
  </si>
  <si>
    <t>RICH KATHY'S TABLE</t>
  </si>
  <si>
    <t>Kathy's Table PBCC</t>
  </si>
  <si>
    <t>RICH-DER DUTCHMAN</t>
  </si>
  <si>
    <t>Der Dutchman</t>
  </si>
  <si>
    <t>USDA RICH PRD SY17 18  B198</t>
  </si>
  <si>
    <t>FBUY COMM BYED BIMINI(BB)RICHS</t>
  </si>
  <si>
    <t>WORLD OF BEER RICHS</t>
  </si>
  <si>
    <t>RICH FOODS-RTPT RIVR</t>
  </si>
  <si>
    <t>RICH DC-MIGHTY TACO</t>
  </si>
  <si>
    <t>Mighty Taco Pulled Pork 2017</t>
  </si>
  <si>
    <t>Sysco Syracuse   Mighty Taco 2017 Pulled Pork   case pricing</t>
  </si>
  <si>
    <t>RICH DC LOGANS JOEY G</t>
  </si>
  <si>
    <t>Logan's Deli Market   Bread dough and Donut Deal</t>
  </si>
  <si>
    <t>DUCLAW RICH PRODUCTS</t>
  </si>
  <si>
    <t>DuClaws</t>
  </si>
  <si>
    <t>RICH PRODUCTS  CHUBBY'S &amp; OTH</t>
  </si>
  <si>
    <t>RICH'S MK'S GOURMET PIZZERIA</t>
  </si>
  <si>
    <t>USDA RICH'S B077 110244 J105</t>
  </si>
  <si>
    <t>RICH PRODUCTS BEAVERTON SD</t>
  </si>
  <si>
    <t>USDA RICH CSD SWANSEA K-12</t>
  </si>
  <si>
    <t>Reno's pricing program</t>
  </si>
  <si>
    <t>RICH PRODUCTS SHARI'S</t>
  </si>
  <si>
    <t>7/1/2015   6/30/2016 Palm Beach County School District</t>
  </si>
  <si>
    <t>RICH PRODUCTS OCNC</t>
  </si>
  <si>
    <t>RICH PIZZA STUDIOS</t>
  </si>
  <si>
    <t>Fuddruckers</t>
  </si>
  <si>
    <t>RICH-DC KOBE</t>
  </si>
  <si>
    <t xml:space="preserve">Kobe Steakhouse </t>
  </si>
  <si>
    <t>RAVENELLI'S RICHS</t>
  </si>
  <si>
    <t>52 02 167 Ravenelli's</t>
  </si>
  <si>
    <t>RICHS CIMAROLIS</t>
  </si>
  <si>
    <t>Cimaroli's</t>
  </si>
  <si>
    <t>RICH PRODUCTS-NCCNPA 17 18</t>
  </si>
  <si>
    <t>RICH FOODS BB-FOODBUY(RETRO)</t>
  </si>
  <si>
    <t>RICHS FOODS(R)-CARMEL CAFE</t>
  </si>
  <si>
    <t>RICH'S TOPPINGS-SODEXO FIX</t>
  </si>
  <si>
    <t>RICH PRODUCTS SPEEDI PIG</t>
  </si>
  <si>
    <t>Speedi Pig</t>
  </si>
  <si>
    <t>7/1/2015   6/30/2016 Applegate Trail Child Nutrition Purchasing Group</t>
  </si>
  <si>
    <t>MELT GOURMET CHEESEBURGER RICH</t>
  </si>
  <si>
    <t>Melt Gourmet Cheeseburgers</t>
  </si>
  <si>
    <t>RICH FOODS BB-IPIC ENT(FDBY)</t>
  </si>
  <si>
    <t>Maschio's School Food Service 2018.2019</t>
  </si>
  <si>
    <t>RICH  TX HHSC BBQ BEEF</t>
  </si>
  <si>
    <t>Health and Human Services</t>
  </si>
  <si>
    <t>RICH-NATURES FOOD PATCH</t>
  </si>
  <si>
    <t>RICH(R)-NATURES FOOD PATCH</t>
  </si>
  <si>
    <t>Mohegan Sun Casino 2018/2019/2020</t>
  </si>
  <si>
    <t>TCBY Pricing</t>
  </si>
  <si>
    <t>RICH PRODUCTS LUCKY STRIKE</t>
  </si>
  <si>
    <t>ANCHOR MENTAL HEALTH RICHS</t>
  </si>
  <si>
    <t xml:space="preserve">Anchor Mental Health BBQ </t>
  </si>
  <si>
    <t>RICH PRODUCTS MOVIE TAVERN</t>
  </si>
  <si>
    <t>RICH COUNTRY CLUB OF LEAWOOD</t>
  </si>
  <si>
    <t>Country Club of Leawood</t>
  </si>
  <si>
    <t>RICH MOE'S SUB SHOP</t>
  </si>
  <si>
    <t>MOE'S SUB SHOP PROGRAM</t>
  </si>
  <si>
    <t>RICH'S LE SAIGON</t>
  </si>
  <si>
    <t>LE SAIGON DELI BOLILLO ROLL EXACT BAKE PROGRAM PLUS CINNAMON ROLLS AND COOKIES</t>
  </si>
  <si>
    <t>7/1/2017   6/30/2018 New York State OGS</t>
  </si>
  <si>
    <t>USDA-RICH-ARANY-100912-FY19</t>
  </si>
  <si>
    <t>="000294453 - RICH CARROLLTON</t>
  </si>
  <si>
    <t xml:space="preserve"> TROUP &amp; APS"</t>
  </si>
  <si>
    <t>RICH CARROLLTON  TROUP &amp; APS</t>
  </si>
  <si>
    <t>Troup Co  Atlanta Public Schools and Carrollton City Schools</t>
  </si>
  <si>
    <t>RICH PRODUCTS BB 4RIVERS COOP</t>
  </si>
  <si>
    <t>RICH CAFE SERV CAMPS DC</t>
  </si>
  <si>
    <t>IHOP RICH'S-ON TOP</t>
  </si>
  <si>
    <t>RICH-EARTH ORIGINS</t>
  </si>
  <si>
    <t>Earth Origins Market  Flatbread</t>
  </si>
  <si>
    <t>RICH'S-ENT SRC 1 SOBIKS</t>
  </si>
  <si>
    <t xml:space="preserve">Sobik's </t>
  </si>
  <si>
    <t>PIZZA STUDIO   RICH'S</t>
  </si>
  <si>
    <t>RICH-VCR FDBY COS GECKOS</t>
  </si>
  <si>
    <t>Ruth's Chris Steakhouse</t>
  </si>
  <si>
    <t>RICH PRODUCTS 110244 NOI</t>
  </si>
  <si>
    <t>RICH'S ROCKFISH SPIN</t>
  </si>
  <si>
    <t>RICH MAX BRENNER</t>
  </si>
  <si>
    <t>Backwoods Steakhouse Sweet Yeasty Roll</t>
  </si>
  <si>
    <t>GANDOLFO'S RICH'S ALLOWANCE</t>
  </si>
  <si>
    <t>ARAMARK (BB) RICH FDS MAIN</t>
  </si>
  <si>
    <t>ARAMARK(NCORE BB)RICH FDS MAIN</t>
  </si>
  <si>
    <t>RICH'S BAKERS DOZEN DONUTS</t>
  </si>
  <si>
    <t>Baker's Dozen Donuts   Revised 20K lb price</t>
  </si>
  <si>
    <t>RICHS-DELAWARE NORTH</t>
  </si>
  <si>
    <t>RICH NORSKE NOOK</t>
  </si>
  <si>
    <t>RICH + BLANKET</t>
  </si>
  <si>
    <t>RICH'S CORNER CAFE</t>
  </si>
  <si>
    <t>Corner Cafe 2013</t>
  </si>
  <si>
    <t>RICH-FDBY CSM FSI</t>
  </si>
  <si>
    <t>RICH(R)-FDBY CSM FSI</t>
  </si>
  <si>
    <t>RICH PRODUCTS IPIC ENTERTAIN</t>
  </si>
  <si>
    <t>RICH FOODS 1833359 SHARI'S</t>
  </si>
  <si>
    <t>CARNIVAL RICH PRODUCTS</t>
  </si>
  <si>
    <t>RICH FDS FDBY BB LD294979</t>
  </si>
  <si>
    <t>HOLLAND RICHS</t>
  </si>
  <si>
    <t>RICH PRODUCTS CORP   NAPA</t>
  </si>
  <si>
    <t>USDA RICH PROD 100912 NOI</t>
  </si>
  <si>
    <t>USDA RICH PROD 110244 NOI</t>
  </si>
  <si>
    <t>RICH'S MOVIE TAVERN SPIN</t>
  </si>
  <si>
    <t>CASA DIBRI PROTEIN-ARMARK JMU</t>
  </si>
  <si>
    <t>RICH FOODS-ARAMARK JMU BB</t>
  </si>
  <si>
    <t>GREENBERRY'S-RICH'S DC</t>
  </si>
  <si>
    <t xml:space="preserve"> CPS    RICHS-100912</t>
  </si>
  <si>
    <t>RICH SAMMYS WOODFIRE PIZZA</t>
  </si>
  <si>
    <t>RICHS PBC USDA 110244 RETRO</t>
  </si>
  <si>
    <t>BAHAMA BUCK - RICH PRODUCTS</t>
  </si>
  <si>
    <t>RICH PROD FDBY CSM HUCKLEBERRY</t>
  </si>
  <si>
    <t>USDA-RICH-ARANJ-100912-FY19</t>
  </si>
  <si>
    <t>RICH PRODUCTS DISNEY CRUISES</t>
  </si>
  <si>
    <t>Disney Cruise Lines April thru Oct 2013</t>
  </si>
  <si>
    <t>RICH PROD MT VIEW COOP</t>
  </si>
  <si>
    <t>8/1/2016   7/31/2017 Mountain View Food Purchasing Cooperative</t>
  </si>
  <si>
    <t>RICHS ZDT AMUSEMENT</t>
  </si>
  <si>
    <t xml:space="preserve"> RICH'S TOP-SODEXO CORRECTIONS</t>
  </si>
  <si>
    <t>RICH'S COMMANDER B B</t>
  </si>
  <si>
    <t>Commander Restaurant   Munster IN 2018</t>
  </si>
  <si>
    <t>RICHS-PD1-EL MEJOR</t>
  </si>
  <si>
    <t>El Mejor</t>
  </si>
  <si>
    <t>RICHS NW PETROLEUM  CLT RWD</t>
  </si>
  <si>
    <t>Northwest Petroleum</t>
  </si>
  <si>
    <t>RICH PROD(NCORE)-REST PART</t>
  </si>
  <si>
    <t>RICH'S KU</t>
  </si>
  <si>
    <t>University of Kansas</t>
  </si>
  <si>
    <t>RICH  CIRCLE K STORE</t>
  </si>
  <si>
    <t xml:space="preserve">Circle K 2019 Net Deal </t>
  </si>
  <si>
    <t>The Buck Snort</t>
  </si>
  <si>
    <t>RICH MALLORYS</t>
  </si>
  <si>
    <t>Mallory's</t>
  </si>
  <si>
    <t>RICH FOODS SIZZLER</t>
  </si>
  <si>
    <t>RICH-ALVA CITY DINER</t>
  </si>
  <si>
    <t>RICH-DC GOLDEN BOY (2 DEALS)</t>
  </si>
  <si>
    <t>Golden Boy Pie Allowance</t>
  </si>
  <si>
    <t>RICH(CC)GOLDEN BOY(2 DEALS)</t>
  </si>
  <si>
    <t>Golden Boy Pies</t>
  </si>
  <si>
    <t>RICH'S BOYD GAMING</t>
  </si>
  <si>
    <t>RICH FOODS-GALLINS MG FOOD</t>
  </si>
  <si>
    <t>Gallins Food Products (MG Foods)</t>
  </si>
  <si>
    <t>Hotel RL Omaha</t>
  </si>
  <si>
    <t>Eldorado Hills</t>
  </si>
  <si>
    <t>="000300161 - RICH TROUP</t>
  </si>
  <si>
    <t xml:space="preserve"> APS &amp; CARROLLTON"</t>
  </si>
  <si>
    <t>RICH TROUP  APS &amp; CARROLLTON</t>
  </si>
  <si>
    <t>RICHS WY CHILD NUTRIT</t>
  </si>
  <si>
    <t>RICH FOODS BB  FOODBUY</t>
  </si>
  <si>
    <t>RICH FOODS IPIC    CLRW</t>
  </si>
  <si>
    <t>RICHS PINK ON TOP PROM</t>
  </si>
  <si>
    <t>BEK $5 Off Pink On Top / 16 remaining cases from 2017</t>
  </si>
  <si>
    <t>RICHS FOODS BB-FOODBUY SPIN</t>
  </si>
  <si>
    <t>B W &amp; R RICH'S</t>
  </si>
  <si>
    <t>RICH PRODUCTS MAX BRENNER</t>
  </si>
  <si>
    <t>IPIC   RICH'S</t>
  </si>
  <si>
    <t>IZZY'S PIZZA</t>
  </si>
  <si>
    <t>MT. HOOD SKI BOWL</t>
  </si>
  <si>
    <t>USDA RICH MFS  B198</t>
  </si>
  <si>
    <t>RICHS PRODUCT-SHEPHARDS</t>
  </si>
  <si>
    <t>RICH'S-FAST &amp; FRESH</t>
  </si>
  <si>
    <t>RICH PRODUCTSE(VVA)   DQ</t>
  </si>
  <si>
    <t>RICH'S RESTAURANT PARTNERS</t>
  </si>
  <si>
    <t>RICH K12 BLANKET</t>
  </si>
  <si>
    <t>RICHS (BB) NCORE-AFNAF DPM</t>
  </si>
  <si>
    <t>RICH PROD TX HHSC 529-148139</t>
  </si>
  <si>
    <t>RICH FOODS(BB&amp;CC) PIZZA STUDIO</t>
  </si>
  <si>
    <t>RICH DC-ABEETZ FLATBREAD PIZZA</t>
  </si>
  <si>
    <t>ABEETZ FLATBREAD PIZZA 2017/2018</t>
  </si>
  <si>
    <t>RICH RESTAURANT PARTNER</t>
  </si>
  <si>
    <t>RICH TOP PUDDING REESE GRP</t>
  </si>
  <si>
    <t>RICH FOODS(BB&amp;CC) SIZZLER</t>
  </si>
  <si>
    <t>RICH FDS HILTON</t>
  </si>
  <si>
    <t>USDA RICH'S 100912</t>
  </si>
  <si>
    <t>USDA RICH'S 110244</t>
  </si>
  <si>
    <t>FIREHOUSE PIZZA</t>
  </si>
  <si>
    <t>RICH PRODUCTS-WYNN'S MARKET</t>
  </si>
  <si>
    <t>GREENBELLY RICHS</t>
  </si>
  <si>
    <t>Greenbelly Omaha</t>
  </si>
  <si>
    <t>BLUESTONE RESTUARANT RICH'S</t>
  </si>
  <si>
    <t>Bluestone  Program 4/27/15</t>
  </si>
  <si>
    <t>RICH PRODCUTS TREASURE ISLAND</t>
  </si>
  <si>
    <t>Treasure Island Resort &amp; Casino</t>
  </si>
  <si>
    <t>UNION JACKS RICH'S</t>
  </si>
  <si>
    <t>Union Jack's Program 4/1/15</t>
  </si>
  <si>
    <t>&amp;MP RICH MEATBALLS-SIZZLER</t>
  </si>
  <si>
    <t>RICH'S DAIRY QUEEN        PM</t>
  </si>
  <si>
    <t>RICH PROD NATRONA SCHL</t>
  </si>
  <si>
    <t>RICH PRODUCS SHARIS</t>
  </si>
  <si>
    <t>RICH PRODUCTS LETS DISH</t>
  </si>
  <si>
    <t>RICH PRODUCTS HEN HSE EATERY</t>
  </si>
  <si>
    <t>RICH'S WOODY'S BBQ</t>
  </si>
  <si>
    <t>RICH'S HOME SLICE PIZZA</t>
  </si>
  <si>
    <t>Home Slice Pizza</t>
  </si>
  <si>
    <t>RICH-KINGS ISLAND</t>
  </si>
  <si>
    <t>RICHS CHIPS</t>
  </si>
  <si>
    <t>Chips Family Restaurant</t>
  </si>
  <si>
    <t>RICH FOODS ALONTI'S-PEPI'S</t>
  </si>
  <si>
    <t>RICH UW MADISON</t>
  </si>
  <si>
    <t>52 02 144 University of Wisconson Madison (UW Madison)</t>
  </si>
  <si>
    <t>CARNCORP-RICH PRODUCTS CORP</t>
  </si>
  <si>
    <t>RICH PRODUCTS-KAPPY'S MARKET</t>
  </si>
  <si>
    <t>RICHS  BELLEVUE</t>
  </si>
  <si>
    <t>8/1/2017   7/31/2018 Bellevue Public Schools</t>
  </si>
  <si>
    <t>RICH   PRESTIGE FOODS</t>
  </si>
  <si>
    <t>Prestige Foods</t>
  </si>
  <si>
    <t>RICH   LANIER ISLAND RESORTS</t>
  </si>
  <si>
    <t>Lanier Islands Resort</t>
  </si>
  <si>
    <t>RUTH CHRIS RICHS</t>
  </si>
  <si>
    <t xml:space="preserve"> RICH FOODS  HILTON( NONCORE)</t>
  </si>
  <si>
    <t>7/1/2016   6/30/2017 Lodi Unified SD</t>
  </si>
  <si>
    <t>RICH DCPS SODEXO</t>
  </si>
  <si>
    <t>RICHS FOODS BB RETR FOODBUY</t>
  </si>
  <si>
    <t>RICH WORCESTER NOI 110244</t>
  </si>
  <si>
    <t>RICH PRODUCTS VILLAGE TAVERN</t>
  </si>
  <si>
    <t>RICHS  NE ESU</t>
  </si>
  <si>
    <t>RICHS  WESTSIDE</t>
  </si>
  <si>
    <t>8/1/2017   6/30/2018 Westside Community Schools</t>
  </si>
  <si>
    <t>RICHS  K-12</t>
  </si>
  <si>
    <t>RICH'S PRODUCT PIZZA STUDIO</t>
  </si>
  <si>
    <t>M's Pub</t>
  </si>
  <si>
    <t>RICH CORPORATION NOI FY16</t>
  </si>
  <si>
    <t>RICH'S GO CHICKEN GO</t>
  </si>
  <si>
    <t>Go Chicken Go</t>
  </si>
  <si>
    <t>RICH SALISBURY UNI</t>
  </si>
  <si>
    <t>RICH PRODUCTS-FATZ CAFE</t>
  </si>
  <si>
    <t>RICH PRODUCTS BLIMPIE</t>
  </si>
  <si>
    <t>RICH FOODS-RUTH CHRIS</t>
  </si>
  <si>
    <t>VOID</t>
  </si>
  <si>
    <t>RICH DAKOTA IL</t>
  </si>
  <si>
    <t>8/1/2017   7/31/2018 Dakota Comm Unit Sch Dist 201</t>
  </si>
  <si>
    <t>RICH PRODUCTS         MAR IHOP</t>
  </si>
  <si>
    <t>RICH'S HILLSBORO</t>
  </si>
  <si>
    <t>7/1/2016   6/30/2017 Hillsboro</t>
  </si>
  <si>
    <t>RICH'S SDX QACPS NOI 100912</t>
  </si>
  <si>
    <t>RICH PRODUCTS GROUND ROUND</t>
  </si>
  <si>
    <t>COHO GRILL RICH PRODUCTS</t>
  </si>
  <si>
    <t>Coho Grill   6 1 15</t>
  </si>
  <si>
    <t>RICHS SDX TALBOT NOI 100912</t>
  </si>
  <si>
    <t>RICH FOODS(DC) LUCKY STRIKE</t>
  </si>
  <si>
    <t>RICH CAROLINE NOI 100912</t>
  </si>
  <si>
    <t>RICH PROD-META</t>
  </si>
  <si>
    <t>RICHS CAROLINE NOI 110244</t>
  </si>
  <si>
    <t>RICH'S GRANDMA'S CATERING</t>
  </si>
  <si>
    <t>Grandma's Catering Bread Program</t>
  </si>
  <si>
    <t>COBURG TRUCK AND TRAVEL</t>
  </si>
  <si>
    <t>RICH'S AARON'S FAMILY FUN CTR</t>
  </si>
  <si>
    <t>SpartanNash Lima &amp; IGA scratch bakery ad week 33</t>
  </si>
  <si>
    <t>RICH PRODUCTS BLANKET</t>
  </si>
  <si>
    <t>Black Bear Diner 2019</t>
  </si>
  <si>
    <t>RICH'S CORKY'S</t>
  </si>
  <si>
    <t>RICH FOODS BB-LANDRYS DPM</t>
  </si>
  <si>
    <t>RICH PRODUCTS   PIZZA BOILS</t>
  </si>
  <si>
    <t>Pizza Boli's Distributor Program</t>
  </si>
  <si>
    <t>7/1/2015   6/30/2016 Olathe Unified SD</t>
  </si>
  <si>
    <t>RICHS SWT DGH BB SODEXO 304939</t>
  </si>
  <si>
    <t>RICH FDS CBB ARAMARK  302445</t>
  </si>
  <si>
    <t>RICH FDS BB-FOODBUY DPM RETRO</t>
  </si>
  <si>
    <t>RICH'S ORANGEVILLE IL 16 17</t>
  </si>
  <si>
    <t>7/1/2017   6/30/2018 Orangeville C U School Dist 203</t>
  </si>
  <si>
    <t>RICHS GALENA IL SCHLS 16 17</t>
  </si>
  <si>
    <t>8/1/2017   7/31/2018 Galena Unit School Dist 120</t>
  </si>
  <si>
    <t>FOODBUY  RICHS BB</t>
  </si>
  <si>
    <t>RICH CORPORATION NOI FY16A</t>
  </si>
  <si>
    <t>RICH OREGON WI FY 16 17</t>
  </si>
  <si>
    <t>8/1/2016   7/31/2017 Oregon Community Schools</t>
  </si>
  <si>
    <t>ATLANTIS COOKIE AND PIZZA DEAL</t>
  </si>
  <si>
    <t>RICH GEISSLERS SUPER MARKETS</t>
  </si>
  <si>
    <t xml:space="preserve">Geissler's Super Market </t>
  </si>
  <si>
    <t>RICH FOODS  TAHER</t>
  </si>
  <si>
    <t>RICH MONROE WI FY 16 17</t>
  </si>
  <si>
    <t>RICH ARAMARK NON CORE BB</t>
  </si>
  <si>
    <t>RICH'S PORTESI</t>
  </si>
  <si>
    <t>Portesi Pizza</t>
  </si>
  <si>
    <t>RICH PRODUCTS DCMO BOCES</t>
  </si>
  <si>
    <t>8/1/2018   1/31/2019 Boces Delaw Chenango Madison Otsego</t>
  </si>
  <si>
    <t>RICHS LAWRENCE</t>
  </si>
  <si>
    <t>8/1/2015   7/31/2016 Lawrence</t>
  </si>
  <si>
    <t>RICH CACHE CREEK</t>
  </si>
  <si>
    <t>CACHE CREEK DONUT PROGRAM AND BREADSTICK</t>
  </si>
  <si>
    <t>RICH PRODUCTS         APR IHOP</t>
  </si>
  <si>
    <t>RICHS AUBURN-WASHBURN</t>
  </si>
  <si>
    <t>8/1/2015   7/31/2016 Auburn Washburn</t>
  </si>
  <si>
    <t>RUTH CHRIS RICHS NON CORE</t>
  </si>
  <si>
    <t>RICH'S-FREDERICK DEL. OVRD</t>
  </si>
  <si>
    <t>USDA RICH'S CSD MA K-12</t>
  </si>
  <si>
    <t>RICH DRUMMOND SCHL</t>
  </si>
  <si>
    <t>RICH -TOP GOLF DPM RECOUP</t>
  </si>
  <si>
    <t>RICH ROUTE 63 PZZA MILL</t>
  </si>
  <si>
    <t>Route 93 Pizza Mill</t>
  </si>
  <si>
    <t>USDA-RICH'S ARA LOWELL PUBLIC</t>
  </si>
  <si>
    <t>Cold Stone Creamery SYGMA pricing</t>
  </si>
  <si>
    <t>RICH INDEPENDENT ALE HOUSE</t>
  </si>
  <si>
    <t>Independent Ale House</t>
  </si>
  <si>
    <t>RICH PRODUCTS 100912 USDA</t>
  </si>
  <si>
    <t>SAFEWAY RICH PRODUCTS</t>
  </si>
  <si>
    <t>Safeway Pizza Local Program</t>
  </si>
  <si>
    <t>RICH SIERRA HILLS MARKET</t>
  </si>
  <si>
    <t>SIERRA HILLS MARKET COOKIES AND BREAD DOUGH</t>
  </si>
  <si>
    <t>RICH PRODUCTS         MAY IHOP</t>
  </si>
  <si>
    <t>Kappy's Market Bread Dough</t>
  </si>
  <si>
    <t>RICHS FOODS HLSR</t>
  </si>
  <si>
    <t>HLSR WCBBQ</t>
  </si>
  <si>
    <t>7/1/2016   8/17/2017 Beaverton Sch Dist 48J</t>
  </si>
  <si>
    <t>Mighty Taco BBQ Pulled Pork 2018</t>
  </si>
  <si>
    <t>RICH-RICHMOND</t>
  </si>
  <si>
    <t>RICH PROCUCTS + BLANKET</t>
  </si>
  <si>
    <t>Black Angus</t>
  </si>
  <si>
    <t>7/1/2018   6/30/2019 Richmond Community School Corp</t>
  </si>
  <si>
    <t>RICH 110244 NOI</t>
  </si>
  <si>
    <t>RICH 100912 NOI</t>
  </si>
  <si>
    <t>9/1/2018   8/31/2019 Manchester School District</t>
  </si>
  <si>
    <t>RICH PROD YUBA CITY SCHLS BLNK</t>
  </si>
  <si>
    <t>RICH PROD CHICO USD  BLNKT</t>
  </si>
  <si>
    <t>RICH PROD LAKE TAHOE USD BLNKT</t>
  </si>
  <si>
    <t>RICH PROD LASSEN UHSD BLNKT</t>
  </si>
  <si>
    <t>RICH PROD MT VIEW COOP BLNKT</t>
  </si>
  <si>
    <t>RICH PROD LYON CO. SCHOOLS BLN</t>
  </si>
  <si>
    <t>RICH PROD DEL NORTE USD BLNKT</t>
  </si>
  <si>
    <t>RICH PROD EL DORADO UHSD BLNKT</t>
  </si>
  <si>
    <t>RICH PROD ELK GROVE USD BLNKT</t>
  </si>
  <si>
    <t>RICH PROD ROSEVILLE CITY BLNKT</t>
  </si>
  <si>
    <t>RICH PROD MCKINLEYVILLE BLNKT</t>
  </si>
  <si>
    <t>RICH PROD SAC CITY SCHLS BLNKT</t>
  </si>
  <si>
    <t>USDA RICH'S CSD HUDSON K-12</t>
  </si>
  <si>
    <t>RICHS STEW LEONARDS</t>
  </si>
  <si>
    <t>RICH DODGE RIDGE</t>
  </si>
  <si>
    <t xml:space="preserve">DODGE RIDGE SKI RESORT </t>
  </si>
  <si>
    <t>16-17 RICH'S BLNKT</t>
  </si>
  <si>
    <t>RICH'S PLAYMAKERS</t>
  </si>
  <si>
    <t>Playmaker's</t>
  </si>
  <si>
    <t>RICH'S   100912</t>
  </si>
  <si>
    <t>RICH'S   110244</t>
  </si>
  <si>
    <t>USDA RICH'S CSD ROCKLAND</t>
  </si>
  <si>
    <t>RICH CESCAPHE ALLOW</t>
  </si>
  <si>
    <t>Cescaphe Group Deal</t>
  </si>
  <si>
    <t>RICH AZUSA PACIFIC VNIV</t>
  </si>
  <si>
    <t>Azusa Pacific University</t>
  </si>
  <si>
    <t>RICH PRODUCTS MASCHIO</t>
  </si>
  <si>
    <t>RICHS SNEAKERS BAR &amp; GRILL</t>
  </si>
  <si>
    <t>Sneakers Pizza</t>
  </si>
  <si>
    <t>RICH PROD REESE SIZZLER</t>
  </si>
  <si>
    <t>USDA RICH FOODS MOZZ 110244</t>
  </si>
  <si>
    <t>LOS TOLTECOS SR TEQUILA-RICH'S</t>
  </si>
  <si>
    <t>Los Toltecos /Senior Tequila</t>
  </si>
  <si>
    <t>RICH CALIFORNIA'S GREAT AMERIC</t>
  </si>
  <si>
    <t xml:space="preserve">Great America/or Gilroy Gardens </t>
  </si>
  <si>
    <t>RICH-$OFF-FATZ CAFE</t>
  </si>
  <si>
    <t>RICHS CARMELAS</t>
  </si>
  <si>
    <t xml:space="preserve">Carmela's </t>
  </si>
  <si>
    <t>RICH PROD FOB PBC SCHLS</t>
  </si>
  <si>
    <t>SAPP BROS RICHS OFF INV</t>
  </si>
  <si>
    <t>RICH'S CHICKEN COOP</t>
  </si>
  <si>
    <t>RICH'S BROOKSIDE CAFE</t>
  </si>
  <si>
    <t>RICH STAUFFERS</t>
  </si>
  <si>
    <t>RICH HENRY DOORLY ZOO</t>
  </si>
  <si>
    <t>Omaha Zoo</t>
  </si>
  <si>
    <t>RICH'S THE GOOD LIFE</t>
  </si>
  <si>
    <t>TAHER RICH FOODS</t>
  </si>
  <si>
    <t>RICH INDIA RESTAURANT</t>
  </si>
  <si>
    <t>TCBY RICH'S</t>
  </si>
  <si>
    <t>RICHS CORE-CC  MMI HEALTH</t>
  </si>
  <si>
    <t>RICHS REGION 1</t>
  </si>
  <si>
    <t>7/1/2016   6/30/2017 South Texas Co op /Region One</t>
  </si>
  <si>
    <t>Shephard's Beach Resort</t>
  </si>
  <si>
    <t>SPENCERVILLE ACADEMY RICH PROD</t>
  </si>
  <si>
    <t>Spencerville Academy Pizza Program</t>
  </si>
  <si>
    <t>RICH PRODUCTS         JUL IHOP</t>
  </si>
  <si>
    <t>LUCKY STRIKE LANES RICH PROD</t>
  </si>
  <si>
    <t>RICHS DISNEY</t>
  </si>
  <si>
    <t>RICH PRODUCTS-EXTREME CRAZE</t>
  </si>
  <si>
    <t>Extreme Craze FNR 16"</t>
  </si>
  <si>
    <t>RICH PRODUCTS-GRIST BEER HALL</t>
  </si>
  <si>
    <t>Grist Beer Hall Program</t>
  </si>
  <si>
    <t>RICH PRODUCTS BUC-EES</t>
  </si>
  <si>
    <t>RICH PRODUCTS GWINNETT CO.</t>
  </si>
  <si>
    <t>7/1/2015   6/30/2016 Gwinnett County</t>
  </si>
  <si>
    <t>RICH FOODS GALV REST GRP #45</t>
  </si>
  <si>
    <t>LUCKY STRIKE RICH FOODS</t>
  </si>
  <si>
    <t>RICH PROD SCHL BLANKET</t>
  </si>
  <si>
    <t>7/1/2015   6/30/2016 Hays USD 489</t>
  </si>
  <si>
    <t>MATCHBOX   RICH'S</t>
  </si>
  <si>
    <t>Matchbox Group</t>
  </si>
  <si>
    <t>GANDOLFO'S RICH'S CONTRACT</t>
  </si>
  <si>
    <t>RICH DC-H&amp;H PURCHASING</t>
  </si>
  <si>
    <t>RICH FDS LANDRY'S CORE BB</t>
  </si>
  <si>
    <t>RICH FOODS GALV REST GRP #46</t>
  </si>
  <si>
    <t>RICH PRODUCTS ALL SCHOOLS</t>
  </si>
  <si>
    <t>RICH PRODUCTS IPIC</t>
  </si>
  <si>
    <t>RICH PRODUCTS         AUG IHOP</t>
  </si>
  <si>
    <t>RICHS FOODS HINZES BBQ</t>
  </si>
  <si>
    <t>Hinze's BBQ</t>
  </si>
  <si>
    <t>RICHS BREAD RETRO SODEXO</t>
  </si>
  <si>
    <t>RICH PRODUCTS FORSYTH CO.</t>
  </si>
  <si>
    <t>RICH PROD UCLA</t>
  </si>
  <si>
    <t>UCLA Bid</t>
  </si>
  <si>
    <t>RICH FDS REST PRTNRS</t>
  </si>
  <si>
    <t>RICH FOODS BB-FOODBUY GAP</t>
  </si>
  <si>
    <t>RICHS MILLER &amp; SONS</t>
  </si>
  <si>
    <t>RICH  THE DIVIDED</t>
  </si>
  <si>
    <t>The Divide Bar &amp; Grill</t>
  </si>
  <si>
    <t>RICH DC-SUNY OSWEGO</t>
  </si>
  <si>
    <t>SUNY Oswego</t>
  </si>
  <si>
    <t>RICH BUCK SNORT</t>
  </si>
  <si>
    <t>RICH PLAYMAKERS</t>
  </si>
  <si>
    <t>RICH M PUBS</t>
  </si>
  <si>
    <t>RICH FOODS FOODBUY NC</t>
  </si>
  <si>
    <t>RICH'S FIRE BARN</t>
  </si>
  <si>
    <t>RICH'S ELDORADO HILLS</t>
  </si>
  <si>
    <t>RICH RAMADA OMAHA</t>
  </si>
  <si>
    <t>12/23/2015   7/20/2016 Kansas School Food Purchasing Association</t>
  </si>
  <si>
    <t>RICH PRODUCTS-NCCNPA 18 19</t>
  </si>
  <si>
    <t>RICH FDS REST PARTNERS</t>
  </si>
  <si>
    <t>RICHS CC-GST BOCES</t>
  </si>
  <si>
    <t>7/1/2018   6/30/2019 Boces Erie 1</t>
  </si>
  <si>
    <t>RICH CC-SKY ZONE</t>
  </si>
  <si>
    <t>RICH FOODS GALV REST REVISED</t>
  </si>
  <si>
    <t>RICH'S BLNKT 17 18</t>
  </si>
  <si>
    <t>RICH'S STEW LEONARD'S</t>
  </si>
  <si>
    <t>RICH'S CHIP'S</t>
  </si>
  <si>
    <t>USDA RICH FLOUR 100912</t>
  </si>
  <si>
    <t>RICH PROD TX HHSC 1034840 001</t>
  </si>
  <si>
    <t>RICH PIZZA DOUGH STEAK 48</t>
  </si>
  <si>
    <t>Steak 48</t>
  </si>
  <si>
    <t>RICH PROD IPIC</t>
  </si>
  <si>
    <t>RICH PROD BUFFALO CAFE</t>
  </si>
  <si>
    <t>Fat Brands Inc.</t>
  </si>
  <si>
    <t>RICHS K12 BLANKET</t>
  </si>
  <si>
    <t>SODEXO RICH PIZZA DGH NCORE BB</t>
  </si>
  <si>
    <t>SODEXO RICH PIZZA DGH CORE BB</t>
  </si>
  <si>
    <t>SODEXO RICH BRD ROLL BB-CORE</t>
  </si>
  <si>
    <t>SODEXO RICH BRD ROLL BB-NCORE</t>
  </si>
  <si>
    <t>RICH SONNY'S</t>
  </si>
  <si>
    <t xml:space="preserve"> RICHS(BB)CORE-AFNAF</t>
  </si>
  <si>
    <t>RICH PROD MARYSVILLE USD</t>
  </si>
  <si>
    <t>USDA RICH'S CSD SWANSEA K-12</t>
  </si>
  <si>
    <t>RICH TIMBER CREEK PIZZA</t>
  </si>
  <si>
    <t>Timber Creek Pizza Pub &amp; Grill</t>
  </si>
  <si>
    <t>RICH PRODUCTS         OCT IHOP</t>
  </si>
  <si>
    <t>RICH FOODS-PAPPAS</t>
  </si>
  <si>
    <t>Pappa sheet cake</t>
  </si>
  <si>
    <t>RICH FDS TREAT AMERICA</t>
  </si>
  <si>
    <t>RICH NCORE BB MAIN ARAMARK</t>
  </si>
  <si>
    <t>RICH PRODUCTS(R)-TOPGOLF</t>
  </si>
  <si>
    <t>RICH H&amp;H PURCHASING</t>
  </si>
  <si>
    <t>STONE'S COVE RICH'S</t>
  </si>
  <si>
    <t>Stone's Cove</t>
  </si>
  <si>
    <t xml:space="preserve"> RICH FOODS(BB)FOODBUY</t>
  </si>
  <si>
    <t>RICHS VICTORIA ISD</t>
  </si>
  <si>
    <t>Elmer's</t>
  </si>
  <si>
    <t>RICH FOODS KOLACHE FACTORY ALW</t>
  </si>
  <si>
    <t>Sysco Frozen Pastries Category Management Award Pricing (DEL OPCOS)</t>
  </si>
  <si>
    <t>RICH'S TICKET BAR</t>
  </si>
  <si>
    <t xml:space="preserve">Ticket Bar &amp; Grill </t>
  </si>
  <si>
    <t>LOL STATION RICH PRODUCT'S</t>
  </si>
  <si>
    <t>LOL Station</t>
  </si>
  <si>
    <t>RICH SOUTHPAW SOCIAL CLUB</t>
  </si>
  <si>
    <t>Southpaw Social Club San Diego</t>
  </si>
  <si>
    <t>RICH PRODUCTS KLEIN ISD</t>
  </si>
  <si>
    <t>8/1/2016   7/31/2017 Klein ISD</t>
  </si>
  <si>
    <t>RICH FOODS-TOP GOLF RETRO</t>
  </si>
  <si>
    <t>India Restaurant   Pizza Dough 2018</t>
  </si>
  <si>
    <t>RICH PRODUCTS FRESH 2 ORDER</t>
  </si>
  <si>
    <t>Fresh 2 Order</t>
  </si>
  <si>
    <t>PCP;RICHS FOR RUSH B B</t>
  </si>
  <si>
    <t>RICH'S  CARNIVAL HOLLAND</t>
  </si>
  <si>
    <t>RICH STDBB-SEAWORLD</t>
  </si>
  <si>
    <t>RICHS BREAD&amp;ROLLS SODEXO CATMN</t>
  </si>
  <si>
    <t>RICHS FOODS BB-FOODBUY GAP</t>
  </si>
  <si>
    <t>RICH'S HOLLAND</t>
  </si>
  <si>
    <t>RICH PROD KARL STRAUSS BREW</t>
  </si>
  <si>
    <t>Karl Strauss Brewing Company</t>
  </si>
  <si>
    <t>CHERRY HILL PARK RICH'S</t>
  </si>
  <si>
    <t>Cherry Hill  4/1/16</t>
  </si>
  <si>
    <t>RICHS-100912</t>
  </si>
  <si>
    <t>RICH PROD-LYON CO SCHLS</t>
  </si>
  <si>
    <t>7/1/2017   6/30/2018 Lyon County School District</t>
  </si>
  <si>
    <t>RICH ADAMS SCHOOL</t>
  </si>
  <si>
    <t>RICH HILLSBORO SCHOOL</t>
  </si>
  <si>
    <t>7/1/2017   6/30/2018 Amador County Unified</t>
  </si>
  <si>
    <t>Century Link field</t>
  </si>
  <si>
    <t>PCP RICH'S COMMANDER BB (SUP)</t>
  </si>
  <si>
    <t>RICH FOODS BB-LOCAL FOODBUY</t>
  </si>
  <si>
    <t>RICH FOODS   DELAWARE-GARBANZO</t>
  </si>
  <si>
    <t>RICH PRODUCTS  HUGHSON USD</t>
  </si>
  <si>
    <t>RICH LOST IN FUN</t>
  </si>
  <si>
    <t>Lost in Fun   Lincoln</t>
  </si>
  <si>
    <t>RICH PRODUCTS  LODI USD FROZEN</t>
  </si>
  <si>
    <t>7/1/2017   6/30/2018 Lodi Unified SD</t>
  </si>
  <si>
    <t>PENN QUARTER RICH PRODUCTS</t>
  </si>
  <si>
    <t>Penn Quarter</t>
  </si>
  <si>
    <t>RICHS SENECA SCHOOLS</t>
  </si>
  <si>
    <t>7/1/2017   6/30/2018 Seneca</t>
  </si>
  <si>
    <t>RICHS ANTIGO SCHOOLS</t>
  </si>
  <si>
    <t>RICH PRODUCTS REST PRTN</t>
  </si>
  <si>
    <t>RICHS 100912 BELOIT SCHLS</t>
  </si>
  <si>
    <t>RICHS 100912 STERLING SCHLS</t>
  </si>
  <si>
    <t>RICHS 100912 CEDARBURG SCHLS</t>
  </si>
  <si>
    <t>RICHS 100912 FOND DU LAC SCHLS</t>
  </si>
  <si>
    <t>RICHS 100912 MEQUON THIEN SCHL</t>
  </si>
  <si>
    <t>RICHS 100912 N FOND DU LACSCHL</t>
  </si>
  <si>
    <t>RICHS 100912 REEDSBURG SCHLS</t>
  </si>
  <si>
    <t>RICH-DEL DUFFY'S</t>
  </si>
  <si>
    <t>RICH(BB&amp;CC) HURRICANE GRILL</t>
  </si>
  <si>
    <t>RICH RIVER RIDGE SCHOOL</t>
  </si>
  <si>
    <t>RICH FOODS TOSSED FDBY</t>
  </si>
  <si>
    <t>RICH PRODUCTS  RIVERBANK FOOD&amp;</t>
  </si>
  <si>
    <t>RICHS 100912 WAUKESHA</t>
  </si>
  <si>
    <t>RICHS WARREN SCHL</t>
  </si>
  <si>
    <t>RICH PRODUCTS   IHOP</t>
  </si>
  <si>
    <t>Don's Family Buffet</t>
  </si>
  <si>
    <t>RICHS 100912 WAUPACA SCHL</t>
  </si>
  <si>
    <t>RICH'S SKY ZONE B B</t>
  </si>
  <si>
    <t xml:space="preserve">Andy B's Entertainment </t>
  </si>
  <si>
    <t>RICHS 100912 WATERFORD</t>
  </si>
  <si>
    <t>RICHS 100912 BURLINGTON SCHOOL</t>
  </si>
  <si>
    <t>RETRO BB CHARTWELLS AUDIT</t>
  </si>
  <si>
    <t>RICH BRD&amp;ROLL CBB SDX PROCURE</t>
  </si>
  <si>
    <t>WORLD OF BEER RICH PRODUCT</t>
  </si>
  <si>
    <t>RICH NC(DPMRETRO)-HILTON</t>
  </si>
  <si>
    <t>RICH  SIERRA HILLS MARKET</t>
  </si>
  <si>
    <t>RICH PRODUCTS  CVBG FROZEN</t>
  </si>
  <si>
    <t>7/17/2017   6/30/2018 Central Valley Buying Group</t>
  </si>
  <si>
    <t>RICH PRODUCTS-PARX</t>
  </si>
  <si>
    <t>2/29/2016   6/30/2017 Kansas City Public Schls</t>
  </si>
  <si>
    <t>RICH FDS TAHER SPIN</t>
  </si>
  <si>
    <t>7/1/2016   6/30/2017 Lawrence</t>
  </si>
  <si>
    <t>7/1/2018   6/30/2019 Greece CSD</t>
  </si>
  <si>
    <t>RICH FDS BB-FDBY CLIENT RWD MA</t>
  </si>
  <si>
    <t>Bucees</t>
  </si>
  <si>
    <t>8/1/2016   7/31/2017 Olathe USD 233 KS</t>
  </si>
  <si>
    <t>RICHS  SCHL BLKT</t>
  </si>
  <si>
    <t>7/1/2016   6/30/2017 Auburn Washburn</t>
  </si>
  <si>
    <t>USDA RICH FLOUR 110244</t>
  </si>
  <si>
    <t xml:space="preserve"> CPS  RICHS-100912</t>
  </si>
  <si>
    <t>7/1/2016   6/30/2017 Wichita USD 259</t>
  </si>
  <si>
    <t>RICH PRODUCTS  FIVE STAR</t>
  </si>
  <si>
    <t>RICHS-CC THE TEXAN</t>
  </si>
  <si>
    <t>Texan</t>
  </si>
  <si>
    <t>RICHS-DC THE TEXAN</t>
  </si>
  <si>
    <t>RICH FOODS BB-FDBY GAL. REST.G</t>
  </si>
  <si>
    <t>7/1/2017   6/30/2018 Oregon Child Nutrition Coalition</t>
  </si>
  <si>
    <t>RICHS WESTSIDE</t>
  </si>
  <si>
    <t>7/1/2016   6/30/2017 Topeka Unified SD 501</t>
  </si>
  <si>
    <t>RICHS-PERKINS</t>
  </si>
  <si>
    <t>Perkins   Marketing rebate per case</t>
  </si>
  <si>
    <t>7/1/2016   6/30/2017 Seaman</t>
  </si>
  <si>
    <t>7/1/2016   6/30/2017 Hays USD 489</t>
  </si>
  <si>
    <t>7/20/2016   12/20/2016 Kansas School Food Purchasing Association</t>
  </si>
  <si>
    <t>RICHS-TAHER</t>
  </si>
  <si>
    <t>RICH FOOD AYRES HOTEL GROUP</t>
  </si>
  <si>
    <t>7/1/2016   6/30/2017 Emporia</t>
  </si>
  <si>
    <t>RICH FDS BB-NON CLIENT RWD MA</t>
  </si>
  <si>
    <t>RICH FOODS-ON THE BORDER</t>
  </si>
  <si>
    <t>RICH NCBB-SEAWORLD</t>
  </si>
  <si>
    <t>RICHS  NE ESU OVR FDBY</t>
  </si>
  <si>
    <t>RICH SWEET HUT BAKERY</t>
  </si>
  <si>
    <t>Sweet Hut Bakery</t>
  </si>
  <si>
    <t>RICH PROD TX HHSC 529-163278</t>
  </si>
  <si>
    <t>RICH FDS  NCORE BB-ARA EX-SSS</t>
  </si>
  <si>
    <t>RICH FDS BB CORE- ARA EX-SSS</t>
  </si>
  <si>
    <t>RICH PRODUCT   FRESH TO ORDER</t>
  </si>
  <si>
    <t>RICH SDUSD</t>
  </si>
  <si>
    <t>7/1/2017   6/30/2018 Palm Beach County School District</t>
  </si>
  <si>
    <t>RICHS  KOLACHE FACTORY</t>
  </si>
  <si>
    <t>Kilo Kolache $1 Sweet Yeasty</t>
  </si>
  <si>
    <t xml:space="preserve"> RICH'S(NCORE BB)MAIN ARAMARK</t>
  </si>
  <si>
    <t xml:space="preserve"> RICH(CORE BB)MAIN ARAMARK</t>
  </si>
  <si>
    <t>RICH ESCONDIDO USD</t>
  </si>
  <si>
    <t>SY 14 15 Escondido S Cal</t>
  </si>
  <si>
    <t>RICHS CANTON BOATHOUSE</t>
  </si>
  <si>
    <t>The Boat House</t>
  </si>
  <si>
    <t>USDA RICH CHEESE 110224</t>
  </si>
  <si>
    <t>USDA RICH FLOUR 110224</t>
  </si>
  <si>
    <t xml:space="preserve"> RICH(NCORE BB)MAIN ARAMARK</t>
  </si>
  <si>
    <t xml:space="preserve"> RICH( CORE BB)MAIN ARAMARK</t>
  </si>
  <si>
    <t>ARAMARK RICHS NCORE BB-CC DPM</t>
  </si>
  <si>
    <t>ARAMARK RICHS-CORE BB-CCDPM</t>
  </si>
  <si>
    <t>RICHS SNEAKERS</t>
  </si>
  <si>
    <t>CARNCORP   RICH PRODUCTS</t>
  </si>
  <si>
    <t>RICH PROD SIZZLER REESE</t>
  </si>
  <si>
    <t>RICH PRODUCTS TAHER K-12</t>
  </si>
  <si>
    <t>RICH SAN MARCOS USD</t>
  </si>
  <si>
    <t>SY 14 15 San Marcos S Cal</t>
  </si>
  <si>
    <t>Kolache Factory   Strudel</t>
  </si>
  <si>
    <t>B W &amp; R RICH PRODUCTS</t>
  </si>
  <si>
    <t>XRICHS SIZZLER USA</t>
  </si>
  <si>
    <t>RICH PRODUCTS   BAR-B-CUTIE</t>
  </si>
  <si>
    <t>8/18/2017   8/17/2018 Beaverton Sch Dist 48J</t>
  </si>
  <si>
    <t>RICH PRODUCTS CAJON VALLEY</t>
  </si>
  <si>
    <t>SY 14 15 Cajon Valley S Cal</t>
  </si>
  <si>
    <t>RICHS   FRESH TO ORDER</t>
  </si>
  <si>
    <t>310 Group</t>
  </si>
  <si>
    <t>RICH FDS-FDBUY CLTRWD MSTR</t>
  </si>
  <si>
    <t>XRICH FOODS HILLSTONE-FDBY</t>
  </si>
  <si>
    <t xml:space="preserve">Wynn's Market Bread </t>
  </si>
  <si>
    <t>RICH FOODS-TOSSED-FDBY</t>
  </si>
  <si>
    <t>Fast N Fresh Breads</t>
  </si>
  <si>
    <t>RICHS-DC PA MARINA FAM.CTR IGA</t>
  </si>
  <si>
    <t xml:space="preserve">Family center </t>
  </si>
  <si>
    <t>RICH FDS NC RESTAURNT PRTNR</t>
  </si>
  <si>
    <t>BRICK CITY BUFFET</t>
  </si>
  <si>
    <t>RICH CAJON VALLEY USD</t>
  </si>
  <si>
    <t>RICH CARNIVAL HOLLAND</t>
  </si>
  <si>
    <t>RICHS CASINO PAUMA</t>
  </si>
  <si>
    <t>Casino Pauma</t>
  </si>
  <si>
    <t>RICH PRODUCTS-TOP GOLF</t>
  </si>
  <si>
    <t>RICH PRODUCTS(R)-TOP GOLF</t>
  </si>
  <si>
    <t>RICH CORE BB(DPMRETRO)-HILTON</t>
  </si>
  <si>
    <t>RICH NCORE(DPMRETRO)-AFNAF</t>
  </si>
  <si>
    <t>RICH CORPORATION NOI FY18</t>
  </si>
  <si>
    <t>RICH CIMAROLIS</t>
  </si>
  <si>
    <t>RICH OCNC</t>
  </si>
  <si>
    <t>RICH'S SKY ZONE</t>
  </si>
  <si>
    <t>IHOP RICH'S ON TOP TOPPING</t>
  </si>
  <si>
    <t>XRICH PRODUCTS-FOODBUY</t>
  </si>
  <si>
    <t>DISNEY CRUISE LINES</t>
  </si>
  <si>
    <t>RICH PRODUCTS D BRIANS DELI</t>
  </si>
  <si>
    <t>RICHS DODGE CITY</t>
  </si>
  <si>
    <t>XRICH PRODUCTS CRO-FDBY</t>
  </si>
  <si>
    <t>RICH FIVE STAR</t>
  </si>
  <si>
    <t>RICH PIZZA STUDIO</t>
  </si>
  <si>
    <t>SY 16/17 Fort Osage</t>
  </si>
  <si>
    <t>XRICH FOODS BB TOSSED-FDBY</t>
  </si>
  <si>
    <t>RICH FOODS BB CRO-FDBY</t>
  </si>
  <si>
    <t>MATCHBOX RICH'S</t>
  </si>
  <si>
    <t>&amp;MP RICH FOODS-RED ROBIN BB</t>
  </si>
  <si>
    <t>BOATHOUSE RICH'S</t>
  </si>
  <si>
    <t>BLUESTONE RESTAURANT RICH'S</t>
  </si>
  <si>
    <t>RICH'S BLANKET 18-19</t>
  </si>
  <si>
    <t>XXRICH FOODS BB-IPIC FDBY</t>
  </si>
  <si>
    <t>RICH FOODS BB TOSSED-FDBY</t>
  </si>
  <si>
    <t>RICH OREGON WI SCHOOL</t>
  </si>
  <si>
    <t>7/2/2018   6/30/2019 Oregon Child Nutrition Coalition</t>
  </si>
  <si>
    <t>RICH FDS NONCORE HILTON</t>
  </si>
  <si>
    <t>RICH FOODS BB HILLSTONE-FDBY</t>
  </si>
  <si>
    <t>RICH NC BB-DELAWARE GAP</t>
  </si>
  <si>
    <t>1/21/2017   7/14/2017 Garden City</t>
  </si>
  <si>
    <t>RICH FOODS SILVER PALACE</t>
  </si>
  <si>
    <t>Silver Palace</t>
  </si>
  <si>
    <t>RICH LEGOLAND</t>
  </si>
  <si>
    <t>LEGOLAND Carlsbad</t>
  </si>
  <si>
    <t>RICH SAN DIEGO ZOO</t>
  </si>
  <si>
    <t>San Diego Zoo</t>
  </si>
  <si>
    <t>RICH SPICY PIE INC</t>
  </si>
  <si>
    <t>RICH  AYRES HOTEL</t>
  </si>
  <si>
    <t>RICH PRODUCTS FORSYTH CO</t>
  </si>
  <si>
    <t>7/1/2016   6/30/2017 Forsyth County (Georgia)</t>
  </si>
  <si>
    <t>RICH TILT</t>
  </si>
  <si>
    <t>Tilt</t>
  </si>
  <si>
    <t>RICH PRODUCTS REVOLUTION FOODS</t>
  </si>
  <si>
    <t>RICH'S GEM CITY SALOON</t>
  </si>
  <si>
    <t>Gem City Pizza</t>
  </si>
  <si>
    <t>RICHS SWEET DOUGH BB SDX GAP</t>
  </si>
  <si>
    <t>XRICH SAMMYS WOODFIRE PIZZA</t>
  </si>
  <si>
    <t>RICH FDS CHICAGO ONLY-ROMANOS</t>
  </si>
  <si>
    <t>Rockfish</t>
  </si>
  <si>
    <t>RICH SAMMYS</t>
  </si>
  <si>
    <t>RICH PRODUCTS-CULINART</t>
  </si>
  <si>
    <t>RICH PRODUCTS PEA SOUP ANDERSO</t>
  </si>
  <si>
    <t>PEA SOUP ANDERSON'S</t>
  </si>
  <si>
    <t>RICH PROD HOMETOWN MEATS</t>
  </si>
  <si>
    <t>Hometown Meats and Deli</t>
  </si>
  <si>
    <t>RICH SKY ZONE</t>
  </si>
  <si>
    <t>Sky Zone</t>
  </si>
  <si>
    <t>RICH PRODUCTS PATTERSON USD</t>
  </si>
  <si>
    <t>RICH'S TAP HOUSE DC OVR FDBY</t>
  </si>
  <si>
    <t>Tap House Grill Group</t>
  </si>
  <si>
    <t>RICH'S LAMBERT'S</t>
  </si>
  <si>
    <t>Lambert's</t>
  </si>
  <si>
    <t>RICH'S ROCK &amp; BREW</t>
  </si>
  <si>
    <t>RICHS 100912 REEDSBURG</t>
  </si>
  <si>
    <t>RICHS 100912 N FOND DU LAC</t>
  </si>
  <si>
    <t>RICHS 100912 MEQUON</t>
  </si>
  <si>
    <t>RICHS 100912 CEDARBURG</t>
  </si>
  <si>
    <t>RICHS 100912 BURLINGTON</t>
  </si>
  <si>
    <t>RICHS 100912 BELOIT</t>
  </si>
  <si>
    <t>RICHS 100912 STERLING IL</t>
  </si>
  <si>
    <t>RICH PRODUCTS TAHER</t>
  </si>
  <si>
    <t>Sky Zone Trampoline Park   White Plains</t>
  </si>
  <si>
    <t>7/1/2018   6/30/2019 Amador County Unified</t>
  </si>
  <si>
    <t>RICH FOODS-ELK GROVE USD</t>
  </si>
  <si>
    <t>7/1/2018   6/30/2019 Elk Grove Unified</t>
  </si>
  <si>
    <t>RICH PRODUCTS  KINGS CANYON-T</t>
  </si>
  <si>
    <t>RICH PD1 BACKWOODS</t>
  </si>
  <si>
    <t>Blainbrook Entertainment Operator Agreement 2016</t>
  </si>
  <si>
    <t>7/1/2018   6/30/2019 San Joaquin Valley Purchasing Cooperative</t>
  </si>
  <si>
    <t>USDA   RICHS 100912</t>
  </si>
  <si>
    <t>USDA   RICHS 100193</t>
  </si>
  <si>
    <t>RICH-COLLIER CO SCHOOLS</t>
  </si>
  <si>
    <t>7/1/2017   6/30/2018 Collier County School District</t>
  </si>
  <si>
    <t>RICH PD1 BLACKBEARD</t>
  </si>
  <si>
    <t>MATCHBOX RICH FOODS-FB</t>
  </si>
  <si>
    <t>RICH COLD STONE</t>
  </si>
  <si>
    <t>RICHS CORE BB(DPMRETRO)-AFNAF</t>
  </si>
  <si>
    <t>RICHS NCORE BB(DPMRETRO)-AFNAF</t>
  </si>
  <si>
    <t>RICH FOODS-EL DORADO UHSD</t>
  </si>
  <si>
    <t>RICH PROD CLAREMONT GRADUATE</t>
  </si>
  <si>
    <t xml:space="preserve">Claremont Graduate School </t>
  </si>
  <si>
    <t>IVARS/KIDD VALLEY</t>
  </si>
  <si>
    <t>RICHS 100912 APPLETON SCHOOLS</t>
  </si>
  <si>
    <t>RICH FOODS-CHICO USD</t>
  </si>
  <si>
    <t>7/1/2018   6/30/2019 Chico Unified SD</t>
  </si>
  <si>
    <t>RICH PRODUCTS RIVERBANK USD</t>
  </si>
  <si>
    <t>RICHS HOWARDS GROVE 100912</t>
  </si>
  <si>
    <t>RICHS FOODS BB CRO-FDBY</t>
  </si>
  <si>
    <t>RICH FOODS KINGS HAWAIIAN</t>
  </si>
  <si>
    <t>King's Hawaiian Bakery &amp; Restaurant</t>
  </si>
  <si>
    <t>RICH FDS(BB-#373811) FOODBUY</t>
  </si>
  <si>
    <t>RICH FOODS-SAC CITY USD</t>
  </si>
  <si>
    <t>RICH FOODS-PREFERRED CHOICE</t>
  </si>
  <si>
    <t>RICH-YODERS</t>
  </si>
  <si>
    <t>Yoders</t>
  </si>
  <si>
    <t>RICH PRODUCTS CENTRAL VALLEY</t>
  </si>
  <si>
    <t>8/1/2018   6/30/2019 Central Valley Buying Group</t>
  </si>
  <si>
    <t>RICH FOODS-GRASS VALLEY SD</t>
  </si>
  <si>
    <t>RICH FOODS  RUTH CHRIS</t>
  </si>
  <si>
    <t>RICH FOODS-WOODLAND USD</t>
  </si>
  <si>
    <t>RICHS SDUSD</t>
  </si>
  <si>
    <t>XXRICHS FOODS BB-IPIC</t>
  </si>
  <si>
    <t>RICH FOODS-GALT JUESD</t>
  </si>
  <si>
    <t>RICH'S CEDAR FAIR</t>
  </si>
  <si>
    <t>RICH FOODS-LYON CO SCHL DIST</t>
  </si>
  <si>
    <t>RICH FOODS-TAHOE TRUCKEE USD</t>
  </si>
  <si>
    <t>RICH ESCONDIDO USD 15-16</t>
  </si>
  <si>
    <t>RICH'S DON'S FAMILY BUFFET</t>
  </si>
  <si>
    <t>RICHS 100912 FOND DU LAC</t>
  </si>
  <si>
    <t>RICH PRODUCTS  APPLEBEES</t>
  </si>
  <si>
    <t>IHOP Deviated Pricing   OnTop</t>
  </si>
  <si>
    <t>BALTIMORE COUNTRY CLUB RICHS</t>
  </si>
  <si>
    <t>Baltimore Country Club</t>
  </si>
  <si>
    <t>RICHS BB(DPMRETR)-CNTRY KITCHN</t>
  </si>
  <si>
    <t>RICH PRODUCTS THUNDER VALLEY</t>
  </si>
  <si>
    <t>THUNDER VALLEY CASINO</t>
  </si>
  <si>
    <t>RICH SMSD</t>
  </si>
  <si>
    <t>7/1/2017   6/30/2018 Shawnee Mission SD</t>
  </si>
  <si>
    <t>RICHS KCK SCHOOLS</t>
  </si>
  <si>
    <t>RICH PROD CALIFORNIA GRILL</t>
  </si>
  <si>
    <t>California Grill</t>
  </si>
  <si>
    <t>RICH FOODS BB-IPIC</t>
  </si>
  <si>
    <t>Chik N Pie</t>
  </si>
  <si>
    <t>RICH PROD  THUNDR VLY(1989144)</t>
  </si>
  <si>
    <t>8/1/2017   7/31/2018 Klein ISD</t>
  </si>
  <si>
    <t>RICHS C BB(DPMRETRO)-LANDRYS</t>
  </si>
  <si>
    <t>RICH'S  DQ VVA LOCAL</t>
  </si>
  <si>
    <t>RICH'S BLANKET BID</t>
  </si>
  <si>
    <t>RICHS HO CHUNK</t>
  </si>
  <si>
    <t>11/1/2017   4/30/2018 Victoria ISD</t>
  </si>
  <si>
    <t>RICHS FOODS DRAKES U BAKE PZZA</t>
  </si>
  <si>
    <t xml:space="preserve">Drake's U Bake  Drake's Pizza </t>
  </si>
  <si>
    <t>RICH CCL HOLLAND FRZ GROCERY</t>
  </si>
  <si>
    <t xml:space="preserve"> CPS  RICHS - 100912 FLOUR</t>
  </si>
  <si>
    <t>RICH ESCONDIDO ELEMENTARY</t>
  </si>
  <si>
    <t>RICHS-DC PASTA CO</t>
  </si>
  <si>
    <t>The Pasta Company  Corpus Christi #641035</t>
  </si>
  <si>
    <t>RICHPRODUCTS MRS.WINNER'S</t>
  </si>
  <si>
    <t>RICH CIRCLE M BP</t>
  </si>
  <si>
    <t>RICHS 110244 PBCS USDA</t>
  </si>
  <si>
    <t>RICHS 110244 PBCS RETRO</t>
  </si>
  <si>
    <t>RICH PRODUCTS BUC-EES GCST</t>
  </si>
  <si>
    <t>RICH PROD OCNC</t>
  </si>
  <si>
    <t>Ayres Hotel Group 2016</t>
  </si>
  <si>
    <t>RICH PROD VON HANSONS</t>
  </si>
  <si>
    <t>RICHS - 110244</t>
  </si>
  <si>
    <t>Livingston's Pizza Program</t>
  </si>
  <si>
    <t>RICH FOOD MIMI'S RTR</t>
  </si>
  <si>
    <t>RICHS OSWEGO GRILL</t>
  </si>
  <si>
    <t>Sweet Middles</t>
  </si>
  <si>
    <t>RICH BREAD&amp;ROLL BBCORE SDX RTR</t>
  </si>
  <si>
    <t>RICH BREAD&amp;ROLL BBNCORE SDXRTR</t>
  </si>
  <si>
    <t>RICH PIZZADOUGH BBCORE SDX RTR</t>
  </si>
  <si>
    <t>RICH PIZZADOUGH BBNCRE SDX RTR</t>
  </si>
  <si>
    <t>XXRICH BB-IPIC</t>
  </si>
  <si>
    <t xml:space="preserve"> CPS  RICHS-100912 FLOUR</t>
  </si>
  <si>
    <t>Valley View Casino</t>
  </si>
  <si>
    <t>Pala Casino Spa &amp; Resort</t>
  </si>
  <si>
    <t>RICHS(R)-SALEM'S</t>
  </si>
  <si>
    <t>RICH CORPORATION NOI FY19</t>
  </si>
  <si>
    <t>1836 Steakhouse</t>
  </si>
  <si>
    <t>RICH FDS SKYLINE DELI SNVA</t>
  </si>
  <si>
    <t>52 03 518 Skyline Deli</t>
  </si>
  <si>
    <t>RICH UCSD</t>
  </si>
  <si>
    <t>University of California San Diego</t>
  </si>
  <si>
    <t>RICH ONTARIO CONVENTION</t>
  </si>
  <si>
    <t xml:space="preserve">Ontario Convention Center </t>
  </si>
  <si>
    <t>Barona Casino</t>
  </si>
  <si>
    <t>XRICH FOODS KINGS HAWAIIAN</t>
  </si>
  <si>
    <t>RICH FOODS K-12 NP BLANKET</t>
  </si>
  <si>
    <t>RICHS TAHER</t>
  </si>
  <si>
    <t>RICH FDS BUPPY'S GCST</t>
  </si>
  <si>
    <t>Buppy's Catering</t>
  </si>
  <si>
    <t>RICH'S GRITS</t>
  </si>
  <si>
    <t>Program for Culinary Logic LLC</t>
  </si>
  <si>
    <t>RICH'S K12 SCHL BLNKT</t>
  </si>
  <si>
    <t>RICH FOODS FRESH TO ORDER</t>
  </si>
  <si>
    <t>RICH PRODUCTS HEN HOUSE EATERY</t>
  </si>
  <si>
    <t>Hen House Eatery</t>
  </si>
  <si>
    <t>Dbrians 2017 Program</t>
  </si>
  <si>
    <t xml:space="preserve"> CPS  RICHS-100912 FLOUR NEW</t>
  </si>
  <si>
    <t>RICHS-100912 FLOUR</t>
  </si>
  <si>
    <t>OCEAN CITY BREWING RICHS</t>
  </si>
  <si>
    <t>RICH FOODS-ROCKFISH GRILL</t>
  </si>
  <si>
    <t>XRICH FOODS BB CRO-FDBY</t>
  </si>
  <si>
    <t>RICH'S FRISCO-ALLEN</t>
  </si>
  <si>
    <t>7/1/2017   6/30/2018 Allen and Frisco ISD Joint Bid</t>
  </si>
  <si>
    <t>RICH(R)-BAHAMA BUCKS</t>
  </si>
  <si>
    <t>CPS  RICHS-100912 FLOUR</t>
  </si>
  <si>
    <t>RICH PROPERING PALS</t>
  </si>
  <si>
    <t>7/1/2017   6/30/2018 Prospering Pals Co op</t>
  </si>
  <si>
    <t>Cohn Group</t>
  </si>
  <si>
    <t>RICH BOYD GAMING</t>
  </si>
  <si>
    <t>RICH'S-BAHAMA BUCKS</t>
  </si>
  <si>
    <t>RICH FOODS BB CRO-FB</t>
  </si>
  <si>
    <t>Cinzzetti's 2013</t>
  </si>
  <si>
    <t>RICHS BREAD &amp; ROLLS-SODEXO (R)</t>
  </si>
  <si>
    <t>RICHS CASA DI BERTACCHI-R SODX</t>
  </si>
  <si>
    <t>RICH CASADEBERTACCHI(R)-SODEXO</t>
  </si>
  <si>
    <t>7/1/2016   6/30/2017 San Diego Unified</t>
  </si>
  <si>
    <t>RICH'S IZZY'S</t>
  </si>
  <si>
    <t>RICH PRODUCTS ALL SCHOOLS BAPA</t>
  </si>
  <si>
    <t>7/1/2016   6/30/2017 Escondido Union SD</t>
  </si>
  <si>
    <t>RICHS-SMOKEY MOS</t>
  </si>
  <si>
    <t>Smokey Mos</t>
  </si>
  <si>
    <t>RICH PRODUCTS DQ</t>
  </si>
  <si>
    <t>RICH LEES SUMMIT SCHOOLS</t>
  </si>
  <si>
    <t>PIZZA BOLIS  RICHS</t>
  </si>
  <si>
    <t>RICH PROD FATBURGER-BUFFALO</t>
  </si>
  <si>
    <t>RICH PRODUCTS-LEGOLAND</t>
  </si>
  <si>
    <t>RICH PARADISE REST GROUP</t>
  </si>
  <si>
    <t>TUCKERS SHUCKER'S OYSTER &amp; TAP</t>
  </si>
  <si>
    <t>RICH PROD TX HHSC-FRZN FDS</t>
  </si>
  <si>
    <t>RICH'S   GANDOLFO'S</t>
  </si>
  <si>
    <t>RICH(DC)-JUMP FREEDOM</t>
  </si>
  <si>
    <t>Rebounderz and Jump Freedom</t>
  </si>
  <si>
    <t>RICH PROD TAHER</t>
  </si>
  <si>
    <t>RICHS(R)-DETWILERS</t>
  </si>
  <si>
    <t>RICH PRODUCTS DC CITY FIRE</t>
  </si>
  <si>
    <t>RICH FOODS-ALONTI (PEPI)</t>
  </si>
  <si>
    <t>RICHS FOODS BIG HORN BBQ SNVA</t>
  </si>
  <si>
    <t>Big Horn BBQ</t>
  </si>
  <si>
    <t>RICH BLANKET SCHOOL BID</t>
  </si>
  <si>
    <t xml:space="preserve">LEGOLAND Amusement and Hotels </t>
  </si>
  <si>
    <t>RICH PROD HORNBLOWER</t>
  </si>
  <si>
    <t>Hornblower Cruises</t>
  </si>
  <si>
    <t>RICH'S DC PALMAS SRC1</t>
  </si>
  <si>
    <t>RICH PROD PD1 BREVARD ZOO</t>
  </si>
  <si>
    <t>Brevard Zoo Pizza</t>
  </si>
  <si>
    <t>RICHS PALA CASINO</t>
  </si>
  <si>
    <t>Pala Casino Spa &amp; Resort and Pala Mini Mart</t>
  </si>
  <si>
    <t>RICH AYRES HOTEL GRP</t>
  </si>
  <si>
    <t>RICH PROD AYRES HOTELS</t>
  </si>
  <si>
    <t>RICH PROD DC DOD NAPA 0262</t>
  </si>
  <si>
    <t>RICH KAHALA(BLIMPIE)</t>
  </si>
  <si>
    <t>Kahala Frulatti  Great Steak</t>
  </si>
  <si>
    <t>RICH SPRING HILL USD</t>
  </si>
  <si>
    <t>RICHS AUBURN WASHBURN USD</t>
  </si>
  <si>
    <t>RICH HAYS USD</t>
  </si>
  <si>
    <t>8/1/2018   5/31/2019 Hays USD 489</t>
  </si>
  <si>
    <t>RICH KCK USD</t>
  </si>
  <si>
    <t>RICHS REG 1</t>
  </si>
  <si>
    <t>7/1/2018   6/30/2019 South Texas Co op /Region One</t>
  </si>
  <si>
    <t>RICH GARDNER-EDG USD</t>
  </si>
  <si>
    <t>RICH SHAWNEE MISSION USD</t>
  </si>
  <si>
    <t>RICHS VALLEY VIEW CASINO</t>
  </si>
  <si>
    <t>RICH'S TAHER</t>
  </si>
  <si>
    <t>Taher (Rebate Paid Directly To Taher) 2018/2019</t>
  </si>
  <si>
    <t>RICH PRODUCTS(R)-WYNN'S MKT</t>
  </si>
  <si>
    <t>RICH'S FOR KI SPEED DC</t>
  </si>
  <si>
    <t xml:space="preserve">K1 SPEED </t>
  </si>
  <si>
    <t>RICH PD1 FUN SPOT</t>
  </si>
  <si>
    <t>RICH SDUSD 17-024 2017-18</t>
  </si>
  <si>
    <t>7/1/2017   6/30/2018 San Diego Unified</t>
  </si>
  <si>
    <t>RICH CAJON USD 17-18</t>
  </si>
  <si>
    <t>7/1/2017   6/30/2018 Cajon Valley Union Elementary</t>
  </si>
  <si>
    <t>RICH PRODUCTS BAKED BEAR</t>
  </si>
  <si>
    <t>RICHS COHN RESTAURANT GROUP</t>
  </si>
  <si>
    <t>7/1/2017   6/30/2018 Escondido Union SD</t>
  </si>
  <si>
    <t>RICH'S   CORKY'S SNVA</t>
  </si>
  <si>
    <t>RICH PRODUCTS POWAY USD</t>
  </si>
  <si>
    <t>RICH PRODUCTS INTER BAKERY</t>
  </si>
  <si>
    <t>International Bakery</t>
  </si>
  <si>
    <t>RICH TREVI RESTAURANT CC CC</t>
  </si>
  <si>
    <t>Trevi Pizza Program</t>
  </si>
  <si>
    <t>RICH GIORGIOS GREEK CAFE</t>
  </si>
  <si>
    <t>GIORGIO'S</t>
  </si>
  <si>
    <t>IL GOV CAFE RICH PRODUCTS</t>
  </si>
  <si>
    <t>IL Creations Program_March 2015</t>
  </si>
  <si>
    <t>RICH MANHATTAN-OGDEN USD</t>
  </si>
  <si>
    <t>RICH IV CO OP 2017-2018</t>
  </si>
  <si>
    <t>RICH+BLANKET</t>
  </si>
  <si>
    <t>RICH PRODUCTS SAN MARCOS USD</t>
  </si>
  <si>
    <t>7/1/2017   6/30/2018 San Marcos Unified SD</t>
  </si>
  <si>
    <t>RICH PRODUCTS JACS BAR &amp; GRILL</t>
  </si>
  <si>
    <t>Jac's Bar &amp; Grill</t>
  </si>
  <si>
    <t>RICH PRODUCTS TREASURE ISLAND</t>
  </si>
  <si>
    <t>RICH'S BARONA CASINO</t>
  </si>
  <si>
    <t>RICHS(DC) BIG CEDAR LODGE</t>
  </si>
  <si>
    <t>52 02 167 Big Cedar Lodge and Confrence</t>
  </si>
  <si>
    <t>RICH CCL HOLLAND</t>
  </si>
  <si>
    <t>RICH PRODUCTS BLAINBROOK ENT</t>
  </si>
  <si>
    <t>RICHS-ROCKFISH</t>
  </si>
  <si>
    <t>RICH'S PROS PALS 2018-19</t>
  </si>
  <si>
    <t>RICH PROD REVOLUTION FOODS</t>
  </si>
  <si>
    <t>RICHS-DC SOBIK'S</t>
  </si>
  <si>
    <t>RICH(CC) GOLDEN BOY PIE</t>
  </si>
  <si>
    <t xml:space="preserve"> RICH GARDEN CITY ADDL$$</t>
  </si>
  <si>
    <t>7/1/2018   6/30/2019 Garden City</t>
  </si>
  <si>
    <t>RICH KOBE (DC)</t>
  </si>
  <si>
    <t>King's Hawaiian Bakery &amp; Restaurant  2017</t>
  </si>
  <si>
    <t>RICH FDS-EARL OF SANDWICH</t>
  </si>
  <si>
    <t>Earl of Sandwich</t>
  </si>
  <si>
    <t>RICH GROSSMONT UNION 2017-18</t>
  </si>
  <si>
    <t>RICH DC  GROSSMONT 2017-18</t>
  </si>
  <si>
    <t>RICH PAUMA</t>
  </si>
  <si>
    <t>RICH SDUSD 2018-19</t>
  </si>
  <si>
    <t>RICHS SAN MARCOS USD 18-19</t>
  </si>
  <si>
    <t>RICH BLANKET CAJON USD 2018-19</t>
  </si>
  <si>
    <t>RICH FOODS-ALONTI PEPI CORP</t>
  </si>
  <si>
    <t>RICH BAPA LEGOLAND</t>
  </si>
  <si>
    <t>RICH ESCONDIDO ELE 2018-19</t>
  </si>
  <si>
    <t>RICH FOODS BB-ALONTI PEPI</t>
  </si>
  <si>
    <t>RICH CCL HAL 18-050</t>
  </si>
  <si>
    <t>RICH'S UCSD</t>
  </si>
  <si>
    <t>Treasure Island Loyalty Program</t>
  </si>
  <si>
    <t>RICH PRODUCTS- FIVE STAR</t>
  </si>
  <si>
    <t>RICH PRODUCTS GOODNESS FOOD</t>
  </si>
  <si>
    <t>Goodness Food PP Net Price</t>
  </si>
  <si>
    <t>RICHS JIPC 1180791 1180704</t>
  </si>
  <si>
    <t>RICH SUNDNACE GOLF &amp; BOWL</t>
  </si>
  <si>
    <t>Sundance Golf  Banquet Bowl 2019</t>
  </si>
  <si>
    <t>BULL RING- CC NM</t>
  </si>
  <si>
    <t>2012 Bull Ring Deviation</t>
  </si>
  <si>
    <t>Roxy &amp; Primo</t>
  </si>
  <si>
    <t>The Roxy Supper Club / Primo's</t>
  </si>
  <si>
    <t>K-12 School Blanket Bid</t>
  </si>
  <si>
    <t>Milw Public School - Segm</t>
  </si>
  <si>
    <t>St Anthony Schools</t>
  </si>
  <si>
    <t>MDA King Pin Management L</t>
  </si>
  <si>
    <t>King Pin of WI Pizza Sales Deal</t>
  </si>
  <si>
    <t>CLEAR CREEK COOP</t>
  </si>
  <si>
    <t>7/1/2018   6/30/2019 Clear Creek ISD</t>
  </si>
  <si>
    <t>DAIRY QUEEN</t>
  </si>
  <si>
    <t>MCL CAFETERIAS</t>
  </si>
  <si>
    <t>MCL Cafeterias Pricing</t>
  </si>
  <si>
    <t>I P S</t>
  </si>
  <si>
    <t>REGION 9 SCHOOLS</t>
  </si>
  <si>
    <t>06/30/2019   06/29/2020 Region 9 ESC (Central Indiana)</t>
  </si>
  <si>
    <t>HOLIDAY WORLD</t>
  </si>
  <si>
    <t>Holiday World 2019 Season</t>
  </si>
  <si>
    <t>CAITO FOODS</t>
  </si>
  <si>
    <t>Renaissance Food Group/GH Foods</t>
  </si>
  <si>
    <t>BALL STATE UNIVERSITY   B</t>
  </si>
  <si>
    <t>Ball State Univ  BSU  Ball State University</t>
  </si>
  <si>
    <t>MIRKO PASTA LOCAL  MDA</t>
  </si>
  <si>
    <t>MIRKO PASTA</t>
  </si>
  <si>
    <t>WIC BID</t>
  </si>
  <si>
    <t>SY 2019   2020 COMMERCIAL BLANKET</t>
  </si>
  <si>
    <t>WESTERN/WOODLAND BOWL</t>
  </si>
  <si>
    <t>Royal Pin Leisure Center 2016 18</t>
  </si>
  <si>
    <t>3025 RCH 100912 - NOI RCH 100912</t>
  </si>
  <si>
    <t>0630 RCH 110244 - NOI RCH 110244</t>
  </si>
  <si>
    <t>3315 RCH 110244 - NOI RCH 110244</t>
  </si>
  <si>
    <t>5300 RCH 110244 - NOI RCH 110244</t>
  </si>
  <si>
    <t>5330 RCH 110244 - NOI RCH 110244</t>
  </si>
  <si>
    <t>5340 RCH 110244 - NOI RCH 110244</t>
  </si>
  <si>
    <t>5375 RCH 110244 - NOI RCH 110244</t>
  </si>
  <si>
    <t>K171 RCH 100912 - NOI RCH 100912</t>
  </si>
  <si>
    <t>NOV NAT MDA COLLEGE &amp; U B</t>
  </si>
  <si>
    <t>K171 RCH 110244 - NOI RCH 110244</t>
  </si>
  <si>
    <t>REGION 3 ESC</t>
  </si>
  <si>
    <t>7/1/2018   6/30/2019 Region III Education Service Center</t>
  </si>
  <si>
    <t>UNIVERSITY HEALTH FIXED</t>
  </si>
  <si>
    <t>University Health System</t>
  </si>
  <si>
    <t>WEST TX/NEW MEXICO MAJOR</t>
  </si>
  <si>
    <t>8/1/2018   7/31/2019 West Texas Food Service Cooperative</t>
  </si>
  <si>
    <t>SAN ANTONIO MILITARY</t>
  </si>
  <si>
    <t>OSU</t>
  </si>
  <si>
    <t>OSU   Ohio State University</t>
  </si>
  <si>
    <t>COLUMBIA STEAKHOUSE</t>
  </si>
  <si>
    <t>CHILDRENS HOSPITAL</t>
  </si>
  <si>
    <t>Nationwide Children's Hospital</t>
  </si>
  <si>
    <t>AMAZONE</t>
  </si>
  <si>
    <t>2013 Amazone</t>
  </si>
  <si>
    <t>MOTOR CITY CASINO</t>
  </si>
  <si>
    <t>Motor City Casino 2015</t>
  </si>
  <si>
    <t>CJ BARRYMOORE'S</t>
  </si>
  <si>
    <t>52 02 114 CJ Barrymore's</t>
  </si>
  <si>
    <t>RAM'S HORN</t>
  </si>
  <si>
    <t>Rams Horn BB</t>
  </si>
  <si>
    <t>MGM CASINO</t>
  </si>
  <si>
    <t>SEGM DEVN Soaring Eagle C</t>
  </si>
  <si>
    <t>52 02 114 Soaring Eagle</t>
  </si>
  <si>
    <t>ECI MAJOR</t>
  </si>
  <si>
    <t>CLEAR SPRINGS RESTAURANT</t>
  </si>
  <si>
    <t>Hill country restaurants</t>
  </si>
  <si>
    <t>NM SCHOOL NUTRITION COOP</t>
  </si>
  <si>
    <t>8/1/2018   6/30/2019 NM School Nutrition Cooperative</t>
  </si>
  <si>
    <t>SANTA ANA</t>
  </si>
  <si>
    <t>All Casinos</t>
  </si>
  <si>
    <t>HINKLE FAMILY DEVIATIONS</t>
  </si>
  <si>
    <t>Hinkle Family Fun Center</t>
  </si>
  <si>
    <t>MDA_RUDY'S_ABQ</t>
  </si>
  <si>
    <t>Ford Rest Group.  (Rudy's)</t>
  </si>
  <si>
    <t>8/1/2016   7/31/2017 North Country Buying Group</t>
  </si>
  <si>
    <t>RICHS SWEET-SODEXO</t>
  </si>
  <si>
    <t>RICHS BREAD-SODEXO</t>
  </si>
  <si>
    <t>RICHS PIZZA-SODEXO</t>
  </si>
  <si>
    <t>RICH FDS-FOODBUY COMM</t>
  </si>
  <si>
    <t>RICH PRODUCTS-FORUM</t>
  </si>
  <si>
    <t>RICH FDS-FOODBUY COMP COMM</t>
  </si>
  <si>
    <t>RICHS FOODS-BOSTON PIZZA</t>
  </si>
  <si>
    <t>RICH FDS-NAVIGATOR</t>
  </si>
  <si>
    <t>RICH FDS-FOODBUY COMP COMM EXL K-12</t>
  </si>
  <si>
    <t>RICH FOODS-BLUE MESA</t>
  </si>
  <si>
    <t>52 03 310 Hal Smith</t>
  </si>
  <si>
    <t>RICH FOODS-BLACK BEAR DINER</t>
  </si>
  <si>
    <t>RICH PRODUCTS-OLD SPAGHETTI FACTORY</t>
  </si>
  <si>
    <t>CASA DI(MEATBALLS)-SODEXO</t>
  </si>
  <si>
    <t>RICH TOPPINGS-SODEXO</t>
  </si>
  <si>
    <t>RICH FOODS-CENTERPLATE (VSA)</t>
  </si>
  <si>
    <t>RICHS FOODS ID-DAVINCI'S</t>
  </si>
  <si>
    <t>Davinci</t>
  </si>
  <si>
    <t>RICHS FOODS ID-ATKINSON'S</t>
  </si>
  <si>
    <t>Atkinson's</t>
  </si>
  <si>
    <t>RICHS FOODS ID-O'ROURKE</t>
  </si>
  <si>
    <t>O'Rourkes 2014</t>
  </si>
  <si>
    <t>RICH FOODS-IKEA</t>
  </si>
  <si>
    <t>RICH'S WILDFLOWER BREAD</t>
  </si>
  <si>
    <t>RICH MARNELL</t>
  </si>
  <si>
    <t>Marnell Group Las Vegas</t>
  </si>
  <si>
    <t>RICH PRODUCTS BOYD GAMING</t>
  </si>
  <si>
    <t>RICHS STEAK N SHAKE</t>
  </si>
  <si>
    <t>Steak N Shake</t>
  </si>
  <si>
    <t>RICH FOODS-SAMMYS WOODFIRED PIZZA</t>
  </si>
  <si>
    <t>RICHS-TREAT AMERICA</t>
  </si>
  <si>
    <t>RICHS AZ-PASTRY PRIDE PROGRAM</t>
  </si>
  <si>
    <t>Sysco AZ Pastry Pride Promotion</t>
  </si>
  <si>
    <t>RICH FOODS-LUCKY STRIKE</t>
  </si>
  <si>
    <t>RICH NTX-THE STRING BEAN</t>
  </si>
  <si>
    <t>The String Bean</t>
  </si>
  <si>
    <t>RICH-GANDOLFO'S DELI</t>
  </si>
  <si>
    <t>RICH FOODS DEN INT NO-JACOBS ENTERT</t>
  </si>
  <si>
    <t>RICH FOODS-JACKSONS</t>
  </si>
  <si>
    <t>344 Jackson Hole</t>
  </si>
  <si>
    <t>RICH PRODUCTS-RITE OF PASSAGE</t>
  </si>
  <si>
    <t>Rite of Passage Youth Correct</t>
  </si>
  <si>
    <t>RICH PRODUCTS CINZZETTI'S</t>
  </si>
  <si>
    <t>RICH FOODS-GRAND PIZZA</t>
  </si>
  <si>
    <t>344 Grand Pizza</t>
  </si>
  <si>
    <t>RICH FOODS-CONTINENTAL AIR</t>
  </si>
  <si>
    <t>344 Continental Airlines/Chelsea C</t>
  </si>
  <si>
    <t>RICH PRODUCTS- UNIV. OF COLO</t>
  </si>
  <si>
    <t>Beau Rivage</t>
  </si>
  <si>
    <t>RICH PRODUCTS STEAK N SHAKE</t>
  </si>
  <si>
    <t>RICH FDS CASINOS</t>
  </si>
  <si>
    <t>Regional Casinos</t>
  </si>
  <si>
    <t>RICH'S-ARK SCHOOLS</t>
  </si>
  <si>
    <t>RICH FOODS-IPIC</t>
  </si>
  <si>
    <t>RICH'S ETX-NATIONAL SCHBLNKT</t>
  </si>
  <si>
    <t>RICH FOODS-MIL AF NON APPROP AFNAF</t>
  </si>
  <si>
    <t>RICH NTX-K-12 SCHOOL BLANKET</t>
  </si>
  <si>
    <t>RICHS GLUNTEN FREE ID NM WTX-RED RO</t>
  </si>
  <si>
    <t>RICH'S-SARDELLA'S</t>
  </si>
  <si>
    <t>Sardella's</t>
  </si>
  <si>
    <t>RICH FOODS-DELAWARE NORTH</t>
  </si>
  <si>
    <t>RICHS-TRADITIONS SPIRITS INC</t>
  </si>
  <si>
    <t>Traditions Spirits Inc</t>
  </si>
  <si>
    <t>RICH-LANDRY'S</t>
  </si>
  <si>
    <t>RICH'S ETX-AVOYELLES PARISH</t>
  </si>
  <si>
    <t>RICH'S NTX-PROSPERING PALS</t>
  </si>
  <si>
    <t>SY 14 15 Prospering Pals CoOp Texas</t>
  </si>
  <si>
    <t>CASA DI BERTACCHI(RICH PRODUCTS)-AR</t>
  </si>
  <si>
    <t>RICH AZ NOI</t>
  </si>
  <si>
    <t>RICH FOODS-RUBY TEQUILLA BAKER BRO</t>
  </si>
  <si>
    <t>RICH OK NOI</t>
  </si>
  <si>
    <t>RICH NTX NOI</t>
  </si>
  <si>
    <t>RICH WTX NOI</t>
  </si>
  <si>
    <t>RICH'S ETX-K-12 ZERT'S PUDDING</t>
  </si>
  <si>
    <t>RICH PRODUCTS-SOUTHERN FOODSERVICES</t>
  </si>
  <si>
    <t>RICH PRODUCTS-STAR BUFFET</t>
  </si>
  <si>
    <t>RICH SUMMIT SCHOOLS</t>
  </si>
  <si>
    <t>RICH SILVER CITY SCH</t>
  </si>
  <si>
    <t>RICHS SALS</t>
  </si>
  <si>
    <t>SHA Sal's Pizzeria Deviation</t>
  </si>
  <si>
    <t>RICHS CLASSIC SKATING</t>
  </si>
  <si>
    <t>RICH LAGOON</t>
  </si>
  <si>
    <t>RICHS-IHOP</t>
  </si>
  <si>
    <t>RICH MESA</t>
  </si>
  <si>
    <t>SY 2014 2015 Mesa Schools</t>
  </si>
  <si>
    <t>RICH UCARE</t>
  </si>
  <si>
    <t>SY 14 15 UCARE Cooperative Utah</t>
  </si>
  <si>
    <t>RICHS IHOP</t>
  </si>
  <si>
    <t>RICH'S PRODUCTS ETX-LONGVIEW ISD</t>
  </si>
  <si>
    <t>SY 14 15 Longview Texas</t>
  </si>
  <si>
    <t>RICHS ETX-REGION 8</t>
  </si>
  <si>
    <t>SY 14 15  Region 8</t>
  </si>
  <si>
    <t>RICH FOODS-PINNACLE ENTERTAINMENT</t>
  </si>
  <si>
    <t>RICH FOODS (VARIETY)-ARAMARK</t>
  </si>
  <si>
    <t>RICH FOODS VARIETY-ARAMARK K12</t>
  </si>
  <si>
    <t>RICH FOODS DEN-CHERRY CREEK</t>
  </si>
  <si>
    <t>RICH FOODS DEN-JEFFCO</t>
  </si>
  <si>
    <t>SY 14 15 Jefferson County (Jeffco)</t>
  </si>
  <si>
    <t>RICH NTX-FRISCO ALLEN ISD</t>
  </si>
  <si>
    <t>SY 14 15 Allen and Frisco ISD Texas</t>
  </si>
  <si>
    <t>RICH ETX-MARSHALL ISD</t>
  </si>
  <si>
    <t>SY 14 15 Marshall ISD Texas</t>
  </si>
  <si>
    <t>RICHS ID-BOISE SCHOOL</t>
  </si>
  <si>
    <t>RICH'S OK-CITY PUBLIC SCHOOLS</t>
  </si>
  <si>
    <t>SY 14 15 Oklahoma City</t>
  </si>
  <si>
    <t>RICH PRODUCTS CORPORATION WTX-AMARI</t>
  </si>
  <si>
    <t xml:space="preserve">SY 14 15 Amarillo ISD </t>
  </si>
  <si>
    <t>RICH'S NTX-MESQUITE ISD</t>
  </si>
  <si>
    <t>RICH'S NM-ALUQUERQUE ACADEMY</t>
  </si>
  <si>
    <t>RICH NTX-1150 HPISD</t>
  </si>
  <si>
    <t>RICH'S-OK SDX K-12</t>
  </si>
  <si>
    <t>RICHS FOODS ID-NAMPA SCHOOLS</t>
  </si>
  <si>
    <t>Sysco Nampa SD</t>
  </si>
  <si>
    <t>RICH'S-STEAKENBURGER</t>
  </si>
  <si>
    <t>Steakenburger</t>
  </si>
  <si>
    <t>RICHS DEN-MOVIE TAVERN</t>
  </si>
  <si>
    <t>RICH ETX NOI</t>
  </si>
  <si>
    <t>RICHS INTM-BYU</t>
  </si>
  <si>
    <t>UTAH SKI AREA BLANKET BID</t>
  </si>
  <si>
    <t>RICHS-MGM RESORTS</t>
  </si>
  <si>
    <t>RICH FOODS NM-DAIRY QUEEN</t>
  </si>
  <si>
    <t>RICH'S FOOD-IHOP</t>
  </si>
  <si>
    <t>RICHS DEN-K-12 BLANKET</t>
  </si>
  <si>
    <t>RICH PRODUCTS CORP INTM-MESA SD</t>
  </si>
  <si>
    <t>RICH'S AZ-PIZZA STUDIO</t>
  </si>
  <si>
    <t>RICH PRODUCTS-WORLD OF BEER</t>
  </si>
  <si>
    <t>RICH DEN-UNIV MEMORIAL CENTER</t>
  </si>
  <si>
    <t>52 03 344 University of Colorado Memoria</t>
  </si>
  <si>
    <t>RICHS INTM-ALL SKI ACCOUNTS</t>
  </si>
  <si>
    <t>RICH PRODUCTS NTX-BAHAMA BUCK'S</t>
  </si>
  <si>
    <t>RICH FOODS VARIETY BAKERY PIZZA-ARA</t>
  </si>
  <si>
    <t>RICH DEN-COPPER MOUNTAIN</t>
  </si>
  <si>
    <t>Copper Mountain</t>
  </si>
  <si>
    <t>RICH PRODUCT CORP DEN-WINTER PARK</t>
  </si>
  <si>
    <t>Winter Park</t>
  </si>
  <si>
    <t>RICH PRODUCT CORP DEN-STEAMBOAT</t>
  </si>
  <si>
    <t>Steamboat Ski Program</t>
  </si>
  <si>
    <t>RICH'S DEN-CINZETTI'S</t>
  </si>
  <si>
    <t>RICHS ETX-TEXARKANA ISD</t>
  </si>
  <si>
    <t>RICH PRODUCTS NTX-ASPEN CREEK</t>
  </si>
  <si>
    <t>RICHS DEN-AFFINITY GAMING</t>
  </si>
  <si>
    <t>Affinity Gaming Program</t>
  </si>
  <si>
    <t>RICHS-FS LOCAL OPERATOR</t>
  </si>
  <si>
    <t>RICHS-MARNELL</t>
  </si>
  <si>
    <t>RICHS LV - BOYD GAMING</t>
  </si>
  <si>
    <t>RICH'S OK-KEYSTONE FOODS</t>
  </si>
  <si>
    <t>Keystone Foods</t>
  </si>
  <si>
    <t>RICHS GLUNTEN FREE-RED ROBIN</t>
  </si>
  <si>
    <t>RICH'S INTM-COWABUNGA BAY</t>
  </si>
  <si>
    <t>Cowabunga Bay Water Park Las Vegas program implemented for family fun centers in Tukwila WA</t>
  </si>
  <si>
    <t>RICH PRODUCTS-WESTERN SIZZLIN</t>
  </si>
  <si>
    <t>RICH PRODUCTS-RESTAURANT PARTNERS</t>
  </si>
  <si>
    <t>RICH'S AZ-RUSTLERS ROOSTE</t>
  </si>
  <si>
    <t>Rustlers Rooste</t>
  </si>
  <si>
    <t>RICH'S AZ-SARDELLA'S</t>
  </si>
  <si>
    <t>RICH'S AZ-STEAKENBURGER</t>
  </si>
  <si>
    <t>RICH FOODS-BEAU RIVAGE 1290</t>
  </si>
  <si>
    <t>RICHS FOODS-ISLE OF CAPRI</t>
  </si>
  <si>
    <t>RICH PRODUCT CORP-BLIMPIES KAHALA</t>
  </si>
  <si>
    <t>RICH FOODS ID-JEROME SCHOOLS</t>
  </si>
  <si>
    <t>RICHS-BOISE SCHOOLS</t>
  </si>
  <si>
    <t>RICH'S-COUNTRY KITCHEN INTL</t>
  </si>
  <si>
    <t>RICH FOODS-MEXICAN RESTAURANTS INC.</t>
  </si>
  <si>
    <t>RICH FOODS VARIETY-ARAMARK SSS</t>
  </si>
  <si>
    <t>RICH FOODS-BEEF O BRADY'S</t>
  </si>
  <si>
    <t>RICH FOODS-CASINOS</t>
  </si>
  <si>
    <t>RICH FOODS-BLIMPIE OPCOS</t>
  </si>
  <si>
    <t>RICH'S-LAGOON CATERING</t>
  </si>
  <si>
    <t>RICHS-M RESORT</t>
  </si>
  <si>
    <t>RICHS-SOUTHPOINT HOTEL&amp;CASINO</t>
  </si>
  <si>
    <t>South Point Loyalty Program</t>
  </si>
  <si>
    <t>RICH FOOD NO RTL-COLD STONE</t>
  </si>
  <si>
    <t>Sysco Corporate Rebate Agreement</t>
  </si>
  <si>
    <t>RICH'S-SILVER COOP</t>
  </si>
  <si>
    <t>RICH LINEAGE LOGISTICS-UCARE</t>
  </si>
  <si>
    <t>7/1/2015   6/30/2016 UCARE Cooperative</t>
  </si>
  <si>
    <t>RICH'S PRODUCTS-K-12 SCHOOL BLANKET</t>
  </si>
  <si>
    <t>RICHS-UINTAH SD</t>
  </si>
  <si>
    <t>7/1/2015   6/30/2016 Uintah School District</t>
  </si>
  <si>
    <t>SFS INTERMOUNTAIN INT-DORNAN'S</t>
  </si>
  <si>
    <t>RICH'S-YUMA SCHOOLS</t>
  </si>
  <si>
    <t>RICHS FOODS-NATCHITOCHES</t>
  </si>
  <si>
    <t>RICHS-REGION 8</t>
  </si>
  <si>
    <t>7/1/2015   7/14/2016 Region 8   TIPS Food Purchasing Coop</t>
  </si>
  <si>
    <t>7/1/2015   6/30/2016 Oklahoma City</t>
  </si>
  <si>
    <t>RICH-CLAIBORNE PARISH SCHOOLS</t>
  </si>
  <si>
    <t>CASA DI BERTACHI-ARAMARK SSS</t>
  </si>
  <si>
    <t>7/1/2015   6/30/2016 Mesa County Valley 51</t>
  </si>
  <si>
    <t>RICHS-TVC CO-OP</t>
  </si>
  <si>
    <t>8/1/2015   7/31/2016 Treasure Valley Co Op</t>
  </si>
  <si>
    <t>RICH-TEXARKANA ISD</t>
  </si>
  <si>
    <t>8/1/2015   7/31/2016 Texarkana ISD</t>
  </si>
  <si>
    <t>RICH PRODUCTS-SPAGHETTI WAREHOUSE</t>
  </si>
  <si>
    <t>8/1/2015   6/30/2016 Salt Lake City School District</t>
  </si>
  <si>
    <t>RICH FOODS-JEFFCO BOULDER ENGLEWOOD</t>
  </si>
  <si>
    <t>7/1/2015   6/30/2016 Jefferson County R 1</t>
  </si>
  <si>
    <t>Amarillo ISD Bid</t>
  </si>
  <si>
    <t>RICH FOODS-CHELSEA CATERING</t>
  </si>
  <si>
    <t>7/15/2015   6/30/2016 Millard School District</t>
  </si>
  <si>
    <t>RICH FOODS-MOVIE TAVERN</t>
  </si>
  <si>
    <t>RICH-STEAK &amp; SHAKE</t>
  </si>
  <si>
    <t>7/15/2015   6/30/2016 Jordan School District</t>
  </si>
  <si>
    <t>RICH FOODS-AUMMIT AVIANDS</t>
  </si>
  <si>
    <t>7/1/2015   6/30/2016 Duchesne School District</t>
  </si>
  <si>
    <t>RICHS-PENN NATIONAL GAMING OPCOS</t>
  </si>
  <si>
    <t>RICH FOODS VARIETY MAIN-ARAMARK</t>
  </si>
  <si>
    <t>RICH ARK NOI</t>
  </si>
  <si>
    <t>RICH-CANNERY GROUP</t>
  </si>
  <si>
    <t>Cannery Casino's</t>
  </si>
  <si>
    <t>RICH'S-DESOTO PARISH</t>
  </si>
  <si>
    <t>7/1/2015   12/30/2016 Desoto Parish School Board</t>
  </si>
  <si>
    <t>RICH-MAKATUS ISLAND</t>
  </si>
  <si>
    <t>RICH'S-JW MARRIOTT</t>
  </si>
  <si>
    <t>JW MARRIOTT / RAMPART CASINO PROGRAM</t>
  </si>
  <si>
    <t>RICH'S-PINNACLE PEAK GENERAL STORE</t>
  </si>
  <si>
    <t>Pinnacle Peak General Store</t>
  </si>
  <si>
    <t>7/1/2016   6/30/2017 UCARE Cooperative</t>
  </si>
  <si>
    <t>RICH'S-NATIONAL SCHBLNKT</t>
  </si>
  <si>
    <t>7/1/2016   6/30/2017 Uintah School District</t>
  </si>
  <si>
    <t>RICH FOODS (BETTERCREME)-COLD STONE</t>
  </si>
  <si>
    <t>RICH PRODUCTS-MG FOODS OF TEXAS INC</t>
  </si>
  <si>
    <t>The Pantry</t>
  </si>
  <si>
    <t>7/1/2016   6/30/2017 Salt Lake City School District</t>
  </si>
  <si>
    <t>RICH'S-LAND RUN GRILL</t>
  </si>
  <si>
    <t>Land Run Grill</t>
  </si>
  <si>
    <t>Penny Hill Deli &amp; Subs</t>
  </si>
  <si>
    <t>RICH FOODS PRODUCTS-TOP GOLF</t>
  </si>
  <si>
    <t>7/15/2016   7/14/2017 Jordan School District</t>
  </si>
  <si>
    <t>7/1/2016   6/30/2017 Oklahoma City</t>
  </si>
  <si>
    <t>7/1/2016   6/30/2017 Mesa County Valley 51</t>
  </si>
  <si>
    <t>RICH PRODUCTS CORP-HALF FAST SUBS</t>
  </si>
  <si>
    <t>Half Fast Subs</t>
  </si>
  <si>
    <t>&amp;MP RICH FOODS NONRTL-COLD STONE</t>
  </si>
  <si>
    <t>ROCKET PIZZA</t>
  </si>
  <si>
    <t>RICHS-XANTERRA GRAND CANYON</t>
  </si>
  <si>
    <t>RICH'S-PENNY HILL DELI &amp; SUBS</t>
  </si>
  <si>
    <t>RICH OK OI</t>
  </si>
  <si>
    <t>7/1/2016   6/30/2017 Jefferson County R 1</t>
  </si>
  <si>
    <t>8/1/2016   6/30/2017 Ascent Academies of Utah</t>
  </si>
  <si>
    <t>7/15/2016   7/14/2017 Region 8   TIPS Food Purchasing Coop</t>
  </si>
  <si>
    <t>RICH AR NOI</t>
  </si>
  <si>
    <t>RICHS FOODS-NAMPA SCHOOL</t>
  </si>
  <si>
    <t>Creole Cuisine/The Zeid Group</t>
  </si>
  <si>
    <t>RICH FOODS - MACARONI GRILL</t>
  </si>
  <si>
    <t>&amp;MP RICH FOODS-COLD STONE CREAMERY</t>
  </si>
  <si>
    <t>RICH FOODS-BEEF O BRADYS</t>
  </si>
  <si>
    <t>RICH FOODS-MIMI'S CAFE</t>
  </si>
  <si>
    <t>RICH PRODUCTS-VILLAGE INN</t>
  </si>
  <si>
    <t>RICH FOODS-ROMANO'S MACARONI GRILL</t>
  </si>
  <si>
    <t>RICH'S - BAHAMA BUCKS</t>
  </si>
  <si>
    <t>RICH FOODS INLAND-COLD STONE CREAME</t>
  </si>
  <si>
    <t>&amp;MP RICH FDS BRISKET-TOPGOLF</t>
  </si>
  <si>
    <t>&amp;MP RICH FOODS BETTERCREME-COLD STO</t>
  </si>
  <si>
    <t>&amp;MP RICH FOODS-COLD STONE</t>
  </si>
  <si>
    <t>RICH'S-TEMPLE HIGH SCHOOLS</t>
  </si>
  <si>
    <t>TPASS - STATE OF TEXAS</t>
  </si>
  <si>
    <t>GLORY DAYS</t>
  </si>
  <si>
    <t>Glory Days Grill</t>
  </si>
  <si>
    <t>NAPA - DOD -MD3-</t>
  </si>
  <si>
    <t>TEPPANYAKI GRILL</t>
  </si>
  <si>
    <t>UNIVERSITY OF MD</t>
  </si>
  <si>
    <t>University of Maryland</t>
  </si>
  <si>
    <t>NEW YORK J&amp;P PIZZA</t>
  </si>
  <si>
    <t>New York J&amp;P Pizza  Rebate</t>
  </si>
  <si>
    <t>NAPA - DOD-MD5</t>
  </si>
  <si>
    <t>DOD - MD5</t>
  </si>
  <si>
    <t>JZ'S FIRED UP BRICK OVEN</t>
  </si>
  <si>
    <t>MDA_PIZZA BOLIS</t>
  </si>
  <si>
    <t>Pizza Boli's Rebate Cheesecake</t>
  </si>
  <si>
    <t>MDA_STONE COVE KITBAR</t>
  </si>
  <si>
    <t>REGION 5 ESC</t>
  </si>
  <si>
    <t>7/1/2018   6/30/2019 Region 5 ESC</t>
  </si>
  <si>
    <t>Comm Of Mass K-12 Schools</t>
  </si>
  <si>
    <t>HIBACHI-OSAKA GRILL</t>
  </si>
  <si>
    <t>PARTY FANTASY</t>
  </si>
  <si>
    <t>Party Fantasy</t>
  </si>
  <si>
    <t>CAFE ZOOT</t>
  </si>
  <si>
    <t>ONCE UPON A BAGEL</t>
  </si>
  <si>
    <t>Once Upon A Bagel</t>
  </si>
  <si>
    <t>MDA_MAIN EVENT HOLDING</t>
  </si>
  <si>
    <t>Main Event</t>
  </si>
  <si>
    <t>ANYWAYS</t>
  </si>
  <si>
    <t>Anyways</t>
  </si>
  <si>
    <t>CAFCO SCHOOL BID</t>
  </si>
  <si>
    <t>BCIU SCHOOL BID</t>
  </si>
  <si>
    <t>MASCHIO SCHOOL BID</t>
  </si>
  <si>
    <t>DELAWARE SCHOOL BID</t>
  </si>
  <si>
    <t>POMPTONIAN SCHOOL BID</t>
  </si>
  <si>
    <t>SEPA SCHOOL BID</t>
  </si>
  <si>
    <t>ESPN</t>
  </si>
  <si>
    <t>ESPN 2013.2014 School Bid</t>
  </si>
  <si>
    <t>EAST STROUDSBURG BID</t>
  </si>
  <si>
    <t>LENORCO SCHOOL BID</t>
  </si>
  <si>
    <t>TNT DELI</t>
  </si>
  <si>
    <t>TNT Deli 2013 deal</t>
  </si>
  <si>
    <t>READING SD BID</t>
  </si>
  <si>
    <t>NORTHERN TIER SCHOOL BID</t>
  </si>
  <si>
    <t>RED ROBIN RESTAURANTS</t>
  </si>
  <si>
    <t>Red Robin CT Group</t>
  </si>
  <si>
    <t>MDA RUTTERS FARM MKT</t>
  </si>
  <si>
    <t>Rutter's NET Pricing</t>
  </si>
  <si>
    <t>ESPN Blankets</t>
  </si>
  <si>
    <t>ESPN 2014.2015 bid</t>
  </si>
  <si>
    <t>East Stroudsburg SD Blank</t>
  </si>
  <si>
    <t>BCIU Blankets</t>
  </si>
  <si>
    <t>Delaware Blankets</t>
  </si>
  <si>
    <t>Lenorco Blankets</t>
  </si>
  <si>
    <t>Pomptonian Blankets</t>
  </si>
  <si>
    <t>TURNING POINTS</t>
  </si>
  <si>
    <t>52 01 141 Turning Point Restaurants</t>
  </si>
  <si>
    <t>Teppenyaki BB</t>
  </si>
  <si>
    <t>FAMOUS ANTHONY'S</t>
  </si>
  <si>
    <t>Famous Anthony's Biscuit Rebate</t>
  </si>
  <si>
    <t>WESTERN SIZZLIN</t>
  </si>
  <si>
    <t>Wood Grill/Western Sizzlin</t>
  </si>
  <si>
    <t>COUNTRY COOKIN</t>
  </si>
  <si>
    <t>Country Cookin Biscuit Rebate</t>
  </si>
  <si>
    <t>BID-Roanoke City Schools</t>
  </si>
  <si>
    <t>7/1/2015   6/30/2016 Roanoke City Public Schools</t>
  </si>
  <si>
    <t>BID Roanoke COOP 13-14</t>
  </si>
  <si>
    <t>BID ROANOKE CITY PROVISTA</t>
  </si>
  <si>
    <t>BID Provista Roanoke COOP</t>
  </si>
  <si>
    <t>PON  BUBBLECAKES</t>
  </si>
  <si>
    <t>Bubblecake</t>
  </si>
  <si>
    <t>MDA  Ferrum College</t>
  </si>
  <si>
    <t>Ferrum College</t>
  </si>
  <si>
    <t>BID Hampton City Schools</t>
  </si>
  <si>
    <t>08/01/2019   07/30/2020 Hampton City Schools</t>
  </si>
  <si>
    <t>ROTTERDAM MOHONASEN</t>
  </si>
  <si>
    <t>WASHINGTONVILLE HS</t>
  </si>
  <si>
    <t>GUILDERLAND SCHOOL DIST</t>
  </si>
  <si>
    <t>SOUTH COLONIE</t>
  </si>
  <si>
    <t>SHENENDEHOWA</t>
  </si>
  <si>
    <t>OKEMO MOUNTAIN</t>
  </si>
  <si>
    <t>Okemo Mountain Ski Resort 2015   thru US Albany</t>
  </si>
  <si>
    <t>OSWEGO</t>
  </si>
  <si>
    <t>ONEONTA JOB CORP</t>
  </si>
  <si>
    <t>GREATER JOHNSTOWN</t>
  </si>
  <si>
    <t>DCMO BOCES</t>
  </si>
  <si>
    <t>Brook's BBQ_SG</t>
  </si>
  <si>
    <t>Brooks' House of Bar B Q Rebate</t>
  </si>
  <si>
    <t>BC Spec Bid</t>
  </si>
  <si>
    <t>SARATOGA BOCES QUANDTS BI</t>
  </si>
  <si>
    <t>North Colonie Quandts Bid</t>
  </si>
  <si>
    <t>Herkimer BOCES Quandts Bi</t>
  </si>
  <si>
    <t>Saratoga City CSD Quandts</t>
  </si>
  <si>
    <t>Hudson Falls Quandts Bid</t>
  </si>
  <si>
    <t>PON_LANZI'S</t>
  </si>
  <si>
    <t>Lanzi's on the Lake</t>
  </si>
  <si>
    <t>J065_RCH_110244 - NOI_RCH_110244</t>
  </si>
  <si>
    <t>PARK AVE BISTRO_BB</t>
  </si>
  <si>
    <t>2015 Park Ave Bistro deal thr US Perth Amboy</t>
  </si>
  <si>
    <t>BOWLER CITY</t>
  </si>
  <si>
    <t>2015 Bowler City deal thr US Foods Perth Amboy and Driscoll Foods</t>
  </si>
  <si>
    <t>SCHOOLS</t>
  </si>
  <si>
    <t>SCHOOLS/RESA 2 - SCHOOLS</t>
  </si>
  <si>
    <t>SCHOOLS/WVU - SCHOOLS</t>
  </si>
  <si>
    <t>SCHOOLS/RALEIGH - SCHOOLS</t>
  </si>
  <si>
    <t>K-12 Schools BID BB MD - K-12 SCHOOLS BID BB M</t>
  </si>
  <si>
    <t>RESA</t>
  </si>
  <si>
    <t>7/1/2017   6/30/2018 RESA VIII</t>
  </si>
  <si>
    <t>PRFSD 2011/2012</t>
  </si>
  <si>
    <t>07/01/2019   06/30/2020 Pittsburgh Regional Foodservice Directors (PRFSD)</t>
  </si>
  <si>
    <t>PRFSD - 2011/2012 (SEC)</t>
  </si>
  <si>
    <t>7/1/2015   6/30/2016 Pittsburgh Regional Foodservice Directors (PRFSD)</t>
  </si>
  <si>
    <t>DREAM &amp; Donut Connection</t>
  </si>
  <si>
    <t>THE DREAM</t>
  </si>
  <si>
    <t>Lake Raystown Resort</t>
  </si>
  <si>
    <t>RAYSTOWN RESORT AND CONFERENCE CENTER</t>
  </si>
  <si>
    <t>MDA _ PARK DINING</t>
  </si>
  <si>
    <t>EAT N PARK HOSPITALITY DIST BILL BACK</t>
  </si>
  <si>
    <t>20514110 RCH 110244 - 14 15 NOI RCH 110244</t>
  </si>
  <si>
    <t>20511220 RCH 110244 - 14 15 NOI RCH 110244</t>
  </si>
  <si>
    <t>20465705 RCH 110244 - 14 15 NOI RCH 110244</t>
  </si>
  <si>
    <t>20514800 RCH 110244 - 14 15 NOI RCH 110244</t>
  </si>
  <si>
    <t>20556910 RCH 110244 - 14 15 NOI RCH 110244</t>
  </si>
  <si>
    <t>Frederock County - Premie</t>
  </si>
  <si>
    <t>PREMIER DISTRIBUTOR PRICING   Frozen Bakery</t>
  </si>
  <si>
    <t>WCMD Premier HC_K12</t>
  </si>
  <si>
    <t>Frederick County</t>
  </si>
  <si>
    <t>PREMIER DISTRIBUTOR PRICING</t>
  </si>
  <si>
    <t>10 RCH 110244 - 14 15 NOI RCH 110244</t>
  </si>
  <si>
    <t>RESA 6</t>
  </si>
  <si>
    <t>10 RCH 100912 - 14 15 NOI RCH 100912</t>
  </si>
  <si>
    <t>MOUNTAINEER</t>
  </si>
  <si>
    <t>52 01 116 Mountaineer Race Track &amp; Gamin</t>
  </si>
  <si>
    <t>Pittsburgh Local Bid</t>
  </si>
  <si>
    <t>FS K 12 Schools   Commodity</t>
  </si>
  <si>
    <t>Lady Luck Casino(Isle of</t>
  </si>
  <si>
    <t>MDA_Eat n Park</t>
  </si>
  <si>
    <t>MDA_CURA</t>
  </si>
  <si>
    <t>MDA_PARK DINING_BB_IT_PG</t>
  </si>
  <si>
    <t>20465310 RCH 110244 - 14 15 NOI RCH 110244</t>
  </si>
  <si>
    <t>20110360 RCH 110244 - 14 15 NOI RCH 110244</t>
  </si>
  <si>
    <t>20402690 RCH 110244 - 14 15 NOI RCH 110244</t>
  </si>
  <si>
    <t>UNIVERSITY OF BUFFALO</t>
  </si>
  <si>
    <t>University of Buffalo Rebate Program</t>
  </si>
  <si>
    <t>SENECA GAMING</t>
  </si>
  <si>
    <t>52 01 113 Seneca Gaming Casino</t>
  </si>
  <si>
    <t>MDA_MARK'S PIZZA</t>
  </si>
  <si>
    <t>Mark's Pizza</t>
  </si>
  <si>
    <t>KATY ISD</t>
  </si>
  <si>
    <t>7/1/2018   6/30/2019 Katy ISD</t>
  </si>
  <si>
    <t>DAIRY QUEEN - VIRGINIA</t>
  </si>
  <si>
    <t>COPPER RIVER GRILL</t>
  </si>
  <si>
    <t>Copper River Grill</t>
  </si>
  <si>
    <t>UNIVERSITY OF GEORGIA</t>
  </si>
  <si>
    <t>University of GA Bid   Allowances</t>
  </si>
  <si>
    <t>GEC SCHOOLS - SCHOOL BLANKET</t>
  </si>
  <si>
    <t>FULTON COUNTY - SCHOOL BLANKET</t>
  </si>
  <si>
    <t>Fulton County GA 14 15 Bid</t>
  </si>
  <si>
    <t>COBB COUNTY - SCHOOL BLANKET</t>
  </si>
  <si>
    <t>Cobb  GA Yearly Bid</t>
  </si>
  <si>
    <t>FOLKS SOUTHERN KITCHEN</t>
  </si>
  <si>
    <t>Folks Southern Kitchen</t>
  </si>
  <si>
    <t>DOD NAPA</t>
  </si>
  <si>
    <t>HIBACHI GRILL</t>
  </si>
  <si>
    <t>1658 RCH 110244 - NOI RCH 110244</t>
  </si>
  <si>
    <t>1644 RCH 110244 - NOI RCH 110244</t>
  </si>
  <si>
    <t>Pepperoni's Pizza</t>
  </si>
  <si>
    <t>SCH - Muscogee County  BI</t>
  </si>
  <si>
    <t>Muscogee  GA 14 15 Yearly bid</t>
  </si>
  <si>
    <t>SCH - Crawford County   B</t>
  </si>
  <si>
    <t>Georgia Market Bibb County</t>
  </si>
  <si>
    <t>SCH- Bibb Co. Schools   B</t>
  </si>
  <si>
    <t>SCH - Cherokee County   B</t>
  </si>
  <si>
    <t>Cherokee  GA 14 15 Bid</t>
  </si>
  <si>
    <t>SCH - Baldwin Co. / Whse</t>
  </si>
  <si>
    <t>SCH - Clayton County   BI</t>
  </si>
  <si>
    <t>Summits Taverns/Dugans MD</t>
  </si>
  <si>
    <t>Summits Wayside Taverns</t>
  </si>
  <si>
    <t>SCH - NEWTON COUNTY   BID</t>
  </si>
  <si>
    <t>Newton  GA Yearly Bid 2014 2015</t>
  </si>
  <si>
    <t>SCH - COWETA COUNTY   BID</t>
  </si>
  <si>
    <t>SCH - ROME BOE  BID</t>
  </si>
  <si>
    <t>SCH - CLARKE COUNTY   BID</t>
  </si>
  <si>
    <t>Clarke GA 14 15 Yearly School bid</t>
  </si>
  <si>
    <t>SCH - HALL COUNTY   BID</t>
  </si>
  <si>
    <t>SCH - UPSON COUNTY   BID</t>
  </si>
  <si>
    <t>SCH- FAYETTE COUNTY   BID</t>
  </si>
  <si>
    <t>SCH - HARRIS COUNTY SCHOO</t>
  </si>
  <si>
    <t>SCH - GRIFFIN-SPAULDING</t>
  </si>
  <si>
    <t>SCH- CARROLL CO. SCHOOLS</t>
  </si>
  <si>
    <t>DALTON CITY - SCHOOL BLANKET</t>
  </si>
  <si>
    <t>7/1/2017   6/30/2018 Dalton City</t>
  </si>
  <si>
    <t>CARROLLTON CITY - SCHOOL BLANKET</t>
  </si>
  <si>
    <t>SCH-PIKE COUNTY</t>
  </si>
  <si>
    <t>SCH - Meriweather County</t>
  </si>
  <si>
    <t>SCH- BARROW CO SCHOOLS BI</t>
  </si>
  <si>
    <t>SCH - Dekalb County BID</t>
  </si>
  <si>
    <t>DeKalb  GA 2014 2015 School Bid</t>
  </si>
  <si>
    <t>SCH-FRANKLIN CO SCHOOLS B</t>
  </si>
  <si>
    <t>SCH - Heard Co. Schools</t>
  </si>
  <si>
    <t>SCH - DOOLY CO SCHOOLS BI</t>
  </si>
  <si>
    <t>SCH - HENRY COUNTY BID</t>
  </si>
  <si>
    <t>SCH - Gainesville City</t>
  </si>
  <si>
    <t>Gainesville City  GA Yearly 14 15 Bid</t>
  </si>
  <si>
    <t>SCH - DEKALB CO SCHOOLS -</t>
  </si>
  <si>
    <t>SCH - CARROLLTON CITY SCH</t>
  </si>
  <si>
    <t>SCH - DOUGLAS CO SCHOOLS</t>
  </si>
  <si>
    <t>MDA_Village Tavern</t>
  </si>
  <si>
    <t>RMDA_Main Event Holding I</t>
  </si>
  <si>
    <t>SCH - DALTON-WHITFIELD CO</t>
  </si>
  <si>
    <t>Dalton/Whitfield Coop 14 15 Yearly Bid</t>
  </si>
  <si>
    <t>SCH - HAB-RAB-TOW-UN-WHI</t>
  </si>
  <si>
    <t>Habersham/Towns/Rabun  14 15 Yearly Bid</t>
  </si>
  <si>
    <t>REG MDA_Wild Wing Cafe(sh</t>
  </si>
  <si>
    <t>1644 RCH 100912 - NOI RCH 100912</t>
  </si>
  <si>
    <t>1772 RCH 100912 - NOI RCH 100912</t>
  </si>
  <si>
    <t>1648 RCH 100912 - NOI RCH 100912</t>
  </si>
  <si>
    <t>SCH - WILCOX CO</t>
  </si>
  <si>
    <t>SCH - CARROLL CO SCHOOLS</t>
  </si>
  <si>
    <t>SCH - Forsyth Co Schools</t>
  </si>
  <si>
    <t>Forsyth GA 14 15 School Bid</t>
  </si>
  <si>
    <t>Food Factory on Main</t>
  </si>
  <si>
    <t>HOT'S DELI - RICH PRODUCTS</t>
  </si>
  <si>
    <t>Hot's Deli</t>
  </si>
  <si>
    <t>TUSCALOOSA COUNTY BID - RICH PRODUCTS</t>
  </si>
  <si>
    <t>DAIRY QUEEN - RICH PRODUCTS</t>
  </si>
  <si>
    <t>Pensacola Christian Colle</t>
  </si>
  <si>
    <t>Pensacola Christian College</t>
  </si>
  <si>
    <t>Mirko Franchising  LLC</t>
  </si>
  <si>
    <t>Alex City School Bid</t>
  </si>
  <si>
    <t>6U BID Hard Rock</t>
  </si>
  <si>
    <t>52 Hard Rock</t>
  </si>
  <si>
    <t>6U MDA   Dairy Queen</t>
  </si>
  <si>
    <t>BILLS DRIVE INN</t>
  </si>
  <si>
    <t>Bill's BBQ</t>
  </si>
  <si>
    <t>American Hero</t>
  </si>
  <si>
    <t>SCHOOLS-WAKE-NC2011-02883 - SCHOOLS</t>
  </si>
  <si>
    <t>SCHOOLS-LEE COUNTY - SCHOOLS</t>
  </si>
  <si>
    <t>SCHOOLS-CRAVEN COUNTY - SCHOOLS</t>
  </si>
  <si>
    <t>SCHOOLS-BETHEL HILL CO - SCHOOLS</t>
  </si>
  <si>
    <t>SCHOOLS-NEW HANOVER CO - SCHOOLS</t>
  </si>
  <si>
    <t>SCHOOLS-WILSON COUNTY - SCHOOLS</t>
  </si>
  <si>
    <t>SCHOOLS-CLINTON COUNTY - SCHOOLS</t>
  </si>
  <si>
    <t>SCHOOLS-GASTON PREP - SCHOOLS</t>
  </si>
  <si>
    <t xml:space="preserve">SEG-Tavern Group      SG </t>
  </si>
  <si>
    <t>Park Lane Tavern</t>
  </si>
  <si>
    <t>Hibachi</t>
  </si>
  <si>
    <t>Yummy Orient</t>
  </si>
  <si>
    <t>NOI RCH 100912</t>
  </si>
  <si>
    <t>09200000 RCH 110244 - NOI RCH 100912</t>
  </si>
  <si>
    <t>09800000 RCH 100912 - NOI RCH 100912</t>
  </si>
  <si>
    <t>REG MDA WIldwings Raleigh</t>
  </si>
  <si>
    <t>SC PURCHASING ALLIANCE - CHEROKEE SC SCHOOLS</t>
  </si>
  <si>
    <t>NC/SC SCHOOL (SCPA) - ANDERSON CTY 2 AND 3</t>
  </si>
  <si>
    <t>NC/SC SCHOOL(SCPA) BID - UNION COUNTY SCHOOLS</t>
  </si>
  <si>
    <t>BID #BL-2010-01235 - MOUNTAIN PURCHASING CO OP</t>
  </si>
  <si>
    <t>8/1/2019  7/31/2020 S.C. Foodservice Purchasing Alliance  Inc.</t>
  </si>
  <si>
    <t>NC/SC SCHOOL (SCPA) - PICKENS COUNTY SCHOOLS</t>
  </si>
  <si>
    <t>BID #BL-2010-01235 - CLEVELAND COUNTY SCHOOLS</t>
  </si>
  <si>
    <t>BLANKET BID#BL-2010-01235 - UNION COUNTY NC</t>
  </si>
  <si>
    <t>ANDERSON COUNTY SCHOOLS</t>
  </si>
  <si>
    <t>44471 - CHESTER COUNTY SCHOOLS</t>
  </si>
  <si>
    <t>ALLICE BID #NC-2010-01173 - NCPA LOW RANGE</t>
  </si>
  <si>
    <t>SCPA #BL-2010-01235 - FORT MILL SCHOOLS</t>
  </si>
  <si>
    <t>NC ALLIANCE BID #NC-01173 - NCPA MID SCHOOLS</t>
  </si>
  <si>
    <t>BID #BL-2010-01235 - CATAWBA COUNTY SCHOOLS</t>
  </si>
  <si>
    <t>NC ALLI #NC-2010-01173 - RANDOLPH-ROCKNHAM-IREDELL</t>
  </si>
  <si>
    <t>(SCPA) BID #BL-2010-01235 - SHARE HEAD START</t>
  </si>
  <si>
    <t>LANCASTER CTY SCHOOL</t>
  </si>
  <si>
    <t>GASTON CO SCHOOLS</t>
  </si>
  <si>
    <t>CHARTWELL SCHOOLS</t>
  </si>
  <si>
    <t>07/01/2019   06/30/2020 Western Co op</t>
  </si>
  <si>
    <t>BLANKET BL 2010-01235 - SPARTANBURG 4 SCHOOLS</t>
  </si>
  <si>
    <t>BLANKET SCHOOL BID - TAMASSEE DAR SCHOOL</t>
  </si>
  <si>
    <t>SCPA - GREENVILLE COUNTY SCHOOLS</t>
  </si>
  <si>
    <t>Interflex SC 2014 05998   Greenville Co Schools</t>
  </si>
  <si>
    <t>SHOWMARS</t>
  </si>
  <si>
    <t>Showmar's</t>
  </si>
  <si>
    <t>WESTERN CO OP</t>
  </si>
  <si>
    <t>CAROWINDS</t>
  </si>
  <si>
    <t>BLANKET SCHOOL BIDS 2011</t>
  </si>
  <si>
    <t>NC ALLIANCED#NC201001173 - FARWEST COOP SCHOOL</t>
  </si>
  <si>
    <t>NON MDA SHOWMARS</t>
  </si>
  <si>
    <t>Dept of Juvenile Justice</t>
  </si>
  <si>
    <t>HIBACHI GRILL &amp; SUPREME M</t>
  </si>
  <si>
    <t>Ichiban Grill BB</t>
  </si>
  <si>
    <t>MDA _Market Street</t>
  </si>
  <si>
    <t>Market Street</t>
  </si>
  <si>
    <t>J &amp; S Cafeteria</t>
  </si>
  <si>
    <t>J&amp;S  C&amp;H  &amp; D&amp;S Cafeterias</t>
  </si>
  <si>
    <t>REG MDA_Aetius Rest Hold</t>
  </si>
  <si>
    <t>4100000 RCH 110244 - NOI RICH'S PRODUCTS</t>
  </si>
  <si>
    <t>6000000 RCH 100912 - NOI RICH'S PRODUCTS</t>
  </si>
  <si>
    <t>BID_Charleston Palmetto G</t>
  </si>
  <si>
    <t>08/01/2019   07/31/2020 Charleston</t>
  </si>
  <si>
    <t>BID Burke Schools</t>
  </si>
  <si>
    <t>SCH-NCPA</t>
  </si>
  <si>
    <t>BID Chesterfield Schools</t>
  </si>
  <si>
    <t>DAGWOODS DELI</t>
  </si>
  <si>
    <t>Dagwood's Deli</t>
  </si>
  <si>
    <t>DOD</t>
  </si>
  <si>
    <t>AIKEN - SC ALLIANCE</t>
  </si>
  <si>
    <t>ALLENDALE - SC ALLIANCE</t>
  </si>
  <si>
    <t>8/1/2018   7/31/2019 S.C. Foodservice Purchasing Alliance  Inc.</t>
  </si>
  <si>
    <t>BAMBERG - SC ALLIANCE</t>
  </si>
  <si>
    <t>BAMBERG 2 - SC ALLIANCE</t>
  </si>
  <si>
    <t>BARNWELL 19 &amp; 45 - SC ALLIANCE</t>
  </si>
  <si>
    <t>SCH SC Alliance Barnwell - SC ALLIANCE</t>
  </si>
  <si>
    <t>BEKELEY - SC ALLIANCE</t>
  </si>
  <si>
    <t>BRIDGEWATER ACADEMY - SC ALLIANCE</t>
  </si>
  <si>
    <t>CALHOUN - SC ALLIANCE</t>
  </si>
  <si>
    <t>CLARENDON 1 - SC ALLIANCE</t>
  </si>
  <si>
    <t>South Carolina Purchasing Alliance Interflex SC 2013 04426</t>
  </si>
  <si>
    <t>CLARENDON 2 - SC ALLIANCE</t>
  </si>
  <si>
    <t>CLARENDON 3 - SC ALLIANCE</t>
  </si>
  <si>
    <t>COLLETON - SC ALLIANCE</t>
  </si>
  <si>
    <t>DARLINGTON - SC ALLIANCE</t>
  </si>
  <si>
    <t>DEPT JUVENILE JUSTICE - SC ALLIANCE</t>
  </si>
  <si>
    <t>DILLON 4 - SC ALLIANCE</t>
  </si>
  <si>
    <t>DILLON 3 - SC ALLIANCE</t>
  </si>
  <si>
    <t>DORCHESTER 2 - SC ALLIANCE</t>
  </si>
  <si>
    <t>DORCHESTER 4 - SC ALLIANCE</t>
  </si>
  <si>
    <t>EDGEFIELD - SC ALLIANCE</t>
  </si>
  <si>
    <t>FLORENCE  1 - SC ALLIANCE</t>
  </si>
  <si>
    <t>FLORENCE 2 3 5 - SC ALLIANCE</t>
  </si>
  <si>
    <t>GEORGETOWN - SC ALLIANCE</t>
  </si>
  <si>
    <t>GREENWOOD 51 - SC ALLIANCE</t>
  </si>
  <si>
    <t>GREENWOOD 52 - SC ALLIANCE</t>
  </si>
  <si>
    <t>HAMPTON 2 - SC ALLIANCE</t>
  </si>
  <si>
    <t>HORRY - SC ALLIANCE</t>
  </si>
  <si>
    <t>JASPER - SC ALLIANCE</t>
  </si>
  <si>
    <t>KERSHAW - SC ALLIANCE</t>
  </si>
  <si>
    <t>LEE - SC ALLIANCE</t>
  </si>
  <si>
    <t>LEXINGTON 1 - SC ALLIANCE</t>
  </si>
  <si>
    <t>MARION 1 &amp; 2 - SC ALLIANCE</t>
  </si>
  <si>
    <t>MARLBORO - SC ALLIANCE</t>
  </si>
  <si>
    <t>MCCORMICK - SC ALLIANCE</t>
  </si>
  <si>
    <t>ORANGEBURG 3 - SC ALLIANCE</t>
  </si>
  <si>
    <t>RICHLAND 1 - SC ALLIANCE</t>
  </si>
  <si>
    <t>NEWBERRY - SC ALLIANCE</t>
  </si>
  <si>
    <t>SALUDA - SC ALLIANCE</t>
  </si>
  <si>
    <t>WIIL LOU GREY - SC ALLIANCE</t>
  </si>
  <si>
    <t>WILLIAMSBURG - SC ALLIANCE</t>
  </si>
  <si>
    <t>TATNALL - GEORGIA SCHOOLS</t>
  </si>
  <si>
    <t>SUMTER 17 - SC ALLIANCE</t>
  </si>
  <si>
    <t>NAPA - DOD</t>
  </si>
  <si>
    <t>APPLING - GEORGIA SCHOOLS</t>
  </si>
  <si>
    <t>EFFINGHAM - GEORGIA SCHOOLS</t>
  </si>
  <si>
    <t>EVANS - GEORGIA SCHOOLS</t>
  </si>
  <si>
    <t>GLEAMS - GEORGIA SCHOOLS</t>
  </si>
  <si>
    <t>JEFFERSON - GEORGIA SCHOOLS</t>
  </si>
  <si>
    <t>JENKINS - GEORGIA SCHOOLS</t>
  </si>
  <si>
    <t>LIBERTY - GEORGIA SCHOOLS</t>
  </si>
  <si>
    <t>PIERCE - GEORGIA SCHOOLS</t>
  </si>
  <si>
    <t>SAVANNAH - GEORGIA SCHOOLS</t>
  </si>
  <si>
    <t>TOOMBS - GEORGIA SCHOOLS</t>
  </si>
  <si>
    <t>SCH GA BD Vidalia City Sc - GEORGIA SCHOOLS</t>
  </si>
  <si>
    <t>WASHINGTON - GEORGIA SCHOOLS</t>
  </si>
  <si>
    <t>BURKE - GEORGIA SCHOOLS</t>
  </si>
  <si>
    <t>CANDLER - GEORGIA SCHOOLS</t>
  </si>
  <si>
    <t>HANCOCK - GEORGIA SCHOOLS</t>
  </si>
  <si>
    <t>EMANUEL - GEORGIA SCHOOLS</t>
  </si>
  <si>
    <t>MCDUFFIE - GEORGIA SCHOOLS</t>
  </si>
  <si>
    <t>CAPT GEORGES SEAFOOD</t>
  </si>
  <si>
    <t>Captain George's Seafood</t>
  </si>
  <si>
    <t>BULLOCH - GEORGIA SCHOOLS</t>
  </si>
  <si>
    <t>CON - THE TRESTLE</t>
  </si>
  <si>
    <t>The Trestle Rebates</t>
  </si>
  <si>
    <t>SC Alliance John Dela How</t>
  </si>
  <si>
    <t>MDA- CHAS - YE OLE FASHIO</t>
  </si>
  <si>
    <t>Ye Ole Fashioned Ice Cream Shops</t>
  </si>
  <si>
    <t>MDA - Serg Group (Chas)</t>
  </si>
  <si>
    <t>SERG Rebates</t>
  </si>
  <si>
    <t>GA BD Wilkinson County Sc</t>
  </si>
  <si>
    <t>GA BD Long County Schools</t>
  </si>
  <si>
    <t>MDA - B&amp;D Burgers (GA)</t>
  </si>
  <si>
    <t>B &amp; D Burgers</t>
  </si>
  <si>
    <t>GA BD Bryan County School</t>
  </si>
  <si>
    <t>SC ALLIANCE HAMPTON 1 SCH</t>
  </si>
  <si>
    <t>GA BD Scriven County Scho</t>
  </si>
  <si>
    <t>GA SHOOLS COLUMBIA CITY</t>
  </si>
  <si>
    <t>SC ALLIANCE ORANGEBURG 5 - SC ALLIANCE</t>
  </si>
  <si>
    <t>3- Parker's Market (SG IT</t>
  </si>
  <si>
    <t>Parker's Convenience Stores</t>
  </si>
  <si>
    <t>3- BELLA'S</t>
  </si>
  <si>
    <t>Bella's Restaurant and Fiore Italian Bar &amp; Grill</t>
  </si>
  <si>
    <t>8 - New Hibachi Grill (BB</t>
  </si>
  <si>
    <t>3- Clyde's Market's (BB S</t>
  </si>
  <si>
    <t>Clyde's</t>
  </si>
  <si>
    <t>GA BD Washington County H</t>
  </si>
  <si>
    <t>OCAB HEADSTART</t>
  </si>
  <si>
    <t>GA RICHMOND CITY</t>
  </si>
  <si>
    <t>07/01/2019   06/30/2020 Richmond County</t>
  </si>
  <si>
    <t>GA BD Mid Coop BID</t>
  </si>
  <si>
    <t>REG MDA_WILD WINGS CAFE</t>
  </si>
  <si>
    <t>SC Alliance Abbeville SC - SC ALLIANCE</t>
  </si>
  <si>
    <t>SC ALLIANCE RIVERVIEW SC</t>
  </si>
  <si>
    <t>6H Steamboat Sandwiches</t>
  </si>
  <si>
    <t>Steamboat Subs</t>
  </si>
  <si>
    <t>6H Knox Co 2012 - 2013</t>
  </si>
  <si>
    <t>7/1/2015   6/30/2016 Knox County School District</t>
  </si>
  <si>
    <t>BID 6H Clinton City EM</t>
  </si>
  <si>
    <t>REG MDA 6H Wild Wing Cafe</t>
  </si>
  <si>
    <t>SMOKY MTN COUNTRY HAMS - RICH'S PRODUCTS</t>
  </si>
  <si>
    <t>Smoky Mtn Country Ham</t>
  </si>
  <si>
    <t>COPPER CELLAR - RICH'S PRODUCTS</t>
  </si>
  <si>
    <t>Calhouns/Copper Cellar</t>
  </si>
  <si>
    <t>IPHEC</t>
  </si>
  <si>
    <t>52 02 144 IPHEC</t>
  </si>
  <si>
    <t>IPHEC-ALLEN - IPHEC</t>
  </si>
  <si>
    <t>3K-The Ribeye</t>
  </si>
  <si>
    <t>THE RIBEYE</t>
  </si>
  <si>
    <t>Sunfield Ottawa</t>
  </si>
  <si>
    <t>Sunfield Restaurant/Cousins Restaurant</t>
  </si>
  <si>
    <t>DeCoral Buffet</t>
  </si>
  <si>
    <t>GF AIRFORCE BASE NAPA</t>
  </si>
  <si>
    <t>MDA Lancer Group Dakotas</t>
  </si>
  <si>
    <t>Lancer Catering</t>
  </si>
  <si>
    <t>BISMARCK SCHOOLS</t>
  </si>
  <si>
    <t>WR RESTAURANTS -MINERVA'S - RICH PRODUCTS CONTRACTS</t>
  </si>
  <si>
    <t>Minervas</t>
  </si>
  <si>
    <t>EARL OF SANDWICHES - RICH</t>
  </si>
  <si>
    <t>Earle of Sandwiches</t>
  </si>
  <si>
    <t>MINNETONKA MSFBG - RICHS MSFBG</t>
  </si>
  <si>
    <t>7/1/2016   6/30/2017 Minnesota School Food Buying Group (MSFBG)</t>
  </si>
  <si>
    <t>GUSTAVUS - RICH PRODUCTS CONTRACTS</t>
  </si>
  <si>
    <t>BIG 8 - RICH'S SCHL BLNKT</t>
  </si>
  <si>
    <t>RUSHFORD - RICH'S SCHL BLNKT</t>
  </si>
  <si>
    <t>BROOKLYN CTR BLNKT - RICH PRODUCTS CONTRACTS</t>
  </si>
  <si>
    <t>LFHI COMMISARRY - RICH PRODUCTS CONTRACTS</t>
  </si>
  <si>
    <t>MYSTIC LAKE CASINO - RICH PRODUCTS CONTRACTS</t>
  </si>
  <si>
    <t>EDDINGTONS - RICH PRODUCTS CONTRACTS</t>
  </si>
  <si>
    <t>EDEN PRAIRIE - RICH'S SCHL BLNKT</t>
  </si>
  <si>
    <t>SHAKOPEE - RICH'S SCHL BLNKT</t>
  </si>
  <si>
    <t>MAPLE RIVER - RICH'S SCHL BLNKT</t>
  </si>
  <si>
    <t>SY  13 14 Blanket Karen Hoben</t>
  </si>
  <si>
    <t>ST. FRANCIS - RICH'S SCHL BLNKT</t>
  </si>
  <si>
    <t>BIG 8 MSFBG - RICHS MSFBG</t>
  </si>
  <si>
    <t>ST. FRANCIS MSFBG - RICHS MSFBG</t>
  </si>
  <si>
    <t>TAHER - RICH'S SCHL BLNKT</t>
  </si>
  <si>
    <t>GOOD SHEPHERD SCHOOL - RICH'S SCHL BLNKT</t>
  </si>
  <si>
    <t>Brooklyn Center MSFBG</t>
  </si>
  <si>
    <t>SY 15 16 MSFBG</t>
  </si>
  <si>
    <t>Aitkin Schools Only</t>
  </si>
  <si>
    <t>Aitkin Blankets</t>
  </si>
  <si>
    <t>LANCER SCHOOL NON BLANKET</t>
  </si>
  <si>
    <t>Lancer Catering K 12 Program</t>
  </si>
  <si>
    <t>MDA Green Mill</t>
  </si>
  <si>
    <t>Green Mill</t>
  </si>
  <si>
    <t>Church of St Raphael/Mt O</t>
  </si>
  <si>
    <t>Vail Resorts Afton Alps</t>
  </si>
  <si>
    <t xml:space="preserve">US Foods and Vail Rock &amp; Resorts </t>
  </si>
  <si>
    <t>PON Brines</t>
  </si>
  <si>
    <t>Brine's Market 2020 Program</t>
  </si>
  <si>
    <t>MN BID MSFBG (copied Fair</t>
  </si>
  <si>
    <t>MN BID Minnesota School B</t>
  </si>
  <si>
    <t>MDA Lancer Mgmt Services</t>
  </si>
  <si>
    <t>PON St Stephen Cath Schl</t>
  </si>
  <si>
    <t>Pizza Barn</t>
  </si>
  <si>
    <t>Pizza Barn 2017 Program</t>
  </si>
  <si>
    <t>MDA HEMISPHERE</t>
  </si>
  <si>
    <t>Hemisphere Group 2020 Program</t>
  </si>
  <si>
    <t>RFMS</t>
  </si>
  <si>
    <t>East Buchanan 2012-13</t>
  </si>
  <si>
    <t>Independence Schools</t>
  </si>
  <si>
    <t>BID Stockton</t>
  </si>
  <si>
    <t>BID - IOWA SCHOOLS BLANKE</t>
  </si>
  <si>
    <t>BID-Orchard Place 2012-13</t>
  </si>
  <si>
    <t>BID Illinois School Devia</t>
  </si>
  <si>
    <t>Bid Prairie Meadows</t>
  </si>
  <si>
    <t>Prairie Meadows Racetrack &amp; Casino</t>
  </si>
  <si>
    <t>Bid College Community Sch</t>
  </si>
  <si>
    <t>ABBE Group</t>
  </si>
  <si>
    <t>MDA Dairy Queen</t>
  </si>
  <si>
    <t>BID Scales Mound 2012-13</t>
  </si>
  <si>
    <t>BID Warren Schools 2012-1</t>
  </si>
  <si>
    <t>BID AWS Schools 2012-13</t>
  </si>
  <si>
    <t>Bid-Oelwein Comm School D</t>
  </si>
  <si>
    <t>BID Wilton School 2012-13</t>
  </si>
  <si>
    <t>BID River Ridge Schools 2</t>
  </si>
  <si>
    <t>BID Galena School 2012-13</t>
  </si>
  <si>
    <t>Riverside/Grand Falls-Iow</t>
  </si>
  <si>
    <t>Midwest Provisions</t>
  </si>
  <si>
    <t>Great Western</t>
  </si>
  <si>
    <t>Great Western Dining 2014</t>
  </si>
  <si>
    <t>BID West LIberty West Bra</t>
  </si>
  <si>
    <t>St Mary's School East Dub</t>
  </si>
  <si>
    <t>Bid - Iowa Schools blanke</t>
  </si>
  <si>
    <t>The Hawkeye</t>
  </si>
  <si>
    <t>Axis Contract</t>
  </si>
  <si>
    <t>BID Maquoketa Valley 0250</t>
  </si>
  <si>
    <t>BID-Lewis Central Schools</t>
  </si>
  <si>
    <t>BID- Alburnet Schools</t>
  </si>
  <si>
    <t>INN OF THE MTN GODS MAJOR</t>
  </si>
  <si>
    <t>Inn of the Mountain Gods</t>
  </si>
  <si>
    <t>FORT BEND ISD</t>
  </si>
  <si>
    <t>7/1/2018   6/30/2019 Fort Bend ISD</t>
  </si>
  <si>
    <t>JESTER HPPI - RICH PRODUCTS MASTER</t>
  </si>
  <si>
    <t>INFLATABLE WONDERLAND / S</t>
  </si>
  <si>
    <t>Inflatable Wonderland</t>
  </si>
  <si>
    <t>MDA_ Rudy's BBQ</t>
  </si>
  <si>
    <t>NOVATION K12 NEW  O2500 L</t>
  </si>
  <si>
    <t>Novation All Products</t>
  </si>
  <si>
    <t>MT Playmore</t>
  </si>
  <si>
    <t>MT. Playmore</t>
  </si>
  <si>
    <t>Searcy Public Schools</t>
  </si>
  <si>
    <t>SCHOOL BLANKET BID 14-15</t>
  </si>
  <si>
    <t>BID Faulkner Co Schools</t>
  </si>
  <si>
    <t>Coronado Springs Food Ser</t>
  </si>
  <si>
    <t>Friendly Express #941 Hob</t>
  </si>
  <si>
    <t>Friendly Express #941</t>
  </si>
  <si>
    <t>5Z - GLYNN COUNTY MAIN BI</t>
  </si>
  <si>
    <t>Ole Times Country Buffet</t>
  </si>
  <si>
    <t>Ole Times Group</t>
  </si>
  <si>
    <t>Embassy Suites-Orl</t>
  </si>
  <si>
    <t xml:space="preserve">Embassy Suites Kissimmee </t>
  </si>
  <si>
    <t>BID 5Z-OSC/POWER BUYINGGR</t>
  </si>
  <si>
    <t>SY 14 15 POWER Buying Group Florida</t>
  </si>
  <si>
    <t>1045 RCH 110244 - NOI  RICH 110244 14 15</t>
  </si>
  <si>
    <t>MANATEE-5Z-RICH'S - PBG NFBG/RICH'S</t>
  </si>
  <si>
    <t>PIE FACTORY</t>
  </si>
  <si>
    <t>The Pie Factory</t>
  </si>
  <si>
    <t>UNIVERSAL STUDIOS      SG</t>
  </si>
  <si>
    <t>Universal Studios</t>
  </si>
  <si>
    <t>RALLY STORES - IT  BB</t>
  </si>
  <si>
    <t>Rally Stores</t>
  </si>
  <si>
    <t>MANATEE- GRACE COMMUNITY</t>
  </si>
  <si>
    <t>MANATEE COMMODITY</t>
  </si>
  <si>
    <t>LUNA ROSA</t>
  </si>
  <si>
    <t>Luna Rosa</t>
  </si>
  <si>
    <t>9D - MANATEE PRIVATE SCHO</t>
  </si>
  <si>
    <t>BID 9D - OSC/POWER BUYING</t>
  </si>
  <si>
    <t>1041 RCH 100912 - NOI  RICH PRODUCTS 1415</t>
  </si>
  <si>
    <t>1036 RICH 110244 - NOI  RICH 110244  14 15</t>
  </si>
  <si>
    <t>MANATEE - RICH'S PRODUCTS - SCHOOLS- RICH'S PRODUCTS</t>
  </si>
  <si>
    <t>PINELLAS-RICH PROD - B077-SCHOOLS-RICH PRODUCT</t>
  </si>
  <si>
    <t>GHSW RENAISSANCE</t>
  </si>
  <si>
    <t>Black Eye Pea -  Local</t>
  </si>
  <si>
    <t>Black Eyed Pea</t>
  </si>
  <si>
    <t>MDA_CHINA STAR</t>
  </si>
  <si>
    <t>MDA_JAMES CONEY</t>
  </si>
  <si>
    <t>James Coney Island   Pulled Pork   Menu Item</t>
  </si>
  <si>
    <t>BUPPY'S CATERING</t>
  </si>
  <si>
    <t>CAFE CAELI</t>
  </si>
  <si>
    <t>Cafe Caeli Program</t>
  </si>
  <si>
    <t>MDA_MAIN EVENT HOLDING 31</t>
  </si>
  <si>
    <t>MDA_RUDY'S LOCAL</t>
  </si>
  <si>
    <t>POY_FUNKY CHICKEN</t>
  </si>
  <si>
    <t>Funky Chicken   Biscuit Deal</t>
  </si>
  <si>
    <t>MDA JERRY BUILT HOMEGRWN</t>
  </si>
  <si>
    <t>Jerry's Built Burgers   Cookie Deal</t>
  </si>
  <si>
    <t>Wild Wing Houston Local</t>
  </si>
  <si>
    <t>Manny's Chop House</t>
  </si>
  <si>
    <t>Manny's Chophouse</t>
  </si>
  <si>
    <t>ROSEN</t>
  </si>
  <si>
    <t>Rosen Properties</t>
  </si>
  <si>
    <t>POLK CTY - RICH PRODUCTS - POLK CO RICH PRODUCTS</t>
  </si>
  <si>
    <t>SY 14 15 Polk County Florida</t>
  </si>
  <si>
    <t>EGG CITY - IT</t>
  </si>
  <si>
    <t>BID 6Q - OSC/POWER BUYING</t>
  </si>
  <si>
    <t>Sawgrass Lanes</t>
  </si>
  <si>
    <t>Sawgrass Lanes Pizza Dough Ball Program</t>
  </si>
  <si>
    <t>8N - CATHOLIC PRIVATE SCH</t>
  </si>
  <si>
    <t>8N - Miami Dade Main - BI</t>
  </si>
  <si>
    <t>SY 14 15 Miami Dade County Florida</t>
  </si>
  <si>
    <t>MDA_VILLAGE TAVERN</t>
  </si>
  <si>
    <t>BID 8N - BROWARD MAIN</t>
  </si>
  <si>
    <t>SY 14 15 Broward County Florida</t>
  </si>
  <si>
    <t>COOL DE SAC BID</t>
  </si>
  <si>
    <t>Cool De Sac Program</t>
  </si>
  <si>
    <t>RESORTS/BALLYS</t>
  </si>
  <si>
    <t>Resorts and Bally's Casino</t>
  </si>
  <si>
    <t>GOLD STRIKE CASINO</t>
  </si>
  <si>
    <t>Goldstrike Casino</t>
  </si>
  <si>
    <t>BID HENRY COUNTY SCHOOLS</t>
  </si>
  <si>
    <t>BID Tri Area Schools</t>
  </si>
  <si>
    <t>SY 13 14 Blanket Matt Wilson</t>
  </si>
  <si>
    <t>MDA Lancer Mgmnt Svcs. In</t>
  </si>
  <si>
    <t>6U Barnett Frozen Foods -</t>
  </si>
  <si>
    <t>Barnett's</t>
  </si>
  <si>
    <t>6U BID Silver Star  PON</t>
  </si>
  <si>
    <t>MAIN EVENT</t>
  </si>
  <si>
    <t>BLACK EYE PEA</t>
  </si>
  <si>
    <t>GREAT WESTERN DINING</t>
  </si>
  <si>
    <t>ASPEN DELI</t>
  </si>
  <si>
    <t>Aspen Catering</t>
  </si>
  <si>
    <t>MDA _ RUDY'S BBQ      AUS</t>
  </si>
  <si>
    <t>DENVER DINER</t>
  </si>
  <si>
    <t>344 Denver Diner</t>
  </si>
  <si>
    <t>ROCKIES PURCHASING SERVIC</t>
  </si>
  <si>
    <t>07/01/2019   06/30/2020 Rockies Purchasing Services (RPS)</t>
  </si>
  <si>
    <t>COLO STATE UNIVERSITY</t>
  </si>
  <si>
    <t>Colorado State University</t>
  </si>
  <si>
    <t>APPLE CREEK</t>
  </si>
  <si>
    <t>344 Apple Creek</t>
  </si>
  <si>
    <t>ISLE OF CAPRI CASINOS</t>
  </si>
  <si>
    <t>VAIL RESORTS</t>
  </si>
  <si>
    <t>SUMMA(LOCAL)CAMP-NOVATION</t>
  </si>
  <si>
    <t>Novation</t>
  </si>
  <si>
    <t>BEAVER RUN</t>
  </si>
  <si>
    <t>Beaver Run Resort</t>
  </si>
  <si>
    <t>FIRST MERIDIAN (ALL)  SGB</t>
  </si>
  <si>
    <t>344 First Meridian Deviated Pricing for USF Denver</t>
  </si>
  <si>
    <t>SWINGERS SPORTS LOUNGE_BB</t>
  </si>
  <si>
    <t>344 Swinger's Golf Lounge</t>
  </si>
  <si>
    <t>COUNTRY BOUNTY _MDA_SG_IT</t>
  </si>
  <si>
    <t>344 Country Bounty</t>
  </si>
  <si>
    <t>Rockies Purch over $2500(</t>
  </si>
  <si>
    <t>BREADBOARD  THE_ BB</t>
  </si>
  <si>
    <t>MDA BLACK-EYED PEA</t>
  </si>
  <si>
    <t>VALENTE'S DELI</t>
  </si>
  <si>
    <t>13 14 USF Valente's Deli</t>
  </si>
  <si>
    <t>MDA Village Tavern (Denve</t>
  </si>
  <si>
    <t>OK BLANKET SCH- RICH'S</t>
  </si>
  <si>
    <t>BENCHMARK K-12- RICH'S</t>
  </si>
  <si>
    <t>PIONEER PIES RICH'S - RICH'S MASTER PROGRAM</t>
  </si>
  <si>
    <t>Pioneer Pies</t>
  </si>
  <si>
    <t>CHICKASAW- RICH'S</t>
  </si>
  <si>
    <t>TONKAWA- RICH'S</t>
  </si>
  <si>
    <t>GRAND LAKE- RICH'S</t>
  </si>
  <si>
    <t>DOD/NAPA- RICH'S</t>
  </si>
  <si>
    <t>KS/MO K-12- RICH'S</t>
  </si>
  <si>
    <t>DEER CREEK SCH- RICH'S</t>
  </si>
  <si>
    <t>GREAT WESTERN -RICH'S - RICH'S MASTER PROGRAM</t>
  </si>
  <si>
    <t>SEDGWICK JUV- RICH'S</t>
  </si>
  <si>
    <t>BID - JONES SCHOOLS 12-13</t>
  </si>
  <si>
    <t>HUGOTON SCHOOLS 13-14</t>
  </si>
  <si>
    <t>SY 13 14 Blanket North Texas and Oklahoma</t>
  </si>
  <si>
    <t>BLAIR SCHOOLS 13-14</t>
  </si>
  <si>
    <t>BID CHECOTAH 2013-2014</t>
  </si>
  <si>
    <t>BID Fredrick 13-14</t>
  </si>
  <si>
    <t>KEYS 13-14</t>
  </si>
  <si>
    <t>Bid - HeadStart 13-14</t>
  </si>
  <si>
    <t>Bid- Hulbert 13-14</t>
  </si>
  <si>
    <t>Bid - Cimarron-Meade-Laki</t>
  </si>
  <si>
    <t>BID CRESCENT 13-14</t>
  </si>
  <si>
    <t>BID FOREST GROVE 2013-201</t>
  </si>
  <si>
    <t>BID DOVER AMBER POCASSET</t>
  </si>
  <si>
    <t>BID HARPER ACADEMY 13-14</t>
  </si>
  <si>
    <t>BID - HUGO SCHOOLS 13-14</t>
  </si>
  <si>
    <t>BID - DIBBLE SCHOOLS 13-1</t>
  </si>
  <si>
    <t>MDA KIOWA CASINO</t>
  </si>
  <si>
    <t>MDA Rudys</t>
  </si>
  <si>
    <t>BID LONESTAR SCHOOLS 14-1</t>
  </si>
  <si>
    <t>BID LINDSAY SCHOOLS 14-15</t>
  </si>
  <si>
    <t>BID LEXINGTON SCHOOLS 14-</t>
  </si>
  <si>
    <t>BID APACHE 14-15</t>
  </si>
  <si>
    <t>55123 RCH 110244 - NOI RCH 110244</t>
  </si>
  <si>
    <t>NEPTUNE DELI</t>
  </si>
  <si>
    <t>Liberty Foodservice  - MS</t>
  </si>
  <si>
    <t>Liberty Foodservice</t>
  </si>
  <si>
    <t>KREBS SCHOOLS BID 2012-20</t>
  </si>
  <si>
    <t>BRISTOW SCHOOLS BID SUMMA</t>
  </si>
  <si>
    <t>WICHITA SCHOOLS BID 2012-</t>
  </si>
  <si>
    <t>7/1/2018   6/30/2019 Wichita USD 259</t>
  </si>
  <si>
    <t>Tulsa Public Schools Bid</t>
  </si>
  <si>
    <t>MUSTANG SCHOOLS BID 12-13</t>
  </si>
  <si>
    <t>7/1/2016   6/30/2017 Mustang Public School</t>
  </si>
  <si>
    <t>MID-DEL SCHOOL BID SUMMA</t>
  </si>
  <si>
    <t>7/1/2016   6/30/2017 Mid Del Schools</t>
  </si>
  <si>
    <t>GARDEN CITY SCHOOL</t>
  </si>
  <si>
    <t>ANADARKO SCHOOL 12-13 BBP</t>
  </si>
  <si>
    <t>SO CENTRAL SCH BID 12-13</t>
  </si>
  <si>
    <t>ASHLAND SCHOOLS 12-13 BID</t>
  </si>
  <si>
    <t>ENID SCHOOLS BID 2012-201</t>
  </si>
  <si>
    <t>DODGECITY USD433 12-13 BI</t>
  </si>
  <si>
    <t>EDMOND SCHOOLS 12-13 BID-</t>
  </si>
  <si>
    <t>7/1/2015   6/30/2016 Edmond Public Schools</t>
  </si>
  <si>
    <t>MOORE SCH SUMMA BID 12-13</t>
  </si>
  <si>
    <t>7/1/2017   6/30/2018 Moore Public Schools</t>
  </si>
  <si>
    <t>CHICKASHA SCHOOL BID 12-1</t>
  </si>
  <si>
    <t>HILLDALE SCH BID 12-13</t>
  </si>
  <si>
    <t>STILLWATER SCHOOL BID 12-</t>
  </si>
  <si>
    <t>CHOCTAW SCHOOLS 12-13 BID</t>
  </si>
  <si>
    <t>JOPLIN SCHOOL BID 2012-20</t>
  </si>
  <si>
    <t>7/16/2018   6/30/2019 Joplin Schools</t>
  </si>
  <si>
    <t>GODDARD SCHOOLS 12-13 BID</t>
  </si>
  <si>
    <t>GLENPOOL SCH BID 12-13</t>
  </si>
  <si>
    <t>McAlester sch BID 12-13</t>
  </si>
  <si>
    <t>PONCA CITY SCHOOL BID 12-</t>
  </si>
  <si>
    <t>NICKERSON USD #309 BID 12</t>
  </si>
  <si>
    <t>HUTCHINSON SCHOOL BID 12-</t>
  </si>
  <si>
    <t>BUHLER SCH BID 12-13</t>
  </si>
  <si>
    <t>HOBART SCH BID 12-13</t>
  </si>
  <si>
    <t>Whitebead</t>
  </si>
  <si>
    <t>Carney sch bid 12-13</t>
  </si>
  <si>
    <t>COLUMBUS USD #493 BID 12-</t>
  </si>
  <si>
    <t>Neodesha School bid 12-13</t>
  </si>
  <si>
    <t>Konowa Sch Bid 12-13</t>
  </si>
  <si>
    <t>El Reno Sc bid 12-13</t>
  </si>
  <si>
    <t>RIVERSIDE INDIAN SCHOOL 1</t>
  </si>
  <si>
    <t>EUFAULA SCHOOLS BID 2012-</t>
  </si>
  <si>
    <t>MIAMI SCHOOLS BID 2012-20</t>
  </si>
  <si>
    <t>Clinton 12-13 Bid</t>
  </si>
  <si>
    <t>WESTERN HEIGHTS SCHOOLS B</t>
  </si>
  <si>
    <t>NORTH ROCK CREEK SCH BID</t>
  </si>
  <si>
    <t>LATTA SCHOOLS BID 2012-20</t>
  </si>
  <si>
    <t>Perkins Sch bid 12-13</t>
  </si>
  <si>
    <t>METRO TECH 12-13 BID - BB</t>
  </si>
  <si>
    <t>ALEX SCHOOLS 2012-2013 BI</t>
  </si>
  <si>
    <t>BLANCHARD SCHOOLS 2012-20</t>
  </si>
  <si>
    <t>Atoka/Coalgate SCH BID 20</t>
  </si>
  <si>
    <t>ALTUS SCHOOLS SUMMA BID 2</t>
  </si>
  <si>
    <t>BROKEN BOW SCH BID SUMMA</t>
  </si>
  <si>
    <t>Darlington Sch bid 12-13</t>
  </si>
  <si>
    <t>MORRISON SCHOOL BID 12-13</t>
  </si>
  <si>
    <t>RATTAN SCHOOLS 12-13 BID</t>
  </si>
  <si>
    <t>MARLOW SCHOOLS BID 12-13</t>
  </si>
  <si>
    <t>Bishop McGuiness Sch Bid</t>
  </si>
  <si>
    <t>JOHN 3:16</t>
  </si>
  <si>
    <t>Mangum schools</t>
  </si>
  <si>
    <t>KSFPA SCHOOLS 2012-2013 B</t>
  </si>
  <si>
    <t>HINTON SCHOOLS 12-13 BID</t>
  </si>
  <si>
    <t>HENRYETTA SCHOOL 12-13</t>
  </si>
  <si>
    <t>PRINCETON FOOD MGMT</t>
  </si>
  <si>
    <t>PHILADELPHIA SCHOOLS</t>
  </si>
  <si>
    <t>SO JERSEY SCHOOL CO-OP</t>
  </si>
  <si>
    <t>NUTRI-SERVE</t>
  </si>
  <si>
    <t>2015.2016 Nutri Serve School Bid</t>
  </si>
  <si>
    <t>TOMS RIVER SCHOOLS</t>
  </si>
  <si>
    <t>RESORTS ATLANTIC CITY 4V</t>
  </si>
  <si>
    <t>Resorts Casino deal thr US Philly</t>
  </si>
  <si>
    <t>WAYNESVILLE SCHOOLS</t>
  </si>
  <si>
    <t>BLANKET SCHOOLS</t>
  </si>
  <si>
    <t>DPCS MO MILITARY NAPA - DCPS MO MILITARY NAPA</t>
  </si>
  <si>
    <t>CASSIVILE SCHOOL</t>
  </si>
  <si>
    <t>ROLLA SCHOOLS</t>
  </si>
  <si>
    <t>SALEM PUBLIC SCHOOL BID</t>
  </si>
  <si>
    <t>ROOT ZERO 3</t>
  </si>
  <si>
    <t>USF Salem Root Zero 3 Sweet Roll Dough Allowance</t>
  </si>
  <si>
    <t>DIERBERGS</t>
  </si>
  <si>
    <t>52 02 167 Dierbergs</t>
  </si>
  <si>
    <t>Grand Country &amp; Papa Gran</t>
  </si>
  <si>
    <t>Grand Country Buffet</t>
  </si>
  <si>
    <t>FOODSERVICE CONSULTANTS</t>
  </si>
  <si>
    <t>foodservice consultants</t>
  </si>
  <si>
    <t>CALECO'S</t>
  </si>
  <si>
    <t>NIEMERGS STEAK HOUSE</t>
  </si>
  <si>
    <t>HIGHWAY 61 ROADHOUSE</t>
  </si>
  <si>
    <t>Highway 61 Catering PaddyOs</t>
  </si>
  <si>
    <t>BID: So Illinois Sch Dist - BID: SO ILLINOIS SCH</t>
  </si>
  <si>
    <t>BID: Belleville 118 Dist</t>
  </si>
  <si>
    <t>BID parkway schools</t>
  </si>
  <si>
    <t>BID Rockwood Schools</t>
  </si>
  <si>
    <t>Bid:Murphysboro Dist Scho</t>
  </si>
  <si>
    <t>Foodservice Consultants A</t>
  </si>
  <si>
    <t>Bid: Mt Vernon City Schoo</t>
  </si>
  <si>
    <t>Bid: Centralia City Schoo</t>
  </si>
  <si>
    <t>7/1/2015   6/30/2016 Centralia H S Dist 200</t>
  </si>
  <si>
    <t>Bid: St Clair County</t>
  </si>
  <si>
    <t>Bid: Carlyle School Dist</t>
  </si>
  <si>
    <t>RECAP CALECO'S - CALECO'S</t>
  </si>
  <si>
    <t>BID - SHAWNEE HEIGHTS SCH</t>
  </si>
  <si>
    <t>BID - SHAWNEE MISSION SCH</t>
  </si>
  <si>
    <t>7/1/2016   6/30/2017 Shawnee Mission SD</t>
  </si>
  <si>
    <t>BID - EX SPRINGS JOB CORP</t>
  </si>
  <si>
    <t>BID - KEYSTONE SCH COOP</t>
  </si>
  <si>
    <t>BID - FT OSAGE SCHOOLS</t>
  </si>
  <si>
    <t>BID - AUBURN WASHBURN SCH</t>
  </si>
  <si>
    <t>BID - OLATHE SCHOOLS</t>
  </si>
  <si>
    <t>07/01/2019   06/30/2020 Olathe Unified SD</t>
  </si>
  <si>
    <t>BID - HAYS SCHOOLS</t>
  </si>
  <si>
    <t>08/01/2019   05/01/2020 Hays USD 489</t>
  </si>
  <si>
    <t>BID - GARDNER EDGERTON</t>
  </si>
  <si>
    <t>BID - MANHATTAN SCHOOLS</t>
  </si>
  <si>
    <t>BID - DESOTO SCHOOLS</t>
  </si>
  <si>
    <t>07/01/2019   06/30/2020 DeSoto Unified 232</t>
  </si>
  <si>
    <t>BID - PAOLA SCHOOLS</t>
  </si>
  <si>
    <t>BID - LEE'S SUMMIT SCH</t>
  </si>
  <si>
    <t>07/01/2019   06/30/2020 Lee's Summit R VII</t>
  </si>
  <si>
    <t>BID - RAYMORE PECULIAR SC</t>
  </si>
  <si>
    <t>BID - HICKMAN MILLS SCH</t>
  </si>
  <si>
    <t>BID - GRAIN VALLEY SCHOOL</t>
  </si>
  <si>
    <t>06/30/2019   06/29/2020 Grain Valley R V</t>
  </si>
  <si>
    <t>BID - EMPORIA SCHOOLS</t>
  </si>
  <si>
    <t>BID - SALINA SCHOOLS</t>
  </si>
  <si>
    <t>BID - LEAVENWORTH SCHOOLS</t>
  </si>
  <si>
    <t>BID - LANSING SCHOOLS</t>
  </si>
  <si>
    <t>BID - SPRING HILL SCHOOLS</t>
  </si>
  <si>
    <t>BID - KC KS SCHOOLS</t>
  </si>
  <si>
    <t>BID - LAWRENCE SCHOOLS</t>
  </si>
  <si>
    <t>BID - KAW VALLEY SCH</t>
  </si>
  <si>
    <t>BID - TOPEKA PUBIC SCHOOL</t>
  </si>
  <si>
    <t>BID - SEAMAN SCHOOLS</t>
  </si>
  <si>
    <t>07/01/2019   06/29/2020 Seaman</t>
  </si>
  <si>
    <t>BID - BLUE VALLEY SCHOOLS</t>
  </si>
  <si>
    <t>07/01/2019   06/30/2020 Blue Valley</t>
  </si>
  <si>
    <t>SCH GEARY CO (JUNCTION) - BID - GEARY CO (JUNCTION)</t>
  </si>
  <si>
    <t>BID - HARRISONVILLE SCH</t>
  </si>
  <si>
    <t>BID - OSAWATOMIE USD#367</t>
  </si>
  <si>
    <t>DSCP</t>
  </si>
  <si>
    <t>BID - SE OF SALINE SCHOOL</t>
  </si>
  <si>
    <t>BID - ROCK CREEK SCHOOLS</t>
  </si>
  <si>
    <t>BID - SHAWNEE MISSION PV</t>
  </si>
  <si>
    <t>BID - WAMEGO SCHOOLS</t>
  </si>
  <si>
    <t>BID - CLAY CO SCHOOLS</t>
  </si>
  <si>
    <t>BID - TURNER SCHOOLS</t>
  </si>
  <si>
    <t>SY 14 15 Turner Schools Kansas</t>
  </si>
  <si>
    <t>BID - FT LEAVENWORTH SCH</t>
  </si>
  <si>
    <t>06/30/2019   06/28/2020 Ft Leavenworth</t>
  </si>
  <si>
    <t>BID - MCCLOUTH SCHOOLS</t>
  </si>
  <si>
    <t>BID - KCMO SCHOOLS</t>
  </si>
  <si>
    <t>07/01/2019   06/30/2020 Kansas City #33</t>
  </si>
  <si>
    <t>BID - BALDWIN CITY SCH</t>
  </si>
  <si>
    <t>ADRIAN'S CAFE</t>
  </si>
  <si>
    <t>Adrians Cafe</t>
  </si>
  <si>
    <t>BID - LINCOLN NE SCHOOLS</t>
  </si>
  <si>
    <t>7/1/2015   6/30/2016 Lincoln Public Schools</t>
  </si>
  <si>
    <t>BID - N KC SCHOOLS</t>
  </si>
  <si>
    <t>BID - NORTH OTTAWA CO SCH</t>
  </si>
  <si>
    <t>BID - BLUE SPRINGS SCH PV</t>
  </si>
  <si>
    <t>06/30/2019   06/29/2020 Blue Springs R IV</t>
  </si>
  <si>
    <t>BID - TONGANOXIE SCH</t>
  </si>
  <si>
    <t>SOCIAL HOUSE MAJOR</t>
  </si>
  <si>
    <t>The Social House</t>
  </si>
  <si>
    <t>BID - KANSAS SCHOOL BID</t>
  </si>
  <si>
    <t>BID - MISSOURI SCHOOLS</t>
  </si>
  <si>
    <t>BID - ELL SALINE SCHOOL</t>
  </si>
  <si>
    <t>BID - COLE CAMP R-1 SCHOO</t>
  </si>
  <si>
    <t>BID - WELLSVILLE SCHOOLS</t>
  </si>
  <si>
    <t>BIG BISCUIT</t>
  </si>
  <si>
    <t>The Big Biscuit Restaurant Allowances</t>
  </si>
  <si>
    <t>BID - OPERATION BREAKTHRO</t>
  </si>
  <si>
    <t>MDA CHARLIE'S ON THE LAKE</t>
  </si>
  <si>
    <t xml:space="preserve">Charlies on the Lake </t>
  </si>
  <si>
    <t>BID - COLBY SCHOOLS</t>
  </si>
  <si>
    <t>BRYAN ISD</t>
  </si>
  <si>
    <t>7/1/2018   6/30/2019 Bryan ISD</t>
  </si>
  <si>
    <t>TEJAS COOP</t>
  </si>
  <si>
    <t>7/1/2018   6/30/2019 Tejas School Services Purchasing Coop</t>
  </si>
  <si>
    <t>I FRATELLI'S MAJOR</t>
  </si>
  <si>
    <t>52 03 327 Fratelli</t>
  </si>
  <si>
    <t>REGION 7 ESC</t>
  </si>
  <si>
    <t>7/1/2018   6/30/2019 Region 7 Purchasing Co op</t>
  </si>
  <si>
    <t>PLANO ISD</t>
  </si>
  <si>
    <t>7/1/2018   6/30/2019 Plano ISD</t>
  </si>
  <si>
    <t>HEAD START/GREATER DALLAS</t>
  </si>
  <si>
    <t>NPA (ONE DOOR-EB/MB)</t>
  </si>
  <si>
    <t>USF Retro NPA CMA  Corp Program</t>
  </si>
  <si>
    <t>LVA (ONE DOOR-EB/MB) EXCE</t>
  </si>
  <si>
    <t>USF Local Marketing Program LVA</t>
  </si>
  <si>
    <t>US Foods Corp NPA Agreement</t>
  </si>
  <si>
    <t>US Foods Local LVA Program</t>
  </si>
  <si>
    <t>LVA (ONE DOOR-EB/MB)</t>
  </si>
  <si>
    <t>LAS VEGAS MINI</t>
  </si>
  <si>
    <t>Barton Racing / Las Vegas Mini Gran Prix</t>
  </si>
  <si>
    <t>SOUTH POINT</t>
  </si>
  <si>
    <t>TREASURE ISLAND</t>
  </si>
  <si>
    <t>Boyd Gaming 10</t>
  </si>
  <si>
    <t>Silverton Casino</t>
  </si>
  <si>
    <t>Silverton Casino Las Vegas</t>
  </si>
  <si>
    <t>MGMR  (MGM/MANDARIN)</t>
  </si>
  <si>
    <t>MILLERS ALE HOUSE</t>
  </si>
  <si>
    <t>Ale House</t>
  </si>
  <si>
    <t>NAPA ALLOWANCES</t>
  </si>
  <si>
    <t>Venetian</t>
  </si>
  <si>
    <t xml:space="preserve">The Venetian Las Vegas </t>
  </si>
  <si>
    <t>Ark</t>
  </si>
  <si>
    <t>ARK Restaurants New York  New York Las Vegas</t>
  </si>
  <si>
    <t>STATION (JD EDWARDS)</t>
  </si>
  <si>
    <t xml:space="preserve">Station Casinos  </t>
  </si>
  <si>
    <t>ALLIANTE CASINO</t>
  </si>
  <si>
    <t>COSMOPOLITAN HOTEL     SG</t>
  </si>
  <si>
    <t>The Cosmopolitan of Las Vegas</t>
  </si>
  <si>
    <t>PON WET N WILD</t>
  </si>
  <si>
    <t>Wet N Wild Theme Park</t>
  </si>
  <si>
    <t>LODGE</t>
  </si>
  <si>
    <t>THE LODGE GROUP</t>
  </si>
  <si>
    <t>MDA BID JW MARRIOTT</t>
  </si>
  <si>
    <t>BID ACEP</t>
  </si>
  <si>
    <t>ACEPLLC Customer Loyalty Program</t>
  </si>
  <si>
    <t>CLUB FORTUNE</t>
  </si>
  <si>
    <t>Club Fortune Casino Henderson  NV</t>
  </si>
  <si>
    <t>MDA BID HARD ROCK</t>
  </si>
  <si>
    <t>HARD ROCK HOTEL &amp; CASINO PROGRAM</t>
  </si>
  <si>
    <t>MDA BID PRICE AFFINITY</t>
  </si>
  <si>
    <t>BID AVI HOTEL &amp; CASINO</t>
  </si>
  <si>
    <t>MDA BID CANNERY</t>
  </si>
  <si>
    <t xml:space="preserve">MDA HENDERSON WATER PARK </t>
  </si>
  <si>
    <t>NEW DLA/DOD</t>
  </si>
  <si>
    <t>SPRING BRANCH ISD</t>
  </si>
  <si>
    <t>7/1/2018   6/30/2019 Spring Branch ISD</t>
  </si>
  <si>
    <t>GREAT AMERICA</t>
  </si>
  <si>
    <t>FUDDRUCKERS MODESTO LARK</t>
  </si>
  <si>
    <t>SPICY PIE TREASURE ISLAND</t>
  </si>
  <si>
    <t>CHUKCHANSI GOLD</t>
  </si>
  <si>
    <t>Chukchansi Casino</t>
  </si>
  <si>
    <t>GASTRONOMY</t>
  </si>
  <si>
    <t>Gastronomy</t>
  </si>
  <si>
    <t>RED ROBIN</t>
  </si>
  <si>
    <t>SIZZLER</t>
  </si>
  <si>
    <t>VAIL RESORTS DEVIATION</t>
  </si>
  <si>
    <t>TIMBERMINE CUST DEVIATION</t>
  </si>
  <si>
    <t>Timbermine</t>
  </si>
  <si>
    <t>SHOOT THE MOON DEVIATION</t>
  </si>
  <si>
    <t>Moonshine Steakhouse    Roll Dough</t>
  </si>
  <si>
    <t>JB'S MDA BB LOCAL</t>
  </si>
  <si>
    <t>JB's Family Restuarant</t>
  </si>
  <si>
    <t>RAINBOW CASINO PG</t>
  </si>
  <si>
    <t>RainbowCasino/Wendover</t>
  </si>
  <si>
    <t>PON STAR BUFFET ONLY</t>
  </si>
  <si>
    <t>VIRG'S</t>
  </si>
  <si>
    <t>Virg's Locations   Roll Dough Deal</t>
  </si>
  <si>
    <t>CITY BUFFET</t>
  </si>
  <si>
    <t>City Buffet   Roll Dough Deal</t>
  </si>
  <si>
    <t>WHITTIER UNION HIGHS</t>
  </si>
  <si>
    <t>MORONGO UNIFIED SCHOOL</t>
  </si>
  <si>
    <t>MDA  DOD NO MARINES</t>
  </si>
  <si>
    <t>BONSAL UNIFIED SCHOOL DIS</t>
  </si>
  <si>
    <t>SY 13 14 Blanket Anita D'Acclis</t>
  </si>
  <si>
    <t>DOD Marines - SODEXO</t>
  </si>
  <si>
    <t>DOD - US NAVY - DOD - US Navy 2011-12  WC</t>
  </si>
  <si>
    <t>PALA CASINO</t>
  </si>
  <si>
    <t>JB'S</t>
  </si>
  <si>
    <t>DEER VALLEY USD</t>
  </si>
  <si>
    <t>STAYSHONS - STAYSHONE</t>
  </si>
  <si>
    <t>Stayshons Enterprises</t>
  </si>
  <si>
    <t>4146 ERIC JURISIN JEROME</t>
  </si>
  <si>
    <t>Eric Jurisins Prop</t>
  </si>
  <si>
    <t>4146 CARTWRIGHT SCHL shar</t>
  </si>
  <si>
    <t>ISAAC SCHOOL DIST.     lo</t>
  </si>
  <si>
    <t>MDA MAIN EVENT dallas</t>
  </si>
  <si>
    <t xml:space="preserve">Promotion for the Cox group only for an ad 8/25 </t>
  </si>
  <si>
    <t>MDA_RUDY'S TEXAS BBQ aust</t>
  </si>
  <si>
    <t>BID TEST JB'S PRESCOTT JU</t>
  </si>
  <si>
    <t>DIAMOND KNOT</t>
  </si>
  <si>
    <t>Diamond Knot Brewery 2013</t>
  </si>
  <si>
    <t>SIZZLER SEATTLE LOCAL ONL</t>
  </si>
  <si>
    <t>MDA       LANCER MANAGEME</t>
  </si>
  <si>
    <t>MDA   BULLWINKLES</t>
  </si>
  <si>
    <t>BOBS BIG BOY</t>
  </si>
  <si>
    <t>Big Boy</t>
  </si>
  <si>
    <t>KAHALA MAJOR</t>
  </si>
  <si>
    <t>GRANTS-CIBOLA SCHOOLS</t>
  </si>
  <si>
    <t>LABATT ONLINE SAN ANTONIO</t>
  </si>
  <si>
    <t>7 Eleven Horizon/Laredo Taco</t>
  </si>
  <si>
    <t>LABATT ONLINE HOUSTON</t>
  </si>
  <si>
    <t>LABATT ONLINE DALLAS</t>
  </si>
  <si>
    <t>TEX BEST/EL TIGRE MAJOR</t>
  </si>
  <si>
    <t>Tex Best Travel Center</t>
  </si>
  <si>
    <t>DAIRY QUEEN MAJOR</t>
  </si>
  <si>
    <t>HEB RESTAURANTS MAJOR</t>
  </si>
  <si>
    <t>HEB</t>
  </si>
  <si>
    <t>CHOICE PARTNERS</t>
  </si>
  <si>
    <t>8/1/2018   7/31/2019 Choice Partners Cooperative</t>
  </si>
  <si>
    <t>CES COOP</t>
  </si>
  <si>
    <t>7 ELEVEN/ LTC</t>
  </si>
  <si>
    <t>IHOP</t>
  </si>
  <si>
    <t>FOODBUY - HCSG - FOODBUY-RICH PRODUCTS</t>
  </si>
  <si>
    <t>NAVIGATOR HC A - PINNACLE - FOODBUY-RICH PRODUCTS</t>
  </si>
  <si>
    <t>KAISER PERMANENTE (HCSG V - KAISER PERMANENTE</t>
  </si>
  <si>
    <t>KRYSTAL</t>
  </si>
  <si>
    <t>Krystal Company</t>
  </si>
  <si>
    <t>NAVIGATOR HC B - PINNACLE - FOODBUY-RICH PRODUCTS</t>
  </si>
  <si>
    <t>PINNACLE - TIER A - DSSI - FOODBUY-RICH PRODUCTS</t>
  </si>
  <si>
    <t>UNC HCS - FOODBUY-RICH PRODUCTS</t>
  </si>
  <si>
    <t>PREMIER-KMSSA-PROGRAM B C - PREMIER</t>
  </si>
  <si>
    <t>PREMIER CM BB - PREMIER</t>
  </si>
  <si>
    <t>PREMIER CM Z - PREMIER</t>
  </si>
  <si>
    <t>PREMIER CM A+2% - PREMIER</t>
  </si>
  <si>
    <t>PREMIER AMF CM B+1% - PREMIER</t>
  </si>
  <si>
    <t>PREMIER DISTRIBUTOR PRICE</t>
  </si>
  <si>
    <t>PREMIER CM A - PREMIER</t>
  </si>
  <si>
    <t>PREMIER CM B GAMING - PREMIER</t>
  </si>
  <si>
    <t>PREMIER CM B - PREMIER</t>
  </si>
  <si>
    <t>PREMIER CM AA - PREMIER</t>
  </si>
  <si>
    <t>PREMIER CM B+% - PREMIER</t>
  </si>
  <si>
    <t>PREMIER - THOMAS CUISINE - PREMIER</t>
  </si>
  <si>
    <t>FOOD MANAGEMENT GROUP (FM - FOODBUY-RICH PRODUCTS</t>
  </si>
  <si>
    <t>WESTCORP FRANCHISEE ASSOC - WESTERN SIZZLIN</t>
  </si>
  <si>
    <t>WestCorp/Stevens Foodservice</t>
  </si>
  <si>
    <t>PREMIER - UNIVERSITY OF M - PREMIER</t>
  </si>
  <si>
    <t>PREMIER-K12 PRICING-B - PREMIER</t>
  </si>
  <si>
    <t>PREMIER-K-12-B+% - PREMIER</t>
  </si>
  <si>
    <t>PREMIER Froz Bakery K12 &amp; Daycare Distributor Price</t>
  </si>
  <si>
    <t>PREM-K12PROG HC A 3J&amp;3L - PREMIER</t>
  </si>
  <si>
    <t>PREMIER-K-12 HC PRICING-A - PREMIER</t>
  </si>
  <si>
    <t>PREMIER-K-12 - PRICING-BB - PREMIER</t>
  </si>
  <si>
    <t>PREM-K12PROG HC B 3J&amp;3L K - PREMIER</t>
  </si>
  <si>
    <t>HEALTHCARE COALITION OF T - FOODBUY-RICH PRODUCTS</t>
  </si>
  <si>
    <t>BASS PRO SHOPS - ALL OTHE - BASS PRO SHOPS</t>
  </si>
  <si>
    <t xml:space="preserve">Islamorada Fish Co. Bass Pro Shop </t>
  </si>
  <si>
    <t>BASS PRO SHOPS - UB  CSSS - BASS PRO SHOPS</t>
  </si>
  <si>
    <t>FOODBUY - BATEMAN - FOODBUY-RICH PRODUCTS</t>
  </si>
  <si>
    <t>PREMIER CU MODIFIED Z - PREMIER</t>
  </si>
  <si>
    <t>LIFE TIME FITNESS</t>
  </si>
  <si>
    <t>52 Lifetime Fitness</t>
  </si>
  <si>
    <t>GORDON BIERSCH BREWERY RE - GORDON BIERSCH BREWERY</t>
  </si>
  <si>
    <t>Craftworks</t>
  </si>
  <si>
    <t>FIRST CHOICE - FOODBUY-RICH PRODUCTS</t>
  </si>
  <si>
    <t>NOVATION HC OVER $2500 - NOVATION</t>
  </si>
  <si>
    <t>PREMIER-K-12 PRICING-AA - PREMIER</t>
  </si>
  <si>
    <t>PREMIER-K-12 PRICING-Z - PREMIER</t>
  </si>
  <si>
    <t>PREMIER-MIAMI SCHOOLS- K- - PREMIER</t>
  </si>
  <si>
    <t>PREMIER - CM A+4% - PREMIER</t>
  </si>
  <si>
    <t>AVENDRA- FOUNDER # 8 DEVI - AVENDRA</t>
  </si>
  <si>
    <t>AVENDRA FOUNDER 7 - AVENDRA</t>
  </si>
  <si>
    <t>AVENDRA FOUNDER 8 - AVENDRA</t>
  </si>
  <si>
    <t>PREMIER K-12 BLENDED B HC - PREMIER</t>
  </si>
  <si>
    <t>PILOT TRAVEL CENTERS/FLYI - PILOT TRAVEL CENTERS</t>
  </si>
  <si>
    <t>Pilot Flying J Pizza Pricing</t>
  </si>
  <si>
    <t>PREMIER - CM BLENDED B % - PREMIER</t>
  </si>
  <si>
    <t>PREMIER - HC BLENDED B % - PREMIER</t>
  </si>
  <si>
    <t>CURRITO:BURRITOS W/O BORD - CURRITO BURRITOS</t>
  </si>
  <si>
    <t>Currito Burrito Billback</t>
  </si>
  <si>
    <t>PREMIER - UNIVERSITY OF T - PREMIER</t>
  </si>
  <si>
    <t>AVENDRA EXT BRKT 1 + 3% - AVENDRA</t>
  </si>
  <si>
    <t>AVENDRA EXT BRKT 4 +3% - AVENDRA</t>
  </si>
  <si>
    <t>PREMIER - CM AA GAMING - PREMIER</t>
  </si>
  <si>
    <t>PREMIER - NORTHERN STAR C - PREMIER</t>
  </si>
  <si>
    <t>PREMIER - CM Z GAMING - PREMIER</t>
  </si>
  <si>
    <t>PREMIER - CM A GAMING - PREMIER</t>
  </si>
  <si>
    <t>PREMIER - HC MODIFIED Z - PREMIER</t>
  </si>
  <si>
    <t>CONCIERGE - FOODBUY - PRO - FOODBUY-RICH PRODUCTS</t>
  </si>
  <si>
    <t>INTERSTATE TEMPORARY CONT - INTERSTATE HOTELS</t>
  </si>
  <si>
    <t>SEMINOLE GAMING</t>
  </si>
  <si>
    <t>Hard Rock substitute Code pricing</t>
  </si>
  <si>
    <t>NOVATION HC UNDER 2500 - NOVATION</t>
  </si>
  <si>
    <t>NOVATION COLLEGE &amp; UNIV O - NOVATION</t>
  </si>
  <si>
    <t>NOVATION-GREEK PROGRAM UN - NOVATION</t>
  </si>
  <si>
    <t>NOVATION CU UNDER 2500 - NOVATION</t>
  </si>
  <si>
    <t>NOVATION - SUNY - NOVATION</t>
  </si>
  <si>
    <t>NOVATION GREEK OVER 2500 - NOVATION</t>
  </si>
  <si>
    <t>NOVATION - GWD - NOVATION</t>
  </si>
  <si>
    <t>PREMIER - CM MODIFIED Z G - PREMIER - DNU</t>
  </si>
  <si>
    <t>PREMIER DISTRIBUTOR PRICING Desserts  Pies and Cakes</t>
  </si>
  <si>
    <t>BRUSTER'S REAL ICE CREAM - BRUSTER'S</t>
  </si>
  <si>
    <t>Bruster's   Pricing</t>
  </si>
  <si>
    <t>COMPASS COMMITTED GPO - FOODBUY-RICH PRODUCTS</t>
  </si>
  <si>
    <t>NOV CORPORATE OVER $2500 - NOVATION</t>
  </si>
  <si>
    <t>NOV CORPORATE UNDER $2500 - NOVATION</t>
  </si>
  <si>
    <t>Novation (Vizient) Deviated Pricing   All Products</t>
  </si>
  <si>
    <t>PREMIER - METZ CM COP B+$ - PREMIER</t>
  </si>
  <si>
    <t>HMS HOST (FOODBUY)</t>
  </si>
  <si>
    <t>HMS HOST (FOODBUY) ($500- - HMS HOST (FOODBUY)</t>
  </si>
  <si>
    <t>HMS HOST (FOODBUY)(2-2.49 - HMS HOST (FOODBUY)</t>
  </si>
  <si>
    <t>NOVATION K12 OVER 2500 (1 - NOVATION</t>
  </si>
  <si>
    <t>NOVATION K-12 UNDER 2500 - NOVATION</t>
  </si>
  <si>
    <t>NOVATION K-12 OVER $2500 - NOVATION</t>
  </si>
  <si>
    <t>NOVATION K-12 OVER $2500 - VIZIENT</t>
  </si>
  <si>
    <t>GATE GOURMET #302 - FOODBUY-RICH PRODUCTS</t>
  </si>
  <si>
    <t>GATE GOURMET - LAS VEGAS - FOODBUY-RICH PRODUCTS</t>
  </si>
  <si>
    <t>GATE GOURMET #574 - FOODBUY-RICH PRODUCTS</t>
  </si>
  <si>
    <t>GATE GOURMET #734 - FOODBUY-RICH PRODUCTS</t>
  </si>
  <si>
    <t>GATE GOURMET - MANASSAS - FOODBUY-RICH PRODUCTS</t>
  </si>
  <si>
    <t>GATE GOURMET #249 - FOODBUY-RICH PRODUCTS</t>
  </si>
  <si>
    <t>GATE GOURMET - MEMPHIS - FOODBUY-RICH PRODUCTS</t>
  </si>
  <si>
    <t>CONCIERGE GRAND CASINO</t>
  </si>
  <si>
    <t>GRAND RIVER CASINO /RESORT PROGRAM  4/1/2015 THRU 1/2/2017</t>
  </si>
  <si>
    <t>NOVATION ACORN CORP - NOVATION</t>
  </si>
  <si>
    <t>PREMIER - CM A + 2.2% - PREMIER</t>
  </si>
  <si>
    <t>PREMIER HC Z - PREMIER</t>
  </si>
  <si>
    <t>PREMIER HC AA - PREMIER</t>
  </si>
  <si>
    <t>PREMIER HC B+% - PREMIER</t>
  </si>
  <si>
    <t>PREMIER HC ZZ - PREMIER</t>
  </si>
  <si>
    <t>PREMIER HC B - PREMIER</t>
  </si>
  <si>
    <t>PREMIER HC A - PREMIER</t>
  </si>
  <si>
    <t>PREMIER-AMERICAN RED CROS - PREMIER</t>
  </si>
  <si>
    <t>PREMIER HC A+% - PREMIER</t>
  </si>
  <si>
    <t>PREMIER UTAH STATE UNIVER - PREMIER</t>
  </si>
  <si>
    <t>PREMIER CU (USC -U OF SOU - PREMIER</t>
  </si>
  <si>
    <t>PREMIER CU A - PREMIER</t>
  </si>
  <si>
    <t>PREMIER CU BB - PREMIER</t>
  </si>
  <si>
    <t>PREMIER - UNIVERSITY OF W - PREMIER</t>
  </si>
  <si>
    <t>PREMIER CU B+% - PREMIER</t>
  </si>
  <si>
    <t>PREMIER-COLLEGE-CU MEMORI - PREMIER</t>
  </si>
  <si>
    <t>PREMIER - PRINCETON UNIVE - PREMIER</t>
  </si>
  <si>
    <t>PREMIER-UCSD - PREMIER</t>
  </si>
  <si>
    <t>PREMIER - VIRGINIA TECH - - PREMIER</t>
  </si>
  <si>
    <t>PREMIER CU B - PREMIER</t>
  </si>
  <si>
    <t>PREMIER CU Z - PREMIER</t>
  </si>
  <si>
    <t>PREMIER - VILLANOVA CU 5% - PREMIER</t>
  </si>
  <si>
    <t>EAST COAST WINGS</t>
  </si>
  <si>
    <t>East Coast Wings &amp; Grill</t>
  </si>
  <si>
    <t>DAIRY QUEEN 6D LITTLE ROC</t>
  </si>
  <si>
    <t>TOM + CHEE  LLC - TOM &amp; CHEE  LLC</t>
  </si>
  <si>
    <t>Tom &amp; Chee</t>
  </si>
  <si>
    <t>THE TAVERN GROUP</t>
  </si>
  <si>
    <t>2013 Tavern Group</t>
  </si>
  <si>
    <t>NOVATION - REGION 9 SCHOO - NOVATION</t>
  </si>
  <si>
    <t>CONCIERGE GREAT WOLF LODG</t>
  </si>
  <si>
    <t>WESTCORP - STAR BUFFET AG - WESTCORP-STAR BUFFET AGRM</t>
  </si>
  <si>
    <t>PREMIER CU MODIFIED Z - C - PREMIER</t>
  </si>
  <si>
    <t>DAIRY QUEEN - 4Q SEATTLE - DAIRY QUEEN</t>
  </si>
  <si>
    <t>PREMIER - DAYCARE PRICING - PREMIER</t>
  </si>
  <si>
    <t>PREMIER KLC -9.30% - PREMIER</t>
  </si>
  <si>
    <t>PREMIER -  DAYCARE PRICIN - PREMIER</t>
  </si>
  <si>
    <t>IHOP - AUSTIN - I HOP</t>
  </si>
  <si>
    <t>AF NAF</t>
  </si>
  <si>
    <t>NOVATION - OHIO UNIVERSIT - NOVATION</t>
  </si>
  <si>
    <t>NOVATION K-12 OVER 2500 N - NOVATION</t>
  </si>
  <si>
    <t>ROA - ROSEMONT RESTAURANT - ROA ROSEMONT RESTAURANT G</t>
  </si>
  <si>
    <t>Restaurants America</t>
  </si>
  <si>
    <t>DAIRY QUEEN - JACKSON</t>
  </si>
  <si>
    <t>NOVATION K12 OVER 2500  $ - NOVATION</t>
  </si>
  <si>
    <t>NOVATION K12 OVER 2500  2 - NOVATION</t>
  </si>
  <si>
    <t>NOVATION K12 UNDER 2500 - NOVATION</t>
  </si>
  <si>
    <t>DEL FRISCO'S/SULLIVAN'S N</t>
  </si>
  <si>
    <t>Del Frisco's Restaurant Group</t>
  </si>
  <si>
    <t>PREMIER - CM B+4% &amp; COP B - PREMIER</t>
  </si>
  <si>
    <t>GLORY DAYS GRILL - GLORY DAS GRILL</t>
  </si>
  <si>
    <t>AVENDRA FOUNDER #1 - AVENDRA</t>
  </si>
  <si>
    <t>AVENDRA FOUNDER #2 - AVENDRA</t>
  </si>
  <si>
    <t>AVENDRA FOUNDER #3 - AVENDRA</t>
  </si>
  <si>
    <t>AVENDRA FOUNDER #4 - AVENDRA</t>
  </si>
  <si>
    <t>AVENDRA FOUNDER #5 - AVENDRA</t>
  </si>
  <si>
    <t>AVENDRA FOUNDER #6 - AVENDRA</t>
  </si>
  <si>
    <t>AVENDRA EXTERNAL #1 - AVENDRA</t>
  </si>
  <si>
    <t>AVENDRA EXTERNAL #2 - AVENDRA</t>
  </si>
  <si>
    <t>AVENDRA EXTERNAL #3 - AVENDRA</t>
  </si>
  <si>
    <t>AVENDRA EXTERNAL #4 - AVENDRA</t>
  </si>
  <si>
    <t>AVENDRA EXTERNAL #5 - AVENDRA</t>
  </si>
  <si>
    <t>AVENDRA EXTERNAL #6 - AVENDRA</t>
  </si>
  <si>
    <t>STARWOOD HOTELS &amp; RESORTS - FOODBUY-RICH PRODUCTS</t>
  </si>
  <si>
    <t>STANFORD UNIVERSITY - PREMIER</t>
  </si>
  <si>
    <t>BEVERLY H/C PREMIER - PREMIER</t>
  </si>
  <si>
    <t>VA-VISN 1 2 3 4 - VA</t>
  </si>
  <si>
    <t>52 VA Canteen</t>
  </si>
  <si>
    <t>VA-VISN 5 - VA</t>
  </si>
  <si>
    <t>VA-VISN  6 7 9 - VA</t>
  </si>
  <si>
    <t>VA-VISN 8 - VA</t>
  </si>
  <si>
    <t>VA-VISN 10 - VA</t>
  </si>
  <si>
    <t>VA-VISN 11 - VA</t>
  </si>
  <si>
    <t>VA-VISN 12 - VA</t>
  </si>
  <si>
    <t>VA-VISN 23 - VA</t>
  </si>
  <si>
    <t>VA-VISN 15 - VA</t>
  </si>
  <si>
    <t>VA-VISN 16 - VA</t>
  </si>
  <si>
    <t>VA-VISN 17 - VA</t>
  </si>
  <si>
    <t>VA-VISN 18 21 22 - VA</t>
  </si>
  <si>
    <t>VA-VISN 19 - VA</t>
  </si>
  <si>
    <t>VA-VISN 20 - VA</t>
  </si>
  <si>
    <t>PERKINS</t>
  </si>
  <si>
    <t>COMPASS - FOODBUY-RICH PRODUCTS</t>
  </si>
  <si>
    <t>NAVIGATOR HC A FLA - FOODBUY-RICH PRODUCTS</t>
  </si>
  <si>
    <t>Navigator/Tidewater</t>
  </si>
  <si>
    <t>NAVIGATOR HC B - FOODBUY-RICH PRODUCTS</t>
  </si>
  <si>
    <t>BEST WESTERN SCHEDULE A - ENTEGRA</t>
  </si>
  <si>
    <t>Sodexo Pricing 2019</t>
  </si>
  <si>
    <t>BEST WESTERN SCHEDULE B - ENTEGRA</t>
  </si>
  <si>
    <t>BEST WESTERN SCHEDULE D - ENTEGRA</t>
  </si>
  <si>
    <t>NAVIGATOR HOSPITALITY D - FOODBUY-RICH PRODUCTS</t>
  </si>
  <si>
    <t>SONIC CHARLOTTE - SONIC</t>
  </si>
  <si>
    <t>Sonic Whip Topping Program   Temporary Substitute</t>
  </si>
  <si>
    <t>SIZZLER USA</t>
  </si>
  <si>
    <t>DAVE AND BUSTERS</t>
  </si>
  <si>
    <t>Dave &amp; Busters</t>
  </si>
  <si>
    <t>PREMIER COLLEGE UNC - PREMIER</t>
  </si>
  <si>
    <t>PRIME SERVICES TIER 2 - FOODBUY-RICH PRODUCTS</t>
  </si>
  <si>
    <t>PRIME SERVICES TIER 1 - FOODBUY-RICH PRODUCTS</t>
  </si>
  <si>
    <t>IHOP SUNSHINE PARTNERS - IHOP</t>
  </si>
  <si>
    <t>NAVIGATOR HOSPITALITY A - FOODBUY-RICH PRODUCTS</t>
  </si>
  <si>
    <t>NAVIGATOR HOSPITALITY B - FOODBUY-RICH PRODUCTS</t>
  </si>
  <si>
    <t>CONCIERGE FOODBUY PRGM A - FOODBUY-RICH PRODUCTS</t>
  </si>
  <si>
    <t>CONCIERGE FOODBUY PRGM B - FOODBUY-RICH PRODUCTS</t>
  </si>
  <si>
    <t>CONCIERGE FOODBUY PRGM C - FOODBUY-RICH PRODUCTS</t>
  </si>
  <si>
    <t>DAIRY QUEEN 2N - DAIRY QUEEN</t>
  </si>
  <si>
    <t>INTERSTATE FULL SERVICE - INTERSTATE HOTELS</t>
  </si>
  <si>
    <t>INTERSTATE LIMITED - INTERSTATE HOTELS</t>
  </si>
  <si>
    <t>COLUMBIA SUSSEX TIER A - COLUMBIA SUSSEX</t>
  </si>
  <si>
    <t>Columbia Sussex</t>
  </si>
  <si>
    <t>COLUMBIA SUSSEX TIER B - COLUMBIA SUSSEX</t>
  </si>
  <si>
    <t>COLUMBIA SUSSEX TIER C - COLUMBIA SUSSEX</t>
  </si>
  <si>
    <t>COLUMBIA SUSSEX AA HOTELS - COLUMBIA SUSSEX</t>
  </si>
  <si>
    <t>BASS PRO SHOPS</t>
  </si>
  <si>
    <t>MARIE CALLENDERS</t>
  </si>
  <si>
    <t>Marie Callendars</t>
  </si>
  <si>
    <t>HARD ROCK CAFE - ENTEGRA</t>
  </si>
  <si>
    <t>LEVY - COMPASS FOODBUY - FOODBUY-RICH PRODUCTS</t>
  </si>
  <si>
    <t>WYNDHAM HOTELS-TIER A - FOODBUY-RICH PRODUCTS</t>
  </si>
  <si>
    <t>WYNDHAM HOTELS-TIER B - FOODBUY-RICH PRODUCTS</t>
  </si>
  <si>
    <t>WYNDHAM HOTELS-TIER C - FOODBUY-RICH PRODUCTS</t>
  </si>
  <si>
    <t>VA VISN 5-NO ABBOTT - VA</t>
  </si>
  <si>
    <t>VA VISN 1 2 3 4-NO ABBOTT - VA</t>
  </si>
  <si>
    <t>CONCIERGE FOODBUY PRGM F - FOODBUY-RICH PRODUCTS</t>
  </si>
  <si>
    <t>CONCIERGE FOODBUY PRGM E - FOODBUY-RICH PRODUCTS</t>
  </si>
  <si>
    <t>VA VISN 10 (NO ABBOTT) - VA</t>
  </si>
  <si>
    <t>VA VISN 18 21 22 NO ABBOT - VA</t>
  </si>
  <si>
    <t>VA VISN 6 7 9 (NO ABBOTT) - VA</t>
  </si>
  <si>
    <t>VA VISN 20 (NO ABBOTT) - VA</t>
  </si>
  <si>
    <t>VA VISN 8 (NO ABBOTT) - VA</t>
  </si>
  <si>
    <t>VA VISN 23 (NO ABBOTT) - VA</t>
  </si>
  <si>
    <t>VA VISN 11 (NO ABBOTT) - VA</t>
  </si>
  <si>
    <t>VA VISN 15 (NO ABBOTT) - VA</t>
  </si>
  <si>
    <t>VA VISN 17 (NO ABBOTT) - VA</t>
  </si>
  <si>
    <t>VA VISN 12 (NO ABBOTT) - VA</t>
  </si>
  <si>
    <t>VA VISN 19 (NO ABBOTT) - VA</t>
  </si>
  <si>
    <t>VA VISN 16 (NO ABBOTT) - VA</t>
  </si>
  <si>
    <t>CONCIERGE FOODBUY PRGM D - FOODBUY-RICH PRODUCTS</t>
  </si>
  <si>
    <t>NYC HEALTH &amp; HOSPITAL - ENTEGRA</t>
  </si>
  <si>
    <t>ALLIANCE PURCH NETWORK - ENTEGRA</t>
  </si>
  <si>
    <t>MORRISON</t>
  </si>
  <si>
    <t>HARRAH'S - TOPEKA - HARRAH'S</t>
  </si>
  <si>
    <t>HARRAH'S - JACKSON - HARRAH'S</t>
  </si>
  <si>
    <t>HARRAH'S - BRIDGEPORT - HARRAH'S</t>
  </si>
  <si>
    <t>HARRAH'S - FORT MILL - HARRAH'S</t>
  </si>
  <si>
    <t>HARRAH'S STREATOR - HARRAH'S</t>
  </si>
  <si>
    <t>HARRAH'S SAN DIEGO - HARRAH'S</t>
  </si>
  <si>
    <t>DISNEYLAND CA - ESPN</t>
  </si>
  <si>
    <t>Disneyland</t>
  </si>
  <si>
    <t>STUDIO MOVIE GRILL</t>
  </si>
  <si>
    <t>Studio Movie Grill</t>
  </si>
  <si>
    <t>NOVATION K-12 - NOVATION</t>
  </si>
  <si>
    <t>NOVATION DAYCARES NO GPC - NOVATION</t>
  </si>
  <si>
    <t>NOVATION DAYCARES - NOVATION</t>
  </si>
  <si>
    <t>HARRAH'S CINCINNATI - HARRAH'S</t>
  </si>
  <si>
    <t>DAS DUTCH HAS - FOODBUY-RICH PRODUCTS</t>
  </si>
  <si>
    <t>PREMIER-KM SSA NAP DEALS - PREMIER</t>
  </si>
  <si>
    <t>EMERITUS ONLY AGREEMENTSA - EMERITUS SENIOR LIVING</t>
  </si>
  <si>
    <t>Emeritus Pricing 2013</t>
  </si>
  <si>
    <t>EMERITUS ONLY AGREEMENTSB - EMERITUS SENIOR LIVING</t>
  </si>
  <si>
    <t>NOVATION SUNSHINE HOUSE - NOVATION</t>
  </si>
  <si>
    <t>HARRAH'S LAS VEGAS - HARRAH'S</t>
  </si>
  <si>
    <t>PRE-SCHOOLS UNDER $1000 - NOVATION</t>
  </si>
  <si>
    <t>PREMIER HC BB - PREMIER</t>
  </si>
  <si>
    <t>MULTI-REGION COOP</t>
  </si>
  <si>
    <t>7/1/2018   6/30/2019 Region 10 Multi Region Purchasing Cooperative</t>
  </si>
  <si>
    <t>WECK'S</t>
  </si>
  <si>
    <t>Weck's</t>
  </si>
  <si>
    <t>BERNALILLO PUBLIC SCHOOLS</t>
  </si>
  <si>
    <t>8/1/2018   7/31/2019 Bernalillo Public Schools</t>
  </si>
  <si>
    <t>WESTTX COOP AREAS A B C E</t>
  </si>
  <si>
    <t>WEST TX COOP AREA D</t>
  </si>
  <si>
    <t>DIMMITT ISD</t>
  </si>
  <si>
    <t>7/1/2018   6/30/2019 Dimmitt ISD</t>
  </si>
  <si>
    <t>REGION 1 ESC</t>
  </si>
  <si>
    <t>TEXAS 20 COOP</t>
  </si>
  <si>
    <t>7/15/2018   7/14/2019 Texas 20 Purchasing Cooperative (Formerly 2013 Partnership Co Op/Region 20)</t>
  </si>
  <si>
    <t>SAN ANTONIO ISD</t>
  </si>
  <si>
    <t>7/15/2018   7/14/2019 San Antonio ISD</t>
  </si>
  <si>
    <t>AMERICAN PURCHASING CONS.</t>
  </si>
  <si>
    <t>7/1/2018   6/30/2019 American Purchasing Consortium (APC)</t>
  </si>
  <si>
    <t>NNGE MAJOR</t>
  </si>
  <si>
    <t>SW COLORADO COOP</t>
  </si>
  <si>
    <t>8/1/2018   7/31/2019 Southwest Colorado Coop</t>
  </si>
  <si>
    <t>CAN'T STOP SMOKIN</t>
  </si>
  <si>
    <t xml:space="preserve">Can't Stop Smokin' </t>
  </si>
  <si>
    <t>GADSDEN ISD</t>
  </si>
  <si>
    <t>7/1/2018   6/30/2019 Gadsden ISD</t>
  </si>
  <si>
    <t>BID - CHERRY CREEK SCHOOL</t>
  </si>
  <si>
    <t>BID - CHILDREN'S CENTER</t>
  </si>
  <si>
    <t>INFLATABLE WONDERLAND</t>
  </si>
  <si>
    <t>KWIK CHEK</t>
  </si>
  <si>
    <t>Kwik Chek</t>
  </si>
  <si>
    <t>MDA SCH BANKS COUNTY</t>
  </si>
  <si>
    <t>MDA SCH GEC SCHOOL GROUP</t>
  </si>
  <si>
    <t>MELS LONE STAR LANES</t>
  </si>
  <si>
    <t>Mel's lone Star Lanes</t>
  </si>
  <si>
    <t>RECAP NOI RICHS PRODUCTS</t>
  </si>
  <si>
    <t>SY 13 14 Commodity NOI Bilbacks Perea</t>
  </si>
  <si>
    <t>Premier - CM B+2%(AF2GN)&amp;</t>
  </si>
  <si>
    <t>TA Operating LLC</t>
  </si>
  <si>
    <t>Travel Centers of America Fixed Pricing</t>
  </si>
  <si>
    <t>OVATION BRANDS (RYAN'S)</t>
  </si>
  <si>
    <t>MedAssets - Christus</t>
  </si>
  <si>
    <t>MedAssets - Baylor Scott</t>
  </si>
  <si>
    <t>NOVATION - PURDUE UNIVERS</t>
  </si>
  <si>
    <t>Novation - Cura Hospitali</t>
  </si>
  <si>
    <t>Premier - HC Joint Servic - PREMIER</t>
  </si>
  <si>
    <t>Premier HC K12 US Communi - PREMIER</t>
  </si>
  <si>
    <t>Novation - Cherry Creek S - NOVATION</t>
  </si>
  <si>
    <t>Concierge - Ocean Prop</t>
  </si>
  <si>
    <t>Cafe Zupas - Tier 1</t>
  </si>
  <si>
    <t>Cafe Zupas   Topping Program</t>
  </si>
  <si>
    <t>Red Robin LVR Pittston</t>
  </si>
  <si>
    <t>Red Robin Colby Group  (P</t>
  </si>
  <si>
    <t>Red Robin Rnd Robin Grp P</t>
  </si>
  <si>
    <t>Novation K-12 over $2500 - NOVATION</t>
  </si>
  <si>
    <t>Novation K12 Under 2500 $ - VIZIENT</t>
  </si>
  <si>
    <t>Mooyah Franchise  LLC</t>
  </si>
  <si>
    <t>Mooyah Burgers</t>
  </si>
  <si>
    <t>Novation - SEKESC/Greenbu</t>
  </si>
  <si>
    <t>Novation C&amp;U Over $2500 G</t>
  </si>
  <si>
    <t>Novation K12 #2500 $2M+20</t>
  </si>
  <si>
    <t>Novation-Greek Under $250</t>
  </si>
  <si>
    <t>Novation - Region 9 Schoo</t>
  </si>
  <si>
    <t>Novation - SUNY Group Buy</t>
  </si>
  <si>
    <t>Novation Purdue Universit</t>
  </si>
  <si>
    <t>NOV Corporate Over $2500</t>
  </si>
  <si>
    <t>NOVATION HC Over $2500 Gr</t>
  </si>
  <si>
    <t>NOVATION - GWD Group Buy</t>
  </si>
  <si>
    <t>NOV Corporate Under $2500</t>
  </si>
  <si>
    <t>Novation HC under 2500 Gr</t>
  </si>
  <si>
    <t>Novation Cura Hospitality</t>
  </si>
  <si>
    <t>Novation K12  #2500$1M+20</t>
  </si>
  <si>
    <t>Novation K12 Under2500 20</t>
  </si>
  <si>
    <t>Perkins - cost match</t>
  </si>
  <si>
    <t>Westgate Resorts - Port O</t>
  </si>
  <si>
    <t>NAV PINACLE HC C -BS (NAV</t>
  </si>
  <si>
    <t>GSI</t>
  </si>
  <si>
    <t>Vizient Gaming &amp; Hospital</t>
  </si>
  <si>
    <t>Entertainment Consulting</t>
  </si>
  <si>
    <t>ECI/Cordish Group Program</t>
  </si>
  <si>
    <t>Dairy Queen - Norcross</t>
  </si>
  <si>
    <t>Subway - Memphis</t>
  </si>
  <si>
    <t>Freddy's</t>
  </si>
  <si>
    <t xml:space="preserve">Timberline Freddy's Frozen Custard </t>
  </si>
  <si>
    <t>Sodexo Mayo Clinic - Roan</t>
  </si>
  <si>
    <t>MM Rudy's BBQ 6Z</t>
  </si>
  <si>
    <t>Rudy's "Country Store" and Bar B Q</t>
  </si>
  <si>
    <t>MM Eat n Park 8E</t>
  </si>
  <si>
    <t>Vizient - NIESC K12 - VIZIENT</t>
  </si>
  <si>
    <t>Mountaineer_BB_IT_MD(food</t>
  </si>
  <si>
    <t>Gourmet Services #$4500</t>
  </si>
  <si>
    <t>Gourmet Services</t>
  </si>
  <si>
    <t>Dairy Queen - Indianapoli</t>
  </si>
  <si>
    <t>Dairy Queen - Montgomery</t>
  </si>
  <si>
    <t>DQ - SRC - Montgomery</t>
  </si>
  <si>
    <t>Concierge Program N</t>
  </si>
  <si>
    <t>MM Green Mill 3F</t>
  </si>
  <si>
    <t>Green Mill Program 2018</t>
  </si>
  <si>
    <t>DAIRY QUEEN - SRC - LITTL</t>
  </si>
  <si>
    <t>DAIRY QUEEN - SRC - NORCR</t>
  </si>
  <si>
    <t>DAIRY QUEEN - SRC - Pitts</t>
  </si>
  <si>
    <t>DQ - SRC - Indianapolis</t>
  </si>
  <si>
    <t>DAIRY QUEEN - SRC - KANSA</t>
  </si>
  <si>
    <t>Dairy Queen - Jackson</t>
  </si>
  <si>
    <t>Dairy Queen - Corona</t>
  </si>
  <si>
    <t>Dairy Queen - SRC - Detro</t>
  </si>
  <si>
    <t>Dairy Queen - SRC - Charl</t>
  </si>
  <si>
    <t>Dairy Queen - Detroit</t>
  </si>
  <si>
    <t>Dairy Queen - SRC - Jacks</t>
  </si>
  <si>
    <t>Dairy Queen - Charlotte</t>
  </si>
  <si>
    <t>Dairy Queen - SRC - Coron</t>
  </si>
  <si>
    <t>MM Twister's 8V</t>
  </si>
  <si>
    <t xml:space="preserve">Twister's </t>
  </si>
  <si>
    <t>Dairy Queen - Charlotte/V</t>
  </si>
  <si>
    <t>MM Main Event 6W</t>
  </si>
  <si>
    <t>MM Lancer Mgmt 3F</t>
  </si>
  <si>
    <t xml:space="preserve">Lancer Catering </t>
  </si>
  <si>
    <t>MM Taher 3F</t>
  </si>
  <si>
    <t>Taher Guaranteed Distributor Pricing 2019/2020</t>
  </si>
  <si>
    <t>Dairy Queen-6I Kansas Cit</t>
  </si>
  <si>
    <t>Dairy Queen - Iowa City</t>
  </si>
  <si>
    <t>Dairy Queen - Phoenix</t>
  </si>
  <si>
    <t>Dairy Queen - Roanoke</t>
  </si>
  <si>
    <t>FB - Intermountain Health</t>
  </si>
  <si>
    <t>Concierge Okemo Mountain</t>
  </si>
  <si>
    <t>MM New Horizon Foods B 3F</t>
  </si>
  <si>
    <t>New Horizons Foods 2019 Program</t>
  </si>
  <si>
    <t>MM New Horizon Foods C 3F</t>
  </si>
  <si>
    <t>MM New Horizon Foods D 3F</t>
  </si>
  <si>
    <t>MM New Horizon Foods E 3F</t>
  </si>
  <si>
    <t>RECAP-MM Green Mill 3F On - MM Green Mill 3F Only 35%</t>
  </si>
  <si>
    <t>Green Mill Program 2017</t>
  </si>
  <si>
    <t>CPSI - CPS/Entegra 1C9</t>
  </si>
  <si>
    <t>Nutrition Systems</t>
  </si>
  <si>
    <t>Concierge Aimbridge ONLY</t>
  </si>
  <si>
    <t>MM Twistee Treat 5Z</t>
  </si>
  <si>
    <t>Twistee Treat Operator Program</t>
  </si>
  <si>
    <t>Native Grill &amp; Wings</t>
  </si>
  <si>
    <t>Movie Tavern</t>
  </si>
  <si>
    <t>MM Sizzling Platter 4H</t>
  </si>
  <si>
    <t>Maryland Live (PPE Casino</t>
  </si>
  <si>
    <t>Maryland Live Casino</t>
  </si>
  <si>
    <t>MM GA Foodservice 9D</t>
  </si>
  <si>
    <t>Brixx Wood Fired Pizza</t>
  </si>
  <si>
    <t>MM JB Family Restaurant 4</t>
  </si>
  <si>
    <t>Airport Partners - Air Ve</t>
  </si>
  <si>
    <t>Rebate for new item Air Ventures</t>
  </si>
  <si>
    <t>Vizient Grand Casino G&amp;H</t>
  </si>
  <si>
    <t>Dairy Queen - SCR - Phoen</t>
  </si>
  <si>
    <t>Dairy Queen - SCR - Iowa</t>
  </si>
  <si>
    <t>Dairy Queen - SCR - Roano</t>
  </si>
  <si>
    <t>Dairy Queen-SCR- 6I Kansa</t>
  </si>
  <si>
    <t>Vizient K12 Over 2500 201</t>
  </si>
  <si>
    <t>Vizient K12+2500$5M+Cmps</t>
  </si>
  <si>
    <t>Vizient K12 Under 2500 20</t>
  </si>
  <si>
    <t>MM One Foodservice Origin</t>
  </si>
  <si>
    <t xml:space="preserve">ONE FOODSERVICE MANAGEMENT AND </t>
  </si>
  <si>
    <t>Vail Resorts</t>
  </si>
  <si>
    <t>Lucky Strike</t>
  </si>
  <si>
    <t>Lucky Strike Pizza Crust / Set Pricing</t>
  </si>
  <si>
    <t>Concierge Interstate Only</t>
  </si>
  <si>
    <t>Clean Eatz 5G</t>
  </si>
  <si>
    <t>CLEAN EATZ/STEVENS FOODGROUP</t>
  </si>
  <si>
    <t>MM Red Robin (SP) 4H</t>
  </si>
  <si>
    <t>Hard Rock Rocksino Northf</t>
  </si>
  <si>
    <t>Universal Studios Orlando</t>
  </si>
  <si>
    <t>Nav Pinnacle HC E - BS (N</t>
  </si>
  <si>
    <t>Vizient Brock G&amp;H #2500 - VIZIENT</t>
  </si>
  <si>
    <t>Penn National Gaming</t>
  </si>
  <si>
    <t>Nav Pinnacle HC F - BS (N</t>
  </si>
  <si>
    <t>Universal Studios Hollywo</t>
  </si>
  <si>
    <t>Universal Studios Hollywood 2014</t>
  </si>
  <si>
    <t>Vizient K12 Under 2500 20 - VIZIENT</t>
  </si>
  <si>
    <t>Vizient K12 Over 2500 201 - VIZIENT</t>
  </si>
  <si>
    <t>Vizient K12 under $2500 $ - VIZIENT</t>
  </si>
  <si>
    <t>Vizient K-12 over $2500 $ - VIZIENT</t>
  </si>
  <si>
    <t>Vizient K12 Over $2500 $5 - VIZIENT</t>
  </si>
  <si>
    <t>MM Dartcor 2J</t>
  </si>
  <si>
    <t>La Quinta Inns Limited Se</t>
  </si>
  <si>
    <t>Urban Air- Tier B # $5 00</t>
  </si>
  <si>
    <t xml:space="preserve">Urban Air Adventure Park </t>
  </si>
  <si>
    <t>TEPPENYAKI BUFF HALE_BB_I</t>
  </si>
  <si>
    <t>MDA_IRON ROOSTER</t>
  </si>
  <si>
    <t>Iron Rooster</t>
  </si>
  <si>
    <t>2N MDA_PIZZA BOLIS</t>
  </si>
  <si>
    <t>10 RCH 100912 - 15 16 NOI RCH 100912</t>
  </si>
  <si>
    <t>10 RCH 110244 - 15 16 NOI RCH 110244</t>
  </si>
  <si>
    <t>20511220 RCH 110244 - 15 16 NOI RCH 110244</t>
  </si>
  <si>
    <t>20531250 RCH 110244 - 15 16 NOI RCH 110244</t>
  </si>
  <si>
    <t>20133340 RCH 110244 - 15 16 NOI RCH 110244</t>
  </si>
  <si>
    <t>20465705 RCH 110244 - 15 16 NOI RCH 110244</t>
  </si>
  <si>
    <t>20544460 RCH 110244 - 15 16 NOI RCH 110244</t>
  </si>
  <si>
    <t>20133800 RCH 110244 - 15 16 NOI RCH 110244</t>
  </si>
  <si>
    <t>20514800 RCH 110244 - 15 16 NOI RCH 110244</t>
  </si>
  <si>
    <t>20556910 RCH 110244 - 15 16 NOI RCH 110244</t>
  </si>
  <si>
    <t>20507350 RCH 110244 - 15 16 NOI RCH 110244</t>
  </si>
  <si>
    <t>20511140 RCH 110244 - 15 16 NOI RCH 110244</t>
  </si>
  <si>
    <t>21 RCH 100912 - NOI RCH</t>
  </si>
  <si>
    <t>10 RCH 100912 - NOI RCH</t>
  </si>
  <si>
    <t>2-05-11-140 RCH 110244 - NOI RCH</t>
  </si>
  <si>
    <t>2-05-14-800 RCH 110244 - NOI RCH</t>
  </si>
  <si>
    <t>2-05-05-100 RCH 110244 - NOI RCH</t>
  </si>
  <si>
    <t>21 RCH 110244 - NOI RCH</t>
  </si>
  <si>
    <t>2-04-65-705 RCH 110244 - NOI RCH</t>
  </si>
  <si>
    <t>2-05-07-350 RCH 100912 - NOI RCH</t>
  </si>
  <si>
    <t>2-05-07-350 RCH 110244 - NOI RCH</t>
  </si>
  <si>
    <t>2-05-14-110 RCH 110244 - NOI RCH</t>
  </si>
  <si>
    <t>2-01-33-800 RCH 110244 - NOI RCH</t>
  </si>
  <si>
    <t>2-05-44-460 RCH 110244 - NOI RCH</t>
  </si>
  <si>
    <t>2-05-31-250 RCH 110244 - NOI RCH</t>
  </si>
  <si>
    <t>2-05-11-220 RCH 110244 - NOI RCH</t>
  </si>
  <si>
    <t>2-05-56-910 RCH 110244 - NOI RCH</t>
  </si>
  <si>
    <t>2-02-59-600 RCH 100912 - NOI RCH</t>
  </si>
  <si>
    <t>2-01-33-340 RCH 110244 - NOI RCH</t>
  </si>
  <si>
    <t>2-05-11-140 RCH 100912 - NOI RCH</t>
  </si>
  <si>
    <t>2-01-33-340 RCH 100912 - NOI RCH</t>
  </si>
  <si>
    <t>10 RCH 110244 - NOI RCH</t>
  </si>
  <si>
    <t>2-05-17-100 RCH 110244 - NOI RCH</t>
  </si>
  <si>
    <t>2-05-14-100 RCH 110244 - NOI RCH</t>
  </si>
  <si>
    <t>2-05-14-110 RCH 100912 - NOI RCH</t>
  </si>
  <si>
    <t>2-01-10-535 RCH 100912 - NOI RCH</t>
  </si>
  <si>
    <t>2-05-14-100 RCH 100912 - NOI RCH</t>
  </si>
  <si>
    <t>2-05-11-220 RCH 100912 - NOI RCH</t>
  </si>
  <si>
    <t>Supreme Buffet</t>
  </si>
  <si>
    <t>HIBACHI GRILL - MIN WU</t>
  </si>
  <si>
    <t>TURNING POINTS_BB</t>
  </si>
  <si>
    <t>2015 Turning points deal thr US Perth</t>
  </si>
  <si>
    <t>BOCA BLISS</t>
  </si>
  <si>
    <t>2015 Bocca Bliss deal thr US Perth Amboy</t>
  </si>
  <si>
    <t>Paris Baguette</t>
  </si>
  <si>
    <t>2015 Paris Baguette deal thr US Perth Amboy</t>
  </si>
  <si>
    <t>CAFE GALLO</t>
  </si>
  <si>
    <t>2015 Cafe Gallo rebate thr Sysco Metro</t>
  </si>
  <si>
    <t>TR's Food Court</t>
  </si>
  <si>
    <t>June Dec 2016 TR's Food Court deal thr US Perth Amboy</t>
  </si>
  <si>
    <t>STOP AND GO MINI MART</t>
  </si>
  <si>
    <t>Stop n Go Market</t>
  </si>
  <si>
    <t>001 RCH 110244 - NOI RICH PROD'S 2015-2016</t>
  </si>
  <si>
    <t>018 RCH 110244 - NOI RICH PROD'S 2015-2016</t>
  </si>
  <si>
    <t>029 RCH 110244 - NOI RICH PROD'S 2015-2016</t>
  </si>
  <si>
    <t>019 RCH 110244 - NOI RICH PROD'S 2015-2016</t>
  </si>
  <si>
    <t>003 RCH 110244 - NOI RICH PROD'S 2015-2016</t>
  </si>
  <si>
    <t>004 RCH 110244 - NOI RICH PROD'S 2015-2016</t>
  </si>
  <si>
    <t>031 RCH 110244 - NOI RICH PROD'S 2015-2016</t>
  </si>
  <si>
    <t>021 RCH 110244 - NOI RICH PROD'S 2015-2016</t>
  </si>
  <si>
    <t>007 RCH 110244 - NOI RICH PROD'S 2015-2016</t>
  </si>
  <si>
    <t>20846570 RCH 110244 - NOI RICH PROD'S 2015-2016</t>
  </si>
  <si>
    <t>20739560 RCH 110244 - NOI RICH PROD'S 2015-2016</t>
  </si>
  <si>
    <t>Tri-State Bid</t>
  </si>
  <si>
    <t>Esposito's</t>
  </si>
  <si>
    <t>2015 Esposito's Rest deal thr US Allentown</t>
  </si>
  <si>
    <t>SEPA School Blanket Bid</t>
  </si>
  <si>
    <t>Cafco School Blanket Bid</t>
  </si>
  <si>
    <t>Tri-State Blanket Bid</t>
  </si>
  <si>
    <t>SCHULTZ SCHOOLS BLANKET</t>
  </si>
  <si>
    <t>NOI TRI-STATE</t>
  </si>
  <si>
    <t>NOI MASCHIO'S</t>
  </si>
  <si>
    <t>NOI LENORCO</t>
  </si>
  <si>
    <t>NOI Pomptonian</t>
  </si>
  <si>
    <t>2-08-46-830 RCH 100912 - NOI RCH</t>
  </si>
  <si>
    <t>2-08-09-130 RCH 100912 - NOI RCH</t>
  </si>
  <si>
    <t>004 RCH 110244 - NOI RCH</t>
  </si>
  <si>
    <t>019 RCH 110244 - NOI RCH</t>
  </si>
  <si>
    <t>003 RCH 110244 - NOI RCH</t>
  </si>
  <si>
    <t>2-07-39-510 RCH 110244 - NOI RCH</t>
  </si>
  <si>
    <t>001 RCH 110244 - NOI RCH</t>
  </si>
  <si>
    <t>021 RCH 110244 - NOI RCH</t>
  </si>
  <si>
    <t>033 RCH 110244 - NOI RCH</t>
  </si>
  <si>
    <t>007 RCH 110244 - NOI RCH</t>
  </si>
  <si>
    <t>2-07-09-810 RCH 110244 - NOI RCH</t>
  </si>
  <si>
    <t>022 RCH 110244 - NOI RCH</t>
  </si>
  <si>
    <t>2-07-39-460 RCH 110244 - NOI RCH</t>
  </si>
  <si>
    <t>2-07-39-780 RCH 110244 - NOI RCH</t>
  </si>
  <si>
    <t>2-06-22-175 RCH 110244 - NOI RCH</t>
  </si>
  <si>
    <t>023 RCH 110244 - NOI RCH</t>
  </si>
  <si>
    <t>034 RCH 110244 - NOI RCH</t>
  </si>
  <si>
    <t>2-03-58-100 RCH 110244 - NOI RCH</t>
  </si>
  <si>
    <t>2-03-52-200 RCH 100912 - NOI RCH</t>
  </si>
  <si>
    <t>2-08-09-135 RCH 100912 - NOI RCH</t>
  </si>
  <si>
    <t>2-08-09-760 RCH 110244 - NOI RCH</t>
  </si>
  <si>
    <t>2-08-46-560 RCH 110244 - NOI RCH</t>
  </si>
  <si>
    <t>2-07-48-600 RCH 100912 - NOI RCH</t>
  </si>
  <si>
    <t>2-08-46-710 RCH 110244 - NOI RCH</t>
  </si>
  <si>
    <t>03501610 RCH 110244 - NOI RCH</t>
  </si>
  <si>
    <t>MDA_GO N BANANAS</t>
  </si>
  <si>
    <t>2016 Go N Bananas deal thr US Allentown</t>
  </si>
  <si>
    <t>MDA_Sands Bethworks Gamin</t>
  </si>
  <si>
    <t>Sands Casino PA prog thr US Allentown</t>
  </si>
  <si>
    <t>BID Resa II SoWestern Co</t>
  </si>
  <si>
    <t>BID JACKSON CO.</t>
  </si>
  <si>
    <t>MDA SCH RALEIGH CO SCHOOL</t>
  </si>
  <si>
    <t>7-11 FIXED BID</t>
  </si>
  <si>
    <t>7 11 TD Deli</t>
  </si>
  <si>
    <t>SCH Rochester Schools</t>
  </si>
  <si>
    <t>PON_Wing City/Village Cas</t>
  </si>
  <si>
    <t>Wing City 2016</t>
  </si>
  <si>
    <t>CRISPANINO REST GROUP 2Z</t>
  </si>
  <si>
    <t>2015 Crispanino Rest Group thr US Swedesboro</t>
  </si>
  <si>
    <t>WI-WILMOT#USF-WIWILM</t>
  </si>
  <si>
    <t>MDA SCH Milw Cntr for Ind</t>
  </si>
  <si>
    <t>MDA SCH Milwaukee College</t>
  </si>
  <si>
    <t>BLANKET BID SCHOOLS</t>
  </si>
  <si>
    <t>LD'S BBQ LLC</t>
  </si>
  <si>
    <t>LD's BBQ Roll Dough</t>
  </si>
  <si>
    <t>Malabar Coast Coffee &amp; Te</t>
  </si>
  <si>
    <t>Malabar Coast Coffee &amp; Tea  Rebate</t>
  </si>
  <si>
    <t>Bonanza Steakhouse</t>
  </si>
  <si>
    <t>Bonanza 2017 Program</t>
  </si>
  <si>
    <t>PON Landmark Corp</t>
  </si>
  <si>
    <t>Uptown Diner</t>
  </si>
  <si>
    <t>SCH South Washington Co I</t>
  </si>
  <si>
    <t>BUCK HILL INC SKI AREA</t>
  </si>
  <si>
    <t>Buck Hill Ski Area 2020</t>
  </si>
  <si>
    <t>PON Key's Cafe</t>
  </si>
  <si>
    <t>Keys Cafe and Bakery 2020 Program</t>
  </si>
  <si>
    <t>Hubbell House - Beef Only</t>
  </si>
  <si>
    <t>The Hubble House 2020</t>
  </si>
  <si>
    <t>REG MDA LOC Taher only (S</t>
  </si>
  <si>
    <t>Sunfield Rest-Yorkville (</t>
  </si>
  <si>
    <t>Sunfield Yorkville</t>
  </si>
  <si>
    <t xml:space="preserve">MDA EUREKA CASINO RESORT </t>
  </si>
  <si>
    <t xml:space="preserve">Eureka </t>
  </si>
  <si>
    <t>MDA THE BAR AT BERMUDA</t>
  </si>
  <si>
    <t>The Bar</t>
  </si>
  <si>
    <t>MDA BIG DOG HOSPITALY</t>
  </si>
  <si>
    <t>Draft House/ Big Dogs</t>
  </si>
  <si>
    <t>DIVINE EVENTS</t>
  </si>
  <si>
    <t>Divine Cafe</t>
  </si>
  <si>
    <t>KIDS CAMPUS</t>
  </si>
  <si>
    <t>Kids Campus</t>
  </si>
  <si>
    <t>RISE AND SHINE</t>
  </si>
  <si>
    <t>Rise N Shine</t>
  </si>
  <si>
    <t>ROSETTE NOSH</t>
  </si>
  <si>
    <t>Rosette Nosh</t>
  </si>
  <si>
    <t>BAHAMA BUCKS</t>
  </si>
  <si>
    <t>THREE PINTS BREWING CO.</t>
  </si>
  <si>
    <t>Three pints pizza dough</t>
  </si>
  <si>
    <t>MDA FORT WAYNE PROFESSION</t>
  </si>
  <si>
    <t>Ft Wayne Tincaps   Parkview Field</t>
  </si>
  <si>
    <t>K171 RSP 100912 - NOI RSP 100912</t>
  </si>
  <si>
    <t>5300 RSP 100912 - NOI RSP 100912</t>
  </si>
  <si>
    <t>5330 RSP 100912 - NOI RSP 100912</t>
  </si>
  <si>
    <t>5375 RSP 100912 - NOI RSP 100912</t>
  </si>
  <si>
    <t>K188 RCH 100912 - NOI RCH 100912</t>
  </si>
  <si>
    <t>5280 RCH 100912 - NOI RCH 100912</t>
  </si>
  <si>
    <t>3060 RCH 100912 - NOI RCH 100912</t>
  </si>
  <si>
    <t>5330 RSP 110244 - NOI RSP 110244</t>
  </si>
  <si>
    <t>3315 RSP 110244 - NOI RSP 110244</t>
  </si>
  <si>
    <t>5340 RSP 110244 - NOI RSP 110244</t>
  </si>
  <si>
    <t>5375 RSP 110244 - NOI RSP 110244</t>
  </si>
  <si>
    <t>0630 RSP 110244 - NOI RSP 110244</t>
  </si>
  <si>
    <t>NOI Region 7</t>
  </si>
  <si>
    <t>NOI WIC</t>
  </si>
  <si>
    <t>MDA SCH Region 7</t>
  </si>
  <si>
    <t>NOI Region 9</t>
  </si>
  <si>
    <t>5330 RCH 110244 - NOI RCH</t>
  </si>
  <si>
    <t>5375 RCH 100912 - NOI RCH</t>
  </si>
  <si>
    <t>5300 RCH 100912 - NOI RCH</t>
  </si>
  <si>
    <t>5340 RCH 110244 - NOI RCH</t>
  </si>
  <si>
    <t>3315 RCH 110244 - NOI RCH</t>
  </si>
  <si>
    <t>5485 RCH 110244 - NOI RCH</t>
  </si>
  <si>
    <t>4205 RCH 110244 - NOI RCH</t>
  </si>
  <si>
    <t>5930 RCH 100912 - NOI RCH</t>
  </si>
  <si>
    <t>K164 RCH 100912 - NOI RCH</t>
  </si>
  <si>
    <t>5330 RCH 100912 - NOI RCH</t>
  </si>
  <si>
    <t>K171 RCH 100912 - NOI RCH</t>
  </si>
  <si>
    <t>3060 RCH 100912 - NOI RCH</t>
  </si>
  <si>
    <t>5470 RCH 110244 - NOI RCH</t>
  </si>
  <si>
    <t>5310 RCH 100912 - NOI RCH</t>
  </si>
  <si>
    <t>7150 RCH 100912 - NOI RCH</t>
  </si>
  <si>
    <t>4515 RCH 100912 - NOI RCH</t>
  </si>
  <si>
    <t>4535 RCH 100912 - NOI RCH</t>
  </si>
  <si>
    <t>5255 RCH 100912 - NOI RCH</t>
  </si>
  <si>
    <t>6630 RCH 100912 - NOI RCH</t>
  </si>
  <si>
    <t>6630 RCH 110244 - NOI RCH</t>
  </si>
  <si>
    <t>0630 RCH 110244 - NOI RCH</t>
  </si>
  <si>
    <t>K193 RCH 100912 - NOI RCH</t>
  </si>
  <si>
    <t>2260 RCH 100912 - NOI RCH</t>
  </si>
  <si>
    <t>K188 RCH 100912 - NOI RCH</t>
  </si>
  <si>
    <t>K182 RCH 110244 - NOI RCH</t>
  </si>
  <si>
    <t>5280 RCH 100912 - NOI RCH</t>
  </si>
  <si>
    <t>1170 RCH 110244 - NOI RCH</t>
  </si>
  <si>
    <t>COACHMANS</t>
  </si>
  <si>
    <t>Coachman</t>
  </si>
  <si>
    <t>REG MDA SCOTTYS BREWHOUSE</t>
  </si>
  <si>
    <t>Scotty's Brewhouse</t>
  </si>
  <si>
    <t>OUR BEST RESTAURANT</t>
  </si>
  <si>
    <t>Our Best Restaurant</t>
  </si>
  <si>
    <t>FORK E&amp;S ONLY</t>
  </si>
  <si>
    <t>RTW   Forks County Line Store</t>
  </si>
  <si>
    <t>NOI South Bend</t>
  </si>
  <si>
    <t>PON FRENCH LICK</t>
  </si>
  <si>
    <t>French Lick Resort and Casino Program 2018</t>
  </si>
  <si>
    <t>POY SCOTTY"S BREWHOUSE</t>
  </si>
  <si>
    <t>SCH TIPPECANOE SCHOOLS</t>
  </si>
  <si>
    <t>REG_MAINE EVENT</t>
  </si>
  <si>
    <t>MDA_SHOOTERS</t>
  </si>
  <si>
    <t>Shooters Sports Grill</t>
  </si>
  <si>
    <t>Galati's Hideaway</t>
  </si>
  <si>
    <t>Galati's Pizza</t>
  </si>
  <si>
    <t>MDA TAP HOUSE GRILL</t>
  </si>
  <si>
    <t>REG MDA MILLERS ALE HOUSE</t>
  </si>
  <si>
    <t>MRS. YODERS C.O.P_IT</t>
  </si>
  <si>
    <t>Mrs. Yoder</t>
  </si>
  <si>
    <t>DOD US NAVY</t>
  </si>
  <si>
    <t>DOD SODEXO</t>
  </si>
  <si>
    <t>DOD NON MARINES</t>
  </si>
  <si>
    <t>MDA Stacked Restaurants</t>
  </si>
  <si>
    <t>Stacked Restaurants</t>
  </si>
  <si>
    <t>Bid MDA-San Marcos</t>
  </si>
  <si>
    <t>MDA Greenleaf</t>
  </si>
  <si>
    <t xml:space="preserve">Greenleaf Gourmet ChopShop discount program </t>
  </si>
  <si>
    <t>Bid MDA Poway USD</t>
  </si>
  <si>
    <t>The Baked Bear</t>
  </si>
  <si>
    <t>GLOWZONE</t>
  </si>
  <si>
    <t>Glowzone</t>
  </si>
  <si>
    <t>SIZZLER CEDAR CITY</t>
  </si>
  <si>
    <t>PON CHILIS BRINKER</t>
  </si>
  <si>
    <t>Chili's</t>
  </si>
  <si>
    <t>REG MDA CAFE ZUPAS</t>
  </si>
  <si>
    <t>ON THE BORDER</t>
  </si>
  <si>
    <t>MADDOX RANCH HOUSE</t>
  </si>
  <si>
    <t>Maddox Ranch House   Pie Shell 10"</t>
  </si>
  <si>
    <t>KING BUFFET</t>
  </si>
  <si>
    <t>King Buffet   Sweet Yeasty Dinner Roll Dough</t>
  </si>
  <si>
    <t>MOVIE GRILLE</t>
  </si>
  <si>
    <t>MOVIE GRILL</t>
  </si>
  <si>
    <t>MDA GRAND TARGHEE</t>
  </si>
  <si>
    <t>Grand Targhee</t>
  </si>
  <si>
    <t>BAHAMA BUCK'S</t>
  </si>
  <si>
    <t>BID FREMONT SD</t>
  </si>
  <si>
    <t>UTAH SKI BLANKET BID 2018 19</t>
  </si>
  <si>
    <t>DORNAN'S</t>
  </si>
  <si>
    <t>DLA - BID Military blood</t>
  </si>
  <si>
    <t>BID_ROOSEVELT SCHOOLS blo</t>
  </si>
  <si>
    <t>REG_MDA MAIN EVENT HOLDIN</t>
  </si>
  <si>
    <t>SCH Creighton</t>
  </si>
  <si>
    <t>070414 RCH 100912 - NOI RCH</t>
  </si>
  <si>
    <t>MDA BISCUITS CAFE</t>
  </si>
  <si>
    <t>Biscuits Cafe (All Locations)</t>
  </si>
  <si>
    <t>SURF EXTREME</t>
  </si>
  <si>
    <t>Surf Extreme</t>
  </si>
  <si>
    <t>SKATETOWN</t>
  </si>
  <si>
    <t>Skatetown</t>
  </si>
  <si>
    <t>THE BAKED BEAR II</t>
  </si>
  <si>
    <t>MOGUL MOUNTAIN PIZZA</t>
  </si>
  <si>
    <t>8OZ BURGER</t>
  </si>
  <si>
    <t>CHEESE  MEATS AND BREAD</t>
  </si>
  <si>
    <t>00700190 RCH 110244 - NOI RICH 110244</t>
  </si>
  <si>
    <t>00700390 RCH 110244 - NOI RICH 110244</t>
  </si>
  <si>
    <t>02900530 RCH 110244 - NOI RICH 110244</t>
  </si>
  <si>
    <t>00500600 RCH 110244 - NOI RICH 110244</t>
  </si>
  <si>
    <t>01100950 RCH 110244 - NOI RICH 110244</t>
  </si>
  <si>
    <t>00501250 RCH 110244 - NOI RICH 110244</t>
  </si>
  <si>
    <t>00502610 RCH 110244 - NOI RICH 110244</t>
  </si>
  <si>
    <t>00702670 RCH 110244 - NOI RICH 110244</t>
  </si>
  <si>
    <t>00703420 RCH 110244 - NOI RICH 110244</t>
  </si>
  <si>
    <t>01504020 RCH 110244 - NOI RICH 110244</t>
  </si>
  <si>
    <t>00704790 RCH 110244 - NOI RICH 110244</t>
  </si>
  <si>
    <t>00705080 RCH 110244 - NOI RICH 110244</t>
  </si>
  <si>
    <t>01505120 RCH 110244 - NOI RICH 110244</t>
  </si>
  <si>
    <t>01505500 RCH 110244 - NOI RICH 110244</t>
  </si>
  <si>
    <t>00705560 RCH 110244 - NOI RICH 110244</t>
  </si>
  <si>
    <t>01103230 RCH 100912 - NOI RCH 100912</t>
  </si>
  <si>
    <t>01505500 RCH 100912 - NOI RCH 100912</t>
  </si>
  <si>
    <t>2C TEPPENYAKI BUFF HALE_B</t>
  </si>
  <si>
    <t>NAT Prem - US Comm - Wico</t>
  </si>
  <si>
    <t>22 RCH 110244 - NOI RCH</t>
  </si>
  <si>
    <t>00502960 RCH 110244 - NOI RCH</t>
  </si>
  <si>
    <t>00700150 RCH 110244 - NOI RCH</t>
  </si>
  <si>
    <t>00700190 RCH 110244 - NOI RCH</t>
  </si>
  <si>
    <t>01103230 RCH 100912 - NOI RCH</t>
  </si>
  <si>
    <t>00700390 RCH 110244 - NOI RCH</t>
  </si>
  <si>
    <t>01504940 RCH 110244 - NOI RCH</t>
  </si>
  <si>
    <t>00502610 RCH 110244 - NOI RCH</t>
  </si>
  <si>
    <t>00702670 RCH 110244 - NOI RCH</t>
  </si>
  <si>
    <t>00705560 RCH 110244 - NOI RCH</t>
  </si>
  <si>
    <t>02900530 RCH 110244 - NOI RCH</t>
  </si>
  <si>
    <t>02902360 RCH 110244 - NOI RCH</t>
  </si>
  <si>
    <t>00501250 RCH 110244 - NOI RCH</t>
  </si>
  <si>
    <t>00703420 RCH 110244 - NOI RCH</t>
  </si>
  <si>
    <t>01100540 RCH 110244 - NOI RCH</t>
  </si>
  <si>
    <t>00900720 RCH 110244 - NOI RCH</t>
  </si>
  <si>
    <t>01505500 RCH 110244 - NOI RCH</t>
  </si>
  <si>
    <t>00702560 RCH 110244 - NOI RCH</t>
  </si>
  <si>
    <t>00705080 RCH 110244 - NOI RCH</t>
  </si>
  <si>
    <t>01500860 RCH 110244 - NOI RCH</t>
  </si>
  <si>
    <t>01505120 RCH 110244 - NOI RCH</t>
  </si>
  <si>
    <t>00500600 RCH 110244 - NOI RCH</t>
  </si>
  <si>
    <t>00701880 RCH 110244 - NOI RCH</t>
  </si>
  <si>
    <t>00901080 RCH 110244 - NOI RCH</t>
  </si>
  <si>
    <t>00905840 RCH 110244 - NOI RCH</t>
  </si>
  <si>
    <t>00504930 RCH 110244 - NOI RCH</t>
  </si>
  <si>
    <t>2J MDA SCH DELAWARE STATE</t>
  </si>
  <si>
    <t>PARX CASINO PON 4V</t>
  </si>
  <si>
    <t>SCH Pomptonian Schl</t>
  </si>
  <si>
    <t>SCH Pomptonian Blanket -</t>
  </si>
  <si>
    <t>SCH BCPS BLANKET</t>
  </si>
  <si>
    <t>SCH GARDEN STATE COOP BLA</t>
  </si>
  <si>
    <t>NOI RCH 30 110244 - RECAP NOI RCH 30</t>
  </si>
  <si>
    <t>BID RESORTS ATLANTIC CITY</t>
  </si>
  <si>
    <t>GA BD Wheeler County Scho</t>
  </si>
  <si>
    <t>SC Alliance Greenwood 50</t>
  </si>
  <si>
    <t>POY-3-Bevricks &amp; Sweet Te</t>
  </si>
  <si>
    <t>Sweet Tea Grille</t>
  </si>
  <si>
    <t>BID NCPA Produce $1.65</t>
  </si>
  <si>
    <t>BID_NCPA $1.25 Fee</t>
  </si>
  <si>
    <t>PON- 3 Parkers Market</t>
  </si>
  <si>
    <t>POY- 4 Sea Pines Resort</t>
  </si>
  <si>
    <t>MDA SCH 5D GA BLANKET CON</t>
  </si>
  <si>
    <t>MDA SCH SCPA PEE DEE HEAD</t>
  </si>
  <si>
    <t>MDA SCH BRYAN BLANKETS &amp;</t>
  </si>
  <si>
    <t>0-The Villa (IT)</t>
  </si>
  <si>
    <t>The Villa</t>
  </si>
  <si>
    <t>SCH SC ALLENDALE BLNKT 1.</t>
  </si>
  <si>
    <t>SCH SC NEWBERRY BLNKT 1.1</t>
  </si>
  <si>
    <t>SCH SC SALUDA BLNKT 1.28</t>
  </si>
  <si>
    <t>SCH NCPA BLANKETS</t>
  </si>
  <si>
    <t>SCH SC DORCHESTER 4 BLNKT</t>
  </si>
  <si>
    <t>SCH SC BERKELEY BLNKT 1.1</t>
  </si>
  <si>
    <t>SCH SC AIKEN BLNKT 2.00</t>
  </si>
  <si>
    <t>SCH SC BW CH HT OB BLNKT</t>
  </si>
  <si>
    <t>SCH SC CHARLESTON PALMETT</t>
  </si>
  <si>
    <t>GOV- Dept of Defense (DoD</t>
  </si>
  <si>
    <t>SCH SC BLANKET 10%</t>
  </si>
  <si>
    <t>4001307 RCH 110244 - NOI RCH</t>
  </si>
  <si>
    <t>3205000 RCH 100912 - NOI RCH</t>
  </si>
  <si>
    <t>1704000 RCH 100912 - NOI RCH</t>
  </si>
  <si>
    <t>0801000 RCH 100912 - NOI RCH</t>
  </si>
  <si>
    <t>0801000 RCH 110244 - NOI RCH</t>
  </si>
  <si>
    <t>SCH  GA TM DISTRICTS CONT</t>
  </si>
  <si>
    <t>DLA MAIN CATALOG</t>
  </si>
  <si>
    <t>MDA_Mi Casita</t>
  </si>
  <si>
    <t>Mi Casita</t>
  </si>
  <si>
    <t>09200000 RCH 110244 - NOI RCH 110244</t>
  </si>
  <si>
    <t>09200000 RCH 100912 - NOI RCH 100912</t>
  </si>
  <si>
    <t>BID NCPA $1.20 Fee Raleig</t>
  </si>
  <si>
    <t>BID NCPA $1.23 Fee Raleig</t>
  </si>
  <si>
    <t>MDA-The Egg Bistro</t>
  </si>
  <si>
    <t xml:space="preserve">The Egg Bistro Locations </t>
  </si>
  <si>
    <t>Ragazzi's</t>
  </si>
  <si>
    <t>MDA SCH 5G NCPA $1.23 SCH</t>
  </si>
  <si>
    <t>MDA SCH 5G NC 7.5% SCH BI</t>
  </si>
  <si>
    <t>MDA SCH 5G NCPA $2.25 SCH</t>
  </si>
  <si>
    <t>MDA SCH NCPA $2.25 FEE</t>
  </si>
  <si>
    <t>6/1/2018   5/31/2019 Georgia Education Cooperative</t>
  </si>
  <si>
    <t>MDA SCH GAINESVILLE CITY</t>
  </si>
  <si>
    <t>MDA SCH CHEROKEE COUNTY</t>
  </si>
  <si>
    <t>07/01/2019   06/30/2020 Cherokee County</t>
  </si>
  <si>
    <t>MDA SCH MOUNTAIN AREA GRO</t>
  </si>
  <si>
    <t>MDA SCH CLAYTON COUNTY</t>
  </si>
  <si>
    <t>MDA SCH GRIFFIN-SPAULDING</t>
  </si>
  <si>
    <t>MDA SCH FULTON COUNTY</t>
  </si>
  <si>
    <t>07/01/2019   06/30/2020 Fulton County</t>
  </si>
  <si>
    <t>MDA SCH  HALL COUNTY</t>
  </si>
  <si>
    <t>07/01/2019   06/30/2020 Hall County</t>
  </si>
  <si>
    <t>MDA SCH CARROLLTON COUNTY</t>
  </si>
  <si>
    <t>MDA SCH BARROW COUNTY</t>
  </si>
  <si>
    <t>07/01/2019   06/30/2020 Barrow County</t>
  </si>
  <si>
    <t>MDA SCH JACKSON CO-OP GRO</t>
  </si>
  <si>
    <t>MDA SCH COWETA COUNTY</t>
  </si>
  <si>
    <t>MDA SCH NEWTON COUNTY</t>
  </si>
  <si>
    <t>7/1/2016   6/30/2017 Newton County School System</t>
  </si>
  <si>
    <t>MDA SCH BUTTS COUNTY</t>
  </si>
  <si>
    <t>MDA SCH DEKALB COUNTY</t>
  </si>
  <si>
    <t>1/1/2016   6/30/2016 Dekalb County</t>
  </si>
  <si>
    <t>MDA SCH HAB-RAB-TOW-UN-WH</t>
  </si>
  <si>
    <t>07/01/2019   06/30/2020 Habersham  Rabun  Towns  Union  and White Counties</t>
  </si>
  <si>
    <t>MDA SCH MERIWETHER CO-OP</t>
  </si>
  <si>
    <t>MDA SCH FAYETTE COUNTY</t>
  </si>
  <si>
    <t>7/1/2017   6/30/2018 Fayette County Georgia</t>
  </si>
  <si>
    <t>MDA SCH MUSCOGEE COUNTY</t>
  </si>
  <si>
    <t>7/1/2016   6/30/2017 Muscogee County</t>
  </si>
  <si>
    <t>MDA SCH CARROLL COUNTY</t>
  </si>
  <si>
    <t>MDA SCH COBB COUNTY</t>
  </si>
  <si>
    <t>07/01/2019   06/30/2020 Cobb County</t>
  </si>
  <si>
    <t>MDA SCH BIBB COUNTY</t>
  </si>
  <si>
    <t>MDA SCH  ROME BOE</t>
  </si>
  <si>
    <t>MDA SCH  PIKE COUNTY</t>
  </si>
  <si>
    <t>MDA SCH CLARKE COUNTY</t>
  </si>
  <si>
    <t>MDA SCH DALTON-WHITFIELD</t>
  </si>
  <si>
    <t>07/01/2019   07/31/2020 Dalton City</t>
  </si>
  <si>
    <t>MDA SCH UPSON-THOMASTON C</t>
  </si>
  <si>
    <t>MDA SCH BALDWIN COUNTY</t>
  </si>
  <si>
    <t>MDA SCH DOOLY COUNTY</t>
  </si>
  <si>
    <t>1644 RCH 110244 - NOI RCH 110244 15 16</t>
  </si>
  <si>
    <t>4001211 RCH 110244 - NOI RCH 110244 15 16</t>
  </si>
  <si>
    <t>RECAP CARROLLTON 10244 - NOI RCH 110244 15 16</t>
  </si>
  <si>
    <t>RECAP 1794346 - NOI RCH 110244 15 16</t>
  </si>
  <si>
    <t>4001627 RCH 100912 - NOI RCH 100912 15 16</t>
  </si>
  <si>
    <t>MDA SCH 5I GWINNETT COUNT</t>
  </si>
  <si>
    <t>07/01/2019   06/30/2020 Gwinnett County</t>
  </si>
  <si>
    <t>MDA SCH MORGAN COUNTY</t>
  </si>
  <si>
    <t>4001211 RCH 110244 - NOI RCH</t>
  </si>
  <si>
    <t>4001595 RCH 110244 - NOI RCH</t>
  </si>
  <si>
    <t>4001419 RCH 100912 - NOI RCH</t>
  </si>
  <si>
    <t>1633 RCH 100912 - NOI RCH</t>
  </si>
  <si>
    <t>1627 RCH 100912 - NOI RCH</t>
  </si>
  <si>
    <t>4001595 RCH 100912 - NOI RCH</t>
  </si>
  <si>
    <t>4001215 RCH 100912 - NOI RCH</t>
  </si>
  <si>
    <t>4001215 RCH 110244 - NOI RCH</t>
  </si>
  <si>
    <t>4003150 RCH 100912 - NOI RCH</t>
  </si>
  <si>
    <t>1705 RCH 100912 - NOI RCH</t>
  </si>
  <si>
    <t>4001976 RCH 100912 - NOI RCH</t>
  </si>
  <si>
    <t>4005513 RCH 100912 - NOI RCH</t>
  </si>
  <si>
    <t>4001311 RCH 100912 - NOI RCH</t>
  </si>
  <si>
    <t>4001936 RCH 100912 - NOI RCH</t>
  </si>
  <si>
    <t>4001936 RCH 110244 - NOI RCH</t>
  </si>
  <si>
    <t>4003515 RCH 110244 - NOI RCH</t>
  </si>
  <si>
    <t>4001144 RCH 100912 - NOI RCH</t>
  </si>
  <si>
    <t>4001144 RCH 110244 - NOI RCH</t>
  </si>
  <si>
    <t>4001317 RCH 110244 - NOI RCH</t>
  </si>
  <si>
    <t>4004360 RCH 100912 - NOI RCH</t>
  </si>
  <si>
    <t>4001613 RCH 100912 - NOI RCH</t>
  </si>
  <si>
    <t>4005258 RCH 100912 - NOI RCH</t>
  </si>
  <si>
    <t>SCH MDA-COBB BLANKET $1.1</t>
  </si>
  <si>
    <t>SCH MDA-GWINNETT/FULTON B</t>
  </si>
  <si>
    <t>7/1/2018   6/30/2019 Gwinnett County</t>
  </si>
  <si>
    <t>SCH MDA-GEORGIA BLANKET 1</t>
  </si>
  <si>
    <t>SCH 5I  HENRY COUNTY</t>
  </si>
  <si>
    <t>5O TEPPENYAKI BUFF HALE_B</t>
  </si>
  <si>
    <t>2C NY J &amp; P PIZZA_BB_IT_P</t>
  </si>
  <si>
    <t>DOD - MD3 (2C)</t>
  </si>
  <si>
    <t>2C NAT_UNIVERSITY OF MARY</t>
  </si>
  <si>
    <t>DOD - MD5 (2C)</t>
  </si>
  <si>
    <t>2C MDA_IRON ROOSTER</t>
  </si>
  <si>
    <t>CENTERAL PARK FUNLAND</t>
  </si>
  <si>
    <t>Pizza Dough Funland</t>
  </si>
  <si>
    <t>DACHA BEER GARDEN</t>
  </si>
  <si>
    <t>Pretzel Rolls Dacha Beer Garden</t>
  </si>
  <si>
    <t>Hibachi Grill_BB_PG</t>
  </si>
  <si>
    <t>Velocity FIve</t>
  </si>
  <si>
    <t>Velocity Group Flatbread rebate</t>
  </si>
  <si>
    <t>The V Eatery &amp; Brewhouse</t>
  </si>
  <si>
    <t>MDA BRION'S GRILLE</t>
  </si>
  <si>
    <t>Brioche for Brion's Grille</t>
  </si>
  <si>
    <t>MDA Fastops</t>
  </si>
  <si>
    <t>Oven ready Pizza Fastop Store</t>
  </si>
  <si>
    <t>SCH Jefferies Catering</t>
  </si>
  <si>
    <t>Jeffreys Catering French Toast Bites Program</t>
  </si>
  <si>
    <t>Pickles Pub</t>
  </si>
  <si>
    <t>Pickles Pub Program 12/1/15 12/31/16</t>
  </si>
  <si>
    <t>BUSBOY &amp; POET</t>
  </si>
  <si>
    <t>Pizza dough Busboys and Poets</t>
  </si>
  <si>
    <t>WATERMINE PARK</t>
  </si>
  <si>
    <t>Watermine Pizza rebate</t>
  </si>
  <si>
    <t>BID_Limestone-Athens Scho</t>
  </si>
  <si>
    <t>BID_Ala Trussville Vestav</t>
  </si>
  <si>
    <t>PON Chappy's Deli</t>
  </si>
  <si>
    <t>Chappy's Deli</t>
  </si>
  <si>
    <t>MDA_Rightway Restaurants</t>
  </si>
  <si>
    <t>Rightway Restaurants</t>
  </si>
  <si>
    <t>SCH NEW ALABASTER CITY SC</t>
  </si>
  <si>
    <t>MDA_Dreamland BBQ</t>
  </si>
  <si>
    <t>DREAMLAND BBQ PROGRAM</t>
  </si>
  <si>
    <t>DOD-US NAVY - PORT ORANGE</t>
  </si>
  <si>
    <t>MDA BID 5Z GLYNN COUNTY</t>
  </si>
  <si>
    <t>MDA BID 5Z PBG/OSC PORT O</t>
  </si>
  <si>
    <t>07/01/2019   06/30/2020 P.O.W.E.R. Buying Group</t>
  </si>
  <si>
    <t>MDA BID 5Z PBG/OSC PT ORA</t>
  </si>
  <si>
    <t>7/1/2018   6/30/2019 P.O.W.E.R. Buying Group</t>
  </si>
  <si>
    <t>MDA BID 5Z ORANGE MAIN 15</t>
  </si>
  <si>
    <t>MDA BID 5Z MANATEE PRIVAT</t>
  </si>
  <si>
    <t>6Q ROSEN_FB_IT_PG_MD_BB</t>
  </si>
  <si>
    <t>6Q MDA_TWISTEE TREAT</t>
  </si>
  <si>
    <t>1045 RCH 110244 - NOI RCH 110244 15 16</t>
  </si>
  <si>
    <t>1055 RCH 110244 - NOI RCH 110244 15 16</t>
  </si>
  <si>
    <t>4002155 RCH 110244 - NOI RCH 110244 15 16</t>
  </si>
  <si>
    <t>1045 RCH 100912 - NOI RCH 100912 15 16</t>
  </si>
  <si>
    <t>BID Nassau County</t>
  </si>
  <si>
    <t>BID Leon County</t>
  </si>
  <si>
    <t>MShack</t>
  </si>
  <si>
    <t>M Shack On Top</t>
  </si>
  <si>
    <t>MDA BID 5Z SEMINOLE COUNT</t>
  </si>
  <si>
    <t>07/01/2019   06/30/2020 Seminole County Schools</t>
  </si>
  <si>
    <t>Pub  The</t>
  </si>
  <si>
    <t>Fiesta Bowl   The Pub @ Lady Lake</t>
  </si>
  <si>
    <t>01059 RCH 100912 - NOI RCH</t>
  </si>
  <si>
    <t>01045 RCH 100912 - NOI RCH</t>
  </si>
  <si>
    <t>01045 RCH 110244 - NOI RCH</t>
  </si>
  <si>
    <t>01055 RCH 110244 - NOI RCH</t>
  </si>
  <si>
    <t>01048 RCH 100912 - NOI RCH</t>
  </si>
  <si>
    <t>01037 RCH 100193 - NOI RCH</t>
  </si>
  <si>
    <t>01045 RCH 100193 - NOI RCH</t>
  </si>
  <si>
    <t>01064 RCH 110244 - NOI RCH</t>
  </si>
  <si>
    <t>MDA SCH 6B SC Blanket Sch</t>
  </si>
  <si>
    <t>Black Angus Steakhouse</t>
  </si>
  <si>
    <t>Black Angus Steakhouses   Florida</t>
  </si>
  <si>
    <t>Friendly Express All Unit</t>
  </si>
  <si>
    <t>DAILY'S DASH  THE</t>
  </si>
  <si>
    <t>Daily's/First Coast Energy</t>
  </si>
  <si>
    <t>SCH 5Z PBG/OSC FLORIDA BL</t>
  </si>
  <si>
    <t>SCH 5Z GA BD WAYNE CITY S</t>
  </si>
  <si>
    <t>SCH 5Z GA BD APPLING CITY</t>
  </si>
  <si>
    <t>Dodge City Steakhouse</t>
  </si>
  <si>
    <t>Tokyo Buffet &amp; Grill</t>
  </si>
  <si>
    <t>BID NCPA $1.18 Fee</t>
  </si>
  <si>
    <t>08/01/2019   07/31/2020 North Carolina Procurement Alliance</t>
  </si>
  <si>
    <t>BID NCPA $1.21 Fee</t>
  </si>
  <si>
    <t>BID NCPA $1.23 Fee</t>
  </si>
  <si>
    <t>4100000 RCH 110244 - NOI RICHS 110244</t>
  </si>
  <si>
    <t>BID_Carolina Comm Actions</t>
  </si>
  <si>
    <t>MDA SCH NCPA-B 1.25</t>
  </si>
  <si>
    <t>MDA SCH 6B CW NC Blanket</t>
  </si>
  <si>
    <t>MDA SCH 6B CW TN Blanket</t>
  </si>
  <si>
    <t>MDA SCH WSTRN-B 9%</t>
  </si>
  <si>
    <t>MDA SCH NCPA-B 1.18</t>
  </si>
  <si>
    <t>MDA SCH NCPA-B 1.21</t>
  </si>
  <si>
    <t>MDA SCH NCPA-B 1.23</t>
  </si>
  <si>
    <t>MDA SCH SCPA-B 1.15</t>
  </si>
  <si>
    <t>MDA SCH 6B CHARPALM-B</t>
  </si>
  <si>
    <t>MDA SCH SCPA-B 1.45</t>
  </si>
  <si>
    <t>MDA SCH SCPA-Mix Fee</t>
  </si>
  <si>
    <t>MDA SCH UNION-B NC</t>
  </si>
  <si>
    <t>MDA SCH Chartwells 1.58 S</t>
  </si>
  <si>
    <t>MDA SCH NCPA $1.58 FEE</t>
  </si>
  <si>
    <t>041-00-000 RCH 100912 - NOI RCH</t>
  </si>
  <si>
    <t>041-00-000 RCH 110244 - NOI RCH</t>
  </si>
  <si>
    <t>018-00-000 RCH 100912 - NOI RCH</t>
  </si>
  <si>
    <t>086-00-000 RCH 110244 - NOI RCH</t>
  </si>
  <si>
    <t>049-00-000 RCH 100912 - NOI RCH</t>
  </si>
  <si>
    <t>055-00-000 RCH 100912 - NOI RCH</t>
  </si>
  <si>
    <t>088-00-000 RCH 100912 - NOI RCH</t>
  </si>
  <si>
    <t>018-00-000 RCH 110244 - NOI RCH</t>
  </si>
  <si>
    <t>MDA SCH 6B SCC-B 12%</t>
  </si>
  <si>
    <t>MDA SCH 6B SC BLANKET SCH</t>
  </si>
  <si>
    <t>SCH 6B NCPA 1.70</t>
  </si>
  <si>
    <t>SCH NCPA $1.60</t>
  </si>
  <si>
    <t>SCH NCPA $2.99 FEE</t>
  </si>
  <si>
    <t>Fayetteville School Distr</t>
  </si>
  <si>
    <t>BID Pulaski County Spec S</t>
  </si>
  <si>
    <t>7203 RCH 100912 - NOI RCH 100912</t>
  </si>
  <si>
    <t>7311 RCH 100912 - NOI RCH 100912</t>
  </si>
  <si>
    <t>7203 RCH 110244 - NOI RCH 110244</t>
  </si>
  <si>
    <t>2303 RCH 110244 - NOI RCH 110244</t>
  </si>
  <si>
    <t>7311 RCH 110244 - NOI RCH 110244</t>
  </si>
  <si>
    <t>Bowman Hospitality Grp (v</t>
  </si>
  <si>
    <t>Deluxe Burger/The Bowman Group</t>
  </si>
  <si>
    <t>DELUXE BURGER- BOWMAN HOS</t>
  </si>
  <si>
    <t>MDA SCH Little Rock Schoo</t>
  </si>
  <si>
    <t>MDA SCH Siloam Springs S.</t>
  </si>
  <si>
    <t>PON Sweet Bay Coffee</t>
  </si>
  <si>
    <t>Sweet Bay Coffee Co.</t>
  </si>
  <si>
    <t>SCH CABOT SD</t>
  </si>
  <si>
    <t>La Huerta  (Rodneys)</t>
  </si>
  <si>
    <t>LaHuerta Mexican Restaurant</t>
  </si>
  <si>
    <t>SCH CABOT SD BLANKET</t>
  </si>
  <si>
    <t>4301 RCH 110244 - NOI RCH</t>
  </si>
  <si>
    <t>7203 RCH 100912 - NOI RCH</t>
  </si>
  <si>
    <t>7203 RCH 110244 - NOI RCH</t>
  </si>
  <si>
    <t>BID St. Johns</t>
  </si>
  <si>
    <t>10930000 RCH 110244 - NOI RCH</t>
  </si>
  <si>
    <t>27090000 RCH 110244 - NOI RCH</t>
  </si>
  <si>
    <t>51660000 RCH 110244 - NOI RCH</t>
  </si>
  <si>
    <t>47970000 RCH 110244 - NOI RCH</t>
  </si>
  <si>
    <t>41040000 RCH 110244 - NOI RCH</t>
  </si>
  <si>
    <t>12110000 RCH 110244 - NOI RCH</t>
  </si>
  <si>
    <t>44370000 RCH 110244 - NOI RCH</t>
  </si>
  <si>
    <t>41040000 RCH 110244B - NOI RCH</t>
  </si>
  <si>
    <t>51660000 RCH 110244B - NOI RCH</t>
  </si>
  <si>
    <t>27090000 RCH 110244B - NOI RCH</t>
  </si>
  <si>
    <t>47970000 RCH 110244B - NOI RCH</t>
  </si>
  <si>
    <t>44370000 RCH 110244B - NOI RCH</t>
  </si>
  <si>
    <t>12110000 RCH 110244B - NOI RCH</t>
  </si>
  <si>
    <t>50130000 RCH 110244B - NOI RCH</t>
  </si>
  <si>
    <t>32310000 RCH 110244B - NOI RCH</t>
  </si>
  <si>
    <t>Central Buying Consortium</t>
  </si>
  <si>
    <t>8/1/2018   6/30/2019 Central Buying Consortium</t>
  </si>
  <si>
    <t>Putt Putt Fun Center</t>
  </si>
  <si>
    <t>PUTT PUTT FUN CENTER</t>
  </si>
  <si>
    <t>Fun Quest</t>
  </si>
  <si>
    <t>FUN QUEST</t>
  </si>
  <si>
    <t>UPTOWN MARKET &amp; DELI_BB</t>
  </si>
  <si>
    <t>UPTOWN MARKET &amp; DELI</t>
  </si>
  <si>
    <t>BID Richmond City Schools</t>
  </si>
  <si>
    <t>Mill Mountain Group</t>
  </si>
  <si>
    <t>Mill Mountain</t>
  </si>
  <si>
    <t>MDA SCH Rockbridge</t>
  </si>
  <si>
    <t>MDA SCH NOV PROVISTA ROCK</t>
  </si>
  <si>
    <t>MDA SCH Provista Hampton</t>
  </si>
  <si>
    <t>8/1/2016   7/31/2017 Hampton City Schs</t>
  </si>
  <si>
    <t>SML FAMILY RESTAURANT</t>
  </si>
  <si>
    <t>SML</t>
  </si>
  <si>
    <t>ROADSIDE</t>
  </si>
  <si>
    <t>Roadside Market</t>
  </si>
  <si>
    <t>BID 6H State of Tennessee</t>
  </si>
  <si>
    <t>MDA DAIRY QUEEN</t>
  </si>
  <si>
    <t>TERRIBLES CASINO (AFFINIT</t>
  </si>
  <si>
    <t>GRANDMA'S OFFICE CATERING</t>
  </si>
  <si>
    <t>MDA TAVERN IN THE VILLAGE</t>
  </si>
  <si>
    <t>Tavern in the Village Bread Program and Tavern at Mission Farms</t>
  </si>
  <si>
    <t>REG MDA MAIN EVENT ENTERT</t>
  </si>
  <si>
    <t>PARADISE PARK</t>
  </si>
  <si>
    <t xml:space="preserve">Paradise Park </t>
  </si>
  <si>
    <t>REG MDA MAIN EVENT HOLDIN</t>
  </si>
  <si>
    <t>MDA KC HOPPS STROUDS</t>
  </si>
  <si>
    <t>Strouds Program</t>
  </si>
  <si>
    <t>MDA SCH Greenbush Southea</t>
  </si>
  <si>
    <t>MDA SCH PRAIRIE HILLS</t>
  </si>
  <si>
    <t>BID - Kids TLC</t>
  </si>
  <si>
    <t>REG MDA AFFINITY GAMING 6</t>
  </si>
  <si>
    <t>Third Street Social</t>
  </si>
  <si>
    <t>3rd Street Social/Summit Grill/Lakewood Local</t>
  </si>
  <si>
    <t>MDA SUMMIT GRILL AND BAR</t>
  </si>
  <si>
    <t>GOING BONKERS - TOPEKA</t>
  </si>
  <si>
    <t>going bonkers</t>
  </si>
  <si>
    <t>SCH KS BLNKT OSAWATOMIE - MDA SCH KS BLNKT OSAWATOM</t>
  </si>
  <si>
    <t>SCH ATCHISON</t>
  </si>
  <si>
    <t>SCH 1.50 MU KANSAS SCHOOL</t>
  </si>
  <si>
    <t>SCH KS BLNKT TOPEKA</t>
  </si>
  <si>
    <t>SCH KS BLNKT ELL SALINE</t>
  </si>
  <si>
    <t>SCH KS BLNKT KEYSTONE</t>
  </si>
  <si>
    <t>SCH ABILENE BID</t>
  </si>
  <si>
    <t>SCH KCKPS</t>
  </si>
  <si>
    <t>6/1/2019   5/31/2020 Kansas City Public Schls</t>
  </si>
  <si>
    <t>SCH LEE'S SUMMIT - BLANKE</t>
  </si>
  <si>
    <t>6J MASTER SUMMA 14-15</t>
  </si>
  <si>
    <t>MDA Paseo Grill Restauran</t>
  </si>
  <si>
    <t>Sauced on Paseo</t>
  </si>
  <si>
    <t>ORANGE LEAT</t>
  </si>
  <si>
    <t>Orange Leaf Yogurt</t>
  </si>
  <si>
    <t>BID ELK CITY SCHOOL 15-16</t>
  </si>
  <si>
    <t>FRINK CHAMBERS SCHOOL 15-</t>
  </si>
  <si>
    <t>BID RINGLING SCHOOLS 15-1</t>
  </si>
  <si>
    <t>14105 RCH 100912 - NOI RICH'S 100912</t>
  </si>
  <si>
    <t>55122 RCH 100912 - NOI RICH'S 100912</t>
  </si>
  <si>
    <t>71103 RCH 100912 - NOI RICH'S 100912</t>
  </si>
  <si>
    <t>9109 RCH 100912 - NOI RICH'S 100912</t>
  </si>
  <si>
    <t>19113 RCH 100912 - NOI RICH'S 100912</t>
  </si>
  <si>
    <t>ANTLERS SCHOOL  15-16</t>
  </si>
  <si>
    <t>TIPTON SCHOOL 15-16</t>
  </si>
  <si>
    <t>BID VINITA SCHOOL</t>
  </si>
  <si>
    <t>CHEYENNE SCHOOL 15-16</t>
  </si>
  <si>
    <t>CHANDLER SCHOOL 15-16</t>
  </si>
  <si>
    <t>DAVENPORT SCHOOL BID 15-1</t>
  </si>
  <si>
    <t>MDA Presto LLC dba Lotnvi</t>
  </si>
  <si>
    <t>19113 RCH 100912 - NOI RCH</t>
  </si>
  <si>
    <t>14105 RCH 100912 - NOI RCH</t>
  </si>
  <si>
    <t>63102 RCH 100912 - NOI RCH</t>
  </si>
  <si>
    <t>09107 RCH 100912 - NOI RCH</t>
  </si>
  <si>
    <t>09109 RCH 100912 - NOI RCH</t>
  </si>
  <si>
    <t>55122 RCH 100193 - NOI RCH</t>
  </si>
  <si>
    <t>55121 RCH 100912 - NOI RCH</t>
  </si>
  <si>
    <t>71103 RCH 100912 - NOI RCH</t>
  </si>
  <si>
    <t>71101 RCH 100912 - NOI RCH</t>
  </si>
  <si>
    <t>05105 RCH 100912 - NOI RCH</t>
  </si>
  <si>
    <t>16104 RCH 100912 - NOI RCH</t>
  </si>
  <si>
    <t>60106 RCH 100912 - NOI RCH</t>
  </si>
  <si>
    <t>55123 RCH 100193 - NOI RCH</t>
  </si>
  <si>
    <t>18104 RCH 100912 - NOI RCH</t>
  </si>
  <si>
    <t>72104 RCH 100912 - NOI RCH</t>
  </si>
  <si>
    <t>36109 RCH 100912 - NOI RCH</t>
  </si>
  <si>
    <t>55122 RCH 100912 - NOI RCH</t>
  </si>
  <si>
    <t>55125 RCH 100912 - NOI RCH</t>
  </si>
  <si>
    <t>NOI Moore Schools</t>
  </si>
  <si>
    <t>MDA SCH Campus Smart Scho</t>
  </si>
  <si>
    <t>06/30/2019   06/29/2020 Campus Smart</t>
  </si>
  <si>
    <t>MDA SCH Flower Mound</t>
  </si>
  <si>
    <t>MDA SCH Coweta Schools</t>
  </si>
  <si>
    <t>MDA SCH KS 2% SCH BLANKET</t>
  </si>
  <si>
    <t>NOI Bishop</t>
  </si>
  <si>
    <t>MDA Sch Biship Public Sch</t>
  </si>
  <si>
    <t>MDA SCH COLUMBUS SCHOOL</t>
  </si>
  <si>
    <t>NOI Western Heights Schoo</t>
  </si>
  <si>
    <t>NOI North Rock Creek Scho</t>
  </si>
  <si>
    <t>MDA SCH Ryan Schools 16-1</t>
  </si>
  <si>
    <t>MDA SCH EL RENO BARLOW 16</t>
  </si>
  <si>
    <t>NOI BARLOW ELK CITY 16-17</t>
  </si>
  <si>
    <t>NOI BARLW MCALESTER VINIT</t>
  </si>
  <si>
    <t>NOI BARLOW BISHOP 1617</t>
  </si>
  <si>
    <t>NOI BARLOW Tipton 16-17</t>
  </si>
  <si>
    <t>NOI BARLOW FREDERICK 1617</t>
  </si>
  <si>
    <t>NOI BARLOW NTH ROCK CREEK</t>
  </si>
  <si>
    <t>NOI BARLOW WSTN HGTS 1617</t>
  </si>
  <si>
    <t>NOI BARLOW KREB 1617</t>
  </si>
  <si>
    <t>LOS TRES AMIGOS</t>
  </si>
  <si>
    <t>OKC BLanket El REno</t>
  </si>
  <si>
    <t>MDA SCH OKC Blanket Antle</t>
  </si>
  <si>
    <t>MDA SCH BLANKET ATOKA-COA</t>
  </si>
  <si>
    <t>MDA SCH OKC BLANCHARD BLA</t>
  </si>
  <si>
    <t>MDA SCH OKC CHEYENNE SCHO</t>
  </si>
  <si>
    <t>MDA SCH OKC HUGO SCHOOLS</t>
  </si>
  <si>
    <t>MDA SCH OKC HENRYETTA BLA</t>
  </si>
  <si>
    <t>MDA SCH OKC FOREST GROVE</t>
  </si>
  <si>
    <t>MDA SCH OKC LONESTAR SCHO</t>
  </si>
  <si>
    <t>MDA SCH OKC ELK CITY BLAN</t>
  </si>
  <si>
    <t>MDA SCH MIDDLEBERG SCHOOL</t>
  </si>
  <si>
    <t>MDA SCH OCK WHITEBORO BLA</t>
  </si>
  <si>
    <t>MDA SCH TULSA TECH CENTER</t>
  </si>
  <si>
    <t>MDA SCH OCK WESTERN HEIGH</t>
  </si>
  <si>
    <t>MDA SCH KS CHILD START BL</t>
  </si>
  <si>
    <t>MDA SCH KS ASHLAND SCH BL</t>
  </si>
  <si>
    <t>MDA SCH KS SEDGWICK CO JU</t>
  </si>
  <si>
    <t>MDA SCH KS SOUTH CENTRAL</t>
  </si>
  <si>
    <t>SCH BARLOW NETWORK</t>
  </si>
  <si>
    <t>SCH LEXINGTON BLANKET</t>
  </si>
  <si>
    <t>SCH Caney 16-17</t>
  </si>
  <si>
    <t>SCH OKC No Seg Blanket</t>
  </si>
  <si>
    <t>SCH Haileyville Public Sc</t>
  </si>
  <si>
    <t>SCH 15% Seg Blanket</t>
  </si>
  <si>
    <t>SCH SweetWater Blanket</t>
  </si>
  <si>
    <t>BRIDGE CREEK SCH</t>
  </si>
  <si>
    <t>MDA ROY'S FRIED CHICKEN</t>
  </si>
  <si>
    <t>MDA_TWISTEE TREAT</t>
  </si>
  <si>
    <t>6U MDA Dairy Queen</t>
  </si>
  <si>
    <t>Barnett Frozen Foods</t>
  </si>
  <si>
    <t>Fayard's Po'Boy Biloxi</t>
  </si>
  <si>
    <t>Bid Silver Star Casino</t>
  </si>
  <si>
    <t>MDA Hard Rock Casino</t>
  </si>
  <si>
    <t>Hard Rock Hotel &amp; Casino</t>
  </si>
  <si>
    <t>Affinity Gaming</t>
  </si>
  <si>
    <t>REG MDA TWISTER'S</t>
  </si>
  <si>
    <t>MDA SOUTHERN SUN GROUP</t>
  </si>
  <si>
    <t>Mountain Sun Pub Group</t>
  </si>
  <si>
    <t>NOI - Jefferson County Sc</t>
  </si>
  <si>
    <t>MDA High Tower and Skylin</t>
  </si>
  <si>
    <t>GlowZone Balaxi Pizza Deviation</t>
  </si>
  <si>
    <t>Pita Hut Enterprises</t>
  </si>
  <si>
    <t>Pitta Hut</t>
  </si>
  <si>
    <t>20125405 RCH 110244 - 15 16 NOI RCH 110244</t>
  </si>
  <si>
    <t>20125435 RCH 110244 - 15 16 NOI RCH 110244</t>
  </si>
  <si>
    <t>20430350 RCH 110244 - 15 16 NOI RCH 110244</t>
  </si>
  <si>
    <t>20110360 RCH 110244 - 15 16 NOI RCH 110244</t>
  </si>
  <si>
    <t>20402690 RCH 110244 - 15 16 NOI RCH 110244</t>
  </si>
  <si>
    <t>20402231 RCH 110244 - 15 16 NOI RCH 110244</t>
  </si>
  <si>
    <t>20402745 RCH 110244 - 15 16 NOI RCH 110244</t>
  </si>
  <si>
    <t>PON_UNDO'S</t>
  </si>
  <si>
    <t>UNDO'S ITALIAN RESTAURANT</t>
  </si>
  <si>
    <t>Mylan Pharmaceuticals_BB_</t>
  </si>
  <si>
    <t>MYLAN PHARMACEUTICALS</t>
  </si>
  <si>
    <t>2-04-02-750 RCH 100912 - NOI RCH</t>
  </si>
  <si>
    <t>2-01-10-360 RCH 110244 - NOI RCH</t>
  </si>
  <si>
    <t>2-04-02-690 RCH 110244 - NOI RCH</t>
  </si>
  <si>
    <t>2-04-02-231 RCH 110244 - NOI RCH</t>
  </si>
  <si>
    <t>2-04-02-034 RCH 100912 - NOI RCH</t>
  </si>
  <si>
    <t>2-04-30-350 RCH 110244 - NOI RCH</t>
  </si>
  <si>
    <t>2-04-02-110 RCH 110244 - NOI RCH</t>
  </si>
  <si>
    <t>2-04-03-450 RCH 110244 - NOI RCH</t>
  </si>
  <si>
    <t>2-01-25-405 RCH 100912 - NOI RCH</t>
  </si>
  <si>
    <t>2-04-63-050 RCH 110244 - NOI RCH</t>
  </si>
  <si>
    <t>2-04-04-001 RCH 100912 - NOI RCH</t>
  </si>
  <si>
    <t>2-01-25-435 RCH 110244 - NOI RCH</t>
  </si>
  <si>
    <t>2-04-65-703 RCH 110244 - NOI RCH</t>
  </si>
  <si>
    <t>2-01-61-130 RCH 100912 - NOI RCH</t>
  </si>
  <si>
    <t>2-04-02-075 RCH 110244 - NOI RCH</t>
  </si>
  <si>
    <t>2-04-30-350 RCH 100912 - NOI RCH</t>
  </si>
  <si>
    <t>2-04-63-190 RCH 100912 - NOI RCH</t>
  </si>
  <si>
    <t>2-04-02-750 RCH 110244 - NOI RCH</t>
  </si>
  <si>
    <t>2-04-02-075 RCH 100912 - NOI RCH</t>
  </si>
  <si>
    <t>Elk Springs</t>
  </si>
  <si>
    <t>Elk Springs Resort</t>
  </si>
  <si>
    <t>WEST TEXAS ROADHOUSE_BB_I</t>
  </si>
  <si>
    <t>WEST TEXAS ROADHOUSE</t>
  </si>
  <si>
    <t>FOWLERVILLE FARMS FAMILY</t>
  </si>
  <si>
    <t>Boones Long Lake</t>
  </si>
  <si>
    <t>Boone's Long Lake</t>
  </si>
  <si>
    <t>BID MIAMI DADE COUNTY - 7</t>
  </si>
  <si>
    <t>7/1/2015   6/30/2016 Miami Dade County School District</t>
  </si>
  <si>
    <t>BID BROWARD COUNTY - 724</t>
  </si>
  <si>
    <t>MDA BID 8N MIAMI DADE</t>
  </si>
  <si>
    <t>07/01/2019   06/30/2020 Miami Dade County Schools</t>
  </si>
  <si>
    <t>MDA BID 8N PBG/OSC SOUTH</t>
  </si>
  <si>
    <t>MDA BID 8N BROWARD COUNTY</t>
  </si>
  <si>
    <t>07/01/2019   06/30/2020 Broward County Schools</t>
  </si>
  <si>
    <t>MDA BID 8N MANATEE PRIVAT</t>
  </si>
  <si>
    <t>1013 RCH 110244 - NOI RCH 110244 15 16</t>
  </si>
  <si>
    <t>1043 RCH 110244 - NOI RCH 110244 15 16</t>
  </si>
  <si>
    <t>RECAP 1013 RCH 110244 - NOI RCH 110244 15 16</t>
  </si>
  <si>
    <t>1006 RCH 110244 - NOI RCH 110244 15 16</t>
  </si>
  <si>
    <t>1013 RCH 100912 - NOI RCH 100912 15 16</t>
  </si>
  <si>
    <t>RECAP 1013 RCH 100912 - NOI RCH 100912 15 16</t>
  </si>
  <si>
    <t>NOI ST LUCIE COUNTY 01056</t>
  </si>
  <si>
    <t>01013 RCH 100912 - NOI RCH</t>
  </si>
  <si>
    <t>01013 RCH 110244 - NOI RCH</t>
  </si>
  <si>
    <t>01043 RCH 110244 - NOI RCH</t>
  </si>
  <si>
    <t>01006 RCH 110244 - NOI RCH</t>
  </si>
  <si>
    <t>01006 RCH 100193 - NOI RCH</t>
  </si>
  <si>
    <t>01056 RCH 100193 - NOI RCH</t>
  </si>
  <si>
    <t>01047 RCH 100193 - NOI RCH</t>
  </si>
  <si>
    <t>NOI OKEECHOBEE COUNTY 010</t>
  </si>
  <si>
    <t>Pattis 1880 Rest</t>
  </si>
  <si>
    <t>Patti's 1880's Settlement</t>
  </si>
  <si>
    <t>BID  BRAD</t>
  </si>
  <si>
    <t>WEST MEMPHIS SCHOOLS</t>
  </si>
  <si>
    <t>Reg MDA Main Event Entert</t>
  </si>
  <si>
    <t>MDA SCH CHICKASAW SHILOH</t>
  </si>
  <si>
    <t>SUBS ETC.</t>
  </si>
  <si>
    <t>Subs  Etc</t>
  </si>
  <si>
    <t>DOD MILITARY</t>
  </si>
  <si>
    <t>Bid Willard Schools</t>
  </si>
  <si>
    <t>POY School Blanket</t>
  </si>
  <si>
    <t>LAMBERTS</t>
  </si>
  <si>
    <t>MDA SCH Union Schools</t>
  </si>
  <si>
    <t>MDA SCH WILLARD BLANKETS</t>
  </si>
  <si>
    <t>Rolla BLanket Pricing</t>
  </si>
  <si>
    <t>MDA BUTLER'S PANTRY</t>
  </si>
  <si>
    <t>Butlers pantry</t>
  </si>
  <si>
    <t>MDA SCH Cassville School</t>
  </si>
  <si>
    <t>Freshzza</t>
  </si>
  <si>
    <t>freshzza</t>
  </si>
  <si>
    <t>SCH SALEM MO BLANKET CONT</t>
  </si>
  <si>
    <t>PON RUDY'S ABQ</t>
  </si>
  <si>
    <t>POY_School Segment Generi</t>
  </si>
  <si>
    <t>CAPITAL REGION BOCES BID</t>
  </si>
  <si>
    <t>8/1/2017   7/31/2018 Capital Region BOCES</t>
  </si>
  <si>
    <t>J002 RCH 110244 - NOI RCH 110244</t>
  </si>
  <si>
    <t>Burnt Hills- Ballston Lak</t>
  </si>
  <si>
    <t>PON_PRICE CHOPPER</t>
  </si>
  <si>
    <t>Price Chopper Net</t>
  </si>
  <si>
    <t>MDA SCH GLOVERSVILLE SCHO</t>
  </si>
  <si>
    <t>J002 RCH 110244 - NOI RCH</t>
  </si>
  <si>
    <t>G039 RCH 100912 - NOI RCH</t>
  </si>
  <si>
    <t>G028 RCH 110244 - NOI RCH</t>
  </si>
  <si>
    <t>J002 RCH 100912 - NOI RCH</t>
  </si>
  <si>
    <t>G031 RCH 110244 - NOI RCH RECAP 100912 G039</t>
  </si>
  <si>
    <t>J033 RCH 100912 - NOI RCH RECAP 100912 G039</t>
  </si>
  <si>
    <t>E060 RCH 100912 - NOI RCH RECAP 100912 G039</t>
  </si>
  <si>
    <t>J017 RCH 110244 - NOI RCH RECAP 100912 G039</t>
  </si>
  <si>
    <t>WASHINGTON CO BID PG</t>
  </si>
  <si>
    <t>SCH Newburg-Middletown Lo</t>
  </si>
  <si>
    <t>SCH Carmel School Local</t>
  </si>
  <si>
    <t>MDA JOLLEY ASSOCIATES</t>
  </si>
  <si>
    <t>Jolley Associates Pizza Rebate 2017/2018</t>
  </si>
  <si>
    <t>LANIES CAFE</t>
  </si>
  <si>
    <t>Joey G's Cafe   Bread dough and Donut Deal</t>
  </si>
  <si>
    <t>SIMON'S PLAZA STORE &amp; DEL</t>
  </si>
  <si>
    <t>Simon's Plaza Store &amp; Deli 2018/2019</t>
  </si>
  <si>
    <t>NORTH COUNTRY SPECIALTY</t>
  </si>
  <si>
    <t>North Country Specialty Foods thru US Albany</t>
  </si>
  <si>
    <t>POY_NOBLE CRUST</t>
  </si>
  <si>
    <t xml:space="preserve">Noble Crust </t>
  </si>
  <si>
    <t>BEACH BOX CAFE</t>
  </si>
  <si>
    <t>Beach Box Cafe</t>
  </si>
  <si>
    <t>MAD MOES SPORTS PUB</t>
  </si>
  <si>
    <t>Mad Moe's Sports Pub</t>
  </si>
  <si>
    <t>ACROPOLIS</t>
  </si>
  <si>
    <t>Acropolis Program</t>
  </si>
  <si>
    <t>MDA BID 9D PBG/OSC TAMPA</t>
  </si>
  <si>
    <t>MDA BID 9D MANATEE MAIN 1</t>
  </si>
  <si>
    <t>07/01/2019   06/30/2020 Manatee County Schools</t>
  </si>
  <si>
    <t>MDA BID 9D MANATEE PRIVAT</t>
  </si>
  <si>
    <t>7/1/2018   6/30/2019 Manatee County School District</t>
  </si>
  <si>
    <t>7/1/2017   6/30/2018 Manatee County School District</t>
  </si>
  <si>
    <t>1036 RCH 110244 - NOI  RCH 110244 15 16</t>
  </si>
  <si>
    <t>1041 RCH 100912 - NOI  RICH 100912  15 16</t>
  </si>
  <si>
    <t>6Q MDA_MANNY'S CHOPHOUSE</t>
  </si>
  <si>
    <t>MDA SCH 9D POLK  COUNTY</t>
  </si>
  <si>
    <t>8/1/2017   7/31/2018 Polk County School District</t>
  </si>
  <si>
    <t>BID 9D POLK COUNTY NO SEG</t>
  </si>
  <si>
    <t>REG MDA_IL PRIMO PIZZA</t>
  </si>
  <si>
    <t>Il Primo Pizza</t>
  </si>
  <si>
    <t>POPS SUNSET GRILL</t>
  </si>
  <si>
    <t>Pops Sunset Grill</t>
  </si>
  <si>
    <t>REG MDA_GA FOOD SERVICES</t>
  </si>
  <si>
    <t>GA Foods</t>
  </si>
  <si>
    <t>RED CLASICO_BB</t>
  </si>
  <si>
    <t>Red Clasico Flatbread</t>
  </si>
  <si>
    <t>DWAYNE'S PLACE_BB</t>
  </si>
  <si>
    <t>Dwayne's Place</t>
  </si>
  <si>
    <t>MDA SCH 9D PINELLAS COUNT</t>
  </si>
  <si>
    <t>07/01/2019   06/30/2020 Pinellas County Schools</t>
  </si>
  <si>
    <t>01041 RCH 100912 - NOI RCH</t>
  </si>
  <si>
    <t>01036 RCH 110244 - NOI RCH</t>
  </si>
  <si>
    <t>01052 RCH 110244 - NOI RCH</t>
  </si>
  <si>
    <t>01053 RCH 100193 - NOI RCH</t>
  </si>
  <si>
    <t>01052 RCH 100193 - NOI RCH</t>
  </si>
  <si>
    <t>01041 RCH 100193 - NOI RCH</t>
  </si>
  <si>
    <t>01014 RCH 100912 - NOI RCH</t>
  </si>
  <si>
    <t>NOI POLK COUNTY  01053</t>
  </si>
  <si>
    <t>MDA_HANDSOME HARRYS</t>
  </si>
  <si>
    <t>Handsome Harry's/Midtown Kitchen and Bar</t>
  </si>
  <si>
    <t>POPI'S PLACE</t>
  </si>
  <si>
    <t>Popi's Place</t>
  </si>
  <si>
    <t>GINNY AND JANE E'S</t>
  </si>
  <si>
    <t>Ginny and Jane E Mutli grain Bread</t>
  </si>
  <si>
    <t>MDA II Primo Pizza &amp; Wing</t>
  </si>
  <si>
    <t>SCH 9D PBG - FLORIDA BLAN</t>
  </si>
  <si>
    <t>SCH 9D PINELLAS FLORIDA B</t>
  </si>
  <si>
    <t>SCH 9D MANATEE FLORIDA BL</t>
  </si>
  <si>
    <t>SCH 9D POLK FLORIDA BLANK</t>
  </si>
  <si>
    <t>8/1/2018   7/31/2019 Polk County School District</t>
  </si>
  <si>
    <t>Jerrys Cafeteria</t>
  </si>
  <si>
    <t>jerrys cafeteria</t>
  </si>
  <si>
    <t>Going Bonkers-Columbia On</t>
  </si>
  <si>
    <t>Bid: Fox C-6 School Dist</t>
  </si>
  <si>
    <t>RECAP-1305813500 RCH 1009 - NOI  RICH 100912 15 16</t>
  </si>
  <si>
    <t>BID:Vienna Schools</t>
  </si>
  <si>
    <t>MDA-Ryan's LLC-Three King</t>
  </si>
  <si>
    <t>three kings</t>
  </si>
  <si>
    <t>Bid  Hollywood Casino</t>
  </si>
  <si>
    <t>Novation (Vizient) Deviated Pricing All Products   LTO</t>
  </si>
  <si>
    <t>SCH SISDBC BLANKET CONTRA</t>
  </si>
  <si>
    <t>SCH POY SCHOOL BLANKET-9U</t>
  </si>
  <si>
    <t>Brick City Buffet Group</t>
  </si>
  <si>
    <t>Brick City Buffet</t>
  </si>
  <si>
    <t>SCH ST LOUIS IL BLANKET C</t>
  </si>
  <si>
    <t>Premier - CM A + 2.2% - PREMIER</t>
  </si>
  <si>
    <t>Novation K-12 Under 2500 - NOVATION</t>
  </si>
  <si>
    <t>Premier HC B+4% &amp; COP B+$ - PREMIER</t>
  </si>
  <si>
    <t>Premier - College CU $1.7 - PREMIER</t>
  </si>
  <si>
    <t>Premier CM A+6% COP +.06/ - PREMIER</t>
  </si>
  <si>
    <t>Vizient K12 +2500 $5M+ Ca - VIZIENT</t>
  </si>
  <si>
    <t>Vizient - K-12 Over $2500 - VIZIENT</t>
  </si>
  <si>
    <t>Vizient K-12 Over $2500 $ - VIZIENT</t>
  </si>
  <si>
    <t>Vizient Bristow K12 +2500 - VIZIENT</t>
  </si>
  <si>
    <t>Premier - University Mary - PREMIER</t>
  </si>
  <si>
    <t>Vizient Gaming &amp; Hospital - VIZIENT</t>
  </si>
  <si>
    <t>Vizient SOMO Corporate Ov - VIZIENT</t>
  </si>
  <si>
    <t>Vizient Tier 1-A HC Acute - VIZIENT</t>
  </si>
  <si>
    <t>Premier Texas Health Reso - PREMIER</t>
  </si>
  <si>
    <t>Viz Fresh Ideas with Admi - VIZIENT</t>
  </si>
  <si>
    <t>VIZ-PCI WIND CREEK CASINO - VIZIENT</t>
  </si>
  <si>
    <t>VIZ-GILA RIVER HYBRID G/H - VIZIENT</t>
  </si>
  <si>
    <t>MINOT AIRFORCE BASE NAPA</t>
  </si>
  <si>
    <t>GOV-Dept of Defense (DOD)</t>
  </si>
  <si>
    <t>3125 RCH 100912 - NOI RCH</t>
  </si>
  <si>
    <t>3025 RCH 100912 - NOI RCH</t>
  </si>
  <si>
    <t>3315 RCH 100912 - NOI RCH</t>
  </si>
  <si>
    <t>4205 RCH 100912 - NOI RCH</t>
  </si>
  <si>
    <t>6865 RCH 100912 - NOI RCH</t>
  </si>
  <si>
    <t>0630 RCH 100912 - NOI RCH</t>
  </si>
  <si>
    <t>6900 RCH 100912 - NOI RCH</t>
  </si>
  <si>
    <t>5925 RCH 100912 - NOI RCH</t>
  </si>
  <si>
    <t>3330 RCH 100912 - NOI RCH</t>
  </si>
  <si>
    <t>6865 RCH 110244 - NOI RCH</t>
  </si>
  <si>
    <t>3325 RCH 110244 - NOI RCH</t>
  </si>
  <si>
    <t>3435 RCH 100912 - NOI RCH</t>
  </si>
  <si>
    <t>1560 RCH 100912 - NOI RCH</t>
  </si>
  <si>
    <t>3325 RCH 100912 - NOI RCH</t>
  </si>
  <si>
    <t>5900 RCH 100912 - NOI RCH</t>
  </si>
  <si>
    <t>1560 RCH 110244 - NOI RCH</t>
  </si>
  <si>
    <t>2475 RCH 100912 - NOI RCH</t>
  </si>
  <si>
    <t>7875 RCH 110244 - NOI RCH</t>
  </si>
  <si>
    <t>K190 RCH 110244 - NOI RCH</t>
  </si>
  <si>
    <t>4255 RCH 100912 - NOI RCH</t>
  </si>
  <si>
    <t>6750 RCH 110244 - NOI RCH</t>
  </si>
  <si>
    <t>8355 RCH 100912 - NOI RCH</t>
  </si>
  <si>
    <t>7865 RCH 100912 - NOI RCH</t>
  </si>
  <si>
    <t>7865 RCH 110244 - NOI RCH</t>
  </si>
  <si>
    <t>Escondido Elementary</t>
  </si>
  <si>
    <t>CAJON U S D</t>
  </si>
  <si>
    <t>22 RCH 110244 - NOI RICH 110244</t>
  </si>
  <si>
    <t>01100540 RCH 110244 - NOI RICH 110244</t>
  </si>
  <si>
    <t>00505130 RCH 110244 - NOI RCH</t>
  </si>
  <si>
    <t>01101460 RCH 110244 - NOI RCH</t>
  </si>
  <si>
    <t>20846720 RCH 110244 - NOI RCH</t>
  </si>
  <si>
    <t>01501830 RCH 110244 - NOI RCH</t>
  </si>
  <si>
    <t>00809277 RCH 110244 - NOI RCH</t>
  </si>
  <si>
    <t>00501060 RCH 110244 - NOI RCH</t>
  </si>
  <si>
    <t>00503920 RCH 110244 - NOI RCH</t>
  </si>
  <si>
    <t>01502070 RCH 110244 - NOI RCH</t>
  </si>
  <si>
    <t>00503650 RCH 110244 - NOI RCH</t>
  </si>
  <si>
    <t>00701890 RCH 110244 - NOI RCH</t>
  </si>
  <si>
    <t>00800273 RCH 110244 - NOI RCH</t>
  </si>
  <si>
    <t>01500870 RCH 110244 - NOI RCH</t>
  </si>
  <si>
    <t>01500870 RCH 100912 - NOI RCH</t>
  </si>
  <si>
    <t>00700880 RCH 110244 - NOI RCH</t>
  </si>
  <si>
    <t>00705035 RCH 110244 - NOI RCH</t>
  </si>
  <si>
    <t>01501774 RCH 110244 - NOI RCH</t>
  </si>
  <si>
    <t>00700260 RCH 110244 - NOI RCH</t>
  </si>
  <si>
    <t>00103720 RCH 110244 - NOI RCH</t>
  </si>
  <si>
    <t>00700940 RCH 110244 - NOI RCH</t>
  </si>
  <si>
    <t>01501730 RCH 110244 - NOI RCH</t>
  </si>
  <si>
    <t>2-08-46-720 RCH 110244 - NOI RCH</t>
  </si>
  <si>
    <t>02904190 RCH 110244 - NOI RCH</t>
  </si>
  <si>
    <t>00700330 RCH 110244 - NOI RCH</t>
  </si>
  <si>
    <t>02104255 RCH 110244 - NOI RCH</t>
  </si>
  <si>
    <t>02101430 RCH 110244 - NOI RCH</t>
  </si>
  <si>
    <t>30 RCH 110244 - NOI RCH</t>
  </si>
  <si>
    <t>00101960 RCH 110244 - NOI RCH</t>
  </si>
  <si>
    <t>01505620 RCH 110244 - NOI RCH</t>
  </si>
  <si>
    <t>00501280 RCH 110244 - NOI RCH</t>
  </si>
  <si>
    <t>00503440 RCH 110244 - NOI RCH</t>
  </si>
  <si>
    <t>00500380 RCH 110244 - NOI RCH</t>
  </si>
  <si>
    <t>02903820 RCH 110244 - NOI RCH</t>
  </si>
  <si>
    <t>02904210 RCH 110244 - NOI RCH</t>
  </si>
  <si>
    <t>01502990 RCH 110244 - NOI RCH</t>
  </si>
  <si>
    <t>1006 RCH 110244 - NOI RCH 110244 14 15</t>
  </si>
  <si>
    <t>RECAP 1006 110244 - NOI RCH 110244 14 15</t>
  </si>
  <si>
    <t>J002_RCH_110244 - NOI_RCH_110244</t>
  </si>
  <si>
    <t>Alias_Desc</t>
  </si>
  <si>
    <t>Source_Type</t>
  </si>
  <si>
    <t>Payee_ID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</si>
</sst>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">
    <xf numFmtId="0" fontId="0" fillId="0" borderId="0" xfId="0"/>
    <xf numFmtId="0" fontId="0" fillId="33" borderId="0" xfId="0" applyFill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22601"/>
  <sheetViews>
    <sheetView tabSelected="1" workbookViewId="0"/>
  </sheetViews>
  <sheetFormatPr defaultRowHeight="15" x14ac:dyDescent="0.25"/>
  <cols>
    <col min="1" max="1" width="8.42578125" bestFit="1" customWidth="1"/>
    <col min="2" max="2" width="52.7109375" style="1" bestFit="1" customWidth="1"/>
    <col min="3" max="3" width="60" bestFit="1" customWidth="1"/>
    <col min="4" max="4" width="30.5703125" style="1" bestFit="1" customWidth="1"/>
    <col min="5" max="5" width="91.85546875" bestFit="1" customWidth="1"/>
    <col min="6" max="6" width="54.7109375" bestFit="1" customWidth="1"/>
    <col min="7" max="7" width="17.7109375" customWidth="1"/>
    <col min="8" max="8" width="8.5703125" bestFit="1" customWidth="1"/>
  </cols>
  <sheetData>
    <row r="1" spans="1:7" ht="14.45" x14ac:dyDescent="0.3">
      <c r="A1" t="s">
        <v>0</v>
      </c>
      <c r="B1" s="1" t="s">
        <v>1</v>
      </c>
      <c r="C1" t="s">
        <v>6471</v>
      </c>
      <c r="D1" s="1" t="s">
        <v>2</v>
      </c>
      <c r="E1" t="s">
        <v>3</v>
      </c>
      <c r="F1" t="s">
        <v>6472</v>
      </c>
      <c r="G1" t="s">
        <v>6473</v>
      </c>
    </row>
    <row r="2" spans="1:7" ht="14.45" x14ac:dyDescent="0.3">
      <c r="A2" t="s">
        <v>8</v>
      </c>
      <c r="B2" s="1" t="str">
        <f>"000001985 - CASA DIBERTACCHI-ARAMARK"</f>
        <v>000001985 - CASA DIBERTACCHI-ARAMARK</v>
      </c>
      <c r="C2" t="s">
        <v>104</v>
      </c>
      <c r="D2" s="1" t="str">
        <f t="shared" ref="D2:D14" si="0">"PRG-1001079"</f>
        <v>PRG-1001079</v>
      </c>
      <c r="E2" t="s">
        <v>105</v>
      </c>
      <c r="F2" t="s">
        <v>4</v>
      </c>
      <c r="G2" t="str">
        <f>""</f>
        <v/>
      </c>
    </row>
    <row r="3" spans="1:7" ht="14.45" x14ac:dyDescent="0.3">
      <c r="A3" t="s">
        <v>8</v>
      </c>
      <c r="B3" s="1" t="str">
        <f>"000120459 - CASA DIBERTACCHI-ARAMARK"</f>
        <v>000120459 - CASA DIBERTACCHI-ARAMARK</v>
      </c>
      <c r="C3" t="s">
        <v>104</v>
      </c>
      <c r="D3" s="1" t="str">
        <f t="shared" si="0"/>
        <v>PRG-1001079</v>
      </c>
      <c r="E3" t="s">
        <v>105</v>
      </c>
      <c r="F3" t="s">
        <v>4</v>
      </c>
      <c r="G3" t="str">
        <f>""</f>
        <v/>
      </c>
    </row>
    <row r="4" spans="1:7" ht="14.45" x14ac:dyDescent="0.3">
      <c r="A4" t="s">
        <v>8</v>
      </c>
      <c r="B4" s="1" t="str">
        <f>"000199703 - CASA DIBERTACCHI-ARAMARK"</f>
        <v>000199703 - CASA DIBERTACCHI-ARAMARK</v>
      </c>
      <c r="C4" t="s">
        <v>104</v>
      </c>
      <c r="D4" s="1" t="str">
        <f t="shared" si="0"/>
        <v>PRG-1001079</v>
      </c>
      <c r="E4" t="s">
        <v>105</v>
      </c>
      <c r="F4" t="s">
        <v>4</v>
      </c>
      <c r="G4" t="str">
        <f>""</f>
        <v/>
      </c>
    </row>
    <row r="5" spans="1:7" ht="14.45" x14ac:dyDescent="0.3">
      <c r="A5" t="s">
        <v>8</v>
      </c>
      <c r="B5" s="1" t="str">
        <f>"000206102 - CASA DIBERTACCHI-ARAMARK"</f>
        <v>000206102 - CASA DIBERTACCHI-ARAMARK</v>
      </c>
      <c r="C5" t="s">
        <v>104</v>
      </c>
      <c r="D5" s="1" t="str">
        <f t="shared" si="0"/>
        <v>PRG-1001079</v>
      </c>
      <c r="E5" t="s">
        <v>105</v>
      </c>
      <c r="F5" t="s">
        <v>4</v>
      </c>
      <c r="G5" t="str">
        <f>""</f>
        <v/>
      </c>
    </row>
    <row r="6" spans="1:7" ht="14.45" x14ac:dyDescent="0.3">
      <c r="A6" t="s">
        <v>8</v>
      </c>
      <c r="B6" s="1" t="str">
        <f>"000209059 - CASA DIBERTACCHI-ARAMARK"</f>
        <v>000209059 - CASA DIBERTACCHI-ARAMARK</v>
      </c>
      <c r="C6" t="s">
        <v>104</v>
      </c>
      <c r="D6" s="1" t="str">
        <f t="shared" si="0"/>
        <v>PRG-1001079</v>
      </c>
      <c r="E6" t="s">
        <v>105</v>
      </c>
      <c r="F6" t="s">
        <v>4</v>
      </c>
      <c r="G6" t="str">
        <f>""</f>
        <v/>
      </c>
    </row>
    <row r="7" spans="1:7" ht="14.45" x14ac:dyDescent="0.3">
      <c r="A7" t="s">
        <v>8</v>
      </c>
      <c r="B7" s="1" t="str">
        <f>"000211774 - CASA DIBERTACCHI-ARAMARK"</f>
        <v>000211774 - CASA DIBERTACCHI-ARAMARK</v>
      </c>
      <c r="C7" t="s">
        <v>104</v>
      </c>
      <c r="D7" s="1" t="str">
        <f t="shared" si="0"/>
        <v>PRG-1001079</v>
      </c>
      <c r="E7" t="s">
        <v>105</v>
      </c>
      <c r="F7" t="s">
        <v>4</v>
      </c>
      <c r="G7" t="str">
        <f>""</f>
        <v/>
      </c>
    </row>
    <row r="8" spans="1:7" ht="14.45" x14ac:dyDescent="0.3">
      <c r="A8" t="s">
        <v>8</v>
      </c>
      <c r="B8" s="1" t="str">
        <f>"000221537 - CASA DIBERTACCHI-ARAMARK"</f>
        <v>000221537 - CASA DIBERTACCHI-ARAMARK</v>
      </c>
      <c r="C8" t="s">
        <v>104</v>
      </c>
      <c r="D8" s="1" t="str">
        <f t="shared" si="0"/>
        <v>PRG-1001079</v>
      </c>
      <c r="E8" t="s">
        <v>105</v>
      </c>
      <c r="F8" t="s">
        <v>4</v>
      </c>
      <c r="G8" t="str">
        <f>""</f>
        <v/>
      </c>
    </row>
    <row r="9" spans="1:7" ht="14.45" x14ac:dyDescent="0.3">
      <c r="A9" t="s">
        <v>8</v>
      </c>
      <c r="B9" s="1" t="str">
        <f>"000238622 - CASA DIBERTACCHI-ARAMARK"</f>
        <v>000238622 - CASA DIBERTACCHI-ARAMARK</v>
      </c>
      <c r="C9" t="s">
        <v>104</v>
      </c>
      <c r="D9" s="1" t="str">
        <f t="shared" si="0"/>
        <v>PRG-1001079</v>
      </c>
      <c r="E9" t="s">
        <v>105</v>
      </c>
      <c r="F9" t="s">
        <v>4</v>
      </c>
      <c r="G9" t="str">
        <f>""</f>
        <v/>
      </c>
    </row>
    <row r="10" spans="1:7" ht="14.45" x14ac:dyDescent="0.3">
      <c r="A10" t="s">
        <v>8</v>
      </c>
      <c r="B10" s="1" t="str">
        <f>"000279941 - CASA DI BERTACCHI-SODEXO"</f>
        <v>000279941 - CASA DI BERTACCHI-SODEXO</v>
      </c>
      <c r="C10" t="s">
        <v>378</v>
      </c>
      <c r="D10" s="1" t="str">
        <f t="shared" si="0"/>
        <v>PRG-1001079</v>
      </c>
      <c r="E10" t="s">
        <v>105</v>
      </c>
      <c r="F10" t="s">
        <v>4</v>
      </c>
      <c r="G10" t="str">
        <f>""</f>
        <v/>
      </c>
    </row>
    <row r="11" spans="1:7" ht="14.45" x14ac:dyDescent="0.3">
      <c r="A11" t="s">
        <v>8</v>
      </c>
      <c r="B11" s="1" t="str">
        <f>"000279987 - CASA DIBERTACCHI-ARAMARK"</f>
        <v>000279987 - CASA DIBERTACCHI-ARAMARK</v>
      </c>
      <c r="C11" t="s">
        <v>104</v>
      </c>
      <c r="D11" s="1" t="str">
        <f t="shared" si="0"/>
        <v>PRG-1001079</v>
      </c>
      <c r="E11" t="s">
        <v>105</v>
      </c>
      <c r="F11" t="s">
        <v>4</v>
      </c>
      <c r="G11" t="str">
        <f>""</f>
        <v/>
      </c>
    </row>
    <row r="12" spans="1:7" ht="14.45" x14ac:dyDescent="0.3">
      <c r="A12" t="s">
        <v>8</v>
      </c>
      <c r="B12" s="1" t="str">
        <f>"000287802 - CASA DIBERTACCHI-ARAMARK"</f>
        <v>000287802 - CASA DIBERTACCHI-ARAMARK</v>
      </c>
      <c r="C12" t="s">
        <v>104</v>
      </c>
      <c r="D12" s="1" t="str">
        <f t="shared" si="0"/>
        <v>PRG-1001079</v>
      </c>
      <c r="E12" t="s">
        <v>105</v>
      </c>
      <c r="F12" t="s">
        <v>4</v>
      </c>
      <c r="G12" t="str">
        <f>""</f>
        <v/>
      </c>
    </row>
    <row r="13" spans="1:7" ht="14.45" x14ac:dyDescent="0.3">
      <c r="A13" t="s">
        <v>8</v>
      </c>
      <c r="B13" s="1" t="str">
        <f>"000290395 - CASA DI BERTACCHI-SODEXO"</f>
        <v>000290395 - CASA DI BERTACCHI-SODEXO</v>
      </c>
      <c r="C13" t="s">
        <v>378</v>
      </c>
      <c r="D13" s="1" t="str">
        <f t="shared" si="0"/>
        <v>PRG-1001079</v>
      </c>
      <c r="E13" t="s">
        <v>105</v>
      </c>
      <c r="F13" t="s">
        <v>4</v>
      </c>
      <c r="G13" t="str">
        <f>""</f>
        <v/>
      </c>
    </row>
    <row r="14" spans="1:7" ht="14.45" x14ac:dyDescent="0.3">
      <c r="A14" t="s">
        <v>8</v>
      </c>
      <c r="B14" s="1" t="str">
        <f>"000297487 - CASA DIBERTACCHI-ARAMARK"</f>
        <v>000297487 - CASA DIBERTACCHI-ARAMARK</v>
      </c>
      <c r="C14" t="s">
        <v>104</v>
      </c>
      <c r="D14" s="1" t="str">
        <f t="shared" si="0"/>
        <v>PRG-1001079</v>
      </c>
      <c r="E14" t="s">
        <v>105</v>
      </c>
      <c r="F14" t="s">
        <v>4</v>
      </c>
      <c r="G14" t="str">
        <f>""</f>
        <v/>
      </c>
    </row>
    <row r="15" spans="1:7" ht="14.45" x14ac:dyDescent="0.3">
      <c r="A15" t="s">
        <v>8</v>
      </c>
      <c r="B15" s="1" t="str">
        <f>"000221092 - RICH SUGAR BAKERS BILL SFDS"</f>
        <v>000221092 - RICH SUGAR BAKERS BILL SFDS</v>
      </c>
      <c r="C15" t="s">
        <v>1593</v>
      </c>
      <c r="D15" s="1" t="str">
        <f>"PRG-1001865"</f>
        <v>PRG-1001865</v>
      </c>
      <c r="E15" t="s">
        <v>1594</v>
      </c>
      <c r="F15" t="s">
        <v>4</v>
      </c>
      <c r="G15" t="str">
        <f>""</f>
        <v/>
      </c>
    </row>
    <row r="16" spans="1:7" ht="14.45" x14ac:dyDescent="0.3">
      <c r="A16" t="s">
        <v>8</v>
      </c>
      <c r="B16" s="1" t="str">
        <f>"000237300 - RICH SUGAR BAKERS BILL SFDS"</f>
        <v>000237300 - RICH SUGAR BAKERS BILL SFDS</v>
      </c>
      <c r="C16" t="s">
        <v>1593</v>
      </c>
      <c r="D16" s="1" t="str">
        <f>"PRG-1001865"</f>
        <v>PRG-1001865</v>
      </c>
      <c r="E16" t="s">
        <v>1594</v>
      </c>
      <c r="F16" t="s">
        <v>4</v>
      </c>
      <c r="G16" t="str">
        <f>""</f>
        <v/>
      </c>
    </row>
    <row r="17" spans="1:7" ht="14.45" x14ac:dyDescent="0.3">
      <c r="A17" t="s">
        <v>8</v>
      </c>
      <c r="B17" s="1" t="str">
        <f>"000274533 - DUTCH'S DAUGHTER RICH PRODUCTS"</f>
        <v>000274533 - DUTCH'S DAUGHTER RICH PRODUCTS</v>
      </c>
      <c r="C17" t="s">
        <v>2544</v>
      </c>
      <c r="D17" s="1" t="str">
        <f>"PRG-1002079"</f>
        <v>PRG-1002079</v>
      </c>
      <c r="E17" t="s">
        <v>2545</v>
      </c>
      <c r="F17" t="s">
        <v>4</v>
      </c>
      <c r="G17" t="str">
        <f>""</f>
        <v/>
      </c>
    </row>
    <row r="18" spans="1:7" ht="14.45" x14ac:dyDescent="0.3">
      <c r="A18" t="s">
        <v>8</v>
      </c>
      <c r="B18" s="1" t="str">
        <f>"000294157 - DUTCH'S DAUGHTER RICH PRODUCTS"</f>
        <v>000294157 - DUTCH'S DAUGHTER RICH PRODUCTS</v>
      </c>
      <c r="C18" t="s">
        <v>2544</v>
      </c>
      <c r="D18" s="1" t="str">
        <f>"PRG-1002079"</f>
        <v>PRG-1002079</v>
      </c>
      <c r="E18" t="s">
        <v>2545</v>
      </c>
      <c r="F18" t="s">
        <v>4</v>
      </c>
      <c r="G18" t="str">
        <f>""</f>
        <v/>
      </c>
    </row>
    <row r="19" spans="1:7" ht="14.45" x14ac:dyDescent="0.3">
      <c r="A19" t="s">
        <v>8</v>
      </c>
      <c r="B19" s="1" t="str">
        <f>"000316724 - DUTCH'S DAUGHTER RICH PRODUCTS"</f>
        <v>000316724 - DUTCH'S DAUGHTER RICH PRODUCTS</v>
      </c>
      <c r="C19" t="s">
        <v>2544</v>
      </c>
      <c r="D19" s="1" t="str">
        <f>"PRG-1002079"</f>
        <v>PRG-1002079</v>
      </c>
      <c r="E19" t="s">
        <v>2545</v>
      </c>
      <c r="F19" t="s">
        <v>4</v>
      </c>
      <c r="G19" t="str">
        <f>""</f>
        <v/>
      </c>
    </row>
    <row r="20" spans="1:7" ht="14.45" x14ac:dyDescent="0.3">
      <c r="A20" t="s">
        <v>8</v>
      </c>
      <c r="B20" s="1" t="str">
        <f>"000237307 - RICHS EMMINGS"</f>
        <v>000237307 - RICHS EMMINGS</v>
      </c>
      <c r="C20" t="s">
        <v>1863</v>
      </c>
      <c r="D20" s="1" t="str">
        <f>"PRG-1002083"</f>
        <v>PRG-1002083</v>
      </c>
      <c r="E20" t="s">
        <v>1864</v>
      </c>
      <c r="F20" t="s">
        <v>4</v>
      </c>
      <c r="G20" t="str">
        <f>""</f>
        <v/>
      </c>
    </row>
    <row r="21" spans="1:7" ht="14.45" x14ac:dyDescent="0.3">
      <c r="A21" t="s">
        <v>8</v>
      </c>
      <c r="B21" s="1" t="str">
        <f>"000222498 - RICH PRODUCTS LITTLE ITALY"</f>
        <v>000222498 - RICH PRODUCTS LITTLE ITALY</v>
      </c>
      <c r="C21" t="s">
        <v>1623</v>
      </c>
      <c r="D21" s="1" t="str">
        <f>"PRG-1002084"</f>
        <v>PRG-1002084</v>
      </c>
      <c r="E21" t="s">
        <v>1624</v>
      </c>
      <c r="F21" t="s">
        <v>4</v>
      </c>
      <c r="G21" t="str">
        <f>""</f>
        <v/>
      </c>
    </row>
    <row r="22" spans="1:7" ht="14.45" x14ac:dyDescent="0.3">
      <c r="A22" t="s">
        <v>8</v>
      </c>
      <c r="B22" s="1" t="str">
        <f>"000237311 - RICH PRODUCTS LITTLE ITALY"</f>
        <v>000237311 - RICH PRODUCTS LITTLE ITALY</v>
      </c>
      <c r="C22" t="s">
        <v>1623</v>
      </c>
      <c r="D22" s="1" t="str">
        <f>"PRG-1002084"</f>
        <v>PRG-1002084</v>
      </c>
      <c r="E22" t="s">
        <v>1624</v>
      </c>
      <c r="F22" t="s">
        <v>4</v>
      </c>
      <c r="G22" t="str">
        <f>""</f>
        <v/>
      </c>
    </row>
    <row r="23" spans="1:7" ht="14.45" x14ac:dyDescent="0.3">
      <c r="A23" t="s">
        <v>8</v>
      </c>
      <c r="B23" s="1" t="str">
        <f>"3103C230"</f>
        <v>3103C230</v>
      </c>
      <c r="C23" t="s">
        <v>4603</v>
      </c>
      <c r="D23" s="1" t="str">
        <f>"PRG-1002177"</f>
        <v>PRG-1002177</v>
      </c>
      <c r="E23" t="s">
        <v>4604</v>
      </c>
      <c r="F23" t="s">
        <v>5</v>
      </c>
      <c r="G23" t="str">
        <f>""</f>
        <v/>
      </c>
    </row>
    <row r="24" spans="1:7" ht="14.45" x14ac:dyDescent="0.3">
      <c r="A24" t="s">
        <v>8</v>
      </c>
      <c r="B24" s="1" t="str">
        <f>"000270002 - RICH-BOSTON COOKER"</f>
        <v>000270002 - RICH-BOSTON COOKER</v>
      </c>
      <c r="C24" t="s">
        <v>2460</v>
      </c>
      <c r="D24" s="1" t="str">
        <f>"PRG-1002220"</f>
        <v>PRG-1002220</v>
      </c>
      <c r="E24" t="s">
        <v>2461</v>
      </c>
      <c r="F24" t="s">
        <v>4</v>
      </c>
      <c r="G24" t="str">
        <f>""</f>
        <v/>
      </c>
    </row>
    <row r="25" spans="1:7" ht="14.45" x14ac:dyDescent="0.3">
      <c r="A25" t="s">
        <v>8</v>
      </c>
      <c r="B25" s="1" t="str">
        <f>"000178410 - Vitos - Rich Products"</f>
        <v>000178410 - Vitos - Rich Products</v>
      </c>
      <c r="C25" t="s">
        <v>1126</v>
      </c>
      <c r="D25" s="1" t="str">
        <f>"PRG-1002223"</f>
        <v>PRG-1002223</v>
      </c>
      <c r="E25" t="s">
        <v>1127</v>
      </c>
      <c r="F25" t="s">
        <v>4</v>
      </c>
      <c r="G25" t="str">
        <f>""</f>
        <v/>
      </c>
    </row>
    <row r="26" spans="1:7" ht="14.45" x14ac:dyDescent="0.3">
      <c r="A26" t="s">
        <v>8</v>
      </c>
      <c r="B26" s="1" t="str">
        <f>"000262604 - VITOS - RICH PRODUCTS"</f>
        <v>000262604 - VITOS - RICH PRODUCTS</v>
      </c>
      <c r="C26" t="s">
        <v>2323</v>
      </c>
      <c r="D26" s="1" t="str">
        <f>"PRG-1002223"</f>
        <v>PRG-1002223</v>
      </c>
      <c r="E26" t="s">
        <v>1127</v>
      </c>
      <c r="F26" t="s">
        <v>4</v>
      </c>
      <c r="G26" t="str">
        <f>""</f>
        <v/>
      </c>
    </row>
    <row r="27" spans="1:7" ht="14.45" x14ac:dyDescent="0.3">
      <c r="A27" t="s">
        <v>8</v>
      </c>
      <c r="B27" s="1" t="str">
        <f>"000237312 - RICHS PIER I"</f>
        <v>000237312 - RICHS PIER I</v>
      </c>
      <c r="C27" t="s">
        <v>1865</v>
      </c>
      <c r="D27" s="1" t="str">
        <f>"PRG-1002303"</f>
        <v>PRG-1002303</v>
      </c>
      <c r="E27" t="s">
        <v>1866</v>
      </c>
      <c r="F27" t="s">
        <v>4</v>
      </c>
      <c r="G27" t="str">
        <f>""</f>
        <v/>
      </c>
    </row>
    <row r="28" spans="1:7" ht="14.45" x14ac:dyDescent="0.3">
      <c r="A28" t="s">
        <v>8</v>
      </c>
      <c r="B28" s="1" t="str">
        <f>"000219570 - GREENBERRYS RICHS"</f>
        <v>000219570 - GREENBERRYS RICHS</v>
      </c>
      <c r="C28" t="s">
        <v>1573</v>
      </c>
      <c r="D28" s="1" t="str">
        <f>"PRG-1002310"</f>
        <v>PRG-1002310</v>
      </c>
      <c r="E28" t="s">
        <v>1574</v>
      </c>
      <c r="F28" t="s">
        <v>4</v>
      </c>
      <c r="G28" t="str">
        <f>""</f>
        <v/>
      </c>
    </row>
    <row r="29" spans="1:7" ht="14.45" x14ac:dyDescent="0.3">
      <c r="A29" t="s">
        <v>8</v>
      </c>
      <c r="B29" s="1" t="str">
        <f>"000275723 - GREENBERRY RICHS"</f>
        <v>000275723 - GREENBERRY RICHS</v>
      </c>
      <c r="C29" t="s">
        <v>2560</v>
      </c>
      <c r="D29" s="1" t="str">
        <f>"PRG-1002310"</f>
        <v>PRG-1002310</v>
      </c>
      <c r="E29" t="s">
        <v>1574</v>
      </c>
      <c r="F29" t="s">
        <v>4</v>
      </c>
      <c r="G29" t="str">
        <f>""</f>
        <v/>
      </c>
    </row>
    <row r="30" spans="1:7" ht="14.45" x14ac:dyDescent="0.3">
      <c r="A30" t="s">
        <v>8</v>
      </c>
      <c r="B30" s="1" t="str">
        <f>"000307688 - GREENBERRY RICHS"</f>
        <v>000307688 - GREENBERRY RICHS</v>
      </c>
      <c r="C30" t="s">
        <v>2560</v>
      </c>
      <c r="D30" s="1" t="str">
        <f>"PRG-1002310"</f>
        <v>PRG-1002310</v>
      </c>
      <c r="E30" t="s">
        <v>1574</v>
      </c>
      <c r="F30" t="s">
        <v>4</v>
      </c>
      <c r="G30" t="str">
        <f>""</f>
        <v/>
      </c>
    </row>
    <row r="31" spans="1:7" ht="14.45" x14ac:dyDescent="0.3">
      <c r="A31" t="s">
        <v>8</v>
      </c>
      <c r="B31" s="1" t="str">
        <f>"000317581 - GREENBERRY RICHS"</f>
        <v>000317581 - GREENBERRY RICHS</v>
      </c>
      <c r="C31" t="s">
        <v>2560</v>
      </c>
      <c r="D31" s="1" t="str">
        <f>"PRG-1002310"</f>
        <v>PRG-1002310</v>
      </c>
      <c r="E31" t="s">
        <v>1574</v>
      </c>
      <c r="F31" t="s">
        <v>4</v>
      </c>
      <c r="G31" t="str">
        <f>""</f>
        <v/>
      </c>
    </row>
    <row r="32" spans="1:7" ht="14.45" x14ac:dyDescent="0.3">
      <c r="A32" t="s">
        <v>8</v>
      </c>
      <c r="B32" s="1" t="str">
        <f>"000222499 - RICHS WATERMANS"</f>
        <v>000222499 - RICHS WATERMANS</v>
      </c>
      <c r="C32" t="s">
        <v>1625</v>
      </c>
      <c r="D32" s="1" t="str">
        <f>"PRG-1002312"</f>
        <v>PRG-1002312</v>
      </c>
      <c r="E32" t="s">
        <v>1626</v>
      </c>
      <c r="F32" t="s">
        <v>4</v>
      </c>
      <c r="G32" t="str">
        <f>""</f>
        <v/>
      </c>
    </row>
    <row r="33" spans="1:7" ht="14.45" x14ac:dyDescent="0.3">
      <c r="A33" t="s">
        <v>8</v>
      </c>
      <c r="B33" s="1" t="str">
        <f>"000237299 - RICHS SUBRUNNERS"</f>
        <v>000237299 - RICHS SUBRUNNERS</v>
      </c>
      <c r="C33" t="s">
        <v>1858</v>
      </c>
      <c r="D33" s="1" t="str">
        <f>"PRG-1002314"</f>
        <v>PRG-1002314</v>
      </c>
      <c r="E33" t="s">
        <v>1859</v>
      </c>
      <c r="F33" t="s">
        <v>4</v>
      </c>
      <c r="G33" t="str">
        <f>""</f>
        <v/>
      </c>
    </row>
    <row r="34" spans="1:7" ht="14.45" x14ac:dyDescent="0.3">
      <c r="A34" t="s">
        <v>8</v>
      </c>
      <c r="B34" s="1" t="str">
        <f>"20108738"</f>
        <v>20108738</v>
      </c>
      <c r="C34" t="s">
        <v>4088</v>
      </c>
      <c r="D34" s="1" t="str">
        <f>"PRG-1002320"</f>
        <v>PRG-1002320</v>
      </c>
      <c r="E34" t="s">
        <v>4089</v>
      </c>
      <c r="F34" t="s">
        <v>5</v>
      </c>
      <c r="G34" t="str">
        <f>""</f>
        <v/>
      </c>
    </row>
    <row r="35" spans="1:7" x14ac:dyDescent="0.25">
      <c r="A35" t="s">
        <v>8</v>
      </c>
      <c r="B35" s="1" t="str">
        <f>"20108044"</f>
        <v>20108044</v>
      </c>
      <c r="C35" t="s">
        <v>4082</v>
      </c>
      <c r="D35" s="1" t="str">
        <f>"PRG-1002355"</f>
        <v>PRG-1002355</v>
      </c>
      <c r="E35" t="s">
        <v>4083</v>
      </c>
      <c r="F35" t="s">
        <v>5</v>
      </c>
      <c r="G35" t="str">
        <f>""</f>
        <v/>
      </c>
    </row>
    <row r="36" spans="1:7" x14ac:dyDescent="0.25">
      <c r="A36" t="s">
        <v>8</v>
      </c>
      <c r="B36" s="1" t="str">
        <f>"000169454 - UPPYS RICHS"</f>
        <v>000169454 - UPPYS RICHS</v>
      </c>
      <c r="C36" t="s">
        <v>1094</v>
      </c>
      <c r="D36" s="1" t="str">
        <f>"PRG-1002418"</f>
        <v>PRG-1002418</v>
      </c>
      <c r="E36" t="s">
        <v>1095</v>
      </c>
      <c r="F36" t="s">
        <v>4</v>
      </c>
      <c r="G36" t="str">
        <f>""</f>
        <v/>
      </c>
    </row>
    <row r="37" spans="1:7" x14ac:dyDescent="0.25">
      <c r="A37" t="s">
        <v>8</v>
      </c>
      <c r="B37" s="1" t="str">
        <f>"000244493 - RICH COMMISSARY"</f>
        <v>000244493 - RICH COMMISSARY</v>
      </c>
      <c r="C37" t="s">
        <v>1978</v>
      </c>
      <c r="D37" s="1" t="str">
        <f>"PRG-1002453"</f>
        <v>PRG-1002453</v>
      </c>
      <c r="E37" t="s">
        <v>1979</v>
      </c>
      <c r="F37" t="s">
        <v>4</v>
      </c>
      <c r="G37" t="str">
        <f>""</f>
        <v/>
      </c>
    </row>
    <row r="38" spans="1:7" x14ac:dyDescent="0.25">
      <c r="A38" t="s">
        <v>8</v>
      </c>
      <c r="B38" s="1" t="str">
        <f>"000221166 - RICH'S DELAWARE PARK"</f>
        <v>000221166 - RICH'S DELAWARE PARK</v>
      </c>
      <c r="C38" t="s">
        <v>1596</v>
      </c>
      <c r="D38" s="1" t="str">
        <f>"PRG-1002469"</f>
        <v>PRG-1002469</v>
      </c>
      <c r="E38" t="s">
        <v>1597</v>
      </c>
      <c r="F38" t="s">
        <v>4</v>
      </c>
      <c r="G38" t="str">
        <f>""</f>
        <v/>
      </c>
    </row>
    <row r="39" spans="1:7" x14ac:dyDescent="0.25">
      <c r="A39" t="s">
        <v>8</v>
      </c>
      <c r="B39" s="1" t="str">
        <f>"000273157 - RICH'S DELAWARE PARK"</f>
        <v>000273157 - RICH'S DELAWARE PARK</v>
      </c>
      <c r="C39" t="s">
        <v>1596</v>
      </c>
      <c r="D39" s="1" t="str">
        <f>"PRG-1002469"</f>
        <v>PRG-1002469</v>
      </c>
      <c r="E39" t="s">
        <v>1597</v>
      </c>
      <c r="F39" t="s">
        <v>4</v>
      </c>
      <c r="G39" t="str">
        <f>""</f>
        <v/>
      </c>
    </row>
    <row r="40" spans="1:7" x14ac:dyDescent="0.25">
      <c r="A40" t="s">
        <v>8</v>
      </c>
      <c r="B40" s="1" t="str">
        <f>"10543019"</f>
        <v>10543019</v>
      </c>
      <c r="C40" t="s">
        <v>3771</v>
      </c>
      <c r="D40" s="1" t="str">
        <f>"PRG-1002528"</f>
        <v>PRG-1002528</v>
      </c>
      <c r="E40" t="s">
        <v>3772</v>
      </c>
      <c r="F40" t="s">
        <v>5</v>
      </c>
      <c r="G40" t="str">
        <f>""</f>
        <v/>
      </c>
    </row>
    <row r="41" spans="1:7" x14ac:dyDescent="0.25">
      <c r="A41" t="s">
        <v>8</v>
      </c>
      <c r="B41" s="1" t="str">
        <f>"31262935"</f>
        <v>31262935</v>
      </c>
      <c r="C41" t="s">
        <v>4615</v>
      </c>
      <c r="D41" s="1" t="str">
        <f>"PRG-1002528"</f>
        <v>PRG-1002528</v>
      </c>
      <c r="E41" t="s">
        <v>3772</v>
      </c>
      <c r="F41" t="s">
        <v>5</v>
      </c>
      <c r="G41" t="str">
        <f>""</f>
        <v/>
      </c>
    </row>
    <row r="42" spans="1:7" x14ac:dyDescent="0.25">
      <c r="A42" t="s">
        <v>8</v>
      </c>
      <c r="B42" s="1" t="str">
        <f>"000214567 - RICH PROD MONTANA SUB SHOP"</f>
        <v>000214567 - RICH PROD MONTANA SUB SHOP</v>
      </c>
      <c r="C42" t="s">
        <v>1505</v>
      </c>
      <c r="D42" s="1" t="str">
        <f>"PRG-1002579"</f>
        <v>PRG-1002579</v>
      </c>
      <c r="E42" t="s">
        <v>1506</v>
      </c>
      <c r="F42" t="s">
        <v>4</v>
      </c>
      <c r="G42" t="str">
        <f>""</f>
        <v/>
      </c>
    </row>
    <row r="43" spans="1:7" x14ac:dyDescent="0.25">
      <c r="A43" t="s">
        <v>8</v>
      </c>
      <c r="B43" s="1" t="str">
        <f>"000185747 - CSM Richs"</f>
        <v>000185747 - CSM Richs</v>
      </c>
      <c r="C43" t="s">
        <v>1172</v>
      </c>
      <c r="D43" s="1" t="str">
        <f>"PRG-1002632"</f>
        <v>PRG-1002632</v>
      </c>
      <c r="E43" t="s">
        <v>1173</v>
      </c>
      <c r="F43" t="s">
        <v>4</v>
      </c>
      <c r="G43" t="str">
        <f>""</f>
        <v/>
      </c>
    </row>
    <row r="44" spans="1:7" x14ac:dyDescent="0.25">
      <c r="A44" t="s">
        <v>8</v>
      </c>
      <c r="B44" s="1" t="str">
        <f>"000275073 - CSM RICHS"</f>
        <v>000275073 - CSM RICHS</v>
      </c>
      <c r="C44" t="s">
        <v>2555</v>
      </c>
      <c r="D44" s="1" t="str">
        <f>"PRG-1002632"</f>
        <v>PRG-1002632</v>
      </c>
      <c r="E44" t="s">
        <v>1173</v>
      </c>
      <c r="F44" t="s">
        <v>4</v>
      </c>
      <c r="G44" t="str">
        <f>""</f>
        <v/>
      </c>
    </row>
    <row r="45" spans="1:7" x14ac:dyDescent="0.25">
      <c r="A45" t="s">
        <v>8</v>
      </c>
      <c r="B45" s="1" t="str">
        <f>"000182262 - MAMA JENNIES - RICH SEAPAK"</f>
        <v>000182262 - MAMA JENNIES - RICH SEAPAK</v>
      </c>
      <c r="C45" t="s">
        <v>1149</v>
      </c>
      <c r="D45" s="1" t="str">
        <f>"PRG-1002665"</f>
        <v>PRG-1002665</v>
      </c>
      <c r="E45" t="s">
        <v>1150</v>
      </c>
      <c r="F45" t="s">
        <v>4</v>
      </c>
      <c r="G45" t="str">
        <f>""</f>
        <v/>
      </c>
    </row>
    <row r="46" spans="1:7" x14ac:dyDescent="0.25">
      <c r="A46" t="s">
        <v>8</v>
      </c>
      <c r="B46" s="1" t="str">
        <f>"000218383 - RICH PROD RIB &amp; CHOPHSE"</f>
        <v>000218383 - RICH PROD RIB &amp; CHOPHSE</v>
      </c>
      <c r="C46" t="s">
        <v>1559</v>
      </c>
      <c r="D46" s="1" t="str">
        <f>"PRG-1002810"</f>
        <v>PRG-1002810</v>
      </c>
      <c r="E46" t="s">
        <v>1560</v>
      </c>
      <c r="F46" t="s">
        <v>4</v>
      </c>
      <c r="G46" t="str">
        <f>""</f>
        <v/>
      </c>
    </row>
    <row r="47" spans="1:7" x14ac:dyDescent="0.25">
      <c r="A47" t="s">
        <v>8</v>
      </c>
      <c r="B47" s="1" t="str">
        <f>"000290060 - RICH PRODUCTS PYRAMID BREWERY"</f>
        <v>000290060 - RICH PRODUCTS PYRAMID BREWERY</v>
      </c>
      <c r="C47" t="s">
        <v>2815</v>
      </c>
      <c r="D47" s="1" t="str">
        <f>"PRG-1002967"</f>
        <v>PRG-1002967</v>
      </c>
      <c r="E47" t="s">
        <v>2816</v>
      </c>
      <c r="F47" t="s">
        <v>4</v>
      </c>
      <c r="G47" t="str">
        <f>""</f>
        <v/>
      </c>
    </row>
    <row r="48" spans="1:7" x14ac:dyDescent="0.25">
      <c r="A48" t="s">
        <v>8</v>
      </c>
      <c r="B48" s="1" t="str">
        <f>"000234384 - RICH PRODUCTS JEI GOLD DUST WS"</f>
        <v>000234384 - RICH PRODUCTS JEI GOLD DUST WS</v>
      </c>
      <c r="C48" t="s">
        <v>1822</v>
      </c>
      <c r="D48" s="1" t="str">
        <f>"PRG-1003021"</f>
        <v>PRG-1003021</v>
      </c>
      <c r="E48" t="s">
        <v>1823</v>
      </c>
      <c r="F48" t="s">
        <v>4</v>
      </c>
      <c r="G48" t="str">
        <f>""</f>
        <v/>
      </c>
    </row>
    <row r="49" spans="1:7" x14ac:dyDescent="0.25">
      <c r="A49" t="s">
        <v>8</v>
      </c>
      <c r="B49" s="1" t="str">
        <f>"2000149295 - RICH FOODS DEN INT NO-JACOBS ENTERT"</f>
        <v>2000149295 - RICH FOODS DEN INT NO-JACOBS ENTERT</v>
      </c>
      <c r="C49" t="s">
        <v>3863</v>
      </c>
      <c r="D49" s="1" t="str">
        <f>"PRG-1003021"</f>
        <v>PRG-1003021</v>
      </c>
      <c r="E49" t="s">
        <v>1823</v>
      </c>
      <c r="F49" t="s">
        <v>4</v>
      </c>
      <c r="G49" t="str">
        <f>""</f>
        <v/>
      </c>
    </row>
    <row r="50" spans="1:7" x14ac:dyDescent="0.25">
      <c r="A50" t="s">
        <v>8</v>
      </c>
      <c r="B50" s="1" t="str">
        <f>"000237305 - RICHS COOKS DELI"</f>
        <v>000237305 - RICHS COOKS DELI</v>
      </c>
      <c r="C50" t="s">
        <v>1861</v>
      </c>
      <c r="D50" s="1" t="str">
        <f>"PRG-1003066"</f>
        <v>PRG-1003066</v>
      </c>
      <c r="E50" t="s">
        <v>1862</v>
      </c>
      <c r="F50" t="s">
        <v>4</v>
      </c>
      <c r="G50" t="str">
        <f>""</f>
        <v/>
      </c>
    </row>
    <row r="51" spans="1:7" x14ac:dyDescent="0.25">
      <c r="A51" t="s">
        <v>8</v>
      </c>
      <c r="B51" s="1" t="str">
        <f>"000273158 - RICHS COOKS DELI"</f>
        <v>000273158 - RICHS COOKS DELI</v>
      </c>
      <c r="C51" t="s">
        <v>1861</v>
      </c>
      <c r="D51" s="1" t="str">
        <f>"PRG-1003066"</f>
        <v>PRG-1003066</v>
      </c>
      <c r="E51" t="s">
        <v>1862</v>
      </c>
      <c r="F51" t="s">
        <v>4</v>
      </c>
      <c r="G51" t="str">
        <f>""</f>
        <v/>
      </c>
    </row>
    <row r="52" spans="1:7" x14ac:dyDescent="0.25">
      <c r="A52" t="s">
        <v>8</v>
      </c>
      <c r="B52" s="1" t="str">
        <f>"6026F220"</f>
        <v>6026F220</v>
      </c>
      <c r="C52" t="s">
        <v>5064</v>
      </c>
      <c r="D52" s="1" t="str">
        <f>"PRG-1003176"</f>
        <v>PRG-1003176</v>
      </c>
      <c r="E52" t="s">
        <v>5065</v>
      </c>
      <c r="F52" t="s">
        <v>5</v>
      </c>
      <c r="G52" t="str">
        <f>""</f>
        <v/>
      </c>
    </row>
    <row r="53" spans="1:7" x14ac:dyDescent="0.25">
      <c r="A53" t="s">
        <v>8</v>
      </c>
      <c r="B53" s="1" t="str">
        <f>"000169062 - RICH PIZZA DOUGH LUCKY STRIKE"</f>
        <v>000169062 - RICH PIZZA DOUGH LUCKY STRIKE</v>
      </c>
      <c r="C53" t="s">
        <v>1088</v>
      </c>
      <c r="D53" s="1" t="str">
        <f t="shared" ref="D53:D65" si="1">"PRG-1003189"</f>
        <v>PRG-1003189</v>
      </c>
      <c r="E53" t="s">
        <v>1089</v>
      </c>
      <c r="F53" t="s">
        <v>4</v>
      </c>
      <c r="G53" t="str">
        <f>""</f>
        <v/>
      </c>
    </row>
    <row r="54" spans="1:7" x14ac:dyDescent="0.25">
      <c r="A54" t="s">
        <v>8</v>
      </c>
      <c r="B54" s="1" t="str">
        <f>"000192764 - RICH-LUCKY STRIKE"</f>
        <v>000192764 - RICH-LUCKY STRIKE</v>
      </c>
      <c r="C54" t="s">
        <v>1226</v>
      </c>
      <c r="D54" s="1" t="str">
        <f t="shared" si="1"/>
        <v>PRG-1003189</v>
      </c>
      <c r="E54" t="s">
        <v>1089</v>
      </c>
      <c r="F54" t="s">
        <v>4</v>
      </c>
      <c r="G54" t="str">
        <f>""</f>
        <v/>
      </c>
    </row>
    <row r="55" spans="1:7" x14ac:dyDescent="0.25">
      <c r="A55" t="s">
        <v>8</v>
      </c>
      <c r="B55" s="1" t="str">
        <f>"000194056 - RICH LUCKY STRIKE OK"</f>
        <v>000194056 - RICH LUCKY STRIKE OK</v>
      </c>
      <c r="C55" t="s">
        <v>1237</v>
      </c>
      <c r="D55" s="1" t="str">
        <f t="shared" si="1"/>
        <v>PRG-1003189</v>
      </c>
      <c r="E55" t="s">
        <v>1089</v>
      </c>
      <c r="F55" t="s">
        <v>4</v>
      </c>
      <c r="G55" t="str">
        <f>""</f>
        <v/>
      </c>
    </row>
    <row r="56" spans="1:7" x14ac:dyDescent="0.25">
      <c r="A56" t="s">
        <v>8</v>
      </c>
      <c r="B56" s="1" t="str">
        <f>"000232229 - RICH'S FOODS OFF LUCKY STRIKE"</f>
        <v>000232229 - RICH'S FOODS OFF LUCKY STRIKE</v>
      </c>
      <c r="C56" t="s">
        <v>1779</v>
      </c>
      <c r="D56" s="1" t="str">
        <f t="shared" si="1"/>
        <v>PRG-1003189</v>
      </c>
      <c r="E56" t="s">
        <v>1089</v>
      </c>
      <c r="F56" t="s">
        <v>4</v>
      </c>
      <c r="G56" t="str">
        <f>""</f>
        <v/>
      </c>
    </row>
    <row r="57" spans="1:7" x14ac:dyDescent="0.25">
      <c r="A57" t="s">
        <v>8</v>
      </c>
      <c r="B57" s="1" t="str">
        <f>"000264259 - RICH LUCKY STRIKE"</f>
        <v>000264259 - RICH LUCKY STRIKE</v>
      </c>
      <c r="C57" t="s">
        <v>2356</v>
      </c>
      <c r="D57" s="1" t="str">
        <f t="shared" si="1"/>
        <v>PRG-1003189</v>
      </c>
      <c r="E57" t="s">
        <v>1089</v>
      </c>
      <c r="F57" t="s">
        <v>4</v>
      </c>
      <c r="G57" t="str">
        <f>""</f>
        <v/>
      </c>
    </row>
    <row r="58" spans="1:7" x14ac:dyDescent="0.25">
      <c r="A58" t="s">
        <v>8</v>
      </c>
      <c r="B58" s="1" t="str">
        <f>"000276635 - LUCKY STRIKE RICHS"</f>
        <v>000276635 - LUCKY STRIKE RICHS</v>
      </c>
      <c r="C58" t="s">
        <v>2578</v>
      </c>
      <c r="D58" s="1" t="str">
        <f t="shared" si="1"/>
        <v>PRG-1003189</v>
      </c>
      <c r="E58" t="s">
        <v>1089</v>
      </c>
      <c r="F58" t="s">
        <v>4</v>
      </c>
      <c r="G58" t="str">
        <f>""</f>
        <v/>
      </c>
    </row>
    <row r="59" spans="1:7" x14ac:dyDescent="0.25">
      <c r="A59" t="s">
        <v>8</v>
      </c>
      <c r="B59" s="1" t="str">
        <f>"000291566 - RICH LUCKY STRIKE"</f>
        <v>000291566 - RICH LUCKY STRIKE</v>
      </c>
      <c r="C59" t="s">
        <v>2356</v>
      </c>
      <c r="D59" s="1" t="str">
        <f t="shared" si="1"/>
        <v>PRG-1003189</v>
      </c>
      <c r="E59" t="s">
        <v>1089</v>
      </c>
      <c r="F59" t="s">
        <v>4</v>
      </c>
      <c r="G59" t="str">
        <f>""</f>
        <v/>
      </c>
    </row>
    <row r="60" spans="1:7" x14ac:dyDescent="0.25">
      <c r="A60" t="s">
        <v>8</v>
      </c>
      <c r="B60" s="1" t="str">
        <f>"000293092 - RICH PRODUCTS LUCKY STRIKE"</f>
        <v>000293092 - RICH PRODUCTS LUCKY STRIKE</v>
      </c>
      <c r="C60" t="s">
        <v>2875</v>
      </c>
      <c r="D60" s="1" t="str">
        <f t="shared" si="1"/>
        <v>PRG-1003189</v>
      </c>
      <c r="E60" t="s">
        <v>1089</v>
      </c>
      <c r="F60" t="s">
        <v>4</v>
      </c>
      <c r="G60" t="str">
        <f>""</f>
        <v/>
      </c>
    </row>
    <row r="61" spans="1:7" x14ac:dyDescent="0.25">
      <c r="A61" t="s">
        <v>8</v>
      </c>
      <c r="B61" s="1" t="str">
        <f>"000294146 - LUCKY STRIKE RICHS"</f>
        <v>000294146 - LUCKY STRIKE RICHS</v>
      </c>
      <c r="C61" t="s">
        <v>2578</v>
      </c>
      <c r="D61" s="1" t="str">
        <f t="shared" si="1"/>
        <v>PRG-1003189</v>
      </c>
      <c r="E61" t="s">
        <v>1089</v>
      </c>
      <c r="F61" t="s">
        <v>4</v>
      </c>
      <c r="G61" t="str">
        <f>""</f>
        <v/>
      </c>
    </row>
    <row r="62" spans="1:7" x14ac:dyDescent="0.25">
      <c r="A62" t="s">
        <v>8</v>
      </c>
      <c r="B62" s="1" t="str">
        <f>"000307089 - RICH FOODS(DC) LUCKY STRIKE"</f>
        <v>000307089 - RICH FOODS(DC) LUCKY STRIKE</v>
      </c>
      <c r="C62" t="s">
        <v>3061</v>
      </c>
      <c r="D62" s="1" t="str">
        <f t="shared" si="1"/>
        <v>PRG-1003189</v>
      </c>
      <c r="E62" t="s">
        <v>1089</v>
      </c>
      <c r="F62" t="s">
        <v>4</v>
      </c>
      <c r="G62" t="str">
        <f>""</f>
        <v/>
      </c>
    </row>
    <row r="63" spans="1:7" x14ac:dyDescent="0.25">
      <c r="A63" t="s">
        <v>8</v>
      </c>
      <c r="B63" s="1" t="str">
        <f>"000309295 - RICH PRODUCTS LUCKY STRIKE"</f>
        <v>000309295 - RICH PRODUCTS LUCKY STRIKE</v>
      </c>
      <c r="C63" t="s">
        <v>2875</v>
      </c>
      <c r="D63" s="1" t="str">
        <f t="shared" si="1"/>
        <v>PRG-1003189</v>
      </c>
      <c r="E63" t="s">
        <v>1089</v>
      </c>
      <c r="F63" t="s">
        <v>4</v>
      </c>
      <c r="G63" t="str">
        <f>""</f>
        <v/>
      </c>
    </row>
    <row r="64" spans="1:7" x14ac:dyDescent="0.25">
      <c r="A64" t="s">
        <v>8</v>
      </c>
      <c r="B64" s="1" t="str">
        <f>"000316665 - LUCKY STRIKE LANES RICH PROD"</f>
        <v>000316665 - LUCKY STRIKE LANES RICH PROD</v>
      </c>
      <c r="C64" t="s">
        <v>3190</v>
      </c>
      <c r="D64" s="1" t="str">
        <f t="shared" si="1"/>
        <v>PRG-1003189</v>
      </c>
      <c r="E64" t="s">
        <v>1089</v>
      </c>
      <c r="F64" t="s">
        <v>4</v>
      </c>
      <c r="G64" t="str">
        <f>""</f>
        <v/>
      </c>
    </row>
    <row r="65" spans="1:7" x14ac:dyDescent="0.25">
      <c r="A65" t="s">
        <v>8</v>
      </c>
      <c r="B65" s="1" t="str">
        <f>"000317223 - LUCKY STRIKE RICH FOODS"</f>
        <v>000317223 - LUCKY STRIKE RICH FOODS</v>
      </c>
      <c r="C65" t="s">
        <v>3200</v>
      </c>
      <c r="D65" s="1" t="str">
        <f t="shared" si="1"/>
        <v>PRG-1003189</v>
      </c>
      <c r="E65" t="s">
        <v>1089</v>
      </c>
      <c r="F65" t="s">
        <v>4</v>
      </c>
      <c r="G65" t="str">
        <f>""</f>
        <v/>
      </c>
    </row>
    <row r="66" spans="1:7" x14ac:dyDescent="0.25">
      <c r="A66" t="s">
        <v>8</v>
      </c>
      <c r="B66" s="1" t="str">
        <f>"000000282 - RICHS-PENN NATIONAL GAMING OPC"</f>
        <v>000000282 - RICHS-PENN NATIONAL GAMING OPC</v>
      </c>
      <c r="C66" t="s">
        <v>27</v>
      </c>
      <c r="D66" s="1" t="str">
        <f t="shared" ref="D66:D80" si="2">"PRG-1003201"</f>
        <v>PRG-1003201</v>
      </c>
      <c r="E66" t="s">
        <v>28</v>
      </c>
      <c r="F66" t="s">
        <v>4</v>
      </c>
      <c r="G66" t="str">
        <f>""</f>
        <v/>
      </c>
    </row>
    <row r="67" spans="1:7" x14ac:dyDescent="0.25">
      <c r="A67" t="s">
        <v>8</v>
      </c>
      <c r="B67" s="1" t="str">
        <f>"000000288 - RICHS - BOYD GAMING"</f>
        <v>000000288 - RICHS - BOYD GAMING</v>
      </c>
      <c r="C67" t="s">
        <v>31</v>
      </c>
      <c r="D67" s="1" t="str">
        <f t="shared" si="2"/>
        <v>PRG-1003201</v>
      </c>
      <c r="E67" t="s">
        <v>28</v>
      </c>
      <c r="F67" t="s">
        <v>4</v>
      </c>
      <c r="G67" t="str">
        <f>""</f>
        <v/>
      </c>
    </row>
    <row r="68" spans="1:7" x14ac:dyDescent="0.25">
      <c r="A68" t="s">
        <v>8</v>
      </c>
      <c r="B68" s="1" t="str">
        <f>"000015289 - RICHS BOYD GAMING"</f>
        <v>000015289 - RICHS BOYD GAMING</v>
      </c>
      <c r="C68" t="s">
        <v>365</v>
      </c>
      <c r="D68" s="1" t="str">
        <f t="shared" si="2"/>
        <v>PRG-1003201</v>
      </c>
      <c r="E68" t="s">
        <v>28</v>
      </c>
      <c r="F68" t="s">
        <v>4</v>
      </c>
      <c r="G68" t="str">
        <f>""</f>
        <v/>
      </c>
    </row>
    <row r="69" spans="1:7" x14ac:dyDescent="0.25">
      <c r="A69" t="s">
        <v>8</v>
      </c>
      <c r="B69" s="1" t="str">
        <f>"000198169 - 1003201 SAMST BOYD-RICHS"</f>
        <v>000198169 - 1003201 SAMST BOYD-RICHS</v>
      </c>
      <c r="C69" t="s">
        <v>1281</v>
      </c>
      <c r="D69" s="1" t="str">
        <f t="shared" si="2"/>
        <v>PRG-1003201</v>
      </c>
      <c r="E69" t="s">
        <v>28</v>
      </c>
      <c r="F69" t="s">
        <v>4</v>
      </c>
      <c r="G69" t="str">
        <f>""</f>
        <v/>
      </c>
    </row>
    <row r="70" spans="1:7" x14ac:dyDescent="0.25">
      <c r="A70" t="s">
        <v>8</v>
      </c>
      <c r="B70" s="1" t="str">
        <f>"000220129 - 1003201 SAMSTOWN(RICH-245072)"</f>
        <v>000220129 - 1003201 SAMSTOWN(RICH-245072)</v>
      </c>
      <c r="C70" t="s">
        <v>1580</v>
      </c>
      <c r="D70" s="1" t="str">
        <f t="shared" si="2"/>
        <v>PRG-1003201</v>
      </c>
      <c r="E70" t="s">
        <v>28</v>
      </c>
      <c r="F70" t="s">
        <v>4</v>
      </c>
      <c r="G70" t="str">
        <f>""</f>
        <v/>
      </c>
    </row>
    <row r="71" spans="1:7" x14ac:dyDescent="0.25">
      <c r="A71" t="s">
        <v>8</v>
      </c>
      <c r="B71" s="1" t="str">
        <f>"000256488 - "</f>
        <v xml:space="preserve">000256488 - </v>
      </c>
      <c r="D71" s="1" t="str">
        <f t="shared" si="2"/>
        <v>PRG-1003201</v>
      </c>
      <c r="E71" t="s">
        <v>28</v>
      </c>
      <c r="F71" t="s">
        <v>4</v>
      </c>
      <c r="G71" t="str">
        <f>""</f>
        <v/>
      </c>
    </row>
    <row r="72" spans="1:7" x14ac:dyDescent="0.25">
      <c r="A72" t="s">
        <v>8</v>
      </c>
      <c r="B72" s="1" t="str">
        <f>"000259451 - "</f>
        <v xml:space="preserve">000259451 - </v>
      </c>
      <c r="D72" s="1" t="str">
        <f t="shared" si="2"/>
        <v>PRG-1003201</v>
      </c>
      <c r="E72" t="s">
        <v>28</v>
      </c>
      <c r="F72" t="s">
        <v>4</v>
      </c>
      <c r="G72" t="str">
        <f>""</f>
        <v/>
      </c>
    </row>
    <row r="73" spans="1:7" x14ac:dyDescent="0.25">
      <c r="A73" t="s">
        <v>8</v>
      </c>
      <c r="B73" s="1" t="str">
        <f>"000299713 - RICH'S BOYD GAMING"</f>
        <v>000299713 - RICH'S BOYD GAMING</v>
      </c>
      <c r="C73" t="s">
        <v>2961</v>
      </c>
      <c r="D73" s="1" t="str">
        <f t="shared" si="2"/>
        <v>PRG-1003201</v>
      </c>
      <c r="E73" t="s">
        <v>28</v>
      </c>
      <c r="F73" t="s">
        <v>4</v>
      </c>
      <c r="G73" t="str">
        <f>""</f>
        <v/>
      </c>
    </row>
    <row r="74" spans="1:7" x14ac:dyDescent="0.25">
      <c r="A74" t="s">
        <v>8</v>
      </c>
      <c r="B74" s="1" t="str">
        <f>"000334762 - "</f>
        <v xml:space="preserve">000334762 - </v>
      </c>
      <c r="D74" s="1" t="str">
        <f t="shared" si="2"/>
        <v>PRG-1003201</v>
      </c>
      <c r="E74" t="s">
        <v>28</v>
      </c>
      <c r="F74" t="s">
        <v>4</v>
      </c>
      <c r="G74" t="str">
        <f>""</f>
        <v/>
      </c>
    </row>
    <row r="75" spans="1:7" x14ac:dyDescent="0.25">
      <c r="A75" t="s">
        <v>8</v>
      </c>
      <c r="B75" s="1" t="str">
        <f>"000345267 - "</f>
        <v xml:space="preserve">000345267 - </v>
      </c>
      <c r="D75" s="1" t="str">
        <f t="shared" si="2"/>
        <v>PRG-1003201</v>
      </c>
      <c r="E75" t="s">
        <v>28</v>
      </c>
      <c r="F75" t="s">
        <v>4</v>
      </c>
      <c r="G75" t="str">
        <f>""</f>
        <v/>
      </c>
    </row>
    <row r="76" spans="1:7" x14ac:dyDescent="0.25">
      <c r="A76" t="s">
        <v>8</v>
      </c>
      <c r="B76" s="1" t="str">
        <f>"2000133523 - RICH PRODUCTS BOYD GAMING"</f>
        <v>2000133523 - RICH PRODUCTS BOYD GAMING</v>
      </c>
      <c r="C76" t="s">
        <v>3852</v>
      </c>
      <c r="D76" s="1" t="str">
        <f t="shared" si="2"/>
        <v>PRG-1003201</v>
      </c>
      <c r="E76" t="s">
        <v>28</v>
      </c>
      <c r="F76" t="s">
        <v>4</v>
      </c>
      <c r="G76" t="str">
        <f>""</f>
        <v/>
      </c>
    </row>
    <row r="77" spans="1:7" x14ac:dyDescent="0.25">
      <c r="A77" t="s">
        <v>8</v>
      </c>
      <c r="B77" s="1" t="str">
        <f>"2000223214 - RICHS LV - BOYD GAMING"</f>
        <v>2000223214 - RICHS LV - BOYD GAMING</v>
      </c>
      <c r="C77" t="s">
        <v>3970</v>
      </c>
      <c r="D77" s="1" t="str">
        <f t="shared" si="2"/>
        <v>PRG-1003201</v>
      </c>
      <c r="E77" t="s">
        <v>28</v>
      </c>
      <c r="F77" t="s">
        <v>4</v>
      </c>
      <c r="G77" t="str">
        <f>""</f>
        <v/>
      </c>
    </row>
    <row r="78" spans="1:7" x14ac:dyDescent="0.25">
      <c r="A78" t="s">
        <v>8</v>
      </c>
      <c r="B78" s="1" t="str">
        <f>"2000267694 - RICHS - BOYD GAMING"</f>
        <v>2000267694 - RICHS - BOYD GAMING</v>
      </c>
      <c r="C78" t="s">
        <v>31</v>
      </c>
      <c r="D78" s="1" t="str">
        <f t="shared" si="2"/>
        <v>PRG-1003201</v>
      </c>
      <c r="E78" t="s">
        <v>28</v>
      </c>
      <c r="F78" t="s">
        <v>4</v>
      </c>
      <c r="G78" t="str">
        <f>""</f>
        <v/>
      </c>
    </row>
    <row r="79" spans="1:7" x14ac:dyDescent="0.25">
      <c r="A79" t="s">
        <v>8</v>
      </c>
      <c r="B79" s="1" t="str">
        <f>"2000327074 - RICHS-PENN NATIONAL GAMING OPCOS"</f>
        <v>2000327074 - RICHS-PENN NATIONAL GAMING OPCOS</v>
      </c>
      <c r="C79" t="s">
        <v>4030</v>
      </c>
      <c r="D79" s="1" t="str">
        <f t="shared" si="2"/>
        <v>PRG-1003201</v>
      </c>
      <c r="E79" t="s">
        <v>28</v>
      </c>
      <c r="F79" t="s">
        <v>4</v>
      </c>
      <c r="G79" t="str">
        <f>""</f>
        <v/>
      </c>
    </row>
    <row r="80" spans="1:7" x14ac:dyDescent="0.25">
      <c r="A80" t="s">
        <v>8</v>
      </c>
      <c r="B80" s="1" t="str">
        <f>"2000327746 - RICHS - BOYD GAMING"</f>
        <v>2000327746 - RICHS - BOYD GAMING</v>
      </c>
      <c r="C80" t="s">
        <v>31</v>
      </c>
      <c r="D80" s="1" t="str">
        <f t="shared" si="2"/>
        <v>PRG-1003201</v>
      </c>
      <c r="E80" t="s">
        <v>28</v>
      </c>
      <c r="F80" t="s">
        <v>4</v>
      </c>
      <c r="G80" t="str">
        <f>""</f>
        <v/>
      </c>
    </row>
    <row r="81" spans="1:7" x14ac:dyDescent="0.25">
      <c r="A81" t="s">
        <v>8</v>
      </c>
      <c r="B81" s="1" t="str">
        <f>"000076040 - Rich Foods-Granite City"</f>
        <v>000076040 - Rich Foods-Granite City</v>
      </c>
      <c r="C81" t="s">
        <v>748</v>
      </c>
      <c r="D81" s="1" t="str">
        <f t="shared" ref="D81:D118" si="3">"PRG-1003203"</f>
        <v>PRG-1003203</v>
      </c>
      <c r="E81" t="s">
        <v>749</v>
      </c>
      <c r="F81" t="s">
        <v>4</v>
      </c>
      <c r="G81" t="str">
        <f>""</f>
        <v/>
      </c>
    </row>
    <row r="82" spans="1:7" x14ac:dyDescent="0.25">
      <c r="A82" t="s">
        <v>8</v>
      </c>
      <c r="B82" s="1" t="str">
        <f>"000105183 - RICH FOODS-GRANITE CITY"</f>
        <v>000105183 - RICH FOODS-GRANITE CITY</v>
      </c>
      <c r="C82" t="s">
        <v>820</v>
      </c>
      <c r="D82" s="1" t="str">
        <f t="shared" si="3"/>
        <v>PRG-1003203</v>
      </c>
      <c r="E82" t="s">
        <v>749</v>
      </c>
      <c r="F82" t="s">
        <v>4</v>
      </c>
      <c r="G82" t="str">
        <f>""</f>
        <v/>
      </c>
    </row>
    <row r="83" spans="1:7" x14ac:dyDescent="0.25">
      <c r="A83" t="s">
        <v>8</v>
      </c>
      <c r="B83" s="1" t="str">
        <f>"000107460 - RICH FOODS-GRANITE CITY"</f>
        <v>000107460 - RICH FOODS-GRANITE CITY</v>
      </c>
      <c r="C83" t="s">
        <v>820</v>
      </c>
      <c r="D83" s="1" t="str">
        <f t="shared" si="3"/>
        <v>PRG-1003203</v>
      </c>
      <c r="E83" t="s">
        <v>749</v>
      </c>
      <c r="F83" t="s">
        <v>4</v>
      </c>
      <c r="G83" t="str">
        <f>""</f>
        <v/>
      </c>
    </row>
    <row r="84" spans="1:7" x14ac:dyDescent="0.25">
      <c r="A84" t="s">
        <v>8</v>
      </c>
      <c r="B84" s="1" t="str">
        <f>"000126524 - RICH FOODS-GRANITE CITY"</f>
        <v>000126524 - RICH FOODS-GRANITE CITY</v>
      </c>
      <c r="C84" t="s">
        <v>820</v>
      </c>
      <c r="D84" s="1" t="str">
        <f t="shared" si="3"/>
        <v>PRG-1003203</v>
      </c>
      <c r="E84" t="s">
        <v>749</v>
      </c>
      <c r="F84" t="s">
        <v>4</v>
      </c>
      <c r="G84" t="str">
        <f>""</f>
        <v/>
      </c>
    </row>
    <row r="85" spans="1:7" x14ac:dyDescent="0.25">
      <c r="A85" t="s">
        <v>8</v>
      </c>
      <c r="B85" s="1" t="str">
        <f>"000128594 - RICH FOODS-GRANITE CITY"</f>
        <v>000128594 - RICH FOODS-GRANITE CITY</v>
      </c>
      <c r="C85" t="s">
        <v>820</v>
      </c>
      <c r="D85" s="1" t="str">
        <f t="shared" si="3"/>
        <v>PRG-1003203</v>
      </c>
      <c r="E85" t="s">
        <v>749</v>
      </c>
      <c r="F85" t="s">
        <v>4</v>
      </c>
      <c r="G85" t="str">
        <f>""</f>
        <v/>
      </c>
    </row>
    <row r="86" spans="1:7" x14ac:dyDescent="0.25">
      <c r="A86" t="s">
        <v>8</v>
      </c>
      <c r="B86" s="1" t="str">
        <f>"000133876 - RICH FOODS-GRANITE CITY"</f>
        <v>000133876 - RICH FOODS-GRANITE CITY</v>
      </c>
      <c r="C86" t="s">
        <v>820</v>
      </c>
      <c r="D86" s="1" t="str">
        <f t="shared" si="3"/>
        <v>PRG-1003203</v>
      </c>
      <c r="E86" t="s">
        <v>749</v>
      </c>
      <c r="F86" t="s">
        <v>4</v>
      </c>
      <c r="G86" t="str">
        <f>""</f>
        <v/>
      </c>
    </row>
    <row r="87" spans="1:7" x14ac:dyDescent="0.25">
      <c r="A87" t="s">
        <v>8</v>
      </c>
      <c r="B87" s="1" t="str">
        <f>"000187094 - RICH FOODS-GRANITE CITY"</f>
        <v>000187094 - RICH FOODS-GRANITE CITY</v>
      </c>
      <c r="C87" t="s">
        <v>820</v>
      </c>
      <c r="D87" s="1" t="str">
        <f t="shared" si="3"/>
        <v>PRG-1003203</v>
      </c>
      <c r="E87" t="s">
        <v>749</v>
      </c>
      <c r="F87" t="s">
        <v>4</v>
      </c>
      <c r="G87" t="str">
        <f>""</f>
        <v/>
      </c>
    </row>
    <row r="88" spans="1:7" x14ac:dyDescent="0.25">
      <c r="A88" t="s">
        <v>8</v>
      </c>
      <c r="B88" s="1" t="str">
        <f>"000189494 - RICH FOODS-GRANITE CITY"</f>
        <v>000189494 - RICH FOODS-GRANITE CITY</v>
      </c>
      <c r="C88" t="s">
        <v>820</v>
      </c>
      <c r="D88" s="1" t="str">
        <f t="shared" si="3"/>
        <v>PRG-1003203</v>
      </c>
      <c r="E88" t="s">
        <v>749</v>
      </c>
      <c r="F88" t="s">
        <v>4</v>
      </c>
      <c r="G88" t="str">
        <f>""</f>
        <v/>
      </c>
    </row>
    <row r="89" spans="1:7" x14ac:dyDescent="0.25">
      <c r="A89" t="s">
        <v>8</v>
      </c>
      <c r="B89" s="1" t="str">
        <f>"000191578 - BB GRANITE FOB RICH"</f>
        <v>000191578 - BB GRANITE FOB RICH</v>
      </c>
      <c r="C89" t="s">
        <v>1212</v>
      </c>
      <c r="D89" s="1" t="str">
        <f t="shared" si="3"/>
        <v>PRG-1003203</v>
      </c>
      <c r="E89" t="s">
        <v>749</v>
      </c>
      <c r="F89" t="s">
        <v>4</v>
      </c>
      <c r="G89" t="str">
        <f>""</f>
        <v/>
      </c>
    </row>
    <row r="90" spans="1:7" x14ac:dyDescent="0.25">
      <c r="A90" t="s">
        <v>8</v>
      </c>
      <c r="B90" s="1" t="str">
        <f>"000192204 - RICH FOODS-GRANITE CITY"</f>
        <v>000192204 - RICH FOODS-GRANITE CITY</v>
      </c>
      <c r="C90" t="s">
        <v>820</v>
      </c>
      <c r="D90" s="1" t="str">
        <f t="shared" si="3"/>
        <v>PRG-1003203</v>
      </c>
      <c r="E90" t="s">
        <v>749</v>
      </c>
      <c r="F90" t="s">
        <v>4</v>
      </c>
      <c r="G90" t="str">
        <f>""</f>
        <v/>
      </c>
    </row>
    <row r="91" spans="1:7" x14ac:dyDescent="0.25">
      <c r="A91" t="s">
        <v>8</v>
      </c>
      <c r="B91" s="1" t="str">
        <f>"000200722 - GRANITE CITY FOB RICH"</f>
        <v>000200722 - GRANITE CITY FOB RICH</v>
      </c>
      <c r="C91" t="s">
        <v>1306</v>
      </c>
      <c r="D91" s="1" t="str">
        <f t="shared" si="3"/>
        <v>PRG-1003203</v>
      </c>
      <c r="E91" t="s">
        <v>749</v>
      </c>
      <c r="F91" t="s">
        <v>4</v>
      </c>
      <c r="G91" t="str">
        <f>""</f>
        <v/>
      </c>
    </row>
    <row r="92" spans="1:7" x14ac:dyDescent="0.25">
      <c r="A92" t="s">
        <v>8</v>
      </c>
      <c r="B92" s="1" t="str">
        <f>"000202204 - RICH FOODS-GRANITE CITY"</f>
        <v>000202204 - RICH FOODS-GRANITE CITY</v>
      </c>
      <c r="C92" t="s">
        <v>820</v>
      </c>
      <c r="D92" s="1" t="str">
        <f t="shared" si="3"/>
        <v>PRG-1003203</v>
      </c>
      <c r="E92" t="s">
        <v>749</v>
      </c>
      <c r="F92" t="s">
        <v>4</v>
      </c>
      <c r="G92" t="str">
        <f>""</f>
        <v/>
      </c>
    </row>
    <row r="93" spans="1:7" x14ac:dyDescent="0.25">
      <c r="A93" t="s">
        <v>8</v>
      </c>
      <c r="B93" s="1" t="str">
        <f>"000202370 - RICH FOODS-GRANITE CITY"</f>
        <v>000202370 - RICH FOODS-GRANITE CITY</v>
      </c>
      <c r="C93" t="s">
        <v>820</v>
      </c>
      <c r="D93" s="1" t="str">
        <f t="shared" si="3"/>
        <v>PRG-1003203</v>
      </c>
      <c r="E93" t="s">
        <v>749</v>
      </c>
      <c r="F93" t="s">
        <v>4</v>
      </c>
      <c r="G93" t="str">
        <f>""</f>
        <v/>
      </c>
    </row>
    <row r="94" spans="1:7" x14ac:dyDescent="0.25">
      <c r="A94" t="s">
        <v>8</v>
      </c>
      <c r="B94" s="1" t="str">
        <f>"000203968 - BB GRANITE CITY FOB RICHS"</f>
        <v>000203968 - BB GRANITE CITY FOB RICHS</v>
      </c>
      <c r="C94" t="s">
        <v>1347</v>
      </c>
      <c r="D94" s="1" t="str">
        <f t="shared" si="3"/>
        <v>PRG-1003203</v>
      </c>
      <c r="E94" t="s">
        <v>749</v>
      </c>
      <c r="F94" t="s">
        <v>4</v>
      </c>
      <c r="G94" t="str">
        <f>""</f>
        <v/>
      </c>
    </row>
    <row r="95" spans="1:7" x14ac:dyDescent="0.25">
      <c r="A95" t="s">
        <v>8</v>
      </c>
      <c r="B95" s="1" t="str">
        <f>"000206036 - BB GRANITE FOB RICH"</f>
        <v>000206036 - BB GRANITE FOB RICH</v>
      </c>
      <c r="C95" t="s">
        <v>1212</v>
      </c>
      <c r="D95" s="1" t="str">
        <f t="shared" si="3"/>
        <v>PRG-1003203</v>
      </c>
      <c r="E95" t="s">
        <v>749</v>
      </c>
      <c r="F95" t="s">
        <v>4</v>
      </c>
      <c r="G95" t="str">
        <f>""</f>
        <v/>
      </c>
    </row>
    <row r="96" spans="1:7" x14ac:dyDescent="0.25">
      <c r="A96" t="s">
        <v>8</v>
      </c>
      <c r="B96" s="1" t="str">
        <f>"000208050 - RICH FOODS-GRANITE CITY"</f>
        <v>000208050 - RICH FOODS-GRANITE CITY</v>
      </c>
      <c r="C96" t="s">
        <v>820</v>
      </c>
      <c r="D96" s="1" t="str">
        <f t="shared" si="3"/>
        <v>PRG-1003203</v>
      </c>
      <c r="E96" t="s">
        <v>749</v>
      </c>
      <c r="F96" t="s">
        <v>4</v>
      </c>
      <c r="G96" t="str">
        <f>""</f>
        <v/>
      </c>
    </row>
    <row r="97" spans="1:7" x14ac:dyDescent="0.25">
      <c r="A97" t="s">
        <v>8</v>
      </c>
      <c r="B97" s="1" t="str">
        <f>"000210915 - RICH FOODS-GRANITE CITY"</f>
        <v>000210915 - RICH FOODS-GRANITE CITY</v>
      </c>
      <c r="C97" t="s">
        <v>820</v>
      </c>
      <c r="D97" s="1" t="str">
        <f t="shared" si="3"/>
        <v>PRG-1003203</v>
      </c>
      <c r="E97" t="s">
        <v>749</v>
      </c>
      <c r="F97" t="s">
        <v>4</v>
      </c>
      <c r="G97" t="str">
        <f>""</f>
        <v/>
      </c>
    </row>
    <row r="98" spans="1:7" x14ac:dyDescent="0.25">
      <c r="A98" t="s">
        <v>8</v>
      </c>
      <c r="B98" s="1" t="str">
        <f>"000213018 - rich foods-granite city"</f>
        <v>000213018 - rich foods-granite city</v>
      </c>
      <c r="C98" t="s">
        <v>1472</v>
      </c>
      <c r="D98" s="1" t="str">
        <f t="shared" si="3"/>
        <v>PRG-1003203</v>
      </c>
      <c r="E98" t="s">
        <v>749</v>
      </c>
      <c r="F98" t="s">
        <v>4</v>
      </c>
      <c r="G98" t="str">
        <f>""</f>
        <v/>
      </c>
    </row>
    <row r="99" spans="1:7" x14ac:dyDescent="0.25">
      <c r="A99" t="s">
        <v>8</v>
      </c>
      <c r="B99" s="1" t="str">
        <f>"000214622 - RICH FOODS-GRANITE CITY"</f>
        <v>000214622 - RICH FOODS-GRANITE CITY</v>
      </c>
      <c r="C99" t="s">
        <v>820</v>
      </c>
      <c r="D99" s="1" t="str">
        <f t="shared" si="3"/>
        <v>PRG-1003203</v>
      </c>
      <c r="E99" t="s">
        <v>749</v>
      </c>
      <c r="F99" t="s">
        <v>4</v>
      </c>
      <c r="G99" t="str">
        <f>""</f>
        <v/>
      </c>
    </row>
    <row r="100" spans="1:7" x14ac:dyDescent="0.25">
      <c r="A100" t="s">
        <v>8</v>
      </c>
      <c r="B100" s="1" t="str">
        <f>"000217231 - RICH FOODS-GRANITE CITY"</f>
        <v>000217231 - RICH FOODS-GRANITE CITY</v>
      </c>
      <c r="C100" t="s">
        <v>820</v>
      </c>
      <c r="D100" s="1" t="str">
        <f t="shared" si="3"/>
        <v>PRG-1003203</v>
      </c>
      <c r="E100" t="s">
        <v>749</v>
      </c>
      <c r="F100" t="s">
        <v>4</v>
      </c>
      <c r="G100" t="str">
        <f>""</f>
        <v/>
      </c>
    </row>
    <row r="101" spans="1:7" x14ac:dyDescent="0.25">
      <c r="A101" t="s">
        <v>8</v>
      </c>
      <c r="B101" s="1" t="str">
        <f>"000219708 - RICH FOODS-GRANITE CITY"</f>
        <v>000219708 - RICH FOODS-GRANITE CITY</v>
      </c>
      <c r="C101" t="s">
        <v>820</v>
      </c>
      <c r="D101" s="1" t="str">
        <f t="shared" si="3"/>
        <v>PRG-1003203</v>
      </c>
      <c r="E101" t="s">
        <v>749</v>
      </c>
      <c r="F101" t="s">
        <v>4</v>
      </c>
      <c r="G101" t="str">
        <f>""</f>
        <v/>
      </c>
    </row>
    <row r="102" spans="1:7" x14ac:dyDescent="0.25">
      <c r="A102" t="s">
        <v>8</v>
      </c>
      <c r="B102" s="1" t="str">
        <f>"000222373 - RICH FOODS-GRANITE CITY"</f>
        <v>000222373 - RICH FOODS-GRANITE CITY</v>
      </c>
      <c r="C102" t="s">
        <v>820</v>
      </c>
      <c r="D102" s="1" t="str">
        <f t="shared" si="3"/>
        <v>PRG-1003203</v>
      </c>
      <c r="E102" t="s">
        <v>749</v>
      </c>
      <c r="F102" t="s">
        <v>4</v>
      </c>
      <c r="G102" t="str">
        <f>""</f>
        <v/>
      </c>
    </row>
    <row r="103" spans="1:7" x14ac:dyDescent="0.25">
      <c r="A103" t="s">
        <v>8</v>
      </c>
      <c r="B103" s="1" t="str">
        <f>"000232564 - Rich Foods-Granite City"</f>
        <v>000232564 - Rich Foods-Granite City</v>
      </c>
      <c r="C103" t="s">
        <v>748</v>
      </c>
      <c r="D103" s="1" t="str">
        <f t="shared" si="3"/>
        <v>PRG-1003203</v>
      </c>
      <c r="E103" t="s">
        <v>749</v>
      </c>
      <c r="F103" t="s">
        <v>4</v>
      </c>
      <c r="G103" t="str">
        <f>""</f>
        <v/>
      </c>
    </row>
    <row r="104" spans="1:7" x14ac:dyDescent="0.25">
      <c r="A104" t="s">
        <v>8</v>
      </c>
      <c r="B104" s="1" t="str">
        <f>"000238967 - RICH FOODS-GRANITE CITY"</f>
        <v>000238967 - RICH FOODS-GRANITE CITY</v>
      </c>
      <c r="C104" t="s">
        <v>820</v>
      </c>
      <c r="D104" s="1" t="str">
        <f t="shared" si="3"/>
        <v>PRG-1003203</v>
      </c>
      <c r="E104" t="s">
        <v>749</v>
      </c>
      <c r="F104" t="s">
        <v>4</v>
      </c>
      <c r="G104" t="str">
        <f>""</f>
        <v/>
      </c>
    </row>
    <row r="105" spans="1:7" x14ac:dyDescent="0.25">
      <c r="A105" t="s">
        <v>8</v>
      </c>
      <c r="B105" s="1" t="str">
        <f>"000240600 - RICH FOODS-GRANITE CITY"</f>
        <v>000240600 - RICH FOODS-GRANITE CITY</v>
      </c>
      <c r="C105" t="s">
        <v>820</v>
      </c>
      <c r="D105" s="1" t="str">
        <f t="shared" si="3"/>
        <v>PRG-1003203</v>
      </c>
      <c r="E105" t="s">
        <v>749</v>
      </c>
      <c r="F105" t="s">
        <v>4</v>
      </c>
      <c r="G105" t="str">
        <f>""</f>
        <v/>
      </c>
    </row>
    <row r="106" spans="1:7" x14ac:dyDescent="0.25">
      <c r="A106" t="s">
        <v>8</v>
      </c>
      <c r="B106" s="1" t="str">
        <f>"000241726 - RICH FOODS-GRANITE CITY"</f>
        <v>000241726 - RICH FOODS-GRANITE CITY</v>
      </c>
      <c r="C106" t="s">
        <v>820</v>
      </c>
      <c r="D106" s="1" t="str">
        <f t="shared" si="3"/>
        <v>PRG-1003203</v>
      </c>
      <c r="E106" t="s">
        <v>749</v>
      </c>
      <c r="F106" t="s">
        <v>4</v>
      </c>
      <c r="G106" t="str">
        <f>""</f>
        <v/>
      </c>
    </row>
    <row r="107" spans="1:7" x14ac:dyDescent="0.25">
      <c r="A107" t="s">
        <v>8</v>
      </c>
      <c r="B107" s="1" t="str">
        <f>"000245784 - RICH FOODS-GRANITE CITY"</f>
        <v>000245784 - RICH FOODS-GRANITE CITY</v>
      </c>
      <c r="C107" t="s">
        <v>820</v>
      </c>
      <c r="D107" s="1" t="str">
        <f t="shared" si="3"/>
        <v>PRG-1003203</v>
      </c>
      <c r="E107" t="s">
        <v>749</v>
      </c>
      <c r="F107" t="s">
        <v>4</v>
      </c>
      <c r="G107" t="str">
        <f>""</f>
        <v/>
      </c>
    </row>
    <row r="108" spans="1:7" x14ac:dyDescent="0.25">
      <c r="A108" t="s">
        <v>8</v>
      </c>
      <c r="B108" s="1" t="str">
        <f>"000248233 - RICH FOODS-GRANITE CITY"</f>
        <v>000248233 - RICH FOODS-GRANITE CITY</v>
      </c>
      <c r="C108" t="s">
        <v>820</v>
      </c>
      <c r="D108" s="1" t="str">
        <f t="shared" si="3"/>
        <v>PRG-1003203</v>
      </c>
      <c r="E108" t="s">
        <v>749</v>
      </c>
      <c r="F108" t="s">
        <v>4</v>
      </c>
      <c r="G108" t="str">
        <f>""</f>
        <v/>
      </c>
    </row>
    <row r="109" spans="1:7" x14ac:dyDescent="0.25">
      <c r="A109" t="s">
        <v>8</v>
      </c>
      <c r="B109" s="1" t="str">
        <f>"000250528 - RICH FOODS-GRANITE CITY"</f>
        <v>000250528 - RICH FOODS-GRANITE CITY</v>
      </c>
      <c r="C109" t="s">
        <v>820</v>
      </c>
      <c r="D109" s="1" t="str">
        <f t="shared" si="3"/>
        <v>PRG-1003203</v>
      </c>
      <c r="E109" t="s">
        <v>749</v>
      </c>
      <c r="F109" t="s">
        <v>4</v>
      </c>
      <c r="G109" t="str">
        <f>""</f>
        <v/>
      </c>
    </row>
    <row r="110" spans="1:7" x14ac:dyDescent="0.25">
      <c r="A110" t="s">
        <v>8</v>
      </c>
      <c r="B110" s="1" t="str">
        <f>"000252347 - RICH FOODS-GRANITE CITY"</f>
        <v>000252347 - RICH FOODS-GRANITE CITY</v>
      </c>
      <c r="C110" t="s">
        <v>820</v>
      </c>
      <c r="D110" s="1" t="str">
        <f t="shared" si="3"/>
        <v>PRG-1003203</v>
      </c>
      <c r="E110" t="s">
        <v>749</v>
      </c>
      <c r="F110" t="s">
        <v>4</v>
      </c>
      <c r="G110" t="str">
        <f>""</f>
        <v/>
      </c>
    </row>
    <row r="111" spans="1:7" x14ac:dyDescent="0.25">
      <c r="A111" t="s">
        <v>8</v>
      </c>
      <c r="B111" s="1" t="str">
        <f>"000265423 - RICH FOODS-GRANITE CITY"</f>
        <v>000265423 - RICH FOODS-GRANITE CITY</v>
      </c>
      <c r="C111" t="s">
        <v>820</v>
      </c>
      <c r="D111" s="1" t="str">
        <f t="shared" si="3"/>
        <v>PRG-1003203</v>
      </c>
      <c r="E111" t="s">
        <v>749</v>
      </c>
      <c r="F111" t="s">
        <v>4</v>
      </c>
      <c r="G111" t="str">
        <f>""</f>
        <v/>
      </c>
    </row>
    <row r="112" spans="1:7" x14ac:dyDescent="0.25">
      <c r="A112" t="s">
        <v>8</v>
      </c>
      <c r="B112" s="1" t="str">
        <f>"000279521 - RICH FOODS-GRANITE CITY"</f>
        <v>000279521 - RICH FOODS-GRANITE CITY</v>
      </c>
      <c r="C112" t="s">
        <v>820</v>
      </c>
      <c r="D112" s="1" t="str">
        <f t="shared" si="3"/>
        <v>PRG-1003203</v>
      </c>
      <c r="E112" t="s">
        <v>749</v>
      </c>
      <c r="F112" t="s">
        <v>4</v>
      </c>
      <c r="G112" t="str">
        <f>""</f>
        <v/>
      </c>
    </row>
    <row r="113" spans="1:7" x14ac:dyDescent="0.25">
      <c r="A113" t="s">
        <v>8</v>
      </c>
      <c r="B113" s="1" t="str">
        <f>"000282252 - RICH FOODS-GRANITE CITY"</f>
        <v>000282252 - RICH FOODS-GRANITE CITY</v>
      </c>
      <c r="C113" t="s">
        <v>820</v>
      </c>
      <c r="D113" s="1" t="str">
        <f t="shared" si="3"/>
        <v>PRG-1003203</v>
      </c>
      <c r="E113" t="s">
        <v>749</v>
      </c>
      <c r="F113" t="s">
        <v>4</v>
      </c>
      <c r="G113" t="str">
        <f>""</f>
        <v/>
      </c>
    </row>
    <row r="114" spans="1:7" x14ac:dyDescent="0.25">
      <c r="A114" t="s">
        <v>8</v>
      </c>
      <c r="B114" s="1" t="str">
        <f>"000283746 - RICH FOODS-GRANITE CITY"</f>
        <v>000283746 - RICH FOODS-GRANITE CITY</v>
      </c>
      <c r="C114" t="s">
        <v>820</v>
      </c>
      <c r="D114" s="1" t="str">
        <f t="shared" si="3"/>
        <v>PRG-1003203</v>
      </c>
      <c r="E114" t="s">
        <v>749</v>
      </c>
      <c r="F114" t="s">
        <v>4</v>
      </c>
      <c r="G114" t="str">
        <f>""</f>
        <v/>
      </c>
    </row>
    <row r="115" spans="1:7" x14ac:dyDescent="0.25">
      <c r="A115" t="s">
        <v>8</v>
      </c>
      <c r="B115" s="1" t="str">
        <f>"000287677 - RICH FOODS-GRANITE CITY"</f>
        <v>000287677 - RICH FOODS-GRANITE CITY</v>
      </c>
      <c r="C115" t="s">
        <v>820</v>
      </c>
      <c r="D115" s="1" t="str">
        <f t="shared" si="3"/>
        <v>PRG-1003203</v>
      </c>
      <c r="E115" t="s">
        <v>749</v>
      </c>
      <c r="F115" t="s">
        <v>4</v>
      </c>
      <c r="G115" t="str">
        <f>""</f>
        <v/>
      </c>
    </row>
    <row r="116" spans="1:7" x14ac:dyDescent="0.25">
      <c r="A116" t="s">
        <v>8</v>
      </c>
      <c r="B116" s="1" t="str">
        <f>"000297818 - RICH FOODS-GRANITE CITY"</f>
        <v>000297818 - RICH FOODS-GRANITE CITY</v>
      </c>
      <c r="C116" t="s">
        <v>820</v>
      </c>
      <c r="D116" s="1" t="str">
        <f t="shared" si="3"/>
        <v>PRG-1003203</v>
      </c>
      <c r="E116" t="s">
        <v>749</v>
      </c>
      <c r="F116" t="s">
        <v>4</v>
      </c>
      <c r="G116" t="str">
        <f>""</f>
        <v/>
      </c>
    </row>
    <row r="117" spans="1:7" x14ac:dyDescent="0.25">
      <c r="A117" t="s">
        <v>8</v>
      </c>
      <c r="B117" s="1" t="str">
        <f>"000300946 - RICH FOODS-GRANITE CITY"</f>
        <v>000300946 - RICH FOODS-GRANITE CITY</v>
      </c>
      <c r="C117" t="s">
        <v>820</v>
      </c>
      <c r="D117" s="1" t="str">
        <f t="shared" si="3"/>
        <v>PRG-1003203</v>
      </c>
      <c r="E117" t="s">
        <v>749</v>
      </c>
      <c r="F117" t="s">
        <v>4</v>
      </c>
      <c r="G117" t="str">
        <f>""</f>
        <v/>
      </c>
    </row>
    <row r="118" spans="1:7" x14ac:dyDescent="0.25">
      <c r="A118" t="s">
        <v>8</v>
      </c>
      <c r="B118" s="1" t="str">
        <f>"000324799 - RICH FOODS-GRANITE CITY"</f>
        <v>000324799 - RICH FOODS-GRANITE CITY</v>
      </c>
      <c r="C118" t="s">
        <v>820</v>
      </c>
      <c r="D118" s="1" t="str">
        <f t="shared" si="3"/>
        <v>PRG-1003203</v>
      </c>
      <c r="E118" t="s">
        <v>749</v>
      </c>
      <c r="F118" t="s">
        <v>4</v>
      </c>
      <c r="G118" t="str">
        <f>""</f>
        <v/>
      </c>
    </row>
    <row r="119" spans="1:7" x14ac:dyDescent="0.25">
      <c r="A119" t="s">
        <v>8</v>
      </c>
      <c r="B119" s="1" t="str">
        <f>"000287643 - RICH FOODS DC-MEXICAN REST"</f>
        <v>000287643 - RICH FOODS DC-MEXICAN REST</v>
      </c>
      <c r="C119" t="s">
        <v>2765</v>
      </c>
      <c r="D119" s="1" t="str">
        <f>"PRG-1003242"</f>
        <v>PRG-1003242</v>
      </c>
      <c r="E119" t="s">
        <v>2766</v>
      </c>
      <c r="F119" t="s">
        <v>4</v>
      </c>
      <c r="G119" t="str">
        <f>""</f>
        <v/>
      </c>
    </row>
    <row r="120" spans="1:7" x14ac:dyDescent="0.25">
      <c r="A120" t="s">
        <v>8</v>
      </c>
      <c r="B120" s="1" t="str">
        <f>"000307924 - RICH FOODS DC-MEXICAN REST"</f>
        <v>000307924 - RICH FOODS DC-MEXICAN REST</v>
      </c>
      <c r="C120" t="s">
        <v>2765</v>
      </c>
      <c r="D120" s="1" t="str">
        <f>"PRG-1003242"</f>
        <v>PRG-1003242</v>
      </c>
      <c r="E120" t="s">
        <v>2766</v>
      </c>
      <c r="F120" t="s">
        <v>4</v>
      </c>
      <c r="G120" t="str">
        <f>""</f>
        <v/>
      </c>
    </row>
    <row r="121" spans="1:7" x14ac:dyDescent="0.25">
      <c r="A121" t="s">
        <v>8</v>
      </c>
      <c r="B121" s="1" t="str">
        <f>"000316667 - "</f>
        <v xml:space="preserve">000316667 - </v>
      </c>
      <c r="D121" s="1" t="str">
        <f>"PRG-1003242"</f>
        <v>PRG-1003242</v>
      </c>
      <c r="E121" t="s">
        <v>2766</v>
      </c>
      <c r="F121" t="s">
        <v>4</v>
      </c>
      <c r="G121" t="str">
        <f>""</f>
        <v/>
      </c>
    </row>
    <row r="122" spans="1:7" x14ac:dyDescent="0.25">
      <c r="A122" t="s">
        <v>8</v>
      </c>
      <c r="B122" s="1" t="str">
        <f>"000312167 - RICH FOODS-BLACK ANGUS"</f>
        <v>000312167 - RICH FOODS-BLACK ANGUS</v>
      </c>
      <c r="C122" t="s">
        <v>188</v>
      </c>
      <c r="D122" s="1" t="str">
        <f>"PRG-1003347"</f>
        <v>PRG-1003347</v>
      </c>
      <c r="E122" t="s">
        <v>3129</v>
      </c>
      <c r="F122" t="s">
        <v>4</v>
      </c>
      <c r="G122" t="str">
        <f>""</f>
        <v/>
      </c>
    </row>
    <row r="123" spans="1:7" x14ac:dyDescent="0.25">
      <c r="A123" t="s">
        <v>8</v>
      </c>
      <c r="B123" s="1" t="str">
        <f>"000361369 - RICH FOODS-BLACK ANGUS"</f>
        <v>000361369 - RICH FOODS-BLACK ANGUS</v>
      </c>
      <c r="C123" t="s">
        <v>188</v>
      </c>
      <c r="D123" s="1" t="str">
        <f>"PRG-1003347"</f>
        <v>PRG-1003347</v>
      </c>
      <c r="E123" t="s">
        <v>3129</v>
      </c>
      <c r="F123" t="s">
        <v>4</v>
      </c>
      <c r="G123" t="str">
        <f>""</f>
        <v/>
      </c>
    </row>
    <row r="124" spans="1:7" x14ac:dyDescent="0.25">
      <c r="A124" t="s">
        <v>8</v>
      </c>
      <c r="B124" s="1" t="str">
        <f>"2000132510 - RICH FOODS-BLACK ANGUS"</f>
        <v>2000132510 - RICH FOODS-BLACK ANGUS</v>
      </c>
      <c r="C124" t="s">
        <v>188</v>
      </c>
      <c r="D124" s="1" t="str">
        <f>"PRG-1003347"</f>
        <v>PRG-1003347</v>
      </c>
      <c r="E124" t="s">
        <v>3129</v>
      </c>
      <c r="F124" t="s">
        <v>4</v>
      </c>
      <c r="G124" t="str">
        <f>""</f>
        <v/>
      </c>
    </row>
    <row r="125" spans="1:7" x14ac:dyDescent="0.25">
      <c r="A125" t="s">
        <v>8</v>
      </c>
      <c r="B125" s="1" t="str">
        <f>"2000230600 - RICH FOODS-BLACK ANGUS"</f>
        <v>2000230600 - RICH FOODS-BLACK ANGUS</v>
      </c>
      <c r="C125" t="s">
        <v>188</v>
      </c>
      <c r="D125" s="1" t="str">
        <f>"PRG-1003347"</f>
        <v>PRG-1003347</v>
      </c>
      <c r="E125" t="s">
        <v>3129</v>
      </c>
      <c r="F125" t="s">
        <v>4</v>
      </c>
      <c r="G125" t="str">
        <f>""</f>
        <v/>
      </c>
    </row>
    <row r="126" spans="1:7" x14ac:dyDescent="0.25">
      <c r="A126" t="s">
        <v>8</v>
      </c>
      <c r="B126" s="1" t="str">
        <f>"2000432666 - RICH FOODS-BLACK ANGUS"</f>
        <v>2000432666 - RICH FOODS-BLACK ANGUS</v>
      </c>
      <c r="C126" t="s">
        <v>188</v>
      </c>
      <c r="D126" s="1" t="str">
        <f>"PRG-1003347"</f>
        <v>PRG-1003347</v>
      </c>
      <c r="E126" t="s">
        <v>3129</v>
      </c>
      <c r="F126" t="s">
        <v>4</v>
      </c>
      <c r="G126" t="str">
        <f>""</f>
        <v/>
      </c>
    </row>
    <row r="127" spans="1:7" x14ac:dyDescent="0.25">
      <c r="A127" t="s">
        <v>8</v>
      </c>
      <c r="B127" s="1" t="str">
        <f>"2000209424 - RICH DEN-UNIV MEMORIAL CENTER"</f>
        <v>2000209424 - RICH DEN-UNIV MEMORIAL CENTER</v>
      </c>
      <c r="C127" t="s">
        <v>3952</v>
      </c>
      <c r="D127" s="1" t="str">
        <f>"PRG-1003398"</f>
        <v>PRG-1003398</v>
      </c>
      <c r="E127" t="s">
        <v>3953</v>
      </c>
      <c r="F127" t="s">
        <v>4</v>
      </c>
      <c r="G127" t="str">
        <f>""</f>
        <v/>
      </c>
    </row>
    <row r="128" spans="1:7" x14ac:dyDescent="0.25">
      <c r="A128" t="s">
        <v>8</v>
      </c>
      <c r="B128" s="1" t="str">
        <f>"000031029 - RICHS BMW SIZZLER"</f>
        <v>000031029 - RICHS BMW SIZZLER</v>
      </c>
      <c r="C128" t="s">
        <v>496</v>
      </c>
      <c r="D128" s="1" t="str">
        <f t="shared" ref="D128:D175" si="4">"PRG-1003509"</f>
        <v>PRG-1003509</v>
      </c>
      <c r="E128" t="s">
        <v>497</v>
      </c>
      <c r="F128" t="s">
        <v>4</v>
      </c>
      <c r="G128" t="str">
        <f>""</f>
        <v/>
      </c>
    </row>
    <row r="129" spans="1:7" x14ac:dyDescent="0.25">
      <c r="A129" t="s">
        <v>8</v>
      </c>
      <c r="B129" s="1" t="str">
        <f>"000039000 - RICH FOODS - SIZZLER"</f>
        <v>000039000 - RICH FOODS - SIZZLER</v>
      </c>
      <c r="C129" t="s">
        <v>563</v>
      </c>
      <c r="D129" s="1" t="str">
        <f t="shared" si="4"/>
        <v>PRG-1003509</v>
      </c>
      <c r="E129" t="s">
        <v>497</v>
      </c>
      <c r="F129" t="s">
        <v>4</v>
      </c>
      <c r="G129" t="str">
        <f>""</f>
        <v/>
      </c>
    </row>
    <row r="130" spans="1:7" x14ac:dyDescent="0.25">
      <c r="A130" t="s">
        <v>8</v>
      </c>
      <c r="B130" s="1" t="str">
        <f>"000041630 - RICH - SIZZLER"</f>
        <v>000041630 - RICH - SIZZLER</v>
      </c>
      <c r="C130" t="s">
        <v>588</v>
      </c>
      <c r="D130" s="1" t="str">
        <f t="shared" si="4"/>
        <v>PRG-1003509</v>
      </c>
      <c r="E130" t="s">
        <v>497</v>
      </c>
      <c r="F130" t="s">
        <v>4</v>
      </c>
      <c r="G130" t="str">
        <f>""</f>
        <v/>
      </c>
    </row>
    <row r="131" spans="1:7" x14ac:dyDescent="0.25">
      <c r="A131" t="s">
        <v>8</v>
      </c>
      <c r="B131" s="1" t="str">
        <f>"000051088 - RICH PRODUCTS-SIZZLER"</f>
        <v>000051088 - RICH PRODUCTS-SIZZLER</v>
      </c>
      <c r="C131" t="s">
        <v>210</v>
      </c>
      <c r="D131" s="1" t="str">
        <f t="shared" si="4"/>
        <v>PRG-1003509</v>
      </c>
      <c r="E131" t="s">
        <v>497</v>
      </c>
      <c r="F131" t="s">
        <v>4</v>
      </c>
      <c r="G131" t="str">
        <f>""</f>
        <v/>
      </c>
    </row>
    <row r="132" spans="1:7" x14ac:dyDescent="0.25">
      <c r="A132" t="s">
        <v>8</v>
      </c>
      <c r="B132" s="1" t="str">
        <f>"000061769 - RICH TOP PUDDING-SIZZLER"</f>
        <v>000061769 - RICH TOP PUDDING-SIZZLER</v>
      </c>
      <c r="C132" t="s">
        <v>707</v>
      </c>
      <c r="D132" s="1" t="str">
        <f t="shared" si="4"/>
        <v>PRG-1003509</v>
      </c>
      <c r="E132" t="s">
        <v>497</v>
      </c>
      <c r="F132" t="s">
        <v>4</v>
      </c>
      <c r="G132" t="str">
        <f>""</f>
        <v/>
      </c>
    </row>
    <row r="133" spans="1:7" x14ac:dyDescent="0.25">
      <c r="A133" t="s">
        <v>8</v>
      </c>
      <c r="B133" s="1" t="str">
        <f>"000233823 - SIZZLER RICH PRODUCTS"</f>
        <v>000233823 - SIZZLER RICH PRODUCTS</v>
      </c>
      <c r="C133" t="s">
        <v>1813</v>
      </c>
      <c r="D133" s="1" t="str">
        <f t="shared" si="4"/>
        <v>PRG-1003509</v>
      </c>
      <c r="E133" t="s">
        <v>497</v>
      </c>
      <c r="F133" t="s">
        <v>4</v>
      </c>
      <c r="G133" t="str">
        <f>""</f>
        <v/>
      </c>
    </row>
    <row r="134" spans="1:7" x14ac:dyDescent="0.25">
      <c r="A134" t="s">
        <v>8</v>
      </c>
      <c r="B134" s="1" t="str">
        <f>"000242504 - SIZZLER RICH PRODUCTS"</f>
        <v>000242504 - SIZZLER RICH PRODUCTS</v>
      </c>
      <c r="C134" t="s">
        <v>1813</v>
      </c>
      <c r="D134" s="1" t="str">
        <f t="shared" si="4"/>
        <v>PRG-1003509</v>
      </c>
      <c r="E134" t="s">
        <v>497</v>
      </c>
      <c r="F134" t="s">
        <v>4</v>
      </c>
      <c r="G134" t="str">
        <f>""</f>
        <v/>
      </c>
    </row>
    <row r="135" spans="1:7" x14ac:dyDescent="0.25">
      <c r="A135" t="s">
        <v>8</v>
      </c>
      <c r="B135" s="1" t="str">
        <f>"000244789 - RICH PROD-SIZZLER"</f>
        <v>000244789 - RICH PROD-SIZZLER</v>
      </c>
      <c r="C135" t="s">
        <v>1991</v>
      </c>
      <c r="D135" s="1" t="str">
        <f t="shared" si="4"/>
        <v>PRG-1003509</v>
      </c>
      <c r="E135" t="s">
        <v>497</v>
      </c>
      <c r="F135" t="s">
        <v>4</v>
      </c>
      <c r="G135" t="str">
        <f>""</f>
        <v/>
      </c>
    </row>
    <row r="136" spans="1:7" x14ac:dyDescent="0.25">
      <c r="A136" t="s">
        <v>8</v>
      </c>
      <c r="B136" s="1" t="str">
        <f>"000270164 - RICH PRODUCTS SIZZLER"</f>
        <v>000270164 - RICH PRODUCTS SIZZLER</v>
      </c>
      <c r="C136" t="s">
        <v>2462</v>
      </c>
      <c r="D136" s="1" t="str">
        <f t="shared" si="4"/>
        <v>PRG-1003509</v>
      </c>
      <c r="E136" t="s">
        <v>497</v>
      </c>
      <c r="F136" t="s">
        <v>4</v>
      </c>
      <c r="G136" t="str">
        <f>""</f>
        <v/>
      </c>
    </row>
    <row r="137" spans="1:7" x14ac:dyDescent="0.25">
      <c r="A137" t="s">
        <v>8</v>
      </c>
      <c r="B137" s="1" t="str">
        <f>"000274543 - RICH PRODUCTS SIZZLER"</f>
        <v>000274543 - RICH PRODUCTS SIZZLER</v>
      </c>
      <c r="C137" t="s">
        <v>2462</v>
      </c>
      <c r="D137" s="1" t="str">
        <f t="shared" si="4"/>
        <v>PRG-1003509</v>
      </c>
      <c r="E137" t="s">
        <v>497</v>
      </c>
      <c r="F137" t="s">
        <v>4</v>
      </c>
      <c r="G137" t="str">
        <f>""</f>
        <v/>
      </c>
    </row>
    <row r="138" spans="1:7" x14ac:dyDescent="0.25">
      <c r="A138" t="s">
        <v>8</v>
      </c>
      <c r="B138" s="1" t="str">
        <f>"000276251 - RICH FOODS - SIZZLER"</f>
        <v>000276251 - RICH FOODS - SIZZLER</v>
      </c>
      <c r="C138" t="s">
        <v>563</v>
      </c>
      <c r="D138" s="1" t="str">
        <f t="shared" si="4"/>
        <v>PRG-1003509</v>
      </c>
      <c r="E138" t="s">
        <v>497</v>
      </c>
      <c r="F138" t="s">
        <v>4</v>
      </c>
      <c r="G138" t="str">
        <f>""</f>
        <v/>
      </c>
    </row>
    <row r="139" spans="1:7" x14ac:dyDescent="0.25">
      <c r="A139" t="s">
        <v>8</v>
      </c>
      <c r="B139" s="1" t="str">
        <f>"000276787 - RICH FOODS REESE GRP"</f>
        <v>000276787 - RICH FOODS REESE GRP</v>
      </c>
      <c r="C139" t="s">
        <v>2586</v>
      </c>
      <c r="D139" s="1" t="str">
        <f t="shared" si="4"/>
        <v>PRG-1003509</v>
      </c>
      <c r="E139" t="s">
        <v>497</v>
      </c>
      <c r="F139" t="s">
        <v>4</v>
      </c>
      <c r="G139" t="str">
        <f>""</f>
        <v/>
      </c>
    </row>
    <row r="140" spans="1:7" x14ac:dyDescent="0.25">
      <c r="A140" t="s">
        <v>8</v>
      </c>
      <c r="B140" s="1" t="str">
        <f>"000277188 - RICH PRODUCTS SIZZLER"</f>
        <v>000277188 - RICH PRODUCTS SIZZLER</v>
      </c>
      <c r="C140" t="s">
        <v>2462</v>
      </c>
      <c r="D140" s="1" t="str">
        <f t="shared" si="4"/>
        <v>PRG-1003509</v>
      </c>
      <c r="E140" t="s">
        <v>497</v>
      </c>
      <c r="F140" t="s">
        <v>4</v>
      </c>
      <c r="G140" t="str">
        <f>""</f>
        <v/>
      </c>
    </row>
    <row r="141" spans="1:7" x14ac:dyDescent="0.25">
      <c r="A141" t="s">
        <v>8</v>
      </c>
      <c r="B141" s="1" t="str">
        <f>"000278530 - RICH - SIZZLER"</f>
        <v>000278530 - RICH - SIZZLER</v>
      </c>
      <c r="C141" t="s">
        <v>588</v>
      </c>
      <c r="D141" s="1" t="str">
        <f t="shared" si="4"/>
        <v>PRG-1003509</v>
      </c>
      <c r="E141" t="s">
        <v>497</v>
      </c>
      <c r="F141" t="s">
        <v>4</v>
      </c>
      <c r="G141" t="str">
        <f>""</f>
        <v/>
      </c>
    </row>
    <row r="142" spans="1:7" x14ac:dyDescent="0.25">
      <c r="A142" t="s">
        <v>8</v>
      </c>
      <c r="B142" s="1" t="str">
        <f>"000280406 - RICH FDS  SIZZLER USA"</f>
        <v>000280406 - RICH FDS  SIZZLER USA</v>
      </c>
      <c r="C142" t="s">
        <v>2639</v>
      </c>
      <c r="D142" s="1" t="str">
        <f t="shared" si="4"/>
        <v>PRG-1003509</v>
      </c>
      <c r="E142" t="s">
        <v>497</v>
      </c>
      <c r="F142" t="s">
        <v>4</v>
      </c>
      <c r="G142" t="str">
        <f>""</f>
        <v/>
      </c>
    </row>
    <row r="143" spans="1:7" x14ac:dyDescent="0.25">
      <c r="A143" t="s">
        <v>8</v>
      </c>
      <c r="B143" s="1" t="str">
        <f>"000284856 - RICH PRODUCTS SIZZLER"</f>
        <v>000284856 - RICH PRODUCTS SIZZLER</v>
      </c>
      <c r="C143" t="s">
        <v>2462</v>
      </c>
      <c r="D143" s="1" t="str">
        <f t="shared" si="4"/>
        <v>PRG-1003509</v>
      </c>
      <c r="E143" t="s">
        <v>497</v>
      </c>
      <c r="F143" t="s">
        <v>4</v>
      </c>
      <c r="G143" t="str">
        <f>""</f>
        <v/>
      </c>
    </row>
    <row r="144" spans="1:7" x14ac:dyDescent="0.25">
      <c r="A144" t="s">
        <v>8</v>
      </c>
      <c r="B144" s="1" t="str">
        <f>"000288393 - RICH PRODUCTS SIZZLER"</f>
        <v>000288393 - RICH PRODUCTS SIZZLER</v>
      </c>
      <c r="C144" t="s">
        <v>2462</v>
      </c>
      <c r="D144" s="1" t="str">
        <f t="shared" si="4"/>
        <v>PRG-1003509</v>
      </c>
      <c r="E144" t="s">
        <v>497</v>
      </c>
      <c r="F144" t="s">
        <v>4</v>
      </c>
      <c r="G144" t="str">
        <f>""</f>
        <v/>
      </c>
    </row>
    <row r="145" spans="1:7" x14ac:dyDescent="0.25">
      <c r="A145" t="s">
        <v>8</v>
      </c>
      <c r="B145" s="1" t="str">
        <f>"000288497 - LYONS(PUDDING)REESE GRP"</f>
        <v>000288497 - LYONS(PUDDING)REESE GRP</v>
      </c>
      <c r="C145" t="s">
        <v>2780</v>
      </c>
      <c r="D145" s="1" t="str">
        <f t="shared" si="4"/>
        <v>PRG-1003509</v>
      </c>
      <c r="E145" t="s">
        <v>497</v>
      </c>
      <c r="F145" t="s">
        <v>4</v>
      </c>
      <c r="G145" t="str">
        <f>""</f>
        <v/>
      </c>
    </row>
    <row r="146" spans="1:7" x14ac:dyDescent="0.25">
      <c r="A146" t="s">
        <v>8</v>
      </c>
      <c r="B146" s="1" t="str">
        <f>"000291699 - RICH PRODUCTS-SIZZLER"</f>
        <v>000291699 - RICH PRODUCTS-SIZZLER</v>
      </c>
      <c r="C146" t="s">
        <v>210</v>
      </c>
      <c r="D146" s="1" t="str">
        <f t="shared" si="4"/>
        <v>PRG-1003509</v>
      </c>
      <c r="E146" t="s">
        <v>497</v>
      </c>
      <c r="F146" t="s">
        <v>4</v>
      </c>
      <c r="G146" t="str">
        <f>""</f>
        <v/>
      </c>
    </row>
    <row r="147" spans="1:7" x14ac:dyDescent="0.25">
      <c r="A147" t="s">
        <v>8</v>
      </c>
      <c r="B147" s="1" t="str">
        <f>"000293460 - RICH FOODS-SIZZLER USA"</f>
        <v>000293460 - RICH FOODS-SIZZLER USA</v>
      </c>
      <c r="C147" t="s">
        <v>960</v>
      </c>
      <c r="D147" s="1" t="str">
        <f t="shared" si="4"/>
        <v>PRG-1003509</v>
      </c>
      <c r="E147" t="s">
        <v>497</v>
      </c>
      <c r="F147" t="s">
        <v>4</v>
      </c>
      <c r="G147" t="str">
        <f>""</f>
        <v/>
      </c>
    </row>
    <row r="148" spans="1:7" x14ac:dyDescent="0.25">
      <c r="A148" t="s">
        <v>8</v>
      </c>
      <c r="B148" s="1" t="str">
        <f>"000296995 - RICH FOODS - SIZZLER"</f>
        <v>000296995 - RICH FOODS - SIZZLER</v>
      </c>
      <c r="C148" t="s">
        <v>563</v>
      </c>
      <c r="D148" s="1" t="str">
        <f t="shared" si="4"/>
        <v>PRG-1003509</v>
      </c>
      <c r="E148" t="s">
        <v>497</v>
      </c>
      <c r="F148" t="s">
        <v>4</v>
      </c>
      <c r="G148" t="str">
        <f>""</f>
        <v/>
      </c>
    </row>
    <row r="149" spans="1:7" x14ac:dyDescent="0.25">
      <c r="A149" t="s">
        <v>8</v>
      </c>
      <c r="B149" s="1" t="str">
        <f>"000298300 - "</f>
        <v xml:space="preserve">000298300 - </v>
      </c>
      <c r="D149" s="1" t="str">
        <f t="shared" si="4"/>
        <v>PRG-1003509</v>
      </c>
      <c r="E149" t="s">
        <v>497</v>
      </c>
      <c r="F149" t="s">
        <v>4</v>
      </c>
      <c r="G149" t="str">
        <f>""</f>
        <v/>
      </c>
    </row>
    <row r="150" spans="1:7" x14ac:dyDescent="0.25">
      <c r="A150" t="s">
        <v>8</v>
      </c>
      <c r="B150" s="1" t="str">
        <f>"000299054 - "</f>
        <v xml:space="preserve">000299054 - </v>
      </c>
      <c r="D150" s="1" t="str">
        <f t="shared" si="4"/>
        <v>PRG-1003509</v>
      </c>
      <c r="E150" t="s">
        <v>497</v>
      </c>
      <c r="F150" t="s">
        <v>4</v>
      </c>
      <c r="G150" t="str">
        <f>""</f>
        <v/>
      </c>
    </row>
    <row r="151" spans="1:7" x14ac:dyDescent="0.25">
      <c r="A151" t="s">
        <v>8</v>
      </c>
      <c r="B151" s="1" t="str">
        <f>"000299422 - RICH FOODS SIZZLER"</f>
        <v>000299422 - RICH FOODS SIZZLER</v>
      </c>
      <c r="C151" t="s">
        <v>2955</v>
      </c>
      <c r="D151" s="1" t="str">
        <f t="shared" si="4"/>
        <v>PRG-1003509</v>
      </c>
      <c r="E151" t="s">
        <v>497</v>
      </c>
      <c r="F151" t="s">
        <v>4</v>
      </c>
      <c r="G151" t="str">
        <f>""</f>
        <v/>
      </c>
    </row>
    <row r="152" spans="1:7" x14ac:dyDescent="0.25">
      <c r="A152" t="s">
        <v>8</v>
      </c>
      <c r="B152" s="1" t="str">
        <f>"000302218 - RICH TOP PUDDING REESE GRP"</f>
        <v>000302218 - RICH TOP PUDDING REESE GRP</v>
      </c>
      <c r="C152" t="s">
        <v>2992</v>
      </c>
      <c r="D152" s="1" t="str">
        <f t="shared" si="4"/>
        <v>PRG-1003509</v>
      </c>
      <c r="E152" t="s">
        <v>497</v>
      </c>
      <c r="F152" t="s">
        <v>4</v>
      </c>
      <c r="G152" t="str">
        <f>""</f>
        <v/>
      </c>
    </row>
    <row r="153" spans="1:7" x14ac:dyDescent="0.25">
      <c r="A153" t="s">
        <v>8</v>
      </c>
      <c r="B153" s="1" t="str">
        <f>"000302254 - RICH FOODS(BB&amp;CC) SIZZLER"</f>
        <v>000302254 - RICH FOODS(BB&amp;CC) SIZZLER</v>
      </c>
      <c r="C153" t="s">
        <v>2993</v>
      </c>
      <c r="D153" s="1" t="str">
        <f t="shared" si="4"/>
        <v>PRG-1003509</v>
      </c>
      <c r="E153" t="s">
        <v>497</v>
      </c>
      <c r="F153" t="s">
        <v>4</v>
      </c>
      <c r="G153" t="str">
        <f>""</f>
        <v/>
      </c>
    </row>
    <row r="154" spans="1:7" x14ac:dyDescent="0.25">
      <c r="A154" t="s">
        <v>8</v>
      </c>
      <c r="B154" s="1" t="str">
        <f>"000305541 - RICH FOODS(BB&amp;CC) SIZZLER"</f>
        <v>000305541 - RICH FOODS(BB&amp;CC) SIZZLER</v>
      </c>
      <c r="C154" t="s">
        <v>2993</v>
      </c>
      <c r="D154" s="1" t="str">
        <f t="shared" si="4"/>
        <v>PRG-1003509</v>
      </c>
      <c r="E154" t="s">
        <v>497</v>
      </c>
      <c r="F154" t="s">
        <v>4</v>
      </c>
      <c r="G154" t="str">
        <f>""</f>
        <v/>
      </c>
    </row>
    <row r="155" spans="1:7" x14ac:dyDescent="0.25">
      <c r="A155" t="s">
        <v>8</v>
      </c>
      <c r="B155" s="1" t="str">
        <f>"000309446 - RICH FOODS-SIZZLER USA"</f>
        <v>000309446 - RICH FOODS-SIZZLER USA</v>
      </c>
      <c r="C155" t="s">
        <v>960</v>
      </c>
      <c r="D155" s="1" t="str">
        <f t="shared" si="4"/>
        <v>PRG-1003509</v>
      </c>
      <c r="E155" t="s">
        <v>497</v>
      </c>
      <c r="F155" t="s">
        <v>4</v>
      </c>
      <c r="G155" t="str">
        <f>""</f>
        <v/>
      </c>
    </row>
    <row r="156" spans="1:7" x14ac:dyDescent="0.25">
      <c r="A156" t="s">
        <v>8</v>
      </c>
      <c r="B156" s="1" t="str">
        <f>"000312082 - RICH FOODS - SIZZLER"</f>
        <v>000312082 - RICH FOODS - SIZZLER</v>
      </c>
      <c r="C156" t="s">
        <v>563</v>
      </c>
      <c r="D156" s="1" t="str">
        <f t="shared" si="4"/>
        <v>PRG-1003509</v>
      </c>
      <c r="E156" t="s">
        <v>497</v>
      </c>
      <c r="F156" t="s">
        <v>4</v>
      </c>
      <c r="G156" t="str">
        <f>""</f>
        <v/>
      </c>
    </row>
    <row r="157" spans="1:7" x14ac:dyDescent="0.25">
      <c r="A157" t="s">
        <v>8</v>
      </c>
      <c r="B157" s="1" t="str">
        <f>"000316893 - RICH - SIZZLER"</f>
        <v>000316893 - RICH - SIZZLER</v>
      </c>
      <c r="C157" t="s">
        <v>588</v>
      </c>
      <c r="D157" s="1" t="str">
        <f t="shared" si="4"/>
        <v>PRG-1003509</v>
      </c>
      <c r="E157" t="s">
        <v>497</v>
      </c>
      <c r="F157" t="s">
        <v>4</v>
      </c>
      <c r="G157" t="str">
        <f>""</f>
        <v/>
      </c>
    </row>
    <row r="158" spans="1:7" x14ac:dyDescent="0.25">
      <c r="A158" t="s">
        <v>8</v>
      </c>
      <c r="B158" s="1" t="str">
        <f>"000327960 - "</f>
        <v xml:space="preserve">000327960 - </v>
      </c>
      <c r="D158" s="1" t="str">
        <f t="shared" si="4"/>
        <v>PRG-1003509</v>
      </c>
      <c r="E158" t="s">
        <v>497</v>
      </c>
      <c r="F158" t="s">
        <v>4</v>
      </c>
      <c r="G158" t="str">
        <f>""</f>
        <v/>
      </c>
    </row>
    <row r="159" spans="1:7" x14ac:dyDescent="0.25">
      <c r="A159" t="s">
        <v>8</v>
      </c>
      <c r="B159" s="1" t="str">
        <f>"000336565 - XRICHS SIZZLER USA"</f>
        <v>000336565 - XRICHS SIZZLER USA</v>
      </c>
      <c r="C159" t="s">
        <v>3408</v>
      </c>
      <c r="D159" s="1" t="str">
        <f t="shared" si="4"/>
        <v>PRG-1003509</v>
      </c>
      <c r="E159" t="s">
        <v>497</v>
      </c>
      <c r="F159" t="s">
        <v>4</v>
      </c>
      <c r="G159" t="str">
        <f>""</f>
        <v/>
      </c>
    </row>
    <row r="160" spans="1:7" x14ac:dyDescent="0.25">
      <c r="A160" t="s">
        <v>8</v>
      </c>
      <c r="B160" s="1" t="str">
        <f>"000337192 - RICH FOODS-SIZZLER USA"</f>
        <v>000337192 - RICH FOODS-SIZZLER USA</v>
      </c>
      <c r="C160" t="s">
        <v>960</v>
      </c>
      <c r="D160" s="1" t="str">
        <f t="shared" si="4"/>
        <v>PRG-1003509</v>
      </c>
      <c r="E160" t="s">
        <v>497</v>
      </c>
      <c r="F160" t="s">
        <v>4</v>
      </c>
      <c r="G160" t="str">
        <f>""</f>
        <v/>
      </c>
    </row>
    <row r="161" spans="1:7" x14ac:dyDescent="0.25">
      <c r="A161" t="s">
        <v>8</v>
      </c>
      <c r="B161" s="1" t="str">
        <f>"000340654 - RICH FOODS - SIZZLER"</f>
        <v>000340654 - RICH FOODS - SIZZLER</v>
      </c>
      <c r="C161" t="s">
        <v>563</v>
      </c>
      <c r="D161" s="1" t="str">
        <f t="shared" si="4"/>
        <v>PRG-1003509</v>
      </c>
      <c r="E161" t="s">
        <v>497</v>
      </c>
      <c r="F161" t="s">
        <v>4</v>
      </c>
      <c r="G161" t="str">
        <f>""</f>
        <v/>
      </c>
    </row>
    <row r="162" spans="1:7" x14ac:dyDescent="0.25">
      <c r="A162" t="s">
        <v>8</v>
      </c>
      <c r="B162" s="1" t="str">
        <f>"000341286 - "</f>
        <v xml:space="preserve">000341286 - </v>
      </c>
      <c r="D162" s="1" t="str">
        <f t="shared" si="4"/>
        <v>PRG-1003509</v>
      </c>
      <c r="E162" t="s">
        <v>497</v>
      </c>
      <c r="F162" t="s">
        <v>4</v>
      </c>
      <c r="G162" t="str">
        <f>""</f>
        <v/>
      </c>
    </row>
    <row r="163" spans="1:7" x14ac:dyDescent="0.25">
      <c r="A163" t="s">
        <v>8</v>
      </c>
      <c r="B163" s="1" t="str">
        <f>"000346312 - RICH - SIZZLER"</f>
        <v>000346312 - RICH - SIZZLER</v>
      </c>
      <c r="C163" t="s">
        <v>588</v>
      </c>
      <c r="D163" s="1" t="str">
        <f t="shared" si="4"/>
        <v>PRG-1003509</v>
      </c>
      <c r="E163" t="s">
        <v>497</v>
      </c>
      <c r="F163" t="s">
        <v>4</v>
      </c>
      <c r="G163" t="str">
        <f>""</f>
        <v/>
      </c>
    </row>
    <row r="164" spans="1:7" x14ac:dyDescent="0.25">
      <c r="A164" t="s">
        <v>8</v>
      </c>
      <c r="B164" s="1" t="str">
        <f>"000358545 - RICH PRODUCTS-SIZZLER"</f>
        <v>000358545 - RICH PRODUCTS-SIZZLER</v>
      </c>
      <c r="C164" t="s">
        <v>210</v>
      </c>
      <c r="D164" s="1" t="str">
        <f t="shared" si="4"/>
        <v>PRG-1003509</v>
      </c>
      <c r="E164" t="s">
        <v>497</v>
      </c>
      <c r="F164" t="s">
        <v>4</v>
      </c>
      <c r="G164" t="str">
        <f>""</f>
        <v/>
      </c>
    </row>
    <row r="165" spans="1:7" x14ac:dyDescent="0.25">
      <c r="A165" t="s">
        <v>8</v>
      </c>
      <c r="B165" s="1" t="str">
        <f>"000371699 - RICH TOP PUDDING-SIZZLER"</f>
        <v>000371699 - RICH TOP PUDDING-SIZZLER</v>
      </c>
      <c r="C165" t="s">
        <v>707</v>
      </c>
      <c r="D165" s="1" t="str">
        <f t="shared" si="4"/>
        <v>PRG-1003509</v>
      </c>
      <c r="E165" t="s">
        <v>497</v>
      </c>
      <c r="F165" t="s">
        <v>4</v>
      </c>
      <c r="G165" t="str">
        <f>""</f>
        <v/>
      </c>
    </row>
    <row r="166" spans="1:7" x14ac:dyDescent="0.25">
      <c r="A166" t="s">
        <v>8</v>
      </c>
      <c r="B166" s="1" t="str">
        <f>"2000171838 - RICH FOODS-SIZZLER USA"</f>
        <v>2000171838 - RICH FOODS-SIZZLER USA</v>
      </c>
      <c r="C166" t="s">
        <v>960</v>
      </c>
      <c r="D166" s="1" t="str">
        <f t="shared" si="4"/>
        <v>PRG-1003509</v>
      </c>
      <c r="E166" t="s">
        <v>497</v>
      </c>
      <c r="F166" t="s">
        <v>4</v>
      </c>
      <c r="G166" t="str">
        <f>""</f>
        <v/>
      </c>
    </row>
    <row r="167" spans="1:7" x14ac:dyDescent="0.25">
      <c r="A167" t="s">
        <v>8</v>
      </c>
      <c r="B167" s="1" t="str">
        <f>"2000202261 - RICH FOODS-SIZZLER USA"</f>
        <v>2000202261 - RICH FOODS-SIZZLER USA</v>
      </c>
      <c r="C167" t="s">
        <v>960</v>
      </c>
      <c r="D167" s="1" t="str">
        <f t="shared" si="4"/>
        <v>PRG-1003509</v>
      </c>
      <c r="E167" t="s">
        <v>497</v>
      </c>
      <c r="F167" t="s">
        <v>4</v>
      </c>
      <c r="G167" t="str">
        <f>""</f>
        <v/>
      </c>
    </row>
    <row r="168" spans="1:7" x14ac:dyDescent="0.25">
      <c r="A168" t="s">
        <v>8</v>
      </c>
      <c r="B168" s="1" t="str">
        <f>"2000222415 - RICH FOODS-SIZZLER USA"</f>
        <v>2000222415 - RICH FOODS-SIZZLER USA</v>
      </c>
      <c r="C168" t="s">
        <v>960</v>
      </c>
      <c r="D168" s="1" t="str">
        <f t="shared" si="4"/>
        <v>PRG-1003509</v>
      </c>
      <c r="E168" t="s">
        <v>497</v>
      </c>
      <c r="F168" t="s">
        <v>4</v>
      </c>
      <c r="G168" t="str">
        <f>""</f>
        <v/>
      </c>
    </row>
    <row r="169" spans="1:7" x14ac:dyDescent="0.25">
      <c r="A169" t="s">
        <v>8</v>
      </c>
      <c r="B169" s="1" t="str">
        <f>"2000238282 - RICH FOODS-SIZZLER USA"</f>
        <v>2000238282 - RICH FOODS-SIZZLER USA</v>
      </c>
      <c r="C169" t="s">
        <v>960</v>
      </c>
      <c r="D169" s="1" t="str">
        <f t="shared" si="4"/>
        <v>PRG-1003509</v>
      </c>
      <c r="E169" t="s">
        <v>497</v>
      </c>
      <c r="F169" t="s">
        <v>4</v>
      </c>
      <c r="G169" t="str">
        <f>""</f>
        <v/>
      </c>
    </row>
    <row r="170" spans="1:7" x14ac:dyDescent="0.25">
      <c r="A170" t="s">
        <v>8</v>
      </c>
      <c r="B170" s="1" t="str">
        <f>"2000248812 - RICH FOODS-SIZZLER USA"</f>
        <v>2000248812 - RICH FOODS-SIZZLER USA</v>
      </c>
      <c r="C170" t="s">
        <v>960</v>
      </c>
      <c r="D170" s="1" t="str">
        <f t="shared" si="4"/>
        <v>PRG-1003509</v>
      </c>
      <c r="E170" t="s">
        <v>497</v>
      </c>
      <c r="F170" t="s">
        <v>4</v>
      </c>
      <c r="G170" t="str">
        <f>""</f>
        <v/>
      </c>
    </row>
    <row r="171" spans="1:7" x14ac:dyDescent="0.25">
      <c r="A171" t="s">
        <v>8</v>
      </c>
      <c r="B171" s="1" t="str">
        <f>"2000271111 - RICH FOODS-SIZZLER USA"</f>
        <v>2000271111 - RICH FOODS-SIZZLER USA</v>
      </c>
      <c r="C171" t="s">
        <v>960</v>
      </c>
      <c r="D171" s="1" t="str">
        <f t="shared" si="4"/>
        <v>PRG-1003509</v>
      </c>
      <c r="E171" t="s">
        <v>497</v>
      </c>
      <c r="F171" t="s">
        <v>4</v>
      </c>
      <c r="G171" t="str">
        <f>""</f>
        <v/>
      </c>
    </row>
    <row r="172" spans="1:7" x14ac:dyDescent="0.25">
      <c r="A172" t="s">
        <v>8</v>
      </c>
      <c r="B172" s="1" t="str">
        <f>"2000327706 - RICH FOODS-SIZZLER USA"</f>
        <v>2000327706 - RICH FOODS-SIZZLER USA</v>
      </c>
      <c r="C172" t="s">
        <v>960</v>
      </c>
      <c r="D172" s="1" t="str">
        <f t="shared" si="4"/>
        <v>PRG-1003509</v>
      </c>
      <c r="E172" t="s">
        <v>497</v>
      </c>
      <c r="F172" t="s">
        <v>4</v>
      </c>
      <c r="G172" t="str">
        <f>""</f>
        <v/>
      </c>
    </row>
    <row r="173" spans="1:7" x14ac:dyDescent="0.25">
      <c r="A173" t="s">
        <v>8</v>
      </c>
      <c r="B173" s="1" t="str">
        <f>"2000377145 - RICH FOODS-SIZZLER USA"</f>
        <v>2000377145 - RICH FOODS-SIZZLER USA</v>
      </c>
      <c r="C173" t="s">
        <v>960</v>
      </c>
      <c r="D173" s="1" t="str">
        <f t="shared" si="4"/>
        <v>PRG-1003509</v>
      </c>
      <c r="E173" t="s">
        <v>497</v>
      </c>
      <c r="F173" t="s">
        <v>4</v>
      </c>
      <c r="G173" t="str">
        <f>""</f>
        <v/>
      </c>
    </row>
    <row r="174" spans="1:7" x14ac:dyDescent="0.25">
      <c r="A174" t="s">
        <v>8</v>
      </c>
      <c r="B174" s="1" t="str">
        <f>"4147A331"</f>
        <v>4147A331</v>
      </c>
      <c r="C174" t="s">
        <v>5006</v>
      </c>
      <c r="D174" s="1" t="str">
        <f t="shared" si="4"/>
        <v>PRG-1003509</v>
      </c>
      <c r="E174" t="s">
        <v>497</v>
      </c>
      <c r="F174" t="s">
        <v>5</v>
      </c>
      <c r="G174" t="str">
        <f>""</f>
        <v/>
      </c>
    </row>
    <row r="175" spans="1:7" x14ac:dyDescent="0.25">
      <c r="A175" t="s">
        <v>8</v>
      </c>
      <c r="B175" s="1" t="str">
        <f>"60290677"</f>
        <v>60290677</v>
      </c>
      <c r="C175" t="s">
        <v>5222</v>
      </c>
      <c r="D175" s="1" t="str">
        <f t="shared" si="4"/>
        <v>PRG-1003509</v>
      </c>
      <c r="E175" t="s">
        <v>497</v>
      </c>
      <c r="F175" t="s">
        <v>5</v>
      </c>
      <c r="G175" t="str">
        <f>""</f>
        <v/>
      </c>
    </row>
    <row r="176" spans="1:7" x14ac:dyDescent="0.25">
      <c r="A176" t="s">
        <v>8</v>
      </c>
      <c r="B176" s="1" t="str">
        <f>"000146828 - "</f>
        <v xml:space="preserve">000146828 - </v>
      </c>
      <c r="D176" s="1" t="str">
        <f>"PRG-1003536"</f>
        <v>PRG-1003536</v>
      </c>
      <c r="E176" t="s">
        <v>91</v>
      </c>
      <c r="F176" t="s">
        <v>4</v>
      </c>
      <c r="G176" t="str">
        <f>""</f>
        <v/>
      </c>
    </row>
    <row r="177" spans="1:7" x14ac:dyDescent="0.25">
      <c r="A177" t="s">
        <v>8</v>
      </c>
      <c r="B177" s="1" t="str">
        <f>"000244361 - "</f>
        <v xml:space="preserve">000244361 - </v>
      </c>
      <c r="D177" s="1" t="str">
        <f>"PRG-1003536"</f>
        <v>PRG-1003536</v>
      </c>
      <c r="E177" t="s">
        <v>91</v>
      </c>
      <c r="F177" t="s">
        <v>4</v>
      </c>
      <c r="G177" t="str">
        <f>""</f>
        <v/>
      </c>
    </row>
    <row r="178" spans="1:7" x14ac:dyDescent="0.25">
      <c r="A178" t="s">
        <v>8</v>
      </c>
      <c r="B178" s="1" t="str">
        <f>"000251568 - RICH FOODS SUBWAY"</f>
        <v>000251568 - RICH FOODS SUBWAY</v>
      </c>
      <c r="C178" t="s">
        <v>2117</v>
      </c>
      <c r="D178" s="1" t="str">
        <f>"PRG-1003536"</f>
        <v>PRG-1003536</v>
      </c>
      <c r="E178" t="s">
        <v>91</v>
      </c>
      <c r="F178" t="s">
        <v>4</v>
      </c>
      <c r="G178" t="str">
        <f>""</f>
        <v/>
      </c>
    </row>
    <row r="179" spans="1:7" x14ac:dyDescent="0.25">
      <c r="A179" t="s">
        <v>8</v>
      </c>
      <c r="B179" s="1" t="str">
        <f>"000241853 - APOLLO  RICH"</f>
        <v>000241853 - APOLLO  RICH</v>
      </c>
      <c r="C179" t="s">
        <v>1929</v>
      </c>
      <c r="D179" s="1" t="str">
        <f>"PRG-1003546"</f>
        <v>PRG-1003546</v>
      </c>
      <c r="E179" t="s">
        <v>1930</v>
      </c>
      <c r="F179" t="s">
        <v>4</v>
      </c>
      <c r="G179" t="str">
        <f>""</f>
        <v/>
      </c>
    </row>
    <row r="180" spans="1:7" x14ac:dyDescent="0.25">
      <c r="A180" t="s">
        <v>8</v>
      </c>
      <c r="B180" s="1" t="str">
        <f>"000258723 - APOLLO  RICH"</f>
        <v>000258723 - APOLLO  RICH</v>
      </c>
      <c r="C180" t="s">
        <v>1929</v>
      </c>
      <c r="D180" s="1" t="str">
        <f>"PRG-1003546"</f>
        <v>PRG-1003546</v>
      </c>
      <c r="E180" t="s">
        <v>1930</v>
      </c>
      <c r="F180" t="s">
        <v>4</v>
      </c>
      <c r="G180" t="str">
        <f>""</f>
        <v/>
      </c>
    </row>
    <row r="181" spans="1:7" x14ac:dyDescent="0.25">
      <c r="A181" t="s">
        <v>8</v>
      </c>
      <c r="B181" s="1" t="str">
        <f>"000002016 - &amp;RICHS DAIRY QUEEN"</f>
        <v>000002016 - &amp;RICHS DAIRY QUEEN</v>
      </c>
      <c r="C181" t="s">
        <v>108</v>
      </c>
      <c r="D181" s="1" t="str">
        <f t="shared" ref="D181:D212" si="5">"PRG-1003574"</f>
        <v>PRG-1003574</v>
      </c>
      <c r="E181" t="s">
        <v>109</v>
      </c>
      <c r="F181" t="s">
        <v>4</v>
      </c>
      <c r="G181" t="str">
        <f>""</f>
        <v/>
      </c>
    </row>
    <row r="182" spans="1:7" x14ac:dyDescent="0.25">
      <c r="A182" t="s">
        <v>8</v>
      </c>
      <c r="B182" s="1" t="str">
        <f>"000003519 - &amp;RICH'S DAIRY QUEEN"</f>
        <v>000003519 - &amp;RICH'S DAIRY QUEEN</v>
      </c>
      <c r="C182" t="s">
        <v>162</v>
      </c>
      <c r="D182" s="1" t="str">
        <f t="shared" si="5"/>
        <v>PRG-1003574</v>
      </c>
      <c r="E182" t="s">
        <v>109</v>
      </c>
      <c r="F182" t="s">
        <v>4</v>
      </c>
      <c r="G182" t="str">
        <f>""</f>
        <v/>
      </c>
    </row>
    <row r="183" spans="1:7" x14ac:dyDescent="0.25">
      <c r="A183" t="s">
        <v>8</v>
      </c>
      <c r="B183" s="1" t="str">
        <f>"000005987 - &amp;RICH'S-DAIRY QUEEN"</f>
        <v>000005987 - &amp;RICH'S-DAIRY QUEEN</v>
      </c>
      <c r="C183" t="s">
        <v>234</v>
      </c>
      <c r="D183" s="1" t="str">
        <f t="shared" si="5"/>
        <v>PRG-1003574</v>
      </c>
      <c r="E183" t="s">
        <v>109</v>
      </c>
      <c r="F183" t="s">
        <v>4</v>
      </c>
      <c r="G183" t="str">
        <f>""</f>
        <v/>
      </c>
    </row>
    <row r="184" spans="1:7" x14ac:dyDescent="0.25">
      <c r="A184" t="s">
        <v>8</v>
      </c>
      <c r="B184" s="1" t="str">
        <f>"000006770 - &amp;RICH'S-DAIRY QUEEN"</f>
        <v>000006770 - &amp;RICH'S-DAIRY QUEEN</v>
      </c>
      <c r="C184" t="s">
        <v>234</v>
      </c>
      <c r="D184" s="1" t="str">
        <f t="shared" si="5"/>
        <v>PRG-1003574</v>
      </c>
      <c r="E184" t="s">
        <v>109</v>
      </c>
      <c r="F184" t="s">
        <v>4</v>
      </c>
      <c r="G184" t="str">
        <f>""</f>
        <v/>
      </c>
    </row>
    <row r="185" spans="1:7" x14ac:dyDescent="0.25">
      <c r="A185" t="s">
        <v>8</v>
      </c>
      <c r="B185" s="1" t="str">
        <f>"000089410 - RICH DQ BB"</f>
        <v>000089410 - RICH DQ BB</v>
      </c>
      <c r="C185" t="s">
        <v>771</v>
      </c>
      <c r="D185" s="1" t="str">
        <f t="shared" si="5"/>
        <v>PRG-1003574</v>
      </c>
      <c r="E185" t="s">
        <v>109</v>
      </c>
      <c r="F185" t="s">
        <v>4</v>
      </c>
      <c r="G185" t="str">
        <f>""</f>
        <v/>
      </c>
    </row>
    <row r="186" spans="1:7" x14ac:dyDescent="0.25">
      <c r="A186" t="s">
        <v>8</v>
      </c>
      <c r="B186" s="1" t="str">
        <f>"000216372 - RICH'S  DAIRY QUEEN"</f>
        <v>000216372 - RICH'S  DAIRY QUEEN</v>
      </c>
      <c r="C186" t="s">
        <v>1530</v>
      </c>
      <c r="D186" s="1" t="str">
        <f t="shared" si="5"/>
        <v>PRG-1003574</v>
      </c>
      <c r="E186" t="s">
        <v>109</v>
      </c>
      <c r="F186" t="s">
        <v>4</v>
      </c>
      <c r="G186" t="str">
        <f>""</f>
        <v/>
      </c>
    </row>
    <row r="187" spans="1:7" x14ac:dyDescent="0.25">
      <c r="A187" t="s">
        <v>8</v>
      </c>
      <c r="B187" s="1" t="str">
        <f>"000219908 - RICH'S  DAIRY QUEEN"</f>
        <v>000219908 - RICH'S  DAIRY QUEEN</v>
      </c>
      <c r="C187" t="s">
        <v>1530</v>
      </c>
      <c r="D187" s="1" t="str">
        <f t="shared" si="5"/>
        <v>PRG-1003574</v>
      </c>
      <c r="E187" t="s">
        <v>109</v>
      </c>
      <c r="F187" t="s">
        <v>4</v>
      </c>
      <c r="G187" t="str">
        <f>""</f>
        <v/>
      </c>
    </row>
    <row r="188" spans="1:7" x14ac:dyDescent="0.25">
      <c r="A188" t="s">
        <v>8</v>
      </c>
      <c r="B188" s="1" t="str">
        <f>"000224376 - RICH'S  DAIRY QUEEN"</f>
        <v>000224376 - RICH'S  DAIRY QUEEN</v>
      </c>
      <c r="C188" t="s">
        <v>1530</v>
      </c>
      <c r="D188" s="1" t="str">
        <f t="shared" si="5"/>
        <v>PRG-1003574</v>
      </c>
      <c r="E188" t="s">
        <v>109</v>
      </c>
      <c r="F188" t="s">
        <v>4</v>
      </c>
      <c r="G188" t="str">
        <f>""</f>
        <v/>
      </c>
    </row>
    <row r="189" spans="1:7" x14ac:dyDescent="0.25">
      <c r="A189" t="s">
        <v>8</v>
      </c>
      <c r="B189" s="1" t="str">
        <f>"000227668 - RICH DAIRY QUEEN"</f>
        <v>000227668 - RICH DAIRY QUEEN</v>
      </c>
      <c r="C189" t="s">
        <v>1713</v>
      </c>
      <c r="D189" s="1" t="str">
        <f t="shared" si="5"/>
        <v>PRG-1003574</v>
      </c>
      <c r="E189" t="s">
        <v>109</v>
      </c>
      <c r="F189" t="s">
        <v>4</v>
      </c>
      <c r="G189" t="str">
        <f>""</f>
        <v/>
      </c>
    </row>
    <row r="190" spans="1:7" x14ac:dyDescent="0.25">
      <c r="A190" t="s">
        <v>8</v>
      </c>
      <c r="B190" s="1" t="str">
        <f>"000228433 - RICH'S  DAIRY QUEEN"</f>
        <v>000228433 - RICH'S  DAIRY QUEEN</v>
      </c>
      <c r="C190" t="s">
        <v>1530</v>
      </c>
      <c r="D190" s="1" t="str">
        <f t="shared" si="5"/>
        <v>PRG-1003574</v>
      </c>
      <c r="E190" t="s">
        <v>109</v>
      </c>
      <c r="F190" t="s">
        <v>4</v>
      </c>
      <c r="G190" t="str">
        <f>""</f>
        <v/>
      </c>
    </row>
    <row r="191" spans="1:7" x14ac:dyDescent="0.25">
      <c r="A191" t="s">
        <v>8</v>
      </c>
      <c r="B191" s="1" t="str">
        <f>"000234571 - RICH DAIRY QUEEN"</f>
        <v>000234571 - RICH DAIRY QUEEN</v>
      </c>
      <c r="C191" t="s">
        <v>1713</v>
      </c>
      <c r="D191" s="1" t="str">
        <f t="shared" si="5"/>
        <v>PRG-1003574</v>
      </c>
      <c r="E191" t="s">
        <v>109</v>
      </c>
      <c r="F191" t="s">
        <v>4</v>
      </c>
      <c r="G191" t="str">
        <f>""</f>
        <v/>
      </c>
    </row>
    <row r="192" spans="1:7" x14ac:dyDescent="0.25">
      <c r="A192" t="s">
        <v>8</v>
      </c>
      <c r="B192" s="1" t="str">
        <f>"000235754 - RICH DAIRY QUEEN"</f>
        <v>000235754 - RICH DAIRY QUEEN</v>
      </c>
      <c r="C192" t="s">
        <v>1713</v>
      </c>
      <c r="D192" s="1" t="str">
        <f t="shared" si="5"/>
        <v>PRG-1003574</v>
      </c>
      <c r="E192" t="s">
        <v>109</v>
      </c>
      <c r="F192" t="s">
        <v>4</v>
      </c>
      <c r="G192" t="str">
        <f>""</f>
        <v/>
      </c>
    </row>
    <row r="193" spans="1:7" x14ac:dyDescent="0.25">
      <c r="A193" t="s">
        <v>8</v>
      </c>
      <c r="B193" s="1" t="str">
        <f>"000236440 - RICH'S DAIRY QUEEN          MC"</f>
        <v>000236440 - RICH'S DAIRY QUEEN          MC</v>
      </c>
      <c r="C193" t="s">
        <v>1850</v>
      </c>
      <c r="D193" s="1" t="str">
        <f t="shared" si="5"/>
        <v>PRG-1003574</v>
      </c>
      <c r="E193" t="s">
        <v>109</v>
      </c>
      <c r="F193" t="s">
        <v>4</v>
      </c>
      <c r="G193" t="str">
        <f>""</f>
        <v/>
      </c>
    </row>
    <row r="194" spans="1:7" x14ac:dyDescent="0.25">
      <c r="A194" t="s">
        <v>8</v>
      </c>
      <c r="B194" s="1" t="str">
        <f>"000236958 - RICH'S  DAIRY QUEEN"</f>
        <v>000236958 - RICH'S  DAIRY QUEEN</v>
      </c>
      <c r="C194" t="s">
        <v>1530</v>
      </c>
      <c r="D194" s="1" t="str">
        <f t="shared" si="5"/>
        <v>PRG-1003574</v>
      </c>
      <c r="E194" t="s">
        <v>109</v>
      </c>
      <c r="F194" t="s">
        <v>4</v>
      </c>
      <c r="G194" t="str">
        <f>""</f>
        <v/>
      </c>
    </row>
    <row r="195" spans="1:7" x14ac:dyDescent="0.25">
      <c r="A195" t="s">
        <v>8</v>
      </c>
      <c r="B195" s="1" t="str">
        <f>"000238508 - RICH'S  DAIRY QUEEN RETO"</f>
        <v>000238508 - RICH'S  DAIRY QUEEN RETO</v>
      </c>
      <c r="C195" t="s">
        <v>1882</v>
      </c>
      <c r="D195" s="1" t="str">
        <f t="shared" si="5"/>
        <v>PRG-1003574</v>
      </c>
      <c r="E195" t="s">
        <v>109</v>
      </c>
      <c r="F195" t="s">
        <v>4</v>
      </c>
      <c r="G195" t="str">
        <f>""</f>
        <v/>
      </c>
    </row>
    <row r="196" spans="1:7" x14ac:dyDescent="0.25">
      <c r="A196" t="s">
        <v>8</v>
      </c>
      <c r="B196" s="1" t="str">
        <f>"000241779 - RICH'S  DAIRY QUEEN"</f>
        <v>000241779 - RICH'S  DAIRY QUEEN</v>
      </c>
      <c r="C196" t="s">
        <v>1530</v>
      </c>
      <c r="D196" s="1" t="str">
        <f t="shared" si="5"/>
        <v>PRG-1003574</v>
      </c>
      <c r="E196" t="s">
        <v>109</v>
      </c>
      <c r="F196" t="s">
        <v>4</v>
      </c>
      <c r="G196" t="str">
        <f>""</f>
        <v/>
      </c>
    </row>
    <row r="197" spans="1:7" x14ac:dyDescent="0.25">
      <c r="A197" t="s">
        <v>8</v>
      </c>
      <c r="B197" s="1" t="str">
        <f>"000245757 - RICH'S  DAIRY QUEEN"</f>
        <v>000245757 - RICH'S  DAIRY QUEEN</v>
      </c>
      <c r="C197" t="s">
        <v>1530</v>
      </c>
      <c r="D197" s="1" t="str">
        <f t="shared" si="5"/>
        <v>PRG-1003574</v>
      </c>
      <c r="E197" t="s">
        <v>109</v>
      </c>
      <c r="F197" t="s">
        <v>4</v>
      </c>
      <c r="G197" t="str">
        <f>""</f>
        <v/>
      </c>
    </row>
    <row r="198" spans="1:7" x14ac:dyDescent="0.25">
      <c r="A198" t="s">
        <v>8</v>
      </c>
      <c r="B198" s="1" t="str">
        <f>"000249619 - RICH'S DAIRY QUEEN          MC"</f>
        <v>000249619 - RICH'S DAIRY QUEEN          MC</v>
      </c>
      <c r="C198" t="s">
        <v>1850</v>
      </c>
      <c r="D198" s="1" t="str">
        <f t="shared" si="5"/>
        <v>PRG-1003574</v>
      </c>
      <c r="E198" t="s">
        <v>109</v>
      </c>
      <c r="F198" t="s">
        <v>4</v>
      </c>
      <c r="G198" t="str">
        <f>""</f>
        <v/>
      </c>
    </row>
    <row r="199" spans="1:7" x14ac:dyDescent="0.25">
      <c r="A199" t="s">
        <v>8</v>
      </c>
      <c r="B199" s="1" t="str">
        <f>"000255399 - RICH PRODUCTS(VVA) DAIRY QUEEN"</f>
        <v>000255399 - RICH PRODUCTS(VVA) DAIRY QUEEN</v>
      </c>
      <c r="C199" t="s">
        <v>2170</v>
      </c>
      <c r="D199" s="1" t="str">
        <f t="shared" si="5"/>
        <v>PRG-1003574</v>
      </c>
      <c r="E199" t="s">
        <v>109</v>
      </c>
      <c r="F199" t="s">
        <v>4</v>
      </c>
      <c r="G199" t="str">
        <f>""</f>
        <v/>
      </c>
    </row>
    <row r="200" spans="1:7" x14ac:dyDescent="0.25">
      <c r="A200" t="s">
        <v>8</v>
      </c>
      <c r="B200" s="1" t="str">
        <f>"000260566 - RICH'S  DAIRY QUEEN"</f>
        <v>000260566 - RICH'S  DAIRY QUEEN</v>
      </c>
      <c r="C200" t="s">
        <v>1530</v>
      </c>
      <c r="D200" s="1" t="str">
        <f t="shared" si="5"/>
        <v>PRG-1003574</v>
      </c>
      <c r="E200" t="s">
        <v>109</v>
      </c>
      <c r="F200" t="s">
        <v>4</v>
      </c>
      <c r="G200" t="str">
        <f>""</f>
        <v/>
      </c>
    </row>
    <row r="201" spans="1:7" x14ac:dyDescent="0.25">
      <c r="A201" t="s">
        <v>8</v>
      </c>
      <c r="B201" s="1" t="str">
        <f>"000262174 - RICH'S DAIRY QUEEN          MC"</f>
        <v>000262174 - RICH'S DAIRY QUEEN          MC</v>
      </c>
      <c r="C201" t="s">
        <v>1850</v>
      </c>
      <c r="D201" s="1" t="str">
        <f t="shared" si="5"/>
        <v>PRG-1003574</v>
      </c>
      <c r="E201" t="s">
        <v>109</v>
      </c>
      <c r="F201" t="s">
        <v>4</v>
      </c>
      <c r="G201" t="str">
        <f>""</f>
        <v/>
      </c>
    </row>
    <row r="202" spans="1:7" x14ac:dyDescent="0.25">
      <c r="A202" t="s">
        <v>8</v>
      </c>
      <c r="B202" s="1" t="str">
        <f>"000266691 - RICH'S DAIRY QUEEN          MC"</f>
        <v>000266691 - RICH'S DAIRY QUEEN          MC</v>
      </c>
      <c r="C202" t="s">
        <v>1850</v>
      </c>
      <c r="D202" s="1" t="str">
        <f t="shared" si="5"/>
        <v>PRG-1003574</v>
      </c>
      <c r="E202" t="s">
        <v>109</v>
      </c>
      <c r="F202" t="s">
        <v>4</v>
      </c>
      <c r="G202" t="str">
        <f>""</f>
        <v/>
      </c>
    </row>
    <row r="203" spans="1:7" x14ac:dyDescent="0.25">
      <c r="A203" t="s">
        <v>8</v>
      </c>
      <c r="B203" s="1" t="str">
        <f>"000267811 - RICH DAIRY QUEEN"</f>
        <v>000267811 - RICH DAIRY QUEEN</v>
      </c>
      <c r="C203" t="s">
        <v>1713</v>
      </c>
      <c r="D203" s="1" t="str">
        <f t="shared" si="5"/>
        <v>PRG-1003574</v>
      </c>
      <c r="E203" t="s">
        <v>109</v>
      </c>
      <c r="F203" t="s">
        <v>4</v>
      </c>
      <c r="G203" t="str">
        <f>""</f>
        <v/>
      </c>
    </row>
    <row r="204" spans="1:7" x14ac:dyDescent="0.25">
      <c r="A204" t="s">
        <v>8</v>
      </c>
      <c r="B204" s="1" t="str">
        <f>"000271284 - RICH DAIRY QUEEN"</f>
        <v>000271284 - RICH DAIRY QUEEN</v>
      </c>
      <c r="C204" t="s">
        <v>1713</v>
      </c>
      <c r="D204" s="1" t="str">
        <f t="shared" si="5"/>
        <v>PRG-1003574</v>
      </c>
      <c r="E204" t="s">
        <v>109</v>
      </c>
      <c r="F204" t="s">
        <v>4</v>
      </c>
      <c r="G204" t="str">
        <f>""</f>
        <v/>
      </c>
    </row>
    <row r="205" spans="1:7" x14ac:dyDescent="0.25">
      <c r="A205" t="s">
        <v>8</v>
      </c>
      <c r="B205" s="1" t="str">
        <f>"000273558 - DQ (SPIN)VVA RICH PRODUCTS"</f>
        <v>000273558 - DQ (SPIN)VVA RICH PRODUCTS</v>
      </c>
      <c r="C205" t="s">
        <v>2527</v>
      </c>
      <c r="D205" s="1" t="str">
        <f t="shared" si="5"/>
        <v>PRG-1003574</v>
      </c>
      <c r="E205" t="s">
        <v>109</v>
      </c>
      <c r="F205" t="s">
        <v>4</v>
      </c>
      <c r="G205" t="str">
        <f>""</f>
        <v/>
      </c>
    </row>
    <row r="206" spans="1:7" x14ac:dyDescent="0.25">
      <c r="A206" t="s">
        <v>8</v>
      </c>
      <c r="B206" s="1" t="str">
        <f>"000277831 - DQ VVA RICH PRODUCTS"</f>
        <v>000277831 - DQ VVA RICH PRODUCTS</v>
      </c>
      <c r="C206" t="s">
        <v>2605</v>
      </c>
      <c r="D206" s="1" t="str">
        <f t="shared" si="5"/>
        <v>PRG-1003574</v>
      </c>
      <c r="E206" t="s">
        <v>109</v>
      </c>
      <c r="F206" t="s">
        <v>4</v>
      </c>
      <c r="G206" t="str">
        <f>""</f>
        <v/>
      </c>
    </row>
    <row r="207" spans="1:7" x14ac:dyDescent="0.25">
      <c r="A207" t="s">
        <v>8</v>
      </c>
      <c r="B207" s="1" t="str">
        <f>"000284681 - RICH PRODUCTS DAIRY QUEEN"</f>
        <v>000284681 - RICH PRODUCTS DAIRY QUEEN</v>
      </c>
      <c r="C207" t="s">
        <v>2712</v>
      </c>
      <c r="D207" s="1" t="str">
        <f t="shared" si="5"/>
        <v>PRG-1003574</v>
      </c>
      <c r="E207" t="s">
        <v>109</v>
      </c>
      <c r="F207" t="s">
        <v>4</v>
      </c>
      <c r="G207" t="str">
        <f>""</f>
        <v/>
      </c>
    </row>
    <row r="208" spans="1:7" x14ac:dyDescent="0.25">
      <c r="A208" t="s">
        <v>8</v>
      </c>
      <c r="B208" s="1" t="str">
        <f>"000289860 - RICH PRODUCTS DAIRY QUEEN"</f>
        <v>000289860 - RICH PRODUCTS DAIRY QUEEN</v>
      </c>
      <c r="C208" t="s">
        <v>2712</v>
      </c>
      <c r="D208" s="1" t="str">
        <f t="shared" si="5"/>
        <v>PRG-1003574</v>
      </c>
      <c r="E208" t="s">
        <v>109</v>
      </c>
      <c r="F208" t="s">
        <v>4</v>
      </c>
      <c r="G208" t="str">
        <f>""</f>
        <v/>
      </c>
    </row>
    <row r="209" spans="1:7" x14ac:dyDescent="0.25">
      <c r="A209" t="s">
        <v>8</v>
      </c>
      <c r="B209" s="1" t="str">
        <f>"000301493 - RICH PRODUCTSE(VVA)   DQ"</f>
        <v>000301493 - RICH PRODUCTSE(VVA)   DQ</v>
      </c>
      <c r="C209" t="s">
        <v>2983</v>
      </c>
      <c r="D209" s="1" t="str">
        <f t="shared" si="5"/>
        <v>PRG-1003574</v>
      </c>
      <c r="E209" t="s">
        <v>109</v>
      </c>
      <c r="F209" t="s">
        <v>4</v>
      </c>
      <c r="G209" t="str">
        <f>""</f>
        <v/>
      </c>
    </row>
    <row r="210" spans="1:7" x14ac:dyDescent="0.25">
      <c r="A210" t="s">
        <v>8</v>
      </c>
      <c r="B210" s="1" t="str">
        <f>"000306327 - "</f>
        <v xml:space="preserve">000306327 - </v>
      </c>
      <c r="D210" s="1" t="str">
        <f t="shared" si="5"/>
        <v>PRG-1003574</v>
      </c>
      <c r="E210" t="s">
        <v>109</v>
      </c>
      <c r="F210" t="s">
        <v>4</v>
      </c>
      <c r="G210" t="str">
        <f>""</f>
        <v/>
      </c>
    </row>
    <row r="211" spans="1:7" x14ac:dyDescent="0.25">
      <c r="A211" t="s">
        <v>8</v>
      </c>
      <c r="B211" s="1" t="str">
        <f>"10540034"</f>
        <v>10540034</v>
      </c>
      <c r="C211" t="s">
        <v>3763</v>
      </c>
      <c r="D211" s="1" t="str">
        <f t="shared" si="5"/>
        <v>PRG-1003574</v>
      </c>
      <c r="E211" t="s">
        <v>109</v>
      </c>
      <c r="F211" t="s">
        <v>5</v>
      </c>
      <c r="G211" t="str">
        <f>""</f>
        <v/>
      </c>
    </row>
    <row r="212" spans="1:7" x14ac:dyDescent="0.25">
      <c r="A212" t="s">
        <v>8</v>
      </c>
      <c r="B212" s="1" t="str">
        <f>"10540037"</f>
        <v>10540037</v>
      </c>
      <c r="C212" t="s">
        <v>3763</v>
      </c>
      <c r="D212" s="1" t="str">
        <f t="shared" si="5"/>
        <v>PRG-1003574</v>
      </c>
      <c r="E212" t="s">
        <v>109</v>
      </c>
      <c r="F212" t="s">
        <v>5</v>
      </c>
      <c r="G212" t="str">
        <f>""</f>
        <v/>
      </c>
    </row>
    <row r="213" spans="1:7" x14ac:dyDescent="0.25">
      <c r="A213" t="s">
        <v>8</v>
      </c>
      <c r="B213" s="1" t="str">
        <f>"11060840"</f>
        <v>11060840</v>
      </c>
      <c r="C213" t="s">
        <v>3763</v>
      </c>
      <c r="D213" s="1" t="str">
        <f t="shared" ref="D213:D235" si="6">"PRG-1003574"</f>
        <v>PRG-1003574</v>
      </c>
      <c r="E213" t="s">
        <v>109</v>
      </c>
      <c r="F213" t="s">
        <v>5</v>
      </c>
      <c r="G213" t="str">
        <f>""</f>
        <v/>
      </c>
    </row>
    <row r="214" spans="1:7" x14ac:dyDescent="0.25">
      <c r="A214" t="s">
        <v>8</v>
      </c>
      <c r="B214" s="1" t="str">
        <f>"2000205549 - RICH FOODS NM-DAIRY QUEEN"</f>
        <v>2000205549 - RICH FOODS NM-DAIRY QUEEN</v>
      </c>
      <c r="C214" t="s">
        <v>3946</v>
      </c>
      <c r="D214" s="1" t="str">
        <f t="shared" si="6"/>
        <v>PRG-1003574</v>
      </c>
      <c r="E214" t="s">
        <v>109</v>
      </c>
      <c r="F214" t="s">
        <v>4</v>
      </c>
      <c r="G214" t="str">
        <f>""</f>
        <v/>
      </c>
    </row>
    <row r="215" spans="1:7" x14ac:dyDescent="0.25">
      <c r="A215" t="s">
        <v>8</v>
      </c>
      <c r="B215" s="1" t="str">
        <f>"2000230392 - RICH FOODS NM-DAIRY QUEEN"</f>
        <v>2000230392 - RICH FOODS NM-DAIRY QUEEN</v>
      </c>
      <c r="C215" t="s">
        <v>3946</v>
      </c>
      <c r="D215" s="1" t="str">
        <f t="shared" si="6"/>
        <v>PRG-1003574</v>
      </c>
      <c r="E215" t="s">
        <v>109</v>
      </c>
      <c r="F215" t="s">
        <v>4</v>
      </c>
      <c r="G215" t="str">
        <f>""</f>
        <v/>
      </c>
    </row>
    <row r="216" spans="1:7" x14ac:dyDescent="0.25">
      <c r="A216" t="s">
        <v>8</v>
      </c>
      <c r="B216" s="1" t="str">
        <f>"2000253312 - RICH FOODS-DAIRY QUEEN"</f>
        <v>2000253312 - RICH FOODS-DAIRY QUEEN</v>
      </c>
      <c r="C216" t="s">
        <v>671</v>
      </c>
      <c r="D216" s="1" t="str">
        <f t="shared" si="6"/>
        <v>PRG-1003574</v>
      </c>
      <c r="E216" t="s">
        <v>109</v>
      </c>
      <c r="F216" t="s">
        <v>4</v>
      </c>
      <c r="G216" t="str">
        <f>""</f>
        <v/>
      </c>
    </row>
    <row r="217" spans="1:7" x14ac:dyDescent="0.25">
      <c r="A217" t="s">
        <v>8</v>
      </c>
      <c r="B217" s="1" t="str">
        <f>"2000273537 - RICH FOODS-DAIRY QUEEN"</f>
        <v>2000273537 - RICH FOODS-DAIRY QUEEN</v>
      </c>
      <c r="C217" t="s">
        <v>671</v>
      </c>
      <c r="D217" s="1" t="str">
        <f t="shared" si="6"/>
        <v>PRG-1003574</v>
      </c>
      <c r="E217" t="s">
        <v>109</v>
      </c>
      <c r="F217" t="s">
        <v>4</v>
      </c>
      <c r="G217" t="str">
        <f>""</f>
        <v/>
      </c>
    </row>
    <row r="218" spans="1:7" x14ac:dyDescent="0.25">
      <c r="A218" t="s">
        <v>8</v>
      </c>
      <c r="B218" s="1" t="str">
        <f>"2000329225 - RICH FOODS-DAIRY QUEEN"</f>
        <v>2000329225 - RICH FOODS-DAIRY QUEEN</v>
      </c>
      <c r="C218" t="s">
        <v>671</v>
      </c>
      <c r="D218" s="1" t="str">
        <f t="shared" si="6"/>
        <v>PRG-1003574</v>
      </c>
      <c r="E218" t="s">
        <v>109</v>
      </c>
      <c r="F218" t="s">
        <v>4</v>
      </c>
      <c r="G218" t="str">
        <f>""</f>
        <v/>
      </c>
    </row>
    <row r="219" spans="1:7" x14ac:dyDescent="0.25">
      <c r="A219" t="s">
        <v>8</v>
      </c>
      <c r="B219" s="1" t="str">
        <f>"2000381579 - RICH FOODS-DAIRY QUEEN"</f>
        <v>2000381579 - RICH FOODS-DAIRY QUEEN</v>
      </c>
      <c r="C219" t="s">
        <v>671</v>
      </c>
      <c r="D219" s="1" t="str">
        <f t="shared" si="6"/>
        <v>PRG-1003574</v>
      </c>
      <c r="E219" t="s">
        <v>109</v>
      </c>
      <c r="F219" t="s">
        <v>4</v>
      </c>
      <c r="G219" t="str">
        <f>""</f>
        <v/>
      </c>
    </row>
    <row r="220" spans="1:7" x14ac:dyDescent="0.25">
      <c r="A220" t="s">
        <v>8</v>
      </c>
      <c r="B220" s="1" t="str">
        <f>"21350819"</f>
        <v>21350819</v>
      </c>
      <c r="C220" t="s">
        <v>3763</v>
      </c>
      <c r="D220" s="1" t="str">
        <f t="shared" si="6"/>
        <v>PRG-1003574</v>
      </c>
      <c r="E220" t="s">
        <v>109</v>
      </c>
      <c r="F220" t="s">
        <v>5</v>
      </c>
      <c r="G220" t="str">
        <f>""</f>
        <v/>
      </c>
    </row>
    <row r="221" spans="1:7" x14ac:dyDescent="0.25">
      <c r="A221" t="s">
        <v>8</v>
      </c>
      <c r="B221" s="1" t="str">
        <f>"22105255"</f>
        <v>22105255</v>
      </c>
      <c r="C221" t="s">
        <v>3763</v>
      </c>
      <c r="D221" s="1" t="str">
        <f t="shared" si="6"/>
        <v>PRG-1003574</v>
      </c>
      <c r="E221" t="s">
        <v>109</v>
      </c>
      <c r="F221" t="s">
        <v>5</v>
      </c>
      <c r="G221" t="str">
        <f>""</f>
        <v/>
      </c>
    </row>
    <row r="222" spans="1:7" x14ac:dyDescent="0.25">
      <c r="A222" t="s">
        <v>8</v>
      </c>
      <c r="B222" s="1" t="str">
        <f>"22105256"</f>
        <v>22105256</v>
      </c>
      <c r="C222" t="s">
        <v>4229</v>
      </c>
      <c r="D222" s="1" t="str">
        <f t="shared" si="6"/>
        <v>PRG-1003574</v>
      </c>
      <c r="E222" t="s">
        <v>109</v>
      </c>
      <c r="F222" t="s">
        <v>5</v>
      </c>
      <c r="G222" t="str">
        <f>""</f>
        <v/>
      </c>
    </row>
    <row r="223" spans="1:7" x14ac:dyDescent="0.25">
      <c r="A223" t="s">
        <v>8</v>
      </c>
      <c r="B223" s="1" t="str">
        <f>"22306588"</f>
        <v>22306588</v>
      </c>
      <c r="C223" t="s">
        <v>4304</v>
      </c>
      <c r="D223" s="1" t="str">
        <f t="shared" si="6"/>
        <v>PRG-1003574</v>
      </c>
      <c r="E223" t="s">
        <v>109</v>
      </c>
      <c r="F223" t="s">
        <v>5</v>
      </c>
      <c r="G223" t="str">
        <f>""</f>
        <v/>
      </c>
    </row>
    <row r="224" spans="1:7" x14ac:dyDescent="0.25">
      <c r="A224" t="s">
        <v>8</v>
      </c>
      <c r="B224" s="1" t="str">
        <f>"2230C354"</f>
        <v>2230C354</v>
      </c>
      <c r="C224" t="s">
        <v>4311</v>
      </c>
      <c r="D224" s="1" t="str">
        <f t="shared" si="6"/>
        <v>PRG-1003574</v>
      </c>
      <c r="E224" t="s">
        <v>109</v>
      </c>
      <c r="F224" t="s">
        <v>5</v>
      </c>
      <c r="G224" t="str">
        <f>""</f>
        <v/>
      </c>
    </row>
    <row r="225" spans="1:7" x14ac:dyDescent="0.25">
      <c r="A225" t="s">
        <v>8</v>
      </c>
      <c r="B225" s="1" t="str">
        <f>"2370C292"</f>
        <v>2370C292</v>
      </c>
      <c r="C225" t="s">
        <v>4552</v>
      </c>
      <c r="D225" s="1" t="str">
        <f t="shared" si="6"/>
        <v>PRG-1003574</v>
      </c>
      <c r="E225" t="s">
        <v>109</v>
      </c>
      <c r="F225" t="s">
        <v>5</v>
      </c>
      <c r="G225" t="str">
        <f>""</f>
        <v/>
      </c>
    </row>
    <row r="226" spans="1:7" x14ac:dyDescent="0.25">
      <c r="A226" t="s">
        <v>8</v>
      </c>
      <c r="B226" s="1" t="str">
        <f>"41468405"</f>
        <v>41468405</v>
      </c>
      <c r="C226" t="s">
        <v>3763</v>
      </c>
      <c r="D226" s="1" t="str">
        <f t="shared" si="6"/>
        <v>PRG-1003574</v>
      </c>
      <c r="E226" t="s">
        <v>109</v>
      </c>
      <c r="F226" t="s">
        <v>5</v>
      </c>
      <c r="G226" t="str">
        <f>""</f>
        <v/>
      </c>
    </row>
    <row r="227" spans="1:7" x14ac:dyDescent="0.25">
      <c r="A227" t="s">
        <v>8</v>
      </c>
      <c r="B227" s="1" t="str">
        <f>"41508939"</f>
        <v>41508939</v>
      </c>
      <c r="C227" t="s">
        <v>3763</v>
      </c>
      <c r="D227" s="1" t="str">
        <f t="shared" si="6"/>
        <v>PRG-1003574</v>
      </c>
      <c r="E227" t="s">
        <v>109</v>
      </c>
      <c r="F227" t="s">
        <v>5</v>
      </c>
      <c r="G227" t="str">
        <f>""</f>
        <v/>
      </c>
    </row>
    <row r="228" spans="1:7" x14ac:dyDescent="0.25">
      <c r="A228" t="s">
        <v>8</v>
      </c>
      <c r="B228" s="1" t="str">
        <f>"6026V116"</f>
        <v>6026V116</v>
      </c>
      <c r="C228" t="s">
        <v>5162</v>
      </c>
      <c r="D228" s="1" t="str">
        <f t="shared" si="6"/>
        <v>PRG-1003574</v>
      </c>
      <c r="E228" t="s">
        <v>109</v>
      </c>
      <c r="F228" t="s">
        <v>5</v>
      </c>
      <c r="G228" t="str">
        <f>""</f>
        <v/>
      </c>
    </row>
    <row r="229" spans="1:7" x14ac:dyDescent="0.25">
      <c r="A229" t="s">
        <v>8</v>
      </c>
      <c r="B229" s="1" t="str">
        <f>"6026WK38"</f>
        <v>6026WK38</v>
      </c>
      <c r="C229" t="s">
        <v>5172</v>
      </c>
      <c r="D229" s="1" t="str">
        <f t="shared" si="6"/>
        <v>PRG-1003574</v>
      </c>
      <c r="E229" t="s">
        <v>109</v>
      </c>
      <c r="F229" t="s">
        <v>5</v>
      </c>
      <c r="G229" t="str">
        <f>""</f>
        <v/>
      </c>
    </row>
    <row r="230" spans="1:7" x14ac:dyDescent="0.25">
      <c r="A230" t="s">
        <v>8</v>
      </c>
      <c r="B230" s="1" t="str">
        <f>"S1Z0IJK0"</f>
        <v>S1Z0IJK0</v>
      </c>
      <c r="C230" t="s">
        <v>5401</v>
      </c>
      <c r="D230" s="1" t="str">
        <f t="shared" si="6"/>
        <v>PRG-1003574</v>
      </c>
      <c r="E230" t="s">
        <v>109</v>
      </c>
      <c r="F230" t="s">
        <v>5</v>
      </c>
      <c r="G230" t="str">
        <f>""</f>
        <v/>
      </c>
    </row>
    <row r="231" spans="1:7" x14ac:dyDescent="0.25">
      <c r="A231" t="s">
        <v>8</v>
      </c>
      <c r="B231" s="1" t="str">
        <f>"S1Z0IS00"</f>
        <v>S1Z0IS00</v>
      </c>
      <c r="C231" t="s">
        <v>5404</v>
      </c>
      <c r="D231" s="1" t="str">
        <f t="shared" si="6"/>
        <v>PRG-1003574</v>
      </c>
      <c r="E231" t="s">
        <v>109</v>
      </c>
      <c r="F231" t="s">
        <v>5</v>
      </c>
      <c r="G231" t="str">
        <f>""</f>
        <v/>
      </c>
    </row>
    <row r="232" spans="1:7" x14ac:dyDescent="0.25">
      <c r="A232" t="s">
        <v>8</v>
      </c>
      <c r="B232" s="1" t="str">
        <f>"S1Z0KGG0"</f>
        <v>S1Z0KGG0</v>
      </c>
      <c r="C232" t="s">
        <v>5410</v>
      </c>
      <c r="D232" s="1" t="str">
        <f t="shared" si="6"/>
        <v>PRG-1003574</v>
      </c>
      <c r="E232" t="s">
        <v>109</v>
      </c>
      <c r="F232" t="s">
        <v>5</v>
      </c>
      <c r="G232" t="str">
        <f>""</f>
        <v/>
      </c>
    </row>
    <row r="233" spans="1:7" x14ac:dyDescent="0.25">
      <c r="A233" t="s">
        <v>8</v>
      </c>
      <c r="B233" s="1" t="str">
        <f>"S1Z0S4U0"</f>
        <v>S1Z0S4U0</v>
      </c>
      <c r="C233" t="s">
        <v>5439</v>
      </c>
      <c r="D233" s="1" t="str">
        <f t="shared" si="6"/>
        <v>PRG-1003574</v>
      </c>
      <c r="E233" t="s">
        <v>109</v>
      </c>
      <c r="F233" t="s">
        <v>5</v>
      </c>
      <c r="G233" t="str">
        <f>""</f>
        <v/>
      </c>
    </row>
    <row r="234" spans="1:7" x14ac:dyDescent="0.25">
      <c r="A234" t="s">
        <v>8</v>
      </c>
      <c r="B234" s="1" t="str">
        <f>"S6I00120"</f>
        <v>S6I00120</v>
      </c>
      <c r="C234" t="s">
        <v>6077</v>
      </c>
      <c r="D234" s="1" t="str">
        <f t="shared" si="6"/>
        <v>PRG-1003574</v>
      </c>
      <c r="E234" t="s">
        <v>109</v>
      </c>
      <c r="F234" t="s">
        <v>5</v>
      </c>
      <c r="G234" t="str">
        <f>""</f>
        <v/>
      </c>
    </row>
    <row r="235" spans="1:7" x14ac:dyDescent="0.25">
      <c r="A235" t="s">
        <v>8</v>
      </c>
      <c r="B235" s="1" t="str">
        <f>"S6U000E0"</f>
        <v>S6U000E0</v>
      </c>
      <c r="C235" t="s">
        <v>6195</v>
      </c>
      <c r="D235" s="1" t="str">
        <f t="shared" si="6"/>
        <v>PRG-1003574</v>
      </c>
      <c r="E235" t="s">
        <v>109</v>
      </c>
      <c r="F235" t="s">
        <v>5</v>
      </c>
      <c r="G235" t="str">
        <f>""</f>
        <v/>
      </c>
    </row>
    <row r="236" spans="1:7" x14ac:dyDescent="0.25">
      <c r="A236" t="s">
        <v>8</v>
      </c>
      <c r="B236" s="1" t="str">
        <f>"000266386 - RICH PRODUCTS-WINGHOUSE"</f>
        <v>000266386 - RICH PRODUCTS-WINGHOUSE</v>
      </c>
      <c r="C236" t="s">
        <v>2405</v>
      </c>
      <c r="D236" s="1" t="str">
        <f>"PRG-1009270"</f>
        <v>PRG-1009270</v>
      </c>
      <c r="E236" t="s">
        <v>2406</v>
      </c>
      <c r="F236" t="s">
        <v>4</v>
      </c>
      <c r="G236" t="str">
        <f>""</f>
        <v/>
      </c>
    </row>
    <row r="237" spans="1:7" x14ac:dyDescent="0.25">
      <c r="A237" t="s">
        <v>8</v>
      </c>
      <c r="B237" s="1" t="str">
        <f>"000289493 - RICH PRODUCTS-WINGHOUSE"</f>
        <v>000289493 - RICH PRODUCTS-WINGHOUSE</v>
      </c>
      <c r="C237" t="s">
        <v>2405</v>
      </c>
      <c r="D237" s="1" t="str">
        <f>"PRG-1009270"</f>
        <v>PRG-1009270</v>
      </c>
      <c r="E237" t="s">
        <v>2406</v>
      </c>
      <c r="F237" t="s">
        <v>4</v>
      </c>
      <c r="G237" t="str">
        <f>""</f>
        <v/>
      </c>
    </row>
    <row r="238" spans="1:7" x14ac:dyDescent="0.25">
      <c r="A238" t="s">
        <v>8</v>
      </c>
      <c r="B238" s="1" t="str">
        <f>"000246367 - RICH PROD EAST STAR BUFFET"</f>
        <v>000246367 - RICH PROD EAST STAR BUFFET</v>
      </c>
      <c r="C238" t="s">
        <v>2023</v>
      </c>
      <c r="D238" s="1" t="str">
        <f>"PRG-1009727"</f>
        <v>PRG-1009727</v>
      </c>
      <c r="E238" t="s">
        <v>2024</v>
      </c>
      <c r="F238" t="s">
        <v>4</v>
      </c>
      <c r="G238" t="str">
        <f>""</f>
        <v/>
      </c>
    </row>
    <row r="239" spans="1:7" x14ac:dyDescent="0.25">
      <c r="A239" t="s">
        <v>8</v>
      </c>
      <c r="B239" s="1" t="str">
        <f>"2000257747 - RICH PRODUCTS-MONARCH CASINO"</f>
        <v>2000257747 - RICH PRODUCTS-MONARCH CASINO</v>
      </c>
      <c r="C239" t="s">
        <v>96</v>
      </c>
      <c r="D239" s="1" t="str">
        <f>"PRG-1009955"</f>
        <v>PRG-1009955</v>
      </c>
      <c r="E239" t="s">
        <v>3998</v>
      </c>
      <c r="F239" t="s">
        <v>4</v>
      </c>
      <c r="G239" t="str">
        <f>""</f>
        <v/>
      </c>
    </row>
    <row r="240" spans="1:7" x14ac:dyDescent="0.25">
      <c r="A240" t="s">
        <v>8</v>
      </c>
      <c r="B240" s="1" t="str">
        <f>"000016831 - "</f>
        <v xml:space="preserve">000016831 - </v>
      </c>
      <c r="D240" s="1" t="str">
        <f>"PRG-1010200"</f>
        <v>PRG-1010200</v>
      </c>
      <c r="E240" t="s">
        <v>374</v>
      </c>
      <c r="F240" t="s">
        <v>4</v>
      </c>
      <c r="G240" t="str">
        <f>""</f>
        <v/>
      </c>
    </row>
    <row r="241" spans="1:7" x14ac:dyDescent="0.25">
      <c r="A241" t="s">
        <v>8</v>
      </c>
      <c r="B241" s="1" t="str">
        <f>"2000183120 - RICH LAGOON"</f>
        <v>2000183120 - RICH LAGOON</v>
      </c>
      <c r="C241" t="s">
        <v>3907</v>
      </c>
      <c r="D241" s="1" t="str">
        <f>"PRG-1010200"</f>
        <v>PRG-1010200</v>
      </c>
      <c r="E241" t="s">
        <v>374</v>
      </c>
      <c r="F241" t="s">
        <v>4</v>
      </c>
      <c r="G241" t="str">
        <f>""</f>
        <v/>
      </c>
    </row>
    <row r="242" spans="1:7" x14ac:dyDescent="0.25">
      <c r="A242" t="s">
        <v>8</v>
      </c>
      <c r="B242" s="1" t="str">
        <f>"2000248605 - RICH'S-LAGOON CATERING"</f>
        <v>2000248605 - RICH'S-LAGOON CATERING</v>
      </c>
      <c r="C242" t="s">
        <v>3993</v>
      </c>
      <c r="D242" s="1" t="str">
        <f>"PRG-1010200"</f>
        <v>PRG-1010200</v>
      </c>
      <c r="E242" t="s">
        <v>374</v>
      </c>
      <c r="F242" t="s">
        <v>4</v>
      </c>
      <c r="G242" t="str">
        <f>""</f>
        <v/>
      </c>
    </row>
    <row r="243" spans="1:7" x14ac:dyDescent="0.25">
      <c r="A243" t="s">
        <v>8</v>
      </c>
      <c r="B243" s="1" t="str">
        <f>"000001461 - EXPORT - RICH PRODUCTS (R731)"</f>
        <v>000001461 - EXPORT - RICH PRODUCTS (R731)</v>
      </c>
      <c r="C243" t="s">
        <v>88</v>
      </c>
      <c r="D243" s="1" t="str">
        <f>"PRG-1010328"</f>
        <v>PRG-1010328</v>
      </c>
      <c r="E243" t="s">
        <v>89</v>
      </c>
      <c r="F243" t="s">
        <v>4</v>
      </c>
      <c r="G243" t="str">
        <f>""</f>
        <v/>
      </c>
    </row>
    <row r="244" spans="1:7" x14ac:dyDescent="0.25">
      <c r="A244" t="s">
        <v>8</v>
      </c>
      <c r="B244" s="1" t="str">
        <f>"000167713 - Export - Rich Products"</f>
        <v>000167713 - Export - Rich Products</v>
      </c>
      <c r="C244" t="s">
        <v>1080</v>
      </c>
      <c r="D244" s="1" t="str">
        <f>"PRG-1010328"</f>
        <v>PRG-1010328</v>
      </c>
      <c r="E244" t="s">
        <v>89</v>
      </c>
      <c r="F244" t="s">
        <v>4</v>
      </c>
      <c r="G244" t="str">
        <f>""</f>
        <v/>
      </c>
    </row>
    <row r="245" spans="1:7" x14ac:dyDescent="0.25">
      <c r="A245" t="s">
        <v>8</v>
      </c>
      <c r="B245" s="1" t="str">
        <f>"000263501 - EXPORT - RICH PRODUCTS"</f>
        <v>000263501 - EXPORT - RICH PRODUCTS</v>
      </c>
      <c r="C245" t="s">
        <v>2337</v>
      </c>
      <c r="D245" s="1" t="str">
        <f>"PRG-1010328"</f>
        <v>PRG-1010328</v>
      </c>
      <c r="E245" t="s">
        <v>89</v>
      </c>
      <c r="F245" t="s">
        <v>4</v>
      </c>
      <c r="G245" t="str">
        <f>""</f>
        <v/>
      </c>
    </row>
    <row r="246" spans="1:7" x14ac:dyDescent="0.25">
      <c r="A246" t="s">
        <v>8</v>
      </c>
      <c r="B246" s="1" t="str">
        <f>"000199039 - RICHS CHOWAN COLLEGE"</f>
        <v>000199039 - RICHS CHOWAN COLLEGE</v>
      </c>
      <c r="C246" t="s">
        <v>1288</v>
      </c>
      <c r="D246" s="1" t="str">
        <f>"PRG-1010948"</f>
        <v>PRG-1010948</v>
      </c>
      <c r="E246" t="s">
        <v>683</v>
      </c>
      <c r="F246" t="s">
        <v>4</v>
      </c>
      <c r="G246" t="str">
        <f>""</f>
        <v/>
      </c>
    </row>
    <row r="247" spans="1:7" x14ac:dyDescent="0.25">
      <c r="A247" t="s">
        <v>8</v>
      </c>
      <c r="B247" s="1" t="str">
        <f>"000217267 - RICHS CHOWAN COLLEGE"</f>
        <v>000217267 - RICHS CHOWAN COLLEGE</v>
      </c>
      <c r="C247" t="s">
        <v>1288</v>
      </c>
      <c r="D247" s="1" t="str">
        <f>"PRG-1010948"</f>
        <v>PRG-1010948</v>
      </c>
      <c r="E247" t="s">
        <v>683</v>
      </c>
      <c r="F247" t="s">
        <v>4</v>
      </c>
      <c r="G247" t="str">
        <f>""</f>
        <v/>
      </c>
    </row>
    <row r="248" spans="1:7" x14ac:dyDescent="0.25">
      <c r="A248" t="s">
        <v>8</v>
      </c>
      <c r="B248" s="1" t="str">
        <f>"000280041 - RICH IHOP"</f>
        <v>000280041 - RICH IHOP</v>
      </c>
      <c r="C248" t="s">
        <v>2637</v>
      </c>
      <c r="D248" s="1" t="str">
        <f>"PRG-1011369"</f>
        <v>PRG-1011369</v>
      </c>
      <c r="E248" t="s">
        <v>1845</v>
      </c>
      <c r="F248" t="s">
        <v>4</v>
      </c>
      <c r="G248" t="str">
        <f>""</f>
        <v/>
      </c>
    </row>
    <row r="249" spans="1:7" x14ac:dyDescent="0.25">
      <c r="A249" t="s">
        <v>8</v>
      </c>
      <c r="B249" s="1" t="str">
        <f>"000281281 - RICH IHOP"</f>
        <v>000281281 - RICH IHOP</v>
      </c>
      <c r="C249" t="s">
        <v>2637</v>
      </c>
      <c r="D249" s="1" t="str">
        <f>"PRG-1011369"</f>
        <v>PRG-1011369</v>
      </c>
      <c r="E249" t="s">
        <v>1845</v>
      </c>
      <c r="F249" t="s">
        <v>4</v>
      </c>
      <c r="G249" t="str">
        <f>""</f>
        <v/>
      </c>
    </row>
    <row r="250" spans="1:7" x14ac:dyDescent="0.25">
      <c r="A250" t="s">
        <v>8</v>
      </c>
      <c r="B250" s="1" t="str">
        <f>"000296425 - RICH IHOP"</f>
        <v>000296425 - RICH IHOP</v>
      </c>
      <c r="C250" t="s">
        <v>2637</v>
      </c>
      <c r="D250" s="1" t="str">
        <f>"PRG-1011369"</f>
        <v>PRG-1011369</v>
      </c>
      <c r="E250" t="s">
        <v>1845</v>
      </c>
      <c r="F250" t="s">
        <v>4</v>
      </c>
      <c r="G250" t="str">
        <f>""</f>
        <v/>
      </c>
    </row>
    <row r="251" spans="1:7" x14ac:dyDescent="0.25">
      <c r="A251" t="s">
        <v>8</v>
      </c>
      <c r="B251" s="1" t="str">
        <f>"2000183233 - RICHS-IHOP"</f>
        <v>2000183233 - RICHS-IHOP</v>
      </c>
      <c r="C251" t="s">
        <v>3908</v>
      </c>
      <c r="D251" s="1" t="str">
        <f>"PRG-1011369"</f>
        <v>PRG-1011369</v>
      </c>
      <c r="E251" t="s">
        <v>1845</v>
      </c>
      <c r="F251" t="s">
        <v>4</v>
      </c>
      <c r="G251" t="str">
        <f>""</f>
        <v/>
      </c>
    </row>
    <row r="252" spans="1:7" x14ac:dyDescent="0.25">
      <c r="A252" t="s">
        <v>8</v>
      </c>
      <c r="B252" s="1" t="str">
        <f>"2000183953 - RICHS IHOP"</f>
        <v>2000183953 - RICHS IHOP</v>
      </c>
      <c r="C252" t="s">
        <v>3913</v>
      </c>
      <c r="D252" s="1" t="str">
        <f>"PRG-1011369"</f>
        <v>PRG-1011369</v>
      </c>
      <c r="E252" t="s">
        <v>1845</v>
      </c>
      <c r="F252" t="s">
        <v>4</v>
      </c>
      <c r="G252" t="str">
        <f>""</f>
        <v/>
      </c>
    </row>
    <row r="253" spans="1:7" x14ac:dyDescent="0.25">
      <c r="A253" t="s">
        <v>8</v>
      </c>
      <c r="B253" s="1" t="str">
        <f>"000185870 - RICHS ALL CUSTOMERS"</f>
        <v>000185870 - RICHS ALL CUSTOMERS</v>
      </c>
      <c r="C253" t="s">
        <v>1174</v>
      </c>
      <c r="D253" s="1" t="str">
        <f>"PRG-1011870"</f>
        <v>PRG-1011870</v>
      </c>
      <c r="E253" t="s">
        <v>1175</v>
      </c>
      <c r="F253" t="s">
        <v>4</v>
      </c>
      <c r="G253" t="str">
        <f>""</f>
        <v/>
      </c>
    </row>
    <row r="254" spans="1:7" x14ac:dyDescent="0.25">
      <c r="A254" t="s">
        <v>8</v>
      </c>
      <c r="B254" s="1" t="str">
        <f>"000223592 - RICH FOODS-BUSCH ENT"</f>
        <v>000223592 - RICH FOODS-BUSCH ENT</v>
      </c>
      <c r="C254" t="s">
        <v>1648</v>
      </c>
      <c r="D254" s="1" t="str">
        <f t="shared" ref="D254:D263" si="7">"PRG-1012097"</f>
        <v>PRG-1012097</v>
      </c>
      <c r="E254" t="s">
        <v>1649</v>
      </c>
      <c r="F254" t="s">
        <v>4</v>
      </c>
      <c r="G254" t="str">
        <f>""</f>
        <v/>
      </c>
    </row>
    <row r="255" spans="1:7" x14ac:dyDescent="0.25">
      <c r="A255" t="s">
        <v>8</v>
      </c>
      <c r="B255" s="1" t="str">
        <f>"000231381 - RICH FOODS-BUSCH ENT"</f>
        <v>000231381 - RICH FOODS-BUSCH ENT</v>
      </c>
      <c r="C255" t="s">
        <v>1648</v>
      </c>
      <c r="D255" s="1" t="str">
        <f t="shared" si="7"/>
        <v>PRG-1012097</v>
      </c>
      <c r="E255" t="s">
        <v>1649</v>
      </c>
      <c r="F255" t="s">
        <v>4</v>
      </c>
      <c r="G255" t="str">
        <f>""</f>
        <v/>
      </c>
    </row>
    <row r="256" spans="1:7" x14ac:dyDescent="0.25">
      <c r="A256" t="s">
        <v>8</v>
      </c>
      <c r="B256" s="1" t="str">
        <f>"000256936 - RICH - SEAWORLD"</f>
        <v>000256936 - RICH - SEAWORLD</v>
      </c>
      <c r="C256" t="s">
        <v>2197</v>
      </c>
      <c r="D256" s="1" t="str">
        <f t="shared" si="7"/>
        <v>PRG-1012097</v>
      </c>
      <c r="E256" t="s">
        <v>1649</v>
      </c>
      <c r="F256" t="s">
        <v>4</v>
      </c>
      <c r="G256" t="str">
        <f>""</f>
        <v/>
      </c>
    </row>
    <row r="257" spans="1:7" x14ac:dyDescent="0.25">
      <c r="A257" t="s">
        <v>8</v>
      </c>
      <c r="B257" s="1" t="str">
        <f>"000259691 - RICH FIXBB-SEAWORLD"</f>
        <v>000259691 - RICH FIXBB-SEAWORLD</v>
      </c>
      <c r="C257" t="s">
        <v>2249</v>
      </c>
      <c r="D257" s="1" t="str">
        <f t="shared" si="7"/>
        <v>PRG-1012097</v>
      </c>
      <c r="E257" t="s">
        <v>1649</v>
      </c>
      <c r="F257" t="s">
        <v>4</v>
      </c>
      <c r="G257" t="str">
        <f>""</f>
        <v/>
      </c>
    </row>
    <row r="258" spans="1:7" x14ac:dyDescent="0.25">
      <c r="A258" t="s">
        <v>8</v>
      </c>
      <c r="B258" s="1" t="str">
        <f>"000271663 - RICH-BUSCH GARDENS(SEA WRLD)"</f>
        <v>000271663 - RICH-BUSCH GARDENS(SEA WRLD)</v>
      </c>
      <c r="C258" t="s">
        <v>2491</v>
      </c>
      <c r="D258" s="1" t="str">
        <f t="shared" si="7"/>
        <v>PRG-1012097</v>
      </c>
      <c r="E258" t="s">
        <v>1649</v>
      </c>
      <c r="F258" t="s">
        <v>4</v>
      </c>
      <c r="G258" t="str">
        <f>""</f>
        <v/>
      </c>
    </row>
    <row r="259" spans="1:7" x14ac:dyDescent="0.25">
      <c r="A259" t="s">
        <v>8</v>
      </c>
      <c r="B259" s="1" t="str">
        <f>"000278236 - RICH-SEAWORLD"</f>
        <v>000278236 - RICH-SEAWORLD</v>
      </c>
      <c r="C259" t="s">
        <v>2066</v>
      </c>
      <c r="D259" s="1" t="str">
        <f t="shared" si="7"/>
        <v>PRG-1012097</v>
      </c>
      <c r="E259" t="s">
        <v>1649</v>
      </c>
      <c r="F259" t="s">
        <v>4</v>
      </c>
      <c r="G259" t="str">
        <f>""</f>
        <v/>
      </c>
    </row>
    <row r="260" spans="1:7" x14ac:dyDescent="0.25">
      <c r="A260" t="s">
        <v>8</v>
      </c>
      <c r="B260" s="1" t="str">
        <f>"000279104 - RICH-BB&amp;CC SEAWORLD"</f>
        <v>000279104 - RICH-BB&amp;CC SEAWORLD</v>
      </c>
      <c r="C260" t="s">
        <v>2615</v>
      </c>
      <c r="D260" s="1" t="str">
        <f t="shared" si="7"/>
        <v>PRG-1012097</v>
      </c>
      <c r="E260" t="s">
        <v>1649</v>
      </c>
      <c r="F260" t="s">
        <v>4</v>
      </c>
      <c r="G260" t="str">
        <f>""</f>
        <v/>
      </c>
    </row>
    <row r="261" spans="1:7" x14ac:dyDescent="0.25">
      <c r="A261" t="s">
        <v>8</v>
      </c>
      <c r="B261" s="1" t="str">
        <f>"000291688 - RICH FOODS-BUSCH ENT"</f>
        <v>000291688 - RICH FOODS-BUSCH ENT</v>
      </c>
      <c r="C261" t="s">
        <v>1648</v>
      </c>
      <c r="D261" s="1" t="str">
        <f t="shared" si="7"/>
        <v>PRG-1012097</v>
      </c>
      <c r="E261" t="s">
        <v>1649</v>
      </c>
      <c r="F261" t="s">
        <v>4</v>
      </c>
      <c r="G261" t="str">
        <f>""</f>
        <v/>
      </c>
    </row>
    <row r="262" spans="1:7" x14ac:dyDescent="0.25">
      <c r="A262" t="s">
        <v>8</v>
      </c>
      <c r="B262" s="1" t="str">
        <f>"000294249 - RICH FOODS-BUSCH ENT"</f>
        <v>000294249 - RICH FOODS-BUSCH ENT</v>
      </c>
      <c r="C262" t="s">
        <v>1648</v>
      </c>
      <c r="D262" s="1" t="str">
        <f t="shared" si="7"/>
        <v>PRG-1012097</v>
      </c>
      <c r="E262" t="s">
        <v>1649</v>
      </c>
      <c r="F262" t="s">
        <v>4</v>
      </c>
      <c r="G262" t="str">
        <f>""</f>
        <v/>
      </c>
    </row>
    <row r="263" spans="1:7" x14ac:dyDescent="0.25">
      <c r="A263" t="s">
        <v>8</v>
      </c>
      <c r="B263" s="1" t="str">
        <f>"000334885 - "</f>
        <v xml:space="preserve">000334885 - </v>
      </c>
      <c r="D263" s="1" t="str">
        <f t="shared" si="7"/>
        <v>PRG-1012097</v>
      </c>
      <c r="E263" t="s">
        <v>1649</v>
      </c>
      <c r="F263" t="s">
        <v>4</v>
      </c>
      <c r="G263" t="str">
        <f>""</f>
        <v/>
      </c>
    </row>
    <row r="264" spans="1:7" x14ac:dyDescent="0.25">
      <c r="A264" t="s">
        <v>8</v>
      </c>
      <c r="B264" s="1" t="str">
        <f>"000214564 - RICHS  BREADBOARDS 1012396"</f>
        <v>000214564 - RICHS  BREADBOARDS 1012396</v>
      </c>
      <c r="C264" t="s">
        <v>1503</v>
      </c>
      <c r="D264" s="1" t="str">
        <f>"PRG-1012396"</f>
        <v>PRG-1012396</v>
      </c>
      <c r="E264" t="s">
        <v>1504</v>
      </c>
      <c r="F264" t="s">
        <v>4</v>
      </c>
      <c r="G264" t="str">
        <f>""</f>
        <v/>
      </c>
    </row>
    <row r="265" spans="1:7" x14ac:dyDescent="0.25">
      <c r="A265" t="s">
        <v>8</v>
      </c>
      <c r="B265" s="1" t="str">
        <f>"000228525 - "</f>
        <v xml:space="preserve">000228525 - </v>
      </c>
      <c r="D265" s="1" t="str">
        <f>"PRG-1012396"</f>
        <v>PRG-1012396</v>
      </c>
      <c r="E265" t="s">
        <v>1504</v>
      </c>
      <c r="F265" t="s">
        <v>4</v>
      </c>
      <c r="G265" t="str">
        <f>""</f>
        <v/>
      </c>
    </row>
    <row r="266" spans="1:7" x14ac:dyDescent="0.25">
      <c r="A266" t="s">
        <v>8</v>
      </c>
      <c r="B266" s="1" t="str">
        <f>"000243848 - RUBY TUESDAY- RICH PRODUCTS"</f>
        <v>000243848 - RUBY TUESDAY- RICH PRODUCTS</v>
      </c>
      <c r="C266" t="s">
        <v>1962</v>
      </c>
      <c r="D266" s="1" t="str">
        <f>"PRG-1012474"</f>
        <v>PRG-1012474</v>
      </c>
      <c r="E266" t="s">
        <v>1963</v>
      </c>
      <c r="F266" t="s">
        <v>4</v>
      </c>
      <c r="G266" t="str">
        <f>""</f>
        <v/>
      </c>
    </row>
    <row r="267" spans="1:7" x14ac:dyDescent="0.25">
      <c r="A267" t="s">
        <v>8</v>
      </c>
      <c r="B267" s="1" t="str">
        <f>"000102244 - RICHS - ABRAMS GROUP"</f>
        <v>000102244 - RICHS - ABRAMS GROUP</v>
      </c>
      <c r="C267" t="s">
        <v>804</v>
      </c>
      <c r="D267" s="1" t="str">
        <f>"PRG-1012638"</f>
        <v>PRG-1012638</v>
      </c>
      <c r="E267" t="s">
        <v>805</v>
      </c>
      <c r="F267" t="s">
        <v>4</v>
      </c>
      <c r="G267" t="str">
        <f>""</f>
        <v/>
      </c>
    </row>
    <row r="268" spans="1:7" x14ac:dyDescent="0.25">
      <c r="A268" t="s">
        <v>8</v>
      </c>
      <c r="B268" s="1" t="str">
        <f>"000129974 - RICHS - ABRAMS GROUP"</f>
        <v>000129974 - RICHS - ABRAMS GROUP</v>
      </c>
      <c r="C268" t="s">
        <v>804</v>
      </c>
      <c r="D268" s="1" t="str">
        <f>"PRG-1012638"</f>
        <v>PRG-1012638</v>
      </c>
      <c r="E268" t="s">
        <v>805</v>
      </c>
      <c r="F268" t="s">
        <v>4</v>
      </c>
      <c r="G268" t="str">
        <f>""</f>
        <v/>
      </c>
    </row>
    <row r="269" spans="1:7" x14ac:dyDescent="0.25">
      <c r="A269" t="s">
        <v>8</v>
      </c>
      <c r="B269" s="1" t="str">
        <f>"22405511"</f>
        <v>22405511</v>
      </c>
      <c r="C269" t="s">
        <v>4312</v>
      </c>
      <c r="D269" s="1" t="str">
        <f>"PRG-1012704"</f>
        <v>PRG-1012704</v>
      </c>
      <c r="E269" t="s">
        <v>4313</v>
      </c>
      <c r="F269" t="s">
        <v>5</v>
      </c>
      <c r="G269" t="str">
        <f>""</f>
        <v/>
      </c>
    </row>
    <row r="270" spans="1:7" x14ac:dyDescent="0.25">
      <c r="A270" t="s">
        <v>8</v>
      </c>
      <c r="B270" s="1" t="str">
        <f>"000237812 - CAROWINDS-RICH'S"</f>
        <v>000237812 - CAROWINDS-RICH'S</v>
      </c>
      <c r="C270" t="s">
        <v>1872</v>
      </c>
      <c r="D270" s="1" t="str">
        <f>"PRG-1012710"</f>
        <v>PRG-1012710</v>
      </c>
      <c r="E270" t="s">
        <v>1873</v>
      </c>
      <c r="F270" t="s">
        <v>4</v>
      </c>
      <c r="G270" t="str">
        <f>""</f>
        <v/>
      </c>
    </row>
    <row r="271" spans="1:7" x14ac:dyDescent="0.25">
      <c r="A271" t="s">
        <v>8</v>
      </c>
      <c r="B271" s="1" t="str">
        <f>"22504725"</f>
        <v>22504725</v>
      </c>
      <c r="C271" t="s">
        <v>4358</v>
      </c>
      <c r="D271" s="1" t="str">
        <f>"PRG-1012710"</f>
        <v>PRG-1012710</v>
      </c>
      <c r="E271" t="s">
        <v>1873</v>
      </c>
      <c r="F271" t="s">
        <v>5</v>
      </c>
      <c r="G271" t="str">
        <f>""</f>
        <v/>
      </c>
    </row>
    <row r="272" spans="1:7" x14ac:dyDescent="0.25">
      <c r="A272" t="s">
        <v>8</v>
      </c>
      <c r="B272" s="1" t="str">
        <f>"000175856 - CHUBBYS-RICH PRODUCTS"</f>
        <v>000175856 - CHUBBYS-RICH PRODUCTS</v>
      </c>
      <c r="C272" t="s">
        <v>1118</v>
      </c>
      <c r="D272" s="1" t="str">
        <f>"PRG-1012723"</f>
        <v>PRG-1012723</v>
      </c>
      <c r="E272" t="s">
        <v>1119</v>
      </c>
      <c r="F272" t="s">
        <v>4</v>
      </c>
      <c r="G272" t="str">
        <f>""</f>
        <v/>
      </c>
    </row>
    <row r="273" spans="1:7" x14ac:dyDescent="0.25">
      <c r="A273" t="s">
        <v>8</v>
      </c>
      <c r="B273" s="1" t="str">
        <f>"000255145 - RICH PRODUCTS-GALLINS"</f>
        <v>000255145 - RICH PRODUCTS-GALLINS</v>
      </c>
      <c r="C273" t="s">
        <v>2160</v>
      </c>
      <c r="D273" s="1" t="str">
        <f>"PRG-1012737"</f>
        <v>PRG-1012737</v>
      </c>
      <c r="E273" t="s">
        <v>2161</v>
      </c>
      <c r="F273" t="s">
        <v>4</v>
      </c>
      <c r="G273" t="str">
        <f>""</f>
        <v/>
      </c>
    </row>
    <row r="274" spans="1:7" x14ac:dyDescent="0.25">
      <c r="A274" t="s">
        <v>8</v>
      </c>
      <c r="B274" s="1" t="str">
        <f>"000102217 - RICHS - MCCALLS BBQ &amp; SF"</f>
        <v>000102217 - RICHS - MCCALLS BBQ &amp; SF</v>
      </c>
      <c r="C274" t="s">
        <v>802</v>
      </c>
      <c r="D274" s="1" t="str">
        <f>"PRG-1012758"</f>
        <v>PRG-1012758</v>
      </c>
      <c r="E274" t="s">
        <v>803</v>
      </c>
      <c r="F274" t="s">
        <v>4</v>
      </c>
      <c r="G274" t="str">
        <f>""</f>
        <v/>
      </c>
    </row>
    <row r="275" spans="1:7" x14ac:dyDescent="0.25">
      <c r="A275" t="s">
        <v>8</v>
      </c>
      <c r="B275" s="1" t="str">
        <f>"2260E410"</f>
        <v>2260E410</v>
      </c>
      <c r="C275" t="s">
        <v>4461</v>
      </c>
      <c r="D275" s="1" t="str">
        <f>"PRG-1012813"</f>
        <v>PRG-1012813</v>
      </c>
      <c r="E275" t="s">
        <v>4462</v>
      </c>
      <c r="F275" t="s">
        <v>5</v>
      </c>
      <c r="G275" t="str">
        <f>""</f>
        <v/>
      </c>
    </row>
    <row r="276" spans="1:7" x14ac:dyDescent="0.25">
      <c r="A276" t="s">
        <v>8</v>
      </c>
      <c r="B276" s="1" t="str">
        <f>"S5D022Z0"</f>
        <v>S5D022Z0</v>
      </c>
      <c r="C276" t="s">
        <v>5798</v>
      </c>
      <c r="D276" s="1" t="str">
        <f>"PRG-1012813"</f>
        <v>PRG-1012813</v>
      </c>
      <c r="E276" t="s">
        <v>4462</v>
      </c>
      <c r="F276" t="s">
        <v>5</v>
      </c>
      <c r="G276" t="str">
        <f>""</f>
        <v/>
      </c>
    </row>
    <row r="277" spans="1:7" x14ac:dyDescent="0.25">
      <c r="A277" t="s">
        <v>8</v>
      </c>
      <c r="B277" s="1" t="str">
        <f>"000191712 - RICH PRODUCTS-HIBACHI GROUP"</f>
        <v>000191712 - RICH PRODUCTS-HIBACHI GROUP</v>
      </c>
      <c r="C277" t="s">
        <v>1214</v>
      </c>
      <c r="D277" s="1" t="str">
        <f t="shared" ref="D277:D288" si="8">"PRG-1012820"</f>
        <v>PRG-1012820</v>
      </c>
      <c r="E277" t="s">
        <v>1215</v>
      </c>
      <c r="F277" t="s">
        <v>4</v>
      </c>
      <c r="G277" t="str">
        <f>""</f>
        <v/>
      </c>
    </row>
    <row r="278" spans="1:7" x14ac:dyDescent="0.25">
      <c r="A278" t="s">
        <v>8</v>
      </c>
      <c r="B278" s="1" t="str">
        <f>"000237304 - RICH HIBACHI SUPREME"</f>
        <v>000237304 - RICH HIBACHI SUPREME</v>
      </c>
      <c r="C278" t="s">
        <v>1860</v>
      </c>
      <c r="D278" s="1" t="str">
        <f t="shared" si="8"/>
        <v>PRG-1012820</v>
      </c>
      <c r="E278" t="s">
        <v>1215</v>
      </c>
      <c r="F278" t="s">
        <v>4</v>
      </c>
      <c r="G278" t="str">
        <f>""</f>
        <v/>
      </c>
    </row>
    <row r="279" spans="1:7" x14ac:dyDescent="0.25">
      <c r="A279" t="s">
        <v>8</v>
      </c>
      <c r="B279" s="1" t="str">
        <f>"000249194 - RICH HIBACHI GRILL"</f>
        <v>000249194 - RICH HIBACHI GRILL</v>
      </c>
      <c r="C279" t="s">
        <v>2060</v>
      </c>
      <c r="D279" s="1" t="str">
        <f t="shared" si="8"/>
        <v>PRG-1012820</v>
      </c>
      <c r="E279" t="s">
        <v>1215</v>
      </c>
      <c r="F279" t="s">
        <v>4</v>
      </c>
      <c r="G279" t="str">
        <f>""</f>
        <v/>
      </c>
    </row>
    <row r="280" spans="1:7" x14ac:dyDescent="0.25">
      <c r="A280" t="s">
        <v>8</v>
      </c>
      <c r="B280" s="1" t="str">
        <f>"000254720 - RICH HIBACHI GRILL"</f>
        <v>000254720 - RICH HIBACHI GRILL</v>
      </c>
      <c r="C280" t="s">
        <v>2060</v>
      </c>
      <c r="D280" s="1" t="str">
        <f t="shared" si="8"/>
        <v>PRG-1012820</v>
      </c>
      <c r="E280" t="s">
        <v>1215</v>
      </c>
      <c r="F280" t="s">
        <v>4</v>
      </c>
      <c r="G280" t="str">
        <f>""</f>
        <v/>
      </c>
    </row>
    <row r="281" spans="1:7" x14ac:dyDescent="0.25">
      <c r="A281" t="s">
        <v>8</v>
      </c>
      <c r="B281" s="1" t="str">
        <f>"20108223"</f>
        <v>20108223</v>
      </c>
      <c r="C281" t="s">
        <v>4085</v>
      </c>
      <c r="D281" s="1" t="str">
        <f t="shared" si="8"/>
        <v>PRG-1012820</v>
      </c>
      <c r="E281" t="s">
        <v>1215</v>
      </c>
      <c r="F281" t="s">
        <v>5</v>
      </c>
      <c r="G281" t="str">
        <f>""</f>
        <v/>
      </c>
    </row>
    <row r="282" spans="1:7" x14ac:dyDescent="0.25">
      <c r="A282" t="s">
        <v>8</v>
      </c>
      <c r="B282" s="1" t="str">
        <f>"2099A004"</f>
        <v>2099A004</v>
      </c>
      <c r="C282" t="s">
        <v>4099</v>
      </c>
      <c r="D282" s="1" t="str">
        <f t="shared" si="8"/>
        <v>PRG-1012820</v>
      </c>
      <c r="E282" t="s">
        <v>1215</v>
      </c>
      <c r="F282" t="s">
        <v>5</v>
      </c>
      <c r="G282" t="str">
        <f>""</f>
        <v/>
      </c>
    </row>
    <row r="283" spans="1:7" x14ac:dyDescent="0.25">
      <c r="A283" t="s">
        <v>8</v>
      </c>
      <c r="B283" s="1" t="str">
        <f>"2125A579"</f>
        <v>2125A579</v>
      </c>
      <c r="C283" t="s">
        <v>4136</v>
      </c>
      <c r="D283" s="1" t="str">
        <f t="shared" si="8"/>
        <v>PRG-1012820</v>
      </c>
      <c r="E283" t="s">
        <v>1215</v>
      </c>
      <c r="F283" t="s">
        <v>5</v>
      </c>
      <c r="G283" t="str">
        <f>""</f>
        <v/>
      </c>
    </row>
    <row r="284" spans="1:7" x14ac:dyDescent="0.25">
      <c r="A284" t="s">
        <v>8</v>
      </c>
      <c r="B284" s="1" t="str">
        <f>"22207984"</f>
        <v>22207984</v>
      </c>
      <c r="C284" t="s">
        <v>4242</v>
      </c>
      <c r="D284" s="1" t="str">
        <f t="shared" si="8"/>
        <v>PRG-1012820</v>
      </c>
      <c r="E284" t="s">
        <v>1215</v>
      </c>
      <c r="F284" t="s">
        <v>5</v>
      </c>
      <c r="G284" t="str">
        <f>""</f>
        <v/>
      </c>
    </row>
    <row r="285" spans="1:7" x14ac:dyDescent="0.25">
      <c r="A285" t="s">
        <v>8</v>
      </c>
      <c r="B285" s="1" t="str">
        <f>"2240C458"</f>
        <v>2240C458</v>
      </c>
      <c r="C285" t="s">
        <v>4325</v>
      </c>
      <c r="D285" s="1" t="str">
        <f t="shared" si="8"/>
        <v>PRG-1012820</v>
      </c>
      <c r="E285" t="s">
        <v>1215</v>
      </c>
      <c r="F285" t="s">
        <v>5</v>
      </c>
      <c r="G285" t="str">
        <f>""</f>
        <v/>
      </c>
    </row>
    <row r="286" spans="1:7" x14ac:dyDescent="0.25">
      <c r="A286" t="s">
        <v>8</v>
      </c>
      <c r="B286" s="1" t="str">
        <f>"22603494"</f>
        <v>22603494</v>
      </c>
      <c r="C286" t="s">
        <v>4242</v>
      </c>
      <c r="D286" s="1" t="str">
        <f t="shared" si="8"/>
        <v>PRG-1012820</v>
      </c>
      <c r="E286" t="s">
        <v>1215</v>
      </c>
      <c r="F286" t="s">
        <v>5</v>
      </c>
      <c r="G286" t="str">
        <f>""</f>
        <v/>
      </c>
    </row>
    <row r="287" spans="1:7" x14ac:dyDescent="0.25">
      <c r="A287" t="s">
        <v>8</v>
      </c>
      <c r="B287" s="1" t="str">
        <f>"S2C005C0"</f>
        <v>S2C005C0</v>
      </c>
      <c r="C287" t="s">
        <v>5472</v>
      </c>
      <c r="D287" s="1" t="str">
        <f t="shared" si="8"/>
        <v>PRG-1012820</v>
      </c>
      <c r="E287" t="s">
        <v>1215</v>
      </c>
      <c r="F287" t="s">
        <v>5</v>
      </c>
      <c r="G287" t="str">
        <f>""</f>
        <v/>
      </c>
    </row>
    <row r="288" spans="1:7" x14ac:dyDescent="0.25">
      <c r="A288" t="s">
        <v>8</v>
      </c>
      <c r="B288" s="1" t="str">
        <f>"S6B006B0"</f>
        <v>S6B006B0</v>
      </c>
      <c r="C288" t="s">
        <v>5986</v>
      </c>
      <c r="D288" s="1" t="str">
        <f t="shared" si="8"/>
        <v>PRG-1012820</v>
      </c>
      <c r="E288" t="s">
        <v>1215</v>
      </c>
      <c r="F288" t="s">
        <v>5</v>
      </c>
      <c r="G288" t="str">
        <f>""</f>
        <v/>
      </c>
    </row>
    <row r="289" spans="1:7" x14ac:dyDescent="0.25">
      <c r="A289" t="s">
        <v>8</v>
      </c>
      <c r="B289" s="1" t="str">
        <f>"2260B341"</f>
        <v>2260B341</v>
      </c>
      <c r="C289" t="s">
        <v>4454</v>
      </c>
      <c r="D289" s="1" t="str">
        <f>"PRG-1012823"</f>
        <v>PRG-1012823</v>
      </c>
      <c r="E289" t="s">
        <v>4455</v>
      </c>
      <c r="F289" t="s">
        <v>5</v>
      </c>
      <c r="G289" t="str">
        <f>""</f>
        <v/>
      </c>
    </row>
    <row r="290" spans="1:7" x14ac:dyDescent="0.25">
      <c r="A290" t="s">
        <v>8</v>
      </c>
      <c r="B290" s="1" t="str">
        <f>"000290038 - RICH PRODUCTS CASINO'S"</f>
        <v>000290038 - RICH PRODUCTS CASINO'S</v>
      </c>
      <c r="C290" t="s">
        <v>2805</v>
      </c>
      <c r="D290" s="1" t="str">
        <f>"PRG-1012853"</f>
        <v>PRG-1012853</v>
      </c>
      <c r="E290" t="s">
        <v>2806</v>
      </c>
      <c r="F290" t="s">
        <v>4</v>
      </c>
      <c r="G290" t="str">
        <f>""</f>
        <v/>
      </c>
    </row>
    <row r="291" spans="1:7" x14ac:dyDescent="0.25">
      <c r="A291" t="s">
        <v>8</v>
      </c>
      <c r="B291" s="1" t="str">
        <f>"000311165 - RICH PRODUCTS CASINO'S"</f>
        <v>000311165 - RICH PRODUCTS CASINO'S</v>
      </c>
      <c r="C291" t="s">
        <v>2805</v>
      </c>
      <c r="D291" s="1" t="str">
        <f>"PRG-1012853"</f>
        <v>PRG-1012853</v>
      </c>
      <c r="E291" t="s">
        <v>2806</v>
      </c>
      <c r="F291" t="s">
        <v>4</v>
      </c>
      <c r="G291" t="str">
        <f>""</f>
        <v/>
      </c>
    </row>
    <row r="292" spans="1:7" x14ac:dyDescent="0.25">
      <c r="A292" t="s">
        <v>8</v>
      </c>
      <c r="B292" s="1" t="str">
        <f>"000329394 - "</f>
        <v xml:space="preserve">000329394 - </v>
      </c>
      <c r="D292" s="1" t="str">
        <f>"PRG-1012853"</f>
        <v>PRG-1012853</v>
      </c>
      <c r="E292" t="s">
        <v>2806</v>
      </c>
      <c r="F292" t="s">
        <v>4</v>
      </c>
      <c r="G292" t="str">
        <f>""</f>
        <v/>
      </c>
    </row>
    <row r="293" spans="1:7" x14ac:dyDescent="0.25">
      <c r="A293" t="s">
        <v>8</v>
      </c>
      <c r="B293" s="1" t="str">
        <f>"000358580 - "</f>
        <v xml:space="preserve">000358580 - </v>
      </c>
      <c r="D293" s="1" t="str">
        <f>"PRG-1012853"</f>
        <v>PRG-1012853</v>
      </c>
      <c r="E293" t="s">
        <v>2806</v>
      </c>
      <c r="F293" t="s">
        <v>4</v>
      </c>
      <c r="G293" t="str">
        <f>""</f>
        <v/>
      </c>
    </row>
    <row r="294" spans="1:7" x14ac:dyDescent="0.25">
      <c r="A294" t="s">
        <v>8</v>
      </c>
      <c r="B294" s="1" t="str">
        <f>"000290058 - RICH PRODUCTS AZTECA"</f>
        <v>000290058 - RICH PRODUCTS AZTECA</v>
      </c>
      <c r="C294" t="s">
        <v>2811</v>
      </c>
      <c r="D294" s="1" t="str">
        <f>"PRG-1012855"</f>
        <v>PRG-1012855</v>
      </c>
      <c r="E294" t="s">
        <v>2812</v>
      </c>
      <c r="F294" t="s">
        <v>4</v>
      </c>
      <c r="G294" t="str">
        <f>""</f>
        <v/>
      </c>
    </row>
    <row r="295" spans="1:7" x14ac:dyDescent="0.25">
      <c r="A295" t="s">
        <v>8</v>
      </c>
      <c r="B295" s="1" t="str">
        <f>"000290061 - RICH'S PUGET SOUND PIZZA"</f>
        <v>000290061 - RICH'S PUGET SOUND PIZZA</v>
      </c>
      <c r="C295" t="s">
        <v>2817</v>
      </c>
      <c r="D295" s="1" t="str">
        <f>"PRG-1012856"</f>
        <v>PRG-1012856</v>
      </c>
      <c r="E295" t="s">
        <v>2818</v>
      </c>
      <c r="F295" t="s">
        <v>4</v>
      </c>
      <c r="G295" t="str">
        <f>""</f>
        <v/>
      </c>
    </row>
    <row r="296" spans="1:7" x14ac:dyDescent="0.25">
      <c r="A296" t="s">
        <v>8</v>
      </c>
      <c r="B296" s="1" t="str">
        <f>"000290057 - RICH PRODUCTS CINNAMON WORKS"</f>
        <v>000290057 - RICH PRODUCTS CINNAMON WORKS</v>
      </c>
      <c r="C296" t="s">
        <v>2809</v>
      </c>
      <c r="D296" s="1" t="str">
        <f>"PRG-1012857"</f>
        <v>PRG-1012857</v>
      </c>
      <c r="E296" t="s">
        <v>2810</v>
      </c>
      <c r="F296" t="s">
        <v>4</v>
      </c>
      <c r="G296" t="str">
        <f>""</f>
        <v/>
      </c>
    </row>
    <row r="297" spans="1:7" x14ac:dyDescent="0.25">
      <c r="A297" t="s">
        <v>8</v>
      </c>
      <c r="B297" s="1" t="str">
        <f>"000339979 - "</f>
        <v xml:space="preserve">000339979 - </v>
      </c>
      <c r="D297" s="1" t="str">
        <f>"PRG-1012857"</f>
        <v>PRG-1012857</v>
      </c>
      <c r="E297" t="s">
        <v>2810</v>
      </c>
      <c r="F297" t="s">
        <v>4</v>
      </c>
      <c r="G297" t="str">
        <f>""</f>
        <v/>
      </c>
    </row>
    <row r="298" spans="1:7" x14ac:dyDescent="0.25">
      <c r="A298" t="s">
        <v>8</v>
      </c>
      <c r="B298" s="1" t="str">
        <f>"000290062 - RICH PRODUCTS   GEO GROUP"</f>
        <v>000290062 - RICH PRODUCTS   GEO GROUP</v>
      </c>
      <c r="C298" t="s">
        <v>2819</v>
      </c>
      <c r="D298" s="1" t="str">
        <f>"PRG-1012859"</f>
        <v>PRG-1012859</v>
      </c>
      <c r="E298" t="s">
        <v>2820</v>
      </c>
      <c r="F298" t="s">
        <v>4</v>
      </c>
      <c r="G298" t="str">
        <f>""</f>
        <v/>
      </c>
    </row>
    <row r="299" spans="1:7" x14ac:dyDescent="0.25">
      <c r="A299" t="s">
        <v>8</v>
      </c>
      <c r="B299" s="1" t="str">
        <f>"41472567"</f>
        <v>41472567</v>
      </c>
      <c r="C299" t="s">
        <v>5004</v>
      </c>
      <c r="D299" s="1" t="str">
        <f>"PRG-1012861"</f>
        <v>PRG-1012861</v>
      </c>
      <c r="E299" t="s">
        <v>5005</v>
      </c>
      <c r="F299" t="s">
        <v>5</v>
      </c>
      <c r="G299" t="str">
        <f>""</f>
        <v/>
      </c>
    </row>
    <row r="300" spans="1:7" x14ac:dyDescent="0.25">
      <c r="A300" t="s">
        <v>8</v>
      </c>
      <c r="B300" s="1" t="str">
        <f>"000290059 - RICHS SARDUCCI'S"</f>
        <v>000290059 - RICHS SARDUCCI'S</v>
      </c>
      <c r="C300" t="s">
        <v>2813</v>
      </c>
      <c r="D300" s="1" t="str">
        <f>"PRG-1012863"</f>
        <v>PRG-1012863</v>
      </c>
      <c r="E300" t="s">
        <v>2814</v>
      </c>
      <c r="F300" t="s">
        <v>4</v>
      </c>
      <c r="G300" t="str">
        <f>""</f>
        <v/>
      </c>
    </row>
    <row r="301" spans="1:7" x14ac:dyDescent="0.25">
      <c r="A301" t="s">
        <v>8</v>
      </c>
      <c r="B301" s="1" t="str">
        <f>"000313223 - RICHS SARDUCCI'S"</f>
        <v>000313223 - RICHS SARDUCCI'S</v>
      </c>
      <c r="C301" t="s">
        <v>2813</v>
      </c>
      <c r="D301" s="1" t="str">
        <f>"PRG-1012863"</f>
        <v>PRG-1012863</v>
      </c>
      <c r="E301" t="s">
        <v>2814</v>
      </c>
      <c r="F301" t="s">
        <v>4</v>
      </c>
      <c r="G301" t="str">
        <f>""</f>
        <v/>
      </c>
    </row>
    <row r="302" spans="1:7" x14ac:dyDescent="0.25">
      <c r="A302" t="s">
        <v>8</v>
      </c>
      <c r="B302" s="1" t="str">
        <f>"000261490 - RICH CHINOOK WINDS CAS"</f>
        <v>000261490 - RICH CHINOOK WINDS CAS</v>
      </c>
      <c r="C302" t="s">
        <v>2288</v>
      </c>
      <c r="D302" s="1" t="str">
        <f>"PRG-1012910"</f>
        <v>PRG-1012910</v>
      </c>
      <c r="E302" t="s">
        <v>2289</v>
      </c>
      <c r="F302" t="s">
        <v>4</v>
      </c>
      <c r="G302" t="str">
        <f>""</f>
        <v/>
      </c>
    </row>
    <row r="303" spans="1:7" x14ac:dyDescent="0.25">
      <c r="A303" t="s">
        <v>8</v>
      </c>
      <c r="B303" s="1" t="str">
        <f>"000274915 - RICH PRODUCTS DICKE JO'S"</f>
        <v>000274915 - RICH PRODUCTS DICKE JO'S</v>
      </c>
      <c r="C303" t="s">
        <v>2551</v>
      </c>
      <c r="D303" s="1" t="str">
        <f>"PRG-1012927"</f>
        <v>PRG-1012927</v>
      </c>
      <c r="E303" t="s">
        <v>2552</v>
      </c>
      <c r="F303" t="s">
        <v>4</v>
      </c>
      <c r="G303" t="str">
        <f>""</f>
        <v/>
      </c>
    </row>
    <row r="304" spans="1:7" x14ac:dyDescent="0.25">
      <c r="A304" t="s">
        <v>8</v>
      </c>
      <c r="B304" s="1" t="str">
        <f>"000189819 - RICH BRUCHIS"</f>
        <v>000189819 - RICH BRUCHIS</v>
      </c>
      <c r="C304" t="s">
        <v>1192</v>
      </c>
      <c r="D304" s="1" t="str">
        <f>"PRG-1012930"</f>
        <v>PRG-1012930</v>
      </c>
      <c r="E304" t="s">
        <v>1193</v>
      </c>
      <c r="F304" t="s">
        <v>4</v>
      </c>
      <c r="G304" t="str">
        <f>""</f>
        <v/>
      </c>
    </row>
    <row r="305" spans="1:7" x14ac:dyDescent="0.25">
      <c r="A305" t="s">
        <v>8</v>
      </c>
      <c r="B305" s="1" t="str">
        <f>"000190125 - RICH BRUCHIS"</f>
        <v>000190125 - RICH BRUCHIS</v>
      </c>
      <c r="C305" t="s">
        <v>1192</v>
      </c>
      <c r="D305" s="1" t="str">
        <f>"PRG-1012930"</f>
        <v>PRG-1012930</v>
      </c>
      <c r="E305" t="s">
        <v>1193</v>
      </c>
      <c r="F305" t="s">
        <v>4</v>
      </c>
      <c r="G305" t="str">
        <f>""</f>
        <v/>
      </c>
    </row>
    <row r="306" spans="1:7" x14ac:dyDescent="0.25">
      <c r="A306" t="s">
        <v>8</v>
      </c>
      <c r="B306" s="1" t="str">
        <f>"000195114 - RICH PRODUCTS BRUCHI'S"</f>
        <v>000195114 - RICH PRODUCTS BRUCHI'S</v>
      </c>
      <c r="C306" t="s">
        <v>1251</v>
      </c>
      <c r="D306" s="1" t="str">
        <f>"PRG-1012930"</f>
        <v>PRG-1012930</v>
      </c>
      <c r="E306" t="s">
        <v>1193</v>
      </c>
      <c r="F306" t="s">
        <v>4</v>
      </c>
      <c r="G306" t="str">
        <f>""</f>
        <v/>
      </c>
    </row>
    <row r="307" spans="1:7" x14ac:dyDescent="0.25">
      <c r="A307" t="s">
        <v>8</v>
      </c>
      <c r="B307" s="1" t="str">
        <f>"000104360 - "</f>
        <v xml:space="preserve">000104360 - </v>
      </c>
      <c r="D307" s="1" t="str">
        <f>"PRG-1012935"</f>
        <v>PRG-1012935</v>
      </c>
      <c r="E307" t="s">
        <v>816</v>
      </c>
      <c r="F307" t="s">
        <v>4</v>
      </c>
      <c r="G307" t="str">
        <f>""</f>
        <v/>
      </c>
    </row>
    <row r="308" spans="1:7" x14ac:dyDescent="0.25">
      <c r="A308" t="s">
        <v>8</v>
      </c>
      <c r="B308" s="1" t="str">
        <f>"000147236 - "</f>
        <v xml:space="preserve">000147236 - </v>
      </c>
      <c r="D308" s="1" t="str">
        <f>"PRG-1012935"</f>
        <v>PRG-1012935</v>
      </c>
      <c r="E308" t="s">
        <v>816</v>
      </c>
      <c r="F308" t="s">
        <v>4</v>
      </c>
      <c r="G308" t="str">
        <f>""</f>
        <v/>
      </c>
    </row>
    <row r="309" spans="1:7" x14ac:dyDescent="0.25">
      <c r="A309" t="s">
        <v>8</v>
      </c>
      <c r="B309" s="1" t="str">
        <f>"000104356 - "</f>
        <v xml:space="preserve">000104356 - </v>
      </c>
      <c r="D309" s="1" t="str">
        <f>"PRG-1012936"</f>
        <v>PRG-1012936</v>
      </c>
      <c r="E309" t="s">
        <v>815</v>
      </c>
      <c r="F309" t="s">
        <v>4</v>
      </c>
      <c r="G309" t="str">
        <f>""</f>
        <v/>
      </c>
    </row>
    <row r="310" spans="1:7" x14ac:dyDescent="0.25">
      <c r="A310" t="s">
        <v>8</v>
      </c>
      <c r="B310" s="1" t="str">
        <f>"000147235 - "</f>
        <v xml:space="preserve">000147235 - </v>
      </c>
      <c r="D310" s="1" t="str">
        <f>"PRG-1012936"</f>
        <v>PRG-1012936</v>
      </c>
      <c r="E310" t="s">
        <v>815</v>
      </c>
      <c r="F310" t="s">
        <v>4</v>
      </c>
      <c r="G310" t="str">
        <f>""</f>
        <v/>
      </c>
    </row>
    <row r="311" spans="1:7" x14ac:dyDescent="0.25">
      <c r="A311" t="s">
        <v>8</v>
      </c>
      <c r="B311" s="1" t="str">
        <f>"000103804 - "</f>
        <v xml:space="preserve">000103804 - </v>
      </c>
      <c r="D311" s="1" t="str">
        <f>"PRG-1012937"</f>
        <v>PRG-1012937</v>
      </c>
      <c r="E311" t="s">
        <v>811</v>
      </c>
      <c r="F311" t="s">
        <v>4</v>
      </c>
      <c r="G311" t="str">
        <f>""</f>
        <v/>
      </c>
    </row>
    <row r="312" spans="1:7" x14ac:dyDescent="0.25">
      <c r="A312" t="s">
        <v>8</v>
      </c>
      <c r="B312" s="1" t="str">
        <f>"000276407 - RICH PRODUCTS IZZY'S"</f>
        <v>000276407 - RICH PRODUCTS IZZY'S</v>
      </c>
      <c r="C312" t="s">
        <v>2572</v>
      </c>
      <c r="D312" s="1" t="str">
        <f>"PRG-1012938"</f>
        <v>PRG-1012938</v>
      </c>
      <c r="E312" t="s">
        <v>2573</v>
      </c>
      <c r="F312" t="s">
        <v>4</v>
      </c>
      <c r="G312" t="str">
        <f>""</f>
        <v/>
      </c>
    </row>
    <row r="313" spans="1:7" x14ac:dyDescent="0.25">
      <c r="A313" t="s">
        <v>8</v>
      </c>
      <c r="B313" s="1" t="str">
        <f>"2000128532 - RICHS FOODS ID-ATKINSON'S"</f>
        <v>2000128532 - RICHS FOODS ID-ATKINSON'S</v>
      </c>
      <c r="C313" t="s">
        <v>3844</v>
      </c>
      <c r="D313" s="1" t="str">
        <f>"PRG-1012959"</f>
        <v>PRG-1012959</v>
      </c>
      <c r="E313" t="s">
        <v>3845</v>
      </c>
      <c r="F313" t="s">
        <v>4</v>
      </c>
      <c r="G313" t="str">
        <f>""</f>
        <v/>
      </c>
    </row>
    <row r="314" spans="1:7" x14ac:dyDescent="0.25">
      <c r="A314" t="s">
        <v>8</v>
      </c>
      <c r="B314" s="1" t="str">
        <f>"2000235250 - RICHS FOODS ID-ATKINSON'S"</f>
        <v>2000235250 - RICHS FOODS ID-ATKINSON'S</v>
      </c>
      <c r="C314" t="s">
        <v>3844</v>
      </c>
      <c r="D314" s="1" t="str">
        <f>"PRG-1012959"</f>
        <v>PRG-1012959</v>
      </c>
      <c r="E314" t="s">
        <v>3845</v>
      </c>
      <c r="F314" t="s">
        <v>4</v>
      </c>
      <c r="G314" t="str">
        <f>""</f>
        <v/>
      </c>
    </row>
    <row r="315" spans="1:7" x14ac:dyDescent="0.25">
      <c r="A315" t="s">
        <v>8</v>
      </c>
      <c r="B315" s="1" t="str">
        <f>"2000269776 - SFS INTERMOUNTAIN INT-DORNAN'S"</f>
        <v>2000269776 - SFS INTERMOUNTAIN INT-DORNAN'S</v>
      </c>
      <c r="C315" t="s">
        <v>4005</v>
      </c>
      <c r="D315" s="1" t="str">
        <f>"PRG-1012962"</f>
        <v>PRG-1012962</v>
      </c>
      <c r="E315" t="s">
        <v>253</v>
      </c>
      <c r="F315" t="s">
        <v>4</v>
      </c>
      <c r="G315" t="str">
        <f>""</f>
        <v/>
      </c>
    </row>
    <row r="316" spans="1:7" x14ac:dyDescent="0.25">
      <c r="A316" t="s">
        <v>8</v>
      </c>
      <c r="B316" s="1" t="str">
        <f>"2000331868 - "</f>
        <v xml:space="preserve">2000331868 - </v>
      </c>
      <c r="D316" s="1" t="str">
        <f>"PRG-1012962"</f>
        <v>PRG-1012962</v>
      </c>
      <c r="E316" t="s">
        <v>253</v>
      </c>
      <c r="F316" t="s">
        <v>4</v>
      </c>
      <c r="G316" t="str">
        <f>""</f>
        <v/>
      </c>
    </row>
    <row r="317" spans="1:7" x14ac:dyDescent="0.25">
      <c r="A317" t="s">
        <v>8</v>
      </c>
      <c r="B317" s="1" t="str">
        <f>"4118A608"</f>
        <v>4118A608</v>
      </c>
      <c r="C317" t="s">
        <v>4977</v>
      </c>
      <c r="D317" s="1" t="str">
        <f>"PRG-1012968"</f>
        <v>PRG-1012968</v>
      </c>
      <c r="E317" t="s">
        <v>4978</v>
      </c>
      <c r="F317" t="s">
        <v>5</v>
      </c>
      <c r="G317" t="str">
        <f>""</f>
        <v/>
      </c>
    </row>
    <row r="318" spans="1:7" x14ac:dyDescent="0.25">
      <c r="A318" t="s">
        <v>8</v>
      </c>
      <c r="B318" s="1" t="str">
        <f>"2000182963 - RICHS CLASSIC SKATING"</f>
        <v>2000182963 - RICHS CLASSIC SKATING</v>
      </c>
      <c r="C318" t="s">
        <v>3906</v>
      </c>
      <c r="D318" s="1" t="str">
        <f>"PRG-1012971"</f>
        <v>PRG-1012971</v>
      </c>
      <c r="E318" t="s">
        <v>255</v>
      </c>
      <c r="F318" t="s">
        <v>4</v>
      </c>
      <c r="G318" t="str">
        <f>""</f>
        <v/>
      </c>
    </row>
    <row r="319" spans="1:7" x14ac:dyDescent="0.25">
      <c r="A319" t="s">
        <v>8</v>
      </c>
      <c r="B319" s="1" t="str">
        <f>"2000331869 - "</f>
        <v xml:space="preserve">2000331869 - </v>
      </c>
      <c r="D319" s="1" t="str">
        <f>"PRG-1012971"</f>
        <v>PRG-1012971</v>
      </c>
      <c r="E319" t="s">
        <v>255</v>
      </c>
      <c r="F319" t="s">
        <v>4</v>
      </c>
      <c r="G319" t="str">
        <f>""</f>
        <v/>
      </c>
    </row>
    <row r="320" spans="1:7" x14ac:dyDescent="0.25">
      <c r="A320" t="s">
        <v>8</v>
      </c>
      <c r="B320" s="1" t="str">
        <f>"2000128530 - RICHS FOODS ID-DAVINCI'S"</f>
        <v>2000128530 - RICHS FOODS ID-DAVINCI'S</v>
      </c>
      <c r="C320" t="s">
        <v>3842</v>
      </c>
      <c r="D320" s="1" t="str">
        <f>"PRG-1012977"</f>
        <v>PRG-1012977</v>
      </c>
      <c r="E320" t="s">
        <v>3843</v>
      </c>
      <c r="F320" t="s">
        <v>4</v>
      </c>
      <c r="G320" t="str">
        <f>""</f>
        <v/>
      </c>
    </row>
    <row r="321" spans="1:7" x14ac:dyDescent="0.25">
      <c r="A321" t="s">
        <v>8</v>
      </c>
      <c r="B321" s="1" t="str">
        <f>"41189610"</f>
        <v>41189610</v>
      </c>
      <c r="C321" t="s">
        <v>4971</v>
      </c>
      <c r="D321" s="1" t="str">
        <f>"PRG-1012984"</f>
        <v>PRG-1012984</v>
      </c>
      <c r="E321" t="s">
        <v>4972</v>
      </c>
      <c r="F321" t="s">
        <v>5</v>
      </c>
      <c r="G321" t="str">
        <f>""</f>
        <v/>
      </c>
    </row>
    <row r="322" spans="1:7" x14ac:dyDescent="0.25">
      <c r="A322" t="s">
        <v>8</v>
      </c>
      <c r="B322" s="1" t="str">
        <f>"000199951 - Rich Foods-Foodbuy"</f>
        <v>000199951 - Rich Foods-Foodbuy</v>
      </c>
      <c r="C322" t="s">
        <v>757</v>
      </c>
      <c r="D322" s="1" t="str">
        <f>"PRG-1013019"</f>
        <v>PRG-1013019</v>
      </c>
      <c r="E322" t="s">
        <v>1295</v>
      </c>
      <c r="F322" t="s">
        <v>4</v>
      </c>
      <c r="G322" t="str">
        <f>""</f>
        <v/>
      </c>
    </row>
    <row r="323" spans="1:7" x14ac:dyDescent="0.25">
      <c r="A323" t="s">
        <v>8</v>
      </c>
      <c r="B323" s="1" t="str">
        <f>"000190911 - RICH - MASSO CATERING"</f>
        <v>000190911 - RICH - MASSO CATERING</v>
      </c>
      <c r="C323" t="s">
        <v>1208</v>
      </c>
      <c r="D323" s="1" t="str">
        <f>"PRG-1013040"</f>
        <v>PRG-1013040</v>
      </c>
      <c r="E323" t="s">
        <v>1209</v>
      </c>
      <c r="F323" t="s">
        <v>4</v>
      </c>
      <c r="G323" t="str">
        <f>""</f>
        <v/>
      </c>
    </row>
    <row r="324" spans="1:7" x14ac:dyDescent="0.25">
      <c r="A324" t="s">
        <v>8</v>
      </c>
      <c r="B324" s="1" t="str">
        <f>"000218723 - RICH - MASSO CATERING"</f>
        <v>000218723 - RICH - MASSO CATERING</v>
      </c>
      <c r="C324" t="s">
        <v>1208</v>
      </c>
      <c r="D324" s="1" t="str">
        <f>"PRG-1013040"</f>
        <v>PRG-1013040</v>
      </c>
      <c r="E324" t="s">
        <v>1209</v>
      </c>
      <c r="F324" t="s">
        <v>4</v>
      </c>
      <c r="G324" t="str">
        <f>""</f>
        <v/>
      </c>
    </row>
    <row r="325" spans="1:7" x14ac:dyDescent="0.25">
      <c r="A325" t="s">
        <v>8</v>
      </c>
      <c r="B325" s="1" t="str">
        <f>"000223756 - RICH - MASSO CATERING"</f>
        <v>000223756 - RICH - MASSO CATERING</v>
      </c>
      <c r="C325" t="s">
        <v>1208</v>
      </c>
      <c r="D325" s="1" t="str">
        <f>"PRG-1013040"</f>
        <v>PRG-1013040</v>
      </c>
      <c r="E325" t="s">
        <v>1209</v>
      </c>
      <c r="F325" t="s">
        <v>4</v>
      </c>
      <c r="G325" t="str">
        <f>""</f>
        <v/>
      </c>
    </row>
    <row r="326" spans="1:7" x14ac:dyDescent="0.25">
      <c r="A326" t="s">
        <v>8</v>
      </c>
      <c r="B326" s="1" t="str">
        <f>"000244491 - RICH - MASSO CATERING"</f>
        <v>000244491 - RICH - MASSO CATERING</v>
      </c>
      <c r="C326" t="s">
        <v>1208</v>
      </c>
      <c r="D326" s="1" t="str">
        <f>"PRG-1013040"</f>
        <v>PRG-1013040</v>
      </c>
      <c r="E326" t="s">
        <v>1209</v>
      </c>
      <c r="F326" t="s">
        <v>4</v>
      </c>
      <c r="G326" t="str">
        <f>""</f>
        <v/>
      </c>
    </row>
    <row r="327" spans="1:7" x14ac:dyDescent="0.25">
      <c r="A327" t="s">
        <v>8</v>
      </c>
      <c r="B327" s="1" t="str">
        <f>"21101684"</f>
        <v>21101684</v>
      </c>
      <c r="C327" t="s">
        <v>4119</v>
      </c>
      <c r="D327" s="1" t="str">
        <f>"PRG-1013041"</f>
        <v>PRG-1013041</v>
      </c>
      <c r="E327" t="s">
        <v>4120</v>
      </c>
      <c r="F327" t="s">
        <v>5</v>
      </c>
      <c r="G327" t="str">
        <f>""</f>
        <v/>
      </c>
    </row>
    <row r="328" spans="1:7" x14ac:dyDescent="0.25">
      <c r="A328" t="s">
        <v>8</v>
      </c>
      <c r="B328" s="1" t="str">
        <f>"31600597"</f>
        <v>31600597</v>
      </c>
      <c r="C328" t="s">
        <v>4666</v>
      </c>
      <c r="D328" s="1" t="str">
        <f>"PRG-1013090"</f>
        <v>PRG-1013090</v>
      </c>
      <c r="E328" t="s">
        <v>4667</v>
      </c>
      <c r="F328" t="s">
        <v>5</v>
      </c>
      <c r="G328" t="str">
        <f>""</f>
        <v/>
      </c>
    </row>
    <row r="329" spans="1:7" x14ac:dyDescent="0.25">
      <c r="A329" t="s">
        <v>8</v>
      </c>
      <c r="B329" s="1" t="str">
        <f>"31605452"</f>
        <v>31605452</v>
      </c>
      <c r="C329" t="s">
        <v>4672</v>
      </c>
      <c r="D329" s="1" t="str">
        <f>"PRG-1013092"</f>
        <v>PRG-1013092</v>
      </c>
      <c r="E329" t="s">
        <v>4673</v>
      </c>
      <c r="F329" t="s">
        <v>5</v>
      </c>
      <c r="G329" t="str">
        <f>""</f>
        <v/>
      </c>
    </row>
    <row r="330" spans="1:7" x14ac:dyDescent="0.25">
      <c r="A330" t="s">
        <v>8</v>
      </c>
      <c r="B330" s="1" t="str">
        <f>"3160C191"</f>
        <v>3160C191</v>
      </c>
      <c r="C330" t="s">
        <v>4684</v>
      </c>
      <c r="D330" s="1" t="str">
        <f>"PRG-1013096"</f>
        <v>PRG-1013096</v>
      </c>
      <c r="E330" t="s">
        <v>4685</v>
      </c>
      <c r="F330" t="s">
        <v>5</v>
      </c>
      <c r="G330" t="str">
        <f>""</f>
        <v/>
      </c>
    </row>
    <row r="331" spans="1:7" x14ac:dyDescent="0.25">
      <c r="A331" t="s">
        <v>8</v>
      </c>
      <c r="B331" s="1" t="str">
        <f>"3160B614"</f>
        <v>3160B614</v>
      </c>
      <c r="C331" t="s">
        <v>4680</v>
      </c>
      <c r="D331" s="1" t="str">
        <f>"PRG-1013097"</f>
        <v>PRG-1013097</v>
      </c>
      <c r="E331" t="s">
        <v>4681</v>
      </c>
      <c r="F331" t="s">
        <v>5</v>
      </c>
      <c r="G331" t="str">
        <f>""</f>
        <v/>
      </c>
    </row>
    <row r="332" spans="1:7" x14ac:dyDescent="0.25">
      <c r="A332" t="s">
        <v>8</v>
      </c>
      <c r="B332" s="1" t="str">
        <f>"2000151880 - RICH FOODS-JACKSONS"</f>
        <v>2000151880 - RICH FOODS-JACKSONS</v>
      </c>
      <c r="C332" t="s">
        <v>3864</v>
      </c>
      <c r="D332" s="1" t="str">
        <f>"PRG-1013103"</f>
        <v>PRG-1013103</v>
      </c>
      <c r="E332" t="s">
        <v>3865</v>
      </c>
      <c r="F332" t="s">
        <v>4</v>
      </c>
      <c r="G332" t="str">
        <f>""</f>
        <v/>
      </c>
    </row>
    <row r="333" spans="1:7" x14ac:dyDescent="0.25">
      <c r="A333" t="s">
        <v>8</v>
      </c>
      <c r="B333" s="1" t="str">
        <f>"41001620"</f>
        <v>41001620</v>
      </c>
      <c r="C333" t="s">
        <v>4928</v>
      </c>
      <c r="D333" s="1" t="str">
        <f>"PRG-1013112"</f>
        <v>PRG-1013112</v>
      </c>
      <c r="E333" t="s">
        <v>4929</v>
      </c>
      <c r="F333" t="s">
        <v>5</v>
      </c>
      <c r="G333" t="str">
        <f>""</f>
        <v/>
      </c>
    </row>
    <row r="334" spans="1:7" x14ac:dyDescent="0.25">
      <c r="A334" t="s">
        <v>8</v>
      </c>
      <c r="B334" s="1" t="str">
        <f>"2000133365 - RICH MARNELL"</f>
        <v>2000133365 - RICH MARNELL</v>
      </c>
      <c r="C334" t="s">
        <v>3850</v>
      </c>
      <c r="D334" s="1" t="str">
        <f>"PRG-1013117"</f>
        <v>PRG-1013117</v>
      </c>
      <c r="E334" t="s">
        <v>3851</v>
      </c>
      <c r="F334" t="s">
        <v>4</v>
      </c>
      <c r="G334" t="str">
        <f>""</f>
        <v/>
      </c>
    </row>
    <row r="335" spans="1:7" x14ac:dyDescent="0.25">
      <c r="A335" t="s">
        <v>8</v>
      </c>
      <c r="B335" s="1" t="str">
        <f>"2000223179 - RICHS-MARNELL"</f>
        <v>2000223179 - RICHS-MARNELL</v>
      </c>
      <c r="C335" t="s">
        <v>3969</v>
      </c>
      <c r="D335" s="1" t="str">
        <f>"PRG-1013117"</f>
        <v>PRG-1013117</v>
      </c>
      <c r="E335" t="s">
        <v>3851</v>
      </c>
      <c r="F335" t="s">
        <v>4</v>
      </c>
      <c r="G335" t="str">
        <f>""</f>
        <v/>
      </c>
    </row>
    <row r="336" spans="1:7" x14ac:dyDescent="0.25">
      <c r="A336" t="s">
        <v>8</v>
      </c>
      <c r="B336" s="1" t="str">
        <f>"000325931 - RICH PROD KARL STRAUSS BREW"</f>
        <v>000325931 - RICH PROD KARL STRAUSS BREW</v>
      </c>
      <c r="C336" t="s">
        <v>3292</v>
      </c>
      <c r="D336" s="1" t="str">
        <f>"PRG-1013122"</f>
        <v>PRG-1013122</v>
      </c>
      <c r="E336" t="s">
        <v>3293</v>
      </c>
      <c r="F336" t="s">
        <v>4</v>
      </c>
      <c r="G336" t="str">
        <f>""</f>
        <v/>
      </c>
    </row>
    <row r="337" spans="1:7" x14ac:dyDescent="0.25">
      <c r="A337" t="s">
        <v>8</v>
      </c>
      <c r="B337" s="1" t="str">
        <f>"000336537 - RICH PROD KARL STRAUSS BREW"</f>
        <v>000336537 - RICH PROD KARL STRAUSS BREW</v>
      </c>
      <c r="C337" t="s">
        <v>3292</v>
      </c>
      <c r="D337" s="1" t="str">
        <f>"PRG-1013122"</f>
        <v>PRG-1013122</v>
      </c>
      <c r="E337" t="s">
        <v>3293</v>
      </c>
      <c r="F337" t="s">
        <v>4</v>
      </c>
      <c r="G337" t="str">
        <f>""</f>
        <v/>
      </c>
    </row>
    <row r="338" spans="1:7" x14ac:dyDescent="0.25">
      <c r="A338" t="s">
        <v>8</v>
      </c>
      <c r="B338" s="1" t="str">
        <f>"000234504 - RICH  DYNACO"</f>
        <v>000234504 - RICH  DYNACO</v>
      </c>
      <c r="C338" t="s">
        <v>1827</v>
      </c>
      <c r="D338" s="1" t="str">
        <f>"PRG-1013126"</f>
        <v>PRG-1013126</v>
      </c>
      <c r="E338" t="s">
        <v>1828</v>
      </c>
      <c r="F338" t="s">
        <v>4</v>
      </c>
      <c r="G338" t="str">
        <f>""</f>
        <v/>
      </c>
    </row>
    <row r="339" spans="1:7" x14ac:dyDescent="0.25">
      <c r="A339" t="s">
        <v>8</v>
      </c>
      <c r="B339" s="1" t="str">
        <f>"000364280 - "</f>
        <v xml:space="preserve">000364280 - </v>
      </c>
      <c r="D339" s="1" t="str">
        <f>"PRG-1013127"</f>
        <v>PRG-1013127</v>
      </c>
      <c r="E339" t="s">
        <v>3597</v>
      </c>
      <c r="F339" t="s">
        <v>4</v>
      </c>
      <c r="G339" t="str">
        <f>""</f>
        <v/>
      </c>
    </row>
    <row r="340" spans="1:7" x14ac:dyDescent="0.25">
      <c r="A340" t="s">
        <v>8</v>
      </c>
      <c r="B340" s="1" t="str">
        <f>"41404410"</f>
        <v>41404410</v>
      </c>
      <c r="C340" t="s">
        <v>4991</v>
      </c>
      <c r="D340" s="1" t="str">
        <f>"PRG-1013127"</f>
        <v>PRG-1013127</v>
      </c>
      <c r="E340" t="s">
        <v>3597</v>
      </c>
      <c r="F340" t="s">
        <v>5</v>
      </c>
      <c r="G340" t="str">
        <f>""</f>
        <v/>
      </c>
    </row>
    <row r="341" spans="1:7" x14ac:dyDescent="0.25">
      <c r="A341" t="s">
        <v>8</v>
      </c>
      <c r="B341" s="1" t="str">
        <f>"000365465 - "</f>
        <v xml:space="preserve">000365465 - </v>
      </c>
      <c r="D341" s="1" t="str">
        <f>"PRG-1013128"</f>
        <v>PRG-1013128</v>
      </c>
      <c r="E341" t="s">
        <v>3607</v>
      </c>
      <c r="F341" t="s">
        <v>4</v>
      </c>
      <c r="G341" t="str">
        <f>""</f>
        <v/>
      </c>
    </row>
    <row r="342" spans="1:7" x14ac:dyDescent="0.25">
      <c r="A342" t="s">
        <v>8</v>
      </c>
      <c r="B342" s="1" t="str">
        <f>"000385039 - "</f>
        <v xml:space="preserve">000385039 - </v>
      </c>
      <c r="D342" s="1" t="str">
        <f>"PRG-1013128"</f>
        <v>PRG-1013128</v>
      </c>
      <c r="E342" t="s">
        <v>3607</v>
      </c>
      <c r="F342" t="s">
        <v>4</v>
      </c>
      <c r="G342" t="str">
        <f>""</f>
        <v/>
      </c>
    </row>
    <row r="343" spans="1:7" x14ac:dyDescent="0.25">
      <c r="A343" t="s">
        <v>8</v>
      </c>
      <c r="B343" s="1" t="str">
        <f>"000364149 - "</f>
        <v xml:space="preserve">000364149 - </v>
      </c>
      <c r="D343" s="1" t="str">
        <f>"PRG-1013129"</f>
        <v>PRG-1013129</v>
      </c>
      <c r="E343" t="s">
        <v>3596</v>
      </c>
      <c r="F343" t="s">
        <v>4</v>
      </c>
      <c r="G343" t="str">
        <f>""</f>
        <v/>
      </c>
    </row>
    <row r="344" spans="1:7" x14ac:dyDescent="0.25">
      <c r="A344" t="s">
        <v>8</v>
      </c>
      <c r="B344" s="1" t="str">
        <f>"000385032 - "</f>
        <v xml:space="preserve">000385032 - </v>
      </c>
      <c r="D344" s="1" t="str">
        <f>"PRG-1013129"</f>
        <v>PRG-1013129</v>
      </c>
      <c r="E344" t="s">
        <v>3596</v>
      </c>
      <c r="F344" t="s">
        <v>4</v>
      </c>
      <c r="G344" t="str">
        <f>""</f>
        <v/>
      </c>
    </row>
    <row r="345" spans="1:7" x14ac:dyDescent="0.25">
      <c r="A345" t="s">
        <v>8</v>
      </c>
      <c r="B345" s="1" t="str">
        <f>"000001953 - RICH PRODUCT-THEO'S PIZZA"</f>
        <v>000001953 - RICH PRODUCT-THEO'S PIZZA</v>
      </c>
      <c r="C345" t="s">
        <v>102</v>
      </c>
      <c r="D345" s="1" t="str">
        <f>"PRG-1013141"</f>
        <v>PRG-1013141</v>
      </c>
      <c r="E345" t="s">
        <v>103</v>
      </c>
      <c r="F345" t="s">
        <v>4</v>
      </c>
      <c r="G345" t="str">
        <f>""</f>
        <v/>
      </c>
    </row>
    <row r="346" spans="1:7" x14ac:dyDescent="0.25">
      <c r="A346" t="s">
        <v>8</v>
      </c>
      <c r="B346" s="1" t="str">
        <f>"3160C168"</f>
        <v>3160C168</v>
      </c>
      <c r="C346" t="s">
        <v>4682</v>
      </c>
      <c r="D346" s="1" t="str">
        <f>"PRG-1013142"</f>
        <v>PRG-1013142</v>
      </c>
      <c r="E346" t="s">
        <v>4683</v>
      </c>
      <c r="F346" t="s">
        <v>5</v>
      </c>
      <c r="G346" t="str">
        <f>""</f>
        <v/>
      </c>
    </row>
    <row r="347" spans="1:7" x14ac:dyDescent="0.25">
      <c r="A347" t="s">
        <v>8</v>
      </c>
      <c r="B347" s="1" t="str">
        <f>"000233785 - ELEPHAN BAR RICH $OFF"</f>
        <v>000233785 - ELEPHAN BAR RICH $OFF</v>
      </c>
      <c r="C347" t="s">
        <v>1809</v>
      </c>
      <c r="D347" s="1" t="str">
        <f>"PRG-1013147"</f>
        <v>PRG-1013147</v>
      </c>
      <c r="E347" t="s">
        <v>1810</v>
      </c>
      <c r="F347" t="s">
        <v>4</v>
      </c>
      <c r="G347" t="str">
        <f>""</f>
        <v/>
      </c>
    </row>
    <row r="348" spans="1:7" x14ac:dyDescent="0.25">
      <c r="A348" t="s">
        <v>8</v>
      </c>
      <c r="B348" s="1" t="str">
        <f>"000207034 - Z RICH PROD LUCKY STRIKE"</f>
        <v>000207034 - Z RICH PROD LUCKY STRIKE</v>
      </c>
      <c r="C348" t="s">
        <v>1375</v>
      </c>
      <c r="D348" s="1" t="str">
        <f t="shared" ref="D348:D357" si="9">"PRG-1013149"</f>
        <v>PRG-1013149</v>
      </c>
      <c r="E348" t="s">
        <v>1376</v>
      </c>
      <c r="F348" t="s">
        <v>4</v>
      </c>
      <c r="G348" t="str">
        <f>""</f>
        <v/>
      </c>
    </row>
    <row r="349" spans="1:7" x14ac:dyDescent="0.25">
      <c r="A349" t="s">
        <v>8</v>
      </c>
      <c r="B349" s="1" t="str">
        <f>"000217730 - Z RICH PROD LUCKY STRIKE"</f>
        <v>000217730 - Z RICH PROD LUCKY STRIKE</v>
      </c>
      <c r="C349" t="s">
        <v>1375</v>
      </c>
      <c r="D349" s="1" t="str">
        <f t="shared" si="9"/>
        <v>PRG-1013149</v>
      </c>
      <c r="E349" t="s">
        <v>1376</v>
      </c>
      <c r="F349" t="s">
        <v>4</v>
      </c>
      <c r="G349" t="str">
        <f>""</f>
        <v/>
      </c>
    </row>
    <row r="350" spans="1:7" x14ac:dyDescent="0.25">
      <c r="A350" t="s">
        <v>8</v>
      </c>
      <c r="B350" s="1" t="str">
        <f>"000219737 - RICH LUCKY STRIKE OK"</f>
        <v>000219737 - RICH LUCKY STRIKE OK</v>
      </c>
      <c r="C350" t="s">
        <v>1237</v>
      </c>
      <c r="D350" s="1" t="str">
        <f t="shared" si="9"/>
        <v>PRG-1013149</v>
      </c>
      <c r="E350" t="s">
        <v>1376</v>
      </c>
      <c r="F350" t="s">
        <v>4</v>
      </c>
      <c r="G350" t="str">
        <f>""</f>
        <v/>
      </c>
    </row>
    <row r="351" spans="1:7" x14ac:dyDescent="0.25">
      <c r="A351" t="s">
        <v>8</v>
      </c>
      <c r="B351" s="1" t="str">
        <f>"000250915 - RICH PROD LUCKY STRIKE SPIN"</f>
        <v>000250915 - RICH PROD LUCKY STRIKE SPIN</v>
      </c>
      <c r="C351" t="s">
        <v>2105</v>
      </c>
      <c r="D351" s="1" t="str">
        <f t="shared" si="9"/>
        <v>PRG-1013149</v>
      </c>
      <c r="E351" t="s">
        <v>1376</v>
      </c>
      <c r="F351" t="s">
        <v>4</v>
      </c>
      <c r="G351" t="str">
        <f>""</f>
        <v/>
      </c>
    </row>
    <row r="352" spans="1:7" x14ac:dyDescent="0.25">
      <c r="A352" t="s">
        <v>8</v>
      </c>
      <c r="B352" s="1" t="str">
        <f>"000264258 - RICH FOODS LUCKY STRIKE"</f>
        <v>000264258 - RICH FOODS LUCKY STRIKE</v>
      </c>
      <c r="C352" t="s">
        <v>2355</v>
      </c>
      <c r="D352" s="1" t="str">
        <f t="shared" si="9"/>
        <v>PRG-1013149</v>
      </c>
      <c r="E352" t="s">
        <v>1376</v>
      </c>
      <c r="F352" t="s">
        <v>4</v>
      </c>
      <c r="G352" t="str">
        <f>""</f>
        <v/>
      </c>
    </row>
    <row r="353" spans="1:7" x14ac:dyDescent="0.25">
      <c r="A353" t="s">
        <v>8</v>
      </c>
      <c r="B353" s="1" t="str">
        <f>"000273569 - RICH PROD LUCKY STRIKE SPIN"</f>
        <v>000273569 - RICH PROD LUCKY STRIKE SPIN</v>
      </c>
      <c r="C353" t="s">
        <v>2105</v>
      </c>
      <c r="D353" s="1" t="str">
        <f t="shared" si="9"/>
        <v>PRG-1013149</v>
      </c>
      <c r="E353" t="s">
        <v>1376</v>
      </c>
      <c r="F353" t="s">
        <v>4</v>
      </c>
      <c r="G353" t="str">
        <f>""</f>
        <v/>
      </c>
    </row>
    <row r="354" spans="1:7" x14ac:dyDescent="0.25">
      <c r="A354" t="s">
        <v>8</v>
      </c>
      <c r="B354" s="1" t="str">
        <f>"000273573 - RICH PRODUCTS  LUCKY STRIKE"</f>
        <v>000273573 - RICH PRODUCTS  LUCKY STRIKE</v>
      </c>
      <c r="C354" t="s">
        <v>2528</v>
      </c>
      <c r="D354" s="1" t="str">
        <f t="shared" si="9"/>
        <v>PRG-1013149</v>
      </c>
      <c r="E354" t="s">
        <v>1376</v>
      </c>
      <c r="F354" t="s">
        <v>4</v>
      </c>
      <c r="G354" t="str">
        <f>""</f>
        <v/>
      </c>
    </row>
    <row r="355" spans="1:7" x14ac:dyDescent="0.25">
      <c r="A355" t="s">
        <v>8</v>
      </c>
      <c r="B355" s="1" t="str">
        <f>"000293088 - RICH PRODUCTS LUCKY STRIKE"</f>
        <v>000293088 - RICH PRODUCTS LUCKY STRIKE</v>
      </c>
      <c r="C355" t="s">
        <v>2875</v>
      </c>
      <c r="D355" s="1" t="str">
        <f t="shared" si="9"/>
        <v>PRG-1013149</v>
      </c>
      <c r="E355" t="s">
        <v>1376</v>
      </c>
      <c r="F355" t="s">
        <v>4</v>
      </c>
      <c r="G355" t="str">
        <f>""</f>
        <v/>
      </c>
    </row>
    <row r="356" spans="1:7" x14ac:dyDescent="0.25">
      <c r="A356" t="s">
        <v>8</v>
      </c>
      <c r="B356" s="1" t="str">
        <f>"000309296 - RICH PRODUCTS LUCKY STRIKE"</f>
        <v>000309296 - RICH PRODUCTS LUCKY STRIKE</v>
      </c>
      <c r="C356" t="s">
        <v>2875</v>
      </c>
      <c r="D356" s="1" t="str">
        <f t="shared" si="9"/>
        <v>PRG-1013149</v>
      </c>
      <c r="E356" t="s">
        <v>1376</v>
      </c>
      <c r="F356" t="s">
        <v>4</v>
      </c>
      <c r="G356" t="str">
        <f>""</f>
        <v/>
      </c>
    </row>
    <row r="357" spans="1:7" x14ac:dyDescent="0.25">
      <c r="A357" t="s">
        <v>8</v>
      </c>
      <c r="B357" s="1" t="str">
        <f>"2000136930 - RICH FOODS-LUCKY STRIKE"</f>
        <v>2000136930 - RICH FOODS-LUCKY STRIKE</v>
      </c>
      <c r="C357" t="s">
        <v>3859</v>
      </c>
      <c r="D357" s="1" t="str">
        <f t="shared" si="9"/>
        <v>PRG-1013149</v>
      </c>
      <c r="E357" t="s">
        <v>1376</v>
      </c>
      <c r="F357" t="s">
        <v>4</v>
      </c>
      <c r="G357" t="str">
        <f>""</f>
        <v/>
      </c>
    </row>
    <row r="358" spans="1:7" x14ac:dyDescent="0.25">
      <c r="A358" t="s">
        <v>8</v>
      </c>
      <c r="B358" s="1" t="str">
        <f>"000251506 - RICH CC-SPICY PIE"</f>
        <v>000251506 - RICH CC-SPICY PIE</v>
      </c>
      <c r="C358" t="s">
        <v>2115</v>
      </c>
      <c r="D358" s="1" t="str">
        <f>"PRG-1013170"</f>
        <v>PRG-1013170</v>
      </c>
      <c r="E358" t="s">
        <v>2116</v>
      </c>
      <c r="F358" t="s">
        <v>4</v>
      </c>
      <c r="G358" t="str">
        <f>""</f>
        <v/>
      </c>
    </row>
    <row r="359" spans="1:7" x14ac:dyDescent="0.25">
      <c r="A359" t="s">
        <v>8</v>
      </c>
      <c r="B359" s="1" t="str">
        <f>"000287327 - SPICY PIE   RICH PRODUCTS"</f>
        <v>000287327 - SPICY PIE   RICH PRODUCTS</v>
      </c>
      <c r="C359" t="s">
        <v>2757</v>
      </c>
      <c r="D359" s="1" t="str">
        <f>"PRG-1013170"</f>
        <v>PRG-1013170</v>
      </c>
      <c r="E359" t="s">
        <v>2116</v>
      </c>
      <c r="F359" t="s">
        <v>4</v>
      </c>
      <c r="G359" t="str">
        <f>""</f>
        <v/>
      </c>
    </row>
    <row r="360" spans="1:7" x14ac:dyDescent="0.25">
      <c r="A360" t="s">
        <v>8</v>
      </c>
      <c r="B360" s="1" t="str">
        <f>"000346024 - RICH SPICY PIE INC"</f>
        <v>000346024 - RICH SPICY PIE INC</v>
      </c>
      <c r="C360" t="s">
        <v>3466</v>
      </c>
      <c r="D360" s="1" t="str">
        <f>"PRG-1013170"</f>
        <v>PRG-1013170</v>
      </c>
      <c r="E360" t="s">
        <v>2116</v>
      </c>
      <c r="F360" t="s">
        <v>4</v>
      </c>
      <c r="G360" t="str">
        <f>""</f>
        <v/>
      </c>
    </row>
    <row r="361" spans="1:7" x14ac:dyDescent="0.25">
      <c r="A361" t="s">
        <v>8</v>
      </c>
      <c r="B361" s="1" t="str">
        <f>"4117B749"</f>
        <v>4117B749</v>
      </c>
      <c r="C361" t="s">
        <v>4963</v>
      </c>
      <c r="D361" s="1" t="str">
        <f>"PRG-1013170"</f>
        <v>PRG-1013170</v>
      </c>
      <c r="E361" t="s">
        <v>2116</v>
      </c>
      <c r="F361" t="s">
        <v>5</v>
      </c>
      <c r="G361" t="str">
        <f>""</f>
        <v/>
      </c>
    </row>
    <row r="362" spans="1:7" x14ac:dyDescent="0.25">
      <c r="A362" t="s">
        <v>8</v>
      </c>
      <c r="B362" s="1" t="str">
        <f>"3210A594"</f>
        <v>3210A594</v>
      </c>
      <c r="C362" t="s">
        <v>4807</v>
      </c>
      <c r="D362" s="1" t="str">
        <f>"PRG-1013214"</f>
        <v>PRG-1013214</v>
      </c>
      <c r="E362" t="s">
        <v>4808</v>
      </c>
      <c r="F362" t="s">
        <v>5</v>
      </c>
      <c r="G362" t="str">
        <f>""</f>
        <v/>
      </c>
    </row>
    <row r="363" spans="1:7" x14ac:dyDescent="0.25">
      <c r="A363" t="s">
        <v>8</v>
      </c>
      <c r="B363" s="1" t="str">
        <f>"000128064 - RICH PROD PASTRIES BY EDIE'S"</f>
        <v>000128064 - RICH PROD PASTRIES BY EDIE'S</v>
      </c>
      <c r="C363" t="s">
        <v>923</v>
      </c>
      <c r="D363" s="1" t="str">
        <f>"PRG-1013227"</f>
        <v>PRG-1013227</v>
      </c>
      <c r="E363" t="s">
        <v>924</v>
      </c>
      <c r="F363" t="s">
        <v>4</v>
      </c>
      <c r="G363" t="str">
        <f>""</f>
        <v/>
      </c>
    </row>
    <row r="364" spans="1:7" x14ac:dyDescent="0.25">
      <c r="A364" t="s">
        <v>8</v>
      </c>
      <c r="B364" s="1" t="str">
        <f>"000003549 - PRAIRIE'S EDGE CASINO RICH'S R"</f>
        <v>000003549 - PRAIRIE'S EDGE CASINO RICH'S R</v>
      </c>
      <c r="C364" t="s">
        <v>173</v>
      </c>
      <c r="D364" s="1" t="str">
        <f>"PRG-1013240"</f>
        <v>PRG-1013240</v>
      </c>
      <c r="E364" t="s">
        <v>174</v>
      </c>
      <c r="F364" t="s">
        <v>4</v>
      </c>
      <c r="G364" t="str">
        <f>""</f>
        <v/>
      </c>
    </row>
    <row r="365" spans="1:7" x14ac:dyDescent="0.25">
      <c r="A365" t="s">
        <v>8</v>
      </c>
      <c r="B365" s="1" t="str">
        <f>"2000367281 - "</f>
        <v xml:space="preserve">2000367281 - </v>
      </c>
      <c r="D365" s="1" t="str">
        <f>"PRG-1013252"</f>
        <v>PRG-1013252</v>
      </c>
      <c r="E365" t="s">
        <v>539</v>
      </c>
      <c r="F365" t="s">
        <v>4</v>
      </c>
      <c r="G365" t="str">
        <f>""</f>
        <v/>
      </c>
    </row>
    <row r="366" spans="1:7" x14ac:dyDescent="0.25">
      <c r="A366" t="s">
        <v>8</v>
      </c>
      <c r="B366" s="1" t="str">
        <f>"000299711 - RICH(CC)GOLDEN BOY(2 DEALS)"</f>
        <v>000299711 - RICH(CC)GOLDEN BOY(2 DEALS)</v>
      </c>
      <c r="C366" t="s">
        <v>2959</v>
      </c>
      <c r="D366" s="1" t="str">
        <f>"PRG-1013266"</f>
        <v>PRG-1013266</v>
      </c>
      <c r="E366" t="s">
        <v>2960</v>
      </c>
      <c r="F366" t="s">
        <v>4</v>
      </c>
      <c r="G366" t="str">
        <f>""</f>
        <v/>
      </c>
    </row>
    <row r="367" spans="1:7" x14ac:dyDescent="0.25">
      <c r="A367" t="s">
        <v>8</v>
      </c>
      <c r="B367" s="1" t="str">
        <f>"000317571 - "</f>
        <v xml:space="preserve">000317571 - </v>
      </c>
      <c r="D367" s="1" t="str">
        <f>"PRG-1013266"</f>
        <v>PRG-1013266</v>
      </c>
      <c r="E367" t="s">
        <v>2960</v>
      </c>
      <c r="F367" t="s">
        <v>4</v>
      </c>
      <c r="G367" t="str">
        <f>""</f>
        <v/>
      </c>
    </row>
    <row r="368" spans="1:7" x14ac:dyDescent="0.25">
      <c r="A368" t="s">
        <v>8</v>
      </c>
      <c r="B368" s="1" t="str">
        <f>"000345580 - "</f>
        <v xml:space="preserve">000345580 - </v>
      </c>
      <c r="D368" s="1" t="str">
        <f>"PRG-1013266"</f>
        <v>PRG-1013266</v>
      </c>
      <c r="E368" t="s">
        <v>2960</v>
      </c>
      <c r="F368" t="s">
        <v>4</v>
      </c>
      <c r="G368" t="str">
        <f>""</f>
        <v/>
      </c>
    </row>
    <row r="369" spans="1:7" x14ac:dyDescent="0.25">
      <c r="A369" t="s">
        <v>8</v>
      </c>
      <c r="B369" s="1" t="str">
        <f>"000000421 - RICH FOODS-TREAT AMERICA"</f>
        <v>000000421 - RICH FOODS-TREAT AMERICA</v>
      </c>
      <c r="C369" t="s">
        <v>40</v>
      </c>
      <c r="D369" s="1" t="str">
        <f t="shared" ref="D369:D400" si="10">"PRG-1013268"</f>
        <v>PRG-1013268</v>
      </c>
      <c r="E369" t="s">
        <v>41</v>
      </c>
      <c r="F369" t="s">
        <v>4</v>
      </c>
      <c r="G369" t="str">
        <f>""</f>
        <v/>
      </c>
    </row>
    <row r="370" spans="1:7" x14ac:dyDescent="0.25">
      <c r="A370" t="s">
        <v>8</v>
      </c>
      <c r="B370" s="1" t="str">
        <f>"000001949 - RICH FOODS-TREAT AMERICA"</f>
        <v>000001949 - RICH FOODS-TREAT AMERICA</v>
      </c>
      <c r="C370" t="s">
        <v>40</v>
      </c>
      <c r="D370" s="1" t="str">
        <f t="shared" si="10"/>
        <v>PRG-1013268</v>
      </c>
      <c r="E370" t="s">
        <v>41</v>
      </c>
      <c r="F370" t="s">
        <v>4</v>
      </c>
      <c r="G370" t="str">
        <f>""</f>
        <v/>
      </c>
    </row>
    <row r="371" spans="1:7" x14ac:dyDescent="0.25">
      <c r="A371" t="s">
        <v>8</v>
      </c>
      <c r="B371" s="1" t="str">
        <f>"000014852 - RICH FOODS TREAT AMERICA"</f>
        <v>000014852 - RICH FOODS TREAT AMERICA</v>
      </c>
      <c r="C371" t="s">
        <v>361</v>
      </c>
      <c r="D371" s="1" t="str">
        <f t="shared" si="10"/>
        <v>PRG-1013268</v>
      </c>
      <c r="E371" t="s">
        <v>41</v>
      </c>
      <c r="F371" t="s">
        <v>4</v>
      </c>
      <c r="G371" t="str">
        <f>""</f>
        <v/>
      </c>
    </row>
    <row r="372" spans="1:7" x14ac:dyDescent="0.25">
      <c r="A372" t="s">
        <v>8</v>
      </c>
      <c r="B372" s="1" t="str">
        <f>"000144054 - RICH PROD TREAT AMERICA"</f>
        <v>000144054 - RICH PROD TREAT AMERICA</v>
      </c>
      <c r="C372" t="s">
        <v>992</v>
      </c>
      <c r="D372" s="1" t="str">
        <f t="shared" si="10"/>
        <v>PRG-1013268</v>
      </c>
      <c r="E372" t="s">
        <v>41</v>
      </c>
      <c r="F372" t="s">
        <v>4</v>
      </c>
      <c r="G372" t="str">
        <f>""</f>
        <v/>
      </c>
    </row>
    <row r="373" spans="1:7" x14ac:dyDescent="0.25">
      <c r="A373" t="s">
        <v>8</v>
      </c>
      <c r="B373" s="1" t="str">
        <f>"000160705 - "</f>
        <v xml:space="preserve">000160705 - </v>
      </c>
      <c r="D373" s="1" t="str">
        <f t="shared" si="10"/>
        <v>PRG-1013268</v>
      </c>
      <c r="E373" t="s">
        <v>41</v>
      </c>
      <c r="F373" t="s">
        <v>4</v>
      </c>
      <c r="G373" t="str">
        <f>""</f>
        <v/>
      </c>
    </row>
    <row r="374" spans="1:7" x14ac:dyDescent="0.25">
      <c r="A374" t="s">
        <v>8</v>
      </c>
      <c r="B374" s="1" t="str">
        <f>"000161952 - "</f>
        <v xml:space="preserve">000161952 - </v>
      </c>
      <c r="D374" s="1" t="str">
        <f t="shared" si="10"/>
        <v>PRG-1013268</v>
      </c>
      <c r="E374" t="s">
        <v>41</v>
      </c>
      <c r="F374" t="s">
        <v>4</v>
      </c>
      <c r="G374" t="str">
        <f>""</f>
        <v/>
      </c>
    </row>
    <row r="375" spans="1:7" x14ac:dyDescent="0.25">
      <c r="A375" t="s">
        <v>8</v>
      </c>
      <c r="B375" s="1" t="str">
        <f>"000179288 - "</f>
        <v xml:space="preserve">000179288 - </v>
      </c>
      <c r="D375" s="1" t="str">
        <f t="shared" si="10"/>
        <v>PRG-1013268</v>
      </c>
      <c r="E375" t="s">
        <v>41</v>
      </c>
      <c r="F375" t="s">
        <v>4</v>
      </c>
      <c r="G375" t="str">
        <f>""</f>
        <v/>
      </c>
    </row>
    <row r="376" spans="1:7" x14ac:dyDescent="0.25">
      <c r="A376" t="s">
        <v>8</v>
      </c>
      <c r="B376" s="1" t="str">
        <f>"000182901 - Z RICH PROD. TREAT AMERICA"</f>
        <v>000182901 - Z RICH PROD. TREAT AMERICA</v>
      </c>
      <c r="C376" t="s">
        <v>1158</v>
      </c>
      <c r="D376" s="1" t="str">
        <f t="shared" si="10"/>
        <v>PRG-1013268</v>
      </c>
      <c r="E376" t="s">
        <v>41</v>
      </c>
      <c r="F376" t="s">
        <v>4</v>
      </c>
      <c r="G376" t="str">
        <f>""</f>
        <v/>
      </c>
    </row>
    <row r="377" spans="1:7" x14ac:dyDescent="0.25">
      <c r="A377" t="s">
        <v>8</v>
      </c>
      <c r="B377" s="1" t="str">
        <f>"000183352 - TREAT RICH"</f>
        <v>000183352 - TREAT RICH</v>
      </c>
      <c r="C377" t="s">
        <v>1160</v>
      </c>
      <c r="D377" s="1" t="str">
        <f t="shared" si="10"/>
        <v>PRG-1013268</v>
      </c>
      <c r="E377" t="s">
        <v>41</v>
      </c>
      <c r="F377" t="s">
        <v>4</v>
      </c>
      <c r="G377" t="str">
        <f>""</f>
        <v/>
      </c>
    </row>
    <row r="378" spans="1:7" x14ac:dyDescent="0.25">
      <c r="A378" t="s">
        <v>8</v>
      </c>
      <c r="B378" s="1" t="str">
        <f>"000201183 - RICH TREAT AMERICA"</f>
        <v>000201183 - RICH TREAT AMERICA</v>
      </c>
      <c r="C378" t="s">
        <v>1311</v>
      </c>
      <c r="D378" s="1" t="str">
        <f t="shared" si="10"/>
        <v>PRG-1013268</v>
      </c>
      <c r="E378" t="s">
        <v>41</v>
      </c>
      <c r="F378" t="s">
        <v>4</v>
      </c>
      <c r="G378" t="str">
        <f>""</f>
        <v/>
      </c>
    </row>
    <row r="379" spans="1:7" x14ac:dyDescent="0.25">
      <c r="A379" t="s">
        <v>8</v>
      </c>
      <c r="B379" s="1" t="str">
        <f>"000202687 - TREAT RICHS"</f>
        <v>000202687 - TREAT RICHS</v>
      </c>
      <c r="C379" t="s">
        <v>1329</v>
      </c>
      <c r="D379" s="1" t="str">
        <f t="shared" si="10"/>
        <v>PRG-1013268</v>
      </c>
      <c r="E379" t="s">
        <v>41</v>
      </c>
      <c r="F379" t="s">
        <v>4</v>
      </c>
      <c r="G379" t="str">
        <f>""</f>
        <v/>
      </c>
    </row>
    <row r="380" spans="1:7" x14ac:dyDescent="0.25">
      <c r="A380" t="s">
        <v>8</v>
      </c>
      <c r="B380" s="1" t="str">
        <f>"000205194 - RICHS TREAT AMERICA"</f>
        <v>000205194 - RICHS TREAT AMERICA</v>
      </c>
      <c r="C380" t="s">
        <v>1357</v>
      </c>
      <c r="D380" s="1" t="str">
        <f t="shared" si="10"/>
        <v>PRG-1013268</v>
      </c>
      <c r="E380" t="s">
        <v>41</v>
      </c>
      <c r="F380" t="s">
        <v>4</v>
      </c>
      <c r="G380" t="str">
        <f>""</f>
        <v/>
      </c>
    </row>
    <row r="381" spans="1:7" x14ac:dyDescent="0.25">
      <c r="A381" t="s">
        <v>8</v>
      </c>
      <c r="B381" s="1" t="str">
        <f>"000211139 - RICH   TREAT AMERICA"</f>
        <v>000211139 - RICH   TREAT AMERICA</v>
      </c>
      <c r="C381" t="s">
        <v>1444</v>
      </c>
      <c r="D381" s="1" t="str">
        <f t="shared" si="10"/>
        <v>PRG-1013268</v>
      </c>
      <c r="E381" t="s">
        <v>41</v>
      </c>
      <c r="F381" t="s">
        <v>4</v>
      </c>
      <c r="G381" t="str">
        <f>""</f>
        <v/>
      </c>
    </row>
    <row r="382" spans="1:7" x14ac:dyDescent="0.25">
      <c r="A382" t="s">
        <v>8</v>
      </c>
      <c r="B382" s="1" t="str">
        <f>"000213685 - RICHS TREAT AMERICA-LOCAL"</f>
        <v>000213685 - RICHS TREAT AMERICA-LOCAL</v>
      </c>
      <c r="C382" t="s">
        <v>1480</v>
      </c>
      <c r="D382" s="1" t="str">
        <f t="shared" si="10"/>
        <v>PRG-1013268</v>
      </c>
      <c r="E382" t="s">
        <v>41</v>
      </c>
      <c r="F382" t="s">
        <v>4</v>
      </c>
      <c r="G382" t="str">
        <f>""</f>
        <v/>
      </c>
    </row>
    <row r="383" spans="1:7" x14ac:dyDescent="0.25">
      <c r="A383" t="s">
        <v>8</v>
      </c>
      <c r="B383" s="1" t="str">
        <f>"000216452 - TREAT RICH'S $ OFF"</f>
        <v>000216452 - TREAT RICH'S $ OFF</v>
      </c>
      <c r="C383" t="s">
        <v>1531</v>
      </c>
      <c r="D383" s="1" t="str">
        <f t="shared" si="10"/>
        <v>PRG-1013268</v>
      </c>
      <c r="E383" t="s">
        <v>41</v>
      </c>
      <c r="F383" t="s">
        <v>4</v>
      </c>
      <c r="G383" t="str">
        <f>""</f>
        <v/>
      </c>
    </row>
    <row r="384" spans="1:7" x14ac:dyDescent="0.25">
      <c r="A384" t="s">
        <v>8</v>
      </c>
      <c r="B384" s="1" t="str">
        <f>"000221296 - RICHS TREAT AMERICA"</f>
        <v>000221296 - RICHS TREAT AMERICA</v>
      </c>
      <c r="C384" t="s">
        <v>1357</v>
      </c>
      <c r="D384" s="1" t="str">
        <f t="shared" si="10"/>
        <v>PRG-1013268</v>
      </c>
      <c r="E384" t="s">
        <v>41</v>
      </c>
      <c r="F384" t="s">
        <v>4</v>
      </c>
      <c r="G384" t="str">
        <f>""</f>
        <v/>
      </c>
    </row>
    <row r="385" spans="1:7" x14ac:dyDescent="0.25">
      <c r="A385" t="s">
        <v>8</v>
      </c>
      <c r="B385" s="1" t="str">
        <f>"000221832 - TREAT RICH"</f>
        <v>000221832 - TREAT RICH</v>
      </c>
      <c r="C385" t="s">
        <v>1160</v>
      </c>
      <c r="D385" s="1" t="str">
        <f t="shared" si="10"/>
        <v>PRG-1013268</v>
      </c>
      <c r="E385" t="s">
        <v>41</v>
      </c>
      <c r="F385" t="s">
        <v>4</v>
      </c>
      <c r="G385" t="str">
        <f>""</f>
        <v/>
      </c>
    </row>
    <row r="386" spans="1:7" x14ac:dyDescent="0.25">
      <c r="A386" t="s">
        <v>8</v>
      </c>
      <c r="B386" s="1" t="str">
        <f>"000222299 - RICH TREAT AMERICA"</f>
        <v>000222299 - RICH TREAT AMERICA</v>
      </c>
      <c r="C386" t="s">
        <v>1311</v>
      </c>
      <c r="D386" s="1" t="str">
        <f t="shared" si="10"/>
        <v>PRG-1013268</v>
      </c>
      <c r="E386" t="s">
        <v>41</v>
      </c>
      <c r="F386" t="s">
        <v>4</v>
      </c>
      <c r="G386" t="str">
        <f>""</f>
        <v/>
      </c>
    </row>
    <row r="387" spans="1:7" x14ac:dyDescent="0.25">
      <c r="A387" t="s">
        <v>8</v>
      </c>
      <c r="B387" s="1" t="str">
        <f>"000223777 - RICH-TREAT AMERICA"</f>
        <v>000223777 - RICH-TREAT AMERICA</v>
      </c>
      <c r="C387" t="s">
        <v>1652</v>
      </c>
      <c r="D387" s="1" t="str">
        <f t="shared" si="10"/>
        <v>PRG-1013268</v>
      </c>
      <c r="E387" t="s">
        <v>41</v>
      </c>
      <c r="F387" t="s">
        <v>4</v>
      </c>
      <c r="G387" t="str">
        <f>""</f>
        <v/>
      </c>
    </row>
    <row r="388" spans="1:7" x14ac:dyDescent="0.25">
      <c r="A388" t="s">
        <v>8</v>
      </c>
      <c r="B388" s="1" t="str">
        <f>"000230383 - TREAT AMERICA RICHS"</f>
        <v>000230383 - TREAT AMERICA RICHS</v>
      </c>
      <c r="C388" t="s">
        <v>1745</v>
      </c>
      <c r="D388" s="1" t="str">
        <f t="shared" si="10"/>
        <v>PRG-1013268</v>
      </c>
      <c r="E388" t="s">
        <v>41</v>
      </c>
      <c r="F388" t="s">
        <v>4</v>
      </c>
      <c r="G388" t="str">
        <f>""</f>
        <v/>
      </c>
    </row>
    <row r="389" spans="1:7" x14ac:dyDescent="0.25">
      <c r="A389" t="s">
        <v>8</v>
      </c>
      <c r="B389" s="1" t="str">
        <f>"000234113 - TREAT AMERICA RICH $OFF"</f>
        <v>000234113 - TREAT AMERICA RICH $OFF</v>
      </c>
      <c r="C389" t="s">
        <v>1817</v>
      </c>
      <c r="D389" s="1" t="str">
        <f t="shared" si="10"/>
        <v>PRG-1013268</v>
      </c>
      <c r="E389" t="s">
        <v>41</v>
      </c>
      <c r="F389" t="s">
        <v>4</v>
      </c>
      <c r="G389" t="str">
        <f>""</f>
        <v/>
      </c>
    </row>
    <row r="390" spans="1:7" x14ac:dyDescent="0.25">
      <c r="A390" t="s">
        <v>8</v>
      </c>
      <c r="B390" s="1" t="str">
        <f>"000234625 - TREAT RICH'S $ OFF"</f>
        <v>000234625 - TREAT RICH'S $ OFF</v>
      </c>
      <c r="C390" t="s">
        <v>1531</v>
      </c>
      <c r="D390" s="1" t="str">
        <f t="shared" si="10"/>
        <v>PRG-1013268</v>
      </c>
      <c r="E390" t="s">
        <v>41</v>
      </c>
      <c r="F390" t="s">
        <v>4</v>
      </c>
      <c r="G390" t="str">
        <f>""</f>
        <v/>
      </c>
    </row>
    <row r="391" spans="1:7" x14ac:dyDescent="0.25">
      <c r="A391" t="s">
        <v>8</v>
      </c>
      <c r="B391" s="1" t="str">
        <f>"000236323 - "</f>
        <v xml:space="preserve">000236323 - </v>
      </c>
      <c r="D391" s="1" t="str">
        <f t="shared" si="10"/>
        <v>PRG-1013268</v>
      </c>
      <c r="E391" t="s">
        <v>41</v>
      </c>
      <c r="F391" t="s">
        <v>4</v>
      </c>
      <c r="G391" t="str">
        <f>""</f>
        <v/>
      </c>
    </row>
    <row r="392" spans="1:7" x14ac:dyDescent="0.25">
      <c r="A392" t="s">
        <v>8</v>
      </c>
      <c r="B392" s="1" t="str">
        <f>"000240523 - RICH   TREAT AMERICA"</f>
        <v>000240523 - RICH   TREAT AMERICA</v>
      </c>
      <c r="C392" t="s">
        <v>1444</v>
      </c>
      <c r="D392" s="1" t="str">
        <f t="shared" si="10"/>
        <v>PRG-1013268</v>
      </c>
      <c r="E392" t="s">
        <v>41</v>
      </c>
      <c r="F392" t="s">
        <v>4</v>
      </c>
      <c r="G392" t="str">
        <f>""</f>
        <v/>
      </c>
    </row>
    <row r="393" spans="1:7" x14ac:dyDescent="0.25">
      <c r="A393" t="s">
        <v>8</v>
      </c>
      <c r="B393" s="1" t="str">
        <f>"000240805 - RICH-TREAT AMERICA"</f>
        <v>000240805 - RICH-TREAT AMERICA</v>
      </c>
      <c r="C393" t="s">
        <v>1652</v>
      </c>
      <c r="D393" s="1" t="str">
        <f t="shared" si="10"/>
        <v>PRG-1013268</v>
      </c>
      <c r="E393" t="s">
        <v>41</v>
      </c>
      <c r="F393" t="s">
        <v>4</v>
      </c>
      <c r="G393" t="str">
        <f>""</f>
        <v/>
      </c>
    </row>
    <row r="394" spans="1:7" x14ac:dyDescent="0.25">
      <c r="A394" t="s">
        <v>8</v>
      </c>
      <c r="B394" s="1" t="str">
        <f>"000242655 - "</f>
        <v xml:space="preserve">000242655 - </v>
      </c>
      <c r="D394" s="1" t="str">
        <f t="shared" si="10"/>
        <v>PRG-1013268</v>
      </c>
      <c r="E394" t="s">
        <v>41</v>
      </c>
      <c r="F394" t="s">
        <v>4</v>
      </c>
      <c r="G394" t="str">
        <f>""</f>
        <v/>
      </c>
    </row>
    <row r="395" spans="1:7" x14ac:dyDescent="0.25">
      <c r="A395" t="s">
        <v>8</v>
      </c>
      <c r="B395" s="1" t="str">
        <f>"000244204 - TREAT RICH"</f>
        <v>000244204 - TREAT RICH</v>
      </c>
      <c r="C395" t="s">
        <v>1160</v>
      </c>
      <c r="D395" s="1" t="str">
        <f t="shared" si="10"/>
        <v>PRG-1013268</v>
      </c>
      <c r="E395" t="s">
        <v>41</v>
      </c>
      <c r="F395" t="s">
        <v>4</v>
      </c>
      <c r="G395" t="str">
        <f>""</f>
        <v/>
      </c>
    </row>
    <row r="396" spans="1:7" x14ac:dyDescent="0.25">
      <c r="A396" t="s">
        <v>8</v>
      </c>
      <c r="B396" s="1" t="str">
        <f>"000250697 - "</f>
        <v xml:space="preserve">000250697 - </v>
      </c>
      <c r="D396" s="1" t="str">
        <f t="shared" si="10"/>
        <v>PRG-1013268</v>
      </c>
      <c r="E396" t="s">
        <v>41</v>
      </c>
      <c r="F396" t="s">
        <v>4</v>
      </c>
      <c r="G396" t="str">
        <f>""</f>
        <v/>
      </c>
    </row>
    <row r="397" spans="1:7" x14ac:dyDescent="0.25">
      <c r="A397" t="s">
        <v>8</v>
      </c>
      <c r="B397" s="1" t="str">
        <f>"000250987 - TREAT AMERICA RICHS"</f>
        <v>000250987 - TREAT AMERICA RICHS</v>
      </c>
      <c r="C397" t="s">
        <v>1745</v>
      </c>
      <c r="D397" s="1" t="str">
        <f t="shared" si="10"/>
        <v>PRG-1013268</v>
      </c>
      <c r="E397" t="s">
        <v>41</v>
      </c>
      <c r="F397" t="s">
        <v>4</v>
      </c>
      <c r="G397" t="str">
        <f>""</f>
        <v/>
      </c>
    </row>
    <row r="398" spans="1:7" x14ac:dyDescent="0.25">
      <c r="A398" t="s">
        <v>8</v>
      </c>
      <c r="B398" s="1" t="str">
        <f>"000252388 - TREAT AMERICA RICH FOODS RICH"</f>
        <v>000252388 - TREAT AMERICA RICH FOODS RICH</v>
      </c>
      <c r="C398" t="s">
        <v>2128</v>
      </c>
      <c r="D398" s="1" t="str">
        <f t="shared" si="10"/>
        <v>PRG-1013268</v>
      </c>
      <c r="E398" t="s">
        <v>41</v>
      </c>
      <c r="F398" t="s">
        <v>4</v>
      </c>
      <c r="G398" t="str">
        <f>""</f>
        <v/>
      </c>
    </row>
    <row r="399" spans="1:7" x14ac:dyDescent="0.25">
      <c r="A399" t="s">
        <v>8</v>
      </c>
      <c r="B399" s="1" t="str">
        <f>"000253745 - TREAT-RICH'S $ OFF"</f>
        <v>000253745 - TREAT-RICH'S $ OFF</v>
      </c>
      <c r="C399" t="s">
        <v>2145</v>
      </c>
      <c r="D399" s="1" t="str">
        <f t="shared" si="10"/>
        <v>PRG-1013268</v>
      </c>
      <c r="E399" t="s">
        <v>41</v>
      </c>
      <c r="F399" t="s">
        <v>4</v>
      </c>
      <c r="G399" t="str">
        <f>""</f>
        <v/>
      </c>
    </row>
    <row r="400" spans="1:7" x14ac:dyDescent="0.25">
      <c r="A400" t="s">
        <v>8</v>
      </c>
      <c r="B400" s="1" t="str">
        <f>"000253869 - "</f>
        <v xml:space="preserve">000253869 - </v>
      </c>
      <c r="D400" s="1" t="str">
        <f t="shared" si="10"/>
        <v>PRG-1013268</v>
      </c>
      <c r="E400" t="s">
        <v>41</v>
      </c>
      <c r="F400" t="s">
        <v>4</v>
      </c>
      <c r="G400" t="str">
        <f>""</f>
        <v/>
      </c>
    </row>
    <row r="401" spans="1:7" x14ac:dyDescent="0.25">
      <c r="A401" t="s">
        <v>8</v>
      </c>
      <c r="B401" s="1" t="str">
        <f>"000255380 - Z RICH PROD-BAPA TREAT AMERICA"</f>
        <v>000255380 - Z RICH PROD-BAPA TREAT AMERICA</v>
      </c>
      <c r="C401" t="s">
        <v>2165</v>
      </c>
      <c r="D401" s="1" t="str">
        <f t="shared" ref="D401:D427" si="11">"PRG-1013268"</f>
        <v>PRG-1013268</v>
      </c>
      <c r="E401" t="s">
        <v>41</v>
      </c>
      <c r="F401" t="s">
        <v>4</v>
      </c>
      <c r="G401" t="str">
        <f>""</f>
        <v/>
      </c>
    </row>
    <row r="402" spans="1:7" x14ac:dyDescent="0.25">
      <c r="A402" t="s">
        <v>8</v>
      </c>
      <c r="B402" s="1" t="str">
        <f>"000256633 - TREAT AMERICA RICH $OFF"</f>
        <v>000256633 - TREAT AMERICA RICH $OFF</v>
      </c>
      <c r="C402" t="s">
        <v>1817</v>
      </c>
      <c r="D402" s="1" t="str">
        <f t="shared" si="11"/>
        <v>PRG-1013268</v>
      </c>
      <c r="E402" t="s">
        <v>41</v>
      </c>
      <c r="F402" t="s">
        <v>4</v>
      </c>
      <c r="G402" t="str">
        <f>""</f>
        <v/>
      </c>
    </row>
    <row r="403" spans="1:7" x14ac:dyDescent="0.25">
      <c r="A403" t="s">
        <v>8</v>
      </c>
      <c r="B403" s="1" t="str">
        <f>"000258922 - "</f>
        <v xml:space="preserve">000258922 - </v>
      </c>
      <c r="D403" s="1" t="str">
        <f t="shared" si="11"/>
        <v>PRG-1013268</v>
      </c>
      <c r="E403" t="s">
        <v>41</v>
      </c>
      <c r="F403" t="s">
        <v>4</v>
      </c>
      <c r="G403" t="str">
        <f>""</f>
        <v/>
      </c>
    </row>
    <row r="404" spans="1:7" x14ac:dyDescent="0.25">
      <c r="A404" t="s">
        <v>8</v>
      </c>
      <c r="B404" s="1" t="str">
        <f>"000259075 - RICH   TREAT AMERICA"</f>
        <v>000259075 - RICH   TREAT AMERICA</v>
      </c>
      <c r="C404" t="s">
        <v>1444</v>
      </c>
      <c r="D404" s="1" t="str">
        <f t="shared" si="11"/>
        <v>PRG-1013268</v>
      </c>
      <c r="E404" t="s">
        <v>41</v>
      </c>
      <c r="F404" t="s">
        <v>4</v>
      </c>
      <c r="G404" t="str">
        <f>""</f>
        <v/>
      </c>
    </row>
    <row r="405" spans="1:7" x14ac:dyDescent="0.25">
      <c r="A405" t="s">
        <v>8</v>
      </c>
      <c r="B405" s="1" t="str">
        <f>"000261797 - RICH'S TREAT AMERICA  $OFF"</f>
        <v>000261797 - RICH'S TREAT AMERICA  $OFF</v>
      </c>
      <c r="C405" t="s">
        <v>2297</v>
      </c>
      <c r="D405" s="1" t="str">
        <f t="shared" si="11"/>
        <v>PRG-1013268</v>
      </c>
      <c r="E405" t="s">
        <v>41</v>
      </c>
      <c r="F405" t="s">
        <v>4</v>
      </c>
      <c r="G405" t="str">
        <f>""</f>
        <v/>
      </c>
    </row>
    <row r="406" spans="1:7" x14ac:dyDescent="0.25">
      <c r="A406" t="s">
        <v>8</v>
      </c>
      <c r="B406" s="1" t="str">
        <f>"000262466 - RICH PROD-TREAT AMERICA   DC"</f>
        <v>000262466 - RICH PROD-TREAT AMERICA   DC</v>
      </c>
      <c r="C406" t="s">
        <v>2316</v>
      </c>
      <c r="D406" s="1" t="str">
        <f t="shared" si="11"/>
        <v>PRG-1013268</v>
      </c>
      <c r="E406" t="s">
        <v>41</v>
      </c>
      <c r="F406" t="s">
        <v>4</v>
      </c>
      <c r="G406" t="str">
        <f>""</f>
        <v/>
      </c>
    </row>
    <row r="407" spans="1:7" x14ac:dyDescent="0.25">
      <c r="A407" t="s">
        <v>8</v>
      </c>
      <c r="B407" s="1" t="str">
        <f>"000271454 - "</f>
        <v xml:space="preserve">000271454 - </v>
      </c>
      <c r="D407" s="1" t="str">
        <f t="shared" si="11"/>
        <v>PRG-1013268</v>
      </c>
      <c r="E407" t="s">
        <v>41</v>
      </c>
      <c r="F407" t="s">
        <v>4</v>
      </c>
      <c r="G407" t="str">
        <f>""</f>
        <v/>
      </c>
    </row>
    <row r="408" spans="1:7" x14ac:dyDescent="0.25">
      <c r="A408" t="s">
        <v>8</v>
      </c>
      <c r="B408" s="1" t="str">
        <f>"000275879 - TREAT-RICH'S $ OFF"</f>
        <v>000275879 - TREAT-RICH'S $ OFF</v>
      </c>
      <c r="C408" t="s">
        <v>2145</v>
      </c>
      <c r="D408" s="1" t="str">
        <f t="shared" si="11"/>
        <v>PRG-1013268</v>
      </c>
      <c r="E408" t="s">
        <v>41</v>
      </c>
      <c r="F408" t="s">
        <v>4</v>
      </c>
      <c r="G408" t="str">
        <f>""</f>
        <v/>
      </c>
    </row>
    <row r="409" spans="1:7" x14ac:dyDescent="0.25">
      <c r="A409" t="s">
        <v>8</v>
      </c>
      <c r="B409" s="1" t="str">
        <f>"000278954 - RICHS FOODS TREAT AMER SPIN"</f>
        <v>000278954 - RICHS FOODS TREAT AMER SPIN</v>
      </c>
      <c r="C409" t="s">
        <v>2612</v>
      </c>
      <c r="D409" s="1" t="str">
        <f t="shared" si="11"/>
        <v>PRG-1013268</v>
      </c>
      <c r="E409" t="s">
        <v>41</v>
      </c>
      <c r="F409" t="s">
        <v>4</v>
      </c>
      <c r="G409" t="str">
        <f>""</f>
        <v/>
      </c>
    </row>
    <row r="410" spans="1:7" x14ac:dyDescent="0.25">
      <c r="A410" t="s">
        <v>8</v>
      </c>
      <c r="B410" s="1" t="str">
        <f>"000280429 - RICH TREAT AMERICA"</f>
        <v>000280429 - RICH TREAT AMERICA</v>
      </c>
      <c r="C410" t="s">
        <v>1311</v>
      </c>
      <c r="D410" s="1" t="str">
        <f t="shared" si="11"/>
        <v>PRG-1013268</v>
      </c>
      <c r="E410" t="s">
        <v>41</v>
      </c>
      <c r="F410" t="s">
        <v>4</v>
      </c>
      <c r="G410" t="str">
        <f>""</f>
        <v/>
      </c>
    </row>
    <row r="411" spans="1:7" x14ac:dyDescent="0.25">
      <c r="A411" t="s">
        <v>8</v>
      </c>
      <c r="B411" s="1" t="str">
        <f>"000280552 - TREAT AMERICA RICH $OFF"</f>
        <v>000280552 - TREAT AMERICA RICH $OFF</v>
      </c>
      <c r="C411" t="s">
        <v>1817</v>
      </c>
      <c r="D411" s="1" t="str">
        <f t="shared" si="11"/>
        <v>PRG-1013268</v>
      </c>
      <c r="E411" t="s">
        <v>41</v>
      </c>
      <c r="F411" t="s">
        <v>4</v>
      </c>
      <c r="G411" t="str">
        <f>""</f>
        <v/>
      </c>
    </row>
    <row r="412" spans="1:7" x14ac:dyDescent="0.25">
      <c r="A412" t="s">
        <v>8</v>
      </c>
      <c r="B412" s="1" t="str">
        <f>"000283489 - TREAT AMER (D O)-RICH FOODS"</f>
        <v>000283489 - TREAT AMER (D O)-RICH FOODS</v>
      </c>
      <c r="C412" t="s">
        <v>2689</v>
      </c>
      <c r="D412" s="1" t="str">
        <f t="shared" si="11"/>
        <v>PRG-1013268</v>
      </c>
      <c r="E412" t="s">
        <v>41</v>
      </c>
      <c r="F412" t="s">
        <v>4</v>
      </c>
      <c r="G412" t="str">
        <f>""</f>
        <v/>
      </c>
    </row>
    <row r="413" spans="1:7" x14ac:dyDescent="0.25">
      <c r="A413" t="s">
        <v>8</v>
      </c>
      <c r="B413" s="1" t="str">
        <f>"000284431 - RICH FOODS-TREAT AMERICA"</f>
        <v>000284431 - RICH FOODS-TREAT AMERICA</v>
      </c>
      <c r="C413" t="s">
        <v>40</v>
      </c>
      <c r="D413" s="1" t="str">
        <f t="shared" si="11"/>
        <v>PRG-1013268</v>
      </c>
      <c r="E413" t="s">
        <v>41</v>
      </c>
      <c r="F413" t="s">
        <v>4</v>
      </c>
      <c r="G413" t="str">
        <f>""</f>
        <v/>
      </c>
    </row>
    <row r="414" spans="1:7" x14ac:dyDescent="0.25">
      <c r="A414" t="s">
        <v>8</v>
      </c>
      <c r="B414" s="1" t="str">
        <f>"000286037 - RICH PROD-TREAT AMERICA   DC"</f>
        <v>000286037 - RICH PROD-TREAT AMERICA   DC</v>
      </c>
      <c r="C414" t="s">
        <v>2316</v>
      </c>
      <c r="D414" s="1" t="str">
        <f t="shared" si="11"/>
        <v>PRG-1013268</v>
      </c>
      <c r="E414" t="s">
        <v>41</v>
      </c>
      <c r="F414" t="s">
        <v>4</v>
      </c>
      <c r="G414" t="str">
        <f>""</f>
        <v/>
      </c>
    </row>
    <row r="415" spans="1:7" x14ac:dyDescent="0.25">
      <c r="A415" t="s">
        <v>8</v>
      </c>
      <c r="B415" s="1" t="str">
        <f>"000298089 - RICH TREAT AMERICA"</f>
        <v>000298089 - RICH TREAT AMERICA</v>
      </c>
      <c r="C415" t="s">
        <v>1311</v>
      </c>
      <c r="D415" s="1" t="str">
        <f t="shared" si="11"/>
        <v>PRG-1013268</v>
      </c>
      <c r="E415" t="s">
        <v>41</v>
      </c>
      <c r="F415" t="s">
        <v>4</v>
      </c>
      <c r="G415" t="str">
        <f>""</f>
        <v/>
      </c>
    </row>
    <row r="416" spans="1:7" x14ac:dyDescent="0.25">
      <c r="A416" t="s">
        <v>8</v>
      </c>
      <c r="B416" s="1" t="str">
        <f>"000300357 - RICH TREAT AMERICA"</f>
        <v>000300357 - RICH TREAT AMERICA</v>
      </c>
      <c r="C416" t="s">
        <v>1311</v>
      </c>
      <c r="D416" s="1" t="str">
        <f t="shared" si="11"/>
        <v>PRG-1013268</v>
      </c>
      <c r="E416" t="s">
        <v>41</v>
      </c>
      <c r="F416" t="s">
        <v>4</v>
      </c>
      <c r="G416" t="str">
        <f>""</f>
        <v/>
      </c>
    </row>
    <row r="417" spans="1:7" x14ac:dyDescent="0.25">
      <c r="A417" t="s">
        <v>8</v>
      </c>
      <c r="B417" s="1" t="str">
        <f>"000308485 - RICH FOODS TREAT AMERICA"</f>
        <v>000308485 - RICH FOODS TREAT AMERICA</v>
      </c>
      <c r="C417" t="s">
        <v>361</v>
      </c>
      <c r="D417" s="1" t="str">
        <f t="shared" si="11"/>
        <v>PRG-1013268</v>
      </c>
      <c r="E417" t="s">
        <v>41</v>
      </c>
      <c r="F417" t="s">
        <v>4</v>
      </c>
      <c r="G417" t="str">
        <f>""</f>
        <v/>
      </c>
    </row>
    <row r="418" spans="1:7" x14ac:dyDescent="0.25">
      <c r="A418" t="s">
        <v>8</v>
      </c>
      <c r="B418" s="1" t="str">
        <f>"000323065 - RICH FDS TREAT AMERICA"</f>
        <v>000323065 - RICH FDS TREAT AMERICA</v>
      </c>
      <c r="C418" t="s">
        <v>3263</v>
      </c>
      <c r="D418" s="1" t="str">
        <f t="shared" si="11"/>
        <v>PRG-1013268</v>
      </c>
      <c r="E418" t="s">
        <v>41</v>
      </c>
      <c r="F418" t="s">
        <v>4</v>
      </c>
      <c r="G418" t="str">
        <f>""</f>
        <v/>
      </c>
    </row>
    <row r="419" spans="1:7" x14ac:dyDescent="0.25">
      <c r="A419" t="s">
        <v>8</v>
      </c>
      <c r="B419" s="1" t="str">
        <f>"000345506 - "</f>
        <v xml:space="preserve">000345506 - </v>
      </c>
      <c r="D419" s="1" t="str">
        <f t="shared" si="11"/>
        <v>PRG-1013268</v>
      </c>
      <c r="E419" t="s">
        <v>41</v>
      </c>
      <c r="F419" t="s">
        <v>4</v>
      </c>
      <c r="G419" t="str">
        <f>""</f>
        <v/>
      </c>
    </row>
    <row r="420" spans="1:7" x14ac:dyDescent="0.25">
      <c r="A420" t="s">
        <v>8</v>
      </c>
      <c r="B420" s="1" t="str">
        <f>"000346385 - RICHS TREAT AMERICA"</f>
        <v>000346385 - RICHS TREAT AMERICA</v>
      </c>
      <c r="C420" t="s">
        <v>1357</v>
      </c>
      <c r="D420" s="1" t="str">
        <f t="shared" si="11"/>
        <v>PRG-1013268</v>
      </c>
      <c r="E420" t="s">
        <v>41</v>
      </c>
      <c r="F420" t="s">
        <v>4</v>
      </c>
      <c r="G420" t="str">
        <f>""</f>
        <v/>
      </c>
    </row>
    <row r="421" spans="1:7" x14ac:dyDescent="0.25">
      <c r="A421" t="s">
        <v>8</v>
      </c>
      <c r="B421" s="1" t="str">
        <f>"000352250 - "</f>
        <v xml:space="preserve">000352250 - </v>
      </c>
      <c r="D421" s="1" t="str">
        <f t="shared" si="11"/>
        <v>PRG-1013268</v>
      </c>
      <c r="E421" t="s">
        <v>41</v>
      </c>
      <c r="F421" t="s">
        <v>4</v>
      </c>
      <c r="G421" t="str">
        <f>""</f>
        <v/>
      </c>
    </row>
    <row r="422" spans="1:7" x14ac:dyDescent="0.25">
      <c r="A422" t="s">
        <v>8</v>
      </c>
      <c r="B422" s="1" t="str">
        <f>"000372743 - RICHS TREAT AMERICA"</f>
        <v>000372743 - RICHS TREAT AMERICA</v>
      </c>
      <c r="C422" t="s">
        <v>1357</v>
      </c>
      <c r="D422" s="1" t="str">
        <f t="shared" si="11"/>
        <v>PRG-1013268</v>
      </c>
      <c r="E422" t="s">
        <v>41</v>
      </c>
      <c r="F422" t="s">
        <v>4</v>
      </c>
      <c r="G422" t="str">
        <f>""</f>
        <v/>
      </c>
    </row>
    <row r="423" spans="1:7" x14ac:dyDescent="0.25">
      <c r="A423" t="s">
        <v>8</v>
      </c>
      <c r="B423" s="1" t="str">
        <f>"2000135181 - RICHS-TREAT AMERICA"</f>
        <v>2000135181 - RICHS-TREAT AMERICA</v>
      </c>
      <c r="C423" t="s">
        <v>3856</v>
      </c>
      <c r="D423" s="1" t="str">
        <f t="shared" si="11"/>
        <v>PRG-1013268</v>
      </c>
      <c r="E423" t="s">
        <v>41</v>
      </c>
      <c r="F423" t="s">
        <v>4</v>
      </c>
      <c r="G423" t="str">
        <f>""</f>
        <v/>
      </c>
    </row>
    <row r="424" spans="1:7" x14ac:dyDescent="0.25">
      <c r="A424" t="s">
        <v>8</v>
      </c>
      <c r="B424" s="1" t="str">
        <f>"2000237561 - RICHS-TREAT AMERICA"</f>
        <v>2000237561 - RICHS-TREAT AMERICA</v>
      </c>
      <c r="C424" t="s">
        <v>3856</v>
      </c>
      <c r="D424" s="1" t="str">
        <f t="shared" si="11"/>
        <v>PRG-1013268</v>
      </c>
      <c r="E424" t="s">
        <v>41</v>
      </c>
      <c r="F424" t="s">
        <v>4</v>
      </c>
      <c r="G424" t="str">
        <f>""</f>
        <v/>
      </c>
    </row>
    <row r="425" spans="1:7" x14ac:dyDescent="0.25">
      <c r="A425" t="s">
        <v>8</v>
      </c>
      <c r="B425" s="1" t="str">
        <f>"2000239222 - RICHS-TREAT AMERICA"</f>
        <v>2000239222 - RICHS-TREAT AMERICA</v>
      </c>
      <c r="C425" t="s">
        <v>3856</v>
      </c>
      <c r="D425" s="1" t="str">
        <f t="shared" si="11"/>
        <v>PRG-1013268</v>
      </c>
      <c r="E425" t="s">
        <v>41</v>
      </c>
      <c r="F425" t="s">
        <v>4</v>
      </c>
      <c r="G425" t="str">
        <f>""</f>
        <v/>
      </c>
    </row>
    <row r="426" spans="1:7" x14ac:dyDescent="0.25">
      <c r="A426" t="s">
        <v>8</v>
      </c>
      <c r="B426" s="1" t="str">
        <f>"2000337312 - RICH FOODS-TREAT AMERICA"</f>
        <v>2000337312 - RICH FOODS-TREAT AMERICA</v>
      </c>
      <c r="C426" t="s">
        <v>40</v>
      </c>
      <c r="D426" s="1" t="str">
        <f t="shared" si="11"/>
        <v>PRG-1013268</v>
      </c>
      <c r="E426" t="s">
        <v>41</v>
      </c>
      <c r="F426" t="s">
        <v>4</v>
      </c>
      <c r="G426" t="str">
        <f>""</f>
        <v/>
      </c>
    </row>
    <row r="427" spans="1:7" x14ac:dyDescent="0.25">
      <c r="A427" t="s">
        <v>8</v>
      </c>
      <c r="B427" s="1" t="str">
        <f>"2000436093 - RICH FOODS-TREAT AMERICA"</f>
        <v>2000436093 - RICH FOODS-TREAT AMERICA</v>
      </c>
      <c r="C427" t="s">
        <v>40</v>
      </c>
      <c r="D427" s="1" t="str">
        <f t="shared" si="11"/>
        <v>PRG-1013268</v>
      </c>
      <c r="E427" t="s">
        <v>41</v>
      </c>
      <c r="F427" t="s">
        <v>4</v>
      </c>
      <c r="G427" t="str">
        <f>""</f>
        <v/>
      </c>
    </row>
    <row r="428" spans="1:7" x14ac:dyDescent="0.25">
      <c r="A428" t="s">
        <v>8</v>
      </c>
      <c r="B428" s="1" t="str">
        <f>"6026BZ51"</f>
        <v>6026BZ51</v>
      </c>
      <c r="C428" t="s">
        <v>5030</v>
      </c>
      <c r="D428" s="1" t="str">
        <f>"PRG-1013279"</f>
        <v>PRG-1013279</v>
      </c>
      <c r="E428" t="s">
        <v>5031</v>
      </c>
      <c r="F428" t="s">
        <v>5</v>
      </c>
      <c r="G428" t="str">
        <f>""</f>
        <v/>
      </c>
    </row>
    <row r="429" spans="1:7" x14ac:dyDescent="0.25">
      <c r="A429" t="s">
        <v>8</v>
      </c>
      <c r="B429" s="1" t="str">
        <f>"000252993 - VILLAGE INN RICH'S"</f>
        <v>000252993 - VILLAGE INN RICH'S</v>
      </c>
      <c r="C429" t="s">
        <v>1834</v>
      </c>
      <c r="D429" s="1" t="str">
        <f>"PRG-1013282"</f>
        <v>PRG-1013282</v>
      </c>
      <c r="E429" t="s">
        <v>17</v>
      </c>
      <c r="F429" t="s">
        <v>4</v>
      </c>
      <c r="G429" t="str">
        <f>""</f>
        <v/>
      </c>
    </row>
    <row r="430" spans="1:7" x14ac:dyDescent="0.25">
      <c r="A430" t="s">
        <v>8</v>
      </c>
      <c r="B430" s="1" t="str">
        <f>"2000134111 - RICHS STEAK N SHAKE"</f>
        <v>2000134111 - RICHS STEAK N SHAKE</v>
      </c>
      <c r="C430" t="s">
        <v>3853</v>
      </c>
      <c r="D430" s="1" t="str">
        <f>"PRG-1013284"</f>
        <v>PRG-1013284</v>
      </c>
      <c r="E430" t="s">
        <v>3854</v>
      </c>
      <c r="F430" t="s">
        <v>4</v>
      </c>
      <c r="G430" t="str">
        <f>""</f>
        <v/>
      </c>
    </row>
    <row r="431" spans="1:7" x14ac:dyDescent="0.25">
      <c r="A431" t="s">
        <v>8</v>
      </c>
      <c r="B431" s="1" t="str">
        <f>"000248635 - RICH PRODUCTS BUCKHORN"</f>
        <v>000248635 - RICH PRODUCTS BUCKHORN</v>
      </c>
      <c r="C431" t="s">
        <v>2047</v>
      </c>
      <c r="D431" s="1" t="str">
        <f>"PRG-1013296"</f>
        <v>PRG-1013296</v>
      </c>
      <c r="E431" t="s">
        <v>2048</v>
      </c>
      <c r="F431" t="s">
        <v>4</v>
      </c>
      <c r="G431" t="str">
        <f>""</f>
        <v/>
      </c>
    </row>
    <row r="432" spans="1:7" x14ac:dyDescent="0.25">
      <c r="A432" t="s">
        <v>8</v>
      </c>
      <c r="B432" s="1" t="str">
        <f>"2000152121 - RICH FOODS-CONTINENTAL AIR"</f>
        <v>2000152121 - RICH FOODS-CONTINENTAL AIR</v>
      </c>
      <c r="C432" t="s">
        <v>3871</v>
      </c>
      <c r="D432" s="1" t="str">
        <f>"PRG-1013299"</f>
        <v>PRG-1013299</v>
      </c>
      <c r="E432" t="s">
        <v>3872</v>
      </c>
      <c r="F432" t="s">
        <v>4</v>
      </c>
      <c r="G432" t="str">
        <f>""</f>
        <v/>
      </c>
    </row>
    <row r="433" spans="1:7" x14ac:dyDescent="0.25">
      <c r="A433" t="s">
        <v>8</v>
      </c>
      <c r="B433" s="1" t="str">
        <f>"2000223041 - RICHS-FS LOCAL OPERATOR"</f>
        <v>2000223041 - RICHS-FS LOCAL OPERATOR</v>
      </c>
      <c r="C433" t="s">
        <v>3968</v>
      </c>
      <c r="D433" s="1" t="str">
        <f>"PRG-1013299"</f>
        <v>PRG-1013299</v>
      </c>
      <c r="E433" t="s">
        <v>3872</v>
      </c>
      <c r="F433" t="s">
        <v>4</v>
      </c>
      <c r="G433" t="str">
        <f>""</f>
        <v/>
      </c>
    </row>
    <row r="434" spans="1:7" x14ac:dyDescent="0.25">
      <c r="A434" t="s">
        <v>8</v>
      </c>
      <c r="B434" s="1" t="str">
        <f>"2000292171 - RICH FOODS-CHELSEA CATERING"</f>
        <v>2000292171 - RICH FOODS-CHELSEA CATERING</v>
      </c>
      <c r="C434" t="s">
        <v>4023</v>
      </c>
      <c r="D434" s="1" t="str">
        <f>"PRG-1013299"</f>
        <v>PRG-1013299</v>
      </c>
      <c r="E434" t="s">
        <v>3872</v>
      </c>
      <c r="F434" t="s">
        <v>4</v>
      </c>
      <c r="G434" t="str">
        <f>""</f>
        <v/>
      </c>
    </row>
    <row r="435" spans="1:7" x14ac:dyDescent="0.25">
      <c r="A435" t="s">
        <v>8</v>
      </c>
      <c r="B435" s="1" t="str">
        <f>"2000152119 - RICH FOODS-GRAND PIZZA"</f>
        <v>2000152119 - RICH FOODS-GRAND PIZZA</v>
      </c>
      <c r="C435" t="s">
        <v>3869</v>
      </c>
      <c r="D435" s="1" t="str">
        <f>"PRG-1013300"</f>
        <v>PRG-1013300</v>
      </c>
      <c r="E435" t="s">
        <v>3870</v>
      </c>
      <c r="F435" t="s">
        <v>4</v>
      </c>
      <c r="G435" t="str">
        <f>""</f>
        <v/>
      </c>
    </row>
    <row r="436" spans="1:7" x14ac:dyDescent="0.25">
      <c r="A436" t="s">
        <v>8</v>
      </c>
      <c r="B436" s="1" t="str">
        <f>"000164816 - PRG1013321 HOLIDAY HAM-RICH"</f>
        <v>000164816 - PRG1013321 HOLIDAY HAM-RICH</v>
      </c>
      <c r="C436" t="s">
        <v>1062</v>
      </c>
      <c r="D436" s="1" t="str">
        <f>"PRG-1013321"</f>
        <v>PRG-1013321</v>
      </c>
      <c r="E436" t="s">
        <v>1063</v>
      </c>
      <c r="F436" t="s">
        <v>4</v>
      </c>
      <c r="G436" t="str">
        <f>""</f>
        <v/>
      </c>
    </row>
    <row r="437" spans="1:7" x14ac:dyDescent="0.25">
      <c r="A437" t="s">
        <v>8</v>
      </c>
      <c r="B437" s="1" t="str">
        <f>"000164814 - PRG1013323 UNCLE LOU'S-RICH"</f>
        <v>000164814 - PRG1013323 UNCLE LOU'S-RICH</v>
      </c>
      <c r="C437" t="s">
        <v>1060</v>
      </c>
      <c r="D437" s="1" t="str">
        <f>"PRG-1013323"</f>
        <v>PRG-1013323</v>
      </c>
      <c r="E437" t="s">
        <v>1061</v>
      </c>
      <c r="F437" t="s">
        <v>4</v>
      </c>
      <c r="G437" t="str">
        <f>""</f>
        <v/>
      </c>
    </row>
    <row r="438" spans="1:7" x14ac:dyDescent="0.25">
      <c r="A438" t="s">
        <v>8</v>
      </c>
      <c r="B438" s="1" t="str">
        <f>"000204448 - UNITED DELI&amp;GROCERY RICH"</f>
        <v>000204448 - UNITED DELI&amp;GROCERY RICH</v>
      </c>
      <c r="C438" t="s">
        <v>1350</v>
      </c>
      <c r="D438" s="1" t="str">
        <f>"PRG-1013324"</f>
        <v>PRG-1013324</v>
      </c>
      <c r="E438" t="s">
        <v>1351</v>
      </c>
      <c r="F438" t="s">
        <v>4</v>
      </c>
      <c r="G438" t="str">
        <f>""</f>
        <v/>
      </c>
    </row>
    <row r="439" spans="1:7" x14ac:dyDescent="0.25">
      <c r="A439" t="s">
        <v>8</v>
      </c>
      <c r="B439" s="1" t="str">
        <f>"000230937 - UNITED DELI&amp;GROCERY RICH"</f>
        <v>000230937 - UNITED DELI&amp;GROCERY RICH</v>
      </c>
      <c r="C439" t="s">
        <v>1350</v>
      </c>
      <c r="D439" s="1" t="str">
        <f>"PRG-1013324"</f>
        <v>PRG-1013324</v>
      </c>
      <c r="E439" t="s">
        <v>1351</v>
      </c>
      <c r="F439" t="s">
        <v>4</v>
      </c>
      <c r="G439" t="str">
        <f>""</f>
        <v/>
      </c>
    </row>
    <row r="440" spans="1:7" x14ac:dyDescent="0.25">
      <c r="A440" t="s">
        <v>8</v>
      </c>
      <c r="B440" s="1" t="str">
        <f>"2270RH07"</f>
        <v>2270RH07</v>
      </c>
      <c r="C440" t="s">
        <v>4484</v>
      </c>
      <c r="D440" s="1" t="str">
        <f>"PRG-1013329"</f>
        <v>PRG-1013329</v>
      </c>
      <c r="E440" t="s">
        <v>4485</v>
      </c>
      <c r="F440" t="s">
        <v>5</v>
      </c>
      <c r="G440" t="str">
        <f>""</f>
        <v/>
      </c>
    </row>
    <row r="441" spans="1:7" x14ac:dyDescent="0.25">
      <c r="A441" t="s">
        <v>8</v>
      </c>
      <c r="B441" s="1" t="str">
        <f>"000125806 - RICH DOWNTOWN GRILL"</f>
        <v>000125806 - RICH DOWNTOWN GRILL</v>
      </c>
      <c r="C441" t="s">
        <v>911</v>
      </c>
      <c r="D441" s="1" t="str">
        <f>"PRG-1013333"</f>
        <v>PRG-1013333</v>
      </c>
      <c r="E441" t="s">
        <v>912</v>
      </c>
      <c r="F441" t="s">
        <v>4</v>
      </c>
      <c r="G441" t="str">
        <f>""</f>
        <v/>
      </c>
    </row>
    <row r="442" spans="1:7" x14ac:dyDescent="0.25">
      <c r="A442" t="s">
        <v>8</v>
      </c>
      <c r="B442" s="1" t="str">
        <f>"3147B524"</f>
        <v>3147B524</v>
      </c>
      <c r="C442" t="s">
        <v>4657</v>
      </c>
      <c r="D442" s="1" t="str">
        <f>"PRG-1013335"</f>
        <v>PRG-1013335</v>
      </c>
      <c r="E442" t="s">
        <v>4658</v>
      </c>
      <c r="F442" t="s">
        <v>5</v>
      </c>
      <c r="G442" t="str">
        <f>""</f>
        <v/>
      </c>
    </row>
    <row r="443" spans="1:7" x14ac:dyDescent="0.25">
      <c r="A443" t="s">
        <v>8</v>
      </c>
      <c r="B443" s="1" t="str">
        <f>"000164818 - PRG1013338 BOSCOS RICH"</f>
        <v>000164818 - PRG1013338 BOSCOS RICH</v>
      </c>
      <c r="C443" t="s">
        <v>1064</v>
      </c>
      <c r="D443" s="1" t="str">
        <f>"PRG-1013338"</f>
        <v>PRG-1013338</v>
      </c>
      <c r="E443" t="s">
        <v>1065</v>
      </c>
      <c r="F443" t="s">
        <v>4</v>
      </c>
      <c r="G443" t="str">
        <f>""</f>
        <v/>
      </c>
    </row>
    <row r="444" spans="1:7" x14ac:dyDescent="0.25">
      <c r="A444" t="s">
        <v>8</v>
      </c>
      <c r="B444" s="1" t="str">
        <f>"000232816 - RICHS SUPER STOPS           EB"</f>
        <v>000232816 - RICHS SUPER STOPS           EB</v>
      </c>
      <c r="C444" t="s">
        <v>1793</v>
      </c>
      <c r="D444" s="1" t="str">
        <f>"PRG-1013339"</f>
        <v>PRG-1013339</v>
      </c>
      <c r="E444" t="s">
        <v>1794</v>
      </c>
      <c r="F444" t="s">
        <v>4</v>
      </c>
      <c r="G444" t="str">
        <f>""</f>
        <v/>
      </c>
    </row>
    <row r="445" spans="1:7" x14ac:dyDescent="0.25">
      <c r="A445" t="s">
        <v>8</v>
      </c>
      <c r="B445" s="1" t="str">
        <f>"000246123 - RICHS SUPER STOPS COUNTRY GIRL"</f>
        <v>000246123 - RICHS SUPER STOPS COUNTRY GIRL</v>
      </c>
      <c r="C445" t="s">
        <v>2017</v>
      </c>
      <c r="D445" s="1" t="str">
        <f>"PRG-1013339"</f>
        <v>PRG-1013339</v>
      </c>
      <c r="E445" t="s">
        <v>1794</v>
      </c>
      <c r="F445" t="s">
        <v>4</v>
      </c>
      <c r="G445" t="str">
        <f>""</f>
        <v/>
      </c>
    </row>
    <row r="446" spans="1:7" x14ac:dyDescent="0.25">
      <c r="A446" t="s">
        <v>8</v>
      </c>
      <c r="B446" s="1" t="str">
        <f>"000261038 - RICHS  COUNTRY GIRLS TRUCK STP"</f>
        <v>000261038 - RICHS  COUNTRY GIRLS TRUCK STP</v>
      </c>
      <c r="C446" t="s">
        <v>2276</v>
      </c>
      <c r="D446" s="1" t="str">
        <f>"PRG-1013339"</f>
        <v>PRG-1013339</v>
      </c>
      <c r="E446" t="s">
        <v>1794</v>
      </c>
      <c r="F446" t="s">
        <v>4</v>
      </c>
      <c r="G446" t="str">
        <f>""</f>
        <v/>
      </c>
    </row>
    <row r="447" spans="1:7" x14ac:dyDescent="0.25">
      <c r="A447" t="s">
        <v>8</v>
      </c>
      <c r="B447" s="1" t="str">
        <f>"000164819 - PRG1013356 GRECIAN RICH"</f>
        <v>000164819 - PRG1013356 GRECIAN RICH</v>
      </c>
      <c r="C447" t="s">
        <v>1066</v>
      </c>
      <c r="D447" s="1" t="str">
        <f>"PRG-1013356"</f>
        <v>PRG-1013356</v>
      </c>
      <c r="E447" t="s">
        <v>1067</v>
      </c>
      <c r="F447" t="s">
        <v>4</v>
      </c>
      <c r="G447" t="str">
        <f>""</f>
        <v/>
      </c>
    </row>
    <row r="448" spans="1:7" x14ac:dyDescent="0.25">
      <c r="A448" t="s">
        <v>8</v>
      </c>
      <c r="B448" s="1" t="str">
        <f>"000113153 - RICHS BISHOP GROUP"</f>
        <v>000113153 - RICHS BISHOP GROUP</v>
      </c>
      <c r="C448" t="s">
        <v>849</v>
      </c>
      <c r="D448" s="1" t="str">
        <f>"PRG-1013364"</f>
        <v>PRG-1013364</v>
      </c>
      <c r="E448" t="s">
        <v>850</v>
      </c>
      <c r="F448" t="s">
        <v>4</v>
      </c>
      <c r="G448" t="str">
        <f>""</f>
        <v/>
      </c>
    </row>
    <row r="449" spans="1:7" x14ac:dyDescent="0.25">
      <c r="A449" t="s">
        <v>8</v>
      </c>
      <c r="B449" s="1" t="str">
        <f>"000160341 - RICHS BISHOP GROUP"</f>
        <v>000160341 - RICHS BISHOP GROUP</v>
      </c>
      <c r="C449" t="s">
        <v>849</v>
      </c>
      <c r="D449" s="1" t="str">
        <f>"PRG-1013364"</f>
        <v>PRG-1013364</v>
      </c>
      <c r="E449" t="s">
        <v>850</v>
      </c>
      <c r="F449" t="s">
        <v>4</v>
      </c>
      <c r="G449" t="str">
        <f>""</f>
        <v/>
      </c>
    </row>
    <row r="450" spans="1:7" x14ac:dyDescent="0.25">
      <c r="A450" t="s">
        <v>8</v>
      </c>
      <c r="B450" s="1" t="str">
        <f>"000096721 - RICH PRODUCTS PAN SEAFOOD"</f>
        <v>000096721 - RICH PRODUCTS PAN SEAFOOD</v>
      </c>
      <c r="C450" t="s">
        <v>787</v>
      </c>
      <c r="D450" s="1" t="str">
        <f>"PRG-1013369"</f>
        <v>PRG-1013369</v>
      </c>
      <c r="E450" t="s">
        <v>788</v>
      </c>
      <c r="F450" t="s">
        <v>4</v>
      </c>
      <c r="G450" t="str">
        <f>""</f>
        <v/>
      </c>
    </row>
    <row r="451" spans="1:7" x14ac:dyDescent="0.25">
      <c r="A451" t="s">
        <v>8</v>
      </c>
      <c r="B451" s="1" t="str">
        <f>"000164852 - 1013376 DANVERS RICH"</f>
        <v>000164852 - 1013376 DANVERS RICH</v>
      </c>
      <c r="C451" t="s">
        <v>1070</v>
      </c>
      <c r="D451" s="1" t="str">
        <f>"PRG-1013376"</f>
        <v>PRG-1013376</v>
      </c>
      <c r="E451" t="s">
        <v>1071</v>
      </c>
      <c r="F451" t="s">
        <v>4</v>
      </c>
      <c r="G451" t="str">
        <f>""</f>
        <v/>
      </c>
    </row>
    <row r="452" spans="1:7" x14ac:dyDescent="0.25">
      <c r="A452" t="s">
        <v>8</v>
      </c>
      <c r="B452" s="1" t="str">
        <f>"000110783 - RICH PRODUCTS OZONES"</f>
        <v>000110783 - RICH PRODUCTS OZONES</v>
      </c>
      <c r="C452" t="s">
        <v>838</v>
      </c>
      <c r="D452" s="1" t="str">
        <f>"PRG-1013378"</f>
        <v>PRG-1013378</v>
      </c>
      <c r="E452" t="s">
        <v>839</v>
      </c>
      <c r="F452" t="s">
        <v>4</v>
      </c>
      <c r="G452" t="str">
        <f>""</f>
        <v/>
      </c>
    </row>
    <row r="453" spans="1:7" x14ac:dyDescent="0.25">
      <c r="A453" t="s">
        <v>8</v>
      </c>
      <c r="B453" s="1" t="str">
        <f>"000142057 - RICH PRODUCTS OZONES"</f>
        <v>000142057 - RICH PRODUCTS OZONES</v>
      </c>
      <c r="C453" t="s">
        <v>838</v>
      </c>
      <c r="D453" s="1" t="str">
        <f>"PRG-1013378"</f>
        <v>PRG-1013378</v>
      </c>
      <c r="E453" t="s">
        <v>839</v>
      </c>
      <c r="F453" t="s">
        <v>4</v>
      </c>
      <c r="G453" t="str">
        <f>""</f>
        <v/>
      </c>
    </row>
    <row r="454" spans="1:7" x14ac:dyDescent="0.25">
      <c r="A454" t="s">
        <v>8</v>
      </c>
      <c r="B454" s="1" t="str">
        <f>"000159158 - star buffet-rich products"</f>
        <v>000159158 - star buffet-rich products</v>
      </c>
      <c r="C454" t="s">
        <v>1036</v>
      </c>
      <c r="D454" s="1" t="str">
        <f t="shared" ref="D454:D461" si="12">"PRG-1013382"</f>
        <v>PRG-1013382</v>
      </c>
      <c r="E454" t="s">
        <v>532</v>
      </c>
      <c r="F454" t="s">
        <v>4</v>
      </c>
      <c r="G454" t="str">
        <f>""</f>
        <v/>
      </c>
    </row>
    <row r="455" spans="1:7" x14ac:dyDescent="0.25">
      <c r="A455" t="s">
        <v>8</v>
      </c>
      <c r="B455" s="1" t="str">
        <f>"000190854 - STAR BUFFET-RICH PRODUCTS"</f>
        <v>000190854 - STAR BUFFET-RICH PRODUCTS</v>
      </c>
      <c r="C455" t="s">
        <v>1207</v>
      </c>
      <c r="D455" s="1" t="str">
        <f t="shared" si="12"/>
        <v>PRG-1013382</v>
      </c>
      <c r="E455" t="s">
        <v>532</v>
      </c>
      <c r="F455" t="s">
        <v>4</v>
      </c>
      <c r="G455" t="str">
        <f>""</f>
        <v/>
      </c>
    </row>
    <row r="456" spans="1:7" x14ac:dyDescent="0.25">
      <c r="A456" t="s">
        <v>8</v>
      </c>
      <c r="B456" s="1" t="str">
        <f>"000217079 - STAR BUFFET(CORE)--RICH(OR)"</f>
        <v>000217079 - STAR BUFFET(CORE)--RICH(OR)</v>
      </c>
      <c r="C456" t="s">
        <v>1549</v>
      </c>
      <c r="D456" s="1" t="str">
        <f t="shared" si="12"/>
        <v>PRG-1013382</v>
      </c>
      <c r="E456" t="s">
        <v>532</v>
      </c>
      <c r="F456" t="s">
        <v>4</v>
      </c>
      <c r="G456" t="str">
        <f>""</f>
        <v/>
      </c>
    </row>
    <row r="457" spans="1:7" x14ac:dyDescent="0.25">
      <c r="A457" t="s">
        <v>8</v>
      </c>
      <c r="B457" s="1" t="str">
        <f>"000238022 - RICHS STAR BUFFET  1013382"</f>
        <v>000238022 - RICHS STAR BUFFET  1013382</v>
      </c>
      <c r="C457" t="s">
        <v>1875</v>
      </c>
      <c r="D457" s="1" t="str">
        <f t="shared" si="12"/>
        <v>PRG-1013382</v>
      </c>
      <c r="E457" t="s">
        <v>532</v>
      </c>
      <c r="F457" t="s">
        <v>4</v>
      </c>
      <c r="G457" t="str">
        <f>""</f>
        <v/>
      </c>
    </row>
    <row r="458" spans="1:7" x14ac:dyDescent="0.25">
      <c r="A458" t="s">
        <v>8</v>
      </c>
      <c r="B458" s="1" t="str">
        <f>"2000181627 - RICH PRODUCTS-STAR BUFFET"</f>
        <v>2000181627 - RICH PRODUCTS-STAR BUFFET</v>
      </c>
      <c r="C458" t="s">
        <v>3901</v>
      </c>
      <c r="D458" s="1" t="str">
        <f t="shared" si="12"/>
        <v>PRG-1013382</v>
      </c>
      <c r="E458" t="s">
        <v>532</v>
      </c>
      <c r="F458" t="s">
        <v>4</v>
      </c>
      <c r="G458" t="str">
        <f>""</f>
        <v/>
      </c>
    </row>
    <row r="459" spans="1:7" x14ac:dyDescent="0.25">
      <c r="A459" t="s">
        <v>8</v>
      </c>
      <c r="B459" s="1" t="str">
        <f>"2000229105 - RICH PRODUCTS-STAR BUFFET"</f>
        <v>2000229105 - RICH PRODUCTS-STAR BUFFET</v>
      </c>
      <c r="C459" t="s">
        <v>3901</v>
      </c>
      <c r="D459" s="1" t="str">
        <f t="shared" si="12"/>
        <v>PRG-1013382</v>
      </c>
      <c r="E459" t="s">
        <v>532</v>
      </c>
      <c r="F459" t="s">
        <v>4</v>
      </c>
      <c r="G459" t="str">
        <f>""</f>
        <v/>
      </c>
    </row>
    <row r="460" spans="1:7" x14ac:dyDescent="0.25">
      <c r="A460" t="s">
        <v>8</v>
      </c>
      <c r="B460" s="1" t="str">
        <f>"2000276202 - RICH FOODS-STAR BUFFET"</f>
        <v>2000276202 - RICH FOODS-STAR BUFFET</v>
      </c>
      <c r="C460" t="s">
        <v>531</v>
      </c>
      <c r="D460" s="1" t="str">
        <f t="shared" si="12"/>
        <v>PRG-1013382</v>
      </c>
      <c r="E460" t="s">
        <v>532</v>
      </c>
      <c r="F460" t="s">
        <v>4</v>
      </c>
      <c r="G460" t="str">
        <f>""</f>
        <v/>
      </c>
    </row>
    <row r="461" spans="1:7" x14ac:dyDescent="0.25">
      <c r="A461" t="s">
        <v>8</v>
      </c>
      <c r="B461" s="1" t="str">
        <f>"3147B570"</f>
        <v>3147B570</v>
      </c>
      <c r="C461" t="s">
        <v>4659</v>
      </c>
      <c r="D461" s="1" t="str">
        <f t="shared" si="12"/>
        <v>PRG-1013382</v>
      </c>
      <c r="E461" t="s">
        <v>532</v>
      </c>
      <c r="F461" t="s">
        <v>5</v>
      </c>
      <c r="G461" t="str">
        <f>""</f>
        <v/>
      </c>
    </row>
    <row r="462" spans="1:7" x14ac:dyDescent="0.25">
      <c r="A462" t="s">
        <v>8</v>
      </c>
      <c r="B462" s="1" t="str">
        <f>"2000152435 - RICH FDS BEAU RIVAGE"</f>
        <v>2000152435 - RICH FDS BEAU RIVAGE</v>
      </c>
      <c r="C462" t="s">
        <v>1386</v>
      </c>
      <c r="D462" s="1" t="str">
        <f>"PRG-1013428"</f>
        <v>PRG-1013428</v>
      </c>
      <c r="E462" t="s">
        <v>3874</v>
      </c>
      <c r="F462" t="s">
        <v>4</v>
      </c>
      <c r="G462" t="str">
        <f>""</f>
        <v/>
      </c>
    </row>
    <row r="463" spans="1:7" x14ac:dyDescent="0.25">
      <c r="A463" t="s">
        <v>8</v>
      </c>
      <c r="B463" s="1" t="str">
        <f>"2000230089 - RICH FOODS-BEAU RIVAGE 1290"</f>
        <v>2000230089 - RICH FOODS-BEAU RIVAGE 1290</v>
      </c>
      <c r="C463" t="s">
        <v>3982</v>
      </c>
      <c r="D463" s="1" t="str">
        <f>"PRG-1013428"</f>
        <v>PRG-1013428</v>
      </c>
      <c r="E463" t="s">
        <v>3874</v>
      </c>
      <c r="F463" t="s">
        <v>4</v>
      </c>
      <c r="G463" t="str">
        <f>""</f>
        <v/>
      </c>
    </row>
    <row r="464" spans="1:7" x14ac:dyDescent="0.25">
      <c r="A464" t="s">
        <v>8</v>
      </c>
      <c r="B464" s="1" t="str">
        <f>"000314384 - RICH AZUSA PACIFIC VNIV"</f>
        <v>000314384 - RICH AZUSA PACIFIC VNIV</v>
      </c>
      <c r="C464" t="s">
        <v>3158</v>
      </c>
      <c r="D464" s="1" t="str">
        <f>"PRG-1013435"</f>
        <v>PRG-1013435</v>
      </c>
      <c r="E464" t="s">
        <v>3159</v>
      </c>
      <c r="F464" t="s">
        <v>4</v>
      </c>
      <c r="G464" t="str">
        <f>""</f>
        <v/>
      </c>
    </row>
    <row r="465" spans="1:7" x14ac:dyDescent="0.25">
      <c r="A465" t="s">
        <v>8</v>
      </c>
      <c r="B465" s="1" t="str">
        <f>"000336623 - RICH AZUSA PACIFIC VNIV"</f>
        <v>000336623 - RICH AZUSA PACIFIC VNIV</v>
      </c>
      <c r="C465" t="s">
        <v>3158</v>
      </c>
      <c r="D465" s="1" t="str">
        <f>"PRG-1013435"</f>
        <v>PRG-1013435</v>
      </c>
      <c r="E465" t="s">
        <v>3159</v>
      </c>
      <c r="F465" t="s">
        <v>4</v>
      </c>
      <c r="G465" t="str">
        <f>""</f>
        <v/>
      </c>
    </row>
    <row r="466" spans="1:7" x14ac:dyDescent="0.25">
      <c r="A466" t="s">
        <v>8</v>
      </c>
      <c r="B466" s="1" t="str">
        <f>"000299706 - RICH-DC GOLDEN BOY (2 DEALS)"</f>
        <v>000299706 - RICH-DC GOLDEN BOY (2 DEALS)</v>
      </c>
      <c r="C466" t="s">
        <v>2957</v>
      </c>
      <c r="D466" s="1" t="str">
        <f>"PRG-1013465"</f>
        <v>PRG-1013465</v>
      </c>
      <c r="E466" t="s">
        <v>2958</v>
      </c>
      <c r="F466" t="s">
        <v>4</v>
      </c>
      <c r="G466" t="str">
        <f>""</f>
        <v/>
      </c>
    </row>
    <row r="467" spans="1:7" x14ac:dyDescent="0.25">
      <c r="A467" t="s">
        <v>8</v>
      </c>
      <c r="B467" s="1" t="str">
        <f>"000345436 - "</f>
        <v xml:space="preserve">000345436 - </v>
      </c>
      <c r="D467" s="1" t="str">
        <f>"PRG-1013465"</f>
        <v>PRG-1013465</v>
      </c>
      <c r="E467" t="s">
        <v>2958</v>
      </c>
      <c r="F467" t="s">
        <v>4</v>
      </c>
      <c r="G467" t="str">
        <f>""</f>
        <v/>
      </c>
    </row>
    <row r="468" spans="1:7" x14ac:dyDescent="0.25">
      <c r="A468" t="s">
        <v>8</v>
      </c>
      <c r="B468" s="1" t="str">
        <f>"000190028 - UNIV OF MICH RICH PRODUCTS"</f>
        <v>000190028 - UNIV OF MICH RICH PRODUCTS</v>
      </c>
      <c r="C468" t="s">
        <v>1194</v>
      </c>
      <c r="D468" s="1" t="str">
        <f>"PRG-1013515"</f>
        <v>PRG-1013515</v>
      </c>
      <c r="E468" t="s">
        <v>1196</v>
      </c>
      <c r="F468" t="s">
        <v>4</v>
      </c>
      <c r="G468" t="str">
        <f>""</f>
        <v/>
      </c>
    </row>
    <row r="469" spans="1:7" x14ac:dyDescent="0.25">
      <c r="A469" t="s">
        <v>8</v>
      </c>
      <c r="B469" s="1" t="str">
        <f>"000251803 - RICH-RDC DEL DUFFY'S"</f>
        <v>000251803 - RICH-RDC DEL DUFFY'S</v>
      </c>
      <c r="C469" t="s">
        <v>2119</v>
      </c>
      <c r="D469" s="1" t="str">
        <f>"PRG-1013539"</f>
        <v>PRG-1013539</v>
      </c>
      <c r="E469" t="s">
        <v>2120</v>
      </c>
      <c r="F469" t="s">
        <v>4</v>
      </c>
      <c r="G469" t="str">
        <f>""</f>
        <v/>
      </c>
    </row>
    <row r="470" spans="1:7" x14ac:dyDescent="0.25">
      <c r="A470" t="s">
        <v>8</v>
      </c>
      <c r="B470" s="1" t="str">
        <f>"000281901 - RICH-RDC DEL DUFFY'S"</f>
        <v>000281901 - RICH-RDC DEL DUFFY'S</v>
      </c>
      <c r="C470" t="s">
        <v>2119</v>
      </c>
      <c r="D470" s="1" t="str">
        <f>"PRG-1013539"</f>
        <v>PRG-1013539</v>
      </c>
      <c r="E470" t="s">
        <v>2120</v>
      </c>
      <c r="F470" t="s">
        <v>4</v>
      </c>
      <c r="G470" t="str">
        <f>""</f>
        <v/>
      </c>
    </row>
    <row r="471" spans="1:7" x14ac:dyDescent="0.25">
      <c r="A471" t="s">
        <v>8</v>
      </c>
      <c r="B471" s="1" t="str">
        <f>"000281902 - RICH-RDC DEL DUFFY'S"</f>
        <v>000281902 - RICH-RDC DEL DUFFY'S</v>
      </c>
      <c r="C471" t="s">
        <v>2119</v>
      </c>
      <c r="D471" s="1" t="str">
        <f>"PRG-1013539"</f>
        <v>PRG-1013539</v>
      </c>
      <c r="E471" t="s">
        <v>2120</v>
      </c>
      <c r="F471" t="s">
        <v>4</v>
      </c>
      <c r="G471" t="str">
        <f>""</f>
        <v/>
      </c>
    </row>
    <row r="472" spans="1:7" x14ac:dyDescent="0.25">
      <c r="A472" t="s">
        <v>8</v>
      </c>
      <c r="B472" s="1" t="str">
        <f>"000298672 - "</f>
        <v xml:space="preserve">000298672 - </v>
      </c>
      <c r="D472" s="1" t="str">
        <f>"PRG-1013539"</f>
        <v>PRG-1013539</v>
      </c>
      <c r="E472" t="s">
        <v>2120</v>
      </c>
      <c r="F472" t="s">
        <v>4</v>
      </c>
      <c r="G472" t="str">
        <f>""</f>
        <v/>
      </c>
    </row>
    <row r="473" spans="1:7" x14ac:dyDescent="0.25">
      <c r="A473" t="s">
        <v>8</v>
      </c>
      <c r="B473" s="1" t="str">
        <f>"000261904 - FUDDRUCKERS - RICH PRODUCTS"</f>
        <v>000261904 - FUDDRUCKERS - RICH PRODUCTS</v>
      </c>
      <c r="C473" t="s">
        <v>2298</v>
      </c>
      <c r="D473" s="1" t="str">
        <f>"PRG-1013541"</f>
        <v>PRG-1013541</v>
      </c>
      <c r="E473" t="s">
        <v>2299</v>
      </c>
      <c r="F473" t="s">
        <v>4</v>
      </c>
      <c r="G473" t="str">
        <f>""</f>
        <v/>
      </c>
    </row>
    <row r="474" spans="1:7" x14ac:dyDescent="0.25">
      <c r="A474" t="s">
        <v>8</v>
      </c>
      <c r="B474" s="1" t="str">
        <f>"000004744 - RICH FOODS CBB-LANDRYS"</f>
        <v>000004744 - RICH FOODS CBB-LANDRYS</v>
      </c>
      <c r="C474" t="s">
        <v>198</v>
      </c>
      <c r="D474" s="1" t="str">
        <f t="shared" ref="D474:D537" si="13">"PRG-1013553"</f>
        <v>PRG-1013553</v>
      </c>
      <c r="E474" t="s">
        <v>202</v>
      </c>
      <c r="F474" t="s">
        <v>4</v>
      </c>
      <c r="G474" t="str">
        <f>""</f>
        <v/>
      </c>
    </row>
    <row r="475" spans="1:7" x14ac:dyDescent="0.25">
      <c r="A475" t="s">
        <v>8</v>
      </c>
      <c r="B475" s="1" t="str">
        <f>"000024317 - RICH FOODS-LANDRYS"</f>
        <v>000024317 - RICH FOODS-LANDRYS</v>
      </c>
      <c r="C475" t="s">
        <v>435</v>
      </c>
      <c r="D475" s="1" t="str">
        <f t="shared" si="13"/>
        <v>PRG-1013553</v>
      </c>
      <c r="E475" t="s">
        <v>202</v>
      </c>
      <c r="F475" t="s">
        <v>4</v>
      </c>
      <c r="G475" t="str">
        <f>""</f>
        <v/>
      </c>
    </row>
    <row r="476" spans="1:7" x14ac:dyDescent="0.25">
      <c r="A476" t="s">
        <v>8</v>
      </c>
      <c r="B476" s="1" t="str">
        <f>"000042921 - RICH FOODS NONCORE-LANDRYS"</f>
        <v>000042921 - RICH FOODS NONCORE-LANDRYS</v>
      </c>
      <c r="C476" t="s">
        <v>594</v>
      </c>
      <c r="D476" s="1" t="str">
        <f t="shared" si="13"/>
        <v>PRG-1013553</v>
      </c>
      <c r="E476" t="s">
        <v>202</v>
      </c>
      <c r="F476" t="s">
        <v>4</v>
      </c>
      <c r="G476" t="str">
        <f>""</f>
        <v/>
      </c>
    </row>
    <row r="477" spans="1:7" x14ac:dyDescent="0.25">
      <c r="A477" t="s">
        <v>8</v>
      </c>
      <c r="B477" s="1" t="str">
        <f>"000051748 - RICH FOODS CORE-LANDRYS"</f>
        <v>000051748 - RICH FOODS CORE-LANDRYS</v>
      </c>
      <c r="C477" t="s">
        <v>662</v>
      </c>
      <c r="D477" s="1" t="str">
        <f t="shared" si="13"/>
        <v>PRG-1013553</v>
      </c>
      <c r="E477" t="s">
        <v>202</v>
      </c>
      <c r="F477" t="s">
        <v>4</v>
      </c>
      <c r="G477" t="str">
        <f>""</f>
        <v/>
      </c>
    </row>
    <row r="478" spans="1:7" x14ac:dyDescent="0.25">
      <c r="A478" t="s">
        <v>8</v>
      </c>
      <c r="B478" s="1" t="str">
        <f>"000051749 - RICH FOODS NONCORE-LANDRYS"</f>
        <v>000051749 - RICH FOODS NONCORE-LANDRYS</v>
      </c>
      <c r="C478" t="s">
        <v>594</v>
      </c>
      <c r="D478" s="1" t="str">
        <f t="shared" si="13"/>
        <v>PRG-1013553</v>
      </c>
      <c r="E478" t="s">
        <v>202</v>
      </c>
      <c r="F478" t="s">
        <v>4</v>
      </c>
      <c r="G478" t="str">
        <f>""</f>
        <v/>
      </c>
    </row>
    <row r="479" spans="1:7" x14ac:dyDescent="0.25">
      <c r="A479" t="s">
        <v>8</v>
      </c>
      <c r="B479" s="1" t="str">
        <f>"000058470 - RICH FOODS NC BB-LANDRYS"</f>
        <v>000058470 - RICH FOODS NC BB-LANDRYS</v>
      </c>
      <c r="C479" t="s">
        <v>692</v>
      </c>
      <c r="D479" s="1" t="str">
        <f t="shared" si="13"/>
        <v>PRG-1013553</v>
      </c>
      <c r="E479" t="s">
        <v>202</v>
      </c>
      <c r="F479" t="s">
        <v>4</v>
      </c>
      <c r="G479" t="str">
        <f>""</f>
        <v/>
      </c>
    </row>
    <row r="480" spans="1:7" x14ac:dyDescent="0.25">
      <c r="A480" t="s">
        <v>8</v>
      </c>
      <c r="B480" s="1" t="str">
        <f>"000059410 - RICH FOODS C BB-LANDRYS"</f>
        <v>000059410 - RICH FOODS C BB-LANDRYS</v>
      </c>
      <c r="C480" t="s">
        <v>697</v>
      </c>
      <c r="D480" s="1" t="str">
        <f t="shared" si="13"/>
        <v>PRG-1013553</v>
      </c>
      <c r="E480" t="s">
        <v>202</v>
      </c>
      <c r="F480" t="s">
        <v>4</v>
      </c>
      <c r="G480" t="str">
        <f>""</f>
        <v/>
      </c>
    </row>
    <row r="481" spans="1:7" x14ac:dyDescent="0.25">
      <c r="A481" t="s">
        <v>8</v>
      </c>
      <c r="B481" s="1" t="str">
        <f>"000059568 - RICH FOODS C BB-LANDRYS"</f>
        <v>000059568 - RICH FOODS C BB-LANDRYS</v>
      </c>
      <c r="C481" t="s">
        <v>697</v>
      </c>
      <c r="D481" s="1" t="str">
        <f t="shared" si="13"/>
        <v>PRG-1013553</v>
      </c>
      <c r="E481" t="s">
        <v>202</v>
      </c>
      <c r="F481" t="s">
        <v>4</v>
      </c>
      <c r="G481" t="str">
        <f>""</f>
        <v/>
      </c>
    </row>
    <row r="482" spans="1:7" x14ac:dyDescent="0.25">
      <c r="A482" t="s">
        <v>8</v>
      </c>
      <c r="B482" s="1" t="str">
        <f>"000062019 - RICH FOODS NCBB-LANDRYS"</f>
        <v>000062019 - RICH FOODS NCBB-LANDRYS</v>
      </c>
      <c r="C482" t="s">
        <v>201</v>
      </c>
      <c r="D482" s="1" t="str">
        <f t="shared" si="13"/>
        <v>PRG-1013553</v>
      </c>
      <c r="E482" t="s">
        <v>202</v>
      </c>
      <c r="F482" t="s">
        <v>4</v>
      </c>
      <c r="G482" t="str">
        <f>""</f>
        <v/>
      </c>
    </row>
    <row r="483" spans="1:7" x14ac:dyDescent="0.25">
      <c r="A483" t="s">
        <v>8</v>
      </c>
      <c r="B483" s="1" t="str">
        <f>"000062337 - RICH FOODS CBB-LANDRYS"</f>
        <v>000062337 - RICH FOODS CBB-LANDRYS</v>
      </c>
      <c r="C483" t="s">
        <v>198</v>
      </c>
      <c r="D483" s="1" t="str">
        <f t="shared" si="13"/>
        <v>PRG-1013553</v>
      </c>
      <c r="E483" t="s">
        <v>202</v>
      </c>
      <c r="F483" t="s">
        <v>4</v>
      </c>
      <c r="G483" t="str">
        <f>""</f>
        <v/>
      </c>
    </row>
    <row r="484" spans="1:7" x14ac:dyDescent="0.25">
      <c r="A484" t="s">
        <v>8</v>
      </c>
      <c r="B484" s="1" t="str">
        <f>"000062830 - RICH FOODS CBB-LANDRYS"</f>
        <v>000062830 - RICH FOODS CBB-LANDRYS</v>
      </c>
      <c r="C484" t="s">
        <v>198</v>
      </c>
      <c r="D484" s="1" t="str">
        <f t="shared" si="13"/>
        <v>PRG-1013553</v>
      </c>
      <c r="E484" t="s">
        <v>202</v>
      </c>
      <c r="F484" t="s">
        <v>4</v>
      </c>
      <c r="G484" t="str">
        <f>""</f>
        <v/>
      </c>
    </row>
    <row r="485" spans="1:7" x14ac:dyDescent="0.25">
      <c r="A485" t="s">
        <v>8</v>
      </c>
      <c r="B485" s="1" t="str">
        <f>"000084734 - RICH FOODS-LANDRYS"</f>
        <v>000084734 - RICH FOODS-LANDRYS</v>
      </c>
      <c r="C485" t="s">
        <v>435</v>
      </c>
      <c r="D485" s="1" t="str">
        <f t="shared" si="13"/>
        <v>PRG-1013553</v>
      </c>
      <c r="E485" t="s">
        <v>202</v>
      </c>
      <c r="F485" t="s">
        <v>4</v>
      </c>
      <c r="G485" t="str">
        <f>""</f>
        <v/>
      </c>
    </row>
    <row r="486" spans="1:7" x14ac:dyDescent="0.25">
      <c r="A486" t="s">
        <v>8</v>
      </c>
      <c r="B486" s="1" t="str">
        <f>"000102008 - RICH FOODS NONCORE-LANDRYS"</f>
        <v>000102008 - RICH FOODS NONCORE-LANDRYS</v>
      </c>
      <c r="C486" t="s">
        <v>594</v>
      </c>
      <c r="D486" s="1" t="str">
        <f t="shared" si="13"/>
        <v>PRG-1013553</v>
      </c>
      <c r="E486" t="s">
        <v>202</v>
      </c>
      <c r="F486" t="s">
        <v>4</v>
      </c>
      <c r="G486" t="str">
        <f>""</f>
        <v/>
      </c>
    </row>
    <row r="487" spans="1:7" x14ac:dyDescent="0.25">
      <c r="A487" t="s">
        <v>8</v>
      </c>
      <c r="B487" s="1" t="str">
        <f>"000110335 - RICH FOODS CORE-LANDRYS"</f>
        <v>000110335 - RICH FOODS CORE-LANDRYS</v>
      </c>
      <c r="C487" t="s">
        <v>662</v>
      </c>
      <c r="D487" s="1" t="str">
        <f t="shared" si="13"/>
        <v>PRG-1013553</v>
      </c>
      <c r="E487" t="s">
        <v>202</v>
      </c>
      <c r="F487" t="s">
        <v>4</v>
      </c>
      <c r="G487" t="str">
        <f>""</f>
        <v/>
      </c>
    </row>
    <row r="488" spans="1:7" x14ac:dyDescent="0.25">
      <c r="A488" t="s">
        <v>8</v>
      </c>
      <c r="B488" s="1" t="str">
        <f>"000117392 - RICH FOODS C BB-LANDRYS"</f>
        <v>000117392 - RICH FOODS C BB-LANDRYS</v>
      </c>
      <c r="C488" t="s">
        <v>697</v>
      </c>
      <c r="D488" s="1" t="str">
        <f t="shared" si="13"/>
        <v>PRG-1013553</v>
      </c>
      <c r="E488" t="s">
        <v>202</v>
      </c>
      <c r="F488" t="s">
        <v>4</v>
      </c>
      <c r="G488" t="str">
        <f>""</f>
        <v/>
      </c>
    </row>
    <row r="489" spans="1:7" x14ac:dyDescent="0.25">
      <c r="A489" t="s">
        <v>8</v>
      </c>
      <c r="B489" s="1" t="str">
        <f>"000117482 - RICH FOODS C BB-LANDRYS"</f>
        <v>000117482 - RICH FOODS C BB-LANDRYS</v>
      </c>
      <c r="C489" t="s">
        <v>697</v>
      </c>
      <c r="D489" s="1" t="str">
        <f t="shared" si="13"/>
        <v>PRG-1013553</v>
      </c>
      <c r="E489" t="s">
        <v>202</v>
      </c>
      <c r="F489" t="s">
        <v>4</v>
      </c>
      <c r="G489" t="str">
        <f>""</f>
        <v/>
      </c>
    </row>
    <row r="490" spans="1:7" x14ac:dyDescent="0.25">
      <c r="A490" t="s">
        <v>8</v>
      </c>
      <c r="B490" s="1" t="str">
        <f>"000119968 - RICH FOODS CBB-LANDRYS"</f>
        <v>000119968 - RICH FOODS CBB-LANDRYS</v>
      </c>
      <c r="C490" t="s">
        <v>198</v>
      </c>
      <c r="D490" s="1" t="str">
        <f t="shared" si="13"/>
        <v>PRG-1013553</v>
      </c>
      <c r="E490" t="s">
        <v>202</v>
      </c>
      <c r="F490" t="s">
        <v>4</v>
      </c>
      <c r="G490" t="str">
        <f>""</f>
        <v/>
      </c>
    </row>
    <row r="491" spans="1:7" x14ac:dyDescent="0.25">
      <c r="A491" t="s">
        <v>8</v>
      </c>
      <c r="B491" s="1" t="str">
        <f>"000120358 - RICH FOODS CBB-LANDRYS"</f>
        <v>000120358 - RICH FOODS CBB-LANDRYS</v>
      </c>
      <c r="C491" t="s">
        <v>198</v>
      </c>
      <c r="D491" s="1" t="str">
        <f t="shared" si="13"/>
        <v>PRG-1013553</v>
      </c>
      <c r="E491" t="s">
        <v>202</v>
      </c>
      <c r="F491" t="s">
        <v>4</v>
      </c>
      <c r="G491" t="str">
        <f>""</f>
        <v/>
      </c>
    </row>
    <row r="492" spans="1:7" x14ac:dyDescent="0.25">
      <c r="A492" t="s">
        <v>8</v>
      </c>
      <c r="B492" s="1" t="str">
        <f>"000171258 - RICH FOODS-LANDRYS"</f>
        <v>000171258 - RICH FOODS-LANDRYS</v>
      </c>
      <c r="C492" t="s">
        <v>435</v>
      </c>
      <c r="D492" s="1" t="str">
        <f t="shared" si="13"/>
        <v>PRG-1013553</v>
      </c>
      <c r="E492" t="s">
        <v>202</v>
      </c>
      <c r="F492" t="s">
        <v>4</v>
      </c>
      <c r="G492" t="str">
        <f>""</f>
        <v/>
      </c>
    </row>
    <row r="493" spans="1:7" x14ac:dyDescent="0.25">
      <c r="A493" t="s">
        <v>8</v>
      </c>
      <c r="B493" s="1" t="str">
        <f>"000180678 - RICH FOODS-LANDRYS"</f>
        <v>000180678 - RICH FOODS-LANDRYS</v>
      </c>
      <c r="C493" t="s">
        <v>435</v>
      </c>
      <c r="D493" s="1" t="str">
        <f t="shared" si="13"/>
        <v>PRG-1013553</v>
      </c>
      <c r="E493" t="s">
        <v>202</v>
      </c>
      <c r="F493" t="s">
        <v>4</v>
      </c>
      <c r="G493" t="str">
        <f>""</f>
        <v/>
      </c>
    </row>
    <row r="494" spans="1:7" x14ac:dyDescent="0.25">
      <c r="A494" t="s">
        <v>8</v>
      </c>
      <c r="B494" s="1" t="str">
        <f>"000190763 - RICH FOODS NONCORE-LANDRYS"</f>
        <v>000190763 - RICH FOODS NONCORE-LANDRYS</v>
      </c>
      <c r="C494" t="s">
        <v>594</v>
      </c>
      <c r="D494" s="1" t="str">
        <f t="shared" si="13"/>
        <v>PRG-1013553</v>
      </c>
      <c r="E494" t="s">
        <v>202</v>
      </c>
      <c r="F494" t="s">
        <v>4</v>
      </c>
      <c r="G494" t="str">
        <f>""</f>
        <v/>
      </c>
    </row>
    <row r="495" spans="1:7" x14ac:dyDescent="0.25">
      <c r="A495" t="s">
        <v>8</v>
      </c>
      <c r="B495" s="1" t="str">
        <f>"000191723 - BB LANDRYS FOB RICH"</f>
        <v>000191723 - BB LANDRYS FOB RICH</v>
      </c>
      <c r="C495" t="s">
        <v>1216</v>
      </c>
      <c r="D495" s="1" t="str">
        <f t="shared" si="13"/>
        <v>PRG-1013553</v>
      </c>
      <c r="E495" t="s">
        <v>202</v>
      </c>
      <c r="F495" t="s">
        <v>4</v>
      </c>
      <c r="G495" t="str">
        <f>""</f>
        <v/>
      </c>
    </row>
    <row r="496" spans="1:7" x14ac:dyDescent="0.25">
      <c r="A496" t="s">
        <v>8</v>
      </c>
      <c r="B496" s="1" t="str">
        <f>"000197989 - RICH FOODS NONCORE-LANDRYS"</f>
        <v>000197989 - RICH FOODS NONCORE-LANDRYS</v>
      </c>
      <c r="C496" t="s">
        <v>594</v>
      </c>
      <c r="D496" s="1" t="str">
        <f t="shared" si="13"/>
        <v>PRG-1013553</v>
      </c>
      <c r="E496" t="s">
        <v>202</v>
      </c>
      <c r="F496" t="s">
        <v>4</v>
      </c>
      <c r="G496" t="str">
        <f>""</f>
        <v/>
      </c>
    </row>
    <row r="497" spans="1:7" x14ac:dyDescent="0.25">
      <c r="A497" t="s">
        <v>8</v>
      </c>
      <c r="B497" s="1" t="str">
        <f>"000198047 - RICH FOODS-LANDRYS"</f>
        <v>000198047 - RICH FOODS-LANDRYS</v>
      </c>
      <c r="C497" t="s">
        <v>435</v>
      </c>
      <c r="D497" s="1" t="str">
        <f t="shared" si="13"/>
        <v>PRG-1013553</v>
      </c>
      <c r="E497" t="s">
        <v>202</v>
      </c>
      <c r="F497" t="s">
        <v>4</v>
      </c>
      <c r="G497" t="str">
        <f>""</f>
        <v/>
      </c>
    </row>
    <row r="498" spans="1:7" x14ac:dyDescent="0.25">
      <c r="A498" t="s">
        <v>8</v>
      </c>
      <c r="B498" s="1" t="str">
        <f>"000198166 - RICH FOODS-LANDRYS"</f>
        <v>000198166 - RICH FOODS-LANDRYS</v>
      </c>
      <c r="C498" t="s">
        <v>435</v>
      </c>
      <c r="D498" s="1" t="str">
        <f t="shared" si="13"/>
        <v>PRG-1013553</v>
      </c>
      <c r="E498" t="s">
        <v>202</v>
      </c>
      <c r="F498" t="s">
        <v>4</v>
      </c>
      <c r="G498" t="str">
        <f>""</f>
        <v/>
      </c>
    </row>
    <row r="499" spans="1:7" x14ac:dyDescent="0.25">
      <c r="A499" t="s">
        <v>8</v>
      </c>
      <c r="B499" s="1" t="str">
        <f>"000198795 - LANDRYS FOB RICH"</f>
        <v>000198795 - LANDRYS FOB RICH</v>
      </c>
      <c r="C499" t="s">
        <v>1287</v>
      </c>
      <c r="D499" s="1" t="str">
        <f t="shared" si="13"/>
        <v>PRG-1013553</v>
      </c>
      <c r="E499" t="s">
        <v>202</v>
      </c>
      <c r="F499" t="s">
        <v>4</v>
      </c>
      <c r="G499" t="str">
        <f>""</f>
        <v/>
      </c>
    </row>
    <row r="500" spans="1:7" x14ac:dyDescent="0.25">
      <c r="A500" t="s">
        <v>8</v>
      </c>
      <c r="B500" s="1" t="str">
        <f>"000199966 - RICH FOODS CORE-LANDRYS"</f>
        <v>000199966 - RICH FOODS CORE-LANDRYS</v>
      </c>
      <c r="C500" t="s">
        <v>662</v>
      </c>
      <c r="D500" s="1" t="str">
        <f t="shared" si="13"/>
        <v>PRG-1013553</v>
      </c>
      <c r="E500" t="s">
        <v>202</v>
      </c>
      <c r="F500" t="s">
        <v>4</v>
      </c>
      <c r="G500" t="str">
        <f>""</f>
        <v/>
      </c>
    </row>
    <row r="501" spans="1:7" x14ac:dyDescent="0.25">
      <c r="A501" t="s">
        <v>8</v>
      </c>
      <c r="B501" s="1" t="str">
        <f>"000199967 - RICH FOODS NONCORE-LANDRYS"</f>
        <v>000199967 - RICH FOODS NONCORE-LANDRYS</v>
      </c>
      <c r="C501" t="s">
        <v>594</v>
      </c>
      <c r="D501" s="1" t="str">
        <f t="shared" si="13"/>
        <v>PRG-1013553</v>
      </c>
      <c r="E501" t="s">
        <v>202</v>
      </c>
      <c r="F501" t="s">
        <v>4</v>
      </c>
      <c r="G501" t="str">
        <f>""</f>
        <v/>
      </c>
    </row>
    <row r="502" spans="1:7" x14ac:dyDescent="0.25">
      <c r="A502" t="s">
        <v>8</v>
      </c>
      <c r="B502" s="1" t="str">
        <f>"000206208 - RICH FOODS CORE-LANDRYS"</f>
        <v>000206208 - RICH FOODS CORE-LANDRYS</v>
      </c>
      <c r="C502" t="s">
        <v>662</v>
      </c>
      <c r="D502" s="1" t="str">
        <f t="shared" si="13"/>
        <v>PRG-1013553</v>
      </c>
      <c r="E502" t="s">
        <v>202</v>
      </c>
      <c r="F502" t="s">
        <v>4</v>
      </c>
      <c r="G502" t="str">
        <f>""</f>
        <v/>
      </c>
    </row>
    <row r="503" spans="1:7" x14ac:dyDescent="0.25">
      <c r="A503" t="s">
        <v>8</v>
      </c>
      <c r="B503" s="1" t="str">
        <f>"000206209 - RICH FOODS NONCORE-LANDRYS"</f>
        <v>000206209 - RICH FOODS NONCORE-LANDRYS</v>
      </c>
      <c r="C503" t="s">
        <v>594</v>
      </c>
      <c r="D503" s="1" t="str">
        <f t="shared" si="13"/>
        <v>PRG-1013553</v>
      </c>
      <c r="E503" t="s">
        <v>202</v>
      </c>
      <c r="F503" t="s">
        <v>4</v>
      </c>
      <c r="G503" t="str">
        <f>""</f>
        <v/>
      </c>
    </row>
    <row r="504" spans="1:7" x14ac:dyDescent="0.25">
      <c r="A504" t="s">
        <v>8</v>
      </c>
      <c r="B504" s="1" t="str">
        <f>"000206580 - RICH FOODS-LANDRYS"</f>
        <v>000206580 - RICH FOODS-LANDRYS</v>
      </c>
      <c r="C504" t="s">
        <v>435</v>
      </c>
      <c r="D504" s="1" t="str">
        <f t="shared" si="13"/>
        <v>PRG-1013553</v>
      </c>
      <c r="E504" t="s">
        <v>202</v>
      </c>
      <c r="F504" t="s">
        <v>4</v>
      </c>
      <c r="G504" t="str">
        <f>""</f>
        <v/>
      </c>
    </row>
    <row r="505" spans="1:7" x14ac:dyDescent="0.25">
      <c r="A505" t="s">
        <v>8</v>
      </c>
      <c r="B505" s="1" t="str">
        <f>"000207027 - BB LANDRYS FOB RICH"</f>
        <v>000207027 - BB LANDRYS FOB RICH</v>
      </c>
      <c r="C505" t="s">
        <v>1216</v>
      </c>
      <c r="D505" s="1" t="str">
        <f t="shared" si="13"/>
        <v>PRG-1013553</v>
      </c>
      <c r="E505" t="s">
        <v>202</v>
      </c>
      <c r="F505" t="s">
        <v>4</v>
      </c>
      <c r="G505" t="str">
        <f>""</f>
        <v/>
      </c>
    </row>
    <row r="506" spans="1:7" x14ac:dyDescent="0.25">
      <c r="A506" t="s">
        <v>8</v>
      </c>
      <c r="B506" s="1" t="str">
        <f>"000207427 - RICH FOODS NC BB-LANDRYS"</f>
        <v>000207427 - RICH FOODS NC BB-LANDRYS</v>
      </c>
      <c r="C506" t="s">
        <v>692</v>
      </c>
      <c r="D506" s="1" t="str">
        <f t="shared" si="13"/>
        <v>PRG-1013553</v>
      </c>
      <c r="E506" t="s">
        <v>202</v>
      </c>
      <c r="F506" t="s">
        <v>4</v>
      </c>
      <c r="G506" t="str">
        <f>""</f>
        <v/>
      </c>
    </row>
    <row r="507" spans="1:7" x14ac:dyDescent="0.25">
      <c r="A507" t="s">
        <v>8</v>
      </c>
      <c r="B507" s="1" t="str">
        <f>"000208098 - RICH FOODS-LANDRYS"</f>
        <v>000208098 - RICH FOODS-LANDRYS</v>
      </c>
      <c r="C507" t="s">
        <v>435</v>
      </c>
      <c r="D507" s="1" t="str">
        <f t="shared" si="13"/>
        <v>PRG-1013553</v>
      </c>
      <c r="E507" t="s">
        <v>202</v>
      </c>
      <c r="F507" t="s">
        <v>4</v>
      </c>
      <c r="G507" t="str">
        <f>""</f>
        <v/>
      </c>
    </row>
    <row r="508" spans="1:7" x14ac:dyDescent="0.25">
      <c r="A508" t="s">
        <v>8</v>
      </c>
      <c r="B508" s="1" t="str">
        <f>"000208431 - RICH FOODS C BB-LANDRYS"</f>
        <v>000208431 - RICH FOODS C BB-LANDRYS</v>
      </c>
      <c r="C508" t="s">
        <v>697</v>
      </c>
      <c r="D508" s="1" t="str">
        <f t="shared" si="13"/>
        <v>PRG-1013553</v>
      </c>
      <c r="E508" t="s">
        <v>202</v>
      </c>
      <c r="F508" t="s">
        <v>4</v>
      </c>
      <c r="G508" t="str">
        <f>""</f>
        <v/>
      </c>
    </row>
    <row r="509" spans="1:7" x14ac:dyDescent="0.25">
      <c r="A509" t="s">
        <v>8</v>
      </c>
      <c r="B509" s="1" t="str">
        <f>"000208437 - RICH FOODS BB LANDRYS"</f>
        <v>000208437 - RICH FOODS BB LANDRYS</v>
      </c>
      <c r="C509" t="s">
        <v>1398</v>
      </c>
      <c r="D509" s="1" t="str">
        <f t="shared" si="13"/>
        <v>PRG-1013553</v>
      </c>
      <c r="E509" t="s">
        <v>202</v>
      </c>
      <c r="F509" t="s">
        <v>4</v>
      </c>
      <c r="G509" t="str">
        <f>""</f>
        <v/>
      </c>
    </row>
    <row r="510" spans="1:7" x14ac:dyDescent="0.25">
      <c r="A510" t="s">
        <v>8</v>
      </c>
      <c r="B510" s="1" t="str">
        <f>"000210244 - RICH FOODS NONCORE-LANDRYS"</f>
        <v>000210244 - RICH FOODS NONCORE-LANDRYS</v>
      </c>
      <c r="C510" t="s">
        <v>594</v>
      </c>
      <c r="D510" s="1" t="str">
        <f t="shared" si="13"/>
        <v>PRG-1013553</v>
      </c>
      <c r="E510" t="s">
        <v>202</v>
      </c>
      <c r="F510" t="s">
        <v>4</v>
      </c>
      <c r="G510" t="str">
        <f>""</f>
        <v/>
      </c>
    </row>
    <row r="511" spans="1:7" x14ac:dyDescent="0.25">
      <c r="A511" t="s">
        <v>8</v>
      </c>
      <c r="B511" s="1" t="str">
        <f>"000210267 - BB LANDRYS FOB RICH"</f>
        <v>000210267 - BB LANDRYS FOB RICH</v>
      </c>
      <c r="C511" t="s">
        <v>1216</v>
      </c>
      <c r="D511" s="1" t="str">
        <f t="shared" si="13"/>
        <v>PRG-1013553</v>
      </c>
      <c r="E511" t="s">
        <v>202</v>
      </c>
      <c r="F511" t="s">
        <v>4</v>
      </c>
      <c r="G511" t="str">
        <f>""</f>
        <v/>
      </c>
    </row>
    <row r="512" spans="1:7" x14ac:dyDescent="0.25">
      <c r="A512" t="s">
        <v>8</v>
      </c>
      <c r="B512" s="1" t="str">
        <f>"000210920 - RICH FOODS-LANDRYS"</f>
        <v>000210920 - RICH FOODS-LANDRYS</v>
      </c>
      <c r="C512" t="s">
        <v>435</v>
      </c>
      <c r="D512" s="1" t="str">
        <f t="shared" si="13"/>
        <v>PRG-1013553</v>
      </c>
      <c r="E512" t="s">
        <v>202</v>
      </c>
      <c r="F512" t="s">
        <v>4</v>
      </c>
      <c r="G512" t="str">
        <f>""</f>
        <v/>
      </c>
    </row>
    <row r="513" spans="1:7" x14ac:dyDescent="0.25">
      <c r="A513" t="s">
        <v>8</v>
      </c>
      <c r="B513" s="1" t="str">
        <f>"000211378 - RICH FOODS NCBB-LANDRYS"</f>
        <v>000211378 - RICH FOODS NCBB-LANDRYS</v>
      </c>
      <c r="C513" t="s">
        <v>201</v>
      </c>
      <c r="D513" s="1" t="str">
        <f t="shared" si="13"/>
        <v>PRG-1013553</v>
      </c>
      <c r="E513" t="s">
        <v>202</v>
      </c>
      <c r="F513" t="s">
        <v>4</v>
      </c>
      <c r="G513" t="str">
        <f>""</f>
        <v/>
      </c>
    </row>
    <row r="514" spans="1:7" x14ac:dyDescent="0.25">
      <c r="A514" t="s">
        <v>8</v>
      </c>
      <c r="B514" s="1" t="str">
        <f>"000211700 - RICH FOODS CBB-LANDRYS"</f>
        <v>000211700 - RICH FOODS CBB-LANDRYS</v>
      </c>
      <c r="C514" t="s">
        <v>198</v>
      </c>
      <c r="D514" s="1" t="str">
        <f t="shared" si="13"/>
        <v>PRG-1013553</v>
      </c>
      <c r="E514" t="s">
        <v>202</v>
      </c>
      <c r="F514" t="s">
        <v>4</v>
      </c>
      <c r="G514" t="str">
        <f>""</f>
        <v/>
      </c>
    </row>
    <row r="515" spans="1:7" x14ac:dyDescent="0.25">
      <c r="A515" t="s">
        <v>8</v>
      </c>
      <c r="B515" s="1" t="str">
        <f>"000212311 - RICH FOODS CBB-LANDRYS"</f>
        <v>000212311 - RICH FOODS CBB-LANDRYS</v>
      </c>
      <c r="C515" t="s">
        <v>198</v>
      </c>
      <c r="D515" s="1" t="str">
        <f t="shared" si="13"/>
        <v>PRG-1013553</v>
      </c>
      <c r="E515" t="s">
        <v>202</v>
      </c>
      <c r="F515" t="s">
        <v>4</v>
      </c>
      <c r="G515" t="str">
        <f>""</f>
        <v/>
      </c>
    </row>
    <row r="516" spans="1:7" x14ac:dyDescent="0.25">
      <c r="A516" t="s">
        <v>8</v>
      </c>
      <c r="B516" s="1" t="str">
        <f>"000212468 - RICH FOODS NC BB-LANDRYS"</f>
        <v>000212468 - RICH FOODS NC BB-LANDRYS</v>
      </c>
      <c r="C516" t="s">
        <v>692</v>
      </c>
      <c r="D516" s="1" t="str">
        <f t="shared" si="13"/>
        <v>PRG-1013553</v>
      </c>
      <c r="E516" t="s">
        <v>202</v>
      </c>
      <c r="F516" t="s">
        <v>4</v>
      </c>
      <c r="G516" t="str">
        <f>""</f>
        <v/>
      </c>
    </row>
    <row r="517" spans="1:7" x14ac:dyDescent="0.25">
      <c r="A517" t="s">
        <v>8</v>
      </c>
      <c r="B517" s="1" t="str">
        <f>"000213290 - RICH FOODS C BB-LANDRYS"</f>
        <v>000213290 - RICH FOODS C BB-LANDRYS</v>
      </c>
      <c r="C517" t="s">
        <v>697</v>
      </c>
      <c r="D517" s="1" t="str">
        <f t="shared" si="13"/>
        <v>PRG-1013553</v>
      </c>
      <c r="E517" t="s">
        <v>202</v>
      </c>
      <c r="F517" t="s">
        <v>4</v>
      </c>
      <c r="G517" t="str">
        <f>""</f>
        <v/>
      </c>
    </row>
    <row r="518" spans="1:7" x14ac:dyDescent="0.25">
      <c r="A518" t="s">
        <v>8</v>
      </c>
      <c r="B518" s="1" t="str">
        <f>"000213343 - RICH FOODS LANDRYS (CORE-BB)"</f>
        <v>000213343 - RICH FOODS LANDRYS (CORE-BB)</v>
      </c>
      <c r="C518" t="s">
        <v>1476</v>
      </c>
      <c r="D518" s="1" t="str">
        <f t="shared" si="13"/>
        <v>PRG-1013553</v>
      </c>
      <c r="E518" t="s">
        <v>202</v>
      </c>
      <c r="F518" t="s">
        <v>4</v>
      </c>
      <c r="G518" t="str">
        <f>""</f>
        <v/>
      </c>
    </row>
    <row r="519" spans="1:7" x14ac:dyDescent="0.25">
      <c r="A519" t="s">
        <v>8</v>
      </c>
      <c r="B519" s="1" t="str">
        <f>"000215726 - RICH FOODS NCBB-LANDRYS"</f>
        <v>000215726 - RICH FOODS NCBB-LANDRYS</v>
      </c>
      <c r="C519" t="s">
        <v>201</v>
      </c>
      <c r="D519" s="1" t="str">
        <f t="shared" si="13"/>
        <v>PRG-1013553</v>
      </c>
      <c r="E519" t="s">
        <v>202</v>
      </c>
      <c r="F519" t="s">
        <v>4</v>
      </c>
      <c r="G519" t="str">
        <f>""</f>
        <v/>
      </c>
    </row>
    <row r="520" spans="1:7" x14ac:dyDescent="0.25">
      <c r="A520" t="s">
        <v>8</v>
      </c>
      <c r="B520" s="1" t="str">
        <f>"000216001 - RICH FOODS CBB-LANDRYS"</f>
        <v>000216001 - RICH FOODS CBB-LANDRYS</v>
      </c>
      <c r="C520" t="s">
        <v>198</v>
      </c>
      <c r="D520" s="1" t="str">
        <f t="shared" si="13"/>
        <v>PRG-1013553</v>
      </c>
      <c r="E520" t="s">
        <v>202</v>
      </c>
      <c r="F520" t="s">
        <v>4</v>
      </c>
      <c r="G520" t="str">
        <f>""</f>
        <v/>
      </c>
    </row>
    <row r="521" spans="1:7" x14ac:dyDescent="0.25">
      <c r="A521" t="s">
        <v>8</v>
      </c>
      <c r="B521" s="1" t="str">
        <f>"000216441 - RICH FOODS CBB-LANDRYS"</f>
        <v>000216441 - RICH FOODS CBB-LANDRYS</v>
      </c>
      <c r="C521" t="s">
        <v>198</v>
      </c>
      <c r="D521" s="1" t="str">
        <f t="shared" si="13"/>
        <v>PRG-1013553</v>
      </c>
      <c r="E521" t="s">
        <v>202</v>
      </c>
      <c r="F521" t="s">
        <v>4</v>
      </c>
      <c r="G521" t="str">
        <f>""</f>
        <v/>
      </c>
    </row>
    <row r="522" spans="1:7" x14ac:dyDescent="0.25">
      <c r="A522" t="s">
        <v>8</v>
      </c>
      <c r="B522" s="1" t="str">
        <f>"000217438 - RICH FOODS NONCORE-LANDRYS"</f>
        <v>000217438 - RICH FOODS NONCORE-LANDRYS</v>
      </c>
      <c r="C522" t="s">
        <v>594</v>
      </c>
      <c r="D522" s="1" t="str">
        <f t="shared" si="13"/>
        <v>PRG-1013553</v>
      </c>
      <c r="E522" t="s">
        <v>202</v>
      </c>
      <c r="F522" t="s">
        <v>4</v>
      </c>
      <c r="G522" t="str">
        <f>""</f>
        <v/>
      </c>
    </row>
    <row r="523" spans="1:7" x14ac:dyDescent="0.25">
      <c r="A523" t="s">
        <v>8</v>
      </c>
      <c r="B523" s="1" t="str">
        <f>"000219455 - RICH FOODS NONCORE-LANDRYS"</f>
        <v>000219455 - RICH FOODS NONCORE-LANDRYS</v>
      </c>
      <c r="C523" t="s">
        <v>594</v>
      </c>
      <c r="D523" s="1" t="str">
        <f t="shared" si="13"/>
        <v>PRG-1013553</v>
      </c>
      <c r="E523" t="s">
        <v>202</v>
      </c>
      <c r="F523" t="s">
        <v>4</v>
      </c>
      <c r="G523" t="str">
        <f>""</f>
        <v/>
      </c>
    </row>
    <row r="524" spans="1:7" x14ac:dyDescent="0.25">
      <c r="A524" t="s">
        <v>8</v>
      </c>
      <c r="B524" s="1" t="str">
        <f>"000219607 - RICH FOODS CORE-LANDRYS"</f>
        <v>000219607 - RICH FOODS CORE-LANDRYS</v>
      </c>
      <c r="C524" t="s">
        <v>662</v>
      </c>
      <c r="D524" s="1" t="str">
        <f t="shared" si="13"/>
        <v>PRG-1013553</v>
      </c>
      <c r="E524" t="s">
        <v>202</v>
      </c>
      <c r="F524" t="s">
        <v>4</v>
      </c>
      <c r="G524" t="str">
        <f>""</f>
        <v/>
      </c>
    </row>
    <row r="525" spans="1:7" x14ac:dyDescent="0.25">
      <c r="A525" t="s">
        <v>8</v>
      </c>
      <c r="B525" s="1" t="str">
        <f>"000220714 - RICH FOODS-LANDRYS"</f>
        <v>000220714 - RICH FOODS-LANDRYS</v>
      </c>
      <c r="C525" t="s">
        <v>435</v>
      </c>
      <c r="D525" s="1" t="str">
        <f t="shared" si="13"/>
        <v>PRG-1013553</v>
      </c>
      <c r="E525" t="s">
        <v>202</v>
      </c>
      <c r="F525" t="s">
        <v>4</v>
      </c>
      <c r="G525" t="str">
        <f>""</f>
        <v/>
      </c>
    </row>
    <row r="526" spans="1:7" x14ac:dyDescent="0.25">
      <c r="A526" t="s">
        <v>8</v>
      </c>
      <c r="B526" s="1" t="str">
        <f>"000222643 - RICH FOODS NONCORE-LANDRYS"</f>
        <v>000222643 - RICH FOODS NONCORE-LANDRYS</v>
      </c>
      <c r="C526" t="s">
        <v>594</v>
      </c>
      <c r="D526" s="1" t="str">
        <f t="shared" si="13"/>
        <v>PRG-1013553</v>
      </c>
      <c r="E526" t="s">
        <v>202</v>
      </c>
      <c r="F526" t="s">
        <v>4</v>
      </c>
      <c r="G526" t="str">
        <f>""</f>
        <v/>
      </c>
    </row>
    <row r="527" spans="1:7" x14ac:dyDescent="0.25">
      <c r="A527" t="s">
        <v>8</v>
      </c>
      <c r="B527" s="1" t="str">
        <f>"000226295 - RICH FOODS CORE-LANDRYS"</f>
        <v>000226295 - RICH FOODS CORE-LANDRYS</v>
      </c>
      <c r="C527" t="s">
        <v>662</v>
      </c>
      <c r="D527" s="1" t="str">
        <f t="shared" si="13"/>
        <v>PRG-1013553</v>
      </c>
      <c r="E527" t="s">
        <v>202</v>
      </c>
      <c r="F527" t="s">
        <v>4</v>
      </c>
      <c r="G527" t="str">
        <f>""</f>
        <v/>
      </c>
    </row>
    <row r="528" spans="1:7" x14ac:dyDescent="0.25">
      <c r="A528" t="s">
        <v>8</v>
      </c>
      <c r="B528" s="1" t="str">
        <f>"000226296 - RICH FOODS NONCORE-LANDRYS"</f>
        <v>000226296 - RICH FOODS NONCORE-LANDRYS</v>
      </c>
      <c r="C528" t="s">
        <v>594</v>
      </c>
      <c r="D528" s="1" t="str">
        <f t="shared" si="13"/>
        <v>PRG-1013553</v>
      </c>
      <c r="E528" t="s">
        <v>202</v>
      </c>
      <c r="F528" t="s">
        <v>4</v>
      </c>
      <c r="G528" t="str">
        <f>""</f>
        <v/>
      </c>
    </row>
    <row r="529" spans="1:7" x14ac:dyDescent="0.25">
      <c r="A529" t="s">
        <v>8</v>
      </c>
      <c r="B529" s="1" t="str">
        <f>"000228043 - RICH FOODS C BB-LANDRYS"</f>
        <v>000228043 - RICH FOODS C BB-LANDRYS</v>
      </c>
      <c r="C529" t="s">
        <v>697</v>
      </c>
      <c r="D529" s="1" t="str">
        <f t="shared" si="13"/>
        <v>PRG-1013553</v>
      </c>
      <c r="E529" t="s">
        <v>202</v>
      </c>
      <c r="F529" t="s">
        <v>4</v>
      </c>
      <c r="G529" t="str">
        <f>""</f>
        <v/>
      </c>
    </row>
    <row r="530" spans="1:7" x14ac:dyDescent="0.25">
      <c r="A530" t="s">
        <v>8</v>
      </c>
      <c r="B530" s="1" t="str">
        <f>"000228116 - RICH FOODS NONCORE-LANDRYS"</f>
        <v>000228116 - RICH FOODS NONCORE-LANDRYS</v>
      </c>
      <c r="C530" t="s">
        <v>594</v>
      </c>
      <c r="D530" s="1" t="str">
        <f t="shared" si="13"/>
        <v>PRG-1013553</v>
      </c>
      <c r="E530" t="s">
        <v>202</v>
      </c>
      <c r="F530" t="s">
        <v>4</v>
      </c>
      <c r="G530" t="str">
        <f>""</f>
        <v/>
      </c>
    </row>
    <row r="531" spans="1:7" x14ac:dyDescent="0.25">
      <c r="A531" t="s">
        <v>8</v>
      </c>
      <c r="B531" s="1" t="str">
        <f>"000229507 - RICH FOODS CORE-LANDRYS"</f>
        <v>000229507 - RICH FOODS CORE-LANDRYS</v>
      </c>
      <c r="C531" t="s">
        <v>662</v>
      </c>
      <c r="D531" s="1" t="str">
        <f t="shared" si="13"/>
        <v>PRG-1013553</v>
      </c>
      <c r="E531" t="s">
        <v>202</v>
      </c>
      <c r="F531" t="s">
        <v>4</v>
      </c>
      <c r="G531" t="str">
        <f>""</f>
        <v/>
      </c>
    </row>
    <row r="532" spans="1:7" x14ac:dyDescent="0.25">
      <c r="A532" t="s">
        <v>8</v>
      </c>
      <c r="B532" s="1" t="str">
        <f>"000230269 - RICH FOODS NONCORE-LANDRYS"</f>
        <v>000230269 - RICH FOODS NONCORE-LANDRYS</v>
      </c>
      <c r="C532" t="s">
        <v>594</v>
      </c>
      <c r="D532" s="1" t="str">
        <f t="shared" si="13"/>
        <v>PRG-1013553</v>
      </c>
      <c r="E532" t="s">
        <v>202</v>
      </c>
      <c r="F532" t="s">
        <v>4</v>
      </c>
      <c r="G532" t="str">
        <f>""</f>
        <v/>
      </c>
    </row>
    <row r="533" spans="1:7" x14ac:dyDescent="0.25">
      <c r="A533" t="s">
        <v>8</v>
      </c>
      <c r="B533" s="1" t="str">
        <f>"000230685 - RICH FOODS NONCORE-LANDRYS"</f>
        <v>000230685 - RICH FOODS NONCORE-LANDRYS</v>
      </c>
      <c r="C533" t="s">
        <v>594</v>
      </c>
      <c r="D533" s="1" t="str">
        <f t="shared" si="13"/>
        <v>PRG-1013553</v>
      </c>
      <c r="E533" t="s">
        <v>202</v>
      </c>
      <c r="F533" t="s">
        <v>4</v>
      </c>
      <c r="G533" t="str">
        <f>""</f>
        <v/>
      </c>
    </row>
    <row r="534" spans="1:7" x14ac:dyDescent="0.25">
      <c r="A534" t="s">
        <v>8</v>
      </c>
      <c r="B534" s="1" t="str">
        <f>"000232395 - BB LANDRYS FOB CR RICH"</f>
        <v>000232395 - BB LANDRYS FOB CR RICH</v>
      </c>
      <c r="C534" t="s">
        <v>1786</v>
      </c>
      <c r="D534" s="1" t="str">
        <f t="shared" si="13"/>
        <v>PRG-1013553</v>
      </c>
      <c r="E534" t="s">
        <v>202</v>
      </c>
      <c r="F534" t="s">
        <v>4</v>
      </c>
      <c r="G534" t="str">
        <f>""</f>
        <v/>
      </c>
    </row>
    <row r="535" spans="1:7" x14ac:dyDescent="0.25">
      <c r="A535" t="s">
        <v>8</v>
      </c>
      <c r="B535" s="1" t="str">
        <f>"000233326 - RICH FOODS NC BB-LANDRYS"</f>
        <v>000233326 - RICH FOODS NC BB-LANDRYS</v>
      </c>
      <c r="C535" t="s">
        <v>692</v>
      </c>
      <c r="D535" s="1" t="str">
        <f t="shared" si="13"/>
        <v>PRG-1013553</v>
      </c>
      <c r="E535" t="s">
        <v>202</v>
      </c>
      <c r="F535" t="s">
        <v>4</v>
      </c>
      <c r="G535" t="str">
        <f>""</f>
        <v/>
      </c>
    </row>
    <row r="536" spans="1:7" x14ac:dyDescent="0.25">
      <c r="A536" t="s">
        <v>8</v>
      </c>
      <c r="B536" s="1" t="str">
        <f>"000236305 - RICH FOODS CORE-LANDRYS"</f>
        <v>000236305 - RICH FOODS CORE-LANDRYS</v>
      </c>
      <c r="C536" t="s">
        <v>662</v>
      </c>
      <c r="D536" s="1" t="str">
        <f t="shared" si="13"/>
        <v>PRG-1013553</v>
      </c>
      <c r="E536" t="s">
        <v>202</v>
      </c>
      <c r="F536" t="s">
        <v>4</v>
      </c>
      <c r="G536" t="str">
        <f>""</f>
        <v/>
      </c>
    </row>
    <row r="537" spans="1:7" x14ac:dyDescent="0.25">
      <c r="A537" t="s">
        <v>8</v>
      </c>
      <c r="B537" s="1" t="str">
        <f>"000236805 - RICH FOODS NC BB-LANDRYS"</f>
        <v>000236805 - RICH FOODS NC BB-LANDRYS</v>
      </c>
      <c r="C537" t="s">
        <v>692</v>
      </c>
      <c r="D537" s="1" t="str">
        <f t="shared" si="13"/>
        <v>PRG-1013553</v>
      </c>
      <c r="E537" t="s">
        <v>202</v>
      </c>
      <c r="F537" t="s">
        <v>4</v>
      </c>
      <c r="G537" t="str">
        <f>""</f>
        <v/>
      </c>
    </row>
    <row r="538" spans="1:7" x14ac:dyDescent="0.25">
      <c r="A538" t="s">
        <v>8</v>
      </c>
      <c r="B538" s="1" t="str">
        <f>"000237205 - RICH FOODS NC BB-LANDRYS"</f>
        <v>000237205 - RICH FOODS NC BB-LANDRYS</v>
      </c>
      <c r="C538" t="s">
        <v>692</v>
      </c>
      <c r="D538" s="1" t="str">
        <f t="shared" ref="D538:D601" si="14">"PRG-1013553"</f>
        <v>PRG-1013553</v>
      </c>
      <c r="E538" t="s">
        <v>202</v>
      </c>
      <c r="F538" t="s">
        <v>4</v>
      </c>
      <c r="G538" t="str">
        <f>""</f>
        <v/>
      </c>
    </row>
    <row r="539" spans="1:7" x14ac:dyDescent="0.25">
      <c r="A539" t="s">
        <v>8</v>
      </c>
      <c r="B539" s="1" t="str">
        <f>"000237234 - RICH FOODS NCBB-LANDRYS"</f>
        <v>000237234 - RICH FOODS NCBB-LANDRYS</v>
      </c>
      <c r="C539" t="s">
        <v>201</v>
      </c>
      <c r="D539" s="1" t="str">
        <f t="shared" si="14"/>
        <v>PRG-1013553</v>
      </c>
      <c r="E539" t="s">
        <v>202</v>
      </c>
      <c r="F539" t="s">
        <v>4</v>
      </c>
      <c r="G539" t="str">
        <f>""</f>
        <v/>
      </c>
    </row>
    <row r="540" spans="1:7" x14ac:dyDescent="0.25">
      <c r="A540" t="s">
        <v>8</v>
      </c>
      <c r="B540" s="1" t="str">
        <f>"000237557 - RICH FOODS CBB-LANDRYS"</f>
        <v>000237557 - RICH FOODS CBB-LANDRYS</v>
      </c>
      <c r="C540" t="s">
        <v>198</v>
      </c>
      <c r="D540" s="1" t="str">
        <f t="shared" si="14"/>
        <v>PRG-1013553</v>
      </c>
      <c r="E540" t="s">
        <v>202</v>
      </c>
      <c r="F540" t="s">
        <v>4</v>
      </c>
      <c r="G540" t="str">
        <f>""</f>
        <v/>
      </c>
    </row>
    <row r="541" spans="1:7" x14ac:dyDescent="0.25">
      <c r="A541" t="s">
        <v>8</v>
      </c>
      <c r="B541" s="1" t="str">
        <f>"000237654 - RICH FOODS-LANDRYS"</f>
        <v>000237654 - RICH FOODS-LANDRYS</v>
      </c>
      <c r="C541" t="s">
        <v>435</v>
      </c>
      <c r="D541" s="1" t="str">
        <f t="shared" si="14"/>
        <v>PRG-1013553</v>
      </c>
      <c r="E541" t="s">
        <v>202</v>
      </c>
      <c r="F541" t="s">
        <v>4</v>
      </c>
      <c r="G541" t="str">
        <f>""</f>
        <v/>
      </c>
    </row>
    <row r="542" spans="1:7" x14ac:dyDescent="0.25">
      <c r="A542" t="s">
        <v>8</v>
      </c>
      <c r="B542" s="1" t="str">
        <f>"000238385 - RICH FOODS C BB-LANDRYS"</f>
        <v>000238385 - RICH FOODS C BB-LANDRYS</v>
      </c>
      <c r="C542" t="s">
        <v>697</v>
      </c>
      <c r="D542" s="1" t="str">
        <f t="shared" si="14"/>
        <v>PRG-1013553</v>
      </c>
      <c r="E542" t="s">
        <v>202</v>
      </c>
      <c r="F542" t="s">
        <v>4</v>
      </c>
      <c r="G542" t="str">
        <f>""</f>
        <v/>
      </c>
    </row>
    <row r="543" spans="1:7" x14ac:dyDescent="0.25">
      <c r="A543" t="s">
        <v>8</v>
      </c>
      <c r="B543" s="1" t="str">
        <f>"000240149 - RICH FOODS NONCORE-LANDRYS"</f>
        <v>000240149 - RICH FOODS NONCORE-LANDRYS</v>
      </c>
      <c r="C543" t="s">
        <v>594</v>
      </c>
      <c r="D543" s="1" t="str">
        <f t="shared" si="14"/>
        <v>PRG-1013553</v>
      </c>
      <c r="E543" t="s">
        <v>202</v>
      </c>
      <c r="F543" t="s">
        <v>4</v>
      </c>
      <c r="G543" t="str">
        <f>""</f>
        <v/>
      </c>
    </row>
    <row r="544" spans="1:7" x14ac:dyDescent="0.25">
      <c r="A544" t="s">
        <v>8</v>
      </c>
      <c r="B544" s="1" t="str">
        <f>"000240176 - RICH FOODS NCBB-LANDRYS"</f>
        <v>000240176 - RICH FOODS NCBB-LANDRYS</v>
      </c>
      <c r="C544" t="s">
        <v>201</v>
      </c>
      <c r="D544" s="1" t="str">
        <f t="shared" si="14"/>
        <v>PRG-1013553</v>
      </c>
      <c r="E544" t="s">
        <v>202</v>
      </c>
      <c r="F544" t="s">
        <v>4</v>
      </c>
      <c r="G544" t="str">
        <f>""</f>
        <v/>
      </c>
    </row>
    <row r="545" spans="1:7" x14ac:dyDescent="0.25">
      <c r="A545" t="s">
        <v>8</v>
      </c>
      <c r="B545" s="1" t="str">
        <f>"000240233 - "</f>
        <v xml:space="preserve">000240233 - </v>
      </c>
      <c r="D545" s="1" t="str">
        <f t="shared" si="14"/>
        <v>PRG-1013553</v>
      </c>
      <c r="E545" t="s">
        <v>202</v>
      </c>
      <c r="F545" t="s">
        <v>4</v>
      </c>
      <c r="G545" t="str">
        <f>""</f>
        <v/>
      </c>
    </row>
    <row r="546" spans="1:7" x14ac:dyDescent="0.25">
      <c r="A546" t="s">
        <v>8</v>
      </c>
      <c r="B546" s="1" t="str">
        <f>"000240234 - "</f>
        <v xml:space="preserve">000240234 - </v>
      </c>
      <c r="D546" s="1" t="str">
        <f t="shared" si="14"/>
        <v>PRG-1013553</v>
      </c>
      <c r="E546" t="s">
        <v>202</v>
      </c>
      <c r="F546" t="s">
        <v>4</v>
      </c>
      <c r="G546" t="str">
        <f>""</f>
        <v/>
      </c>
    </row>
    <row r="547" spans="1:7" x14ac:dyDescent="0.25">
      <c r="A547" t="s">
        <v>8</v>
      </c>
      <c r="B547" s="1" t="str">
        <f>"000241229 - RICH FOODS NCBB-LANDRYS"</f>
        <v>000241229 - RICH FOODS NCBB-LANDRYS</v>
      </c>
      <c r="C547" t="s">
        <v>201</v>
      </c>
      <c r="D547" s="1" t="str">
        <f t="shared" si="14"/>
        <v>PRG-1013553</v>
      </c>
      <c r="E547" t="s">
        <v>202</v>
      </c>
      <c r="F547" t="s">
        <v>4</v>
      </c>
      <c r="G547" t="str">
        <f>""</f>
        <v/>
      </c>
    </row>
    <row r="548" spans="1:7" x14ac:dyDescent="0.25">
      <c r="A548" t="s">
        <v>8</v>
      </c>
      <c r="B548" s="1" t="str">
        <f>"000241551 - RICH FOODS CBB-LANDRYS"</f>
        <v>000241551 - RICH FOODS CBB-LANDRYS</v>
      </c>
      <c r="C548" t="s">
        <v>198</v>
      </c>
      <c r="D548" s="1" t="str">
        <f t="shared" si="14"/>
        <v>PRG-1013553</v>
      </c>
      <c r="E548" t="s">
        <v>202</v>
      </c>
      <c r="F548" t="s">
        <v>4</v>
      </c>
      <c r="G548" t="str">
        <f>""</f>
        <v/>
      </c>
    </row>
    <row r="549" spans="1:7" x14ac:dyDescent="0.25">
      <c r="A549" t="s">
        <v>8</v>
      </c>
      <c r="B549" s="1" t="str">
        <f>"000242022 - RICH FOODS CBB-LANDRYS"</f>
        <v>000242022 - RICH FOODS CBB-LANDRYS</v>
      </c>
      <c r="C549" t="s">
        <v>198</v>
      </c>
      <c r="D549" s="1" t="str">
        <f t="shared" si="14"/>
        <v>PRG-1013553</v>
      </c>
      <c r="E549" t="s">
        <v>202</v>
      </c>
      <c r="F549" t="s">
        <v>4</v>
      </c>
      <c r="G549" t="str">
        <f>""</f>
        <v/>
      </c>
    </row>
    <row r="550" spans="1:7" x14ac:dyDescent="0.25">
      <c r="A550" t="s">
        <v>8</v>
      </c>
      <c r="B550" s="1" t="str">
        <f>"000242505 - RICH FOODS NC BB-LANDRYS"</f>
        <v>000242505 - RICH FOODS NC BB-LANDRYS</v>
      </c>
      <c r="C550" t="s">
        <v>692</v>
      </c>
      <c r="D550" s="1" t="str">
        <f t="shared" si="14"/>
        <v>PRG-1013553</v>
      </c>
      <c r="E550" t="s">
        <v>202</v>
      </c>
      <c r="F550" t="s">
        <v>4</v>
      </c>
      <c r="G550" t="str">
        <f>""</f>
        <v/>
      </c>
    </row>
    <row r="551" spans="1:7" x14ac:dyDescent="0.25">
      <c r="A551" t="s">
        <v>8</v>
      </c>
      <c r="B551" s="1" t="str">
        <f>"000243434 - RICH FOODS C BB-LANDRYS"</f>
        <v>000243434 - RICH FOODS C BB-LANDRYS</v>
      </c>
      <c r="C551" t="s">
        <v>697</v>
      </c>
      <c r="D551" s="1" t="str">
        <f t="shared" si="14"/>
        <v>PRG-1013553</v>
      </c>
      <c r="E551" t="s">
        <v>202</v>
      </c>
      <c r="F551" t="s">
        <v>4</v>
      </c>
      <c r="G551" t="str">
        <f>""</f>
        <v/>
      </c>
    </row>
    <row r="552" spans="1:7" x14ac:dyDescent="0.25">
      <c r="A552" t="s">
        <v>8</v>
      </c>
      <c r="B552" s="1" t="str">
        <f>"000245348 - RICH FOODS CORE-LANDRYS"</f>
        <v>000245348 - RICH FOODS CORE-LANDRYS</v>
      </c>
      <c r="C552" t="s">
        <v>662</v>
      </c>
      <c r="D552" s="1" t="str">
        <f t="shared" si="14"/>
        <v>PRG-1013553</v>
      </c>
      <c r="E552" t="s">
        <v>202</v>
      </c>
      <c r="F552" t="s">
        <v>4</v>
      </c>
      <c r="G552" t="str">
        <f>""</f>
        <v/>
      </c>
    </row>
    <row r="553" spans="1:7" x14ac:dyDescent="0.25">
      <c r="A553" t="s">
        <v>8</v>
      </c>
      <c r="B553" s="1" t="str">
        <f>"000245349 - RICH FOODS NONCORE-LANDRYS"</f>
        <v>000245349 - RICH FOODS NONCORE-LANDRYS</v>
      </c>
      <c r="C553" t="s">
        <v>594</v>
      </c>
      <c r="D553" s="1" t="str">
        <f t="shared" si="14"/>
        <v>PRG-1013553</v>
      </c>
      <c r="E553" t="s">
        <v>202</v>
      </c>
      <c r="F553" t="s">
        <v>4</v>
      </c>
      <c r="G553" t="str">
        <f>""</f>
        <v/>
      </c>
    </row>
    <row r="554" spans="1:7" x14ac:dyDescent="0.25">
      <c r="A554" t="s">
        <v>8</v>
      </c>
      <c r="B554" s="1" t="str">
        <f>"000246021 - RICH FOODS NCBB-LANDRYS"</f>
        <v>000246021 - RICH FOODS NCBB-LANDRYS</v>
      </c>
      <c r="C554" t="s">
        <v>201</v>
      </c>
      <c r="D554" s="1" t="str">
        <f t="shared" si="14"/>
        <v>PRG-1013553</v>
      </c>
      <c r="E554" t="s">
        <v>202</v>
      </c>
      <c r="F554" t="s">
        <v>4</v>
      </c>
      <c r="G554" t="str">
        <f>""</f>
        <v/>
      </c>
    </row>
    <row r="555" spans="1:7" x14ac:dyDescent="0.25">
      <c r="A555" t="s">
        <v>8</v>
      </c>
      <c r="B555" s="1" t="str">
        <f>"000246264 - RICH FOODS CBB-LANDRYS"</f>
        <v>000246264 - RICH FOODS CBB-LANDRYS</v>
      </c>
      <c r="C555" t="s">
        <v>198</v>
      </c>
      <c r="D555" s="1" t="str">
        <f t="shared" si="14"/>
        <v>PRG-1013553</v>
      </c>
      <c r="E555" t="s">
        <v>202</v>
      </c>
      <c r="F555" t="s">
        <v>4</v>
      </c>
      <c r="G555" t="str">
        <f>""</f>
        <v/>
      </c>
    </row>
    <row r="556" spans="1:7" x14ac:dyDescent="0.25">
      <c r="A556" t="s">
        <v>8</v>
      </c>
      <c r="B556" s="1" t="str">
        <f>"000246684 - RICH FOODS CBB-LANDRYS"</f>
        <v>000246684 - RICH FOODS CBB-LANDRYS</v>
      </c>
      <c r="C556" t="s">
        <v>198</v>
      </c>
      <c r="D556" s="1" t="str">
        <f t="shared" si="14"/>
        <v>PRG-1013553</v>
      </c>
      <c r="E556" t="s">
        <v>202</v>
      </c>
      <c r="F556" t="s">
        <v>4</v>
      </c>
      <c r="G556" t="str">
        <f>""</f>
        <v/>
      </c>
    </row>
    <row r="557" spans="1:7" x14ac:dyDescent="0.25">
      <c r="A557" t="s">
        <v>8</v>
      </c>
      <c r="B557" s="1" t="str">
        <f>"000248672 - RICH FOODS NONCORE-LANDRYS"</f>
        <v>000248672 - RICH FOODS NONCORE-LANDRYS</v>
      </c>
      <c r="C557" t="s">
        <v>594</v>
      </c>
      <c r="D557" s="1" t="str">
        <f t="shared" si="14"/>
        <v>PRG-1013553</v>
      </c>
      <c r="E557" t="s">
        <v>202</v>
      </c>
      <c r="F557" t="s">
        <v>4</v>
      </c>
      <c r="G557" t="str">
        <f>""</f>
        <v/>
      </c>
    </row>
    <row r="558" spans="1:7" x14ac:dyDescent="0.25">
      <c r="A558" t="s">
        <v>8</v>
      </c>
      <c r="B558" s="1" t="str">
        <f>"000249629 - RICH LANDRYS CORE RETRO BB"</f>
        <v>000249629 - RICH LANDRYS CORE RETRO BB</v>
      </c>
      <c r="C558" t="s">
        <v>2075</v>
      </c>
      <c r="D558" s="1" t="str">
        <f t="shared" si="14"/>
        <v>PRG-1013553</v>
      </c>
      <c r="E558" t="s">
        <v>202</v>
      </c>
      <c r="F558" t="s">
        <v>4</v>
      </c>
      <c r="G558" t="str">
        <f>""</f>
        <v/>
      </c>
    </row>
    <row r="559" spans="1:7" x14ac:dyDescent="0.25">
      <c r="A559" t="s">
        <v>8</v>
      </c>
      <c r="B559" s="1" t="str">
        <f>"000250706 - RICH FOODS-LANDRYS"</f>
        <v>000250706 - RICH FOODS-LANDRYS</v>
      </c>
      <c r="C559" t="s">
        <v>435</v>
      </c>
      <c r="D559" s="1" t="str">
        <f t="shared" si="14"/>
        <v>PRG-1013553</v>
      </c>
      <c r="E559" t="s">
        <v>202</v>
      </c>
      <c r="F559" t="s">
        <v>4</v>
      </c>
      <c r="G559" t="str">
        <f>""</f>
        <v/>
      </c>
    </row>
    <row r="560" spans="1:7" x14ac:dyDescent="0.25">
      <c r="A560" t="s">
        <v>8</v>
      </c>
      <c r="B560" s="1" t="str">
        <f>"000250731 - RICH FOODS NONCORE-LANDRYS"</f>
        <v>000250731 - RICH FOODS NONCORE-LANDRYS</v>
      </c>
      <c r="C560" t="s">
        <v>594</v>
      </c>
      <c r="D560" s="1" t="str">
        <f t="shared" si="14"/>
        <v>PRG-1013553</v>
      </c>
      <c r="E560" t="s">
        <v>202</v>
      </c>
      <c r="F560" t="s">
        <v>4</v>
      </c>
      <c r="G560" t="str">
        <f>""</f>
        <v/>
      </c>
    </row>
    <row r="561" spans="1:7" x14ac:dyDescent="0.25">
      <c r="A561" t="s">
        <v>8</v>
      </c>
      <c r="B561" s="1" t="str">
        <f>"000253278 - RICH FOODS NONCORE-LANDRYS"</f>
        <v>000253278 - RICH FOODS NONCORE-LANDRYS</v>
      </c>
      <c r="C561" t="s">
        <v>594</v>
      </c>
      <c r="D561" s="1" t="str">
        <f t="shared" si="14"/>
        <v>PRG-1013553</v>
      </c>
      <c r="E561" t="s">
        <v>202</v>
      </c>
      <c r="F561" t="s">
        <v>4</v>
      </c>
      <c r="G561" t="str">
        <f>""</f>
        <v/>
      </c>
    </row>
    <row r="562" spans="1:7" x14ac:dyDescent="0.25">
      <c r="A562" t="s">
        <v>8</v>
      </c>
      <c r="B562" s="1" t="str">
        <f>"000253644 - RICH FOODS NC BB-LANDRYS"</f>
        <v>000253644 - RICH FOODS NC BB-LANDRYS</v>
      </c>
      <c r="C562" t="s">
        <v>692</v>
      </c>
      <c r="D562" s="1" t="str">
        <f t="shared" si="14"/>
        <v>PRG-1013553</v>
      </c>
      <c r="E562" t="s">
        <v>202</v>
      </c>
      <c r="F562" t="s">
        <v>4</v>
      </c>
      <c r="G562" t="str">
        <f>""</f>
        <v/>
      </c>
    </row>
    <row r="563" spans="1:7" x14ac:dyDescent="0.25">
      <c r="A563" t="s">
        <v>8</v>
      </c>
      <c r="B563" s="1" t="str">
        <f>"000254829 - RICH FOODS C BB-LANDRYS"</f>
        <v>000254829 - RICH FOODS C BB-LANDRYS</v>
      </c>
      <c r="C563" t="s">
        <v>697</v>
      </c>
      <c r="D563" s="1" t="str">
        <f t="shared" si="14"/>
        <v>PRG-1013553</v>
      </c>
      <c r="E563" t="s">
        <v>202</v>
      </c>
      <c r="F563" t="s">
        <v>4</v>
      </c>
      <c r="G563" t="str">
        <f>""</f>
        <v/>
      </c>
    </row>
    <row r="564" spans="1:7" x14ac:dyDescent="0.25">
      <c r="A564" t="s">
        <v>8</v>
      </c>
      <c r="B564" s="1" t="str">
        <f>"000254960 - RICH FOODS CORE BB CRO"</f>
        <v>000254960 - RICH FOODS CORE BB CRO</v>
      </c>
      <c r="C564" t="s">
        <v>2156</v>
      </c>
      <c r="D564" s="1" t="str">
        <f t="shared" si="14"/>
        <v>PRG-1013553</v>
      </c>
      <c r="E564" t="s">
        <v>202</v>
      </c>
      <c r="F564" t="s">
        <v>4</v>
      </c>
      <c r="G564" t="str">
        <f>""</f>
        <v/>
      </c>
    </row>
    <row r="565" spans="1:7" x14ac:dyDescent="0.25">
      <c r="A565" t="s">
        <v>8</v>
      </c>
      <c r="B565" s="1" t="str">
        <f>"000258009 - RICH FOODS NCBB-LANDRYS"</f>
        <v>000258009 - RICH FOODS NCBB-LANDRYS</v>
      </c>
      <c r="C565" t="s">
        <v>201</v>
      </c>
      <c r="D565" s="1" t="str">
        <f t="shared" si="14"/>
        <v>PRG-1013553</v>
      </c>
      <c r="E565" t="s">
        <v>202</v>
      </c>
      <c r="F565" t="s">
        <v>4</v>
      </c>
      <c r="G565" t="str">
        <f>""</f>
        <v/>
      </c>
    </row>
    <row r="566" spans="1:7" x14ac:dyDescent="0.25">
      <c r="A566" t="s">
        <v>8</v>
      </c>
      <c r="B566" s="1" t="str">
        <f>"000258013 - RICH FOODS NC BB-LANDRYS"</f>
        <v>000258013 - RICH FOODS NC BB-LANDRYS</v>
      </c>
      <c r="C566" t="s">
        <v>692</v>
      </c>
      <c r="D566" s="1" t="str">
        <f t="shared" si="14"/>
        <v>PRG-1013553</v>
      </c>
      <c r="E566" t="s">
        <v>202</v>
      </c>
      <c r="F566" t="s">
        <v>4</v>
      </c>
      <c r="G566" t="str">
        <f>""</f>
        <v/>
      </c>
    </row>
    <row r="567" spans="1:7" x14ac:dyDescent="0.25">
      <c r="A567" t="s">
        <v>8</v>
      </c>
      <c r="B567" s="1" t="str">
        <f>"000258053 - RICH FOODS-LANDRYS"</f>
        <v>000258053 - RICH FOODS-LANDRYS</v>
      </c>
      <c r="C567" t="s">
        <v>435</v>
      </c>
      <c r="D567" s="1" t="str">
        <f t="shared" si="14"/>
        <v>PRG-1013553</v>
      </c>
      <c r="E567" t="s">
        <v>202</v>
      </c>
      <c r="F567" t="s">
        <v>4</v>
      </c>
      <c r="G567" t="str">
        <f>""</f>
        <v/>
      </c>
    </row>
    <row r="568" spans="1:7" x14ac:dyDescent="0.25">
      <c r="A568" t="s">
        <v>8</v>
      </c>
      <c r="B568" s="1" t="str">
        <f>"000258489 - RICH FOODS CBB-LANDRYS"</f>
        <v>000258489 - RICH FOODS CBB-LANDRYS</v>
      </c>
      <c r="C568" t="s">
        <v>198</v>
      </c>
      <c r="D568" s="1" t="str">
        <f t="shared" si="14"/>
        <v>PRG-1013553</v>
      </c>
      <c r="E568" t="s">
        <v>202</v>
      </c>
      <c r="F568" t="s">
        <v>4</v>
      </c>
      <c r="G568" t="str">
        <f>""</f>
        <v/>
      </c>
    </row>
    <row r="569" spans="1:7" x14ac:dyDescent="0.25">
      <c r="A569" t="s">
        <v>8</v>
      </c>
      <c r="B569" s="1" t="str">
        <f>"000258871 - RICH FOODS CORE-LANDRYS"</f>
        <v>000258871 - RICH FOODS CORE-LANDRYS</v>
      </c>
      <c r="C569" t="s">
        <v>662</v>
      </c>
      <c r="D569" s="1" t="str">
        <f t="shared" si="14"/>
        <v>PRG-1013553</v>
      </c>
      <c r="E569" t="s">
        <v>202</v>
      </c>
      <c r="F569" t="s">
        <v>4</v>
      </c>
      <c r="G569" t="str">
        <f>""</f>
        <v/>
      </c>
    </row>
    <row r="570" spans="1:7" x14ac:dyDescent="0.25">
      <c r="A570" t="s">
        <v>8</v>
      </c>
      <c r="B570" s="1" t="str">
        <f>"000258872 - RICH FOODS NONCORE-LANDRYS"</f>
        <v>000258872 - RICH FOODS NONCORE-LANDRYS</v>
      </c>
      <c r="C570" t="s">
        <v>594</v>
      </c>
      <c r="D570" s="1" t="str">
        <f t="shared" si="14"/>
        <v>PRG-1013553</v>
      </c>
      <c r="E570" t="s">
        <v>202</v>
      </c>
      <c r="F570" t="s">
        <v>4</v>
      </c>
      <c r="G570" t="str">
        <f>""</f>
        <v/>
      </c>
    </row>
    <row r="571" spans="1:7" x14ac:dyDescent="0.25">
      <c r="A571" t="s">
        <v>8</v>
      </c>
      <c r="B571" s="1" t="str">
        <f>"000259026 - RICH FOODS CBB-LANDRYS"</f>
        <v>000259026 - RICH FOODS CBB-LANDRYS</v>
      </c>
      <c r="C571" t="s">
        <v>198</v>
      </c>
      <c r="D571" s="1" t="str">
        <f t="shared" si="14"/>
        <v>PRG-1013553</v>
      </c>
      <c r="E571" t="s">
        <v>202</v>
      </c>
      <c r="F571" t="s">
        <v>4</v>
      </c>
      <c r="G571" t="str">
        <f>""</f>
        <v/>
      </c>
    </row>
    <row r="572" spans="1:7" x14ac:dyDescent="0.25">
      <c r="A572" t="s">
        <v>8</v>
      </c>
      <c r="B572" s="1" t="str">
        <f>"000259150 - RICH FOODS-LANDRYS"</f>
        <v>000259150 - RICH FOODS-LANDRYS</v>
      </c>
      <c r="C572" t="s">
        <v>435</v>
      </c>
      <c r="D572" s="1" t="str">
        <f t="shared" si="14"/>
        <v>PRG-1013553</v>
      </c>
      <c r="E572" t="s">
        <v>202</v>
      </c>
      <c r="F572" t="s">
        <v>4</v>
      </c>
      <c r="G572" t="str">
        <f>""</f>
        <v/>
      </c>
    </row>
    <row r="573" spans="1:7" x14ac:dyDescent="0.25">
      <c r="A573" t="s">
        <v>8</v>
      </c>
      <c r="B573" s="1" t="str">
        <f>"000261016 - RICH FOODS CORE-LANDRYS"</f>
        <v>000261016 - RICH FOODS CORE-LANDRYS</v>
      </c>
      <c r="C573" t="s">
        <v>662</v>
      </c>
      <c r="D573" s="1" t="str">
        <f t="shared" si="14"/>
        <v>PRG-1013553</v>
      </c>
      <c r="E573" t="s">
        <v>202</v>
      </c>
      <c r="F573" t="s">
        <v>4</v>
      </c>
      <c r="G573" t="str">
        <f>""</f>
        <v/>
      </c>
    </row>
    <row r="574" spans="1:7" x14ac:dyDescent="0.25">
      <c r="A574" t="s">
        <v>8</v>
      </c>
      <c r="B574" s="1" t="str">
        <f>"000261750 - RICH FOODS NCBB-LANDRYS"</f>
        <v>000261750 - RICH FOODS NCBB-LANDRYS</v>
      </c>
      <c r="C574" t="s">
        <v>201</v>
      </c>
      <c r="D574" s="1" t="str">
        <f t="shared" si="14"/>
        <v>PRG-1013553</v>
      </c>
      <c r="E574" t="s">
        <v>202</v>
      </c>
      <c r="F574" t="s">
        <v>4</v>
      </c>
      <c r="G574" t="str">
        <f>""</f>
        <v/>
      </c>
    </row>
    <row r="575" spans="1:7" x14ac:dyDescent="0.25">
      <c r="A575" t="s">
        <v>8</v>
      </c>
      <c r="B575" s="1" t="str">
        <f>"000262027 - RICH FOODS CBB-LANDRYS"</f>
        <v>000262027 - RICH FOODS CBB-LANDRYS</v>
      </c>
      <c r="C575" t="s">
        <v>198</v>
      </c>
      <c r="D575" s="1" t="str">
        <f t="shared" si="14"/>
        <v>PRG-1013553</v>
      </c>
      <c r="E575" t="s">
        <v>202</v>
      </c>
      <c r="F575" t="s">
        <v>4</v>
      </c>
      <c r="G575" t="str">
        <f>""</f>
        <v/>
      </c>
    </row>
    <row r="576" spans="1:7" x14ac:dyDescent="0.25">
      <c r="A576" t="s">
        <v>8</v>
      </c>
      <c r="B576" s="1" t="str">
        <f>"000266497 - RICH FOODS NC BB-LANDRYS"</f>
        <v>000266497 - RICH FOODS NC BB-LANDRYS</v>
      </c>
      <c r="C576" t="s">
        <v>692</v>
      </c>
      <c r="D576" s="1" t="str">
        <f t="shared" si="14"/>
        <v>PRG-1013553</v>
      </c>
      <c r="E576" t="s">
        <v>202</v>
      </c>
      <c r="F576" t="s">
        <v>4</v>
      </c>
      <c r="G576" t="str">
        <f>""</f>
        <v/>
      </c>
    </row>
    <row r="577" spans="1:7" x14ac:dyDescent="0.25">
      <c r="A577" t="s">
        <v>8</v>
      </c>
      <c r="B577" s="1" t="str">
        <f>"000267541 - RICH FOODS C BB-LANDRYS"</f>
        <v>000267541 - RICH FOODS C BB-LANDRYS</v>
      </c>
      <c r="C577" t="s">
        <v>697</v>
      </c>
      <c r="D577" s="1" t="str">
        <f t="shared" si="14"/>
        <v>PRG-1013553</v>
      </c>
      <c r="E577" t="s">
        <v>202</v>
      </c>
      <c r="F577" t="s">
        <v>4</v>
      </c>
      <c r="G577" t="str">
        <f>""</f>
        <v/>
      </c>
    </row>
    <row r="578" spans="1:7" x14ac:dyDescent="0.25">
      <c r="A578" t="s">
        <v>8</v>
      </c>
      <c r="B578" s="1" t="str">
        <f>"000267890 - RICH FOODS C BB-LANDRYS"</f>
        <v>000267890 - RICH FOODS C BB-LANDRYS</v>
      </c>
      <c r="C578" t="s">
        <v>697</v>
      </c>
      <c r="D578" s="1" t="str">
        <f t="shared" si="14"/>
        <v>PRG-1013553</v>
      </c>
      <c r="E578" t="s">
        <v>202</v>
      </c>
      <c r="F578" t="s">
        <v>4</v>
      </c>
      <c r="G578" t="str">
        <f>""</f>
        <v/>
      </c>
    </row>
    <row r="579" spans="1:7" x14ac:dyDescent="0.25">
      <c r="A579" t="s">
        <v>8</v>
      </c>
      <c r="B579" s="1" t="str">
        <f>"000268702 - RICH FOODS C BB-LANDRYS"</f>
        <v>000268702 - RICH FOODS C BB-LANDRYS</v>
      </c>
      <c r="C579" t="s">
        <v>697</v>
      </c>
      <c r="D579" s="1" t="str">
        <f t="shared" si="14"/>
        <v>PRG-1013553</v>
      </c>
      <c r="E579" t="s">
        <v>202</v>
      </c>
      <c r="F579" t="s">
        <v>4</v>
      </c>
      <c r="G579" t="str">
        <f>""</f>
        <v/>
      </c>
    </row>
    <row r="580" spans="1:7" x14ac:dyDescent="0.25">
      <c r="A580" t="s">
        <v>8</v>
      </c>
      <c r="B580" s="1" t="str">
        <f>"000269424 - RICH FOODS-LANDRYS"</f>
        <v>000269424 - RICH FOODS-LANDRYS</v>
      </c>
      <c r="C580" t="s">
        <v>435</v>
      </c>
      <c r="D580" s="1" t="str">
        <f t="shared" si="14"/>
        <v>PRG-1013553</v>
      </c>
      <c r="E580" t="s">
        <v>202</v>
      </c>
      <c r="F580" t="s">
        <v>4</v>
      </c>
      <c r="G580" t="str">
        <f>""</f>
        <v/>
      </c>
    </row>
    <row r="581" spans="1:7" x14ac:dyDescent="0.25">
      <c r="A581" t="s">
        <v>8</v>
      </c>
      <c r="B581" s="1" t="str">
        <f>"000270549 - RICH FOODS CBB-LANDRYS"</f>
        <v>000270549 - RICH FOODS CBB-LANDRYS</v>
      </c>
      <c r="C581" t="s">
        <v>198</v>
      </c>
      <c r="D581" s="1" t="str">
        <f t="shared" si="14"/>
        <v>PRG-1013553</v>
      </c>
      <c r="E581" t="s">
        <v>202</v>
      </c>
      <c r="F581" t="s">
        <v>4</v>
      </c>
      <c r="G581" t="str">
        <f>""</f>
        <v/>
      </c>
    </row>
    <row r="582" spans="1:7" x14ac:dyDescent="0.25">
      <c r="A582" t="s">
        <v>8</v>
      </c>
      <c r="B582" s="1" t="str">
        <f>"000270598 - RICH FOODS NCBB-LANDRYS"</f>
        <v>000270598 - RICH FOODS NCBB-LANDRYS</v>
      </c>
      <c r="C582" t="s">
        <v>201</v>
      </c>
      <c r="D582" s="1" t="str">
        <f t="shared" si="14"/>
        <v>PRG-1013553</v>
      </c>
      <c r="E582" t="s">
        <v>202</v>
      </c>
      <c r="F582" t="s">
        <v>4</v>
      </c>
      <c r="G582" t="str">
        <f>""</f>
        <v/>
      </c>
    </row>
    <row r="583" spans="1:7" x14ac:dyDescent="0.25">
      <c r="A583" t="s">
        <v>8</v>
      </c>
      <c r="B583" s="1" t="str">
        <f>"000270769 - RICH FOODS-LANDRYS"</f>
        <v>000270769 - RICH FOODS-LANDRYS</v>
      </c>
      <c r="C583" t="s">
        <v>435</v>
      </c>
      <c r="D583" s="1" t="str">
        <f t="shared" si="14"/>
        <v>PRG-1013553</v>
      </c>
      <c r="E583" t="s">
        <v>202</v>
      </c>
      <c r="F583" t="s">
        <v>4</v>
      </c>
      <c r="G583" t="str">
        <f>""</f>
        <v/>
      </c>
    </row>
    <row r="584" spans="1:7" x14ac:dyDescent="0.25">
      <c r="A584" t="s">
        <v>8</v>
      </c>
      <c r="B584" s="1" t="str">
        <f>"000270862 - RICH FOODS CBB-LANDRYS"</f>
        <v>000270862 - RICH FOODS CBB-LANDRYS</v>
      </c>
      <c r="C584" t="s">
        <v>198</v>
      </c>
      <c r="D584" s="1" t="str">
        <f t="shared" si="14"/>
        <v>PRG-1013553</v>
      </c>
      <c r="E584" t="s">
        <v>202</v>
      </c>
      <c r="F584" t="s">
        <v>4</v>
      </c>
      <c r="G584" t="str">
        <f>""</f>
        <v/>
      </c>
    </row>
    <row r="585" spans="1:7" x14ac:dyDescent="0.25">
      <c r="A585" t="s">
        <v>8</v>
      </c>
      <c r="B585" s="1" t="str">
        <f>"000270958 - RICH FOODS CBB-LANDRYS"</f>
        <v>000270958 - RICH FOODS CBB-LANDRYS</v>
      </c>
      <c r="C585" t="s">
        <v>198</v>
      </c>
      <c r="D585" s="1" t="str">
        <f t="shared" si="14"/>
        <v>PRG-1013553</v>
      </c>
      <c r="E585" t="s">
        <v>202</v>
      </c>
      <c r="F585" t="s">
        <v>4</v>
      </c>
      <c r="G585" t="str">
        <f>""</f>
        <v/>
      </c>
    </row>
    <row r="586" spans="1:7" x14ac:dyDescent="0.25">
      <c r="A586" t="s">
        <v>8</v>
      </c>
      <c r="B586" s="1" t="str">
        <f>"000271398 - RICH FOODS CBB-LANDRYS"</f>
        <v>000271398 - RICH FOODS CBB-LANDRYS</v>
      </c>
      <c r="C586" t="s">
        <v>198</v>
      </c>
      <c r="D586" s="1" t="str">
        <f t="shared" si="14"/>
        <v>PRG-1013553</v>
      </c>
      <c r="E586" t="s">
        <v>202</v>
      </c>
      <c r="F586" t="s">
        <v>4</v>
      </c>
      <c r="G586" t="str">
        <f>""</f>
        <v/>
      </c>
    </row>
    <row r="587" spans="1:7" x14ac:dyDescent="0.25">
      <c r="A587" t="s">
        <v>8</v>
      </c>
      <c r="B587" s="1" t="str">
        <f>"000271828 - RICH FOODS NONCORE-LANDRYS"</f>
        <v>000271828 - RICH FOODS NONCORE-LANDRYS</v>
      </c>
      <c r="C587" t="s">
        <v>594</v>
      </c>
      <c r="D587" s="1" t="str">
        <f t="shared" si="14"/>
        <v>PRG-1013553</v>
      </c>
      <c r="E587" t="s">
        <v>202</v>
      </c>
      <c r="F587" t="s">
        <v>4</v>
      </c>
      <c r="G587" t="str">
        <f>""</f>
        <v/>
      </c>
    </row>
    <row r="588" spans="1:7" x14ac:dyDescent="0.25">
      <c r="A588" t="s">
        <v>8</v>
      </c>
      <c r="B588" s="1" t="str">
        <f>"000279090 - RICH FOODS-LANDRYS"</f>
        <v>000279090 - RICH FOODS-LANDRYS</v>
      </c>
      <c r="C588" t="s">
        <v>435</v>
      </c>
      <c r="D588" s="1" t="str">
        <f t="shared" si="14"/>
        <v>PRG-1013553</v>
      </c>
      <c r="E588" t="s">
        <v>202</v>
      </c>
      <c r="F588" t="s">
        <v>4</v>
      </c>
      <c r="G588" t="str">
        <f>""</f>
        <v/>
      </c>
    </row>
    <row r="589" spans="1:7" x14ac:dyDescent="0.25">
      <c r="A589" t="s">
        <v>8</v>
      </c>
      <c r="B589" s="1" t="str">
        <f>"000281138 - RICH FOODS CORE-LANDRYS"</f>
        <v>000281138 - RICH FOODS CORE-LANDRYS</v>
      </c>
      <c r="C589" t="s">
        <v>662</v>
      </c>
      <c r="D589" s="1" t="str">
        <f t="shared" si="14"/>
        <v>PRG-1013553</v>
      </c>
      <c r="E589" t="s">
        <v>202</v>
      </c>
      <c r="F589" t="s">
        <v>4</v>
      </c>
      <c r="G589" t="str">
        <f>""</f>
        <v/>
      </c>
    </row>
    <row r="590" spans="1:7" x14ac:dyDescent="0.25">
      <c r="A590" t="s">
        <v>8</v>
      </c>
      <c r="B590" s="1" t="str">
        <f>"000283377 - RICH FOODS-LANDRYS"</f>
        <v>000283377 - RICH FOODS-LANDRYS</v>
      </c>
      <c r="C590" t="s">
        <v>435</v>
      </c>
      <c r="D590" s="1" t="str">
        <f t="shared" si="14"/>
        <v>PRG-1013553</v>
      </c>
      <c r="E590" t="s">
        <v>202</v>
      </c>
      <c r="F590" t="s">
        <v>4</v>
      </c>
      <c r="G590" t="str">
        <f>""</f>
        <v/>
      </c>
    </row>
    <row r="591" spans="1:7" x14ac:dyDescent="0.25">
      <c r="A591" t="s">
        <v>8</v>
      </c>
      <c r="B591" s="1" t="str">
        <f>"000284126 - RICH FOODS NONCORE-LANDRYS"</f>
        <v>000284126 - RICH FOODS NONCORE-LANDRYS</v>
      </c>
      <c r="C591" t="s">
        <v>594</v>
      </c>
      <c r="D591" s="1" t="str">
        <f t="shared" si="14"/>
        <v>PRG-1013553</v>
      </c>
      <c r="E591" t="s">
        <v>202</v>
      </c>
      <c r="F591" t="s">
        <v>4</v>
      </c>
      <c r="G591" t="str">
        <f>""</f>
        <v/>
      </c>
    </row>
    <row r="592" spans="1:7" x14ac:dyDescent="0.25">
      <c r="A592" t="s">
        <v>8</v>
      </c>
      <c r="B592" s="1" t="str">
        <f>"000286959 - RICH FOODS-LANDRYS"</f>
        <v>000286959 - RICH FOODS-LANDRYS</v>
      </c>
      <c r="C592" t="s">
        <v>435</v>
      </c>
      <c r="D592" s="1" t="str">
        <f t="shared" si="14"/>
        <v>PRG-1013553</v>
      </c>
      <c r="E592" t="s">
        <v>202</v>
      </c>
      <c r="F592" t="s">
        <v>4</v>
      </c>
      <c r="G592" t="str">
        <f>""</f>
        <v/>
      </c>
    </row>
    <row r="593" spans="1:7" x14ac:dyDescent="0.25">
      <c r="A593" t="s">
        <v>8</v>
      </c>
      <c r="B593" s="1" t="str">
        <f>"000288058 - RICH FOODS-LANDRYS"</f>
        <v>000288058 - RICH FOODS-LANDRYS</v>
      </c>
      <c r="C593" t="s">
        <v>435</v>
      </c>
      <c r="D593" s="1" t="str">
        <f t="shared" si="14"/>
        <v>PRG-1013553</v>
      </c>
      <c r="E593" t="s">
        <v>202</v>
      </c>
      <c r="F593" t="s">
        <v>4</v>
      </c>
      <c r="G593" t="str">
        <f>""</f>
        <v/>
      </c>
    </row>
    <row r="594" spans="1:7" x14ac:dyDescent="0.25">
      <c r="A594" t="s">
        <v>8</v>
      </c>
      <c r="B594" s="1" t="str">
        <f>"000288629 - RICH FOODS NC BB-LANDRYS"</f>
        <v>000288629 - RICH FOODS NC BB-LANDRYS</v>
      </c>
      <c r="C594" t="s">
        <v>692</v>
      </c>
      <c r="D594" s="1" t="str">
        <f t="shared" si="14"/>
        <v>PRG-1013553</v>
      </c>
      <c r="E594" t="s">
        <v>202</v>
      </c>
      <c r="F594" t="s">
        <v>4</v>
      </c>
      <c r="G594" t="str">
        <f>""</f>
        <v/>
      </c>
    </row>
    <row r="595" spans="1:7" x14ac:dyDescent="0.25">
      <c r="A595" t="s">
        <v>8</v>
      </c>
      <c r="B595" s="1" t="str">
        <f>"000289743 - RICH FOODS C BB-LANDRYS"</f>
        <v>000289743 - RICH FOODS C BB-LANDRYS</v>
      </c>
      <c r="C595" t="s">
        <v>697</v>
      </c>
      <c r="D595" s="1" t="str">
        <f t="shared" si="14"/>
        <v>PRG-1013553</v>
      </c>
      <c r="E595" t="s">
        <v>202</v>
      </c>
      <c r="F595" t="s">
        <v>4</v>
      </c>
      <c r="G595" t="str">
        <f>""</f>
        <v/>
      </c>
    </row>
    <row r="596" spans="1:7" x14ac:dyDescent="0.25">
      <c r="A596" t="s">
        <v>8</v>
      </c>
      <c r="B596" s="1" t="str">
        <f>"000289761 - RICH FOODS C BB-LANDRYS"</f>
        <v>000289761 - RICH FOODS C BB-LANDRYS</v>
      </c>
      <c r="C596" t="s">
        <v>697</v>
      </c>
      <c r="D596" s="1" t="str">
        <f t="shared" si="14"/>
        <v>PRG-1013553</v>
      </c>
      <c r="E596" t="s">
        <v>202</v>
      </c>
      <c r="F596" t="s">
        <v>4</v>
      </c>
      <c r="G596" t="str">
        <f>""</f>
        <v/>
      </c>
    </row>
    <row r="597" spans="1:7" x14ac:dyDescent="0.25">
      <c r="A597" t="s">
        <v>8</v>
      </c>
      <c r="B597" s="1" t="str">
        <f>"000289798 - RICH FOODS NONCORE-LANDRYS"</f>
        <v>000289798 - RICH FOODS NONCORE-LANDRYS</v>
      </c>
      <c r="C597" t="s">
        <v>594</v>
      </c>
      <c r="D597" s="1" t="str">
        <f t="shared" si="14"/>
        <v>PRG-1013553</v>
      </c>
      <c r="E597" t="s">
        <v>202</v>
      </c>
      <c r="F597" t="s">
        <v>4</v>
      </c>
      <c r="G597" t="str">
        <f>""</f>
        <v/>
      </c>
    </row>
    <row r="598" spans="1:7" x14ac:dyDescent="0.25">
      <c r="A598" t="s">
        <v>8</v>
      </c>
      <c r="B598" s="1" t="str">
        <f>"000292027 - RICH FOODS CBB-LANDRYS"</f>
        <v>000292027 - RICH FOODS CBB-LANDRYS</v>
      </c>
      <c r="C598" t="s">
        <v>198</v>
      </c>
      <c r="D598" s="1" t="str">
        <f t="shared" si="14"/>
        <v>PRG-1013553</v>
      </c>
      <c r="E598" t="s">
        <v>202</v>
      </c>
      <c r="F598" t="s">
        <v>4</v>
      </c>
      <c r="G598" t="str">
        <f>""</f>
        <v/>
      </c>
    </row>
    <row r="599" spans="1:7" x14ac:dyDescent="0.25">
      <c r="A599" t="s">
        <v>8</v>
      </c>
      <c r="B599" s="1" t="str">
        <f>"000292653 - RICH FOODS NCBB-LANDRYS"</f>
        <v>000292653 - RICH FOODS NCBB-LANDRYS</v>
      </c>
      <c r="C599" t="s">
        <v>201</v>
      </c>
      <c r="D599" s="1" t="str">
        <f t="shared" si="14"/>
        <v>PRG-1013553</v>
      </c>
      <c r="E599" t="s">
        <v>202</v>
      </c>
      <c r="F599" t="s">
        <v>4</v>
      </c>
      <c r="G599" t="str">
        <f>""</f>
        <v/>
      </c>
    </row>
    <row r="600" spans="1:7" x14ac:dyDescent="0.25">
      <c r="A600" t="s">
        <v>8</v>
      </c>
      <c r="B600" s="1" t="str">
        <f>"000292938 - RICH FOODS CBB-LANDRYS"</f>
        <v>000292938 - RICH FOODS CBB-LANDRYS</v>
      </c>
      <c r="C600" t="s">
        <v>198</v>
      </c>
      <c r="D600" s="1" t="str">
        <f t="shared" si="14"/>
        <v>PRG-1013553</v>
      </c>
      <c r="E600" t="s">
        <v>202</v>
      </c>
      <c r="F600" t="s">
        <v>4</v>
      </c>
      <c r="G600" t="str">
        <f>""</f>
        <v/>
      </c>
    </row>
    <row r="601" spans="1:7" x14ac:dyDescent="0.25">
      <c r="A601" t="s">
        <v>8</v>
      </c>
      <c r="B601" s="1" t="str">
        <f>"000293096 - RICH FOODS NONCORE-LANDRYS"</f>
        <v>000293096 - RICH FOODS NONCORE-LANDRYS</v>
      </c>
      <c r="C601" t="s">
        <v>594</v>
      </c>
      <c r="D601" s="1" t="str">
        <f t="shared" si="14"/>
        <v>PRG-1013553</v>
      </c>
      <c r="E601" t="s">
        <v>202</v>
      </c>
      <c r="F601" t="s">
        <v>4</v>
      </c>
      <c r="G601" t="str">
        <f>""</f>
        <v/>
      </c>
    </row>
    <row r="602" spans="1:7" x14ac:dyDescent="0.25">
      <c r="A602" t="s">
        <v>8</v>
      </c>
      <c r="B602" s="1" t="str">
        <f>"000293334 - RICH FOODS CBB-LANDRYS"</f>
        <v>000293334 - RICH FOODS CBB-LANDRYS</v>
      </c>
      <c r="C602" t="s">
        <v>198</v>
      </c>
      <c r="D602" s="1" t="str">
        <f t="shared" ref="D602:D665" si="15">"PRG-1013553"</f>
        <v>PRG-1013553</v>
      </c>
      <c r="E602" t="s">
        <v>202</v>
      </c>
      <c r="F602" t="s">
        <v>4</v>
      </c>
      <c r="G602" t="str">
        <f>""</f>
        <v/>
      </c>
    </row>
    <row r="603" spans="1:7" x14ac:dyDescent="0.25">
      <c r="A603" t="s">
        <v>8</v>
      </c>
      <c r="B603" s="1" t="str">
        <f>"000296508 - RICH FOODS NONCORE-LANDRYS"</f>
        <v>000296508 - RICH FOODS NONCORE-LANDRYS</v>
      </c>
      <c r="C603" t="s">
        <v>594</v>
      </c>
      <c r="D603" s="1" t="str">
        <f t="shared" si="15"/>
        <v>PRG-1013553</v>
      </c>
      <c r="E603" t="s">
        <v>202</v>
      </c>
      <c r="F603" t="s">
        <v>4</v>
      </c>
      <c r="G603" t="str">
        <f>""</f>
        <v/>
      </c>
    </row>
    <row r="604" spans="1:7" x14ac:dyDescent="0.25">
      <c r="A604" t="s">
        <v>8</v>
      </c>
      <c r="B604" s="1" t="str">
        <f>"000296541 - RICH FOODS CORE-LANDRYS"</f>
        <v>000296541 - RICH FOODS CORE-LANDRYS</v>
      </c>
      <c r="C604" t="s">
        <v>662</v>
      </c>
      <c r="D604" s="1" t="str">
        <f t="shared" si="15"/>
        <v>PRG-1013553</v>
      </c>
      <c r="E604" t="s">
        <v>202</v>
      </c>
      <c r="F604" t="s">
        <v>4</v>
      </c>
      <c r="G604" t="str">
        <f>""</f>
        <v/>
      </c>
    </row>
    <row r="605" spans="1:7" x14ac:dyDescent="0.25">
      <c r="A605" t="s">
        <v>8</v>
      </c>
      <c r="B605" s="1" t="str">
        <f>"000296629 - RICH FOODS-LANDRYS"</f>
        <v>000296629 - RICH FOODS-LANDRYS</v>
      </c>
      <c r="C605" t="s">
        <v>435</v>
      </c>
      <c r="D605" s="1" t="str">
        <f t="shared" si="15"/>
        <v>PRG-1013553</v>
      </c>
      <c r="E605" t="s">
        <v>202</v>
      </c>
      <c r="F605" t="s">
        <v>4</v>
      </c>
      <c r="G605" t="str">
        <f>""</f>
        <v/>
      </c>
    </row>
    <row r="606" spans="1:7" x14ac:dyDescent="0.25">
      <c r="A606" t="s">
        <v>8</v>
      </c>
      <c r="B606" s="1" t="str">
        <f>"000299790 - "</f>
        <v xml:space="preserve">000299790 - </v>
      </c>
      <c r="D606" s="1" t="str">
        <f t="shared" si="15"/>
        <v>PRG-1013553</v>
      </c>
      <c r="E606" t="s">
        <v>202</v>
      </c>
      <c r="F606" t="s">
        <v>4</v>
      </c>
      <c r="G606" t="str">
        <f>""</f>
        <v/>
      </c>
    </row>
    <row r="607" spans="1:7" x14ac:dyDescent="0.25">
      <c r="A607" t="s">
        <v>8</v>
      </c>
      <c r="B607" s="1" t="str">
        <f>"000306518 - RICH FOODS NC BB-LANDRYS"</f>
        <v>000306518 - RICH FOODS NC BB-LANDRYS</v>
      </c>
      <c r="C607" t="s">
        <v>692</v>
      </c>
      <c r="D607" s="1" t="str">
        <f t="shared" si="15"/>
        <v>PRG-1013553</v>
      </c>
      <c r="E607" t="s">
        <v>202</v>
      </c>
      <c r="F607" t="s">
        <v>4</v>
      </c>
      <c r="G607" t="str">
        <f>""</f>
        <v/>
      </c>
    </row>
    <row r="608" spans="1:7" x14ac:dyDescent="0.25">
      <c r="A608" t="s">
        <v>8</v>
      </c>
      <c r="B608" s="1" t="str">
        <f>"000307099 - RICH FOODS NONCORE-LANDRYS"</f>
        <v>000307099 - RICH FOODS NONCORE-LANDRYS</v>
      </c>
      <c r="C608" t="s">
        <v>594</v>
      </c>
      <c r="D608" s="1" t="str">
        <f t="shared" si="15"/>
        <v>PRG-1013553</v>
      </c>
      <c r="E608" t="s">
        <v>202</v>
      </c>
      <c r="F608" t="s">
        <v>4</v>
      </c>
      <c r="G608" t="str">
        <f>""</f>
        <v/>
      </c>
    </row>
    <row r="609" spans="1:7" x14ac:dyDescent="0.25">
      <c r="A609" t="s">
        <v>8</v>
      </c>
      <c r="B609" s="1" t="str">
        <f>"000307264 - RICH FOODS CORE-LANDRYS"</f>
        <v>000307264 - RICH FOODS CORE-LANDRYS</v>
      </c>
      <c r="C609" t="s">
        <v>662</v>
      </c>
      <c r="D609" s="1" t="str">
        <f t="shared" si="15"/>
        <v>PRG-1013553</v>
      </c>
      <c r="E609" t="s">
        <v>202</v>
      </c>
      <c r="F609" t="s">
        <v>4</v>
      </c>
      <c r="G609" t="str">
        <f>""</f>
        <v/>
      </c>
    </row>
    <row r="610" spans="1:7" x14ac:dyDescent="0.25">
      <c r="A610" t="s">
        <v>8</v>
      </c>
      <c r="B610" s="1" t="str">
        <f>"000307265 - RICH FOODS NONCORE-LANDRYS"</f>
        <v>000307265 - RICH FOODS NONCORE-LANDRYS</v>
      </c>
      <c r="C610" t="s">
        <v>594</v>
      </c>
      <c r="D610" s="1" t="str">
        <f t="shared" si="15"/>
        <v>PRG-1013553</v>
      </c>
      <c r="E610" t="s">
        <v>202</v>
      </c>
      <c r="F610" t="s">
        <v>4</v>
      </c>
      <c r="G610" t="str">
        <f>""</f>
        <v/>
      </c>
    </row>
    <row r="611" spans="1:7" x14ac:dyDescent="0.25">
      <c r="A611" t="s">
        <v>8</v>
      </c>
      <c r="B611" s="1" t="str">
        <f>"000307464 - RICH FOODS CORE-LANDRYS"</f>
        <v>000307464 - RICH FOODS CORE-LANDRYS</v>
      </c>
      <c r="C611" t="s">
        <v>662</v>
      </c>
      <c r="D611" s="1" t="str">
        <f t="shared" si="15"/>
        <v>PRG-1013553</v>
      </c>
      <c r="E611" t="s">
        <v>202</v>
      </c>
      <c r="F611" t="s">
        <v>4</v>
      </c>
      <c r="G611" t="str">
        <f>""</f>
        <v/>
      </c>
    </row>
    <row r="612" spans="1:7" x14ac:dyDescent="0.25">
      <c r="A612" t="s">
        <v>8</v>
      </c>
      <c r="B612" s="1" t="str">
        <f>"000307465 - RICH FOODS NONCORE-LANDRYS"</f>
        <v>000307465 - RICH FOODS NONCORE-LANDRYS</v>
      </c>
      <c r="C612" t="s">
        <v>594</v>
      </c>
      <c r="D612" s="1" t="str">
        <f t="shared" si="15"/>
        <v>PRG-1013553</v>
      </c>
      <c r="E612" t="s">
        <v>202</v>
      </c>
      <c r="F612" t="s">
        <v>4</v>
      </c>
      <c r="G612" t="str">
        <f>""</f>
        <v/>
      </c>
    </row>
    <row r="613" spans="1:7" x14ac:dyDescent="0.25">
      <c r="A613" t="s">
        <v>8</v>
      </c>
      <c r="B613" s="1" t="str">
        <f>"000307845 - RICH FOODS C BB-LANDRYS"</f>
        <v>000307845 - RICH FOODS C BB-LANDRYS</v>
      </c>
      <c r="C613" t="s">
        <v>697</v>
      </c>
      <c r="D613" s="1" t="str">
        <f t="shared" si="15"/>
        <v>PRG-1013553</v>
      </c>
      <c r="E613" t="s">
        <v>202</v>
      </c>
      <c r="F613" t="s">
        <v>4</v>
      </c>
      <c r="G613" t="str">
        <f>""</f>
        <v/>
      </c>
    </row>
    <row r="614" spans="1:7" x14ac:dyDescent="0.25">
      <c r="A614" t="s">
        <v>8</v>
      </c>
      <c r="B614" s="1" t="str">
        <f>"000307864 - RICH FOODS BB-LANDRYS DPM"</f>
        <v>000307864 - RICH FOODS BB-LANDRYS DPM</v>
      </c>
      <c r="C614" t="s">
        <v>3073</v>
      </c>
      <c r="D614" s="1" t="str">
        <f t="shared" si="15"/>
        <v>PRG-1013553</v>
      </c>
      <c r="E614" t="s">
        <v>202</v>
      </c>
      <c r="F614" t="s">
        <v>4</v>
      </c>
      <c r="G614" t="str">
        <f>""</f>
        <v/>
      </c>
    </row>
    <row r="615" spans="1:7" x14ac:dyDescent="0.25">
      <c r="A615" t="s">
        <v>8</v>
      </c>
      <c r="B615" s="1" t="str">
        <f>"000308721 - RICH FOODS-LANDRYS"</f>
        <v>000308721 - RICH FOODS-LANDRYS</v>
      </c>
      <c r="C615" t="s">
        <v>435</v>
      </c>
      <c r="D615" s="1" t="str">
        <f t="shared" si="15"/>
        <v>PRG-1013553</v>
      </c>
      <c r="E615" t="s">
        <v>202</v>
      </c>
      <c r="F615" t="s">
        <v>4</v>
      </c>
      <c r="G615" t="str">
        <f>""</f>
        <v/>
      </c>
    </row>
    <row r="616" spans="1:7" x14ac:dyDescent="0.25">
      <c r="A616" t="s">
        <v>8</v>
      </c>
      <c r="B616" s="1" t="str">
        <f>"000309192 - RICH FOODS CORE-LANDRYS"</f>
        <v>000309192 - RICH FOODS CORE-LANDRYS</v>
      </c>
      <c r="C616" t="s">
        <v>662</v>
      </c>
      <c r="D616" s="1" t="str">
        <f t="shared" si="15"/>
        <v>PRG-1013553</v>
      </c>
      <c r="E616" t="s">
        <v>202</v>
      </c>
      <c r="F616" t="s">
        <v>4</v>
      </c>
      <c r="G616" t="str">
        <f>""</f>
        <v/>
      </c>
    </row>
    <row r="617" spans="1:7" x14ac:dyDescent="0.25">
      <c r="A617" t="s">
        <v>8</v>
      </c>
      <c r="B617" s="1" t="str">
        <f>"000309193 - RICH FOODS NONCORE-LANDRYS"</f>
        <v>000309193 - RICH FOODS NONCORE-LANDRYS</v>
      </c>
      <c r="C617" t="s">
        <v>594</v>
      </c>
      <c r="D617" s="1" t="str">
        <f t="shared" si="15"/>
        <v>PRG-1013553</v>
      </c>
      <c r="E617" t="s">
        <v>202</v>
      </c>
      <c r="F617" t="s">
        <v>4</v>
      </c>
      <c r="G617" t="str">
        <f>""</f>
        <v/>
      </c>
    </row>
    <row r="618" spans="1:7" x14ac:dyDescent="0.25">
      <c r="A618" t="s">
        <v>8</v>
      </c>
      <c r="B618" s="1" t="str">
        <f>"000311290 - RICH FOODS NCBB-LANDRYS"</f>
        <v>000311290 - RICH FOODS NCBB-LANDRYS</v>
      </c>
      <c r="C618" t="s">
        <v>201</v>
      </c>
      <c r="D618" s="1" t="str">
        <f t="shared" si="15"/>
        <v>PRG-1013553</v>
      </c>
      <c r="E618" t="s">
        <v>202</v>
      </c>
      <c r="F618" t="s">
        <v>4</v>
      </c>
      <c r="G618" t="str">
        <f>""</f>
        <v/>
      </c>
    </row>
    <row r="619" spans="1:7" x14ac:dyDescent="0.25">
      <c r="A619" t="s">
        <v>8</v>
      </c>
      <c r="B619" s="1" t="str">
        <f>"000311628 - RICH FOODS CBB-LANDRYS"</f>
        <v>000311628 - RICH FOODS CBB-LANDRYS</v>
      </c>
      <c r="C619" t="s">
        <v>198</v>
      </c>
      <c r="D619" s="1" t="str">
        <f t="shared" si="15"/>
        <v>PRG-1013553</v>
      </c>
      <c r="E619" t="s">
        <v>202</v>
      </c>
      <c r="F619" t="s">
        <v>4</v>
      </c>
      <c r="G619" t="str">
        <f>""</f>
        <v/>
      </c>
    </row>
    <row r="620" spans="1:7" x14ac:dyDescent="0.25">
      <c r="A620" t="s">
        <v>8</v>
      </c>
      <c r="B620" s="1" t="str">
        <f>"000311877 - RICH FOODS NCBB-LANDRYS"</f>
        <v>000311877 - RICH FOODS NCBB-LANDRYS</v>
      </c>
      <c r="C620" t="s">
        <v>201</v>
      </c>
      <c r="D620" s="1" t="str">
        <f t="shared" si="15"/>
        <v>PRG-1013553</v>
      </c>
      <c r="E620" t="s">
        <v>202</v>
      </c>
      <c r="F620" t="s">
        <v>4</v>
      </c>
      <c r="G620" t="str">
        <f>""</f>
        <v/>
      </c>
    </row>
    <row r="621" spans="1:7" x14ac:dyDescent="0.25">
      <c r="A621" t="s">
        <v>8</v>
      </c>
      <c r="B621" s="1" t="str">
        <f>"000312316 - RICH FOODS CBB-LANDRYS"</f>
        <v>000312316 - RICH FOODS CBB-LANDRYS</v>
      </c>
      <c r="C621" t="s">
        <v>198</v>
      </c>
      <c r="D621" s="1" t="str">
        <f t="shared" si="15"/>
        <v>PRG-1013553</v>
      </c>
      <c r="E621" t="s">
        <v>202</v>
      </c>
      <c r="F621" t="s">
        <v>4</v>
      </c>
      <c r="G621" t="str">
        <f>""</f>
        <v/>
      </c>
    </row>
    <row r="622" spans="1:7" x14ac:dyDescent="0.25">
      <c r="A622" t="s">
        <v>8</v>
      </c>
      <c r="B622" s="1" t="str">
        <f>"000313086 - RICH FOODS CBB-LANDRYS"</f>
        <v>000313086 - RICH FOODS CBB-LANDRYS</v>
      </c>
      <c r="C622" t="s">
        <v>198</v>
      </c>
      <c r="D622" s="1" t="str">
        <f t="shared" si="15"/>
        <v>PRG-1013553</v>
      </c>
      <c r="E622" t="s">
        <v>202</v>
      </c>
      <c r="F622" t="s">
        <v>4</v>
      </c>
      <c r="G622" t="str">
        <f>""</f>
        <v/>
      </c>
    </row>
    <row r="623" spans="1:7" x14ac:dyDescent="0.25">
      <c r="A623" t="s">
        <v>8</v>
      </c>
      <c r="B623" s="1" t="str">
        <f>"000316317 - RICH FOODS NC BB-LANDRYS"</f>
        <v>000316317 - RICH FOODS NC BB-LANDRYS</v>
      </c>
      <c r="C623" t="s">
        <v>692</v>
      </c>
      <c r="D623" s="1" t="str">
        <f t="shared" si="15"/>
        <v>PRG-1013553</v>
      </c>
      <c r="E623" t="s">
        <v>202</v>
      </c>
      <c r="F623" t="s">
        <v>4</v>
      </c>
      <c r="G623" t="str">
        <f>""</f>
        <v/>
      </c>
    </row>
    <row r="624" spans="1:7" x14ac:dyDescent="0.25">
      <c r="A624" t="s">
        <v>8</v>
      </c>
      <c r="B624" s="1" t="str">
        <f>"000317451 - RICH FOODS C BB-LANDRYS"</f>
        <v>000317451 - RICH FOODS C BB-LANDRYS</v>
      </c>
      <c r="C624" t="s">
        <v>697</v>
      </c>
      <c r="D624" s="1" t="str">
        <f t="shared" si="15"/>
        <v>PRG-1013553</v>
      </c>
      <c r="E624" t="s">
        <v>202</v>
      </c>
      <c r="F624" t="s">
        <v>4</v>
      </c>
      <c r="G624" t="str">
        <f>""</f>
        <v/>
      </c>
    </row>
    <row r="625" spans="1:7" x14ac:dyDescent="0.25">
      <c r="A625" t="s">
        <v>8</v>
      </c>
      <c r="B625" s="1" t="str">
        <f>"000317651 - RICH FDS LANDRY'S CORE BB"</f>
        <v>000317651 - RICH FDS LANDRY'S CORE BB</v>
      </c>
      <c r="C625" t="s">
        <v>3207</v>
      </c>
      <c r="D625" s="1" t="str">
        <f t="shared" si="15"/>
        <v>PRG-1013553</v>
      </c>
      <c r="E625" t="s">
        <v>202</v>
      </c>
      <c r="F625" t="s">
        <v>4</v>
      </c>
      <c r="G625" t="str">
        <f>""</f>
        <v/>
      </c>
    </row>
    <row r="626" spans="1:7" x14ac:dyDescent="0.25">
      <c r="A626" t="s">
        <v>8</v>
      </c>
      <c r="B626" s="1" t="str">
        <f>"000318124 - "</f>
        <v xml:space="preserve">000318124 - </v>
      </c>
      <c r="D626" s="1" t="str">
        <f t="shared" si="15"/>
        <v>PRG-1013553</v>
      </c>
      <c r="E626" t="s">
        <v>202</v>
      </c>
      <c r="F626" t="s">
        <v>4</v>
      </c>
      <c r="G626" t="str">
        <f>""</f>
        <v/>
      </c>
    </row>
    <row r="627" spans="1:7" x14ac:dyDescent="0.25">
      <c r="A627" t="s">
        <v>8</v>
      </c>
      <c r="B627" s="1" t="str">
        <f>"000318183 - RICH FOODS CORE-LANDRYS"</f>
        <v>000318183 - RICH FOODS CORE-LANDRYS</v>
      </c>
      <c r="C627" t="s">
        <v>662</v>
      </c>
      <c r="D627" s="1" t="str">
        <f t="shared" si="15"/>
        <v>PRG-1013553</v>
      </c>
      <c r="E627" t="s">
        <v>202</v>
      </c>
      <c r="F627" t="s">
        <v>4</v>
      </c>
      <c r="G627" t="str">
        <f>""</f>
        <v/>
      </c>
    </row>
    <row r="628" spans="1:7" x14ac:dyDescent="0.25">
      <c r="A628" t="s">
        <v>8</v>
      </c>
      <c r="B628" s="1" t="str">
        <f>"000318184 - RICH FOODS NONCORE-LANDRYS"</f>
        <v>000318184 - RICH FOODS NONCORE-LANDRYS</v>
      </c>
      <c r="C628" t="s">
        <v>594</v>
      </c>
      <c r="D628" s="1" t="str">
        <f t="shared" si="15"/>
        <v>PRG-1013553</v>
      </c>
      <c r="E628" t="s">
        <v>202</v>
      </c>
      <c r="F628" t="s">
        <v>4</v>
      </c>
      <c r="G628" t="str">
        <f>""</f>
        <v/>
      </c>
    </row>
    <row r="629" spans="1:7" x14ac:dyDescent="0.25">
      <c r="A629" t="s">
        <v>8</v>
      </c>
      <c r="B629" s="1" t="str">
        <f>"000318216 - RICH FOODS CORE-LANDRYS"</f>
        <v>000318216 - RICH FOODS CORE-LANDRYS</v>
      </c>
      <c r="C629" t="s">
        <v>662</v>
      </c>
      <c r="D629" s="1" t="str">
        <f t="shared" si="15"/>
        <v>PRG-1013553</v>
      </c>
      <c r="E629" t="s">
        <v>202</v>
      </c>
      <c r="F629" t="s">
        <v>4</v>
      </c>
      <c r="G629" t="str">
        <f>""</f>
        <v/>
      </c>
    </row>
    <row r="630" spans="1:7" x14ac:dyDescent="0.25">
      <c r="A630" t="s">
        <v>8</v>
      </c>
      <c r="B630" s="1" t="str">
        <f>"000318217 - RICH FOODS NONCORE-LANDRYS"</f>
        <v>000318217 - RICH FOODS NONCORE-LANDRYS</v>
      </c>
      <c r="C630" t="s">
        <v>594</v>
      </c>
      <c r="D630" s="1" t="str">
        <f t="shared" si="15"/>
        <v>PRG-1013553</v>
      </c>
      <c r="E630" t="s">
        <v>202</v>
      </c>
      <c r="F630" t="s">
        <v>4</v>
      </c>
      <c r="G630" t="str">
        <f>""</f>
        <v/>
      </c>
    </row>
    <row r="631" spans="1:7" x14ac:dyDescent="0.25">
      <c r="A631" t="s">
        <v>8</v>
      </c>
      <c r="B631" s="1" t="str">
        <f>"000318226 - "</f>
        <v xml:space="preserve">000318226 - </v>
      </c>
      <c r="D631" s="1" t="str">
        <f t="shared" si="15"/>
        <v>PRG-1013553</v>
      </c>
      <c r="E631" t="s">
        <v>202</v>
      </c>
      <c r="F631" t="s">
        <v>4</v>
      </c>
      <c r="G631" t="str">
        <f>""</f>
        <v/>
      </c>
    </row>
    <row r="632" spans="1:7" x14ac:dyDescent="0.25">
      <c r="A632" t="s">
        <v>8</v>
      </c>
      <c r="B632" s="1" t="str">
        <f>"000318227 - RICH FOODS NONCORE-LANDRYS"</f>
        <v>000318227 - RICH FOODS NONCORE-LANDRYS</v>
      </c>
      <c r="C632" t="s">
        <v>594</v>
      </c>
      <c r="D632" s="1" t="str">
        <f t="shared" si="15"/>
        <v>PRG-1013553</v>
      </c>
      <c r="E632" t="s">
        <v>202</v>
      </c>
      <c r="F632" t="s">
        <v>4</v>
      </c>
      <c r="G632" t="str">
        <f>""</f>
        <v/>
      </c>
    </row>
    <row r="633" spans="1:7" x14ac:dyDescent="0.25">
      <c r="A633" t="s">
        <v>8</v>
      </c>
      <c r="B633" s="1" t="str">
        <f>"000319287 - RICH FOODS NC BB-LANDRYS"</f>
        <v>000319287 - RICH FOODS NC BB-LANDRYS</v>
      </c>
      <c r="C633" t="s">
        <v>692</v>
      </c>
      <c r="D633" s="1" t="str">
        <f t="shared" si="15"/>
        <v>PRG-1013553</v>
      </c>
      <c r="E633" t="s">
        <v>202</v>
      </c>
      <c r="F633" t="s">
        <v>4</v>
      </c>
      <c r="G633" t="str">
        <f>""</f>
        <v/>
      </c>
    </row>
    <row r="634" spans="1:7" x14ac:dyDescent="0.25">
      <c r="A634" t="s">
        <v>8</v>
      </c>
      <c r="B634" s="1" t="str">
        <f>"000320559 - RICH FOODS C BB-LANDRYS"</f>
        <v>000320559 - RICH FOODS C BB-LANDRYS</v>
      </c>
      <c r="C634" t="s">
        <v>697</v>
      </c>
      <c r="D634" s="1" t="str">
        <f t="shared" si="15"/>
        <v>PRG-1013553</v>
      </c>
      <c r="E634" t="s">
        <v>202</v>
      </c>
      <c r="F634" t="s">
        <v>4</v>
      </c>
      <c r="G634" t="str">
        <f>""</f>
        <v/>
      </c>
    </row>
    <row r="635" spans="1:7" x14ac:dyDescent="0.25">
      <c r="A635" t="s">
        <v>8</v>
      </c>
      <c r="B635" s="1" t="str">
        <f>"000320706 - RICH FOODS NCBB-LANDRYS"</f>
        <v>000320706 - RICH FOODS NCBB-LANDRYS</v>
      </c>
      <c r="C635" t="s">
        <v>201</v>
      </c>
      <c r="D635" s="1" t="str">
        <f t="shared" si="15"/>
        <v>PRG-1013553</v>
      </c>
      <c r="E635" t="s">
        <v>202</v>
      </c>
      <c r="F635" t="s">
        <v>4</v>
      </c>
      <c r="G635" t="str">
        <f>""</f>
        <v/>
      </c>
    </row>
    <row r="636" spans="1:7" x14ac:dyDescent="0.25">
      <c r="A636" t="s">
        <v>8</v>
      </c>
      <c r="B636" s="1" t="str">
        <f>"000320779 - RICH FOODS C BB-LANDRYS"</f>
        <v>000320779 - RICH FOODS C BB-LANDRYS</v>
      </c>
      <c r="C636" t="s">
        <v>697</v>
      </c>
      <c r="D636" s="1" t="str">
        <f t="shared" si="15"/>
        <v>PRG-1013553</v>
      </c>
      <c r="E636" t="s">
        <v>202</v>
      </c>
      <c r="F636" t="s">
        <v>4</v>
      </c>
      <c r="G636" t="str">
        <f>""</f>
        <v/>
      </c>
    </row>
    <row r="637" spans="1:7" x14ac:dyDescent="0.25">
      <c r="A637" t="s">
        <v>8</v>
      </c>
      <c r="B637" s="1" t="str">
        <f>"000321070 - RICH FOODS CBB-LANDRYS"</f>
        <v>000321070 - RICH FOODS CBB-LANDRYS</v>
      </c>
      <c r="C637" t="s">
        <v>198</v>
      </c>
      <c r="D637" s="1" t="str">
        <f t="shared" si="15"/>
        <v>PRG-1013553</v>
      </c>
      <c r="E637" t="s">
        <v>202</v>
      </c>
      <c r="F637" t="s">
        <v>4</v>
      </c>
      <c r="G637" t="str">
        <f>""</f>
        <v/>
      </c>
    </row>
    <row r="638" spans="1:7" x14ac:dyDescent="0.25">
      <c r="A638" t="s">
        <v>8</v>
      </c>
      <c r="B638" s="1" t="str">
        <f>"000321643 - RICH FOODS CBB-LANDRYS"</f>
        <v>000321643 - RICH FOODS CBB-LANDRYS</v>
      </c>
      <c r="C638" t="s">
        <v>198</v>
      </c>
      <c r="D638" s="1" t="str">
        <f t="shared" si="15"/>
        <v>PRG-1013553</v>
      </c>
      <c r="E638" t="s">
        <v>202</v>
      </c>
      <c r="F638" t="s">
        <v>4</v>
      </c>
      <c r="G638" t="str">
        <f>""</f>
        <v/>
      </c>
    </row>
    <row r="639" spans="1:7" x14ac:dyDescent="0.25">
      <c r="A639" t="s">
        <v>8</v>
      </c>
      <c r="B639" s="1" t="str">
        <f>"000324236 - RICH FOODS NCBB-LANDRYS"</f>
        <v>000324236 - RICH FOODS NCBB-LANDRYS</v>
      </c>
      <c r="C639" t="s">
        <v>201</v>
      </c>
      <c r="D639" s="1" t="str">
        <f t="shared" si="15"/>
        <v>PRG-1013553</v>
      </c>
      <c r="E639" t="s">
        <v>202</v>
      </c>
      <c r="F639" t="s">
        <v>4</v>
      </c>
      <c r="G639" t="str">
        <f>""</f>
        <v/>
      </c>
    </row>
    <row r="640" spans="1:7" x14ac:dyDescent="0.25">
      <c r="A640" t="s">
        <v>8</v>
      </c>
      <c r="B640" s="1" t="str">
        <f>"000324646 - RICH FOODS CBB-LANDRYS"</f>
        <v>000324646 - RICH FOODS CBB-LANDRYS</v>
      </c>
      <c r="C640" t="s">
        <v>198</v>
      </c>
      <c r="D640" s="1" t="str">
        <f t="shared" si="15"/>
        <v>PRG-1013553</v>
      </c>
      <c r="E640" t="s">
        <v>202</v>
      </c>
      <c r="F640" t="s">
        <v>4</v>
      </c>
      <c r="G640" t="str">
        <f>""</f>
        <v/>
      </c>
    </row>
    <row r="641" spans="1:7" x14ac:dyDescent="0.25">
      <c r="A641" t="s">
        <v>8</v>
      </c>
      <c r="B641" s="1" t="str">
        <f>"000325376 - RICH FOODS CBB-LANDRYS"</f>
        <v>000325376 - RICH FOODS CBB-LANDRYS</v>
      </c>
      <c r="C641" t="s">
        <v>198</v>
      </c>
      <c r="D641" s="1" t="str">
        <f t="shared" si="15"/>
        <v>PRG-1013553</v>
      </c>
      <c r="E641" t="s">
        <v>202</v>
      </c>
      <c r="F641" t="s">
        <v>4</v>
      </c>
      <c r="G641" t="str">
        <f>""</f>
        <v/>
      </c>
    </row>
    <row r="642" spans="1:7" x14ac:dyDescent="0.25">
      <c r="A642" t="s">
        <v>8</v>
      </c>
      <c r="B642" s="1" t="str">
        <f>"000327474 - "</f>
        <v xml:space="preserve">000327474 - </v>
      </c>
      <c r="D642" s="1" t="str">
        <f t="shared" si="15"/>
        <v>PRG-1013553</v>
      </c>
      <c r="E642" t="s">
        <v>202</v>
      </c>
      <c r="F642" t="s">
        <v>4</v>
      </c>
      <c r="G642" t="str">
        <f>""</f>
        <v/>
      </c>
    </row>
    <row r="643" spans="1:7" x14ac:dyDescent="0.25">
      <c r="A643" t="s">
        <v>8</v>
      </c>
      <c r="B643" s="1" t="str">
        <f>"000327601 - "</f>
        <v xml:space="preserve">000327601 - </v>
      </c>
      <c r="D643" s="1" t="str">
        <f t="shared" si="15"/>
        <v>PRG-1013553</v>
      </c>
      <c r="E643" t="s">
        <v>202</v>
      </c>
      <c r="F643" t="s">
        <v>4</v>
      </c>
      <c r="G643" t="str">
        <f>""</f>
        <v/>
      </c>
    </row>
    <row r="644" spans="1:7" x14ac:dyDescent="0.25">
      <c r="A644" t="s">
        <v>8</v>
      </c>
      <c r="B644" s="1" t="str">
        <f>"000327643 - RICH FOODS C BB-LANDRYS"</f>
        <v>000327643 - RICH FOODS C BB-LANDRYS</v>
      </c>
      <c r="C644" t="s">
        <v>697</v>
      </c>
      <c r="D644" s="1" t="str">
        <f t="shared" si="15"/>
        <v>PRG-1013553</v>
      </c>
      <c r="E644" t="s">
        <v>202</v>
      </c>
      <c r="F644" t="s">
        <v>4</v>
      </c>
      <c r="G644" t="str">
        <f>""</f>
        <v/>
      </c>
    </row>
    <row r="645" spans="1:7" x14ac:dyDescent="0.25">
      <c r="A645" t="s">
        <v>8</v>
      </c>
      <c r="B645" s="1" t="str">
        <f>"000328602 - "</f>
        <v xml:space="preserve">000328602 - </v>
      </c>
      <c r="D645" s="1" t="str">
        <f t="shared" si="15"/>
        <v>PRG-1013553</v>
      </c>
      <c r="E645" t="s">
        <v>202</v>
      </c>
      <c r="F645" t="s">
        <v>4</v>
      </c>
      <c r="G645" t="str">
        <f>""</f>
        <v/>
      </c>
    </row>
    <row r="646" spans="1:7" x14ac:dyDescent="0.25">
      <c r="A646" t="s">
        <v>8</v>
      </c>
      <c r="B646" s="1" t="str">
        <f>"000328603 - "</f>
        <v xml:space="preserve">000328603 - </v>
      </c>
      <c r="D646" s="1" t="str">
        <f t="shared" si="15"/>
        <v>PRG-1013553</v>
      </c>
      <c r="E646" t="s">
        <v>202</v>
      </c>
      <c r="F646" t="s">
        <v>4</v>
      </c>
      <c r="G646" t="str">
        <f>""</f>
        <v/>
      </c>
    </row>
    <row r="647" spans="1:7" x14ac:dyDescent="0.25">
      <c r="A647" t="s">
        <v>8</v>
      </c>
      <c r="B647" s="1" t="str">
        <f>"000328864 - RICH FOODS C BB-LANDRYS"</f>
        <v>000328864 - RICH FOODS C BB-LANDRYS</v>
      </c>
      <c r="C647" t="s">
        <v>697</v>
      </c>
      <c r="D647" s="1" t="str">
        <f t="shared" si="15"/>
        <v>PRG-1013553</v>
      </c>
      <c r="E647" t="s">
        <v>202</v>
      </c>
      <c r="F647" t="s">
        <v>4</v>
      </c>
      <c r="G647" t="str">
        <f>""</f>
        <v/>
      </c>
    </row>
    <row r="648" spans="1:7" x14ac:dyDescent="0.25">
      <c r="A648" t="s">
        <v>8</v>
      </c>
      <c r="B648" s="1" t="str">
        <f>"000328933 - RICH FOODS C BB-LANDRYS"</f>
        <v>000328933 - RICH FOODS C BB-LANDRYS</v>
      </c>
      <c r="C648" t="s">
        <v>697</v>
      </c>
      <c r="D648" s="1" t="str">
        <f t="shared" si="15"/>
        <v>PRG-1013553</v>
      </c>
      <c r="E648" t="s">
        <v>202</v>
      </c>
      <c r="F648" t="s">
        <v>4</v>
      </c>
      <c r="G648" t="str">
        <f>""</f>
        <v/>
      </c>
    </row>
    <row r="649" spans="1:7" x14ac:dyDescent="0.25">
      <c r="A649" t="s">
        <v>8</v>
      </c>
      <c r="B649" s="1" t="str">
        <f>"000330893 - RICH FOODS CBB-LANDRYS"</f>
        <v>000330893 - RICH FOODS CBB-LANDRYS</v>
      </c>
      <c r="C649" t="s">
        <v>198</v>
      </c>
      <c r="D649" s="1" t="str">
        <f t="shared" si="15"/>
        <v>PRG-1013553</v>
      </c>
      <c r="E649" t="s">
        <v>202</v>
      </c>
      <c r="F649" t="s">
        <v>4</v>
      </c>
      <c r="G649" t="str">
        <f>""</f>
        <v/>
      </c>
    </row>
    <row r="650" spans="1:7" x14ac:dyDescent="0.25">
      <c r="A650" t="s">
        <v>8</v>
      </c>
      <c r="B650" s="1" t="str">
        <f>"000331202 - RICH FOODS CBB-LANDRYS"</f>
        <v>000331202 - RICH FOODS CBB-LANDRYS</v>
      </c>
      <c r="C650" t="s">
        <v>198</v>
      </c>
      <c r="D650" s="1" t="str">
        <f t="shared" si="15"/>
        <v>PRG-1013553</v>
      </c>
      <c r="E650" t="s">
        <v>202</v>
      </c>
      <c r="F650" t="s">
        <v>4</v>
      </c>
      <c r="G650" t="str">
        <f>""</f>
        <v/>
      </c>
    </row>
    <row r="651" spans="1:7" x14ac:dyDescent="0.25">
      <c r="A651" t="s">
        <v>8</v>
      </c>
      <c r="B651" s="1" t="str">
        <f>"000332931 - RICH FOODS NCBB-LANDRYS"</f>
        <v>000332931 - RICH FOODS NCBB-LANDRYS</v>
      </c>
      <c r="C651" t="s">
        <v>201</v>
      </c>
      <c r="D651" s="1" t="str">
        <f t="shared" si="15"/>
        <v>PRG-1013553</v>
      </c>
      <c r="E651" t="s">
        <v>202</v>
      </c>
      <c r="F651" t="s">
        <v>4</v>
      </c>
      <c r="G651" t="str">
        <f>""</f>
        <v/>
      </c>
    </row>
    <row r="652" spans="1:7" x14ac:dyDescent="0.25">
      <c r="A652" t="s">
        <v>8</v>
      </c>
      <c r="B652" s="1" t="str">
        <f>"000333299 - RICH FOODS CBB-LANDRYS"</f>
        <v>000333299 - RICH FOODS CBB-LANDRYS</v>
      </c>
      <c r="C652" t="s">
        <v>198</v>
      </c>
      <c r="D652" s="1" t="str">
        <f t="shared" si="15"/>
        <v>PRG-1013553</v>
      </c>
      <c r="E652" t="s">
        <v>202</v>
      </c>
      <c r="F652" t="s">
        <v>4</v>
      </c>
      <c r="G652" t="str">
        <f>""</f>
        <v/>
      </c>
    </row>
    <row r="653" spans="1:7" x14ac:dyDescent="0.25">
      <c r="A653" t="s">
        <v>8</v>
      </c>
      <c r="B653" s="1" t="str">
        <f>"000333788 - RICH FOODS-LANDRYS"</f>
        <v>000333788 - RICH FOODS-LANDRYS</v>
      </c>
      <c r="C653" t="s">
        <v>435</v>
      </c>
      <c r="D653" s="1" t="str">
        <f t="shared" si="15"/>
        <v>PRG-1013553</v>
      </c>
      <c r="E653" t="s">
        <v>202</v>
      </c>
      <c r="F653" t="s">
        <v>4</v>
      </c>
      <c r="G653" t="str">
        <f>""</f>
        <v/>
      </c>
    </row>
    <row r="654" spans="1:7" x14ac:dyDescent="0.25">
      <c r="A654" t="s">
        <v>8</v>
      </c>
      <c r="B654" s="1" t="str">
        <f>"000333931 - RICH FOODS CBB-LANDRYS"</f>
        <v>000333931 - RICH FOODS CBB-LANDRYS</v>
      </c>
      <c r="C654" t="s">
        <v>198</v>
      </c>
      <c r="D654" s="1" t="str">
        <f t="shared" si="15"/>
        <v>PRG-1013553</v>
      </c>
      <c r="E654" t="s">
        <v>202</v>
      </c>
      <c r="F654" t="s">
        <v>4</v>
      </c>
      <c r="G654" t="str">
        <f>""</f>
        <v/>
      </c>
    </row>
    <row r="655" spans="1:7" x14ac:dyDescent="0.25">
      <c r="A655" t="s">
        <v>8</v>
      </c>
      <c r="B655" s="1" t="str">
        <f>"000337055 - RICH FOODS NC BB-LANDRYS"</f>
        <v>000337055 - RICH FOODS NC BB-LANDRYS</v>
      </c>
      <c r="C655" t="s">
        <v>692</v>
      </c>
      <c r="D655" s="1" t="str">
        <f t="shared" si="15"/>
        <v>PRG-1013553</v>
      </c>
      <c r="E655" t="s">
        <v>202</v>
      </c>
      <c r="F655" t="s">
        <v>4</v>
      </c>
      <c r="G655" t="str">
        <f>""</f>
        <v/>
      </c>
    </row>
    <row r="656" spans="1:7" x14ac:dyDescent="0.25">
      <c r="A656" t="s">
        <v>8</v>
      </c>
      <c r="B656" s="1" t="str">
        <f>"000338421 - "</f>
        <v xml:space="preserve">000338421 - </v>
      </c>
      <c r="D656" s="1" t="str">
        <f t="shared" si="15"/>
        <v>PRG-1013553</v>
      </c>
      <c r="E656" t="s">
        <v>202</v>
      </c>
      <c r="F656" t="s">
        <v>4</v>
      </c>
      <c r="G656" t="str">
        <f>""</f>
        <v/>
      </c>
    </row>
    <row r="657" spans="1:7" x14ac:dyDescent="0.25">
      <c r="A657" t="s">
        <v>8</v>
      </c>
      <c r="B657" s="1" t="str">
        <f>"000341683 - RICH FOODS NCBB-LANDRYS"</f>
        <v>000341683 - RICH FOODS NCBB-LANDRYS</v>
      </c>
      <c r="C657" t="s">
        <v>201</v>
      </c>
      <c r="D657" s="1" t="str">
        <f t="shared" si="15"/>
        <v>PRG-1013553</v>
      </c>
      <c r="E657" t="s">
        <v>202</v>
      </c>
      <c r="F657" t="s">
        <v>4</v>
      </c>
      <c r="G657" t="str">
        <f>""</f>
        <v/>
      </c>
    </row>
    <row r="658" spans="1:7" x14ac:dyDescent="0.25">
      <c r="A658" t="s">
        <v>8</v>
      </c>
      <c r="B658" s="1" t="str">
        <f>"000341996 - RICH FOODS CBB-LANDRYS"</f>
        <v>000341996 - RICH FOODS CBB-LANDRYS</v>
      </c>
      <c r="C658" t="s">
        <v>198</v>
      </c>
      <c r="D658" s="1" t="str">
        <f t="shared" si="15"/>
        <v>PRG-1013553</v>
      </c>
      <c r="E658" t="s">
        <v>202</v>
      </c>
      <c r="F658" t="s">
        <v>4</v>
      </c>
      <c r="G658" t="str">
        <f>""</f>
        <v/>
      </c>
    </row>
    <row r="659" spans="1:7" x14ac:dyDescent="0.25">
      <c r="A659" t="s">
        <v>8</v>
      </c>
      <c r="B659" s="1" t="str">
        <f>"000343993 - RICH FOODS CORE-LANDRYS"</f>
        <v>000343993 - RICH FOODS CORE-LANDRYS</v>
      </c>
      <c r="C659" t="s">
        <v>662</v>
      </c>
      <c r="D659" s="1" t="str">
        <f t="shared" si="15"/>
        <v>PRG-1013553</v>
      </c>
      <c r="E659" t="s">
        <v>202</v>
      </c>
      <c r="F659" t="s">
        <v>4</v>
      </c>
      <c r="G659" t="str">
        <f>""</f>
        <v/>
      </c>
    </row>
    <row r="660" spans="1:7" x14ac:dyDescent="0.25">
      <c r="A660" t="s">
        <v>8</v>
      </c>
      <c r="B660" s="1" t="str">
        <f>"000343994 - RICH FOODS NONCORE-LANDRYS"</f>
        <v>000343994 - RICH FOODS NONCORE-LANDRYS</v>
      </c>
      <c r="C660" t="s">
        <v>594</v>
      </c>
      <c r="D660" s="1" t="str">
        <f t="shared" si="15"/>
        <v>PRG-1013553</v>
      </c>
      <c r="E660" t="s">
        <v>202</v>
      </c>
      <c r="F660" t="s">
        <v>4</v>
      </c>
      <c r="G660" t="str">
        <f>""</f>
        <v/>
      </c>
    </row>
    <row r="661" spans="1:7" x14ac:dyDescent="0.25">
      <c r="A661" t="s">
        <v>8</v>
      </c>
      <c r="B661" s="1" t="str">
        <f>"000352533 - RICH FOODS NC BB-LANDRYS"</f>
        <v>000352533 - RICH FOODS NC BB-LANDRYS</v>
      </c>
      <c r="C661" t="s">
        <v>692</v>
      </c>
      <c r="D661" s="1" t="str">
        <f t="shared" si="15"/>
        <v>PRG-1013553</v>
      </c>
      <c r="E661" t="s">
        <v>202</v>
      </c>
      <c r="F661" t="s">
        <v>4</v>
      </c>
      <c r="G661" t="str">
        <f>""</f>
        <v/>
      </c>
    </row>
    <row r="662" spans="1:7" x14ac:dyDescent="0.25">
      <c r="A662" t="s">
        <v>8</v>
      </c>
      <c r="B662" s="1" t="str">
        <f>"000353652 - RICH FOODS C BB-LANDRYS"</f>
        <v>000353652 - RICH FOODS C BB-LANDRYS</v>
      </c>
      <c r="C662" t="s">
        <v>697</v>
      </c>
      <c r="D662" s="1" t="str">
        <f t="shared" si="15"/>
        <v>PRG-1013553</v>
      </c>
      <c r="E662" t="s">
        <v>202</v>
      </c>
      <c r="F662" t="s">
        <v>4</v>
      </c>
      <c r="G662" t="str">
        <f>""</f>
        <v/>
      </c>
    </row>
    <row r="663" spans="1:7" x14ac:dyDescent="0.25">
      <c r="A663" t="s">
        <v>8</v>
      </c>
      <c r="B663" s="1" t="str">
        <f>"000357272 - RICH FOODS NCBB-LANDRYS"</f>
        <v>000357272 - RICH FOODS NCBB-LANDRYS</v>
      </c>
      <c r="C663" t="s">
        <v>201</v>
      </c>
      <c r="D663" s="1" t="str">
        <f t="shared" si="15"/>
        <v>PRG-1013553</v>
      </c>
      <c r="E663" t="s">
        <v>202</v>
      </c>
      <c r="F663" t="s">
        <v>4</v>
      </c>
      <c r="G663" t="str">
        <f>""</f>
        <v/>
      </c>
    </row>
    <row r="664" spans="1:7" x14ac:dyDescent="0.25">
      <c r="A664" t="s">
        <v>8</v>
      </c>
      <c r="B664" s="1" t="str">
        <f>"000357297 - RICHS C BB(DPMRETRO)-LANDRYS"</f>
        <v>000357297 - RICHS C BB(DPMRETRO)-LANDRYS</v>
      </c>
      <c r="C664" t="s">
        <v>3565</v>
      </c>
      <c r="D664" s="1" t="str">
        <f t="shared" si="15"/>
        <v>PRG-1013553</v>
      </c>
      <c r="E664" t="s">
        <v>202</v>
      </c>
      <c r="F664" t="s">
        <v>4</v>
      </c>
      <c r="G664" t="str">
        <f>""</f>
        <v/>
      </c>
    </row>
    <row r="665" spans="1:7" x14ac:dyDescent="0.25">
      <c r="A665" t="s">
        <v>8</v>
      </c>
      <c r="B665" s="1" t="str">
        <f>"000357553 - RICH FOODS CBB-LANDRYS"</f>
        <v>000357553 - RICH FOODS CBB-LANDRYS</v>
      </c>
      <c r="C665" t="s">
        <v>198</v>
      </c>
      <c r="D665" s="1" t="str">
        <f t="shared" si="15"/>
        <v>PRG-1013553</v>
      </c>
      <c r="E665" t="s">
        <v>202</v>
      </c>
      <c r="F665" t="s">
        <v>4</v>
      </c>
      <c r="G665" t="str">
        <f>""</f>
        <v/>
      </c>
    </row>
    <row r="666" spans="1:7" x14ac:dyDescent="0.25">
      <c r="A666" t="s">
        <v>8</v>
      </c>
      <c r="B666" s="1" t="str">
        <f>"000358142 - RICH FOODS CBB-LANDRYS"</f>
        <v>000358142 - RICH FOODS CBB-LANDRYS</v>
      </c>
      <c r="C666" t="s">
        <v>198</v>
      </c>
      <c r="D666" s="1" t="str">
        <f t="shared" ref="D666:D674" si="16">"PRG-1013553"</f>
        <v>PRG-1013553</v>
      </c>
      <c r="E666" t="s">
        <v>202</v>
      </c>
      <c r="F666" t="s">
        <v>4</v>
      </c>
      <c r="G666" t="str">
        <f>""</f>
        <v/>
      </c>
    </row>
    <row r="667" spans="1:7" x14ac:dyDescent="0.25">
      <c r="A667" t="s">
        <v>8</v>
      </c>
      <c r="B667" s="1" t="str">
        <f>"000373780 - RICH FOODS CBB-LANDRYS"</f>
        <v>000373780 - RICH FOODS CBB-LANDRYS</v>
      </c>
      <c r="C667" t="s">
        <v>198</v>
      </c>
      <c r="D667" s="1" t="str">
        <f t="shared" si="16"/>
        <v>PRG-1013553</v>
      </c>
      <c r="E667" t="s">
        <v>202</v>
      </c>
      <c r="F667" t="s">
        <v>4</v>
      </c>
      <c r="G667" t="str">
        <f>""</f>
        <v/>
      </c>
    </row>
    <row r="668" spans="1:7" x14ac:dyDescent="0.25">
      <c r="A668" t="s">
        <v>8</v>
      </c>
      <c r="B668" s="1" t="str">
        <f>"2000174076 - RICH-LANDRY'S"</f>
        <v>2000174076 - RICH-LANDRY'S</v>
      </c>
      <c r="C668" t="s">
        <v>3889</v>
      </c>
      <c r="D668" s="1" t="str">
        <f t="shared" si="16"/>
        <v>PRG-1013553</v>
      </c>
      <c r="E668" t="s">
        <v>202</v>
      </c>
      <c r="F668" t="s">
        <v>4</v>
      </c>
      <c r="G668" t="str">
        <f>""</f>
        <v/>
      </c>
    </row>
    <row r="669" spans="1:7" x14ac:dyDescent="0.25">
      <c r="A669" t="s">
        <v>8</v>
      </c>
      <c r="B669" s="1" t="str">
        <f>"2000223941 - RICH-LANDRY'S"</f>
        <v>2000223941 - RICH-LANDRY'S</v>
      </c>
      <c r="C669" t="s">
        <v>3889</v>
      </c>
      <c r="D669" s="1" t="str">
        <f t="shared" si="16"/>
        <v>PRG-1013553</v>
      </c>
      <c r="E669" t="s">
        <v>202</v>
      </c>
      <c r="F669" t="s">
        <v>4</v>
      </c>
      <c r="G669" t="str">
        <f>""</f>
        <v/>
      </c>
    </row>
    <row r="670" spans="1:7" x14ac:dyDescent="0.25">
      <c r="A670" t="s">
        <v>8</v>
      </c>
      <c r="B670" s="1" t="str">
        <f>"2000263327 - RICH-LANDRY'S"</f>
        <v>2000263327 - RICH-LANDRY'S</v>
      </c>
      <c r="C670" t="s">
        <v>3889</v>
      </c>
      <c r="D670" s="1" t="str">
        <f t="shared" si="16"/>
        <v>PRG-1013553</v>
      </c>
      <c r="E670" t="s">
        <v>202</v>
      </c>
      <c r="F670" t="s">
        <v>4</v>
      </c>
      <c r="G670" t="str">
        <f>""</f>
        <v/>
      </c>
    </row>
    <row r="671" spans="1:7" x14ac:dyDescent="0.25">
      <c r="A671" t="s">
        <v>8</v>
      </c>
      <c r="B671" s="1" t="str">
        <f>"2000275647 - RICH-LANDRY'S"</f>
        <v>2000275647 - RICH-LANDRY'S</v>
      </c>
      <c r="C671" t="s">
        <v>3889</v>
      </c>
      <c r="D671" s="1" t="str">
        <f t="shared" si="16"/>
        <v>PRG-1013553</v>
      </c>
      <c r="E671" t="s">
        <v>202</v>
      </c>
      <c r="F671" t="s">
        <v>4</v>
      </c>
      <c r="G671" t="str">
        <f>""</f>
        <v/>
      </c>
    </row>
    <row r="672" spans="1:7" x14ac:dyDescent="0.25">
      <c r="A672" t="s">
        <v>8</v>
      </c>
      <c r="B672" s="1" t="str">
        <f>"2000332293 - RICH-LANDRY'S"</f>
        <v>2000332293 - RICH-LANDRY'S</v>
      </c>
      <c r="C672" t="s">
        <v>3889</v>
      </c>
      <c r="D672" s="1" t="str">
        <f t="shared" si="16"/>
        <v>PRG-1013553</v>
      </c>
      <c r="E672" t="s">
        <v>202</v>
      </c>
      <c r="F672" t="s">
        <v>4</v>
      </c>
      <c r="G672" t="str">
        <f>""</f>
        <v/>
      </c>
    </row>
    <row r="673" spans="1:7" x14ac:dyDescent="0.25">
      <c r="A673" t="s">
        <v>8</v>
      </c>
      <c r="B673" s="1" t="str">
        <f>"2000360634 - RICH-LANDRY'S"</f>
        <v>2000360634 - RICH-LANDRY'S</v>
      </c>
      <c r="C673" t="s">
        <v>3889</v>
      </c>
      <c r="D673" s="1" t="str">
        <f t="shared" si="16"/>
        <v>PRG-1013553</v>
      </c>
      <c r="E673" t="s">
        <v>202</v>
      </c>
      <c r="F673" t="s">
        <v>4</v>
      </c>
      <c r="G673" t="str">
        <f>""</f>
        <v/>
      </c>
    </row>
    <row r="674" spans="1:7" x14ac:dyDescent="0.25">
      <c r="A674" t="s">
        <v>8</v>
      </c>
      <c r="B674" s="1" t="str">
        <f>"2000379354 - RICH-LANDRY'S"</f>
        <v>2000379354 - RICH-LANDRY'S</v>
      </c>
      <c r="C674" t="s">
        <v>3889</v>
      </c>
      <c r="D674" s="1" t="str">
        <f t="shared" si="16"/>
        <v>PRG-1013553</v>
      </c>
      <c r="E674" t="s">
        <v>202</v>
      </c>
      <c r="F674" t="s">
        <v>4</v>
      </c>
      <c r="G674" t="str">
        <f>""</f>
        <v/>
      </c>
    </row>
    <row r="675" spans="1:7" x14ac:dyDescent="0.25">
      <c r="A675" t="s">
        <v>8</v>
      </c>
      <c r="B675" s="1" t="str">
        <f>"000111240 - RICHS - THE LOOP REST"</f>
        <v>000111240 - RICHS - THE LOOP REST</v>
      </c>
      <c r="C675" t="s">
        <v>840</v>
      </c>
      <c r="D675" s="1" t="str">
        <f t="shared" ref="D675:D680" si="17">"PRG-1013556"</f>
        <v>PRG-1013556</v>
      </c>
      <c r="E675" t="s">
        <v>841</v>
      </c>
      <c r="F675" t="s">
        <v>4</v>
      </c>
      <c r="G675" t="str">
        <f>""</f>
        <v/>
      </c>
    </row>
    <row r="676" spans="1:7" x14ac:dyDescent="0.25">
      <c r="A676" t="s">
        <v>8</v>
      </c>
      <c r="B676" s="1" t="str">
        <f>"000134608 - RICHS - THE LOOP REST"</f>
        <v>000134608 - RICHS - THE LOOP REST</v>
      </c>
      <c r="C676" t="s">
        <v>840</v>
      </c>
      <c r="D676" s="1" t="str">
        <f t="shared" si="17"/>
        <v>PRG-1013556</v>
      </c>
      <c r="E676" t="s">
        <v>841</v>
      </c>
      <c r="F676" t="s">
        <v>4</v>
      </c>
      <c r="G676" t="str">
        <f>""</f>
        <v/>
      </c>
    </row>
    <row r="677" spans="1:7" x14ac:dyDescent="0.25">
      <c r="A677" t="s">
        <v>8</v>
      </c>
      <c r="B677" s="1" t="str">
        <f>"000150304 - RICHS - THE LOOP REST"</f>
        <v>000150304 - RICHS - THE LOOP REST</v>
      </c>
      <c r="C677" t="s">
        <v>840</v>
      </c>
      <c r="D677" s="1" t="str">
        <f t="shared" si="17"/>
        <v>PRG-1013556</v>
      </c>
      <c r="E677" t="s">
        <v>841</v>
      </c>
      <c r="F677" t="s">
        <v>4</v>
      </c>
      <c r="G677" t="str">
        <f>""</f>
        <v/>
      </c>
    </row>
    <row r="678" spans="1:7" x14ac:dyDescent="0.25">
      <c r="A678" t="s">
        <v>8</v>
      </c>
      <c r="B678" s="1" t="str">
        <f>"000208470 - RICH LOOP PIZZA"</f>
        <v>000208470 - RICH LOOP PIZZA</v>
      </c>
      <c r="C678" t="s">
        <v>1400</v>
      </c>
      <c r="D678" s="1" t="str">
        <f t="shared" si="17"/>
        <v>PRG-1013556</v>
      </c>
      <c r="E678" t="s">
        <v>841</v>
      </c>
      <c r="F678" t="s">
        <v>4</v>
      </c>
      <c r="G678" t="str">
        <f>""</f>
        <v/>
      </c>
    </row>
    <row r="679" spans="1:7" x14ac:dyDescent="0.25">
      <c r="A679" t="s">
        <v>8</v>
      </c>
      <c r="B679" s="1" t="str">
        <f>"000213922 - RICH LOOP PIZZA"</f>
        <v>000213922 - RICH LOOP PIZZA</v>
      </c>
      <c r="C679" t="s">
        <v>1400</v>
      </c>
      <c r="D679" s="1" t="str">
        <f t="shared" si="17"/>
        <v>PRG-1013556</v>
      </c>
      <c r="E679" t="s">
        <v>841</v>
      </c>
      <c r="F679" t="s">
        <v>4</v>
      </c>
      <c r="G679" t="str">
        <f>""</f>
        <v/>
      </c>
    </row>
    <row r="680" spans="1:7" x14ac:dyDescent="0.25">
      <c r="A680" t="s">
        <v>8</v>
      </c>
      <c r="B680" s="1" t="str">
        <f>"000248295 - RICH LOOP PIZZA"</f>
        <v>000248295 - RICH LOOP PIZZA</v>
      </c>
      <c r="C680" t="s">
        <v>1400</v>
      </c>
      <c r="D680" s="1" t="str">
        <f t="shared" si="17"/>
        <v>PRG-1013556</v>
      </c>
      <c r="E680" t="s">
        <v>841</v>
      </c>
      <c r="F680" t="s">
        <v>4</v>
      </c>
      <c r="G680" t="str">
        <f>""</f>
        <v/>
      </c>
    </row>
    <row r="681" spans="1:7" x14ac:dyDescent="0.25">
      <c r="A681" t="s">
        <v>8</v>
      </c>
      <c r="B681" s="1" t="str">
        <f>"2000112985 - RICH FOODS-HSRG"</f>
        <v>2000112985 - RICH FOODS-HSRG</v>
      </c>
      <c r="C681" t="s">
        <v>317</v>
      </c>
      <c r="D681" s="1" t="str">
        <f>"PRG-1013557"</f>
        <v>PRG-1013557</v>
      </c>
      <c r="E681" t="s">
        <v>3836</v>
      </c>
      <c r="F681" t="s">
        <v>4</v>
      </c>
      <c r="G681" t="str">
        <f>""</f>
        <v/>
      </c>
    </row>
    <row r="682" spans="1:7" x14ac:dyDescent="0.25">
      <c r="A682" t="s">
        <v>8</v>
      </c>
      <c r="B682" s="1" t="str">
        <f>"2000058158 - RICH PRODUCTS-ALL OK CASINOS"</f>
        <v>2000058158 - RICH PRODUCTS-ALL OK CASINOS</v>
      </c>
      <c r="C682" t="s">
        <v>13</v>
      </c>
      <c r="D682" s="1" t="str">
        <f t="shared" ref="D682:D687" si="18">"PRG-1013569"</f>
        <v>PRG-1013569</v>
      </c>
      <c r="E682" t="s">
        <v>14</v>
      </c>
      <c r="F682" t="s">
        <v>4</v>
      </c>
      <c r="G682" t="str">
        <f>""</f>
        <v/>
      </c>
    </row>
    <row r="683" spans="1:7" x14ac:dyDescent="0.25">
      <c r="A683" t="s">
        <v>8</v>
      </c>
      <c r="B683" s="1" t="str">
        <f>"2000225645 - RICH PRODUCTS-ALL OK CASINOS"</f>
        <v>2000225645 - RICH PRODUCTS-ALL OK CASINOS</v>
      </c>
      <c r="C683" t="s">
        <v>13</v>
      </c>
      <c r="D683" s="1" t="str">
        <f t="shared" si="18"/>
        <v>PRG-1013569</v>
      </c>
      <c r="E683" t="s">
        <v>14</v>
      </c>
      <c r="F683" t="s">
        <v>4</v>
      </c>
      <c r="G683" t="str">
        <f>""</f>
        <v/>
      </c>
    </row>
    <row r="684" spans="1:7" x14ac:dyDescent="0.25">
      <c r="A684" t="s">
        <v>8</v>
      </c>
      <c r="B684" s="1" t="str">
        <f>"2000242855 - RICH PRODUCTS-ALL OK CASINOS"</f>
        <v>2000242855 - RICH PRODUCTS-ALL OK CASINOS</v>
      </c>
      <c r="C684" t="s">
        <v>13</v>
      </c>
      <c r="D684" s="1" t="str">
        <f t="shared" si="18"/>
        <v>PRG-1013569</v>
      </c>
      <c r="E684" t="s">
        <v>14</v>
      </c>
      <c r="F684" t="s">
        <v>4</v>
      </c>
      <c r="G684" t="str">
        <f>""</f>
        <v/>
      </c>
    </row>
    <row r="685" spans="1:7" x14ac:dyDescent="0.25">
      <c r="A685" t="s">
        <v>8</v>
      </c>
      <c r="B685" s="1" t="str">
        <f>"2000265668 - RICH PRODUCTS-ALL OK CASINOS"</f>
        <v>2000265668 - RICH PRODUCTS-ALL OK CASINOS</v>
      </c>
      <c r="C685" t="s">
        <v>13</v>
      </c>
      <c r="D685" s="1" t="str">
        <f t="shared" si="18"/>
        <v>PRG-1013569</v>
      </c>
      <c r="E685" t="s">
        <v>14</v>
      </c>
      <c r="F685" t="s">
        <v>4</v>
      </c>
      <c r="G685" t="str">
        <f>""</f>
        <v/>
      </c>
    </row>
    <row r="686" spans="1:7" x14ac:dyDescent="0.25">
      <c r="A686" t="s">
        <v>8</v>
      </c>
      <c r="B686" s="1" t="str">
        <f>"2000325700 - RICH PRODUCTS-ALL OK CASINOS"</f>
        <v>2000325700 - RICH PRODUCTS-ALL OK CASINOS</v>
      </c>
      <c r="C686" t="s">
        <v>13</v>
      </c>
      <c r="D686" s="1" t="str">
        <f t="shared" si="18"/>
        <v>PRG-1013569</v>
      </c>
      <c r="E686" t="s">
        <v>14</v>
      </c>
      <c r="F686" t="s">
        <v>4</v>
      </c>
      <c r="G686" t="str">
        <f>""</f>
        <v/>
      </c>
    </row>
    <row r="687" spans="1:7" x14ac:dyDescent="0.25">
      <c r="A687" t="s">
        <v>8</v>
      </c>
      <c r="B687" s="1" t="str">
        <f>"3170EC67"</f>
        <v>3170EC67</v>
      </c>
      <c r="C687" t="s">
        <v>4720</v>
      </c>
      <c r="D687" s="1" t="str">
        <f t="shared" si="18"/>
        <v>PRG-1013569</v>
      </c>
      <c r="E687" t="s">
        <v>14</v>
      </c>
      <c r="F687" t="s">
        <v>5</v>
      </c>
      <c r="G687" t="str">
        <f>""</f>
        <v/>
      </c>
    </row>
    <row r="688" spans="1:7" x14ac:dyDescent="0.25">
      <c r="A688" t="s">
        <v>8</v>
      </c>
      <c r="B688" s="1" t="str">
        <f>"000193260 - BB PINNACLE FOB RICHS"</f>
        <v>000193260 - BB PINNACLE FOB RICHS</v>
      </c>
      <c r="C688" t="s">
        <v>1231</v>
      </c>
      <c r="D688" s="1" t="str">
        <f t="shared" ref="D688:D697" si="19">"PRG-1013591"</f>
        <v>PRG-1013591</v>
      </c>
      <c r="E688" t="s">
        <v>1232</v>
      </c>
      <c r="F688" t="s">
        <v>4</v>
      </c>
      <c r="G688" t="str">
        <f>""</f>
        <v/>
      </c>
    </row>
    <row r="689" spans="1:7" x14ac:dyDescent="0.25">
      <c r="A689" t="s">
        <v>8</v>
      </c>
      <c r="B689" s="1" t="str">
        <f>"000202437 - BB PINNACLE FOB RICHS"</f>
        <v>000202437 - BB PINNACLE FOB RICHS</v>
      </c>
      <c r="C689" t="s">
        <v>1231</v>
      </c>
      <c r="D689" s="1" t="str">
        <f t="shared" si="19"/>
        <v>PRG-1013591</v>
      </c>
      <c r="E689" t="s">
        <v>1232</v>
      </c>
      <c r="F689" t="s">
        <v>4</v>
      </c>
      <c r="G689" t="str">
        <f>""</f>
        <v/>
      </c>
    </row>
    <row r="690" spans="1:7" x14ac:dyDescent="0.25">
      <c r="A690" t="s">
        <v>8</v>
      </c>
      <c r="B690" s="1" t="str">
        <f>"000216509 - RICH FOODS-PINNACLE ENT."</f>
        <v>000216509 - RICH FOODS-PINNACLE ENT.</v>
      </c>
      <c r="C690" t="s">
        <v>1532</v>
      </c>
      <c r="D690" s="1" t="str">
        <f t="shared" si="19"/>
        <v>PRG-1013591</v>
      </c>
      <c r="E690" t="s">
        <v>1232</v>
      </c>
      <c r="F690" t="s">
        <v>4</v>
      </c>
      <c r="G690" t="str">
        <f>""</f>
        <v/>
      </c>
    </row>
    <row r="691" spans="1:7" x14ac:dyDescent="0.25">
      <c r="A691" t="s">
        <v>8</v>
      </c>
      <c r="B691" s="1" t="str">
        <f>"000249161 - RICH FOODS-PINNACLE ENT."</f>
        <v>000249161 - RICH FOODS-PINNACLE ENT.</v>
      </c>
      <c r="C691" t="s">
        <v>1532</v>
      </c>
      <c r="D691" s="1" t="str">
        <f t="shared" si="19"/>
        <v>PRG-1013591</v>
      </c>
      <c r="E691" t="s">
        <v>1232</v>
      </c>
      <c r="F691" t="s">
        <v>4</v>
      </c>
      <c r="G691" t="str">
        <f>""</f>
        <v/>
      </c>
    </row>
    <row r="692" spans="1:7" x14ac:dyDescent="0.25">
      <c r="A692" t="s">
        <v>8</v>
      </c>
      <c r="B692" s="1" t="str">
        <f>"000273939 - RICH FOODS-PINNACLE ENT."</f>
        <v>000273939 - RICH FOODS-PINNACLE ENT.</v>
      </c>
      <c r="C692" t="s">
        <v>1532</v>
      </c>
      <c r="D692" s="1" t="str">
        <f t="shared" si="19"/>
        <v>PRG-1013591</v>
      </c>
      <c r="E692" t="s">
        <v>1232</v>
      </c>
      <c r="F692" t="s">
        <v>4</v>
      </c>
      <c r="G692" t="str">
        <f>""</f>
        <v/>
      </c>
    </row>
    <row r="693" spans="1:7" x14ac:dyDescent="0.25">
      <c r="A693" t="s">
        <v>8</v>
      </c>
      <c r="B693" s="1" t="str">
        <f>"000283945 - RICH FOODS-PINNACLE ENT."</f>
        <v>000283945 - RICH FOODS-PINNACLE ENT.</v>
      </c>
      <c r="C693" t="s">
        <v>1532</v>
      </c>
      <c r="D693" s="1" t="str">
        <f t="shared" si="19"/>
        <v>PRG-1013591</v>
      </c>
      <c r="E693" t="s">
        <v>1232</v>
      </c>
      <c r="F693" t="s">
        <v>4</v>
      </c>
      <c r="G693" t="str">
        <f>""</f>
        <v/>
      </c>
    </row>
    <row r="694" spans="1:7" x14ac:dyDescent="0.25">
      <c r="A694" t="s">
        <v>8</v>
      </c>
      <c r="B694" s="1" t="str">
        <f>"000298015 - RICH FOODS-PINNACLE ENT."</f>
        <v>000298015 - RICH FOODS-PINNACLE ENT.</v>
      </c>
      <c r="C694" t="s">
        <v>1532</v>
      </c>
      <c r="D694" s="1" t="str">
        <f t="shared" si="19"/>
        <v>PRG-1013591</v>
      </c>
      <c r="E694" t="s">
        <v>1232</v>
      </c>
      <c r="F694" t="s">
        <v>4</v>
      </c>
      <c r="G694" t="str">
        <f>""</f>
        <v/>
      </c>
    </row>
    <row r="695" spans="1:7" x14ac:dyDescent="0.25">
      <c r="A695" t="s">
        <v>8</v>
      </c>
      <c r="B695" s="1" t="str">
        <f>"2000187133 - RICH FOODS-PINNACLE ENTERTAINMENT"</f>
        <v>2000187133 - RICH FOODS-PINNACLE ENTERTAINMENT</v>
      </c>
      <c r="C695" t="s">
        <v>3918</v>
      </c>
      <c r="D695" s="1" t="str">
        <f t="shared" si="19"/>
        <v>PRG-1013591</v>
      </c>
      <c r="E695" t="s">
        <v>1232</v>
      </c>
      <c r="F695" t="s">
        <v>4</v>
      </c>
      <c r="G695" t="str">
        <f>""</f>
        <v/>
      </c>
    </row>
    <row r="696" spans="1:7" x14ac:dyDescent="0.25">
      <c r="A696" t="s">
        <v>8</v>
      </c>
      <c r="B696" s="1" t="str">
        <f>"2000229953 - RICH FOODS-PINNACLE ENTERTAINMENT"</f>
        <v>2000229953 - RICH FOODS-PINNACLE ENTERTAINMENT</v>
      </c>
      <c r="C696" t="s">
        <v>3918</v>
      </c>
      <c r="D696" s="1" t="str">
        <f t="shared" si="19"/>
        <v>PRG-1013591</v>
      </c>
      <c r="E696" t="s">
        <v>1232</v>
      </c>
      <c r="F696" t="s">
        <v>4</v>
      </c>
      <c r="G696" t="str">
        <f>""</f>
        <v/>
      </c>
    </row>
    <row r="697" spans="1:7" x14ac:dyDescent="0.25">
      <c r="A697" t="s">
        <v>8</v>
      </c>
      <c r="B697" s="1" t="str">
        <f>"2000235617 - RICH FOODS-PINNACLE ENTERTAINMENT"</f>
        <v>2000235617 - RICH FOODS-PINNACLE ENTERTAINMENT</v>
      </c>
      <c r="C697" t="s">
        <v>3918</v>
      </c>
      <c r="D697" s="1" t="str">
        <f t="shared" si="19"/>
        <v>PRG-1013591</v>
      </c>
      <c r="E697" t="s">
        <v>1232</v>
      </c>
      <c r="F697" t="s">
        <v>4</v>
      </c>
      <c r="G697" t="str">
        <f>""</f>
        <v/>
      </c>
    </row>
    <row r="698" spans="1:7" x14ac:dyDescent="0.25">
      <c r="A698" t="s">
        <v>8</v>
      </c>
      <c r="B698" s="1" t="str">
        <f>"000223924 - RICH PROD-BURGATORY FUEL &amp; FUD"</f>
        <v>000223924 - RICH PROD-BURGATORY FUEL &amp; FUD</v>
      </c>
      <c r="C698" t="s">
        <v>1655</v>
      </c>
      <c r="D698" s="1" t="str">
        <f>"PRG-1013597"</f>
        <v>PRG-1013597</v>
      </c>
      <c r="E698" t="s">
        <v>1656</v>
      </c>
      <c r="F698" t="s">
        <v>4</v>
      </c>
      <c r="G698" t="str">
        <f>""</f>
        <v/>
      </c>
    </row>
    <row r="699" spans="1:7" x14ac:dyDescent="0.25">
      <c r="A699" t="s">
        <v>8</v>
      </c>
      <c r="B699" s="1" t="str">
        <f>"000257494 - RICH PROD-BURGATORY FUEL &amp; FUD"</f>
        <v>000257494 - RICH PROD-BURGATORY FUEL &amp; FUD</v>
      </c>
      <c r="C699" t="s">
        <v>1655</v>
      </c>
      <c r="D699" s="1" t="str">
        <f>"PRG-1013597"</f>
        <v>PRG-1013597</v>
      </c>
      <c r="E699" t="s">
        <v>1656</v>
      </c>
      <c r="F699" t="s">
        <v>4</v>
      </c>
      <c r="G699" t="str">
        <f>""</f>
        <v/>
      </c>
    </row>
    <row r="700" spans="1:7" x14ac:dyDescent="0.25">
      <c r="A700" t="s">
        <v>8</v>
      </c>
      <c r="B700" s="1" t="str">
        <f>"000002392 - &amp;RICHS TONY ROMAS"</f>
        <v>000002392 - &amp;RICHS TONY ROMAS</v>
      </c>
      <c r="C700" t="s">
        <v>117</v>
      </c>
      <c r="D700" s="1" t="str">
        <f t="shared" ref="D700:D731" si="20">"PRG-1013602"</f>
        <v>PRG-1013602</v>
      </c>
      <c r="E700" t="s">
        <v>118</v>
      </c>
      <c r="F700" t="s">
        <v>4</v>
      </c>
      <c r="G700" t="str">
        <f>""</f>
        <v/>
      </c>
    </row>
    <row r="701" spans="1:7" x14ac:dyDescent="0.25">
      <c r="A701" t="s">
        <v>8</v>
      </c>
      <c r="B701" s="1" t="str">
        <f>"000003161 - &amp;RICHS TONY ROMAS"</f>
        <v>000003161 - &amp;RICHS TONY ROMAS</v>
      </c>
      <c r="C701" t="s">
        <v>117</v>
      </c>
      <c r="D701" s="1" t="str">
        <f t="shared" si="20"/>
        <v>PRG-1013602</v>
      </c>
      <c r="E701" t="s">
        <v>118</v>
      </c>
      <c r="F701" t="s">
        <v>4</v>
      </c>
      <c r="G701" t="str">
        <f>""</f>
        <v/>
      </c>
    </row>
    <row r="702" spans="1:7" x14ac:dyDescent="0.25">
      <c r="A702" t="s">
        <v>8</v>
      </c>
      <c r="B702" s="1" t="str">
        <f>"000004557 - &amp;RICH PRODUCTS TONY ROMA'S"</f>
        <v>000004557 - &amp;RICH PRODUCTS TONY ROMA'S</v>
      </c>
      <c r="C702" t="s">
        <v>200</v>
      </c>
      <c r="D702" s="1" t="str">
        <f t="shared" si="20"/>
        <v>PRG-1013602</v>
      </c>
      <c r="E702" t="s">
        <v>118</v>
      </c>
      <c r="F702" t="s">
        <v>4</v>
      </c>
      <c r="G702" t="str">
        <f>""</f>
        <v/>
      </c>
    </row>
    <row r="703" spans="1:7" x14ac:dyDescent="0.25">
      <c r="A703" t="s">
        <v>8</v>
      </c>
      <c r="B703" s="1" t="str">
        <f>"000029226 - RICH FOODS-TONY ROMAS"</f>
        <v>000029226 - RICH FOODS-TONY ROMAS</v>
      </c>
      <c r="C703" t="s">
        <v>483</v>
      </c>
      <c r="D703" s="1" t="str">
        <f t="shared" si="20"/>
        <v>PRG-1013602</v>
      </c>
      <c r="E703" t="s">
        <v>118</v>
      </c>
      <c r="F703" t="s">
        <v>4</v>
      </c>
      <c r="G703" t="str">
        <f>""</f>
        <v/>
      </c>
    </row>
    <row r="704" spans="1:7" x14ac:dyDescent="0.25">
      <c r="A704" t="s">
        <v>8</v>
      </c>
      <c r="B704" s="1" t="str">
        <f>"000035579 - RICH NCORE-TONY ROMA"</f>
        <v>000035579 - RICH NCORE-TONY ROMA</v>
      </c>
      <c r="C704" t="s">
        <v>527</v>
      </c>
      <c r="D704" s="1" t="str">
        <f t="shared" si="20"/>
        <v>PRG-1013602</v>
      </c>
      <c r="E704" t="s">
        <v>118</v>
      </c>
      <c r="F704" t="s">
        <v>4</v>
      </c>
      <c r="G704" t="str">
        <f>""</f>
        <v/>
      </c>
    </row>
    <row r="705" spans="1:7" x14ac:dyDescent="0.25">
      <c r="A705" t="s">
        <v>8</v>
      </c>
      <c r="B705" s="1" t="str">
        <f>"000043570 - RICH NCORE=TONY ROMA"</f>
        <v>000043570 - RICH NCORE=TONY ROMA</v>
      </c>
      <c r="C705" t="s">
        <v>603</v>
      </c>
      <c r="D705" s="1" t="str">
        <f t="shared" si="20"/>
        <v>PRG-1013602</v>
      </c>
      <c r="E705" t="s">
        <v>118</v>
      </c>
      <c r="F705" t="s">
        <v>4</v>
      </c>
      <c r="G705" t="str">
        <f>""</f>
        <v/>
      </c>
    </row>
    <row r="706" spans="1:7" x14ac:dyDescent="0.25">
      <c r="A706" t="s">
        <v>8</v>
      </c>
      <c r="B706" s="1" t="str">
        <f>"000050272 - RICH FOODS NC BB-TONY ROMA"</f>
        <v>000050272 - RICH FOODS NC BB-TONY ROMA</v>
      </c>
      <c r="C706" t="s">
        <v>646</v>
      </c>
      <c r="D706" s="1" t="str">
        <f t="shared" si="20"/>
        <v>PRG-1013602</v>
      </c>
      <c r="E706" t="s">
        <v>118</v>
      </c>
      <c r="F706" t="s">
        <v>4</v>
      </c>
      <c r="G706" t="str">
        <f>""</f>
        <v/>
      </c>
    </row>
    <row r="707" spans="1:7" x14ac:dyDescent="0.25">
      <c r="A707" t="s">
        <v>8</v>
      </c>
      <c r="B707" s="1" t="str">
        <f>"000050714 - RICH FOODS C BB-TONY ROMA"</f>
        <v>000050714 - RICH FOODS C BB-TONY ROMA</v>
      </c>
      <c r="C707" t="s">
        <v>653</v>
      </c>
      <c r="D707" s="1" t="str">
        <f t="shared" si="20"/>
        <v>PRG-1013602</v>
      </c>
      <c r="E707" t="s">
        <v>118</v>
      </c>
      <c r="F707" t="s">
        <v>4</v>
      </c>
      <c r="G707" t="str">
        <f>""</f>
        <v/>
      </c>
    </row>
    <row r="708" spans="1:7" x14ac:dyDescent="0.25">
      <c r="A708" t="s">
        <v>8</v>
      </c>
      <c r="B708" s="1" t="str">
        <f>"000050715 - RICH FOODS NC BB-TONY ROMA"</f>
        <v>000050715 - RICH FOODS NC BB-TONY ROMA</v>
      </c>
      <c r="C708" t="s">
        <v>646</v>
      </c>
      <c r="D708" s="1" t="str">
        <f t="shared" si="20"/>
        <v>PRG-1013602</v>
      </c>
      <c r="E708" t="s">
        <v>118</v>
      </c>
      <c r="F708" t="s">
        <v>4</v>
      </c>
      <c r="G708" t="str">
        <f>""</f>
        <v/>
      </c>
    </row>
    <row r="709" spans="1:7" x14ac:dyDescent="0.25">
      <c r="A709" t="s">
        <v>8</v>
      </c>
      <c r="B709" s="1" t="str">
        <f>"000198531 - RICH FOODS-TONY ROMAS"</f>
        <v>000198531 - RICH FOODS-TONY ROMAS</v>
      </c>
      <c r="C709" t="s">
        <v>483</v>
      </c>
      <c r="D709" s="1" t="str">
        <f t="shared" si="20"/>
        <v>PRG-1013602</v>
      </c>
      <c r="E709" t="s">
        <v>118</v>
      </c>
      <c r="F709" t="s">
        <v>4</v>
      </c>
      <c r="G709" t="str">
        <f>""</f>
        <v/>
      </c>
    </row>
    <row r="710" spans="1:7" x14ac:dyDescent="0.25">
      <c r="A710" t="s">
        <v>8</v>
      </c>
      <c r="B710" s="1" t="str">
        <f>"000207654 - RICH FOODS-TONY ROMAS"</f>
        <v>000207654 - RICH FOODS-TONY ROMAS</v>
      </c>
      <c r="C710" t="s">
        <v>483</v>
      </c>
      <c r="D710" s="1" t="str">
        <f t="shared" si="20"/>
        <v>PRG-1013602</v>
      </c>
      <c r="E710" t="s">
        <v>118</v>
      </c>
      <c r="F710" t="s">
        <v>4</v>
      </c>
      <c r="G710" t="str">
        <f>""</f>
        <v/>
      </c>
    </row>
    <row r="711" spans="1:7" x14ac:dyDescent="0.25">
      <c r="A711" t="s">
        <v>8</v>
      </c>
      <c r="B711" s="1" t="str">
        <f>"000247916 - RICH NCORE-TONY ROMA"</f>
        <v>000247916 - RICH NCORE-TONY ROMA</v>
      </c>
      <c r="C711" t="s">
        <v>527</v>
      </c>
      <c r="D711" s="1" t="str">
        <f t="shared" si="20"/>
        <v>PRG-1013602</v>
      </c>
      <c r="E711" t="s">
        <v>118</v>
      </c>
      <c r="F711" t="s">
        <v>4</v>
      </c>
      <c r="G711" t="str">
        <f>""</f>
        <v/>
      </c>
    </row>
    <row r="712" spans="1:7" x14ac:dyDescent="0.25">
      <c r="A712" t="s">
        <v>8</v>
      </c>
      <c r="B712" s="1" t="str">
        <f>"000258645 - RICH FOODS-TONY ROMAS"</f>
        <v>000258645 - RICH FOODS-TONY ROMAS</v>
      </c>
      <c r="C712" t="s">
        <v>483</v>
      </c>
      <c r="D712" s="1" t="str">
        <f t="shared" si="20"/>
        <v>PRG-1013602</v>
      </c>
      <c r="E712" t="s">
        <v>118</v>
      </c>
      <c r="F712" t="s">
        <v>4</v>
      </c>
      <c r="G712" t="str">
        <f>""</f>
        <v/>
      </c>
    </row>
    <row r="713" spans="1:7" x14ac:dyDescent="0.25">
      <c r="A713" t="s">
        <v>8</v>
      </c>
      <c r="B713" s="1" t="str">
        <f>"000258648 - RICH FOODS-TONY ROMAS"</f>
        <v>000258648 - RICH FOODS-TONY ROMAS</v>
      </c>
      <c r="C713" t="s">
        <v>483</v>
      </c>
      <c r="D713" s="1" t="str">
        <f t="shared" si="20"/>
        <v>PRG-1013602</v>
      </c>
      <c r="E713" t="s">
        <v>118</v>
      </c>
      <c r="F713" t="s">
        <v>4</v>
      </c>
      <c r="G713" t="str">
        <f>""</f>
        <v/>
      </c>
    </row>
    <row r="714" spans="1:7" x14ac:dyDescent="0.25">
      <c r="A714" t="s">
        <v>8</v>
      </c>
      <c r="B714" s="1" t="str">
        <f>"000259059 - RICH FOODS-TONY ROMAS"</f>
        <v>000259059 - RICH FOODS-TONY ROMAS</v>
      </c>
      <c r="C714" t="s">
        <v>483</v>
      </c>
      <c r="D714" s="1" t="str">
        <f t="shared" si="20"/>
        <v>PRG-1013602</v>
      </c>
      <c r="E714" t="s">
        <v>118</v>
      </c>
      <c r="F714" t="s">
        <v>4</v>
      </c>
      <c r="G714" t="str">
        <f>""</f>
        <v/>
      </c>
    </row>
    <row r="715" spans="1:7" x14ac:dyDescent="0.25">
      <c r="A715" t="s">
        <v>8</v>
      </c>
      <c r="B715" s="1" t="str">
        <f>"000269260 - RICH FOODS-TONY ROMAS"</f>
        <v>000269260 - RICH FOODS-TONY ROMAS</v>
      </c>
      <c r="C715" t="s">
        <v>483</v>
      </c>
      <c r="D715" s="1" t="str">
        <f t="shared" si="20"/>
        <v>PRG-1013602</v>
      </c>
      <c r="E715" t="s">
        <v>118</v>
      </c>
      <c r="F715" t="s">
        <v>4</v>
      </c>
      <c r="G715" t="str">
        <f>""</f>
        <v/>
      </c>
    </row>
    <row r="716" spans="1:7" x14ac:dyDescent="0.25">
      <c r="A716" t="s">
        <v>8</v>
      </c>
      <c r="B716" s="1" t="str">
        <f>"000269544 - RICH FOODS-TONY ROMAS"</f>
        <v>000269544 - RICH FOODS-TONY ROMAS</v>
      </c>
      <c r="C716" t="s">
        <v>483</v>
      </c>
      <c r="D716" s="1" t="str">
        <f t="shared" si="20"/>
        <v>PRG-1013602</v>
      </c>
      <c r="E716" t="s">
        <v>118</v>
      </c>
      <c r="F716" t="s">
        <v>4</v>
      </c>
      <c r="G716" t="str">
        <f>""</f>
        <v/>
      </c>
    </row>
    <row r="717" spans="1:7" x14ac:dyDescent="0.25">
      <c r="A717" t="s">
        <v>8</v>
      </c>
      <c r="B717" s="1" t="str">
        <f>"000269721 - RICH FOODS-TONY ROMAS"</f>
        <v>000269721 - RICH FOODS-TONY ROMAS</v>
      </c>
      <c r="C717" t="s">
        <v>483</v>
      </c>
      <c r="D717" s="1" t="str">
        <f t="shared" si="20"/>
        <v>PRG-1013602</v>
      </c>
      <c r="E717" t="s">
        <v>118</v>
      </c>
      <c r="F717" t="s">
        <v>4</v>
      </c>
      <c r="G717" t="str">
        <f>""</f>
        <v/>
      </c>
    </row>
    <row r="718" spans="1:7" x14ac:dyDescent="0.25">
      <c r="A718" t="s">
        <v>8</v>
      </c>
      <c r="B718" s="1" t="str">
        <f>"000272031 - RICH FOODS NC BB-TONY ROMA"</f>
        <v>000272031 - RICH FOODS NC BB-TONY ROMA</v>
      </c>
      <c r="C718" t="s">
        <v>646</v>
      </c>
      <c r="D718" s="1" t="str">
        <f t="shared" si="20"/>
        <v>PRG-1013602</v>
      </c>
      <c r="E718" t="s">
        <v>118</v>
      </c>
      <c r="F718" t="s">
        <v>4</v>
      </c>
      <c r="G718" t="str">
        <f>""</f>
        <v/>
      </c>
    </row>
    <row r="719" spans="1:7" x14ac:dyDescent="0.25">
      <c r="A719" t="s">
        <v>8</v>
      </c>
      <c r="B719" s="1" t="str">
        <f>"000273634 - RICH FOODS-TONY ROMAS"</f>
        <v>000273634 - RICH FOODS-TONY ROMAS</v>
      </c>
      <c r="C719" t="s">
        <v>483</v>
      </c>
      <c r="D719" s="1" t="str">
        <f t="shared" si="20"/>
        <v>PRG-1013602</v>
      </c>
      <c r="E719" t="s">
        <v>118</v>
      </c>
      <c r="F719" t="s">
        <v>4</v>
      </c>
      <c r="G719" t="str">
        <f>""</f>
        <v/>
      </c>
    </row>
    <row r="720" spans="1:7" x14ac:dyDescent="0.25">
      <c r="A720" t="s">
        <v>8</v>
      </c>
      <c r="B720" s="1" t="str">
        <f>"000279078 - RICH NCORE-TONY ROMA"</f>
        <v>000279078 - RICH NCORE-TONY ROMA</v>
      </c>
      <c r="C720" t="s">
        <v>527</v>
      </c>
      <c r="D720" s="1" t="str">
        <f t="shared" si="20"/>
        <v>PRG-1013602</v>
      </c>
      <c r="E720" t="s">
        <v>118</v>
      </c>
      <c r="F720" t="s">
        <v>4</v>
      </c>
      <c r="G720" t="str">
        <f>""</f>
        <v/>
      </c>
    </row>
    <row r="721" spans="1:7" x14ac:dyDescent="0.25">
      <c r="A721" t="s">
        <v>8</v>
      </c>
      <c r="B721" s="1" t="str">
        <f>"000280170 - RICH FOODS-TONY ROMAS"</f>
        <v>000280170 - RICH FOODS-TONY ROMAS</v>
      </c>
      <c r="C721" t="s">
        <v>483</v>
      </c>
      <c r="D721" s="1" t="str">
        <f t="shared" si="20"/>
        <v>PRG-1013602</v>
      </c>
      <c r="E721" t="s">
        <v>118</v>
      </c>
      <c r="F721" t="s">
        <v>4</v>
      </c>
      <c r="G721" t="str">
        <f>""</f>
        <v/>
      </c>
    </row>
    <row r="722" spans="1:7" x14ac:dyDescent="0.25">
      <c r="A722" t="s">
        <v>8</v>
      </c>
      <c r="B722" s="1" t="str">
        <f>"000283170 - RICH NCORE-TONY ROMA"</f>
        <v>000283170 - RICH NCORE-TONY ROMA</v>
      </c>
      <c r="C722" t="s">
        <v>527</v>
      </c>
      <c r="D722" s="1" t="str">
        <f t="shared" si="20"/>
        <v>PRG-1013602</v>
      </c>
      <c r="E722" t="s">
        <v>118</v>
      </c>
      <c r="F722" t="s">
        <v>4</v>
      </c>
      <c r="G722" t="str">
        <f>""</f>
        <v/>
      </c>
    </row>
    <row r="723" spans="1:7" x14ac:dyDescent="0.25">
      <c r="A723" t="s">
        <v>8</v>
      </c>
      <c r="B723" s="1" t="str">
        <f>"000283209 - RICH NCORE-TONY ROMA"</f>
        <v>000283209 - RICH NCORE-TONY ROMA</v>
      </c>
      <c r="C723" t="s">
        <v>527</v>
      </c>
      <c r="D723" s="1" t="str">
        <f t="shared" si="20"/>
        <v>PRG-1013602</v>
      </c>
      <c r="E723" t="s">
        <v>118</v>
      </c>
      <c r="F723" t="s">
        <v>4</v>
      </c>
      <c r="G723" t="str">
        <f>""</f>
        <v/>
      </c>
    </row>
    <row r="724" spans="1:7" x14ac:dyDescent="0.25">
      <c r="A724" t="s">
        <v>8</v>
      </c>
      <c r="B724" s="1" t="str">
        <f>"000293726 - RICH NCORE=TONY ROMA"</f>
        <v>000293726 - RICH NCORE=TONY ROMA</v>
      </c>
      <c r="C724" t="s">
        <v>603</v>
      </c>
      <c r="D724" s="1" t="str">
        <f t="shared" si="20"/>
        <v>PRG-1013602</v>
      </c>
      <c r="E724" t="s">
        <v>118</v>
      </c>
      <c r="F724" t="s">
        <v>4</v>
      </c>
      <c r="G724" t="str">
        <f>""</f>
        <v/>
      </c>
    </row>
    <row r="725" spans="1:7" x14ac:dyDescent="0.25">
      <c r="A725" t="s">
        <v>8</v>
      </c>
      <c r="B725" s="1" t="str">
        <f>"000298632 - RICH NCORE=TONY ROMA"</f>
        <v>000298632 - RICH NCORE=TONY ROMA</v>
      </c>
      <c r="C725" t="s">
        <v>603</v>
      </c>
      <c r="D725" s="1" t="str">
        <f t="shared" si="20"/>
        <v>PRG-1013602</v>
      </c>
      <c r="E725" t="s">
        <v>118</v>
      </c>
      <c r="F725" t="s">
        <v>4</v>
      </c>
      <c r="G725" t="str">
        <f>""</f>
        <v/>
      </c>
    </row>
    <row r="726" spans="1:7" x14ac:dyDescent="0.25">
      <c r="A726" t="s">
        <v>8</v>
      </c>
      <c r="B726" s="1" t="str">
        <f>"000298897 - RICH NCORE=TONY ROMA"</f>
        <v>000298897 - RICH NCORE=TONY ROMA</v>
      </c>
      <c r="C726" t="s">
        <v>603</v>
      </c>
      <c r="D726" s="1" t="str">
        <f t="shared" si="20"/>
        <v>PRG-1013602</v>
      </c>
      <c r="E726" t="s">
        <v>118</v>
      </c>
      <c r="F726" t="s">
        <v>4</v>
      </c>
      <c r="G726" t="str">
        <f>""</f>
        <v/>
      </c>
    </row>
    <row r="727" spans="1:7" x14ac:dyDescent="0.25">
      <c r="A727" t="s">
        <v>8</v>
      </c>
      <c r="B727" s="1" t="str">
        <f>"000303077 - RICH FOODS NC BB-TONY ROMA"</f>
        <v>000303077 - RICH FOODS NC BB-TONY ROMA</v>
      </c>
      <c r="C727" t="s">
        <v>646</v>
      </c>
      <c r="D727" s="1" t="str">
        <f t="shared" si="20"/>
        <v>PRG-1013602</v>
      </c>
      <c r="E727" t="s">
        <v>118</v>
      </c>
      <c r="F727" t="s">
        <v>4</v>
      </c>
      <c r="G727" t="str">
        <f>""</f>
        <v/>
      </c>
    </row>
    <row r="728" spans="1:7" x14ac:dyDescent="0.25">
      <c r="A728" t="s">
        <v>8</v>
      </c>
      <c r="B728" s="1" t="str">
        <f>"000303750 - RICH FOODS NC BB-TONY ROMA"</f>
        <v>000303750 - RICH FOODS NC BB-TONY ROMA</v>
      </c>
      <c r="C728" t="s">
        <v>646</v>
      </c>
      <c r="D728" s="1" t="str">
        <f t="shared" si="20"/>
        <v>PRG-1013602</v>
      </c>
      <c r="E728" t="s">
        <v>118</v>
      </c>
      <c r="F728" t="s">
        <v>4</v>
      </c>
      <c r="G728" t="str">
        <f>""</f>
        <v/>
      </c>
    </row>
    <row r="729" spans="1:7" x14ac:dyDescent="0.25">
      <c r="A729" t="s">
        <v>8</v>
      </c>
      <c r="B729" s="1" t="str">
        <f>"000309457 - RICH FOODS-TONY ROMAS"</f>
        <v>000309457 - RICH FOODS-TONY ROMAS</v>
      </c>
      <c r="C729" t="s">
        <v>483</v>
      </c>
      <c r="D729" s="1" t="str">
        <f t="shared" si="20"/>
        <v>PRG-1013602</v>
      </c>
      <c r="E729" t="s">
        <v>118</v>
      </c>
      <c r="F729" t="s">
        <v>4</v>
      </c>
      <c r="G729" t="str">
        <f>""</f>
        <v/>
      </c>
    </row>
    <row r="730" spans="1:7" x14ac:dyDescent="0.25">
      <c r="A730" t="s">
        <v>8</v>
      </c>
      <c r="B730" s="1" t="str">
        <f>"000312998 - RICH FOODS NC BB-TONY ROMA"</f>
        <v>000312998 - RICH FOODS NC BB-TONY ROMA</v>
      </c>
      <c r="C730" t="s">
        <v>646</v>
      </c>
      <c r="D730" s="1" t="str">
        <f t="shared" si="20"/>
        <v>PRG-1013602</v>
      </c>
      <c r="E730" t="s">
        <v>118</v>
      </c>
      <c r="F730" t="s">
        <v>4</v>
      </c>
      <c r="G730" t="str">
        <f>""</f>
        <v/>
      </c>
    </row>
    <row r="731" spans="1:7" x14ac:dyDescent="0.25">
      <c r="A731" t="s">
        <v>8</v>
      </c>
      <c r="B731" s="1" t="str">
        <f>"000313986 - "</f>
        <v xml:space="preserve">000313986 - </v>
      </c>
      <c r="D731" s="1" t="str">
        <f t="shared" si="20"/>
        <v>PRG-1013602</v>
      </c>
      <c r="E731" t="s">
        <v>118</v>
      </c>
      <c r="F731" t="s">
        <v>4</v>
      </c>
      <c r="G731" t="str">
        <f>""</f>
        <v/>
      </c>
    </row>
    <row r="732" spans="1:7" x14ac:dyDescent="0.25">
      <c r="A732" t="s">
        <v>8</v>
      </c>
      <c r="B732" s="1" t="str">
        <f>"000313987 - "</f>
        <v xml:space="preserve">000313987 - </v>
      </c>
      <c r="D732" s="1" t="str">
        <f t="shared" ref="D732:D751" si="21">"PRG-1013602"</f>
        <v>PRG-1013602</v>
      </c>
      <c r="E732" t="s">
        <v>118</v>
      </c>
      <c r="F732" t="s">
        <v>4</v>
      </c>
      <c r="G732" t="str">
        <f>""</f>
        <v/>
      </c>
    </row>
    <row r="733" spans="1:7" x14ac:dyDescent="0.25">
      <c r="A733" t="s">
        <v>8</v>
      </c>
      <c r="B733" s="1" t="str">
        <f>"000313988 - RICH FOODS C BB-TONY ROMA"</f>
        <v>000313988 - RICH FOODS C BB-TONY ROMA</v>
      </c>
      <c r="C733" t="s">
        <v>653</v>
      </c>
      <c r="D733" s="1" t="str">
        <f t="shared" si="21"/>
        <v>PRG-1013602</v>
      </c>
      <c r="E733" t="s">
        <v>118</v>
      </c>
      <c r="F733" t="s">
        <v>4</v>
      </c>
      <c r="G733" t="str">
        <f>""</f>
        <v/>
      </c>
    </row>
    <row r="734" spans="1:7" x14ac:dyDescent="0.25">
      <c r="A734" t="s">
        <v>8</v>
      </c>
      <c r="B734" s="1" t="str">
        <f>"000313989 - RICH FOODS NC BB-TONY ROMA"</f>
        <v>000313989 - RICH FOODS NC BB-TONY ROMA</v>
      </c>
      <c r="C734" t="s">
        <v>646</v>
      </c>
      <c r="D734" s="1" t="str">
        <f t="shared" si="21"/>
        <v>PRG-1013602</v>
      </c>
      <c r="E734" t="s">
        <v>118</v>
      </c>
      <c r="F734" t="s">
        <v>4</v>
      </c>
      <c r="G734" t="str">
        <f>""</f>
        <v/>
      </c>
    </row>
    <row r="735" spans="1:7" x14ac:dyDescent="0.25">
      <c r="A735" t="s">
        <v>8</v>
      </c>
      <c r="B735" s="1" t="str">
        <f>"000319184 - RICH FOODS-TONY ROMAS"</f>
        <v>000319184 - RICH FOODS-TONY ROMAS</v>
      </c>
      <c r="C735" t="s">
        <v>483</v>
      </c>
      <c r="D735" s="1" t="str">
        <f t="shared" si="21"/>
        <v>PRG-1013602</v>
      </c>
      <c r="E735" t="s">
        <v>118</v>
      </c>
      <c r="F735" t="s">
        <v>4</v>
      </c>
      <c r="G735" t="str">
        <f>""</f>
        <v/>
      </c>
    </row>
    <row r="736" spans="1:7" x14ac:dyDescent="0.25">
      <c r="A736" t="s">
        <v>8</v>
      </c>
      <c r="B736" s="1" t="str">
        <f>"000323955 - RICH FOODS-TONY ROMAS"</f>
        <v>000323955 - RICH FOODS-TONY ROMAS</v>
      </c>
      <c r="C736" t="s">
        <v>483</v>
      </c>
      <c r="D736" s="1" t="str">
        <f t="shared" si="21"/>
        <v>PRG-1013602</v>
      </c>
      <c r="E736" t="s">
        <v>118</v>
      </c>
      <c r="F736" t="s">
        <v>4</v>
      </c>
      <c r="G736" t="str">
        <f>""</f>
        <v/>
      </c>
    </row>
    <row r="737" spans="1:7" x14ac:dyDescent="0.25">
      <c r="A737" t="s">
        <v>8</v>
      </c>
      <c r="B737" s="1" t="str">
        <f>"000331721 - RICH NCORE-TONY ROMA"</f>
        <v>000331721 - RICH NCORE-TONY ROMA</v>
      </c>
      <c r="C737" t="s">
        <v>527</v>
      </c>
      <c r="D737" s="1" t="str">
        <f t="shared" si="21"/>
        <v>PRG-1013602</v>
      </c>
      <c r="E737" t="s">
        <v>118</v>
      </c>
      <c r="F737" t="s">
        <v>4</v>
      </c>
      <c r="G737" t="str">
        <f>""</f>
        <v/>
      </c>
    </row>
    <row r="738" spans="1:7" x14ac:dyDescent="0.25">
      <c r="A738" t="s">
        <v>8</v>
      </c>
      <c r="B738" s="1" t="str">
        <f>"000333957 - RICH FOODS-TONY ROMAS"</f>
        <v>000333957 - RICH FOODS-TONY ROMAS</v>
      </c>
      <c r="C738" t="s">
        <v>483</v>
      </c>
      <c r="D738" s="1" t="str">
        <f t="shared" si="21"/>
        <v>PRG-1013602</v>
      </c>
      <c r="E738" t="s">
        <v>118</v>
      </c>
      <c r="F738" t="s">
        <v>4</v>
      </c>
      <c r="G738" t="str">
        <f>""</f>
        <v/>
      </c>
    </row>
    <row r="739" spans="1:7" x14ac:dyDescent="0.25">
      <c r="A739" t="s">
        <v>8</v>
      </c>
      <c r="B739" s="1" t="str">
        <f>"000334077 - RICH FOODS-TONY ROMAS"</f>
        <v>000334077 - RICH FOODS-TONY ROMAS</v>
      </c>
      <c r="C739" t="s">
        <v>483</v>
      </c>
      <c r="D739" s="1" t="str">
        <f t="shared" si="21"/>
        <v>PRG-1013602</v>
      </c>
      <c r="E739" t="s">
        <v>118</v>
      </c>
      <c r="F739" t="s">
        <v>4</v>
      </c>
      <c r="G739" t="str">
        <f>""</f>
        <v/>
      </c>
    </row>
    <row r="740" spans="1:7" x14ac:dyDescent="0.25">
      <c r="A740" t="s">
        <v>8</v>
      </c>
      <c r="B740" s="1" t="str">
        <f>"000341400 - RICH FOODS-TONY ROMAS"</f>
        <v>000341400 - RICH FOODS-TONY ROMAS</v>
      </c>
      <c r="C740" t="s">
        <v>483</v>
      </c>
      <c r="D740" s="1" t="str">
        <f t="shared" si="21"/>
        <v>PRG-1013602</v>
      </c>
      <c r="E740" t="s">
        <v>118</v>
      </c>
      <c r="F740" t="s">
        <v>4</v>
      </c>
      <c r="G740" t="str">
        <f>""</f>
        <v/>
      </c>
    </row>
    <row r="741" spans="1:7" x14ac:dyDescent="0.25">
      <c r="A741" t="s">
        <v>8</v>
      </c>
      <c r="B741" s="1" t="str">
        <f>"000347197 - RICH NCORE-TONY ROMA"</f>
        <v>000347197 - RICH NCORE-TONY ROMA</v>
      </c>
      <c r="C741" t="s">
        <v>527</v>
      </c>
      <c r="D741" s="1" t="str">
        <f t="shared" si="21"/>
        <v>PRG-1013602</v>
      </c>
      <c r="E741" t="s">
        <v>118</v>
      </c>
      <c r="F741" t="s">
        <v>4</v>
      </c>
      <c r="G741" t="str">
        <f>""</f>
        <v/>
      </c>
    </row>
    <row r="742" spans="1:7" x14ac:dyDescent="0.25">
      <c r="A742" t="s">
        <v>8</v>
      </c>
      <c r="B742" s="1" t="str">
        <f>"000351081 - RICH NCORE-TONY ROMA"</f>
        <v>000351081 - RICH NCORE-TONY ROMA</v>
      </c>
      <c r="C742" t="s">
        <v>527</v>
      </c>
      <c r="D742" s="1" t="str">
        <f t="shared" si="21"/>
        <v>PRG-1013602</v>
      </c>
      <c r="E742" t="s">
        <v>118</v>
      </c>
      <c r="F742" t="s">
        <v>4</v>
      </c>
      <c r="G742" t="str">
        <f>""</f>
        <v/>
      </c>
    </row>
    <row r="743" spans="1:7" x14ac:dyDescent="0.25">
      <c r="A743" t="s">
        <v>8</v>
      </c>
      <c r="B743" s="1" t="str">
        <f>"000358975 - RICH FOODS C BB-TONY ROMA"</f>
        <v>000358975 - RICH FOODS C BB-TONY ROMA</v>
      </c>
      <c r="C743" t="s">
        <v>653</v>
      </c>
      <c r="D743" s="1" t="str">
        <f t="shared" si="21"/>
        <v>PRG-1013602</v>
      </c>
      <c r="E743" t="s">
        <v>118</v>
      </c>
      <c r="F743" t="s">
        <v>4</v>
      </c>
      <c r="G743" t="str">
        <f>""</f>
        <v/>
      </c>
    </row>
    <row r="744" spans="1:7" x14ac:dyDescent="0.25">
      <c r="A744" t="s">
        <v>8</v>
      </c>
      <c r="B744" s="1" t="str">
        <f>"000358976 - RICH FOODS NC BB-TONY ROMA"</f>
        <v>000358976 - RICH FOODS NC BB-TONY ROMA</v>
      </c>
      <c r="C744" t="s">
        <v>646</v>
      </c>
      <c r="D744" s="1" t="str">
        <f t="shared" si="21"/>
        <v>PRG-1013602</v>
      </c>
      <c r="E744" t="s">
        <v>118</v>
      </c>
      <c r="F744" t="s">
        <v>4</v>
      </c>
      <c r="G744" t="str">
        <f>""</f>
        <v/>
      </c>
    </row>
    <row r="745" spans="1:7" x14ac:dyDescent="0.25">
      <c r="A745" t="s">
        <v>8</v>
      </c>
      <c r="B745" s="1" t="str">
        <f>"000361152 - RICH NCORE=TONY ROMA"</f>
        <v>000361152 - RICH NCORE=TONY ROMA</v>
      </c>
      <c r="C745" t="s">
        <v>603</v>
      </c>
      <c r="D745" s="1" t="str">
        <f t="shared" si="21"/>
        <v>PRG-1013602</v>
      </c>
      <c r="E745" t="s">
        <v>118</v>
      </c>
      <c r="F745" t="s">
        <v>4</v>
      </c>
      <c r="G745" t="str">
        <f>""</f>
        <v/>
      </c>
    </row>
    <row r="746" spans="1:7" x14ac:dyDescent="0.25">
      <c r="A746" t="s">
        <v>8</v>
      </c>
      <c r="B746" s="1" t="str">
        <f>"000372884 - RICH FOODS NC BB-TONY ROMA"</f>
        <v>000372884 - RICH FOODS NC BB-TONY ROMA</v>
      </c>
      <c r="C746" t="s">
        <v>646</v>
      </c>
      <c r="D746" s="1" t="str">
        <f t="shared" si="21"/>
        <v>PRG-1013602</v>
      </c>
      <c r="E746" t="s">
        <v>118</v>
      </c>
      <c r="F746" t="s">
        <v>4</v>
      </c>
      <c r="G746" t="str">
        <f>""</f>
        <v/>
      </c>
    </row>
    <row r="747" spans="1:7" x14ac:dyDescent="0.25">
      <c r="A747" t="s">
        <v>8</v>
      </c>
      <c r="B747" s="1" t="str">
        <f>"000373803 - RICH FOODS C BB-TONY ROMA"</f>
        <v>000373803 - RICH FOODS C BB-TONY ROMA</v>
      </c>
      <c r="C747" t="s">
        <v>653</v>
      </c>
      <c r="D747" s="1" t="str">
        <f t="shared" si="21"/>
        <v>PRG-1013602</v>
      </c>
      <c r="E747" t="s">
        <v>118</v>
      </c>
      <c r="F747" t="s">
        <v>4</v>
      </c>
      <c r="G747" t="str">
        <f>""</f>
        <v/>
      </c>
    </row>
    <row r="748" spans="1:7" x14ac:dyDescent="0.25">
      <c r="A748" t="s">
        <v>8</v>
      </c>
      <c r="B748" s="1" t="str">
        <f>"000373804 - RICH FOODS NC BB-TONY ROMA"</f>
        <v>000373804 - RICH FOODS NC BB-TONY ROMA</v>
      </c>
      <c r="C748" t="s">
        <v>646</v>
      </c>
      <c r="D748" s="1" t="str">
        <f t="shared" si="21"/>
        <v>PRG-1013602</v>
      </c>
      <c r="E748" t="s">
        <v>118</v>
      </c>
      <c r="F748" t="s">
        <v>4</v>
      </c>
      <c r="G748" t="str">
        <f>""</f>
        <v/>
      </c>
    </row>
    <row r="749" spans="1:7" x14ac:dyDescent="0.25">
      <c r="A749" t="s">
        <v>8</v>
      </c>
      <c r="B749" s="1" t="str">
        <f>"2000171073 - RICH FOODS-TONY ROMA'S"</f>
        <v>2000171073 - RICH FOODS-TONY ROMA'S</v>
      </c>
      <c r="C749" t="s">
        <v>689</v>
      </c>
      <c r="D749" s="1" t="str">
        <f t="shared" si="21"/>
        <v>PRG-1013602</v>
      </c>
      <c r="E749" t="s">
        <v>118</v>
      </c>
      <c r="F749" t="s">
        <v>4</v>
      </c>
      <c r="G749" t="str">
        <f>""</f>
        <v/>
      </c>
    </row>
    <row r="750" spans="1:7" x14ac:dyDescent="0.25">
      <c r="A750" t="s">
        <v>8</v>
      </c>
      <c r="B750" s="1" t="str">
        <f>"2000225916 - RICH FOODS-TONY ROMA'S"</f>
        <v>2000225916 - RICH FOODS-TONY ROMA'S</v>
      </c>
      <c r="C750" t="s">
        <v>689</v>
      </c>
      <c r="D750" s="1" t="str">
        <f t="shared" si="21"/>
        <v>PRG-1013602</v>
      </c>
      <c r="E750" t="s">
        <v>118</v>
      </c>
      <c r="F750" t="s">
        <v>4</v>
      </c>
      <c r="G750" t="str">
        <f>""</f>
        <v/>
      </c>
    </row>
    <row r="751" spans="1:7" x14ac:dyDescent="0.25">
      <c r="A751" t="s">
        <v>8</v>
      </c>
      <c r="B751" s="1" t="str">
        <f>"2000273852 - RICH FOODS-TONY ROMA'S"</f>
        <v>2000273852 - RICH FOODS-TONY ROMA'S</v>
      </c>
      <c r="C751" t="s">
        <v>689</v>
      </c>
      <c r="D751" s="1" t="str">
        <f t="shared" si="21"/>
        <v>PRG-1013602</v>
      </c>
      <c r="E751" t="s">
        <v>118</v>
      </c>
      <c r="F751" t="s">
        <v>4</v>
      </c>
      <c r="G751" t="str">
        <f>""</f>
        <v/>
      </c>
    </row>
    <row r="752" spans="1:7" x14ac:dyDescent="0.25">
      <c r="A752" t="s">
        <v>8</v>
      </c>
      <c r="B752" s="1" t="str">
        <f>"000249885 - RICHS TROUT STREET"</f>
        <v>000249885 - RICHS TROUT STREET</v>
      </c>
      <c r="C752" t="s">
        <v>2087</v>
      </c>
      <c r="D752" s="1" t="str">
        <f>"PRG-1013606"</f>
        <v>PRG-1013606</v>
      </c>
      <c r="E752" t="s">
        <v>2088</v>
      </c>
      <c r="F752" t="s">
        <v>4</v>
      </c>
      <c r="G752" t="str">
        <f>""</f>
        <v/>
      </c>
    </row>
    <row r="753" spans="1:7" x14ac:dyDescent="0.25">
      <c r="A753" t="s">
        <v>8</v>
      </c>
      <c r="B753" s="1" t="str">
        <f>"2000059136 - RICH FOODS-BLUE MESA"</f>
        <v>2000059136 - RICH FOODS-BLUE MESA</v>
      </c>
      <c r="C753" t="s">
        <v>3835</v>
      </c>
      <c r="D753" s="1" t="str">
        <f>"PRG-1013609"</f>
        <v>PRG-1013609</v>
      </c>
      <c r="E753" t="s">
        <v>23</v>
      </c>
      <c r="F753" t="s">
        <v>4</v>
      </c>
      <c r="G753" t="str">
        <f>""</f>
        <v/>
      </c>
    </row>
    <row r="754" spans="1:7" x14ac:dyDescent="0.25">
      <c r="A754" t="s">
        <v>8</v>
      </c>
      <c r="B754" s="1" t="str">
        <f>"000133782 - RICH RICARDO'S + SMITH WACO"</f>
        <v>000133782 - RICH RICARDO'S + SMITH WACO</v>
      </c>
      <c r="C754" t="s">
        <v>942</v>
      </c>
      <c r="D754" s="1" t="str">
        <f>"PRG-1013620"</f>
        <v>PRG-1013620</v>
      </c>
      <c r="E754" t="s">
        <v>943</v>
      </c>
      <c r="F754" t="s">
        <v>4</v>
      </c>
      <c r="G754" t="str">
        <f>""</f>
        <v/>
      </c>
    </row>
    <row r="755" spans="1:7" x14ac:dyDescent="0.25">
      <c r="A755" t="s">
        <v>8</v>
      </c>
      <c r="B755" s="1" t="str">
        <f>"000255378 - RICH FDS-ARAMARK MAIN EX K12"</f>
        <v>000255378 - RICH FDS-ARAMARK MAIN EX K12</v>
      </c>
      <c r="C755" t="s">
        <v>511</v>
      </c>
      <c r="D755" s="1" t="str">
        <f>"PRG-1013620"</f>
        <v>PRG-1013620</v>
      </c>
      <c r="E755" t="s">
        <v>943</v>
      </c>
      <c r="F755" t="s">
        <v>4</v>
      </c>
      <c r="G755" t="str">
        <f>""</f>
        <v/>
      </c>
    </row>
    <row r="756" spans="1:7" x14ac:dyDescent="0.25">
      <c r="A756" t="s">
        <v>8</v>
      </c>
      <c r="B756" s="1" t="str">
        <f>"000289406 - RICH VARIETY-ARAMARK"</f>
        <v>000289406 - RICH VARIETY-ARAMARK</v>
      </c>
      <c r="C756" t="s">
        <v>471</v>
      </c>
      <c r="D756" s="1" t="str">
        <f>"PRG-1013620"</f>
        <v>PRG-1013620</v>
      </c>
      <c r="E756" t="s">
        <v>943</v>
      </c>
      <c r="F756" t="s">
        <v>4</v>
      </c>
      <c r="G756" t="str">
        <f>""</f>
        <v/>
      </c>
    </row>
    <row r="757" spans="1:7" x14ac:dyDescent="0.25">
      <c r="A757" t="s">
        <v>8</v>
      </c>
      <c r="B757" s="1" t="str">
        <f>"000186748 - CALECOS RICH"</f>
        <v>000186748 - CALECOS RICH</v>
      </c>
      <c r="C757" t="s">
        <v>1180</v>
      </c>
      <c r="D757" s="1" t="str">
        <f>"PRG-1013622"</f>
        <v>PRG-1013622</v>
      </c>
      <c r="E757" t="s">
        <v>1181</v>
      </c>
      <c r="F757" t="s">
        <v>4</v>
      </c>
      <c r="G757" t="str">
        <f>""</f>
        <v/>
      </c>
    </row>
    <row r="758" spans="1:7" x14ac:dyDescent="0.25">
      <c r="A758" t="s">
        <v>8</v>
      </c>
      <c r="B758" s="1" t="str">
        <f>"000201646 - CALECOS RICH"</f>
        <v>000201646 - CALECOS RICH</v>
      </c>
      <c r="C758" t="s">
        <v>1180</v>
      </c>
      <c r="D758" s="1" t="str">
        <f>"PRG-1013622"</f>
        <v>PRG-1013622</v>
      </c>
      <c r="E758" t="s">
        <v>1181</v>
      </c>
      <c r="F758" t="s">
        <v>4</v>
      </c>
      <c r="G758" t="str">
        <f>""</f>
        <v/>
      </c>
    </row>
    <row r="759" spans="1:7" x14ac:dyDescent="0.25">
      <c r="A759" t="s">
        <v>8</v>
      </c>
      <c r="B759" s="1" t="str">
        <f>"32205171"</f>
        <v>32205171</v>
      </c>
      <c r="C759" t="s">
        <v>4815</v>
      </c>
      <c r="D759" s="1" t="str">
        <f>"PRG-1013622"</f>
        <v>PRG-1013622</v>
      </c>
      <c r="E759" t="s">
        <v>1181</v>
      </c>
      <c r="F759" t="s">
        <v>5</v>
      </c>
      <c r="G759" t="str">
        <f>""</f>
        <v/>
      </c>
    </row>
    <row r="760" spans="1:7" x14ac:dyDescent="0.25">
      <c r="A760" t="s">
        <v>8</v>
      </c>
      <c r="B760" s="1" t="str">
        <f>"3220E758"</f>
        <v>3220E758</v>
      </c>
      <c r="C760" t="s">
        <v>4830</v>
      </c>
      <c r="D760" s="1" t="str">
        <f>"PRG-1013622"</f>
        <v>PRG-1013622</v>
      </c>
      <c r="E760" t="s">
        <v>1181</v>
      </c>
      <c r="F760" t="s">
        <v>5</v>
      </c>
      <c r="G760" t="str">
        <f>""</f>
        <v/>
      </c>
    </row>
    <row r="761" spans="1:7" x14ac:dyDescent="0.25">
      <c r="A761" t="s">
        <v>8</v>
      </c>
      <c r="B761" s="1" t="str">
        <f>"3023A443"</f>
        <v>3023A443</v>
      </c>
      <c r="C761" t="s">
        <v>4577</v>
      </c>
      <c r="D761" s="1" t="str">
        <f>"PRG-1013624"</f>
        <v>PRG-1013624</v>
      </c>
      <c r="E761" t="s">
        <v>4578</v>
      </c>
      <c r="F761" t="s">
        <v>5</v>
      </c>
      <c r="G761" t="str">
        <f>""</f>
        <v/>
      </c>
    </row>
    <row r="762" spans="1:7" x14ac:dyDescent="0.25">
      <c r="A762" t="s">
        <v>8</v>
      </c>
      <c r="B762" s="1" t="str">
        <f>"3150B046"</f>
        <v>3150B046</v>
      </c>
      <c r="C762" t="s">
        <v>4663</v>
      </c>
      <c r="D762" s="1" t="str">
        <f>"PRG-1013628"</f>
        <v>PRG-1013628</v>
      </c>
      <c r="E762" t="s">
        <v>4664</v>
      </c>
      <c r="F762" t="s">
        <v>5</v>
      </c>
      <c r="G762" t="str">
        <f>""</f>
        <v/>
      </c>
    </row>
    <row r="763" spans="1:7" x14ac:dyDescent="0.25">
      <c r="A763" t="s">
        <v>8</v>
      </c>
      <c r="B763" s="1" t="str">
        <f>"000106332 - RICHS NIEMERGS"</f>
        <v>000106332 - RICHS NIEMERGS</v>
      </c>
      <c r="C763" t="s">
        <v>822</v>
      </c>
      <c r="D763" s="1" t="str">
        <f>"PRG-1013629"</f>
        <v>PRG-1013629</v>
      </c>
      <c r="E763" t="s">
        <v>823</v>
      </c>
      <c r="F763" t="s">
        <v>4</v>
      </c>
      <c r="G763" t="str">
        <f>""</f>
        <v/>
      </c>
    </row>
    <row r="764" spans="1:7" x14ac:dyDescent="0.25">
      <c r="A764" t="s">
        <v>8</v>
      </c>
      <c r="B764" s="1" t="str">
        <f>"32206202"</f>
        <v>32206202</v>
      </c>
      <c r="C764" t="s">
        <v>4816</v>
      </c>
      <c r="D764" s="1" t="str">
        <f>"PRG-1013629"</f>
        <v>PRG-1013629</v>
      </c>
      <c r="E764" t="s">
        <v>823</v>
      </c>
      <c r="F764" t="s">
        <v>5</v>
      </c>
      <c r="G764" t="str">
        <f>""</f>
        <v/>
      </c>
    </row>
    <row r="765" spans="1:7" x14ac:dyDescent="0.25">
      <c r="A765" t="s">
        <v>8</v>
      </c>
      <c r="B765" s="1" t="str">
        <f>"000243042 - RICH FOODS ALONTI"</f>
        <v>000243042 - RICH FOODS ALONTI</v>
      </c>
      <c r="C765" t="s">
        <v>1949</v>
      </c>
      <c r="D765" s="1" t="str">
        <f>"PRG-1013630"</f>
        <v>PRG-1013630</v>
      </c>
      <c r="E765" t="s">
        <v>1950</v>
      </c>
      <c r="F765" t="s">
        <v>4</v>
      </c>
      <c r="G765" t="str">
        <f>""</f>
        <v/>
      </c>
    </row>
    <row r="766" spans="1:7" x14ac:dyDescent="0.25">
      <c r="A766" t="s">
        <v>8</v>
      </c>
      <c r="B766" s="1" t="str">
        <f>"000247115 - RICH PRODUCTS  ALONTI DELI"</f>
        <v>000247115 - RICH PRODUCTS  ALONTI DELI</v>
      </c>
      <c r="C766" t="s">
        <v>2029</v>
      </c>
      <c r="D766" s="1" t="str">
        <f>"PRG-1013630"</f>
        <v>PRG-1013630</v>
      </c>
      <c r="E766" t="s">
        <v>1950</v>
      </c>
      <c r="F766" t="s">
        <v>4</v>
      </c>
      <c r="G766" t="str">
        <f>""</f>
        <v/>
      </c>
    </row>
    <row r="767" spans="1:7" x14ac:dyDescent="0.25">
      <c r="A767" t="s">
        <v>8</v>
      </c>
      <c r="B767" s="1" t="str">
        <f>"000304106 - RICH FOODS ALONTI'S-PEPI'S"</f>
        <v>000304106 - RICH FOODS ALONTI'S-PEPI'S</v>
      </c>
      <c r="C767" t="s">
        <v>3019</v>
      </c>
      <c r="D767" s="1" t="str">
        <f>"PRG-1013630"</f>
        <v>PRG-1013630</v>
      </c>
      <c r="E767" t="s">
        <v>1950</v>
      </c>
      <c r="F767" t="s">
        <v>4</v>
      </c>
      <c r="G767" t="str">
        <f>""</f>
        <v/>
      </c>
    </row>
    <row r="768" spans="1:7" x14ac:dyDescent="0.25">
      <c r="A768" t="s">
        <v>8</v>
      </c>
      <c r="B768" s="1" t="str">
        <f>"000339527 - RICH FOODS ALONTI"</f>
        <v>000339527 - RICH FOODS ALONTI</v>
      </c>
      <c r="C768" t="s">
        <v>1949</v>
      </c>
      <c r="D768" s="1" t="str">
        <f>"PRG-1013630"</f>
        <v>PRG-1013630</v>
      </c>
      <c r="E768" t="s">
        <v>1950</v>
      </c>
      <c r="F768" t="s">
        <v>4</v>
      </c>
      <c r="G768" t="str">
        <f>""</f>
        <v/>
      </c>
    </row>
    <row r="769" spans="1:7" x14ac:dyDescent="0.25">
      <c r="A769" t="s">
        <v>8</v>
      </c>
      <c r="B769" s="1" t="str">
        <f>"2000054612 - RICH FOODS - PEPI CORP"</f>
        <v>2000054612 - RICH FOODS - PEPI CORP</v>
      </c>
      <c r="C769" t="s">
        <v>80</v>
      </c>
      <c r="D769" s="1" t="str">
        <f>"PRG-1013630"</f>
        <v>PRG-1013630</v>
      </c>
      <c r="E769" t="s">
        <v>1950</v>
      </c>
      <c r="F769" t="s">
        <v>4</v>
      </c>
      <c r="G769" t="str">
        <f>""</f>
        <v/>
      </c>
    </row>
    <row r="770" spans="1:7" x14ac:dyDescent="0.25">
      <c r="A770" t="s">
        <v>8</v>
      </c>
      <c r="B770" s="1" t="str">
        <f>"000241475 - RICHS   DORNEY"</f>
        <v>000241475 - RICHS   DORNEY</v>
      </c>
      <c r="C770" t="s">
        <v>1922</v>
      </c>
      <c r="D770" s="1" t="str">
        <f>"PRG-1013641"</f>
        <v>PRG-1013641</v>
      </c>
      <c r="E770" t="s">
        <v>1923</v>
      </c>
      <c r="F770" t="s">
        <v>4</v>
      </c>
      <c r="G770" t="str">
        <f>""</f>
        <v/>
      </c>
    </row>
    <row r="771" spans="1:7" x14ac:dyDescent="0.25">
      <c r="A771" t="s">
        <v>8</v>
      </c>
      <c r="B771" s="1" t="str">
        <f>"000208070 - RICH IPIC"</f>
        <v>000208070 - RICH IPIC</v>
      </c>
      <c r="C771" t="s">
        <v>1388</v>
      </c>
      <c r="D771" s="1" t="str">
        <f t="shared" ref="D771:D791" si="22">"PRG-1013676"</f>
        <v>PRG-1013676</v>
      </c>
      <c r="E771" t="s">
        <v>1389</v>
      </c>
      <c r="F771" t="s">
        <v>4</v>
      </c>
      <c r="G771" t="str">
        <f>""</f>
        <v/>
      </c>
    </row>
    <row r="772" spans="1:7" x14ac:dyDescent="0.25">
      <c r="A772" t="s">
        <v>8</v>
      </c>
      <c r="B772" s="1" t="str">
        <f>"000222089 - RICH PRODUCTS-FB  IPIC"</f>
        <v>000222089 - RICH PRODUCTS-FB  IPIC</v>
      </c>
      <c r="C772" t="s">
        <v>1616</v>
      </c>
      <c r="D772" s="1" t="str">
        <f t="shared" si="22"/>
        <v>PRG-1013676</v>
      </c>
      <c r="E772" t="s">
        <v>1389</v>
      </c>
      <c r="F772" t="s">
        <v>4</v>
      </c>
      <c r="G772" t="str">
        <f>""</f>
        <v/>
      </c>
    </row>
    <row r="773" spans="1:7" x14ac:dyDescent="0.25">
      <c r="A773" t="s">
        <v>8</v>
      </c>
      <c r="B773" s="1" t="str">
        <f>"000222125 - RICH FOODS BB-FB  IPIC"</f>
        <v>000222125 - RICH FOODS BB-FB  IPIC</v>
      </c>
      <c r="C773" t="s">
        <v>1618</v>
      </c>
      <c r="D773" s="1" t="str">
        <f t="shared" si="22"/>
        <v>PRG-1013676</v>
      </c>
      <c r="E773" t="s">
        <v>1389</v>
      </c>
      <c r="F773" t="s">
        <v>4</v>
      </c>
      <c r="G773" t="str">
        <f>""</f>
        <v/>
      </c>
    </row>
    <row r="774" spans="1:7" x14ac:dyDescent="0.25">
      <c r="A774" t="s">
        <v>8</v>
      </c>
      <c r="B774" s="1" t="str">
        <f>"000227725 - RICHS FOODS BB-FB  IPIC"</f>
        <v>000227725 - RICHS FOODS BB-FB  IPIC</v>
      </c>
      <c r="C774" t="s">
        <v>1714</v>
      </c>
      <c r="D774" s="1" t="str">
        <f t="shared" si="22"/>
        <v>PRG-1013676</v>
      </c>
      <c r="E774" t="s">
        <v>1389</v>
      </c>
      <c r="F774" t="s">
        <v>4</v>
      </c>
      <c r="G774" t="str">
        <f>""</f>
        <v/>
      </c>
    </row>
    <row r="775" spans="1:7" x14ac:dyDescent="0.25">
      <c r="A775" t="s">
        <v>8</v>
      </c>
      <c r="B775" s="1" t="str">
        <f>"000268123 - RICH IPIC ENTERTAINMENT"</f>
        <v>000268123 - RICH IPIC ENTERTAINMENT</v>
      </c>
      <c r="C775" t="s">
        <v>2434</v>
      </c>
      <c r="D775" s="1" t="str">
        <f t="shared" si="22"/>
        <v>PRG-1013676</v>
      </c>
      <c r="E775" t="s">
        <v>1389</v>
      </c>
      <c r="F775" t="s">
        <v>4</v>
      </c>
      <c r="G775" t="str">
        <f>""</f>
        <v/>
      </c>
    </row>
    <row r="776" spans="1:7" x14ac:dyDescent="0.25">
      <c r="A776" t="s">
        <v>8</v>
      </c>
      <c r="B776" s="1" t="str">
        <f>"000282293 - RICH FOODS IPIC"</f>
        <v>000282293 - RICH FOODS IPIC</v>
      </c>
      <c r="C776" t="s">
        <v>2669</v>
      </c>
      <c r="D776" s="1" t="str">
        <f t="shared" si="22"/>
        <v>PRG-1013676</v>
      </c>
      <c r="E776" t="s">
        <v>1389</v>
      </c>
      <c r="F776" t="s">
        <v>4</v>
      </c>
      <c r="G776" t="str">
        <f>""</f>
        <v/>
      </c>
    </row>
    <row r="777" spans="1:7" x14ac:dyDescent="0.25">
      <c r="A777" t="s">
        <v>8</v>
      </c>
      <c r="B777" s="1" t="str">
        <f>"000292833 - RICH FOODS BB-IPIC ENT(FDBY)"</f>
        <v>000292833 - RICH FOODS BB-IPIC ENT(FDBY)</v>
      </c>
      <c r="C777" t="s">
        <v>2867</v>
      </c>
      <c r="D777" s="1" t="str">
        <f t="shared" si="22"/>
        <v>PRG-1013676</v>
      </c>
      <c r="E777" t="s">
        <v>1389</v>
      </c>
      <c r="F777" t="s">
        <v>4</v>
      </c>
      <c r="G777" t="str">
        <f>""</f>
        <v/>
      </c>
    </row>
    <row r="778" spans="1:7" x14ac:dyDescent="0.25">
      <c r="A778" t="s">
        <v>8</v>
      </c>
      <c r="B778" s="1" t="str">
        <f>"000296664 - RICH PRODUCTS IPIC ENTERTAIN"</f>
        <v>000296664 - RICH PRODUCTS IPIC ENTERTAIN</v>
      </c>
      <c r="C778" t="s">
        <v>2917</v>
      </c>
      <c r="D778" s="1" t="str">
        <f t="shared" si="22"/>
        <v>PRG-1013676</v>
      </c>
      <c r="E778" t="s">
        <v>1389</v>
      </c>
      <c r="F778" t="s">
        <v>4</v>
      </c>
      <c r="G778" t="str">
        <f>""</f>
        <v/>
      </c>
    </row>
    <row r="779" spans="1:7" x14ac:dyDescent="0.25">
      <c r="A779" t="s">
        <v>8</v>
      </c>
      <c r="B779" s="1" t="str">
        <f>"000300494 - RICH FOODS IPIC    CLRW"</f>
        <v>000300494 - RICH FOODS IPIC    CLRW</v>
      </c>
      <c r="C779" t="s">
        <v>2971</v>
      </c>
      <c r="D779" s="1" t="str">
        <f t="shared" si="22"/>
        <v>PRG-1013676</v>
      </c>
      <c r="E779" t="s">
        <v>1389</v>
      </c>
      <c r="F779" t="s">
        <v>4</v>
      </c>
      <c r="G779" t="str">
        <f>""</f>
        <v/>
      </c>
    </row>
    <row r="780" spans="1:7" x14ac:dyDescent="0.25">
      <c r="A780" t="s">
        <v>8</v>
      </c>
      <c r="B780" s="1" t="str">
        <f>"000301127 - IPIC   RICH'S"</f>
        <v>000301127 - IPIC   RICH'S</v>
      </c>
      <c r="C780" t="s">
        <v>2977</v>
      </c>
      <c r="D780" s="1" t="str">
        <f t="shared" si="22"/>
        <v>PRG-1013676</v>
      </c>
      <c r="E780" t="s">
        <v>1389</v>
      </c>
      <c r="F780" t="s">
        <v>4</v>
      </c>
      <c r="G780" t="str">
        <f>""</f>
        <v/>
      </c>
    </row>
    <row r="781" spans="1:7" x14ac:dyDescent="0.25">
      <c r="A781" t="s">
        <v>8</v>
      </c>
      <c r="B781" s="1" t="str">
        <f>"000316004 - RICH PRODUCTS IPIC ENTERTAIN"</f>
        <v>000316004 - RICH PRODUCTS IPIC ENTERTAIN</v>
      </c>
      <c r="C781" t="s">
        <v>2917</v>
      </c>
      <c r="D781" s="1" t="str">
        <f t="shared" si="22"/>
        <v>PRG-1013676</v>
      </c>
      <c r="E781" t="s">
        <v>1389</v>
      </c>
      <c r="F781" t="s">
        <v>4</v>
      </c>
      <c r="G781" t="str">
        <f>""</f>
        <v/>
      </c>
    </row>
    <row r="782" spans="1:7" x14ac:dyDescent="0.25">
      <c r="A782" t="s">
        <v>8</v>
      </c>
      <c r="B782" s="1" t="str">
        <f>"000317940 - RICH PRODUCTS IPIC"</f>
        <v>000317940 - RICH PRODUCTS IPIC</v>
      </c>
      <c r="C782" t="s">
        <v>3210</v>
      </c>
      <c r="D782" s="1" t="str">
        <f t="shared" si="22"/>
        <v>PRG-1013676</v>
      </c>
      <c r="E782" t="s">
        <v>1389</v>
      </c>
      <c r="F782" t="s">
        <v>4</v>
      </c>
      <c r="G782" t="str">
        <f>""</f>
        <v/>
      </c>
    </row>
    <row r="783" spans="1:7" x14ac:dyDescent="0.25">
      <c r="A783" t="s">
        <v>8</v>
      </c>
      <c r="B783" s="1" t="str">
        <f>"000321545 - RICH PROD IPIC"</f>
        <v>000321545 - RICH PROD IPIC</v>
      </c>
      <c r="C783" t="s">
        <v>3246</v>
      </c>
      <c r="D783" s="1" t="str">
        <f t="shared" si="22"/>
        <v>PRG-1013676</v>
      </c>
      <c r="E783" t="s">
        <v>1389</v>
      </c>
      <c r="F783" t="s">
        <v>4</v>
      </c>
      <c r="G783" t="str">
        <f>""</f>
        <v/>
      </c>
    </row>
    <row r="784" spans="1:7" x14ac:dyDescent="0.25">
      <c r="A784" t="s">
        <v>8</v>
      </c>
      <c r="B784" s="1" t="str">
        <f>"000323219 - RICH PRODUCTS IPIC"</f>
        <v>000323219 - RICH PRODUCTS IPIC</v>
      </c>
      <c r="C784" t="s">
        <v>3210</v>
      </c>
      <c r="D784" s="1" t="str">
        <f t="shared" si="22"/>
        <v>PRG-1013676</v>
      </c>
      <c r="E784" t="s">
        <v>1389</v>
      </c>
      <c r="F784" t="s">
        <v>4</v>
      </c>
      <c r="G784" t="str">
        <f>""</f>
        <v/>
      </c>
    </row>
    <row r="785" spans="1:7" x14ac:dyDescent="0.25">
      <c r="A785" t="s">
        <v>8</v>
      </c>
      <c r="B785" s="1" t="str">
        <f>"000326497 - "</f>
        <v xml:space="preserve">000326497 - </v>
      </c>
      <c r="D785" s="1" t="str">
        <f t="shared" si="22"/>
        <v>PRG-1013676</v>
      </c>
      <c r="E785" t="s">
        <v>1389</v>
      </c>
      <c r="F785" t="s">
        <v>4</v>
      </c>
      <c r="G785" t="str">
        <f>""</f>
        <v/>
      </c>
    </row>
    <row r="786" spans="1:7" x14ac:dyDescent="0.25">
      <c r="A786" t="s">
        <v>8</v>
      </c>
      <c r="B786" s="1" t="str">
        <f>"000330032 - "</f>
        <v xml:space="preserve">000330032 - </v>
      </c>
      <c r="D786" s="1" t="str">
        <f t="shared" si="22"/>
        <v>PRG-1013676</v>
      </c>
      <c r="E786" t="s">
        <v>1389</v>
      </c>
      <c r="F786" t="s">
        <v>4</v>
      </c>
      <c r="G786" t="str">
        <f>""</f>
        <v/>
      </c>
    </row>
    <row r="787" spans="1:7" x14ac:dyDescent="0.25">
      <c r="A787" t="s">
        <v>8</v>
      </c>
      <c r="B787" s="1" t="str">
        <f>"000354101 - XXRICHS FOODS BB-IPIC"</f>
        <v>000354101 - XXRICHS FOODS BB-IPIC</v>
      </c>
      <c r="C787" t="s">
        <v>3541</v>
      </c>
      <c r="D787" s="1" t="str">
        <f t="shared" si="22"/>
        <v>PRG-1013676</v>
      </c>
      <c r="E787" t="s">
        <v>1389</v>
      </c>
      <c r="F787" t="s">
        <v>4</v>
      </c>
      <c r="G787" t="str">
        <f>""</f>
        <v/>
      </c>
    </row>
    <row r="788" spans="1:7" x14ac:dyDescent="0.25">
      <c r="A788" t="s">
        <v>8</v>
      </c>
      <c r="B788" s="1" t="str">
        <f>"000355946 - RICH FOODS BB-IPIC"</f>
        <v>000355946 - RICH FOODS BB-IPIC</v>
      </c>
      <c r="C788" t="s">
        <v>3561</v>
      </c>
      <c r="D788" s="1" t="str">
        <f t="shared" si="22"/>
        <v>PRG-1013676</v>
      </c>
      <c r="E788" t="s">
        <v>1389</v>
      </c>
      <c r="F788" t="s">
        <v>4</v>
      </c>
      <c r="G788" t="str">
        <f>""</f>
        <v/>
      </c>
    </row>
    <row r="789" spans="1:7" x14ac:dyDescent="0.25">
      <c r="A789" t="s">
        <v>8</v>
      </c>
      <c r="B789" s="1" t="str">
        <f>"000363497 - XXRICH BB-IPIC"</f>
        <v>000363497 - XXRICH BB-IPIC</v>
      </c>
      <c r="C789" t="s">
        <v>3594</v>
      </c>
      <c r="D789" s="1" t="str">
        <f t="shared" si="22"/>
        <v>PRG-1013676</v>
      </c>
      <c r="E789" t="s">
        <v>1389</v>
      </c>
      <c r="F789" t="s">
        <v>4</v>
      </c>
      <c r="G789" t="str">
        <f>""</f>
        <v/>
      </c>
    </row>
    <row r="790" spans="1:7" x14ac:dyDescent="0.25">
      <c r="A790" t="s">
        <v>8</v>
      </c>
      <c r="B790" s="1" t="str">
        <f>"2000159001 - RICH FOODS-IPIC"</f>
        <v>2000159001 - RICH FOODS-IPIC</v>
      </c>
      <c r="C790" t="s">
        <v>3879</v>
      </c>
      <c r="D790" s="1" t="str">
        <f t="shared" si="22"/>
        <v>PRG-1013676</v>
      </c>
      <c r="E790" t="s">
        <v>1389</v>
      </c>
      <c r="F790" t="s">
        <v>4</v>
      </c>
      <c r="G790" t="str">
        <f>""</f>
        <v/>
      </c>
    </row>
    <row r="791" spans="1:7" x14ac:dyDescent="0.25">
      <c r="A791" t="s">
        <v>8</v>
      </c>
      <c r="B791" s="1" t="str">
        <f>"2000251383 - RICH FOODS-IPIC"</f>
        <v>2000251383 - RICH FOODS-IPIC</v>
      </c>
      <c r="C791" t="s">
        <v>3879</v>
      </c>
      <c r="D791" s="1" t="str">
        <f t="shared" si="22"/>
        <v>PRG-1013676</v>
      </c>
      <c r="E791" t="s">
        <v>1389</v>
      </c>
      <c r="F791" t="s">
        <v>4</v>
      </c>
      <c r="G791" t="str">
        <f>""</f>
        <v/>
      </c>
    </row>
    <row r="792" spans="1:7" x14ac:dyDescent="0.25">
      <c r="A792" t="s">
        <v>8</v>
      </c>
      <c r="B792" s="1" t="str">
        <f>"000271020 - RICH'S 2510 REST"</f>
        <v>000271020 - RICH'S 2510 REST</v>
      </c>
      <c r="C792" t="s">
        <v>2479</v>
      </c>
      <c r="D792" s="1" t="str">
        <f>"PRG-1013681"</f>
        <v>PRG-1013681</v>
      </c>
      <c r="E792" t="s">
        <v>2480</v>
      </c>
      <c r="F792" t="s">
        <v>4</v>
      </c>
      <c r="G792" t="str">
        <f>""</f>
        <v/>
      </c>
    </row>
    <row r="793" spans="1:7" x14ac:dyDescent="0.25">
      <c r="A793" t="s">
        <v>8</v>
      </c>
      <c r="B793" s="1" t="str">
        <f>"000207240 - RICH FOR ZOOT CAFE"</f>
        <v>000207240 - RICH FOR ZOOT CAFE</v>
      </c>
      <c r="C793" t="s">
        <v>1379</v>
      </c>
      <c r="D793" s="1" t="str">
        <f>"PRG-1013682"</f>
        <v>PRG-1013682</v>
      </c>
      <c r="E793" t="s">
        <v>1380</v>
      </c>
      <c r="F793" t="s">
        <v>4</v>
      </c>
      <c r="G793" t="str">
        <f>""</f>
        <v/>
      </c>
    </row>
    <row r="794" spans="1:7" x14ac:dyDescent="0.25">
      <c r="A794" t="s">
        <v>8</v>
      </c>
      <c r="B794" s="1" t="str">
        <f>"2099B428"</f>
        <v>2099B428</v>
      </c>
      <c r="C794" t="s">
        <v>4102</v>
      </c>
      <c r="D794" s="1" t="str">
        <f>"PRG-1013682"</f>
        <v>PRG-1013682</v>
      </c>
      <c r="E794" t="s">
        <v>1380</v>
      </c>
      <c r="F794" t="s">
        <v>5</v>
      </c>
      <c r="G794" t="str">
        <f>""</f>
        <v/>
      </c>
    </row>
    <row r="795" spans="1:7" x14ac:dyDescent="0.25">
      <c r="A795" t="s">
        <v>8</v>
      </c>
      <c r="B795" s="1" t="str">
        <f>"000203860 - RICHS FOUR SEASONS"</f>
        <v>000203860 - RICHS FOUR SEASONS</v>
      </c>
      <c r="C795" t="s">
        <v>1344</v>
      </c>
      <c r="D795" s="1" t="str">
        <f>"PRG-1013687"</f>
        <v>PRG-1013687</v>
      </c>
      <c r="E795" t="s">
        <v>1345</v>
      </c>
      <c r="F795" t="s">
        <v>4</v>
      </c>
      <c r="G795" t="str">
        <f>""</f>
        <v/>
      </c>
    </row>
    <row r="796" spans="1:7" x14ac:dyDescent="0.25">
      <c r="A796" t="s">
        <v>8</v>
      </c>
      <c r="B796" s="1" t="str">
        <f>"000248699 - RICHS FOUR SEASONS"</f>
        <v>000248699 - RICHS FOUR SEASONS</v>
      </c>
      <c r="C796" t="s">
        <v>1344</v>
      </c>
      <c r="D796" s="1" t="str">
        <f>"PRG-1013687"</f>
        <v>PRG-1013687</v>
      </c>
      <c r="E796" t="s">
        <v>1345</v>
      </c>
      <c r="F796" t="s">
        <v>4</v>
      </c>
      <c r="G796" t="str">
        <f>""</f>
        <v/>
      </c>
    </row>
    <row r="797" spans="1:7" x14ac:dyDescent="0.25">
      <c r="A797" t="s">
        <v>8</v>
      </c>
      <c r="B797" s="1" t="str">
        <f>"000093506 - RICHES MONTY'S SUB"</f>
        <v>000093506 - RICHES MONTY'S SUB</v>
      </c>
      <c r="C797" t="s">
        <v>777</v>
      </c>
      <c r="D797" s="1" t="str">
        <f>"PRG-1013689"</f>
        <v>PRG-1013689</v>
      </c>
      <c r="E797" t="s">
        <v>778</v>
      </c>
      <c r="F797" t="s">
        <v>4</v>
      </c>
      <c r="G797" t="str">
        <f>""</f>
        <v/>
      </c>
    </row>
    <row r="798" spans="1:7" x14ac:dyDescent="0.25">
      <c r="A798" t="s">
        <v>8</v>
      </c>
      <c r="B798" s="1" t="str">
        <f>"000203857 - RICH-COOKIES CHOCOLATE FACTORY"</f>
        <v>000203857 - RICH-COOKIES CHOCOLATE FACTORY</v>
      </c>
      <c r="C798" t="s">
        <v>1342</v>
      </c>
      <c r="D798" s="1" t="str">
        <f>"PRG-1013690"</f>
        <v>PRG-1013690</v>
      </c>
      <c r="E798" t="s">
        <v>1343</v>
      </c>
      <c r="F798" t="s">
        <v>4</v>
      </c>
      <c r="G798" t="str">
        <f>""</f>
        <v/>
      </c>
    </row>
    <row r="799" spans="1:7" x14ac:dyDescent="0.25">
      <c r="A799" t="s">
        <v>8</v>
      </c>
      <c r="B799" s="1" t="str">
        <f>"000225996 - RICH-COOKIES CHOCOLATE FACTORY"</f>
        <v>000225996 - RICH-COOKIES CHOCOLATE FACTORY</v>
      </c>
      <c r="C799" t="s">
        <v>1342</v>
      </c>
      <c r="D799" s="1" t="str">
        <f>"PRG-1013690"</f>
        <v>PRG-1013690</v>
      </c>
      <c r="E799" t="s">
        <v>1343</v>
      </c>
      <c r="F799" t="s">
        <v>4</v>
      </c>
      <c r="G799" t="str">
        <f>""</f>
        <v/>
      </c>
    </row>
    <row r="800" spans="1:7" x14ac:dyDescent="0.25">
      <c r="A800" t="s">
        <v>8</v>
      </c>
      <c r="B800" s="1" t="str">
        <f>"000239130 - RICH-COOKIES CHOCOLATE FACTORY"</f>
        <v>000239130 - RICH-COOKIES CHOCOLATE FACTORY</v>
      </c>
      <c r="C800" t="s">
        <v>1342</v>
      </c>
      <c r="D800" s="1" t="str">
        <f>"PRG-1013690"</f>
        <v>PRG-1013690</v>
      </c>
      <c r="E800" t="s">
        <v>1343</v>
      </c>
      <c r="F800" t="s">
        <v>4</v>
      </c>
      <c r="G800" t="str">
        <f>""</f>
        <v/>
      </c>
    </row>
    <row r="801" spans="1:7" x14ac:dyDescent="0.25">
      <c r="A801" t="s">
        <v>8</v>
      </c>
      <c r="B801" s="1" t="str">
        <f>"000178274 - RICH PROD K&amp;K PORTAGE MEATS"</f>
        <v>000178274 - RICH PROD K&amp;K PORTAGE MEATS</v>
      </c>
      <c r="C801" t="s">
        <v>1124</v>
      </c>
      <c r="D801" s="1" t="str">
        <f>"PRG-1013693"</f>
        <v>PRG-1013693</v>
      </c>
      <c r="E801" t="s">
        <v>1125</v>
      </c>
      <c r="F801" t="s">
        <v>4</v>
      </c>
      <c r="G801" t="str">
        <f>""</f>
        <v/>
      </c>
    </row>
    <row r="802" spans="1:7" x14ac:dyDescent="0.25">
      <c r="A802" t="s">
        <v>8</v>
      </c>
      <c r="B802" s="1" t="str">
        <f>"000151119 - RICH PROD SENIOR CARE"</f>
        <v>000151119 - RICH PROD SENIOR CARE</v>
      </c>
      <c r="C802" t="s">
        <v>1014</v>
      </c>
      <c r="D802" s="1" t="str">
        <f>"PRG-1013697"</f>
        <v>PRG-1013697</v>
      </c>
      <c r="E802" t="s">
        <v>1015</v>
      </c>
      <c r="F802" t="s">
        <v>4</v>
      </c>
      <c r="G802" t="str">
        <f>""</f>
        <v/>
      </c>
    </row>
    <row r="803" spans="1:7" x14ac:dyDescent="0.25">
      <c r="A803" t="s">
        <v>8</v>
      </c>
      <c r="B803" s="1" t="str">
        <f>"000208931 - RICH PROD SENIOR CARE-MARTHA"</f>
        <v>000208931 - RICH PROD SENIOR CARE-MARTHA</v>
      </c>
      <c r="C803" t="s">
        <v>1416</v>
      </c>
      <c r="D803" s="1" t="str">
        <f>"PRG-1013697"</f>
        <v>PRG-1013697</v>
      </c>
      <c r="E803" t="s">
        <v>1015</v>
      </c>
      <c r="F803" t="s">
        <v>4</v>
      </c>
      <c r="G803" t="str">
        <f>""</f>
        <v/>
      </c>
    </row>
    <row r="804" spans="1:7" x14ac:dyDescent="0.25">
      <c r="A804" t="s">
        <v>8</v>
      </c>
      <c r="B804" s="1" t="str">
        <f>"000208932 - RICH PROD SENIOR CARE-MARTHA"</f>
        <v>000208932 - RICH PROD SENIOR CARE-MARTHA</v>
      </c>
      <c r="C804" t="s">
        <v>1416</v>
      </c>
      <c r="D804" s="1" t="str">
        <f>"PRG-1013697"</f>
        <v>PRG-1013697</v>
      </c>
      <c r="E804" t="s">
        <v>1015</v>
      </c>
      <c r="F804" t="s">
        <v>4</v>
      </c>
      <c r="G804" t="str">
        <f>""</f>
        <v/>
      </c>
    </row>
    <row r="805" spans="1:7" x14ac:dyDescent="0.25">
      <c r="A805" t="s">
        <v>8</v>
      </c>
      <c r="B805" s="1" t="str">
        <f>"000191544 - RICH PROD CHESHIRE MARKET"</f>
        <v>000191544 - RICH PROD CHESHIRE MARKET</v>
      </c>
      <c r="C805" t="s">
        <v>1210</v>
      </c>
      <c r="D805" s="1" t="str">
        <f>"PRG-1013698"</f>
        <v>PRG-1013698</v>
      </c>
      <c r="E805" t="s">
        <v>1211</v>
      </c>
      <c r="F805" t="s">
        <v>4</v>
      </c>
      <c r="G805" t="str">
        <f>""</f>
        <v/>
      </c>
    </row>
    <row r="806" spans="1:7" x14ac:dyDescent="0.25">
      <c r="A806" t="s">
        <v>8</v>
      </c>
      <c r="B806" s="1" t="str">
        <f>"000264228 - RICH'S HO CHUNK"</f>
        <v>000264228 - RICH'S HO CHUNK</v>
      </c>
      <c r="C806" t="s">
        <v>2351</v>
      </c>
      <c r="D806" s="1" t="str">
        <f>"PRG-1013704"</f>
        <v>PRG-1013704</v>
      </c>
      <c r="E806" t="s">
        <v>2352</v>
      </c>
      <c r="F806" t="s">
        <v>4</v>
      </c>
      <c r="G806" t="str">
        <f>""</f>
        <v/>
      </c>
    </row>
    <row r="807" spans="1:7" x14ac:dyDescent="0.25">
      <c r="A807" t="s">
        <v>8</v>
      </c>
      <c r="B807" s="1" t="str">
        <f>"000227566 - RICH'S   GATEWAY"</f>
        <v>000227566 - RICH'S   GATEWAY</v>
      </c>
      <c r="C807" t="s">
        <v>1708</v>
      </c>
      <c r="D807" s="1" t="str">
        <f>"PRG-1013712"</f>
        <v>PRG-1013712</v>
      </c>
      <c r="E807" t="s">
        <v>1709</v>
      </c>
      <c r="F807" t="s">
        <v>4</v>
      </c>
      <c r="G807" t="str">
        <f>""</f>
        <v/>
      </c>
    </row>
    <row r="808" spans="1:7" x14ac:dyDescent="0.25">
      <c r="A808" t="s">
        <v>8</v>
      </c>
      <c r="B808" s="1" t="str">
        <f>"000007763 - RICH FOODS-SOUTHERN FOODSERVIC"</f>
        <v>000007763 - RICH FOODS-SOUTHERN FOODSERVIC</v>
      </c>
      <c r="C808" t="s">
        <v>269</v>
      </c>
      <c r="D808" s="1" t="str">
        <f t="shared" ref="D808:D847" si="23">"PRG-1013726"</f>
        <v>PRG-1013726</v>
      </c>
      <c r="E808" t="s">
        <v>270</v>
      </c>
      <c r="F808" t="s">
        <v>4</v>
      </c>
      <c r="G808" t="str">
        <f>""</f>
        <v/>
      </c>
    </row>
    <row r="809" spans="1:7" x14ac:dyDescent="0.25">
      <c r="A809" t="s">
        <v>8</v>
      </c>
      <c r="B809" s="1" t="str">
        <f>"000109346 - RICH FOODS-SOUTHERN FOODSERVIC"</f>
        <v>000109346 - RICH FOODS-SOUTHERN FOODSERVIC</v>
      </c>
      <c r="C809" t="s">
        <v>269</v>
      </c>
      <c r="D809" s="1" t="str">
        <f t="shared" si="23"/>
        <v>PRG-1013726</v>
      </c>
      <c r="E809" t="s">
        <v>270</v>
      </c>
      <c r="F809" t="s">
        <v>4</v>
      </c>
      <c r="G809" t="str">
        <f>""</f>
        <v/>
      </c>
    </row>
    <row r="810" spans="1:7" x14ac:dyDescent="0.25">
      <c r="A810" t="s">
        <v>8</v>
      </c>
      <c r="B810" s="1" t="str">
        <f>"000126437 - RICH FOODS-SOUTHERN"</f>
        <v>000126437 - RICH FOODS-SOUTHERN</v>
      </c>
      <c r="C810" t="s">
        <v>915</v>
      </c>
      <c r="D810" s="1" t="str">
        <f t="shared" si="23"/>
        <v>PRG-1013726</v>
      </c>
      <c r="E810" t="s">
        <v>270</v>
      </c>
      <c r="F810" t="s">
        <v>4</v>
      </c>
      <c r="G810" t="str">
        <f>""</f>
        <v/>
      </c>
    </row>
    <row r="811" spans="1:7" x14ac:dyDescent="0.25">
      <c r="A811" t="s">
        <v>8</v>
      </c>
      <c r="B811" s="1" t="str">
        <f>"000141890 - RICH FOODS-SOUTHERN FOODS"</f>
        <v>000141890 - RICH FOODS-SOUTHERN FOODS</v>
      </c>
      <c r="C811" t="s">
        <v>984</v>
      </c>
      <c r="D811" s="1" t="str">
        <f t="shared" si="23"/>
        <v>PRG-1013726</v>
      </c>
      <c r="E811" t="s">
        <v>270</v>
      </c>
      <c r="F811" t="s">
        <v>4</v>
      </c>
      <c r="G811" t="str">
        <f>""</f>
        <v/>
      </c>
    </row>
    <row r="812" spans="1:7" x14ac:dyDescent="0.25">
      <c r="A812" t="s">
        <v>8</v>
      </c>
      <c r="B812" s="1" t="str">
        <f>"000142086 - RICH DC SOUTHERN FDS"</f>
        <v>000142086 - RICH DC SOUTHERN FDS</v>
      </c>
      <c r="C812" t="s">
        <v>988</v>
      </c>
      <c r="D812" s="1" t="str">
        <f t="shared" si="23"/>
        <v>PRG-1013726</v>
      </c>
      <c r="E812" t="s">
        <v>270</v>
      </c>
      <c r="F812" t="s">
        <v>4</v>
      </c>
      <c r="G812" t="str">
        <f>""</f>
        <v/>
      </c>
    </row>
    <row r="813" spans="1:7" x14ac:dyDescent="0.25">
      <c r="A813" t="s">
        <v>8</v>
      </c>
      <c r="B813" s="1" t="str">
        <f>"000151485 - RICH FOODS-SOUTHERN FOODSERVIC"</f>
        <v>000151485 - RICH FOODS-SOUTHERN FOODSERVIC</v>
      </c>
      <c r="C813" t="s">
        <v>269</v>
      </c>
      <c r="D813" s="1" t="str">
        <f t="shared" si="23"/>
        <v>PRG-1013726</v>
      </c>
      <c r="E813" t="s">
        <v>270</v>
      </c>
      <c r="F813" t="s">
        <v>4</v>
      </c>
      <c r="G813" t="str">
        <f>""</f>
        <v/>
      </c>
    </row>
    <row r="814" spans="1:7" x14ac:dyDescent="0.25">
      <c r="A814" t="s">
        <v>8</v>
      </c>
      <c r="B814" s="1" t="str">
        <f>"000172909 - RICH FOODS-SOUTHERN FOODSERVIC"</f>
        <v>000172909 - RICH FOODS-SOUTHERN FOODSERVIC</v>
      </c>
      <c r="C814" t="s">
        <v>269</v>
      </c>
      <c r="D814" s="1" t="str">
        <f t="shared" si="23"/>
        <v>PRG-1013726</v>
      </c>
      <c r="E814" t="s">
        <v>270</v>
      </c>
      <c r="F814" t="s">
        <v>4</v>
      </c>
      <c r="G814" t="str">
        <f>""</f>
        <v/>
      </c>
    </row>
    <row r="815" spans="1:7" x14ac:dyDescent="0.25">
      <c r="A815" t="s">
        <v>8</v>
      </c>
      <c r="B815" s="1" t="str">
        <f>"000174293 - RICH FOODS-SOUTHERN FOODSERV"</f>
        <v>000174293 - RICH FOODS-SOUTHERN FOODSERV</v>
      </c>
      <c r="C815" t="s">
        <v>1111</v>
      </c>
      <c r="D815" s="1" t="str">
        <f t="shared" si="23"/>
        <v>PRG-1013726</v>
      </c>
      <c r="E815" t="s">
        <v>270</v>
      </c>
      <c r="F815" t="s">
        <v>4</v>
      </c>
      <c r="G815" t="str">
        <f>""</f>
        <v/>
      </c>
    </row>
    <row r="816" spans="1:7" x14ac:dyDescent="0.25">
      <c r="A816" t="s">
        <v>8</v>
      </c>
      <c r="B816" s="1" t="str">
        <f>"000193268 - RICH FOODS-SOUTHERN"</f>
        <v>000193268 - RICH FOODS-SOUTHERN</v>
      </c>
      <c r="C816" t="s">
        <v>915</v>
      </c>
      <c r="D816" s="1" t="str">
        <f t="shared" si="23"/>
        <v>PRG-1013726</v>
      </c>
      <c r="E816" t="s">
        <v>270</v>
      </c>
      <c r="F816" t="s">
        <v>4</v>
      </c>
      <c r="G816" t="str">
        <f>""</f>
        <v/>
      </c>
    </row>
    <row r="817" spans="1:7" x14ac:dyDescent="0.25">
      <c r="A817" t="s">
        <v>8</v>
      </c>
      <c r="B817" s="1" t="str">
        <f>"000207191 - RICH FOODS-SOUTHERN FOODSERVIC"</f>
        <v>000207191 - RICH FOODS-SOUTHERN FOODSERVIC</v>
      </c>
      <c r="C817" t="s">
        <v>269</v>
      </c>
      <c r="D817" s="1" t="str">
        <f t="shared" si="23"/>
        <v>PRG-1013726</v>
      </c>
      <c r="E817" t="s">
        <v>270</v>
      </c>
      <c r="F817" t="s">
        <v>4</v>
      </c>
      <c r="G817" t="str">
        <f>""</f>
        <v/>
      </c>
    </row>
    <row r="818" spans="1:7" x14ac:dyDescent="0.25">
      <c r="A818" t="s">
        <v>8</v>
      </c>
      <c r="B818" s="1" t="str">
        <f>"000209934 - RICH FOODS-SOUTHERN FOODS"</f>
        <v>000209934 - RICH FOODS-SOUTHERN FOODS</v>
      </c>
      <c r="C818" t="s">
        <v>984</v>
      </c>
      <c r="D818" s="1" t="str">
        <f t="shared" si="23"/>
        <v>PRG-1013726</v>
      </c>
      <c r="E818" t="s">
        <v>270</v>
      </c>
      <c r="F818" t="s">
        <v>4</v>
      </c>
      <c r="G818" t="str">
        <f>""</f>
        <v/>
      </c>
    </row>
    <row r="819" spans="1:7" x14ac:dyDescent="0.25">
      <c r="A819" t="s">
        <v>8</v>
      </c>
      <c r="B819" s="1" t="str">
        <f>"000212113 - RICH FOODS-SOUTHERN FOODS"</f>
        <v>000212113 - RICH FOODS-SOUTHERN FOODS</v>
      </c>
      <c r="C819" t="s">
        <v>984</v>
      </c>
      <c r="D819" s="1" t="str">
        <f t="shared" si="23"/>
        <v>PRG-1013726</v>
      </c>
      <c r="E819" t="s">
        <v>270</v>
      </c>
      <c r="F819" t="s">
        <v>4</v>
      </c>
      <c r="G819" t="str">
        <f>""</f>
        <v/>
      </c>
    </row>
    <row r="820" spans="1:7" x14ac:dyDescent="0.25">
      <c r="A820" t="s">
        <v>8</v>
      </c>
      <c r="B820" s="1" t="str">
        <f>"000212489 - RICH FOODS-SOUTHERN FOODSERVIC"</f>
        <v>000212489 - RICH FOODS-SOUTHERN FOODSERVIC</v>
      </c>
      <c r="C820" t="s">
        <v>269</v>
      </c>
      <c r="D820" s="1" t="str">
        <f t="shared" si="23"/>
        <v>PRG-1013726</v>
      </c>
      <c r="E820" t="s">
        <v>270</v>
      </c>
      <c r="F820" t="s">
        <v>4</v>
      </c>
      <c r="G820" t="str">
        <f>""</f>
        <v/>
      </c>
    </row>
    <row r="821" spans="1:7" x14ac:dyDescent="0.25">
      <c r="A821" t="s">
        <v>8</v>
      </c>
      <c r="B821" s="1" t="str">
        <f>"000222829 - RICH FOODS-SOUTHERN FOODSERVIC"</f>
        <v>000222829 - RICH FOODS-SOUTHERN FOODSERVIC</v>
      </c>
      <c r="C821" t="s">
        <v>269</v>
      </c>
      <c r="D821" s="1" t="str">
        <f t="shared" si="23"/>
        <v>PRG-1013726</v>
      </c>
      <c r="E821" t="s">
        <v>270</v>
      </c>
      <c r="F821" t="s">
        <v>4</v>
      </c>
      <c r="G821" t="str">
        <f>""</f>
        <v/>
      </c>
    </row>
    <row r="822" spans="1:7" x14ac:dyDescent="0.25">
      <c r="A822" t="s">
        <v>8</v>
      </c>
      <c r="B822" s="1" t="str">
        <f>"000223630 - RICH FOODS-SOUTHERN FOODSERVIC"</f>
        <v>000223630 - RICH FOODS-SOUTHERN FOODSERVIC</v>
      </c>
      <c r="C822" t="s">
        <v>269</v>
      </c>
      <c r="D822" s="1" t="str">
        <f t="shared" si="23"/>
        <v>PRG-1013726</v>
      </c>
      <c r="E822" t="s">
        <v>270</v>
      </c>
      <c r="F822" t="s">
        <v>4</v>
      </c>
      <c r="G822" t="str">
        <f>""</f>
        <v/>
      </c>
    </row>
    <row r="823" spans="1:7" x14ac:dyDescent="0.25">
      <c r="A823" t="s">
        <v>8</v>
      </c>
      <c r="B823" s="1" t="str">
        <f>"000230100 - RICH FOODS-SOUTHERN"</f>
        <v>000230100 - RICH FOODS-SOUTHERN</v>
      </c>
      <c r="C823" t="s">
        <v>915</v>
      </c>
      <c r="D823" s="1" t="str">
        <f t="shared" si="23"/>
        <v>PRG-1013726</v>
      </c>
      <c r="E823" t="s">
        <v>270</v>
      </c>
      <c r="F823" t="s">
        <v>4</v>
      </c>
      <c r="G823" t="str">
        <f>""</f>
        <v/>
      </c>
    </row>
    <row r="824" spans="1:7" x14ac:dyDescent="0.25">
      <c r="A824" t="s">
        <v>8</v>
      </c>
      <c r="B824" s="1" t="str">
        <f>"000239150 - RICH FOODS-SOUTHERN FOODSERVIC"</f>
        <v>000239150 - RICH FOODS-SOUTHERN FOODSERVIC</v>
      </c>
      <c r="C824" t="s">
        <v>269</v>
      </c>
      <c r="D824" s="1" t="str">
        <f t="shared" si="23"/>
        <v>PRG-1013726</v>
      </c>
      <c r="E824" t="s">
        <v>270</v>
      </c>
      <c r="F824" t="s">
        <v>4</v>
      </c>
      <c r="G824" t="str">
        <f>""</f>
        <v/>
      </c>
    </row>
    <row r="825" spans="1:7" x14ac:dyDescent="0.25">
      <c r="A825" t="s">
        <v>8</v>
      </c>
      <c r="B825" s="1" t="str">
        <f>"000245786 - RICH FOODS-SOUTHERN"</f>
        <v>000245786 - RICH FOODS-SOUTHERN</v>
      </c>
      <c r="C825" t="s">
        <v>915</v>
      </c>
      <c r="D825" s="1" t="str">
        <f t="shared" si="23"/>
        <v>PRG-1013726</v>
      </c>
      <c r="E825" t="s">
        <v>270</v>
      </c>
      <c r="F825" t="s">
        <v>4</v>
      </c>
      <c r="G825" t="str">
        <f>""</f>
        <v/>
      </c>
    </row>
    <row r="826" spans="1:7" x14ac:dyDescent="0.25">
      <c r="A826" t="s">
        <v>8</v>
      </c>
      <c r="B826" s="1" t="str">
        <f>"000246515 - RICH FOODS-SOUTHERN FOODS"</f>
        <v>000246515 - RICH FOODS-SOUTHERN FOODS</v>
      </c>
      <c r="C826" t="s">
        <v>984</v>
      </c>
      <c r="D826" s="1" t="str">
        <f t="shared" si="23"/>
        <v>PRG-1013726</v>
      </c>
      <c r="E826" t="s">
        <v>270</v>
      </c>
      <c r="F826" t="s">
        <v>4</v>
      </c>
      <c r="G826" t="str">
        <f>""</f>
        <v/>
      </c>
    </row>
    <row r="827" spans="1:7" x14ac:dyDescent="0.25">
      <c r="A827" t="s">
        <v>8</v>
      </c>
      <c r="B827" s="1" t="str">
        <f>"000255262 - RICH FOODS-SOUTHERN"</f>
        <v>000255262 - RICH FOODS-SOUTHERN</v>
      </c>
      <c r="C827" t="s">
        <v>915</v>
      </c>
      <c r="D827" s="1" t="str">
        <f t="shared" si="23"/>
        <v>PRG-1013726</v>
      </c>
      <c r="E827" t="s">
        <v>270</v>
      </c>
      <c r="F827" t="s">
        <v>4</v>
      </c>
      <c r="G827" t="str">
        <f>""</f>
        <v/>
      </c>
    </row>
    <row r="828" spans="1:7" x14ac:dyDescent="0.25">
      <c r="A828" t="s">
        <v>8</v>
      </c>
      <c r="B828" s="1" t="str">
        <f>"000256153 - RICH FOODS-SOUTHERN FOODSERVIC"</f>
        <v>000256153 - RICH FOODS-SOUTHERN FOODSERVIC</v>
      </c>
      <c r="C828" t="s">
        <v>269</v>
      </c>
      <c r="D828" s="1" t="str">
        <f t="shared" si="23"/>
        <v>PRG-1013726</v>
      </c>
      <c r="E828" t="s">
        <v>270</v>
      </c>
      <c r="F828" t="s">
        <v>4</v>
      </c>
      <c r="G828" t="str">
        <f>""</f>
        <v/>
      </c>
    </row>
    <row r="829" spans="1:7" x14ac:dyDescent="0.25">
      <c r="A829" t="s">
        <v>8</v>
      </c>
      <c r="B829" s="1" t="str">
        <f>"000261722 - RICH FOODS-SOUTHERN FOODSERVIC"</f>
        <v>000261722 - RICH FOODS-SOUTHERN FOODSERVIC</v>
      </c>
      <c r="C829" t="s">
        <v>269</v>
      </c>
      <c r="D829" s="1" t="str">
        <f t="shared" si="23"/>
        <v>PRG-1013726</v>
      </c>
      <c r="E829" t="s">
        <v>270</v>
      </c>
      <c r="F829" t="s">
        <v>4</v>
      </c>
      <c r="G829" t="str">
        <f>""</f>
        <v/>
      </c>
    </row>
    <row r="830" spans="1:7" x14ac:dyDescent="0.25">
      <c r="A830" t="s">
        <v>8</v>
      </c>
      <c r="B830" s="1" t="str">
        <f>"000264963 - RICH FOODS-SOUTHERN FOODS"</f>
        <v>000264963 - RICH FOODS-SOUTHERN FOODS</v>
      </c>
      <c r="C830" t="s">
        <v>984</v>
      </c>
      <c r="D830" s="1" t="str">
        <f t="shared" si="23"/>
        <v>PRG-1013726</v>
      </c>
      <c r="E830" t="s">
        <v>270</v>
      </c>
      <c r="F830" t="s">
        <v>4</v>
      </c>
      <c r="G830" t="str">
        <f>""</f>
        <v/>
      </c>
    </row>
    <row r="831" spans="1:7" x14ac:dyDescent="0.25">
      <c r="A831" t="s">
        <v>8</v>
      </c>
      <c r="B831" s="1" t="str">
        <f>"000270797 - RICH FOODS-SOUTHERN FOODS"</f>
        <v>000270797 - RICH FOODS-SOUTHERN FOODS</v>
      </c>
      <c r="C831" t="s">
        <v>984</v>
      </c>
      <c r="D831" s="1" t="str">
        <f t="shared" si="23"/>
        <v>PRG-1013726</v>
      </c>
      <c r="E831" t="s">
        <v>270</v>
      </c>
      <c r="F831" t="s">
        <v>4</v>
      </c>
      <c r="G831" t="str">
        <f>""</f>
        <v/>
      </c>
    </row>
    <row r="832" spans="1:7" x14ac:dyDescent="0.25">
      <c r="A832" t="s">
        <v>8</v>
      </c>
      <c r="B832" s="1" t="str">
        <f>"000272970 - RICH FOODS-SOUTHERN FOODSERVIC"</f>
        <v>000272970 - RICH FOODS-SOUTHERN FOODSERVIC</v>
      </c>
      <c r="C832" t="s">
        <v>269</v>
      </c>
      <c r="D832" s="1" t="str">
        <f t="shared" si="23"/>
        <v>PRG-1013726</v>
      </c>
      <c r="E832" t="s">
        <v>270</v>
      </c>
      <c r="F832" t="s">
        <v>4</v>
      </c>
      <c r="G832" t="str">
        <f>""</f>
        <v/>
      </c>
    </row>
    <row r="833" spans="1:7" x14ac:dyDescent="0.25">
      <c r="A833" t="s">
        <v>8</v>
      </c>
      <c r="B833" s="1" t="str">
        <f>"000276286 - RICH FOODS-SOUTHERN FOODSERVIC"</f>
        <v>000276286 - RICH FOODS-SOUTHERN FOODSERVIC</v>
      </c>
      <c r="C833" t="s">
        <v>269</v>
      </c>
      <c r="D833" s="1" t="str">
        <f t="shared" si="23"/>
        <v>PRG-1013726</v>
      </c>
      <c r="E833" t="s">
        <v>270</v>
      </c>
      <c r="F833" t="s">
        <v>4</v>
      </c>
      <c r="G833" t="str">
        <f>""</f>
        <v/>
      </c>
    </row>
    <row r="834" spans="1:7" x14ac:dyDescent="0.25">
      <c r="A834" t="s">
        <v>8</v>
      </c>
      <c r="B834" s="1" t="str">
        <f>"000280604 - RICH FOODS-SOUTHERN FOODSERVIC"</f>
        <v>000280604 - RICH FOODS-SOUTHERN FOODSERVIC</v>
      </c>
      <c r="C834" t="s">
        <v>269</v>
      </c>
      <c r="D834" s="1" t="str">
        <f t="shared" si="23"/>
        <v>PRG-1013726</v>
      </c>
      <c r="E834" t="s">
        <v>270</v>
      </c>
      <c r="F834" t="s">
        <v>4</v>
      </c>
      <c r="G834" t="str">
        <f>""</f>
        <v/>
      </c>
    </row>
    <row r="835" spans="1:7" x14ac:dyDescent="0.25">
      <c r="A835" t="s">
        <v>8</v>
      </c>
      <c r="B835" s="1" t="str">
        <f>"000290788 - RICH FOODS-SOUTHERN FOODSERVIC"</f>
        <v>000290788 - RICH FOODS-SOUTHERN FOODSERVIC</v>
      </c>
      <c r="C835" t="s">
        <v>269</v>
      </c>
      <c r="D835" s="1" t="str">
        <f t="shared" si="23"/>
        <v>PRG-1013726</v>
      </c>
      <c r="E835" t="s">
        <v>270</v>
      </c>
      <c r="F835" t="s">
        <v>4</v>
      </c>
      <c r="G835" t="str">
        <f>""</f>
        <v/>
      </c>
    </row>
    <row r="836" spans="1:7" x14ac:dyDescent="0.25">
      <c r="A836" t="s">
        <v>8</v>
      </c>
      <c r="B836" s="1" t="str">
        <f>"000297151 - RICH FOODS-SOUTHERN"</f>
        <v>000297151 - RICH FOODS-SOUTHERN</v>
      </c>
      <c r="C836" t="s">
        <v>915</v>
      </c>
      <c r="D836" s="1" t="str">
        <f t="shared" si="23"/>
        <v>PRG-1013726</v>
      </c>
      <c r="E836" t="s">
        <v>270</v>
      </c>
      <c r="F836" t="s">
        <v>4</v>
      </c>
      <c r="G836" t="str">
        <f>""</f>
        <v/>
      </c>
    </row>
    <row r="837" spans="1:7" x14ac:dyDescent="0.25">
      <c r="A837" t="s">
        <v>8</v>
      </c>
      <c r="B837" s="1" t="str">
        <f>"000299644 - RICH FOODS-SOUTHERN"</f>
        <v>000299644 - RICH FOODS-SOUTHERN</v>
      </c>
      <c r="C837" t="s">
        <v>915</v>
      </c>
      <c r="D837" s="1" t="str">
        <f t="shared" si="23"/>
        <v>PRG-1013726</v>
      </c>
      <c r="E837" t="s">
        <v>270</v>
      </c>
      <c r="F837" t="s">
        <v>4</v>
      </c>
      <c r="G837" t="str">
        <f>""</f>
        <v/>
      </c>
    </row>
    <row r="838" spans="1:7" x14ac:dyDescent="0.25">
      <c r="A838" t="s">
        <v>8</v>
      </c>
      <c r="B838" s="1" t="str">
        <f>"000318752 - RICH FOODS-SOUTHERN"</f>
        <v>000318752 - RICH FOODS-SOUTHERN</v>
      </c>
      <c r="C838" t="s">
        <v>915</v>
      </c>
      <c r="D838" s="1" t="str">
        <f t="shared" si="23"/>
        <v>PRG-1013726</v>
      </c>
      <c r="E838" t="s">
        <v>270</v>
      </c>
      <c r="F838" t="s">
        <v>4</v>
      </c>
      <c r="G838" t="str">
        <f>""</f>
        <v/>
      </c>
    </row>
    <row r="839" spans="1:7" x14ac:dyDescent="0.25">
      <c r="A839" t="s">
        <v>8</v>
      </c>
      <c r="B839" s="1" t="str">
        <f>"000321423 - RICH FOODS-SOUTHERN FOODS"</f>
        <v>000321423 - RICH FOODS-SOUTHERN FOODS</v>
      </c>
      <c r="C839" t="s">
        <v>984</v>
      </c>
      <c r="D839" s="1" t="str">
        <f t="shared" si="23"/>
        <v>PRG-1013726</v>
      </c>
      <c r="E839" t="s">
        <v>270</v>
      </c>
      <c r="F839" t="s">
        <v>4</v>
      </c>
      <c r="G839" t="str">
        <f>""</f>
        <v/>
      </c>
    </row>
    <row r="840" spans="1:7" x14ac:dyDescent="0.25">
      <c r="A840" t="s">
        <v>8</v>
      </c>
      <c r="B840" s="1" t="str">
        <f>"000325128 - RICH FOODS-SOUTHERN FOODS"</f>
        <v>000325128 - RICH FOODS-SOUTHERN FOODS</v>
      </c>
      <c r="C840" t="s">
        <v>984</v>
      </c>
      <c r="D840" s="1" t="str">
        <f t="shared" si="23"/>
        <v>PRG-1013726</v>
      </c>
      <c r="E840" t="s">
        <v>270</v>
      </c>
      <c r="F840" t="s">
        <v>4</v>
      </c>
      <c r="G840" t="str">
        <f>""</f>
        <v/>
      </c>
    </row>
    <row r="841" spans="1:7" x14ac:dyDescent="0.25">
      <c r="A841" t="s">
        <v>8</v>
      </c>
      <c r="B841" s="1" t="str">
        <f>"000334567 - RICH FOODS-SOUTHERN FOODSERVIC"</f>
        <v>000334567 - RICH FOODS-SOUTHERN FOODSERVIC</v>
      </c>
      <c r="C841" t="s">
        <v>269</v>
      </c>
      <c r="D841" s="1" t="str">
        <f t="shared" si="23"/>
        <v>PRG-1013726</v>
      </c>
      <c r="E841" t="s">
        <v>270</v>
      </c>
      <c r="F841" t="s">
        <v>4</v>
      </c>
      <c r="G841" t="str">
        <f>""</f>
        <v/>
      </c>
    </row>
    <row r="842" spans="1:7" x14ac:dyDescent="0.25">
      <c r="A842" t="s">
        <v>8</v>
      </c>
      <c r="B842" s="1" t="str">
        <f>"000340115 - RICH FOODS-SOUTHERN FOODSERVIC"</f>
        <v>000340115 - RICH FOODS-SOUTHERN FOODSERVIC</v>
      </c>
      <c r="C842" t="s">
        <v>269</v>
      </c>
      <c r="D842" s="1" t="str">
        <f t="shared" si="23"/>
        <v>PRG-1013726</v>
      </c>
      <c r="E842" t="s">
        <v>270</v>
      </c>
      <c r="F842" t="s">
        <v>4</v>
      </c>
      <c r="G842" t="str">
        <f>""</f>
        <v/>
      </c>
    </row>
    <row r="843" spans="1:7" x14ac:dyDescent="0.25">
      <c r="A843" t="s">
        <v>8</v>
      </c>
      <c r="B843" s="1" t="str">
        <f>"000343800 - RICH FOODS-SOUTHERN FOODS"</f>
        <v>000343800 - RICH FOODS-SOUTHERN FOODS</v>
      </c>
      <c r="C843" t="s">
        <v>984</v>
      </c>
      <c r="D843" s="1" t="str">
        <f t="shared" si="23"/>
        <v>PRG-1013726</v>
      </c>
      <c r="E843" t="s">
        <v>270</v>
      </c>
      <c r="F843" t="s">
        <v>4</v>
      </c>
      <c r="G843" t="str">
        <f>""</f>
        <v/>
      </c>
    </row>
    <row r="844" spans="1:7" x14ac:dyDescent="0.25">
      <c r="A844" t="s">
        <v>8</v>
      </c>
      <c r="B844" s="1" t="str">
        <f>"000357895 - RICH FOODS-SOUTHERN FOODSERVIC"</f>
        <v>000357895 - RICH FOODS-SOUTHERN FOODSERVIC</v>
      </c>
      <c r="C844" t="s">
        <v>269</v>
      </c>
      <c r="D844" s="1" t="str">
        <f t="shared" si="23"/>
        <v>PRG-1013726</v>
      </c>
      <c r="E844" t="s">
        <v>270</v>
      </c>
      <c r="F844" t="s">
        <v>4</v>
      </c>
      <c r="G844" t="str">
        <f>""</f>
        <v/>
      </c>
    </row>
    <row r="845" spans="1:7" x14ac:dyDescent="0.25">
      <c r="A845" t="s">
        <v>8</v>
      </c>
      <c r="B845" s="1" t="str">
        <f>"2000180650 - RICH PRODUCTS-SOUTHERN FOODSERVICES"</f>
        <v>2000180650 - RICH PRODUCTS-SOUTHERN FOODSERVICES</v>
      </c>
      <c r="C845" t="s">
        <v>3900</v>
      </c>
      <c r="D845" s="1" t="str">
        <f t="shared" si="23"/>
        <v>PRG-1013726</v>
      </c>
      <c r="E845" t="s">
        <v>270</v>
      </c>
      <c r="F845" t="s">
        <v>4</v>
      </c>
      <c r="G845" t="str">
        <f>""</f>
        <v/>
      </c>
    </row>
    <row r="846" spans="1:7" x14ac:dyDescent="0.25">
      <c r="A846" t="s">
        <v>8</v>
      </c>
      <c r="B846" s="1" t="str">
        <f>"2000293242 - RICH PRODUCTS-SOUTHERN FOODSERVICES"</f>
        <v>2000293242 - RICH PRODUCTS-SOUTHERN FOODSERVICES</v>
      </c>
      <c r="C846" t="s">
        <v>3900</v>
      </c>
      <c r="D846" s="1" t="str">
        <f t="shared" si="23"/>
        <v>PRG-1013726</v>
      </c>
      <c r="E846" t="s">
        <v>270</v>
      </c>
      <c r="F846" t="s">
        <v>4</v>
      </c>
      <c r="G846" t="str">
        <f>""</f>
        <v/>
      </c>
    </row>
    <row r="847" spans="1:7" x14ac:dyDescent="0.25">
      <c r="A847" t="s">
        <v>8</v>
      </c>
      <c r="B847" s="1" t="str">
        <f>"2000431850 - RICH PRODUCTS-SOUTHERN FOODSERVICES"</f>
        <v>2000431850 - RICH PRODUCTS-SOUTHERN FOODSERVICES</v>
      </c>
      <c r="C847" t="s">
        <v>3900</v>
      </c>
      <c r="D847" s="1" t="str">
        <f t="shared" si="23"/>
        <v>PRG-1013726</v>
      </c>
      <c r="E847" t="s">
        <v>270</v>
      </c>
      <c r="F847" t="s">
        <v>4</v>
      </c>
      <c r="G847" t="str">
        <f>""</f>
        <v/>
      </c>
    </row>
    <row r="848" spans="1:7" x14ac:dyDescent="0.25">
      <c r="A848" t="s">
        <v>8</v>
      </c>
      <c r="B848" s="1" t="str">
        <f>"000264112 - RICH'S CHULA VISTA"</f>
        <v>000264112 - RICH'S CHULA VISTA</v>
      </c>
      <c r="C848" t="s">
        <v>2342</v>
      </c>
      <c r="D848" s="1" t="str">
        <f>"PRG-1013735"</f>
        <v>PRG-1013735</v>
      </c>
      <c r="E848" t="s">
        <v>2343</v>
      </c>
      <c r="F848" t="s">
        <v>4</v>
      </c>
      <c r="G848" t="str">
        <f>""</f>
        <v/>
      </c>
    </row>
    <row r="849" spans="1:7" x14ac:dyDescent="0.25">
      <c r="A849" t="s">
        <v>8</v>
      </c>
      <c r="B849" s="1" t="str">
        <f>"000264130 - RICH STATE ST BRAT"</f>
        <v>000264130 - RICH STATE ST BRAT</v>
      </c>
      <c r="C849" t="s">
        <v>2344</v>
      </c>
      <c r="D849" s="1" t="str">
        <f>"PRG-1013736"</f>
        <v>PRG-1013736</v>
      </c>
      <c r="E849" t="s">
        <v>2345</v>
      </c>
      <c r="F849" t="s">
        <v>4</v>
      </c>
      <c r="G849" t="str">
        <f>""</f>
        <v/>
      </c>
    </row>
    <row r="850" spans="1:7" x14ac:dyDescent="0.25">
      <c r="A850" t="s">
        <v>8</v>
      </c>
      <c r="B850" s="1" t="str">
        <f>"000099352 - RICHES LONZEROTTIS"</f>
        <v>000099352 - RICHES LONZEROTTIS</v>
      </c>
      <c r="C850" t="s">
        <v>796</v>
      </c>
      <c r="D850" s="1" t="str">
        <f>"PRG-1013780"</f>
        <v>PRG-1013780</v>
      </c>
      <c r="E850" t="s">
        <v>797</v>
      </c>
      <c r="F850" t="s">
        <v>4</v>
      </c>
      <c r="G850" t="str">
        <f>""</f>
        <v/>
      </c>
    </row>
    <row r="851" spans="1:7" x14ac:dyDescent="0.25">
      <c r="A851" t="s">
        <v>8</v>
      </c>
      <c r="B851" s="1" t="str">
        <f>"000103980 - RICHS LONZEROTIES"</f>
        <v>000103980 - RICHS LONZEROTIES</v>
      </c>
      <c r="C851" t="s">
        <v>812</v>
      </c>
      <c r="D851" s="1" t="str">
        <f>"PRG-1013780"</f>
        <v>PRG-1013780</v>
      </c>
      <c r="E851" t="s">
        <v>797</v>
      </c>
      <c r="F851" t="s">
        <v>4</v>
      </c>
      <c r="G851" t="str">
        <f>""</f>
        <v/>
      </c>
    </row>
    <row r="852" spans="1:7" x14ac:dyDescent="0.25">
      <c r="A852" t="s">
        <v>8</v>
      </c>
      <c r="B852" s="1" t="str">
        <f>"000125456 - ERNIE'S BBQ - RICH PRODUCTS"</f>
        <v>000125456 - ERNIE'S BBQ - RICH PRODUCTS</v>
      </c>
      <c r="C852" t="s">
        <v>909</v>
      </c>
      <c r="D852" s="1" t="str">
        <f>"PRG-1013785"</f>
        <v>PRG-1013785</v>
      </c>
      <c r="E852" t="s">
        <v>910</v>
      </c>
      <c r="F852" t="s">
        <v>4</v>
      </c>
      <c r="G852" t="str">
        <f>""</f>
        <v/>
      </c>
    </row>
    <row r="853" spans="1:7" x14ac:dyDescent="0.25">
      <c r="A853" t="s">
        <v>8</v>
      </c>
      <c r="B853" s="1" t="str">
        <f>"S8L00ER0"</f>
        <v>S8L00ER0</v>
      </c>
      <c r="C853" t="s">
        <v>6244</v>
      </c>
      <c r="D853" s="1" t="str">
        <f>"PRG-1013801"</f>
        <v>PRG-1013801</v>
      </c>
      <c r="E853" t="s">
        <v>6245</v>
      </c>
      <c r="F853" t="s">
        <v>5</v>
      </c>
      <c r="G853" t="str">
        <f>""</f>
        <v/>
      </c>
    </row>
    <row r="854" spans="1:7" x14ac:dyDescent="0.25">
      <c r="A854" t="s">
        <v>8</v>
      </c>
      <c r="B854" s="1" t="str">
        <f>"000181574 - 1013811 007 ISLECAPRI-RICHS"</f>
        <v>000181574 - 1013811 007 ISLECAPRI-RICHS</v>
      </c>
      <c r="C854" t="s">
        <v>1147</v>
      </c>
      <c r="D854" s="1" t="str">
        <f t="shared" ref="D854:D862" si="24">"PRG-1013811"</f>
        <v>PRG-1013811</v>
      </c>
      <c r="E854" t="s">
        <v>258</v>
      </c>
      <c r="F854" t="s">
        <v>4</v>
      </c>
      <c r="G854" t="str">
        <f>""</f>
        <v/>
      </c>
    </row>
    <row r="855" spans="1:7" x14ac:dyDescent="0.25">
      <c r="A855" t="s">
        <v>8</v>
      </c>
      <c r="B855" s="1" t="str">
        <f>"000200236 - 1013811 010 ISLECAPRI-RICHS"</f>
        <v>000200236 - 1013811 010 ISLECAPRI-RICHS</v>
      </c>
      <c r="C855" t="s">
        <v>1301</v>
      </c>
      <c r="D855" s="1" t="str">
        <f t="shared" si="24"/>
        <v>PRG-1013811</v>
      </c>
      <c r="E855" t="s">
        <v>258</v>
      </c>
      <c r="F855" t="s">
        <v>4</v>
      </c>
      <c r="G855" t="str">
        <f>""</f>
        <v/>
      </c>
    </row>
    <row r="856" spans="1:7" x14ac:dyDescent="0.25">
      <c r="A856" t="s">
        <v>8</v>
      </c>
      <c r="B856" s="1" t="str">
        <f>"000208524 - ISLE OF CARPI RICH PRODUCTS"</f>
        <v>000208524 - ISLE OF CARPI RICH PRODUCTS</v>
      </c>
      <c r="C856" t="s">
        <v>1401</v>
      </c>
      <c r="D856" s="1" t="str">
        <f t="shared" si="24"/>
        <v>PRG-1013811</v>
      </c>
      <c r="E856" t="s">
        <v>258</v>
      </c>
      <c r="F856" t="s">
        <v>4</v>
      </c>
      <c r="G856" t="str">
        <f>""</f>
        <v/>
      </c>
    </row>
    <row r="857" spans="1:7" x14ac:dyDescent="0.25">
      <c r="A857" t="s">
        <v>8</v>
      </c>
      <c r="B857" s="1" t="str">
        <f>"000216938 - ISLE OF CARPI RICH PRODUCTS"</f>
        <v>000216938 - ISLE OF CARPI RICH PRODUCTS</v>
      </c>
      <c r="C857" t="s">
        <v>1401</v>
      </c>
      <c r="D857" s="1" t="str">
        <f t="shared" si="24"/>
        <v>PRG-1013811</v>
      </c>
      <c r="E857" t="s">
        <v>258</v>
      </c>
      <c r="F857" t="s">
        <v>4</v>
      </c>
      <c r="G857" t="str">
        <f>""</f>
        <v/>
      </c>
    </row>
    <row r="858" spans="1:7" x14ac:dyDescent="0.25">
      <c r="A858" t="s">
        <v>8</v>
      </c>
      <c r="B858" s="1" t="str">
        <f>"000231115 - ISLE OF CARPI RICH PRODUCTS"</f>
        <v>000231115 - ISLE OF CARPI RICH PRODUCTS</v>
      </c>
      <c r="C858" t="s">
        <v>1401</v>
      </c>
      <c r="D858" s="1" t="str">
        <f t="shared" si="24"/>
        <v>PRG-1013811</v>
      </c>
      <c r="E858" t="s">
        <v>258</v>
      </c>
      <c r="F858" t="s">
        <v>4</v>
      </c>
      <c r="G858" t="str">
        <f>""</f>
        <v/>
      </c>
    </row>
    <row r="859" spans="1:7" x14ac:dyDescent="0.25">
      <c r="A859" t="s">
        <v>8</v>
      </c>
      <c r="B859" s="1" t="str">
        <f>"000245943 - ISLE OF CAPRI RICH PRODUCTS"</f>
        <v>000245943 - ISLE OF CAPRI RICH PRODUCTS</v>
      </c>
      <c r="C859" t="s">
        <v>2012</v>
      </c>
      <c r="D859" s="1" t="str">
        <f t="shared" si="24"/>
        <v>PRG-1013811</v>
      </c>
      <c r="E859" t="s">
        <v>258</v>
      </c>
      <c r="F859" t="s">
        <v>4</v>
      </c>
      <c r="G859" t="str">
        <f>""</f>
        <v/>
      </c>
    </row>
    <row r="860" spans="1:7" x14ac:dyDescent="0.25">
      <c r="A860" t="s">
        <v>8</v>
      </c>
      <c r="B860" s="1" t="str">
        <f>"000281155 - RICH ISLE CAPRI"</f>
        <v>000281155 - RICH ISLE CAPRI</v>
      </c>
      <c r="C860" t="s">
        <v>2649</v>
      </c>
      <c r="D860" s="1" t="str">
        <f t="shared" si="24"/>
        <v>PRG-1013811</v>
      </c>
      <c r="E860" t="s">
        <v>258</v>
      </c>
      <c r="F860" t="s">
        <v>4</v>
      </c>
      <c r="G860" t="str">
        <f>""</f>
        <v/>
      </c>
    </row>
    <row r="861" spans="1:7" x14ac:dyDescent="0.25">
      <c r="A861" t="s">
        <v>8</v>
      </c>
      <c r="B861" s="1" t="str">
        <f>"2000231169 - RICHS FOODS-ISLE OF CAPRI"</f>
        <v>2000231169 - RICHS FOODS-ISLE OF CAPRI</v>
      </c>
      <c r="C861" t="s">
        <v>3983</v>
      </c>
      <c r="D861" s="1" t="str">
        <f t="shared" si="24"/>
        <v>PRG-1013811</v>
      </c>
      <c r="E861" t="s">
        <v>258</v>
      </c>
      <c r="F861" t="s">
        <v>4</v>
      </c>
      <c r="G861" t="str">
        <f>""</f>
        <v/>
      </c>
    </row>
    <row r="862" spans="1:7" x14ac:dyDescent="0.25">
      <c r="A862" t="s">
        <v>8</v>
      </c>
      <c r="B862" s="1" t="str">
        <f>"2185D445"</f>
        <v>2185D445</v>
      </c>
      <c r="C862" t="s">
        <v>4214</v>
      </c>
      <c r="D862" s="1" t="str">
        <f t="shared" si="24"/>
        <v>PRG-1013811</v>
      </c>
      <c r="E862" t="s">
        <v>258</v>
      </c>
      <c r="F862" t="s">
        <v>5</v>
      </c>
      <c r="G862" t="str">
        <f>""</f>
        <v/>
      </c>
    </row>
    <row r="863" spans="1:7" x14ac:dyDescent="0.25">
      <c r="A863" t="s">
        <v>8</v>
      </c>
      <c r="B863" s="1" t="str">
        <f>"000256852 - RICH'S NATURES FOOD PATCH"</f>
        <v>000256852 - RICH'S NATURES FOOD PATCH</v>
      </c>
      <c r="C863" t="s">
        <v>2195</v>
      </c>
      <c r="D863" s="1" t="str">
        <f>"PRG-1013815"</f>
        <v>PRG-1013815</v>
      </c>
      <c r="E863" t="s">
        <v>2196</v>
      </c>
      <c r="F863" t="s">
        <v>4</v>
      </c>
      <c r="G863" t="str">
        <f>""</f>
        <v/>
      </c>
    </row>
    <row r="864" spans="1:7" x14ac:dyDescent="0.25">
      <c r="A864" t="s">
        <v>8</v>
      </c>
      <c r="B864" s="1" t="str">
        <f>"000017854 - RICH RIM BOWLING"</f>
        <v>000017854 - RICH RIM BOWLING</v>
      </c>
      <c r="C864" t="s">
        <v>386</v>
      </c>
      <c r="D864" s="1" t="str">
        <f>"PRG-1013819"</f>
        <v>PRG-1013819</v>
      </c>
      <c r="E864" t="s">
        <v>387</v>
      </c>
      <c r="F864" t="s">
        <v>4</v>
      </c>
      <c r="G864" t="str">
        <f>""</f>
        <v/>
      </c>
    </row>
    <row r="865" spans="1:7" x14ac:dyDescent="0.25">
      <c r="A865" t="s">
        <v>8</v>
      </c>
      <c r="B865" s="1" t="str">
        <f>"000270357 - RICHS-SNOOK INN"</f>
        <v>000270357 - RICHS-SNOOK INN</v>
      </c>
      <c r="C865" t="s">
        <v>2467</v>
      </c>
      <c r="D865" s="1" t="str">
        <f>"PRG-1013830"</f>
        <v>PRG-1013830</v>
      </c>
      <c r="E865" t="s">
        <v>2468</v>
      </c>
      <c r="F865" t="s">
        <v>4</v>
      </c>
      <c r="G865" t="str">
        <f>""</f>
        <v/>
      </c>
    </row>
    <row r="866" spans="1:7" x14ac:dyDescent="0.25">
      <c r="A866" t="s">
        <v>8</v>
      </c>
      <c r="B866" s="1" t="str">
        <f>"000287772 - RICH PEPPERONI'S TAVERN"</f>
        <v>000287772 - RICH PEPPERONI'S TAVERN</v>
      </c>
      <c r="C866" t="s">
        <v>2768</v>
      </c>
      <c r="D866" s="1" t="str">
        <f>"PRG-1013856"</f>
        <v>PRG-1013856</v>
      </c>
      <c r="E866" t="s">
        <v>2769</v>
      </c>
      <c r="F866" t="s">
        <v>4</v>
      </c>
      <c r="G866" t="str">
        <f>""</f>
        <v/>
      </c>
    </row>
    <row r="867" spans="1:7" x14ac:dyDescent="0.25">
      <c r="A867" t="s">
        <v>8</v>
      </c>
      <c r="B867" s="1" t="str">
        <f>"20108611"</f>
        <v>20108611</v>
      </c>
      <c r="C867" t="s">
        <v>4086</v>
      </c>
      <c r="D867" s="1" t="str">
        <f>"PRG-1013864"</f>
        <v>PRG-1013864</v>
      </c>
      <c r="E867" t="s">
        <v>4087</v>
      </c>
      <c r="F867" t="s">
        <v>5</v>
      </c>
      <c r="G867" t="str">
        <f>""</f>
        <v/>
      </c>
    </row>
    <row r="868" spans="1:7" x14ac:dyDescent="0.25">
      <c r="A868" t="s">
        <v>8</v>
      </c>
      <c r="B868" s="1" t="str">
        <f>"S5O00BX0"</f>
        <v>S5O00BX0</v>
      </c>
      <c r="C868" t="s">
        <v>5914</v>
      </c>
      <c r="D868" s="1" t="str">
        <f>"PRG-1013864"</f>
        <v>PRG-1013864</v>
      </c>
      <c r="E868" t="s">
        <v>4087</v>
      </c>
      <c r="F868" t="s">
        <v>5</v>
      </c>
      <c r="G868" t="str">
        <f>""</f>
        <v/>
      </c>
    </row>
    <row r="869" spans="1:7" x14ac:dyDescent="0.25">
      <c r="A869" t="s">
        <v>8</v>
      </c>
      <c r="B869" s="1" t="str">
        <f>"000208302 - BB PINNACLE FOB RICH"</f>
        <v>000208302 - BB PINNACLE FOB RICH</v>
      </c>
      <c r="C869" t="s">
        <v>1393</v>
      </c>
      <c r="D869" s="1" t="str">
        <f t="shared" ref="D869:D876" si="25">"PRG-1013867"</f>
        <v>PRG-1013867</v>
      </c>
      <c r="E869" t="s">
        <v>1394</v>
      </c>
      <c r="F869" t="s">
        <v>4</v>
      </c>
      <c r="G869" t="str">
        <f>""</f>
        <v/>
      </c>
    </row>
    <row r="870" spans="1:7" x14ac:dyDescent="0.25">
      <c r="A870" t="s">
        <v>8</v>
      </c>
      <c r="B870" s="1" t="str">
        <f>"000215072 - RICH FOODS CORE BB-PINNACLE"</f>
        <v>000215072 - RICH FOODS CORE BB-PINNACLE</v>
      </c>
      <c r="C870" t="s">
        <v>687</v>
      </c>
      <c r="D870" s="1" t="str">
        <f t="shared" si="25"/>
        <v>PRG-1013867</v>
      </c>
      <c r="E870" t="s">
        <v>1394</v>
      </c>
      <c r="F870" t="s">
        <v>4</v>
      </c>
      <c r="G870" t="str">
        <f>""</f>
        <v/>
      </c>
    </row>
    <row r="871" spans="1:7" x14ac:dyDescent="0.25">
      <c r="A871" t="s">
        <v>8</v>
      </c>
      <c r="B871" s="1" t="str">
        <f>"000215178 - BB PINNACLE FOB NC RICHS"</f>
        <v>000215178 - BB PINNACLE FOB NC RICHS</v>
      </c>
      <c r="C871" t="s">
        <v>1520</v>
      </c>
      <c r="D871" s="1" t="str">
        <f t="shared" si="25"/>
        <v>PRG-1013867</v>
      </c>
      <c r="E871" t="s">
        <v>1394</v>
      </c>
      <c r="F871" t="s">
        <v>4</v>
      </c>
      <c r="G871" t="str">
        <f>""</f>
        <v/>
      </c>
    </row>
    <row r="872" spans="1:7" x14ac:dyDescent="0.25">
      <c r="A872" t="s">
        <v>8</v>
      </c>
      <c r="B872" s="1" t="str">
        <f>"000221478 - RICH FOODS CORE BB-PINNACLE"</f>
        <v>000221478 - RICH FOODS CORE BB-PINNACLE</v>
      </c>
      <c r="C872" t="s">
        <v>687</v>
      </c>
      <c r="D872" s="1" t="str">
        <f t="shared" si="25"/>
        <v>PRG-1013867</v>
      </c>
      <c r="E872" t="s">
        <v>1394</v>
      </c>
      <c r="F872" t="s">
        <v>4</v>
      </c>
      <c r="G872" t="str">
        <f>""</f>
        <v/>
      </c>
    </row>
    <row r="873" spans="1:7" x14ac:dyDescent="0.25">
      <c r="A873" t="s">
        <v>8</v>
      </c>
      <c r="B873" s="1" t="str">
        <f>"000221479 - RICH FOODS NONCORE BB-PINNACLE"</f>
        <v>000221479 - RICH FOODS NONCORE BB-PINNACLE</v>
      </c>
      <c r="C873" t="s">
        <v>1604</v>
      </c>
      <c r="D873" s="1" t="str">
        <f t="shared" si="25"/>
        <v>PRG-1013867</v>
      </c>
      <c r="E873" t="s">
        <v>1394</v>
      </c>
      <c r="F873" t="s">
        <v>4</v>
      </c>
      <c r="G873" t="str">
        <f>""</f>
        <v/>
      </c>
    </row>
    <row r="874" spans="1:7" x14ac:dyDescent="0.25">
      <c r="A874" t="s">
        <v>8</v>
      </c>
      <c r="B874" s="1" t="str">
        <f>"000230930 - RICH FOODS-PINNACLE ENT."</f>
        <v>000230930 - RICH FOODS-PINNACLE ENT.</v>
      </c>
      <c r="C874" t="s">
        <v>1532</v>
      </c>
      <c r="D874" s="1" t="str">
        <f t="shared" si="25"/>
        <v>PRG-1013867</v>
      </c>
      <c r="E874" t="s">
        <v>1394</v>
      </c>
      <c r="F874" t="s">
        <v>4</v>
      </c>
      <c r="G874" t="str">
        <f>""</f>
        <v/>
      </c>
    </row>
    <row r="875" spans="1:7" x14ac:dyDescent="0.25">
      <c r="A875" t="s">
        <v>8</v>
      </c>
      <c r="B875" s="1" t="str">
        <f>"000234538 - BB PINNACLE FOB NC RICHS"</f>
        <v>000234538 - BB PINNACLE FOB NC RICHS</v>
      </c>
      <c r="C875" t="s">
        <v>1520</v>
      </c>
      <c r="D875" s="1" t="str">
        <f t="shared" si="25"/>
        <v>PRG-1013867</v>
      </c>
      <c r="E875" t="s">
        <v>1394</v>
      </c>
      <c r="F875" t="s">
        <v>4</v>
      </c>
      <c r="G875" t="str">
        <f>""</f>
        <v/>
      </c>
    </row>
    <row r="876" spans="1:7" x14ac:dyDescent="0.25">
      <c r="A876" t="s">
        <v>8</v>
      </c>
      <c r="B876" s="1" t="str">
        <f>"000240473 - RICH FOODS-PINNACLE ENT."</f>
        <v>000240473 - RICH FOODS-PINNACLE ENT.</v>
      </c>
      <c r="C876" t="s">
        <v>1532</v>
      </c>
      <c r="D876" s="1" t="str">
        <f t="shared" si="25"/>
        <v>PRG-1013867</v>
      </c>
      <c r="E876" t="s">
        <v>1394</v>
      </c>
      <c r="F876" t="s">
        <v>4</v>
      </c>
      <c r="G876" t="str">
        <f>""</f>
        <v/>
      </c>
    </row>
    <row r="877" spans="1:7" x14ac:dyDescent="0.25">
      <c r="A877" t="s">
        <v>8</v>
      </c>
      <c r="B877" s="1" t="str">
        <f>"000278757 - RICH PRODUCTS BLACKBEARD"</f>
        <v>000278757 - RICH PRODUCTS BLACKBEARD</v>
      </c>
      <c r="C877" t="s">
        <v>2610</v>
      </c>
      <c r="D877" s="1" t="str">
        <f>"PRG-1013879"</f>
        <v>PRG-1013879</v>
      </c>
      <c r="E877" t="s">
        <v>2611</v>
      </c>
      <c r="F877" t="s">
        <v>4</v>
      </c>
      <c r="G877" t="str">
        <f>""</f>
        <v/>
      </c>
    </row>
    <row r="878" spans="1:7" x14ac:dyDescent="0.25">
      <c r="A878" t="s">
        <v>8</v>
      </c>
      <c r="B878" s="1" t="str">
        <f>"000260136 - RICH-ALVA CTY DINER"</f>
        <v>000260136 - RICH-ALVA CTY DINER</v>
      </c>
      <c r="C878" t="s">
        <v>2256</v>
      </c>
      <c r="D878" s="1" t="str">
        <f>"PRG-1013920"</f>
        <v>PRG-1013920</v>
      </c>
      <c r="E878" t="s">
        <v>2257</v>
      </c>
      <c r="F878" t="s">
        <v>4</v>
      </c>
      <c r="G878" t="str">
        <f>""</f>
        <v/>
      </c>
    </row>
    <row r="879" spans="1:7" x14ac:dyDescent="0.25">
      <c r="A879" t="s">
        <v>8</v>
      </c>
      <c r="B879" s="1" t="str">
        <f>"2000171298 - RICH'S-SARDELLA'S"</f>
        <v>2000171298 - RICH'S-SARDELLA'S</v>
      </c>
      <c r="C879" t="s">
        <v>3884</v>
      </c>
      <c r="D879" s="1" t="str">
        <f>"PRG-1013932"</f>
        <v>PRG-1013932</v>
      </c>
      <c r="E879" t="s">
        <v>3885</v>
      </c>
      <c r="F879" t="s">
        <v>4</v>
      </c>
      <c r="G879" t="str">
        <f>""</f>
        <v/>
      </c>
    </row>
    <row r="880" spans="1:7" x14ac:dyDescent="0.25">
      <c r="A880" t="s">
        <v>8</v>
      </c>
      <c r="B880" s="1" t="str">
        <f>"2000228807 - RICH'S AZ-SARDELLA'S"</f>
        <v>2000228807 - RICH'S AZ-SARDELLA'S</v>
      </c>
      <c r="C880" t="s">
        <v>3980</v>
      </c>
      <c r="D880" s="1" t="str">
        <f>"PRG-1013932"</f>
        <v>PRG-1013932</v>
      </c>
      <c r="E880" t="s">
        <v>3885</v>
      </c>
      <c r="F880" t="s">
        <v>4</v>
      </c>
      <c r="G880" t="str">
        <f>""</f>
        <v/>
      </c>
    </row>
    <row r="881" spans="1:7" x14ac:dyDescent="0.25">
      <c r="A881" t="s">
        <v>8</v>
      </c>
      <c r="B881" s="1" t="str">
        <f>"2000228803 - RICH'S AZ-RUSTLERS ROOSTE"</f>
        <v>2000228803 - RICH'S AZ-RUSTLERS ROOSTE</v>
      </c>
      <c r="C881" t="s">
        <v>3978</v>
      </c>
      <c r="D881" s="1" t="str">
        <f>"PRG-1013933"</f>
        <v>PRG-1013933</v>
      </c>
      <c r="E881" t="s">
        <v>3979</v>
      </c>
      <c r="F881" t="s">
        <v>4</v>
      </c>
      <c r="G881" t="str">
        <f>""</f>
        <v/>
      </c>
    </row>
    <row r="882" spans="1:7" x14ac:dyDescent="0.25">
      <c r="A882" t="s">
        <v>8</v>
      </c>
      <c r="B882" s="1" t="str">
        <f>"4146A784"</f>
        <v>4146A784</v>
      </c>
      <c r="C882" t="s">
        <v>4996</v>
      </c>
      <c r="D882" s="1" t="str">
        <f>"PRG-1013934"</f>
        <v>PRG-1013934</v>
      </c>
      <c r="E882" t="s">
        <v>4997</v>
      </c>
      <c r="F882" t="s">
        <v>5</v>
      </c>
      <c r="G882" t="str">
        <f>""</f>
        <v/>
      </c>
    </row>
    <row r="883" spans="1:7" x14ac:dyDescent="0.25">
      <c r="A883" t="s">
        <v>8</v>
      </c>
      <c r="B883" s="1" t="str">
        <f>"000252863 - JACKSON RANCHERIA"</f>
        <v>000252863 - JACKSON RANCHERIA</v>
      </c>
      <c r="C883" t="s">
        <v>2139</v>
      </c>
      <c r="D883" s="1" t="str">
        <f>"PRG-1013944"</f>
        <v>PRG-1013944</v>
      </c>
      <c r="E883" t="s">
        <v>2140</v>
      </c>
      <c r="F883" t="s">
        <v>4</v>
      </c>
      <c r="G883" t="str">
        <f>""</f>
        <v/>
      </c>
    </row>
    <row r="884" spans="1:7" x14ac:dyDescent="0.25">
      <c r="A884" t="s">
        <v>8</v>
      </c>
      <c r="B884" s="1" t="str">
        <f>"31703026"</f>
        <v>31703026</v>
      </c>
      <c r="C884" t="s">
        <v>4694</v>
      </c>
      <c r="D884" s="1" t="str">
        <f>"PRG-1013954"</f>
        <v>PRG-1013954</v>
      </c>
      <c r="E884" t="s">
        <v>4695</v>
      </c>
      <c r="F884" t="s">
        <v>5</v>
      </c>
      <c r="G884" t="str">
        <f>""</f>
        <v/>
      </c>
    </row>
    <row r="885" spans="1:7" x14ac:dyDescent="0.25">
      <c r="A885" t="s">
        <v>8</v>
      </c>
      <c r="B885" s="1" t="str">
        <f>"000003548 - CLEARWATER TRAVEL RICH'S PRODU"</f>
        <v>000003548 - CLEARWATER TRAVEL RICH'S PRODU</v>
      </c>
      <c r="C885" t="s">
        <v>171</v>
      </c>
      <c r="D885" s="1" t="str">
        <f>"PRG-1013962"</f>
        <v>PRG-1013962</v>
      </c>
      <c r="E885" t="s">
        <v>172</v>
      </c>
      <c r="F885" t="s">
        <v>4</v>
      </c>
      <c r="G885" t="str">
        <f>""</f>
        <v/>
      </c>
    </row>
    <row r="886" spans="1:7" x14ac:dyDescent="0.25">
      <c r="A886" t="s">
        <v>8</v>
      </c>
      <c r="B886" s="1" t="str">
        <f>"000003545 - PIONEER CATERERS RICH'S PRODUC"</f>
        <v>000003545 - PIONEER CATERERS RICH'S PRODUC</v>
      </c>
      <c r="C886" t="s">
        <v>165</v>
      </c>
      <c r="D886" s="1" t="str">
        <f>"PRG-1013964"</f>
        <v>PRG-1013964</v>
      </c>
      <c r="E886" t="s">
        <v>166</v>
      </c>
      <c r="F886" t="s">
        <v>4</v>
      </c>
      <c r="G886" t="str">
        <f>""</f>
        <v/>
      </c>
    </row>
    <row r="887" spans="1:7" x14ac:dyDescent="0.25">
      <c r="A887" t="s">
        <v>8</v>
      </c>
      <c r="B887" s="1" t="str">
        <f>"000266999 - RICH PROD MEX ALL SPIN"</f>
        <v>000266999 - RICH PROD MEX ALL SPIN</v>
      </c>
      <c r="C887" t="s">
        <v>2416</v>
      </c>
      <c r="D887" s="1" t="str">
        <f>"PRG-1013965"</f>
        <v>PRG-1013965</v>
      </c>
      <c r="E887" t="s">
        <v>2417</v>
      </c>
      <c r="F887" t="s">
        <v>4</v>
      </c>
      <c r="G887" t="str">
        <f>""</f>
        <v/>
      </c>
    </row>
    <row r="888" spans="1:7" x14ac:dyDescent="0.25">
      <c r="A888" t="s">
        <v>8</v>
      </c>
      <c r="B888" s="1" t="str">
        <f>"2000206981 - RICH FOODS-MEXICAN RESTAURANTS"</f>
        <v>2000206981 - RICH FOODS-MEXICAN RESTAURANTS</v>
      </c>
      <c r="C888" t="s">
        <v>2788</v>
      </c>
      <c r="D888" s="1" t="str">
        <f>"PRG-1013965"</f>
        <v>PRG-1013965</v>
      </c>
      <c r="E888" t="s">
        <v>2417</v>
      </c>
      <c r="F888" t="s">
        <v>4</v>
      </c>
      <c r="G888" t="str">
        <f>""</f>
        <v/>
      </c>
    </row>
    <row r="889" spans="1:7" x14ac:dyDescent="0.25">
      <c r="A889" t="s">
        <v>8</v>
      </c>
      <c r="B889" s="1" t="str">
        <f>"2000235485 - RICH FOODS-MEXICAN RESTAURANTS INC."</f>
        <v>2000235485 - RICH FOODS-MEXICAN RESTAURANTS INC.</v>
      </c>
      <c r="C889" t="s">
        <v>3988</v>
      </c>
      <c r="D889" s="1" t="str">
        <f>"PRG-1013965"</f>
        <v>PRG-1013965</v>
      </c>
      <c r="E889" t="s">
        <v>2417</v>
      </c>
      <c r="F889" t="s">
        <v>4</v>
      </c>
      <c r="G889" t="str">
        <f>""</f>
        <v/>
      </c>
    </row>
    <row r="890" spans="1:7" x14ac:dyDescent="0.25">
      <c r="A890" t="s">
        <v>8</v>
      </c>
      <c r="B890" s="1" t="str">
        <f>"31505114"</f>
        <v>31505114</v>
      </c>
      <c r="C890" t="s">
        <v>2686</v>
      </c>
      <c r="D890" s="1" t="str">
        <f>"PRG-1013967"</f>
        <v>PRG-1013967</v>
      </c>
      <c r="E890" t="s">
        <v>1119</v>
      </c>
      <c r="F890" t="s">
        <v>5</v>
      </c>
      <c r="G890" t="str">
        <f>""</f>
        <v/>
      </c>
    </row>
    <row r="891" spans="1:7" x14ac:dyDescent="0.25">
      <c r="A891" t="s">
        <v>8</v>
      </c>
      <c r="B891" s="1" t="str">
        <f>"000003550 - BRINE'S MARKET RICH'S PRODUCTS"</f>
        <v>000003550 - BRINE'S MARKET RICH'S PRODUCTS</v>
      </c>
      <c r="C891" t="s">
        <v>175</v>
      </c>
      <c r="D891" s="1" t="str">
        <f>"PRG-1013971"</f>
        <v>PRG-1013971</v>
      </c>
      <c r="E891" t="s">
        <v>176</v>
      </c>
      <c r="F891" t="s">
        <v>4</v>
      </c>
      <c r="G891" t="str">
        <f>""</f>
        <v/>
      </c>
    </row>
    <row r="892" spans="1:7" x14ac:dyDescent="0.25">
      <c r="A892" t="s">
        <v>8</v>
      </c>
      <c r="B892" s="1" t="str">
        <f>"000350497 - BRINE'S MARKET RICHS PRODUCTS"</f>
        <v>000350497 - BRINE'S MARKET RICHS PRODUCTS</v>
      </c>
      <c r="C892" t="s">
        <v>414</v>
      </c>
      <c r="D892" s="1" t="str">
        <f>"PRG-1013971"</f>
        <v>PRG-1013971</v>
      </c>
      <c r="E892" t="s">
        <v>176</v>
      </c>
      <c r="F892" t="s">
        <v>4</v>
      </c>
      <c r="G892" t="str">
        <f>""</f>
        <v/>
      </c>
    </row>
    <row r="893" spans="1:7" x14ac:dyDescent="0.25">
      <c r="A893" t="s">
        <v>8</v>
      </c>
      <c r="B893" s="1" t="str">
        <f>"2350F253"</f>
        <v>2350F253</v>
      </c>
      <c r="C893" t="s">
        <v>4531</v>
      </c>
      <c r="D893" s="1" t="str">
        <f>"PRG-1013971"</f>
        <v>PRG-1013971</v>
      </c>
      <c r="E893" t="s">
        <v>176</v>
      </c>
      <c r="F893" t="s">
        <v>5</v>
      </c>
      <c r="G893" t="str">
        <f>""</f>
        <v/>
      </c>
    </row>
    <row r="894" spans="1:7" x14ac:dyDescent="0.25">
      <c r="A894" t="s">
        <v>8</v>
      </c>
      <c r="B894" s="1" t="str">
        <f>"000003546 - VON HANSON RICH'S PRODUCTS REB"</f>
        <v>000003546 - VON HANSON RICH'S PRODUCTS REB</v>
      </c>
      <c r="C894" t="s">
        <v>167</v>
      </c>
      <c r="D894" s="1" t="str">
        <f>"PRG-1013975"</f>
        <v>PRG-1013975</v>
      </c>
      <c r="E894" t="s">
        <v>168</v>
      </c>
      <c r="F894" t="s">
        <v>4</v>
      </c>
      <c r="G894" t="str">
        <f>""</f>
        <v/>
      </c>
    </row>
    <row r="895" spans="1:7" x14ac:dyDescent="0.25">
      <c r="A895" t="s">
        <v>8</v>
      </c>
      <c r="B895" s="1" t="str">
        <f>"000350496 - VON HANSON RICHS PRODUCTS"</f>
        <v>000350496 - VON HANSON RICHS PRODUCTS</v>
      </c>
      <c r="C895" t="s">
        <v>411</v>
      </c>
      <c r="D895" s="1" t="str">
        <f>"PRG-1013975"</f>
        <v>PRG-1013975</v>
      </c>
      <c r="E895" t="s">
        <v>168</v>
      </c>
      <c r="F895" t="s">
        <v>4</v>
      </c>
      <c r="G895" t="str">
        <f>""</f>
        <v/>
      </c>
    </row>
    <row r="896" spans="1:7" x14ac:dyDescent="0.25">
      <c r="A896" t="s">
        <v>8</v>
      </c>
      <c r="B896" s="1" t="str">
        <f>"2000223796 - RICH'S OK-KEYSTONE FOODS"</f>
        <v>2000223796 - RICH'S OK-KEYSTONE FOODS</v>
      </c>
      <c r="C896" t="s">
        <v>3971</v>
      </c>
      <c r="D896" s="1" t="str">
        <f>"PRG-1013976"</f>
        <v>PRG-1013976</v>
      </c>
      <c r="E896" t="s">
        <v>3972</v>
      </c>
      <c r="F896" t="s">
        <v>4</v>
      </c>
      <c r="G896" t="str">
        <f>""</f>
        <v/>
      </c>
    </row>
    <row r="897" spans="1:7" x14ac:dyDescent="0.25">
      <c r="A897" t="s">
        <v>8</v>
      </c>
      <c r="B897" s="1" t="str">
        <f>"2000325702 - RICH'S-KEYSTONE FOODS"</f>
        <v>2000325702 - RICH'S-KEYSTONE FOODS</v>
      </c>
      <c r="C897" t="s">
        <v>59</v>
      </c>
      <c r="D897" s="1" t="str">
        <f>"PRG-1013976"</f>
        <v>PRG-1013976</v>
      </c>
      <c r="E897" t="s">
        <v>3972</v>
      </c>
      <c r="F897" t="s">
        <v>4</v>
      </c>
      <c r="G897" t="str">
        <f>""</f>
        <v/>
      </c>
    </row>
    <row r="898" spans="1:7" x14ac:dyDescent="0.25">
      <c r="A898" t="s">
        <v>8</v>
      </c>
      <c r="B898" s="1" t="str">
        <f>"2000406906 - RICH'S-KEYSTONE FOODS"</f>
        <v>2000406906 - RICH'S-KEYSTONE FOODS</v>
      </c>
      <c r="C898" t="s">
        <v>59</v>
      </c>
      <c r="D898" s="1" t="str">
        <f>"PRG-1013976"</f>
        <v>PRG-1013976</v>
      </c>
      <c r="E898" t="s">
        <v>3972</v>
      </c>
      <c r="F898" t="s">
        <v>4</v>
      </c>
      <c r="G898" t="str">
        <f>""</f>
        <v/>
      </c>
    </row>
    <row r="899" spans="1:7" x14ac:dyDescent="0.25">
      <c r="A899" t="s">
        <v>8</v>
      </c>
      <c r="B899" s="1" t="str">
        <f>"23501341"</f>
        <v>23501341</v>
      </c>
      <c r="C899" t="s">
        <v>4504</v>
      </c>
      <c r="D899" s="1" t="str">
        <f>"PRG-1013978"</f>
        <v>PRG-1013978</v>
      </c>
      <c r="E899" t="s">
        <v>4499</v>
      </c>
      <c r="F899" t="s">
        <v>5</v>
      </c>
      <c r="G899" t="str">
        <f>""</f>
        <v/>
      </c>
    </row>
    <row r="900" spans="1:7" x14ac:dyDescent="0.25">
      <c r="A900" t="s">
        <v>8</v>
      </c>
      <c r="B900" s="1" t="str">
        <f>"23503593"</f>
        <v>23503593</v>
      </c>
      <c r="C900" t="s">
        <v>4510</v>
      </c>
      <c r="D900" s="1" t="str">
        <f>"PRG-1013978"</f>
        <v>PRG-1013978</v>
      </c>
      <c r="E900" t="s">
        <v>4499</v>
      </c>
      <c r="F900" t="s">
        <v>5</v>
      </c>
      <c r="G900" t="str">
        <f>""</f>
        <v/>
      </c>
    </row>
    <row r="901" spans="1:7" x14ac:dyDescent="0.25">
      <c r="A901" t="s">
        <v>8</v>
      </c>
      <c r="B901" s="1" t="str">
        <f>"000003547 - LETNES BROTHERS RICH'S PRODUCT"</f>
        <v>000003547 - LETNES BROTHERS RICH'S PRODUCT</v>
      </c>
      <c r="C901" t="s">
        <v>169</v>
      </c>
      <c r="D901" s="1" t="str">
        <f>"PRG-1013979"</f>
        <v>PRG-1013979</v>
      </c>
      <c r="E901" t="s">
        <v>170</v>
      </c>
      <c r="F901" t="s">
        <v>4</v>
      </c>
      <c r="G901" t="str">
        <f>""</f>
        <v/>
      </c>
    </row>
    <row r="902" spans="1:7" x14ac:dyDescent="0.25">
      <c r="A902" t="s">
        <v>8</v>
      </c>
      <c r="B902" s="1" t="str">
        <f>"000249586 - RICHS  PAESANO'S REST"</f>
        <v>000249586 - RICHS  PAESANO'S REST</v>
      </c>
      <c r="C902" t="s">
        <v>2071</v>
      </c>
      <c r="D902" s="1" t="str">
        <f>"PRG-1013984"</f>
        <v>PRG-1013984</v>
      </c>
      <c r="E902" t="s">
        <v>2072</v>
      </c>
      <c r="F902" t="s">
        <v>4</v>
      </c>
      <c r="G902" t="str">
        <f>""</f>
        <v/>
      </c>
    </row>
    <row r="903" spans="1:7" x14ac:dyDescent="0.25">
      <c r="A903" t="s">
        <v>8</v>
      </c>
      <c r="B903" s="1" t="str">
        <f>"000003551 - D. BRIAN'S MPLS RICH'S PRODUCT"</f>
        <v>000003551 - D. BRIAN'S MPLS RICH'S PRODUCT</v>
      </c>
      <c r="C903" t="s">
        <v>177</v>
      </c>
      <c r="D903" s="1" t="str">
        <f>"PRG-1013985"</f>
        <v>PRG-1013985</v>
      </c>
      <c r="E903" t="s">
        <v>178</v>
      </c>
      <c r="F903" t="s">
        <v>4</v>
      </c>
      <c r="G903" t="str">
        <f>""</f>
        <v/>
      </c>
    </row>
    <row r="904" spans="1:7" x14ac:dyDescent="0.25">
      <c r="A904" t="s">
        <v>8</v>
      </c>
      <c r="B904" s="1" t="str">
        <f>"000003552 - D. BRIAN'S ST PAUL RICH'S PROD"</f>
        <v>000003552 - D. BRIAN'S ST PAUL RICH'S PROD</v>
      </c>
      <c r="C904" t="s">
        <v>179</v>
      </c>
      <c r="D904" s="1" t="str">
        <f>"PRG-1013985"</f>
        <v>PRG-1013985</v>
      </c>
      <c r="E904" t="s">
        <v>178</v>
      </c>
      <c r="F904" t="s">
        <v>4</v>
      </c>
      <c r="G904" t="str">
        <f>""</f>
        <v/>
      </c>
    </row>
    <row r="905" spans="1:7" x14ac:dyDescent="0.25">
      <c r="A905" t="s">
        <v>8</v>
      </c>
      <c r="B905" s="1" t="str">
        <f>"000011713 - D. BRIAN'S RICH'S PRODUCTS"</f>
        <v>000011713 - D. BRIAN'S RICH'S PRODUCTS</v>
      </c>
      <c r="C905" t="s">
        <v>328</v>
      </c>
      <c r="D905" s="1" t="str">
        <f>"PRG-1013985"</f>
        <v>PRG-1013985</v>
      </c>
      <c r="E905" t="s">
        <v>178</v>
      </c>
      <c r="F905" t="s">
        <v>4</v>
      </c>
      <c r="G905" t="str">
        <f>""</f>
        <v/>
      </c>
    </row>
    <row r="906" spans="1:7" x14ac:dyDescent="0.25">
      <c r="A906" t="s">
        <v>8</v>
      </c>
      <c r="B906" s="1" t="str">
        <f>"000341417 - RICH PRODUCTS D BRIANS DELI"</f>
        <v>000341417 - RICH PRODUCTS D BRIANS DELI</v>
      </c>
      <c r="C906" t="s">
        <v>3439</v>
      </c>
      <c r="D906" s="1" t="str">
        <f>"PRG-1013985"</f>
        <v>PRG-1013985</v>
      </c>
      <c r="E906" t="s">
        <v>178</v>
      </c>
      <c r="F906" t="s">
        <v>4</v>
      </c>
      <c r="G906" t="str">
        <f>""</f>
        <v/>
      </c>
    </row>
    <row r="907" spans="1:7" x14ac:dyDescent="0.25">
      <c r="A907" t="s">
        <v>8</v>
      </c>
      <c r="B907" s="1" t="str">
        <f>"000208227 - RICH PRODUCT SAM &amp; LOUIE'S"</f>
        <v>000208227 - RICH PRODUCT SAM &amp; LOUIE'S</v>
      </c>
      <c r="C907" t="s">
        <v>1392</v>
      </c>
      <c r="D907" s="1" t="str">
        <f>"PRG-1013999"</f>
        <v>PRG-1013999</v>
      </c>
      <c r="E907" t="s">
        <v>1204</v>
      </c>
      <c r="F907" t="s">
        <v>4</v>
      </c>
      <c r="G907" t="str">
        <f>""</f>
        <v/>
      </c>
    </row>
    <row r="908" spans="1:7" x14ac:dyDescent="0.25">
      <c r="A908" t="s">
        <v>8</v>
      </c>
      <c r="B908" s="1" t="str">
        <f>"000231259 - RICHS BOSSELMANS"</f>
        <v>000231259 - RICHS BOSSELMANS</v>
      </c>
      <c r="C908" t="s">
        <v>1768</v>
      </c>
      <c r="D908" s="1" t="str">
        <f>"PRG-1014002"</f>
        <v>PRG-1014002</v>
      </c>
      <c r="E908" t="s">
        <v>1769</v>
      </c>
      <c r="F908" t="s">
        <v>4</v>
      </c>
      <c r="G908" t="str">
        <f>""</f>
        <v/>
      </c>
    </row>
    <row r="909" spans="1:7" x14ac:dyDescent="0.25">
      <c r="A909" t="s">
        <v>8</v>
      </c>
      <c r="B909" s="1" t="str">
        <f>"000272561 - "</f>
        <v xml:space="preserve">000272561 - </v>
      </c>
      <c r="D909" s="1" t="str">
        <f>"PRG-1014002"</f>
        <v>PRG-1014002</v>
      </c>
      <c r="E909" t="s">
        <v>1769</v>
      </c>
      <c r="F909" t="s">
        <v>4</v>
      </c>
      <c r="G909" t="str">
        <f>""</f>
        <v/>
      </c>
    </row>
    <row r="910" spans="1:7" x14ac:dyDescent="0.25">
      <c r="A910" t="s">
        <v>8</v>
      </c>
      <c r="B910" s="1" t="str">
        <f>"000247447 - RICHS PROD  UNO TRATTORIA"</f>
        <v>000247447 - RICHS PROD  UNO TRATTORIA</v>
      </c>
      <c r="C910" t="s">
        <v>2036</v>
      </c>
      <c r="D910" s="1" t="str">
        <f>"PRG-1014004"</f>
        <v>PRG-1014004</v>
      </c>
      <c r="E910" t="s">
        <v>2037</v>
      </c>
      <c r="F910" t="s">
        <v>4</v>
      </c>
      <c r="G910" t="str">
        <f>""</f>
        <v/>
      </c>
    </row>
    <row r="911" spans="1:7" x14ac:dyDescent="0.25">
      <c r="A911" t="s">
        <v>8</v>
      </c>
      <c r="B911" s="1" t="str">
        <f>"000249882 - RICHS ZDT AMUSEMENT  207501"</f>
        <v>000249882 - RICHS ZDT AMUSEMENT  207501</v>
      </c>
      <c r="C911" t="s">
        <v>2083</v>
      </c>
      <c r="D911" s="1" t="str">
        <f>"PRG-1014008"</f>
        <v>PRG-1014008</v>
      </c>
      <c r="E911" t="s">
        <v>2084</v>
      </c>
      <c r="F911" t="s">
        <v>4</v>
      </c>
      <c r="G911" t="str">
        <f>""</f>
        <v/>
      </c>
    </row>
    <row r="912" spans="1:7" x14ac:dyDescent="0.25">
      <c r="A912" t="s">
        <v>8</v>
      </c>
      <c r="B912" s="1" t="str">
        <f>"000272651 - RICHS ZDT AMUSEMENT  207501"</f>
        <v>000272651 - RICHS ZDT AMUSEMENT  207501</v>
      </c>
      <c r="C912" t="s">
        <v>2083</v>
      </c>
      <c r="D912" s="1" t="str">
        <f>"PRG-1014008"</f>
        <v>PRG-1014008</v>
      </c>
      <c r="E912" t="s">
        <v>2084</v>
      </c>
      <c r="F912" t="s">
        <v>4</v>
      </c>
      <c r="G912" t="str">
        <f>""</f>
        <v/>
      </c>
    </row>
    <row r="913" spans="1:7" x14ac:dyDescent="0.25">
      <c r="A913" t="s">
        <v>8</v>
      </c>
      <c r="B913" s="1" t="str">
        <f>"000298504 - RICHS ZDT AMUSEMENT"</f>
        <v>000298504 - RICHS ZDT AMUSEMENT</v>
      </c>
      <c r="C913" t="s">
        <v>2939</v>
      </c>
      <c r="D913" s="1" t="str">
        <f>"PRG-1014008"</f>
        <v>PRG-1014008</v>
      </c>
      <c r="E913" t="s">
        <v>2084</v>
      </c>
      <c r="F913" t="s">
        <v>4</v>
      </c>
      <c r="G913" t="str">
        <f>""</f>
        <v/>
      </c>
    </row>
    <row r="914" spans="1:7" x14ac:dyDescent="0.25">
      <c r="A914" t="s">
        <v>8</v>
      </c>
      <c r="B914" s="1" t="str">
        <f>"21905136"</f>
        <v>21905136</v>
      </c>
      <c r="C914" t="s">
        <v>4221</v>
      </c>
      <c r="D914" s="1" t="str">
        <f>"PRG-1014020"</f>
        <v>PRG-1014020</v>
      </c>
      <c r="E914" t="s">
        <v>4222</v>
      </c>
      <c r="F914" t="s">
        <v>5</v>
      </c>
      <c r="G914" t="str">
        <f>""</f>
        <v/>
      </c>
    </row>
    <row r="915" spans="1:7" x14ac:dyDescent="0.25">
      <c r="A915" t="s">
        <v>8</v>
      </c>
      <c r="B915" s="1" t="str">
        <f>"000230551 - RICH ISLES PIZZA"</f>
        <v>000230551 - RICH ISLES PIZZA</v>
      </c>
      <c r="C915" t="s">
        <v>1753</v>
      </c>
      <c r="D915" s="1" t="str">
        <f>"PRG-1014072"</f>
        <v>PRG-1014072</v>
      </c>
      <c r="E915" t="s">
        <v>1754</v>
      </c>
      <c r="F915" t="s">
        <v>4</v>
      </c>
      <c r="G915" t="str">
        <f>""</f>
        <v/>
      </c>
    </row>
    <row r="916" spans="1:7" x14ac:dyDescent="0.25">
      <c r="A916" t="s">
        <v>8</v>
      </c>
      <c r="B916" s="1" t="str">
        <f>"000245191 - RICH ISLES PIZZA"</f>
        <v>000245191 - RICH ISLES PIZZA</v>
      </c>
      <c r="C916" t="s">
        <v>1753</v>
      </c>
      <c r="D916" s="1" t="str">
        <f>"PRG-1014072"</f>
        <v>PRG-1014072</v>
      </c>
      <c r="E916" t="s">
        <v>1754</v>
      </c>
      <c r="F916" t="s">
        <v>4</v>
      </c>
      <c r="G916" t="str">
        <f>""</f>
        <v/>
      </c>
    </row>
    <row r="917" spans="1:7" x14ac:dyDescent="0.25">
      <c r="A917" t="s">
        <v>8</v>
      </c>
      <c r="B917" s="1" t="str">
        <f>"000230550 - RICHS OSCAR PIZZA"</f>
        <v>000230550 - RICHS OSCAR PIZZA</v>
      </c>
      <c r="C917" t="s">
        <v>1751</v>
      </c>
      <c r="D917" s="1" t="str">
        <f>"PRG-1014073"</f>
        <v>PRG-1014073</v>
      </c>
      <c r="E917" t="s">
        <v>1752</v>
      </c>
      <c r="F917" t="s">
        <v>4</v>
      </c>
      <c r="G917" t="str">
        <f>""</f>
        <v/>
      </c>
    </row>
    <row r="918" spans="1:7" x14ac:dyDescent="0.25">
      <c r="A918" t="s">
        <v>8</v>
      </c>
      <c r="B918" s="1" t="str">
        <f>"000210377 - RICHS-SAPP BROTHERS"</f>
        <v>000210377 - RICHS-SAPP BROTHERS</v>
      </c>
      <c r="C918" t="s">
        <v>1430</v>
      </c>
      <c r="D918" s="1" t="str">
        <f>"PRG-1014076"</f>
        <v>PRG-1014076</v>
      </c>
      <c r="E918" t="s">
        <v>1431</v>
      </c>
      <c r="F918" t="s">
        <v>4</v>
      </c>
      <c r="G918" t="str">
        <f>""</f>
        <v/>
      </c>
    </row>
    <row r="919" spans="1:7" x14ac:dyDescent="0.25">
      <c r="A919" t="s">
        <v>8</v>
      </c>
      <c r="B919" s="1" t="str">
        <f>"000214173 - RICHS SAPP BROS LP OINV"</f>
        <v>000214173 - RICHS SAPP BROS LP OINV</v>
      </c>
      <c r="C919" t="s">
        <v>1492</v>
      </c>
      <c r="D919" s="1" t="str">
        <f>"PRG-1014076"</f>
        <v>PRG-1014076</v>
      </c>
      <c r="E919" t="s">
        <v>1431</v>
      </c>
      <c r="F919" t="s">
        <v>4</v>
      </c>
      <c r="G919" t="str">
        <f>""</f>
        <v/>
      </c>
    </row>
    <row r="920" spans="1:7" x14ac:dyDescent="0.25">
      <c r="A920" t="s">
        <v>8</v>
      </c>
      <c r="B920" s="1" t="str">
        <f>"000239245 - RICHS-SAPP BROTHERS"</f>
        <v>000239245 - RICHS-SAPP BROTHERS</v>
      </c>
      <c r="C920" t="s">
        <v>1430</v>
      </c>
      <c r="D920" s="1" t="str">
        <f>"PRG-1014076"</f>
        <v>PRG-1014076</v>
      </c>
      <c r="E920" t="s">
        <v>1431</v>
      </c>
      <c r="F920" t="s">
        <v>4</v>
      </c>
      <c r="G920" t="str">
        <f>""</f>
        <v/>
      </c>
    </row>
    <row r="921" spans="1:7" x14ac:dyDescent="0.25">
      <c r="A921" t="s">
        <v>8</v>
      </c>
      <c r="B921" s="1" t="str">
        <f>"2000184665 - RICH-SAPP BROTHERS"</f>
        <v>2000184665 - RICH-SAPP BROTHERS</v>
      </c>
      <c r="C921" t="s">
        <v>553</v>
      </c>
      <c r="D921" s="1" t="str">
        <f>"PRG-1014076"</f>
        <v>PRG-1014076</v>
      </c>
      <c r="E921" t="s">
        <v>1431</v>
      </c>
      <c r="F921" t="s">
        <v>4</v>
      </c>
      <c r="G921" t="str">
        <f>""</f>
        <v/>
      </c>
    </row>
    <row r="922" spans="1:7" x14ac:dyDescent="0.25">
      <c r="A922" t="s">
        <v>8</v>
      </c>
      <c r="B922" s="1" t="str">
        <f>"2000340792 - "</f>
        <v xml:space="preserve">2000340792 - </v>
      </c>
      <c r="D922" s="1" t="str">
        <f>"PRG-1014076"</f>
        <v>PRG-1014076</v>
      </c>
      <c r="E922" t="s">
        <v>1431</v>
      </c>
      <c r="F922" t="s">
        <v>4</v>
      </c>
      <c r="G922" t="str">
        <f>""</f>
        <v/>
      </c>
    </row>
    <row r="923" spans="1:7" x14ac:dyDescent="0.25">
      <c r="A923" t="s">
        <v>8</v>
      </c>
      <c r="B923" s="1" t="str">
        <f>"000119601 - RICH TOPPING-COSTA VIDA"</f>
        <v>000119601 - RICH TOPPING-COSTA VIDA</v>
      </c>
      <c r="C923" t="s">
        <v>881</v>
      </c>
      <c r="D923" s="1" t="str">
        <f t="shared" ref="D923:D935" si="26">"PRG-1014109"</f>
        <v>PRG-1014109</v>
      </c>
      <c r="E923" t="s">
        <v>882</v>
      </c>
      <c r="F923" t="s">
        <v>4</v>
      </c>
      <c r="G923" t="str">
        <f>""</f>
        <v/>
      </c>
    </row>
    <row r="924" spans="1:7" x14ac:dyDescent="0.25">
      <c r="A924" t="s">
        <v>8</v>
      </c>
      <c r="B924" s="1" t="str">
        <f>"000131401 - RICH FOODS-COSTA VIDA"</f>
        <v>000131401 - RICH FOODS-COSTA VIDA</v>
      </c>
      <c r="C924" t="s">
        <v>936</v>
      </c>
      <c r="D924" s="1" t="str">
        <f t="shared" si="26"/>
        <v>PRG-1014109</v>
      </c>
      <c r="E924" t="s">
        <v>882</v>
      </c>
      <c r="F924" t="s">
        <v>4</v>
      </c>
      <c r="G924" t="str">
        <f>""</f>
        <v/>
      </c>
    </row>
    <row r="925" spans="1:7" x14ac:dyDescent="0.25">
      <c r="A925" t="s">
        <v>8</v>
      </c>
      <c r="B925" s="1" t="str">
        <f>"000237086 - RICH TOPPING-COSTA VIDA"</f>
        <v>000237086 - RICH TOPPING-COSTA VIDA</v>
      </c>
      <c r="C925" t="s">
        <v>881</v>
      </c>
      <c r="D925" s="1" t="str">
        <f t="shared" si="26"/>
        <v>PRG-1014109</v>
      </c>
      <c r="E925" t="s">
        <v>882</v>
      </c>
      <c r="F925" t="s">
        <v>4</v>
      </c>
      <c r="G925" t="str">
        <f>""</f>
        <v/>
      </c>
    </row>
    <row r="926" spans="1:7" x14ac:dyDescent="0.25">
      <c r="A926" t="s">
        <v>8</v>
      </c>
      <c r="B926" s="1" t="str">
        <f>"000257223 - RICH FOODS-COSTA VIDA"</f>
        <v>000257223 - RICH FOODS-COSTA VIDA</v>
      </c>
      <c r="C926" t="s">
        <v>936</v>
      </c>
      <c r="D926" s="1" t="str">
        <f t="shared" si="26"/>
        <v>PRG-1014109</v>
      </c>
      <c r="E926" t="s">
        <v>882</v>
      </c>
      <c r="F926" t="s">
        <v>4</v>
      </c>
      <c r="G926" t="str">
        <f>""</f>
        <v/>
      </c>
    </row>
    <row r="927" spans="1:7" x14ac:dyDescent="0.25">
      <c r="A927" t="s">
        <v>8</v>
      </c>
      <c r="B927" s="1" t="str">
        <f>"000283218 - RICH TOPPING-COSTA VIDA"</f>
        <v>000283218 - RICH TOPPING-COSTA VIDA</v>
      </c>
      <c r="C927" t="s">
        <v>881</v>
      </c>
      <c r="D927" s="1" t="str">
        <f t="shared" si="26"/>
        <v>PRG-1014109</v>
      </c>
      <c r="E927" t="s">
        <v>882</v>
      </c>
      <c r="F927" t="s">
        <v>4</v>
      </c>
      <c r="G927" t="str">
        <f>""</f>
        <v/>
      </c>
    </row>
    <row r="928" spans="1:7" x14ac:dyDescent="0.25">
      <c r="A928" t="s">
        <v>8</v>
      </c>
      <c r="B928" s="1" t="str">
        <f>"000293141 - RICH FOODS-COSTA VIDA"</f>
        <v>000293141 - RICH FOODS-COSTA VIDA</v>
      </c>
      <c r="C928" t="s">
        <v>936</v>
      </c>
      <c r="D928" s="1" t="str">
        <f t="shared" si="26"/>
        <v>PRG-1014109</v>
      </c>
      <c r="E928" t="s">
        <v>882</v>
      </c>
      <c r="F928" t="s">
        <v>4</v>
      </c>
      <c r="G928" t="str">
        <f>""</f>
        <v/>
      </c>
    </row>
    <row r="929" spans="1:7" x14ac:dyDescent="0.25">
      <c r="A929" t="s">
        <v>8</v>
      </c>
      <c r="B929" s="1" t="str">
        <f>"000295852 - RICH TOPPING-COSTA VIDA"</f>
        <v>000295852 - RICH TOPPING-COSTA VIDA</v>
      </c>
      <c r="C929" t="s">
        <v>881</v>
      </c>
      <c r="D929" s="1" t="str">
        <f t="shared" si="26"/>
        <v>PRG-1014109</v>
      </c>
      <c r="E929" t="s">
        <v>882</v>
      </c>
      <c r="F929" t="s">
        <v>4</v>
      </c>
      <c r="G929" t="str">
        <f>""</f>
        <v/>
      </c>
    </row>
    <row r="930" spans="1:7" x14ac:dyDescent="0.25">
      <c r="A930" t="s">
        <v>8</v>
      </c>
      <c r="B930" s="1" t="str">
        <f>"000300176 - RICH FOODS-COSTA VIDA"</f>
        <v>000300176 - RICH FOODS-COSTA VIDA</v>
      </c>
      <c r="C930" t="s">
        <v>936</v>
      </c>
      <c r="D930" s="1" t="str">
        <f t="shared" si="26"/>
        <v>PRG-1014109</v>
      </c>
      <c r="E930" t="s">
        <v>882</v>
      </c>
      <c r="F930" t="s">
        <v>4</v>
      </c>
      <c r="G930" t="str">
        <f>""</f>
        <v/>
      </c>
    </row>
    <row r="931" spans="1:7" x14ac:dyDescent="0.25">
      <c r="A931" t="s">
        <v>8</v>
      </c>
      <c r="B931" s="1" t="str">
        <f>"000305881 - RICH FOODS-COSTA VIDA"</f>
        <v>000305881 - RICH FOODS-COSTA VIDA</v>
      </c>
      <c r="C931" t="s">
        <v>936</v>
      </c>
      <c r="D931" s="1" t="str">
        <f t="shared" si="26"/>
        <v>PRG-1014109</v>
      </c>
      <c r="E931" t="s">
        <v>882</v>
      </c>
      <c r="F931" t="s">
        <v>4</v>
      </c>
      <c r="G931" t="str">
        <f>""</f>
        <v/>
      </c>
    </row>
    <row r="932" spans="1:7" x14ac:dyDescent="0.25">
      <c r="A932" t="s">
        <v>8</v>
      </c>
      <c r="B932" s="1" t="str">
        <f>"2000126519 - RICH FOODS-COSTA VIDA"</f>
        <v>2000126519 - RICH FOODS-COSTA VIDA</v>
      </c>
      <c r="C932" t="s">
        <v>936</v>
      </c>
      <c r="D932" s="1" t="str">
        <f t="shared" si="26"/>
        <v>PRG-1014109</v>
      </c>
      <c r="E932" t="s">
        <v>882</v>
      </c>
      <c r="F932" t="s">
        <v>4</v>
      </c>
      <c r="G932" t="str">
        <f>""</f>
        <v/>
      </c>
    </row>
    <row r="933" spans="1:7" x14ac:dyDescent="0.25">
      <c r="A933" t="s">
        <v>8</v>
      </c>
      <c r="B933" s="1" t="str">
        <f>"2000240635 - RICH FOODS-COSTA VIDA"</f>
        <v>2000240635 - RICH FOODS-COSTA VIDA</v>
      </c>
      <c r="C933" t="s">
        <v>936</v>
      </c>
      <c r="D933" s="1" t="str">
        <f t="shared" si="26"/>
        <v>PRG-1014109</v>
      </c>
      <c r="E933" t="s">
        <v>882</v>
      </c>
      <c r="F933" t="s">
        <v>4</v>
      </c>
      <c r="G933" t="str">
        <f>""</f>
        <v/>
      </c>
    </row>
    <row r="934" spans="1:7" x14ac:dyDescent="0.25">
      <c r="A934" t="s">
        <v>8</v>
      </c>
      <c r="B934" s="1" t="str">
        <f>"2000329804 - RICH FOODS-COSTA VIDA"</f>
        <v>2000329804 - RICH FOODS-COSTA VIDA</v>
      </c>
      <c r="C934" t="s">
        <v>936</v>
      </c>
      <c r="D934" s="1" t="str">
        <f t="shared" si="26"/>
        <v>PRG-1014109</v>
      </c>
      <c r="E934" t="s">
        <v>882</v>
      </c>
      <c r="F934" t="s">
        <v>4</v>
      </c>
      <c r="G934" t="str">
        <f>""</f>
        <v/>
      </c>
    </row>
    <row r="935" spans="1:7" x14ac:dyDescent="0.25">
      <c r="A935" t="s">
        <v>8</v>
      </c>
      <c r="B935" s="1" t="str">
        <f>"2000434923 - RICH FOODS-COSTA VIDA"</f>
        <v>2000434923 - RICH FOODS-COSTA VIDA</v>
      </c>
      <c r="C935" t="s">
        <v>936</v>
      </c>
      <c r="D935" s="1" t="str">
        <f t="shared" si="26"/>
        <v>PRG-1014109</v>
      </c>
      <c r="E935" t="s">
        <v>882</v>
      </c>
      <c r="F935" t="s">
        <v>4</v>
      </c>
      <c r="G935" t="str">
        <f>""</f>
        <v/>
      </c>
    </row>
    <row r="936" spans="1:7" x14ac:dyDescent="0.25">
      <c r="A936" t="s">
        <v>8</v>
      </c>
      <c r="B936" s="1" t="str">
        <f>"000225154 - Rich's Garden Fresh Sprtd"</f>
        <v>000225154 - Rich's Garden Fresh Sprtd</v>
      </c>
      <c r="C936" t="s">
        <v>1671</v>
      </c>
      <c r="D936" s="1" t="str">
        <f>"PRG-1014155"</f>
        <v>PRG-1014155</v>
      </c>
      <c r="E936" t="s">
        <v>1672</v>
      </c>
      <c r="F936" t="s">
        <v>4</v>
      </c>
      <c r="G936" t="str">
        <f>""</f>
        <v/>
      </c>
    </row>
    <row r="937" spans="1:7" x14ac:dyDescent="0.25">
      <c r="A937" t="s">
        <v>8</v>
      </c>
      <c r="B937" s="1" t="str">
        <f>"000289395 - RICH'S GARDEN FRESH BB"</f>
        <v>000289395 - RICH'S GARDEN FRESH BB</v>
      </c>
      <c r="C937" t="s">
        <v>2794</v>
      </c>
      <c r="D937" s="1" t="str">
        <f>"PRG-1014155"</f>
        <v>PRG-1014155</v>
      </c>
      <c r="E937" t="s">
        <v>1672</v>
      </c>
      <c r="F937" t="s">
        <v>4</v>
      </c>
      <c r="G937" t="str">
        <f>""</f>
        <v/>
      </c>
    </row>
    <row r="938" spans="1:7" x14ac:dyDescent="0.25">
      <c r="A938" t="s">
        <v>8</v>
      </c>
      <c r="B938" s="1" t="str">
        <f>"3170G016"</f>
        <v>3170G016</v>
      </c>
      <c r="C938" t="s">
        <v>4728</v>
      </c>
      <c r="D938" s="1" t="str">
        <f>"PRG-1014180"</f>
        <v>PRG-1014180</v>
      </c>
      <c r="E938" t="s">
        <v>4729</v>
      </c>
      <c r="F938" t="s">
        <v>5</v>
      </c>
      <c r="G938" t="str">
        <f>""</f>
        <v/>
      </c>
    </row>
    <row r="939" spans="1:7" x14ac:dyDescent="0.25">
      <c r="A939" t="s">
        <v>8</v>
      </c>
      <c r="B939" s="1" t="str">
        <f>"000283964 - RICHS FOODS  SPLASHTOWN"</f>
        <v>000283964 - RICHS FOODS  SPLASHTOWN</v>
      </c>
      <c r="C939" t="s">
        <v>2698</v>
      </c>
      <c r="D939" s="1" t="str">
        <f>"PRG-1014183"</f>
        <v>PRG-1014183</v>
      </c>
      <c r="E939" t="s">
        <v>2699</v>
      </c>
      <c r="F939" t="s">
        <v>4</v>
      </c>
      <c r="G939" t="str">
        <f>""</f>
        <v/>
      </c>
    </row>
    <row r="940" spans="1:7" x14ac:dyDescent="0.25">
      <c r="A940" t="s">
        <v>8</v>
      </c>
      <c r="B940" s="1" t="str">
        <f>"000217238 - RICH'S-SPARTAN CNTL KITCHEN"</f>
        <v>000217238 - RICH'S-SPARTAN CNTL KITCHEN</v>
      </c>
      <c r="C940" t="s">
        <v>1550</v>
      </c>
      <c r="D940" s="1" t="str">
        <f>"PRG-1014193"</f>
        <v>PRG-1014193</v>
      </c>
      <c r="E940" t="s">
        <v>1551</v>
      </c>
      <c r="F940" t="s">
        <v>4</v>
      </c>
      <c r="G940" t="str">
        <f>""</f>
        <v/>
      </c>
    </row>
    <row r="941" spans="1:7" x14ac:dyDescent="0.25">
      <c r="A941" t="s">
        <v>8</v>
      </c>
      <c r="B941" s="1" t="str">
        <f>"2260B173"</f>
        <v>2260B173</v>
      </c>
      <c r="C941" t="s">
        <v>4450</v>
      </c>
      <c r="D941" s="1" t="str">
        <f>"PRG-1014217"</f>
        <v>PRG-1014217</v>
      </c>
      <c r="E941" t="s">
        <v>4451</v>
      </c>
      <c r="F941" t="s">
        <v>5</v>
      </c>
      <c r="G941" t="str">
        <f>""</f>
        <v/>
      </c>
    </row>
    <row r="942" spans="1:7" x14ac:dyDescent="0.25">
      <c r="A942" t="s">
        <v>8</v>
      </c>
      <c r="B942" s="1" t="str">
        <f>"2000394824 - "</f>
        <v xml:space="preserve">2000394824 - </v>
      </c>
      <c r="D942" s="1" t="str">
        <f>"PRG-1014226"</f>
        <v>PRG-1014226</v>
      </c>
      <c r="E942" t="s">
        <v>4068</v>
      </c>
      <c r="F942" t="s">
        <v>4</v>
      </c>
      <c r="G942" t="str">
        <f>""</f>
        <v/>
      </c>
    </row>
    <row r="943" spans="1:7" x14ac:dyDescent="0.25">
      <c r="A943" t="s">
        <v>8</v>
      </c>
      <c r="B943" s="1" t="str">
        <f>"000215505 - HUBERS  RICH'S"</f>
        <v>000215505 - HUBERS  RICH'S</v>
      </c>
      <c r="C943" t="s">
        <v>1521</v>
      </c>
      <c r="D943" s="1" t="str">
        <f>"PRG-1014249"</f>
        <v>PRG-1014249</v>
      </c>
      <c r="E943" t="s">
        <v>1522</v>
      </c>
      <c r="F943" t="s">
        <v>4</v>
      </c>
      <c r="G943" t="str">
        <f>""</f>
        <v/>
      </c>
    </row>
    <row r="944" spans="1:7" x14ac:dyDescent="0.25">
      <c r="A944" t="s">
        <v>8</v>
      </c>
      <c r="B944" s="1" t="str">
        <f>"000192159 - RICH PRODUCTS PJ WHELIHANS"</f>
        <v>000192159 - RICH PRODUCTS PJ WHELIHANS</v>
      </c>
      <c r="C944" t="s">
        <v>1221</v>
      </c>
      <c r="D944" s="1" t="str">
        <f>"PRG-1014269"</f>
        <v>PRG-1014269</v>
      </c>
      <c r="E944" t="s">
        <v>1222</v>
      </c>
      <c r="F944" t="s">
        <v>4</v>
      </c>
      <c r="G944" t="str">
        <f>""</f>
        <v/>
      </c>
    </row>
    <row r="945" spans="1:7" x14ac:dyDescent="0.25">
      <c r="A945" t="s">
        <v>8</v>
      </c>
      <c r="B945" s="1" t="str">
        <f>"000219741 - RICH PRODUCTS PJ WHELIHANS"</f>
        <v>000219741 - RICH PRODUCTS PJ WHELIHANS</v>
      </c>
      <c r="C945" t="s">
        <v>1221</v>
      </c>
      <c r="D945" s="1" t="str">
        <f>"PRG-1014269"</f>
        <v>PRG-1014269</v>
      </c>
      <c r="E945" t="s">
        <v>1222</v>
      </c>
      <c r="F945" t="s">
        <v>4</v>
      </c>
      <c r="G945" t="str">
        <f>""</f>
        <v/>
      </c>
    </row>
    <row r="946" spans="1:7" x14ac:dyDescent="0.25">
      <c r="A946" t="s">
        <v>8</v>
      </c>
      <c r="B946" s="1" t="str">
        <f>"000244488 - RICH WHELIHAN"</f>
        <v>000244488 - RICH WHELIHAN</v>
      </c>
      <c r="C946" t="s">
        <v>1976</v>
      </c>
      <c r="D946" s="1" t="str">
        <f>"PRG-1014269"</f>
        <v>PRG-1014269</v>
      </c>
      <c r="E946" t="s">
        <v>1222</v>
      </c>
      <c r="F946" t="s">
        <v>4</v>
      </c>
      <c r="G946" t="str">
        <f>""</f>
        <v/>
      </c>
    </row>
    <row r="947" spans="1:7" x14ac:dyDescent="0.25">
      <c r="A947" t="s">
        <v>8</v>
      </c>
      <c r="B947" s="1" t="str">
        <f>"000272584 - RICH WHELIHAN"</f>
        <v>000272584 - RICH WHELIHAN</v>
      </c>
      <c r="C947" t="s">
        <v>1976</v>
      </c>
      <c r="D947" s="1" t="str">
        <f>"PRG-1014269"</f>
        <v>PRG-1014269</v>
      </c>
      <c r="E947" t="s">
        <v>1222</v>
      </c>
      <c r="F947" t="s">
        <v>4</v>
      </c>
      <c r="G947" t="str">
        <f>""</f>
        <v/>
      </c>
    </row>
    <row r="948" spans="1:7" x14ac:dyDescent="0.25">
      <c r="A948" t="s">
        <v>8</v>
      </c>
      <c r="B948" s="1" t="str">
        <f>"21162435"</f>
        <v>21162435</v>
      </c>
      <c r="C948" t="s">
        <v>4134</v>
      </c>
      <c r="D948" s="1" t="str">
        <f>"PRG-1014272"</f>
        <v>PRG-1014272</v>
      </c>
      <c r="E948" t="s">
        <v>4135</v>
      </c>
      <c r="F948" t="s">
        <v>5</v>
      </c>
      <c r="G948" t="str">
        <f>""</f>
        <v/>
      </c>
    </row>
    <row r="949" spans="1:7" x14ac:dyDescent="0.25">
      <c r="A949" t="s">
        <v>8</v>
      </c>
      <c r="B949" s="1" t="str">
        <f>"000244578 - RICH'S NEWCOMB-FIVE STAR"</f>
        <v>000244578 - RICH'S NEWCOMB-FIVE STAR</v>
      </c>
      <c r="C949" t="s">
        <v>1980</v>
      </c>
      <c r="D949" s="1" t="str">
        <f>"PRG-1014280"</f>
        <v>PRG-1014280</v>
      </c>
      <c r="E949" t="s">
        <v>1981</v>
      </c>
      <c r="F949" t="s">
        <v>4</v>
      </c>
      <c r="G949" t="str">
        <f>""</f>
        <v/>
      </c>
    </row>
    <row r="950" spans="1:7" x14ac:dyDescent="0.25">
      <c r="A950" t="s">
        <v>8</v>
      </c>
      <c r="B950" s="1" t="str">
        <f>"000273033 - LETS DISH RICHS"</f>
        <v>000273033 - LETS DISH RICHS</v>
      </c>
      <c r="C950" t="s">
        <v>2514</v>
      </c>
      <c r="D950" s="1" t="str">
        <f t="shared" ref="D950:D955" si="27">"PRG-1014289"</f>
        <v>PRG-1014289</v>
      </c>
      <c r="E950" t="s">
        <v>2515</v>
      </c>
      <c r="F950" t="s">
        <v>4</v>
      </c>
      <c r="G950" t="str">
        <f>""</f>
        <v/>
      </c>
    </row>
    <row r="951" spans="1:7" x14ac:dyDescent="0.25">
      <c r="A951" t="s">
        <v>8</v>
      </c>
      <c r="B951" s="1" t="str">
        <f>"000295246 - LETS DISH RICHS"</f>
        <v>000295246 - LETS DISH RICHS</v>
      </c>
      <c r="C951" t="s">
        <v>2514</v>
      </c>
      <c r="D951" s="1" t="str">
        <f t="shared" si="27"/>
        <v>PRG-1014289</v>
      </c>
      <c r="E951" t="s">
        <v>2515</v>
      </c>
      <c r="F951" t="s">
        <v>4</v>
      </c>
      <c r="G951" t="str">
        <f>""</f>
        <v/>
      </c>
    </row>
    <row r="952" spans="1:7" x14ac:dyDescent="0.25">
      <c r="A952" t="s">
        <v>8</v>
      </c>
      <c r="B952" s="1" t="str">
        <f>"000303749 - RICH PRODUCTS LETS DISH"</f>
        <v>000303749 - RICH PRODUCTS LETS DISH</v>
      </c>
      <c r="C952" t="s">
        <v>3011</v>
      </c>
      <c r="D952" s="1" t="str">
        <f t="shared" si="27"/>
        <v>PRG-1014289</v>
      </c>
      <c r="E952" t="s">
        <v>2515</v>
      </c>
      <c r="F952" t="s">
        <v>4</v>
      </c>
      <c r="G952" t="str">
        <f>""</f>
        <v/>
      </c>
    </row>
    <row r="953" spans="1:7" x14ac:dyDescent="0.25">
      <c r="A953" t="s">
        <v>8</v>
      </c>
      <c r="B953" s="1" t="str">
        <f>"000322486 - RICH PRODUCTS LETS DISH"</f>
        <v>000322486 - RICH PRODUCTS LETS DISH</v>
      </c>
      <c r="C953" t="s">
        <v>3011</v>
      </c>
      <c r="D953" s="1" t="str">
        <f t="shared" si="27"/>
        <v>PRG-1014289</v>
      </c>
      <c r="E953" t="s">
        <v>2515</v>
      </c>
      <c r="F953" t="s">
        <v>4</v>
      </c>
      <c r="G953" t="str">
        <f>""</f>
        <v/>
      </c>
    </row>
    <row r="954" spans="1:7" x14ac:dyDescent="0.25">
      <c r="A954" t="s">
        <v>8</v>
      </c>
      <c r="B954" s="1" t="str">
        <f>"000347882 - RICH PRODUCTS LETS DISH"</f>
        <v>000347882 - RICH PRODUCTS LETS DISH</v>
      </c>
      <c r="C954" t="s">
        <v>3011</v>
      </c>
      <c r="D954" s="1" t="str">
        <f t="shared" si="27"/>
        <v>PRG-1014289</v>
      </c>
      <c r="E954" t="s">
        <v>2515</v>
      </c>
      <c r="F954" t="s">
        <v>4</v>
      </c>
      <c r="G954" t="str">
        <f>""</f>
        <v/>
      </c>
    </row>
    <row r="955" spans="1:7" x14ac:dyDescent="0.25">
      <c r="A955" t="s">
        <v>8</v>
      </c>
      <c r="B955" s="1" t="str">
        <f>"000369491 - RICH FOODS NON RETAIL-COLDSTNE"</f>
        <v>000369491 - RICH FOODS NON RETAIL-COLDSTNE</v>
      </c>
      <c r="C955" t="s">
        <v>903</v>
      </c>
      <c r="D955" s="1" t="str">
        <f t="shared" si="27"/>
        <v>PRG-1014289</v>
      </c>
      <c r="E955" t="s">
        <v>2515</v>
      </c>
      <c r="F955" t="s">
        <v>4</v>
      </c>
      <c r="G955" t="str">
        <f>""</f>
        <v/>
      </c>
    </row>
    <row r="956" spans="1:7" x14ac:dyDescent="0.25">
      <c r="A956" t="s">
        <v>8</v>
      </c>
      <c r="B956" s="1" t="str">
        <f>"000205876 - RICH U OF I HOSPITAL"</f>
        <v>000205876 - RICH U OF I HOSPITAL</v>
      </c>
      <c r="C956" t="s">
        <v>1363</v>
      </c>
      <c r="D956" s="1" t="str">
        <f>"PRG-1014291"</f>
        <v>PRG-1014291</v>
      </c>
      <c r="E956" t="s">
        <v>1364</v>
      </c>
      <c r="F956" t="s">
        <v>4</v>
      </c>
      <c r="G956" t="str">
        <f>""</f>
        <v/>
      </c>
    </row>
    <row r="957" spans="1:7" x14ac:dyDescent="0.25">
      <c r="A957" t="s">
        <v>8</v>
      </c>
      <c r="B957" s="1" t="str">
        <f>"000221168 - RICH SEACRETS"</f>
        <v>000221168 - RICH SEACRETS</v>
      </c>
      <c r="C957" t="s">
        <v>1600</v>
      </c>
      <c r="D957" s="1" t="str">
        <f>"PRG-1014294"</f>
        <v>PRG-1014294</v>
      </c>
      <c r="E957" t="s">
        <v>1601</v>
      </c>
      <c r="F957" t="s">
        <v>4</v>
      </c>
      <c r="G957" t="str">
        <f>""</f>
        <v/>
      </c>
    </row>
    <row r="958" spans="1:7" x14ac:dyDescent="0.25">
      <c r="A958" t="s">
        <v>8</v>
      </c>
      <c r="B958" s="1" t="str">
        <f>"000175197 - THE HENRY FORD RICH PRODUCTS"</f>
        <v>000175197 - THE HENRY FORD RICH PRODUCTS</v>
      </c>
      <c r="C958" t="s">
        <v>1115</v>
      </c>
      <c r="D958" s="1" t="str">
        <f>"PRG-1014296"</f>
        <v>PRG-1014296</v>
      </c>
      <c r="E958" t="s">
        <v>1116</v>
      </c>
      <c r="F958" t="s">
        <v>4</v>
      </c>
      <c r="G958" t="str">
        <f>""</f>
        <v/>
      </c>
    </row>
    <row r="959" spans="1:7" x14ac:dyDescent="0.25">
      <c r="A959" t="s">
        <v>8</v>
      </c>
      <c r="B959" s="1" t="str">
        <f>"1104A132"</f>
        <v>1104A132</v>
      </c>
      <c r="C959" t="s">
        <v>3803</v>
      </c>
      <c r="D959" s="1" t="str">
        <f>"PRG-1014367"</f>
        <v>PRG-1014367</v>
      </c>
      <c r="E959" t="s">
        <v>3804</v>
      </c>
      <c r="F959" t="s">
        <v>5</v>
      </c>
      <c r="G959" t="str">
        <f>""</f>
        <v/>
      </c>
    </row>
    <row r="960" spans="1:7" x14ac:dyDescent="0.25">
      <c r="A960" t="s">
        <v>8</v>
      </c>
      <c r="B960" s="1" t="str">
        <f>"6026SU18"</f>
        <v>6026SU18</v>
      </c>
      <c r="C960" t="s">
        <v>5156</v>
      </c>
      <c r="D960" s="1" t="str">
        <f>"PRG-1014369"</f>
        <v>PRG-1014369</v>
      </c>
      <c r="E960" t="s">
        <v>5157</v>
      </c>
      <c r="F960" t="s">
        <v>5</v>
      </c>
      <c r="G960" t="str">
        <f>""</f>
        <v/>
      </c>
    </row>
    <row r="961" spans="1:7" x14ac:dyDescent="0.25">
      <c r="A961" t="s">
        <v>8</v>
      </c>
      <c r="B961" s="1" t="str">
        <f>"11033883"</f>
        <v>11033883</v>
      </c>
      <c r="C961" t="s">
        <v>3798</v>
      </c>
      <c r="D961" s="1" t="str">
        <f>"PRG-1014373"</f>
        <v>PRG-1014373</v>
      </c>
      <c r="E961" t="s">
        <v>3799</v>
      </c>
      <c r="F961" t="s">
        <v>5</v>
      </c>
      <c r="G961" t="str">
        <f>""</f>
        <v/>
      </c>
    </row>
    <row r="962" spans="1:7" x14ac:dyDescent="0.25">
      <c r="A962" t="s">
        <v>8</v>
      </c>
      <c r="B962" s="1" t="str">
        <f>"000217718 - RICH'S COLUMBIA STEAK HOUSE"</f>
        <v>000217718 - RICH'S COLUMBIA STEAK HOUSE</v>
      </c>
      <c r="C962" t="s">
        <v>1555</v>
      </c>
      <c r="D962" s="1" t="str">
        <f>"PRG-1014374"</f>
        <v>PRG-1014374</v>
      </c>
      <c r="E962" t="s">
        <v>1556</v>
      </c>
      <c r="F962" t="s">
        <v>4</v>
      </c>
      <c r="G962" t="str">
        <f>""</f>
        <v/>
      </c>
    </row>
    <row r="963" spans="1:7" x14ac:dyDescent="0.25">
      <c r="A963" t="s">
        <v>8</v>
      </c>
      <c r="B963" s="1" t="str">
        <f>"11038291"</f>
        <v>11038291</v>
      </c>
      <c r="C963" t="s">
        <v>3800</v>
      </c>
      <c r="D963" s="1" t="str">
        <f>"PRG-1014374"</f>
        <v>PRG-1014374</v>
      </c>
      <c r="E963" t="s">
        <v>1556</v>
      </c>
      <c r="F963" t="s">
        <v>5</v>
      </c>
      <c r="G963" t="str">
        <f>""</f>
        <v/>
      </c>
    </row>
    <row r="964" spans="1:7" x14ac:dyDescent="0.25">
      <c r="A964" t="s">
        <v>8</v>
      </c>
      <c r="B964" s="1" t="str">
        <f>"000225710 - RICH'S SU"</f>
        <v>000225710 - RICH'S SU</v>
      </c>
      <c r="C964" t="s">
        <v>1675</v>
      </c>
      <c r="D964" s="1" t="str">
        <f>"PRG-1014393"</f>
        <v>PRG-1014393</v>
      </c>
      <c r="E964" t="s">
        <v>1676</v>
      </c>
      <c r="F964" t="s">
        <v>4</v>
      </c>
      <c r="G964" t="str">
        <f>""</f>
        <v/>
      </c>
    </row>
    <row r="965" spans="1:7" x14ac:dyDescent="0.25">
      <c r="A965" t="s">
        <v>8</v>
      </c>
      <c r="B965" s="1" t="str">
        <f>"23304070"</f>
        <v>23304070</v>
      </c>
      <c r="C965" t="s">
        <v>4486</v>
      </c>
      <c r="D965" s="1" t="str">
        <f>"PRG-1014417"</f>
        <v>PRG-1014417</v>
      </c>
      <c r="E965" t="s">
        <v>4487</v>
      </c>
      <c r="F965" t="s">
        <v>5</v>
      </c>
      <c r="G965" t="str">
        <f>""</f>
        <v/>
      </c>
    </row>
    <row r="966" spans="1:7" x14ac:dyDescent="0.25">
      <c r="A966" t="s">
        <v>8</v>
      </c>
      <c r="B966" s="1" t="str">
        <f>"23304170"</f>
        <v>23304170</v>
      </c>
      <c r="C966" t="s">
        <v>4488</v>
      </c>
      <c r="D966" s="1" t="str">
        <f>"PRG-1014417"</f>
        <v>PRG-1014417</v>
      </c>
      <c r="E966" t="s">
        <v>4487</v>
      </c>
      <c r="F966" t="s">
        <v>5</v>
      </c>
      <c r="G966" t="str">
        <f>""</f>
        <v/>
      </c>
    </row>
    <row r="967" spans="1:7" x14ac:dyDescent="0.25">
      <c r="A967" t="s">
        <v>8</v>
      </c>
      <c r="B967" s="1" t="str">
        <f>"32205366"</f>
        <v>32205366</v>
      </c>
      <c r="C967" t="s">
        <v>4486</v>
      </c>
      <c r="D967" s="1" t="str">
        <f>"PRG-1014417"</f>
        <v>PRG-1014417</v>
      </c>
      <c r="E967" t="s">
        <v>4487</v>
      </c>
      <c r="F967" t="s">
        <v>5</v>
      </c>
      <c r="G967" t="str">
        <f>""</f>
        <v/>
      </c>
    </row>
    <row r="968" spans="1:7" x14ac:dyDescent="0.25">
      <c r="A968" t="s">
        <v>8</v>
      </c>
      <c r="B968" s="1" t="str">
        <f>"000296517 - RICH'S CORNER CAFE"</f>
        <v>000296517 - RICH'S CORNER CAFE</v>
      </c>
      <c r="C968" t="s">
        <v>2913</v>
      </c>
      <c r="D968" s="1" t="str">
        <f>"PRG-1014448"</f>
        <v>PRG-1014448</v>
      </c>
      <c r="E968" t="s">
        <v>2914</v>
      </c>
      <c r="F968" t="s">
        <v>4</v>
      </c>
      <c r="G968" t="str">
        <f>""</f>
        <v/>
      </c>
    </row>
    <row r="969" spans="1:7" x14ac:dyDescent="0.25">
      <c r="A969" t="s">
        <v>8</v>
      </c>
      <c r="B969" s="1" t="str">
        <f>"2000152063 - RICH PRODUCTS CINZZETTI'S"</f>
        <v>2000152063 - RICH PRODUCTS CINZZETTI'S</v>
      </c>
      <c r="C969" t="s">
        <v>3868</v>
      </c>
      <c r="D969" s="1" t="str">
        <f>"PRG-1014471"</f>
        <v>PRG-1014471</v>
      </c>
      <c r="E969" t="s">
        <v>3635</v>
      </c>
      <c r="F969" t="s">
        <v>4</v>
      </c>
      <c r="G969" t="str">
        <f>""</f>
        <v/>
      </c>
    </row>
    <row r="970" spans="1:7" x14ac:dyDescent="0.25">
      <c r="A970" t="s">
        <v>8</v>
      </c>
      <c r="B970" s="1" t="str">
        <f>"2000220901 - RICH'S DEN-CINZETTI'S"</f>
        <v>2000220901 - RICH'S DEN-CINZETTI'S</v>
      </c>
      <c r="C970" t="s">
        <v>3963</v>
      </c>
      <c r="D970" s="1" t="str">
        <f>"PRG-1014471"</f>
        <v>PRG-1014471</v>
      </c>
      <c r="E970" t="s">
        <v>3635</v>
      </c>
      <c r="F970" t="s">
        <v>4</v>
      </c>
      <c r="G970" t="str">
        <f>""</f>
        <v/>
      </c>
    </row>
    <row r="971" spans="1:7" x14ac:dyDescent="0.25">
      <c r="A971" t="s">
        <v>8</v>
      </c>
      <c r="B971" s="1" t="str">
        <f>"22405841"</f>
        <v>22405841</v>
      </c>
      <c r="C971" t="s">
        <v>4314</v>
      </c>
      <c r="D971" s="1" t="str">
        <f>"PRG-1014489"</f>
        <v>PRG-1014489</v>
      </c>
      <c r="E971" t="s">
        <v>4314</v>
      </c>
      <c r="F971" t="s">
        <v>5</v>
      </c>
      <c r="G971" t="str">
        <f>""</f>
        <v/>
      </c>
    </row>
    <row r="972" spans="1:7" x14ac:dyDescent="0.25">
      <c r="A972" t="s">
        <v>8</v>
      </c>
      <c r="B972" s="1" t="str">
        <f>"2230C211"</f>
        <v>2230C211</v>
      </c>
      <c r="C972" t="s">
        <v>4309</v>
      </c>
      <c r="D972" s="1" t="str">
        <f>"PRG-1014609"</f>
        <v>PRG-1014609</v>
      </c>
      <c r="E972" t="s">
        <v>4310</v>
      </c>
      <c r="F972" t="s">
        <v>5</v>
      </c>
      <c r="G972" t="str">
        <f>""</f>
        <v/>
      </c>
    </row>
    <row r="973" spans="1:7" x14ac:dyDescent="0.25">
      <c r="A973" t="s">
        <v>8</v>
      </c>
      <c r="B973" s="1" t="str">
        <f>"000098485 - rich(brwn&amp;top)sonny's"</f>
        <v>000098485 - rich(brwn&amp;top)sonny's</v>
      </c>
      <c r="C973" t="s">
        <v>792</v>
      </c>
      <c r="D973" s="1" t="str">
        <f t="shared" ref="D973:D1006" si="28">"PRG-1014655"</f>
        <v>PRG-1014655</v>
      </c>
      <c r="E973" t="s">
        <v>793</v>
      </c>
      <c r="F973" t="s">
        <v>4</v>
      </c>
      <c r="G973" t="str">
        <f>""</f>
        <v/>
      </c>
    </row>
    <row r="974" spans="1:7" x14ac:dyDescent="0.25">
      <c r="A974" t="s">
        <v>8</v>
      </c>
      <c r="B974" s="1" t="str">
        <f>"000123325 - RICH'S SONNY'S"</f>
        <v>000123325 - RICH'S SONNY'S</v>
      </c>
      <c r="C974" t="s">
        <v>905</v>
      </c>
      <c r="D974" s="1" t="str">
        <f t="shared" si="28"/>
        <v>PRG-1014655</v>
      </c>
      <c r="E974" t="s">
        <v>793</v>
      </c>
      <c r="F974" t="s">
        <v>4</v>
      </c>
      <c r="G974" t="str">
        <f>""</f>
        <v/>
      </c>
    </row>
    <row r="975" spans="1:7" x14ac:dyDescent="0.25">
      <c r="A975" t="s">
        <v>8</v>
      </c>
      <c r="B975" s="1" t="str">
        <f>"000132104 - RICH'S SONNY'S"</f>
        <v>000132104 - RICH'S SONNY'S</v>
      </c>
      <c r="C975" t="s">
        <v>905</v>
      </c>
      <c r="D975" s="1" t="str">
        <f t="shared" si="28"/>
        <v>PRG-1014655</v>
      </c>
      <c r="E975" t="s">
        <v>793</v>
      </c>
      <c r="F975" t="s">
        <v>4</v>
      </c>
      <c r="G975" t="str">
        <f>""</f>
        <v/>
      </c>
    </row>
    <row r="976" spans="1:7" x14ac:dyDescent="0.25">
      <c r="A976" t="s">
        <v>8</v>
      </c>
      <c r="B976" s="1" t="str">
        <f>"000140015 - RICH FDS NCORE BB-SONNYS BBQ"</f>
        <v>000140015 - RICH FDS NCORE BB-SONNYS BBQ</v>
      </c>
      <c r="C976" t="s">
        <v>978</v>
      </c>
      <c r="D976" s="1" t="str">
        <f t="shared" si="28"/>
        <v>PRG-1014655</v>
      </c>
      <c r="E976" t="s">
        <v>793</v>
      </c>
      <c r="F976" t="s">
        <v>4</v>
      </c>
      <c r="G976" t="str">
        <f>""</f>
        <v/>
      </c>
    </row>
    <row r="977" spans="1:7" x14ac:dyDescent="0.25">
      <c r="A977" t="s">
        <v>8</v>
      </c>
      <c r="B977" s="1" t="str">
        <f>"000148691 - RICH FOODS NC BB-SONNYS"</f>
        <v>000148691 - RICH FOODS NC BB-SONNYS</v>
      </c>
      <c r="C977" t="s">
        <v>1004</v>
      </c>
      <c r="D977" s="1" t="str">
        <f t="shared" si="28"/>
        <v>PRG-1014655</v>
      </c>
      <c r="E977" t="s">
        <v>793</v>
      </c>
      <c r="F977" t="s">
        <v>4</v>
      </c>
      <c r="G977" t="str">
        <f>""</f>
        <v/>
      </c>
    </row>
    <row r="978" spans="1:7" x14ac:dyDescent="0.25">
      <c r="A978" t="s">
        <v>8</v>
      </c>
      <c r="B978" s="1" t="str">
        <f>"000151418 - RICH NC BB-SONNYS"</f>
        <v>000151418 - RICH NC BB-SONNYS</v>
      </c>
      <c r="C978" t="s">
        <v>1016</v>
      </c>
      <c r="D978" s="1" t="str">
        <f t="shared" si="28"/>
        <v>PRG-1014655</v>
      </c>
      <c r="E978" t="s">
        <v>793</v>
      </c>
      <c r="F978" t="s">
        <v>4</v>
      </c>
      <c r="G978" t="str">
        <f>""</f>
        <v/>
      </c>
    </row>
    <row r="979" spans="1:7" x14ac:dyDescent="0.25">
      <c r="A979" t="s">
        <v>8</v>
      </c>
      <c r="B979" s="1" t="str">
        <f>"000151419 - RICH FOODS C BB-SONNYS BBQ"</f>
        <v>000151419 - RICH FOODS C BB-SONNYS BBQ</v>
      </c>
      <c r="C979" t="s">
        <v>1017</v>
      </c>
      <c r="D979" s="1" t="str">
        <f t="shared" si="28"/>
        <v>PRG-1014655</v>
      </c>
      <c r="E979" t="s">
        <v>793</v>
      </c>
      <c r="F979" t="s">
        <v>4</v>
      </c>
      <c r="G979" t="str">
        <f>""</f>
        <v/>
      </c>
    </row>
    <row r="980" spans="1:7" x14ac:dyDescent="0.25">
      <c r="A980" t="s">
        <v>8</v>
      </c>
      <c r="B980" s="1" t="str">
        <f>"000151743 - RICH FOODS NC BB-SONNYS REVISE"</f>
        <v>000151743 - RICH FOODS NC BB-SONNYS REVISE</v>
      </c>
      <c r="C980" t="s">
        <v>1018</v>
      </c>
      <c r="D980" s="1" t="str">
        <f t="shared" si="28"/>
        <v>PRG-1014655</v>
      </c>
      <c r="E980" t="s">
        <v>793</v>
      </c>
      <c r="F980" t="s">
        <v>4</v>
      </c>
      <c r="G980" t="str">
        <f>""</f>
        <v/>
      </c>
    </row>
    <row r="981" spans="1:7" x14ac:dyDescent="0.25">
      <c r="A981" t="s">
        <v>8</v>
      </c>
      <c r="B981" s="1" t="str">
        <f>"000151746 - RICH FOODS C BB-SONNYS REVISED"</f>
        <v>000151746 - RICH FOODS C BB-SONNYS REVISED</v>
      </c>
      <c r="C981" t="s">
        <v>1019</v>
      </c>
      <c r="D981" s="1" t="str">
        <f t="shared" si="28"/>
        <v>PRG-1014655</v>
      </c>
      <c r="E981" t="s">
        <v>793</v>
      </c>
      <c r="F981" t="s">
        <v>4</v>
      </c>
      <c r="G981" t="str">
        <f>""</f>
        <v/>
      </c>
    </row>
    <row r="982" spans="1:7" x14ac:dyDescent="0.25">
      <c r="A982" t="s">
        <v>8</v>
      </c>
      <c r="B982" s="1" t="str">
        <f>"000154056 - RICH NC BB-SONNYS"</f>
        <v>000154056 - RICH NC BB-SONNYS</v>
      </c>
      <c r="C982" t="s">
        <v>1016</v>
      </c>
      <c r="D982" s="1" t="str">
        <f t="shared" si="28"/>
        <v>PRG-1014655</v>
      </c>
      <c r="E982" t="s">
        <v>793</v>
      </c>
      <c r="F982" t="s">
        <v>4</v>
      </c>
      <c r="G982" t="str">
        <f>""</f>
        <v/>
      </c>
    </row>
    <row r="983" spans="1:7" x14ac:dyDescent="0.25">
      <c r="A983" t="s">
        <v>8</v>
      </c>
      <c r="B983" s="1" t="str">
        <f>"000154057 - RICH FOODS C BB-SONNYS BBQ"</f>
        <v>000154057 - RICH FOODS C BB-SONNYS BBQ</v>
      </c>
      <c r="C983" t="s">
        <v>1017</v>
      </c>
      <c r="D983" s="1" t="str">
        <f t="shared" si="28"/>
        <v>PRG-1014655</v>
      </c>
      <c r="E983" t="s">
        <v>793</v>
      </c>
      <c r="F983" t="s">
        <v>4</v>
      </c>
      <c r="G983" t="str">
        <f>""</f>
        <v/>
      </c>
    </row>
    <row r="984" spans="1:7" x14ac:dyDescent="0.25">
      <c r="A984" t="s">
        <v>8</v>
      </c>
      <c r="B984" s="1" t="str">
        <f>"000154168 - RICH NC BB-SONNYS REVISED"</f>
        <v>000154168 - RICH NC BB-SONNYS REVISED</v>
      </c>
      <c r="C984" t="s">
        <v>1024</v>
      </c>
      <c r="D984" s="1" t="str">
        <f t="shared" si="28"/>
        <v>PRG-1014655</v>
      </c>
      <c r="E984" t="s">
        <v>793</v>
      </c>
      <c r="F984" t="s">
        <v>4</v>
      </c>
      <c r="G984" t="str">
        <f>""</f>
        <v/>
      </c>
    </row>
    <row r="985" spans="1:7" x14ac:dyDescent="0.25">
      <c r="A985" t="s">
        <v>8</v>
      </c>
      <c r="B985" s="1" t="str">
        <f>"000232443 - SONNY'S  RICH'S"</f>
        <v>000232443 - SONNY'S  RICH'S</v>
      </c>
      <c r="C985" t="s">
        <v>1789</v>
      </c>
      <c r="D985" s="1" t="str">
        <f t="shared" si="28"/>
        <v>PRG-1014655</v>
      </c>
      <c r="E985" t="s">
        <v>793</v>
      </c>
      <c r="F985" t="s">
        <v>4</v>
      </c>
      <c r="G985" t="str">
        <f>""</f>
        <v/>
      </c>
    </row>
    <row r="986" spans="1:7" x14ac:dyDescent="0.25">
      <c r="A986" t="s">
        <v>8</v>
      </c>
      <c r="B986" s="1" t="str">
        <f>"000242075 - RICH PRODUCTS CORP-SONNY'S"</f>
        <v>000242075 - RICH PRODUCTS CORP-SONNY'S</v>
      </c>
      <c r="C986" t="s">
        <v>1934</v>
      </c>
      <c r="D986" s="1" t="str">
        <f t="shared" si="28"/>
        <v>PRG-1014655</v>
      </c>
      <c r="E986" t="s">
        <v>793</v>
      </c>
      <c r="F986" t="s">
        <v>4</v>
      </c>
      <c r="G986" t="str">
        <f>""</f>
        <v/>
      </c>
    </row>
    <row r="987" spans="1:7" x14ac:dyDescent="0.25">
      <c r="A987" t="s">
        <v>8</v>
      </c>
      <c r="B987" s="1" t="str">
        <f>"000252263 - RICH FDS NCORE BB-SONNYS BBQ"</f>
        <v>000252263 - RICH FDS NCORE BB-SONNYS BBQ</v>
      </c>
      <c r="C987" t="s">
        <v>978</v>
      </c>
      <c r="D987" s="1" t="str">
        <f t="shared" si="28"/>
        <v>PRG-1014655</v>
      </c>
      <c r="E987" t="s">
        <v>793</v>
      </c>
      <c r="F987" t="s">
        <v>4</v>
      </c>
      <c r="G987" t="str">
        <f>""</f>
        <v/>
      </c>
    </row>
    <row r="988" spans="1:7" x14ac:dyDescent="0.25">
      <c r="A988" t="s">
        <v>8</v>
      </c>
      <c r="B988" s="1" t="str">
        <f>"000262960 - RICH FOODS NC BB-SONNYS"</f>
        <v>000262960 - RICH FOODS NC BB-SONNYS</v>
      </c>
      <c r="C988" t="s">
        <v>1004</v>
      </c>
      <c r="D988" s="1" t="str">
        <f t="shared" si="28"/>
        <v>PRG-1014655</v>
      </c>
      <c r="E988" t="s">
        <v>793</v>
      </c>
      <c r="F988" t="s">
        <v>4</v>
      </c>
      <c r="G988" t="str">
        <f>""</f>
        <v/>
      </c>
    </row>
    <row r="989" spans="1:7" x14ac:dyDescent="0.25">
      <c r="A989" t="s">
        <v>8</v>
      </c>
      <c r="B989" s="1" t="str">
        <f>"000266145 - RICH NC BB-SONNYS"</f>
        <v>000266145 - RICH NC BB-SONNYS</v>
      </c>
      <c r="C989" t="s">
        <v>1016</v>
      </c>
      <c r="D989" s="1" t="str">
        <f t="shared" si="28"/>
        <v>PRG-1014655</v>
      </c>
      <c r="E989" t="s">
        <v>793</v>
      </c>
      <c r="F989" t="s">
        <v>4</v>
      </c>
      <c r="G989" t="str">
        <f>""</f>
        <v/>
      </c>
    </row>
    <row r="990" spans="1:7" x14ac:dyDescent="0.25">
      <c r="A990" t="s">
        <v>8</v>
      </c>
      <c r="B990" s="1" t="str">
        <f>"000269436 - RICH NC BB-SONNYS"</f>
        <v>000269436 - RICH NC BB-SONNYS</v>
      </c>
      <c r="C990" t="s">
        <v>1016</v>
      </c>
      <c r="D990" s="1" t="str">
        <f t="shared" si="28"/>
        <v>PRG-1014655</v>
      </c>
      <c r="E990" t="s">
        <v>793</v>
      </c>
      <c r="F990" t="s">
        <v>4</v>
      </c>
      <c r="G990" t="str">
        <f>""</f>
        <v/>
      </c>
    </row>
    <row r="991" spans="1:7" x14ac:dyDescent="0.25">
      <c r="A991" t="s">
        <v>8</v>
      </c>
      <c r="B991" s="1" t="str">
        <f>"000290189 - RICH'S SONNY'S"</f>
        <v>000290189 - RICH'S SONNY'S</v>
      </c>
      <c r="C991" t="s">
        <v>905</v>
      </c>
      <c r="D991" s="1" t="str">
        <f t="shared" si="28"/>
        <v>PRG-1014655</v>
      </c>
      <c r="E991" t="s">
        <v>793</v>
      </c>
      <c r="F991" t="s">
        <v>4</v>
      </c>
      <c r="G991" t="str">
        <f>""</f>
        <v/>
      </c>
    </row>
    <row r="992" spans="1:7" x14ac:dyDescent="0.25">
      <c r="A992" t="s">
        <v>8</v>
      </c>
      <c r="B992" s="1" t="str">
        <f>"000303461 - RICH'S SONNY'S"</f>
        <v>000303461 - RICH'S SONNY'S</v>
      </c>
      <c r="C992" t="s">
        <v>905</v>
      </c>
      <c r="D992" s="1" t="str">
        <f t="shared" si="28"/>
        <v>PRG-1014655</v>
      </c>
      <c r="E992" t="s">
        <v>793</v>
      </c>
      <c r="F992" t="s">
        <v>4</v>
      </c>
      <c r="G992" t="str">
        <f>""</f>
        <v/>
      </c>
    </row>
    <row r="993" spans="1:7" x14ac:dyDescent="0.25">
      <c r="A993" t="s">
        <v>8</v>
      </c>
      <c r="B993" s="1" t="str">
        <f>"000316886 - RICH FDS NCORE BB-SONNYS BBQ"</f>
        <v>000316886 - RICH FDS NCORE BB-SONNYS BBQ</v>
      </c>
      <c r="C993" t="s">
        <v>978</v>
      </c>
      <c r="D993" s="1" t="str">
        <f t="shared" si="28"/>
        <v>PRG-1014655</v>
      </c>
      <c r="E993" t="s">
        <v>793</v>
      </c>
      <c r="F993" t="s">
        <v>4</v>
      </c>
      <c r="G993" t="str">
        <f>""</f>
        <v/>
      </c>
    </row>
    <row r="994" spans="1:7" x14ac:dyDescent="0.25">
      <c r="A994" t="s">
        <v>8</v>
      </c>
      <c r="B994" s="1" t="str">
        <f>"000322043 - RICH SONNY'S"</f>
        <v>000322043 - RICH SONNY'S</v>
      </c>
      <c r="C994" t="s">
        <v>3254</v>
      </c>
      <c r="D994" s="1" t="str">
        <f t="shared" si="28"/>
        <v>PRG-1014655</v>
      </c>
      <c r="E994" t="s">
        <v>793</v>
      </c>
      <c r="F994" t="s">
        <v>4</v>
      </c>
      <c r="G994" t="str">
        <f>""</f>
        <v/>
      </c>
    </row>
    <row r="995" spans="1:7" x14ac:dyDescent="0.25">
      <c r="A995" t="s">
        <v>8</v>
      </c>
      <c r="B995" s="1" t="str">
        <f>"000327563 - RICH FDS NCORE BB-SONNYS BBQ"</f>
        <v>000327563 - RICH FDS NCORE BB-SONNYS BBQ</v>
      </c>
      <c r="C995" t="s">
        <v>978</v>
      </c>
      <c r="D995" s="1" t="str">
        <f t="shared" si="28"/>
        <v>PRG-1014655</v>
      </c>
      <c r="E995" t="s">
        <v>793</v>
      </c>
      <c r="F995" t="s">
        <v>4</v>
      </c>
      <c r="G995" t="str">
        <f>""</f>
        <v/>
      </c>
    </row>
    <row r="996" spans="1:7" x14ac:dyDescent="0.25">
      <c r="A996" t="s">
        <v>8</v>
      </c>
      <c r="B996" s="1" t="str">
        <f>"000335508 - RICH NC BB-SONNYS"</f>
        <v>000335508 - RICH NC BB-SONNYS</v>
      </c>
      <c r="C996" t="s">
        <v>1016</v>
      </c>
      <c r="D996" s="1" t="str">
        <f t="shared" si="28"/>
        <v>PRG-1014655</v>
      </c>
      <c r="E996" t="s">
        <v>793</v>
      </c>
      <c r="F996" t="s">
        <v>4</v>
      </c>
      <c r="G996" t="str">
        <f>""</f>
        <v/>
      </c>
    </row>
    <row r="997" spans="1:7" x14ac:dyDescent="0.25">
      <c r="A997" t="s">
        <v>8</v>
      </c>
      <c r="B997" s="1" t="str">
        <f>"000335510 - RICH FOODS C BB-SONNYS BBQ"</f>
        <v>000335510 - RICH FOODS C BB-SONNYS BBQ</v>
      </c>
      <c r="C997" t="s">
        <v>1017</v>
      </c>
      <c r="D997" s="1" t="str">
        <f t="shared" si="28"/>
        <v>PRG-1014655</v>
      </c>
      <c r="E997" t="s">
        <v>793</v>
      </c>
      <c r="F997" t="s">
        <v>4</v>
      </c>
      <c r="G997" t="str">
        <f>""</f>
        <v/>
      </c>
    </row>
    <row r="998" spans="1:7" x14ac:dyDescent="0.25">
      <c r="A998" t="s">
        <v>8</v>
      </c>
      <c r="B998" s="1" t="str">
        <f>"000336192 - RICH FOODS NC BB-SONNYS REVISE"</f>
        <v>000336192 - RICH FOODS NC BB-SONNYS REVISE</v>
      </c>
      <c r="C998" t="s">
        <v>1018</v>
      </c>
      <c r="D998" s="1" t="str">
        <f t="shared" si="28"/>
        <v>PRG-1014655</v>
      </c>
      <c r="E998" t="s">
        <v>793</v>
      </c>
      <c r="F998" t="s">
        <v>4</v>
      </c>
      <c r="G998" t="str">
        <f>""</f>
        <v/>
      </c>
    </row>
    <row r="999" spans="1:7" x14ac:dyDescent="0.25">
      <c r="A999" t="s">
        <v>8</v>
      </c>
      <c r="B999" s="1" t="str">
        <f>"000336199 - RICH FOODS C BB-SONNYS REVISED"</f>
        <v>000336199 - RICH FOODS C BB-SONNYS REVISED</v>
      </c>
      <c r="C999" t="s">
        <v>1019</v>
      </c>
      <c r="D999" s="1" t="str">
        <f t="shared" si="28"/>
        <v>PRG-1014655</v>
      </c>
      <c r="E999" t="s">
        <v>793</v>
      </c>
      <c r="F999" t="s">
        <v>4</v>
      </c>
      <c r="G999" t="str">
        <f>""</f>
        <v/>
      </c>
    </row>
    <row r="1000" spans="1:7" x14ac:dyDescent="0.25">
      <c r="A1000" t="s">
        <v>8</v>
      </c>
      <c r="B1000" s="1" t="str">
        <f>"000339840 - RICH NC BB-SONNYS"</f>
        <v>000339840 - RICH NC BB-SONNYS</v>
      </c>
      <c r="C1000" t="s">
        <v>1016</v>
      </c>
      <c r="D1000" s="1" t="str">
        <f t="shared" si="28"/>
        <v>PRG-1014655</v>
      </c>
      <c r="E1000" t="s">
        <v>793</v>
      </c>
      <c r="F1000" t="s">
        <v>4</v>
      </c>
      <c r="G1000" t="str">
        <f>""</f>
        <v/>
      </c>
    </row>
    <row r="1001" spans="1:7" x14ac:dyDescent="0.25">
      <c r="A1001" t="s">
        <v>8</v>
      </c>
      <c r="B1001" s="1" t="str">
        <f>"000339841 - RICH FOODS C BB-SONNYS BBQ"</f>
        <v>000339841 - RICH FOODS C BB-SONNYS BBQ</v>
      </c>
      <c r="C1001" t="s">
        <v>1017</v>
      </c>
      <c r="D1001" s="1" t="str">
        <f t="shared" si="28"/>
        <v>PRG-1014655</v>
      </c>
      <c r="E1001" t="s">
        <v>793</v>
      </c>
      <c r="F1001" t="s">
        <v>4</v>
      </c>
      <c r="G1001" t="str">
        <f>""</f>
        <v/>
      </c>
    </row>
    <row r="1002" spans="1:7" x14ac:dyDescent="0.25">
      <c r="A1002" t="s">
        <v>8</v>
      </c>
      <c r="B1002" s="1" t="str">
        <f>"000341353 - RICH FOODS NC BB-SONNYS"</f>
        <v>000341353 - RICH FOODS NC BB-SONNYS</v>
      </c>
      <c r="C1002" t="s">
        <v>1004</v>
      </c>
      <c r="D1002" s="1" t="str">
        <f t="shared" si="28"/>
        <v>PRG-1014655</v>
      </c>
      <c r="E1002" t="s">
        <v>793</v>
      </c>
      <c r="F1002" t="s">
        <v>4</v>
      </c>
      <c r="G1002" t="str">
        <f>""</f>
        <v/>
      </c>
    </row>
    <row r="1003" spans="1:7" x14ac:dyDescent="0.25">
      <c r="A1003" t="s">
        <v>8</v>
      </c>
      <c r="B1003" s="1" t="str">
        <f>"000345389 - RICH NC BB-SONNYS"</f>
        <v>000345389 - RICH NC BB-SONNYS</v>
      </c>
      <c r="C1003" t="s">
        <v>1016</v>
      </c>
      <c r="D1003" s="1" t="str">
        <f t="shared" si="28"/>
        <v>PRG-1014655</v>
      </c>
      <c r="E1003" t="s">
        <v>793</v>
      </c>
      <c r="F1003" t="s">
        <v>4</v>
      </c>
      <c r="G1003" t="str">
        <f>""</f>
        <v/>
      </c>
    </row>
    <row r="1004" spans="1:7" x14ac:dyDescent="0.25">
      <c r="A1004" t="s">
        <v>8</v>
      </c>
      <c r="B1004" s="1" t="str">
        <f>"000345390 - RICH FOODS C BB-SONNYS BBQ"</f>
        <v>000345390 - RICH FOODS C BB-SONNYS BBQ</v>
      </c>
      <c r="C1004" t="s">
        <v>1017</v>
      </c>
      <c r="D1004" s="1" t="str">
        <f t="shared" si="28"/>
        <v>PRG-1014655</v>
      </c>
      <c r="E1004" t="s">
        <v>793</v>
      </c>
      <c r="F1004" t="s">
        <v>4</v>
      </c>
      <c r="G1004" t="str">
        <f>""</f>
        <v/>
      </c>
    </row>
    <row r="1005" spans="1:7" x14ac:dyDescent="0.25">
      <c r="A1005" t="s">
        <v>8</v>
      </c>
      <c r="B1005" s="1" t="str">
        <f>"000349464 - RICH NC BB-SONNYS"</f>
        <v>000349464 - RICH NC BB-SONNYS</v>
      </c>
      <c r="C1005" t="s">
        <v>1016</v>
      </c>
      <c r="D1005" s="1" t="str">
        <f t="shared" si="28"/>
        <v>PRG-1014655</v>
      </c>
      <c r="E1005" t="s">
        <v>793</v>
      </c>
      <c r="F1005" t="s">
        <v>4</v>
      </c>
      <c r="G1005" t="str">
        <f>""</f>
        <v/>
      </c>
    </row>
    <row r="1006" spans="1:7" x14ac:dyDescent="0.25">
      <c r="A1006" t="s">
        <v>8</v>
      </c>
      <c r="B1006" s="1" t="str">
        <f>"000349465 - RICH FOODS C BB-SONNYS BBQ"</f>
        <v>000349465 - RICH FOODS C BB-SONNYS BBQ</v>
      </c>
      <c r="C1006" t="s">
        <v>1017</v>
      </c>
      <c r="D1006" s="1" t="str">
        <f t="shared" si="28"/>
        <v>PRG-1014655</v>
      </c>
      <c r="E1006" t="s">
        <v>793</v>
      </c>
      <c r="F1006" t="s">
        <v>4</v>
      </c>
      <c r="G1006" t="str">
        <f>""</f>
        <v/>
      </c>
    </row>
    <row r="1007" spans="1:7" x14ac:dyDescent="0.25">
      <c r="A1007" t="s">
        <v>8</v>
      </c>
      <c r="B1007" s="1" t="str">
        <f>"000210674 - Z RICH PROD   CEDAR POINT"</f>
        <v>000210674 - Z RICH PROD   CEDAR POINT</v>
      </c>
      <c r="C1007" t="s">
        <v>1435</v>
      </c>
      <c r="D1007" s="1" t="str">
        <f>"PRG-1014721"</f>
        <v>PRG-1014721</v>
      </c>
      <c r="E1007" t="s">
        <v>1436</v>
      </c>
      <c r="F1007" t="s">
        <v>4</v>
      </c>
      <c r="G1007" t="str">
        <f>""</f>
        <v/>
      </c>
    </row>
    <row r="1008" spans="1:7" x14ac:dyDescent="0.25">
      <c r="A1008" t="s">
        <v>8</v>
      </c>
      <c r="B1008" s="1" t="str">
        <f>"000352453 - "</f>
        <v xml:space="preserve">000352453 - </v>
      </c>
      <c r="D1008" s="1" t="str">
        <f>"PRG-1014721"</f>
        <v>PRG-1014721</v>
      </c>
      <c r="E1008" t="s">
        <v>1436</v>
      </c>
      <c r="F1008" t="s">
        <v>4</v>
      </c>
      <c r="G1008" t="str">
        <f>""</f>
        <v/>
      </c>
    </row>
    <row r="1009" spans="1:7" x14ac:dyDescent="0.25">
      <c r="A1009" t="s">
        <v>8</v>
      </c>
      <c r="B1009" s="1" t="str">
        <f>"000362645 - "</f>
        <v xml:space="preserve">000362645 - </v>
      </c>
      <c r="D1009" s="1" t="str">
        <f>"PRG-1014721"</f>
        <v>PRG-1014721</v>
      </c>
      <c r="E1009" t="s">
        <v>1436</v>
      </c>
      <c r="F1009" t="s">
        <v>4</v>
      </c>
      <c r="G1009" t="str">
        <f>""</f>
        <v/>
      </c>
    </row>
    <row r="1010" spans="1:7" x14ac:dyDescent="0.25">
      <c r="A1010" t="s">
        <v>8</v>
      </c>
      <c r="B1010" s="1" t="str">
        <f>"000393807 - RICH FOODS-CEDAR FAIR"</f>
        <v>000393807 - RICH FOODS-CEDAR FAIR</v>
      </c>
      <c r="C1010" t="s">
        <v>2186</v>
      </c>
      <c r="D1010" s="1" t="str">
        <f>"PRG-1014721"</f>
        <v>PRG-1014721</v>
      </c>
      <c r="E1010" t="s">
        <v>1436</v>
      </c>
      <c r="F1010" t="s">
        <v>4</v>
      </c>
      <c r="G1010" t="str">
        <f>""</f>
        <v/>
      </c>
    </row>
    <row r="1011" spans="1:7" x14ac:dyDescent="0.25">
      <c r="A1011" t="s">
        <v>8</v>
      </c>
      <c r="B1011" s="1" t="str">
        <f>"2260B146"</f>
        <v>2260B146</v>
      </c>
      <c r="C1011" t="s">
        <v>4448</v>
      </c>
      <c r="D1011" s="1" t="str">
        <f>"PRG-1014722"</f>
        <v>PRG-1014722</v>
      </c>
      <c r="E1011" t="s">
        <v>4449</v>
      </c>
      <c r="F1011" t="s">
        <v>5</v>
      </c>
      <c r="G1011" t="str">
        <f>""</f>
        <v/>
      </c>
    </row>
    <row r="1012" spans="1:7" x14ac:dyDescent="0.25">
      <c r="A1012" t="s">
        <v>8</v>
      </c>
      <c r="B1012" s="1" t="str">
        <f>"000232442 - BLACK BEAR RICH PRODUCTS"</f>
        <v>000232442 - BLACK BEAR RICH PRODUCTS</v>
      </c>
      <c r="C1012" t="s">
        <v>1787</v>
      </c>
      <c r="D1012" s="1" t="str">
        <f t="shared" ref="D1012:D1017" si="29">"PRG-1014732"</f>
        <v>PRG-1014732</v>
      </c>
      <c r="E1012" t="s">
        <v>1788</v>
      </c>
      <c r="F1012" t="s">
        <v>4</v>
      </c>
      <c r="G1012" t="str">
        <f>""</f>
        <v/>
      </c>
    </row>
    <row r="1013" spans="1:7" x14ac:dyDescent="0.25">
      <c r="A1013" t="s">
        <v>8</v>
      </c>
      <c r="B1013" s="1" t="str">
        <f>"000244852 - RICH PRODUCTS BLACK BEAR"</f>
        <v>000244852 - RICH PRODUCTS BLACK BEAR</v>
      </c>
      <c r="C1013" t="s">
        <v>1992</v>
      </c>
      <c r="D1013" s="1" t="str">
        <f t="shared" si="29"/>
        <v>PRG-1014732</v>
      </c>
      <c r="E1013" t="s">
        <v>1788</v>
      </c>
      <c r="F1013" t="s">
        <v>4</v>
      </c>
      <c r="G1013" t="str">
        <f>""</f>
        <v/>
      </c>
    </row>
    <row r="1014" spans="1:7" x14ac:dyDescent="0.25">
      <c r="A1014" t="s">
        <v>8</v>
      </c>
      <c r="B1014" s="1" t="str">
        <f>"000254207 - RICH FOODS BLACK BEAR"</f>
        <v>000254207 - RICH FOODS BLACK BEAR</v>
      </c>
      <c r="C1014" t="s">
        <v>2151</v>
      </c>
      <c r="D1014" s="1" t="str">
        <f t="shared" si="29"/>
        <v>PRG-1014732</v>
      </c>
      <c r="E1014" t="s">
        <v>1788</v>
      </c>
      <c r="F1014" t="s">
        <v>4</v>
      </c>
      <c r="G1014" t="str">
        <f>""</f>
        <v/>
      </c>
    </row>
    <row r="1015" spans="1:7" x14ac:dyDescent="0.25">
      <c r="A1015" t="s">
        <v>8</v>
      </c>
      <c r="B1015" s="1" t="str">
        <f>"000289833 - RICH FOODS BLACK BEAR"</f>
        <v>000289833 - RICH FOODS BLACK BEAR</v>
      </c>
      <c r="C1015" t="s">
        <v>2151</v>
      </c>
      <c r="D1015" s="1" t="str">
        <f t="shared" si="29"/>
        <v>PRG-1014732</v>
      </c>
      <c r="E1015" t="s">
        <v>1788</v>
      </c>
      <c r="F1015" t="s">
        <v>4</v>
      </c>
      <c r="G1015" t="str">
        <f>""</f>
        <v/>
      </c>
    </row>
    <row r="1016" spans="1:7" x14ac:dyDescent="0.25">
      <c r="A1016" t="s">
        <v>8</v>
      </c>
      <c r="B1016" s="1" t="str">
        <f>"000290311 - RICH PRODUCTS BLACK BEAR DINER"</f>
        <v>000290311 - RICH PRODUCTS BLACK BEAR DINER</v>
      </c>
      <c r="C1016" t="s">
        <v>2825</v>
      </c>
      <c r="D1016" s="1" t="str">
        <f t="shared" si="29"/>
        <v>PRG-1014732</v>
      </c>
      <c r="E1016" t="s">
        <v>1788</v>
      </c>
      <c r="F1016" t="s">
        <v>4</v>
      </c>
      <c r="G1016" t="str">
        <f>""</f>
        <v/>
      </c>
    </row>
    <row r="1017" spans="1:7" x14ac:dyDescent="0.25">
      <c r="A1017" t="s">
        <v>8</v>
      </c>
      <c r="B1017" s="1" t="str">
        <f>"2000124622 - RICH FOODS-BLACK BEAR DINER"</f>
        <v>2000124622 - RICH FOODS-BLACK BEAR DINER</v>
      </c>
      <c r="C1017" t="s">
        <v>3837</v>
      </c>
      <c r="D1017" s="1" t="str">
        <f t="shared" si="29"/>
        <v>PRG-1014732</v>
      </c>
      <c r="E1017" t="s">
        <v>1788</v>
      </c>
      <c r="F1017" t="s">
        <v>4</v>
      </c>
      <c r="G1017" t="str">
        <f>""</f>
        <v/>
      </c>
    </row>
    <row r="1018" spans="1:7" x14ac:dyDescent="0.25">
      <c r="A1018" t="s">
        <v>8</v>
      </c>
      <c r="B1018" s="1" t="str">
        <f>"2000153018 - RICH FDS CASINOS"</f>
        <v>2000153018 - RICH FDS CASINOS</v>
      </c>
      <c r="C1018" t="s">
        <v>3876</v>
      </c>
      <c r="D1018" s="1" t="str">
        <f>"PRG-1014761"</f>
        <v>PRG-1014761</v>
      </c>
      <c r="E1018" t="s">
        <v>3877</v>
      </c>
      <c r="F1018" t="s">
        <v>4</v>
      </c>
      <c r="G1018" t="str">
        <f>""</f>
        <v/>
      </c>
    </row>
    <row r="1019" spans="1:7" x14ac:dyDescent="0.25">
      <c r="A1019" t="s">
        <v>8</v>
      </c>
      <c r="B1019" s="1" t="str">
        <f>"2000242751 - RICH FOODS-CASINOS"</f>
        <v>2000242751 - RICH FOODS-CASINOS</v>
      </c>
      <c r="C1019" t="s">
        <v>3991</v>
      </c>
      <c r="D1019" s="1" t="str">
        <f>"PRG-1014761"</f>
        <v>PRG-1014761</v>
      </c>
      <c r="E1019" t="s">
        <v>3877</v>
      </c>
      <c r="F1019" t="s">
        <v>4</v>
      </c>
      <c r="G1019" t="str">
        <f>""</f>
        <v/>
      </c>
    </row>
    <row r="1020" spans="1:7" x14ac:dyDescent="0.25">
      <c r="A1020" t="s">
        <v>8</v>
      </c>
      <c r="B1020" s="1" t="str">
        <f>"000241496 - RICH PRODUCTS-GAILS"</f>
        <v>000241496 - RICH PRODUCTS-GAILS</v>
      </c>
      <c r="C1020" t="s">
        <v>1924</v>
      </c>
      <c r="D1020" s="1" t="str">
        <f>"PRG-1014799"</f>
        <v>PRG-1014799</v>
      </c>
      <c r="E1020" t="s">
        <v>1925</v>
      </c>
      <c r="F1020" t="s">
        <v>4</v>
      </c>
      <c r="G1020" t="str">
        <f>""</f>
        <v/>
      </c>
    </row>
    <row r="1021" spans="1:7" x14ac:dyDescent="0.25">
      <c r="A1021" t="s">
        <v>8</v>
      </c>
      <c r="B1021" s="1" t="str">
        <f>"2000367299 - RICH PRODUCTS-MG FOODS OF TEXAS INC"</f>
        <v>2000367299 - RICH PRODUCTS-MG FOODS OF TEXAS INC</v>
      </c>
      <c r="C1021" t="s">
        <v>4046</v>
      </c>
      <c r="D1021" s="1" t="str">
        <f>"PRG-1014799"</f>
        <v>PRG-1014799</v>
      </c>
      <c r="E1021" t="s">
        <v>1925</v>
      </c>
      <c r="F1021" t="s">
        <v>4</v>
      </c>
      <c r="G1021" t="str">
        <f>""</f>
        <v/>
      </c>
    </row>
    <row r="1022" spans="1:7" x14ac:dyDescent="0.25">
      <c r="A1022" t="s">
        <v>8</v>
      </c>
      <c r="B1022" s="1" t="str">
        <f>"22305153"</f>
        <v>22305153</v>
      </c>
      <c r="C1022" t="s">
        <v>4301</v>
      </c>
      <c r="D1022" s="1" t="str">
        <f>"PRG-1014821"</f>
        <v>PRG-1014821</v>
      </c>
      <c r="E1022" t="s">
        <v>4302</v>
      </c>
      <c r="F1022" t="s">
        <v>5</v>
      </c>
      <c r="G1022" t="str">
        <f>""</f>
        <v/>
      </c>
    </row>
    <row r="1023" spans="1:7" x14ac:dyDescent="0.25">
      <c r="A1023" t="s">
        <v>8</v>
      </c>
      <c r="B1023" s="1" t="str">
        <f>"1103A868"</f>
        <v>1103A868</v>
      </c>
      <c r="C1023" t="s">
        <v>3801</v>
      </c>
      <c r="D1023" s="1" t="str">
        <f>"PRG-1014828"</f>
        <v>PRG-1014828</v>
      </c>
      <c r="E1023" t="s">
        <v>3802</v>
      </c>
      <c r="F1023" t="s">
        <v>5</v>
      </c>
      <c r="G1023" t="str">
        <f>""</f>
        <v/>
      </c>
    </row>
    <row r="1024" spans="1:7" x14ac:dyDescent="0.25">
      <c r="A1024" t="s">
        <v>8</v>
      </c>
      <c r="B1024" s="1" t="str">
        <f>"000249719 - RICH PROD LONE STAR COLLEGE"</f>
        <v>000249719 - RICH PROD LONE STAR COLLEGE</v>
      </c>
      <c r="C1024" t="s">
        <v>2077</v>
      </c>
      <c r="D1024" s="1" t="str">
        <f>"PRG-1014838"</f>
        <v>PRG-1014838</v>
      </c>
      <c r="E1024" t="s">
        <v>2078</v>
      </c>
      <c r="F1024" t="s">
        <v>4</v>
      </c>
      <c r="G1024" t="str">
        <f>""</f>
        <v/>
      </c>
    </row>
    <row r="1025" spans="1:7" x14ac:dyDescent="0.25">
      <c r="A1025" t="s">
        <v>8</v>
      </c>
      <c r="B1025" s="1" t="str">
        <f>"000255675 - RICH FDS COMPASS FIVE STAR  JV"</f>
        <v>000255675 - RICH FDS COMPASS FIVE STAR  JV</v>
      </c>
      <c r="C1025" t="s">
        <v>2172</v>
      </c>
      <c r="D1025" s="1" t="str">
        <f t="shared" ref="D1025:D1030" si="30">"PRG-1014843"</f>
        <v>PRG-1014843</v>
      </c>
      <c r="E1025" t="s">
        <v>848</v>
      </c>
      <c r="F1025" t="s">
        <v>4</v>
      </c>
      <c r="G1025" t="str">
        <f>""</f>
        <v/>
      </c>
    </row>
    <row r="1026" spans="1:7" x14ac:dyDescent="0.25">
      <c r="A1026" t="s">
        <v>8</v>
      </c>
      <c r="B1026" s="1" t="str">
        <f>"000279557 - RICH PRODUCTS FIVE STAR"</f>
        <v>000279557 - RICH PRODUCTS FIVE STAR</v>
      </c>
      <c r="C1026" t="s">
        <v>2628</v>
      </c>
      <c r="D1026" s="1" t="str">
        <f t="shared" si="30"/>
        <v>PRG-1014843</v>
      </c>
      <c r="E1026" t="s">
        <v>848</v>
      </c>
      <c r="F1026" t="s">
        <v>4</v>
      </c>
      <c r="G1026" t="str">
        <f>""</f>
        <v/>
      </c>
    </row>
    <row r="1027" spans="1:7" x14ac:dyDescent="0.25">
      <c r="A1027" t="s">
        <v>8</v>
      </c>
      <c r="B1027" s="1" t="str">
        <f>"000313386 - RICH PRODUCTS FIVE STAR"</f>
        <v>000313386 - RICH PRODUCTS FIVE STAR</v>
      </c>
      <c r="C1027" t="s">
        <v>2628</v>
      </c>
      <c r="D1027" s="1" t="str">
        <f t="shared" si="30"/>
        <v>PRG-1014843</v>
      </c>
      <c r="E1027" t="s">
        <v>848</v>
      </c>
      <c r="F1027" t="s">
        <v>4</v>
      </c>
      <c r="G1027" t="str">
        <f>""</f>
        <v/>
      </c>
    </row>
    <row r="1028" spans="1:7" x14ac:dyDescent="0.25">
      <c r="A1028" t="s">
        <v>8</v>
      </c>
      <c r="B1028" s="1" t="str">
        <f>"000332660 - RICH PRODUCTS  FIVE STAR"</f>
        <v>000332660 - RICH PRODUCTS  FIVE STAR</v>
      </c>
      <c r="C1028" t="s">
        <v>3358</v>
      </c>
      <c r="D1028" s="1" t="str">
        <f t="shared" si="30"/>
        <v>PRG-1014843</v>
      </c>
      <c r="E1028" t="s">
        <v>848</v>
      </c>
      <c r="F1028" t="s">
        <v>4</v>
      </c>
      <c r="G1028" t="str">
        <f>""</f>
        <v/>
      </c>
    </row>
    <row r="1029" spans="1:7" x14ac:dyDescent="0.25">
      <c r="A1029" t="s">
        <v>8</v>
      </c>
      <c r="B1029" s="1" t="str">
        <f>"000342816 - RICH FIVE STAR"</f>
        <v>000342816 - RICH FIVE STAR</v>
      </c>
      <c r="C1029" t="s">
        <v>3442</v>
      </c>
      <c r="D1029" s="1" t="str">
        <f t="shared" si="30"/>
        <v>PRG-1014843</v>
      </c>
      <c r="E1029" t="s">
        <v>848</v>
      </c>
      <c r="F1029" t="s">
        <v>4</v>
      </c>
      <c r="G1029" t="str">
        <f>""</f>
        <v/>
      </c>
    </row>
    <row r="1030" spans="1:7" x14ac:dyDescent="0.25">
      <c r="A1030" t="s">
        <v>8</v>
      </c>
      <c r="B1030" s="1" t="str">
        <f>"000363150 - RICH FIVE STAR"</f>
        <v>000363150 - RICH FIVE STAR</v>
      </c>
      <c r="C1030" t="s">
        <v>3442</v>
      </c>
      <c r="D1030" s="1" t="str">
        <f t="shared" si="30"/>
        <v>PRG-1014843</v>
      </c>
      <c r="E1030" t="s">
        <v>848</v>
      </c>
      <c r="F1030" t="s">
        <v>4</v>
      </c>
      <c r="G1030" t="str">
        <f>""</f>
        <v/>
      </c>
    </row>
    <row r="1031" spans="1:7" x14ac:dyDescent="0.25">
      <c r="A1031" t="s">
        <v>8</v>
      </c>
      <c r="B1031" s="1" t="str">
        <f>"000264349 - RICH'S NORSKE NOOK"</f>
        <v>000264349 - RICH'S NORSKE NOOK</v>
      </c>
      <c r="C1031" t="s">
        <v>2363</v>
      </c>
      <c r="D1031" s="1" t="str">
        <f>"PRG-1014858"</f>
        <v>PRG-1014858</v>
      </c>
      <c r="E1031" t="s">
        <v>2364</v>
      </c>
      <c r="F1031" t="s">
        <v>4</v>
      </c>
      <c r="G1031" t="str">
        <f>""</f>
        <v/>
      </c>
    </row>
    <row r="1032" spans="1:7" x14ac:dyDescent="0.25">
      <c r="A1032" t="s">
        <v>8</v>
      </c>
      <c r="B1032" s="1" t="str">
        <f>"000296239 - RICH NORSKE NOOK"</f>
        <v>000296239 - RICH NORSKE NOOK</v>
      </c>
      <c r="C1032" t="s">
        <v>2911</v>
      </c>
      <c r="D1032" s="1" t="str">
        <f>"PRG-1014858"</f>
        <v>PRG-1014858</v>
      </c>
      <c r="E1032" t="s">
        <v>2364</v>
      </c>
      <c r="F1032" t="s">
        <v>4</v>
      </c>
      <c r="G1032" t="str">
        <f>""</f>
        <v/>
      </c>
    </row>
    <row r="1033" spans="1:7" x14ac:dyDescent="0.25">
      <c r="A1033" t="s">
        <v>8</v>
      </c>
      <c r="B1033" s="1" t="str">
        <f>"000219846 - RICHS CORKY'S BBQ"</f>
        <v>000219846 - RICHS CORKY'S BBQ</v>
      </c>
      <c r="C1033" t="s">
        <v>1578</v>
      </c>
      <c r="D1033" s="1" t="str">
        <f>"PRG-1014872"</f>
        <v>PRG-1014872</v>
      </c>
      <c r="E1033" t="s">
        <v>1069</v>
      </c>
      <c r="F1033" t="s">
        <v>4</v>
      </c>
      <c r="G1033" t="str">
        <f>""</f>
        <v/>
      </c>
    </row>
    <row r="1034" spans="1:7" x14ac:dyDescent="0.25">
      <c r="A1034" t="s">
        <v>8</v>
      </c>
      <c r="B1034" s="1" t="str">
        <f>"000260560 - RICHS CORKY'S BBQ"</f>
        <v>000260560 - RICHS CORKY'S BBQ</v>
      </c>
      <c r="C1034" t="s">
        <v>1578</v>
      </c>
      <c r="D1034" s="1" t="str">
        <f>"PRG-1014872"</f>
        <v>PRG-1014872</v>
      </c>
      <c r="E1034" t="s">
        <v>1069</v>
      </c>
      <c r="F1034" t="s">
        <v>4</v>
      </c>
      <c r="G1034" t="str">
        <f>""</f>
        <v/>
      </c>
    </row>
    <row r="1035" spans="1:7" x14ac:dyDescent="0.25">
      <c r="A1035" t="s">
        <v>8</v>
      </c>
      <c r="B1035" s="1" t="str">
        <f>"000025008 - RICH FOODS-HILTON"</f>
        <v>000025008 - RICH FOODS-HILTON</v>
      </c>
      <c r="C1035" t="s">
        <v>183</v>
      </c>
      <c r="D1035" s="1" t="str">
        <f t="shared" ref="D1035:D1098" si="31">"PRG-1014940"</f>
        <v>PRG-1014940</v>
      </c>
      <c r="E1035" t="s">
        <v>125</v>
      </c>
      <c r="F1035" t="s">
        <v>4</v>
      </c>
      <c r="G1035" t="str">
        <f>""</f>
        <v/>
      </c>
    </row>
    <row r="1036" spans="1:7" x14ac:dyDescent="0.25">
      <c r="A1036" t="s">
        <v>8</v>
      </c>
      <c r="B1036" s="1" t="str">
        <f>"000027340 - RICH FOODS-HILTON"</f>
        <v>000027340 - RICH FOODS-HILTON</v>
      </c>
      <c r="C1036" t="s">
        <v>183</v>
      </c>
      <c r="D1036" s="1" t="str">
        <f t="shared" si="31"/>
        <v>PRG-1014940</v>
      </c>
      <c r="E1036" t="s">
        <v>125</v>
      </c>
      <c r="F1036" t="s">
        <v>4</v>
      </c>
      <c r="G1036" t="str">
        <f>""</f>
        <v/>
      </c>
    </row>
    <row r="1037" spans="1:7" x14ac:dyDescent="0.25">
      <c r="A1037" t="s">
        <v>8</v>
      </c>
      <c r="B1037" s="1" t="str">
        <f>"000029800 - RICH FOODS HILTON"</f>
        <v>000029800 - RICH FOODS HILTON</v>
      </c>
      <c r="C1037" t="s">
        <v>490</v>
      </c>
      <c r="D1037" s="1" t="str">
        <f t="shared" si="31"/>
        <v>PRG-1014940</v>
      </c>
      <c r="E1037" t="s">
        <v>125</v>
      </c>
      <c r="F1037" t="s">
        <v>4</v>
      </c>
      <c r="G1037" t="str">
        <f>""</f>
        <v/>
      </c>
    </row>
    <row r="1038" spans="1:7" x14ac:dyDescent="0.25">
      <c r="A1038" t="s">
        <v>8</v>
      </c>
      <c r="B1038" s="1" t="str">
        <f>"000033493 - RICH FOODS HILTON"</f>
        <v>000033493 - RICH FOODS HILTON</v>
      </c>
      <c r="C1038" t="s">
        <v>490</v>
      </c>
      <c r="D1038" s="1" t="str">
        <f t="shared" si="31"/>
        <v>PRG-1014940</v>
      </c>
      <c r="E1038" t="s">
        <v>125</v>
      </c>
      <c r="F1038" t="s">
        <v>4</v>
      </c>
      <c r="G1038" t="str">
        <f>""</f>
        <v/>
      </c>
    </row>
    <row r="1039" spans="1:7" x14ac:dyDescent="0.25">
      <c r="A1039" t="s">
        <v>8</v>
      </c>
      <c r="B1039" s="1" t="str">
        <f>"000033950 - RICH FOODS NON CORE HILTONVOID"</f>
        <v>000033950 - RICH FOODS NON CORE HILTONVOID</v>
      </c>
      <c r="C1039" t="s">
        <v>513</v>
      </c>
      <c r="D1039" s="1" t="str">
        <f t="shared" si="31"/>
        <v>PRG-1014940</v>
      </c>
      <c r="E1039" t="s">
        <v>125</v>
      </c>
      <c r="F1039" t="s">
        <v>4</v>
      </c>
      <c r="G1039" t="str">
        <f>""</f>
        <v/>
      </c>
    </row>
    <row r="1040" spans="1:7" x14ac:dyDescent="0.25">
      <c r="A1040" t="s">
        <v>8</v>
      </c>
      <c r="B1040" s="1" t="str">
        <f>"000034418 - RICH FOODS HILTON NONCORE"</f>
        <v>000034418 - RICH FOODS HILTON NONCORE</v>
      </c>
      <c r="C1040" t="s">
        <v>516</v>
      </c>
      <c r="D1040" s="1" t="str">
        <f t="shared" si="31"/>
        <v>PRG-1014940</v>
      </c>
      <c r="E1040" t="s">
        <v>125</v>
      </c>
      <c r="F1040" t="s">
        <v>4</v>
      </c>
      <c r="G1040" t="str">
        <f>""</f>
        <v/>
      </c>
    </row>
    <row r="1041" spans="1:7" x14ac:dyDescent="0.25">
      <c r="A1041" t="s">
        <v>8</v>
      </c>
      <c r="B1041" s="1" t="str">
        <f>"000034426 - RICH FOODS HILTON NONCORE"</f>
        <v>000034426 - RICH FOODS HILTON NONCORE</v>
      </c>
      <c r="C1041" t="s">
        <v>516</v>
      </c>
      <c r="D1041" s="1" t="str">
        <f t="shared" si="31"/>
        <v>PRG-1014940</v>
      </c>
      <c r="E1041" t="s">
        <v>125</v>
      </c>
      <c r="F1041" t="s">
        <v>4</v>
      </c>
      <c r="G1041" t="str">
        <f>""</f>
        <v/>
      </c>
    </row>
    <row r="1042" spans="1:7" x14ac:dyDescent="0.25">
      <c r="A1042" t="s">
        <v>8</v>
      </c>
      <c r="B1042" s="1" t="str">
        <f>"000038896 - RICH FOODS HILTON NCORE"</f>
        <v>000038896 - RICH FOODS HILTON NCORE</v>
      </c>
      <c r="C1042" t="s">
        <v>561</v>
      </c>
      <c r="D1042" s="1" t="str">
        <f t="shared" si="31"/>
        <v>PRG-1014940</v>
      </c>
      <c r="E1042" t="s">
        <v>125</v>
      </c>
      <c r="F1042" t="s">
        <v>4</v>
      </c>
      <c r="G1042" t="str">
        <f>""</f>
        <v/>
      </c>
    </row>
    <row r="1043" spans="1:7" x14ac:dyDescent="0.25">
      <c r="A1043" t="s">
        <v>8</v>
      </c>
      <c r="B1043" s="1" t="str">
        <f>"000040417 - RICH FOODS HILTON NONCORE"</f>
        <v>000040417 - RICH FOODS HILTON NONCORE</v>
      </c>
      <c r="C1043" t="s">
        <v>516</v>
      </c>
      <c r="D1043" s="1" t="str">
        <f t="shared" si="31"/>
        <v>PRG-1014940</v>
      </c>
      <c r="E1043" t="s">
        <v>125</v>
      </c>
      <c r="F1043" t="s">
        <v>4</v>
      </c>
      <c r="G1043" t="str">
        <f>""</f>
        <v/>
      </c>
    </row>
    <row r="1044" spans="1:7" x14ac:dyDescent="0.25">
      <c r="A1044" t="s">
        <v>8</v>
      </c>
      <c r="B1044" s="1" t="str">
        <f>"000046847 - RICH FOODS HILTON NCORE"</f>
        <v>000046847 - RICH FOODS HILTON NCORE</v>
      </c>
      <c r="C1044" t="s">
        <v>561</v>
      </c>
      <c r="D1044" s="1" t="str">
        <f t="shared" si="31"/>
        <v>PRG-1014940</v>
      </c>
      <c r="E1044" t="s">
        <v>125</v>
      </c>
      <c r="F1044" t="s">
        <v>4</v>
      </c>
      <c r="G1044" t="str">
        <f>""</f>
        <v/>
      </c>
    </row>
    <row r="1045" spans="1:7" x14ac:dyDescent="0.25">
      <c r="A1045" t="s">
        <v>8</v>
      </c>
      <c r="B1045" s="1" t="str">
        <f>"000054423 - RICH FOODS BB NCORE HILTON"</f>
        <v>000054423 - RICH FOODS BB NCORE HILTON</v>
      </c>
      <c r="C1045" t="s">
        <v>143</v>
      </c>
      <c r="D1045" s="1" t="str">
        <f t="shared" si="31"/>
        <v>PRG-1014940</v>
      </c>
      <c r="E1045" t="s">
        <v>125</v>
      </c>
      <c r="F1045" t="s">
        <v>4</v>
      </c>
      <c r="G1045" t="str">
        <f>""</f>
        <v/>
      </c>
    </row>
    <row r="1046" spans="1:7" x14ac:dyDescent="0.25">
      <c r="A1046" t="s">
        <v>8</v>
      </c>
      <c r="B1046" s="1" t="str">
        <f>"000087309 - RICH FOODS-HILTON"</f>
        <v>000087309 - RICH FOODS-HILTON</v>
      </c>
      <c r="C1046" t="s">
        <v>183</v>
      </c>
      <c r="D1046" s="1" t="str">
        <f t="shared" si="31"/>
        <v>PRG-1014940</v>
      </c>
      <c r="E1046" t="s">
        <v>125</v>
      </c>
      <c r="F1046" t="s">
        <v>4</v>
      </c>
      <c r="G1046" t="str">
        <f>""</f>
        <v/>
      </c>
    </row>
    <row r="1047" spans="1:7" x14ac:dyDescent="0.25">
      <c r="A1047" t="s">
        <v>8</v>
      </c>
      <c r="B1047" s="1" t="str">
        <f>"000093428 - RICH FOODS HILTON"</f>
        <v>000093428 - RICH FOODS HILTON</v>
      </c>
      <c r="C1047" t="s">
        <v>490</v>
      </c>
      <c r="D1047" s="1" t="str">
        <f t="shared" si="31"/>
        <v>PRG-1014940</v>
      </c>
      <c r="E1047" t="s">
        <v>125</v>
      </c>
      <c r="F1047" t="s">
        <v>4</v>
      </c>
      <c r="G1047" t="str">
        <f>""</f>
        <v/>
      </c>
    </row>
    <row r="1048" spans="1:7" x14ac:dyDescent="0.25">
      <c r="A1048" t="s">
        <v>8</v>
      </c>
      <c r="B1048" s="1" t="str">
        <f>"000099107 - RICH FOODS NON CORE HILTONVOID"</f>
        <v>000099107 - RICH FOODS NON CORE HILTONVOID</v>
      </c>
      <c r="C1048" t="s">
        <v>513</v>
      </c>
      <c r="D1048" s="1" t="str">
        <f t="shared" si="31"/>
        <v>PRG-1014940</v>
      </c>
      <c r="E1048" t="s">
        <v>125</v>
      </c>
      <c r="F1048" t="s">
        <v>4</v>
      </c>
      <c r="G1048" t="str">
        <f>""</f>
        <v/>
      </c>
    </row>
    <row r="1049" spans="1:7" x14ac:dyDescent="0.25">
      <c r="A1049" t="s">
        <v>8</v>
      </c>
      <c r="B1049" s="1" t="str">
        <f>"000099108 - RICH FOODS CORE - HILTON VOID"</f>
        <v>000099108 - RICH FOODS CORE - HILTON VOID</v>
      </c>
      <c r="C1049" t="s">
        <v>794</v>
      </c>
      <c r="D1049" s="1" t="str">
        <f t="shared" si="31"/>
        <v>PRG-1014940</v>
      </c>
      <c r="E1049" t="s">
        <v>125</v>
      </c>
      <c r="F1049" t="s">
        <v>4</v>
      </c>
      <c r="G1049" t="str">
        <f>""</f>
        <v/>
      </c>
    </row>
    <row r="1050" spans="1:7" x14ac:dyDescent="0.25">
      <c r="A1050" t="s">
        <v>8</v>
      </c>
      <c r="B1050" s="1" t="str">
        <f>"000099734 - RICH FOODS HILTON NONCORE"</f>
        <v>000099734 - RICH FOODS HILTON NONCORE</v>
      </c>
      <c r="C1050" t="s">
        <v>516</v>
      </c>
      <c r="D1050" s="1" t="str">
        <f t="shared" si="31"/>
        <v>PRG-1014940</v>
      </c>
      <c r="E1050" t="s">
        <v>125</v>
      </c>
      <c r="F1050" t="s">
        <v>4</v>
      </c>
      <c r="G1050" t="str">
        <f>""</f>
        <v/>
      </c>
    </row>
    <row r="1051" spans="1:7" x14ac:dyDescent="0.25">
      <c r="A1051" t="s">
        <v>8</v>
      </c>
      <c r="B1051" s="1" t="str">
        <f>"000099740 - RICH FOODS HILTON NONCORE"</f>
        <v>000099740 - RICH FOODS HILTON NONCORE</v>
      </c>
      <c r="C1051" t="s">
        <v>516</v>
      </c>
      <c r="D1051" s="1" t="str">
        <f t="shared" si="31"/>
        <v>PRG-1014940</v>
      </c>
      <c r="E1051" t="s">
        <v>125</v>
      </c>
      <c r="F1051" t="s">
        <v>4</v>
      </c>
      <c r="G1051" t="str">
        <f>""</f>
        <v/>
      </c>
    </row>
    <row r="1052" spans="1:7" x14ac:dyDescent="0.25">
      <c r="A1052" t="s">
        <v>8</v>
      </c>
      <c r="B1052" s="1" t="str">
        <f>"000099969 - RICH FOODS-HILTON"</f>
        <v>000099969 - RICH FOODS-HILTON</v>
      </c>
      <c r="C1052" t="s">
        <v>183</v>
      </c>
      <c r="D1052" s="1" t="str">
        <f t="shared" si="31"/>
        <v>PRG-1014940</v>
      </c>
      <c r="E1052" t="s">
        <v>125</v>
      </c>
      <c r="F1052" t="s">
        <v>4</v>
      </c>
      <c r="G1052" t="str">
        <f>""</f>
        <v/>
      </c>
    </row>
    <row r="1053" spans="1:7" x14ac:dyDescent="0.25">
      <c r="A1053" t="s">
        <v>8</v>
      </c>
      <c r="B1053" s="1" t="str">
        <f>"000105080 - RICH FOODS HILTON"</f>
        <v>000105080 - RICH FOODS HILTON</v>
      </c>
      <c r="C1053" t="s">
        <v>490</v>
      </c>
      <c r="D1053" s="1" t="str">
        <f t="shared" si="31"/>
        <v>PRG-1014940</v>
      </c>
      <c r="E1053" t="s">
        <v>125</v>
      </c>
      <c r="F1053" t="s">
        <v>4</v>
      </c>
      <c r="G1053" t="str">
        <f>""</f>
        <v/>
      </c>
    </row>
    <row r="1054" spans="1:7" x14ac:dyDescent="0.25">
      <c r="A1054" t="s">
        <v>8</v>
      </c>
      <c r="B1054" s="1" t="str">
        <f>"000105345 - RICH FOODS HILTON NCORE"</f>
        <v>000105345 - RICH FOODS HILTON NCORE</v>
      </c>
      <c r="C1054" t="s">
        <v>561</v>
      </c>
      <c r="D1054" s="1" t="str">
        <f t="shared" si="31"/>
        <v>PRG-1014940</v>
      </c>
      <c r="E1054" t="s">
        <v>125</v>
      </c>
      <c r="F1054" t="s">
        <v>4</v>
      </c>
      <c r="G1054" t="str">
        <f>""</f>
        <v/>
      </c>
    </row>
    <row r="1055" spans="1:7" x14ac:dyDescent="0.25">
      <c r="A1055" t="s">
        <v>8</v>
      </c>
      <c r="B1055" s="1" t="str">
        <f>"000109570 - RICH FOODS NON CORE HILTONVOID"</f>
        <v>000109570 - RICH FOODS NON CORE HILTONVOID</v>
      </c>
      <c r="C1055" t="s">
        <v>513</v>
      </c>
      <c r="D1055" s="1" t="str">
        <f t="shared" si="31"/>
        <v>PRG-1014940</v>
      </c>
      <c r="E1055" t="s">
        <v>125</v>
      </c>
      <c r="F1055" t="s">
        <v>4</v>
      </c>
      <c r="G1055" t="str">
        <f>""</f>
        <v/>
      </c>
    </row>
    <row r="1056" spans="1:7" x14ac:dyDescent="0.25">
      <c r="A1056" t="s">
        <v>8</v>
      </c>
      <c r="B1056" s="1" t="str">
        <f>"000110061 - RICH FOODS HILTON NONCORE"</f>
        <v>000110061 - RICH FOODS HILTON NONCORE</v>
      </c>
      <c r="C1056" t="s">
        <v>516</v>
      </c>
      <c r="D1056" s="1" t="str">
        <f t="shared" si="31"/>
        <v>PRG-1014940</v>
      </c>
      <c r="E1056" t="s">
        <v>125</v>
      </c>
      <c r="F1056" t="s">
        <v>4</v>
      </c>
      <c r="G1056" t="str">
        <f>""</f>
        <v/>
      </c>
    </row>
    <row r="1057" spans="1:7" x14ac:dyDescent="0.25">
      <c r="A1057" t="s">
        <v>8</v>
      </c>
      <c r="B1057" s="1" t="str">
        <f>"000110265 - RICH FOODS-HILTON"</f>
        <v>000110265 - RICH FOODS-HILTON</v>
      </c>
      <c r="C1057" t="s">
        <v>183</v>
      </c>
      <c r="D1057" s="1" t="str">
        <f t="shared" si="31"/>
        <v>PRG-1014940</v>
      </c>
      <c r="E1057" t="s">
        <v>125</v>
      </c>
      <c r="F1057" t="s">
        <v>4</v>
      </c>
      <c r="G1057" t="str">
        <f>""</f>
        <v/>
      </c>
    </row>
    <row r="1058" spans="1:7" x14ac:dyDescent="0.25">
      <c r="A1058" t="s">
        <v>8</v>
      </c>
      <c r="B1058" s="1" t="str">
        <f>"000110750 - RICHS NC(DPMRETRO)-HILTON"</f>
        <v>000110750 - RICHS NC(DPMRETRO)-HILTON</v>
      </c>
      <c r="C1058" t="s">
        <v>837</v>
      </c>
      <c r="D1058" s="1" t="str">
        <f t="shared" si="31"/>
        <v>PRG-1014940</v>
      </c>
      <c r="E1058" t="s">
        <v>125</v>
      </c>
      <c r="F1058" t="s">
        <v>4</v>
      </c>
      <c r="G1058" t="str">
        <f>""</f>
        <v/>
      </c>
    </row>
    <row r="1059" spans="1:7" x14ac:dyDescent="0.25">
      <c r="A1059" t="s">
        <v>8</v>
      </c>
      <c r="B1059" s="1" t="str">
        <f>"000114744 - RICH FOODS HILTON NCORE"</f>
        <v>000114744 - RICH FOODS HILTON NCORE</v>
      </c>
      <c r="C1059" t="s">
        <v>561</v>
      </c>
      <c r="D1059" s="1" t="str">
        <f t="shared" si="31"/>
        <v>PRG-1014940</v>
      </c>
      <c r="E1059" t="s">
        <v>125</v>
      </c>
      <c r="F1059" t="s">
        <v>4</v>
      </c>
      <c r="G1059" t="str">
        <f>""</f>
        <v/>
      </c>
    </row>
    <row r="1060" spans="1:7" x14ac:dyDescent="0.25">
      <c r="A1060" t="s">
        <v>8</v>
      </c>
      <c r="B1060" s="1" t="str">
        <f>"000116360 - RICH FOODS HILTON"</f>
        <v>000116360 - RICH FOODS HILTON</v>
      </c>
      <c r="C1060" t="s">
        <v>490</v>
      </c>
      <c r="D1060" s="1" t="str">
        <f t="shared" si="31"/>
        <v>PRG-1014940</v>
      </c>
      <c r="E1060" t="s">
        <v>125</v>
      </c>
      <c r="F1060" t="s">
        <v>4</v>
      </c>
      <c r="G1060" t="str">
        <f>""</f>
        <v/>
      </c>
    </row>
    <row r="1061" spans="1:7" x14ac:dyDescent="0.25">
      <c r="A1061" t="s">
        <v>8</v>
      </c>
      <c r="B1061" s="1" t="str">
        <f>"000118834 - RICH FOODS-HILTON"</f>
        <v>000118834 - RICH FOODS-HILTON</v>
      </c>
      <c r="C1061" t="s">
        <v>183</v>
      </c>
      <c r="D1061" s="1" t="str">
        <f t="shared" si="31"/>
        <v>PRG-1014940</v>
      </c>
      <c r="E1061" t="s">
        <v>125</v>
      </c>
      <c r="F1061" t="s">
        <v>4</v>
      </c>
      <c r="G1061" t="str">
        <f>""</f>
        <v/>
      </c>
    </row>
    <row r="1062" spans="1:7" x14ac:dyDescent="0.25">
      <c r="A1062" t="s">
        <v>8</v>
      </c>
      <c r="B1062" s="1" t="str">
        <f>"000122066 - RICH FOODS HILTON NONCORE"</f>
        <v>000122066 - RICH FOODS HILTON NONCORE</v>
      </c>
      <c r="C1062" t="s">
        <v>516</v>
      </c>
      <c r="D1062" s="1" t="str">
        <f t="shared" si="31"/>
        <v>PRG-1014940</v>
      </c>
      <c r="E1062" t="s">
        <v>125</v>
      </c>
      <c r="F1062" t="s">
        <v>4</v>
      </c>
      <c r="G1062" t="str">
        <f>""</f>
        <v/>
      </c>
    </row>
    <row r="1063" spans="1:7" x14ac:dyDescent="0.25">
      <c r="A1063" t="s">
        <v>8</v>
      </c>
      <c r="B1063" s="1" t="str">
        <f>"000122074 - RICH FOODS-HILTON"</f>
        <v>000122074 - RICH FOODS-HILTON</v>
      </c>
      <c r="C1063" t="s">
        <v>183</v>
      </c>
      <c r="D1063" s="1" t="str">
        <f t="shared" si="31"/>
        <v>PRG-1014940</v>
      </c>
      <c r="E1063" t="s">
        <v>125</v>
      </c>
      <c r="F1063" t="s">
        <v>4</v>
      </c>
      <c r="G1063" t="str">
        <f>""</f>
        <v/>
      </c>
    </row>
    <row r="1064" spans="1:7" x14ac:dyDescent="0.25">
      <c r="A1064" t="s">
        <v>8</v>
      </c>
      <c r="B1064" s="1" t="str">
        <f>"000122320 - RICH FOODS HILTON NONCORE"</f>
        <v>000122320 - RICH FOODS HILTON NONCORE</v>
      </c>
      <c r="C1064" t="s">
        <v>516</v>
      </c>
      <c r="D1064" s="1" t="str">
        <f t="shared" si="31"/>
        <v>PRG-1014940</v>
      </c>
      <c r="E1064" t="s">
        <v>125</v>
      </c>
      <c r="F1064" t="s">
        <v>4</v>
      </c>
      <c r="G1064" t="str">
        <f>""</f>
        <v/>
      </c>
    </row>
    <row r="1065" spans="1:7" x14ac:dyDescent="0.25">
      <c r="A1065" t="s">
        <v>8</v>
      </c>
      <c r="B1065" s="1" t="str">
        <f>"000124531 - RICH FOODS HILTON"</f>
        <v>000124531 - RICH FOODS HILTON</v>
      </c>
      <c r="C1065" t="s">
        <v>490</v>
      </c>
      <c r="D1065" s="1" t="str">
        <f t="shared" si="31"/>
        <v>PRG-1014940</v>
      </c>
      <c r="E1065" t="s">
        <v>125</v>
      </c>
      <c r="F1065" t="s">
        <v>4</v>
      </c>
      <c r="G1065" t="str">
        <f>""</f>
        <v/>
      </c>
    </row>
    <row r="1066" spans="1:7" x14ac:dyDescent="0.25">
      <c r="A1066" t="s">
        <v>8</v>
      </c>
      <c r="B1066" s="1" t="str">
        <f>"000124754 - RICH FOODS-HILTON"</f>
        <v>000124754 - RICH FOODS-HILTON</v>
      </c>
      <c r="C1066" t="s">
        <v>183</v>
      </c>
      <c r="D1066" s="1" t="str">
        <f t="shared" si="31"/>
        <v>PRG-1014940</v>
      </c>
      <c r="E1066" t="s">
        <v>125</v>
      </c>
      <c r="F1066" t="s">
        <v>4</v>
      </c>
      <c r="G1066" t="str">
        <f>""</f>
        <v/>
      </c>
    </row>
    <row r="1067" spans="1:7" x14ac:dyDescent="0.25">
      <c r="A1067" t="s">
        <v>8</v>
      </c>
      <c r="B1067" s="1" t="str">
        <f>"000126448 - RICH FOODS HILTON"</f>
        <v>000126448 - RICH FOODS HILTON</v>
      </c>
      <c r="C1067" t="s">
        <v>490</v>
      </c>
      <c r="D1067" s="1" t="str">
        <f t="shared" si="31"/>
        <v>PRG-1014940</v>
      </c>
      <c r="E1067" t="s">
        <v>125</v>
      </c>
      <c r="F1067" t="s">
        <v>4</v>
      </c>
      <c r="G1067" t="str">
        <f>""</f>
        <v/>
      </c>
    </row>
    <row r="1068" spans="1:7" x14ac:dyDescent="0.25">
      <c r="A1068" t="s">
        <v>8</v>
      </c>
      <c r="B1068" s="1" t="str">
        <f>"000127609 - RICH FOODS HILTON NCORE"</f>
        <v>000127609 - RICH FOODS HILTON NCORE</v>
      </c>
      <c r="C1068" t="s">
        <v>561</v>
      </c>
      <c r="D1068" s="1" t="str">
        <f t="shared" si="31"/>
        <v>PRG-1014940</v>
      </c>
      <c r="E1068" t="s">
        <v>125</v>
      </c>
      <c r="F1068" t="s">
        <v>4</v>
      </c>
      <c r="G1068" t="str">
        <f>""</f>
        <v/>
      </c>
    </row>
    <row r="1069" spans="1:7" x14ac:dyDescent="0.25">
      <c r="A1069" t="s">
        <v>8</v>
      </c>
      <c r="B1069" s="1" t="str">
        <f>"000129600 - RICH FOODS HILTON"</f>
        <v>000129600 - RICH FOODS HILTON</v>
      </c>
      <c r="C1069" t="s">
        <v>490</v>
      </c>
      <c r="D1069" s="1" t="str">
        <f t="shared" si="31"/>
        <v>PRG-1014940</v>
      </c>
      <c r="E1069" t="s">
        <v>125</v>
      </c>
      <c r="F1069" t="s">
        <v>4</v>
      </c>
      <c r="G1069" t="str">
        <f>""</f>
        <v/>
      </c>
    </row>
    <row r="1070" spans="1:7" x14ac:dyDescent="0.25">
      <c r="A1070" t="s">
        <v>8</v>
      </c>
      <c r="B1070" s="1" t="str">
        <f>"000130719 - RICH FOODS NON CORE HILTONVOID"</f>
        <v>000130719 - RICH FOODS NON CORE HILTONVOID</v>
      </c>
      <c r="C1070" t="s">
        <v>513</v>
      </c>
      <c r="D1070" s="1" t="str">
        <f t="shared" si="31"/>
        <v>PRG-1014940</v>
      </c>
      <c r="E1070" t="s">
        <v>125</v>
      </c>
      <c r="F1070" t="s">
        <v>4</v>
      </c>
      <c r="G1070" t="str">
        <f>""</f>
        <v/>
      </c>
    </row>
    <row r="1071" spans="1:7" x14ac:dyDescent="0.25">
      <c r="A1071" t="s">
        <v>8</v>
      </c>
      <c r="B1071" s="1" t="str">
        <f>"000130928 - RICH FOODS HILTON NONCORE"</f>
        <v>000130928 - RICH FOODS HILTON NONCORE</v>
      </c>
      <c r="C1071" t="s">
        <v>516</v>
      </c>
      <c r="D1071" s="1" t="str">
        <f t="shared" si="31"/>
        <v>PRG-1014940</v>
      </c>
      <c r="E1071" t="s">
        <v>125</v>
      </c>
      <c r="F1071" t="s">
        <v>4</v>
      </c>
      <c r="G1071" t="str">
        <f>""</f>
        <v/>
      </c>
    </row>
    <row r="1072" spans="1:7" x14ac:dyDescent="0.25">
      <c r="A1072" t="s">
        <v>8</v>
      </c>
      <c r="B1072" s="1" t="str">
        <f>"000131218 - "</f>
        <v xml:space="preserve">000131218 - </v>
      </c>
      <c r="D1072" s="1" t="str">
        <f t="shared" si="31"/>
        <v>PRG-1014940</v>
      </c>
      <c r="E1072" t="s">
        <v>125</v>
      </c>
      <c r="F1072" t="s">
        <v>4</v>
      </c>
      <c r="G1072" t="str">
        <f>""</f>
        <v/>
      </c>
    </row>
    <row r="1073" spans="1:7" x14ac:dyDescent="0.25">
      <c r="A1073" t="s">
        <v>8</v>
      </c>
      <c r="B1073" s="1" t="str">
        <f>"000131832 - RICHS NC(DPMRETRO)-HILTON"</f>
        <v>000131832 - RICHS NC(DPMRETRO)-HILTON</v>
      </c>
      <c r="C1073" t="s">
        <v>837</v>
      </c>
      <c r="D1073" s="1" t="str">
        <f t="shared" si="31"/>
        <v>PRG-1014940</v>
      </c>
      <c r="E1073" t="s">
        <v>125</v>
      </c>
      <c r="F1073" t="s">
        <v>4</v>
      </c>
      <c r="G1073" t="str">
        <f>""</f>
        <v/>
      </c>
    </row>
    <row r="1074" spans="1:7" x14ac:dyDescent="0.25">
      <c r="A1074" t="s">
        <v>8</v>
      </c>
      <c r="B1074" s="1" t="str">
        <f>"000134246 - RICH FOODS NON CORE HILTONVOID"</f>
        <v>000134246 - RICH FOODS NON CORE HILTONVOID</v>
      </c>
      <c r="C1074" t="s">
        <v>513</v>
      </c>
      <c r="D1074" s="1" t="str">
        <f t="shared" si="31"/>
        <v>PRG-1014940</v>
      </c>
      <c r="E1074" t="s">
        <v>125</v>
      </c>
      <c r="F1074" t="s">
        <v>4</v>
      </c>
      <c r="G1074" t="str">
        <f>""</f>
        <v/>
      </c>
    </row>
    <row r="1075" spans="1:7" x14ac:dyDescent="0.25">
      <c r="A1075" t="s">
        <v>8</v>
      </c>
      <c r="B1075" s="1" t="str">
        <f>"000134247 - RICH FOODS CORE - HILTON VOID"</f>
        <v>000134247 - RICH FOODS CORE - HILTON VOID</v>
      </c>
      <c r="C1075" t="s">
        <v>794</v>
      </c>
      <c r="D1075" s="1" t="str">
        <f t="shared" si="31"/>
        <v>PRG-1014940</v>
      </c>
      <c r="E1075" t="s">
        <v>125</v>
      </c>
      <c r="F1075" t="s">
        <v>4</v>
      </c>
      <c r="G1075" t="str">
        <f>""</f>
        <v/>
      </c>
    </row>
    <row r="1076" spans="1:7" x14ac:dyDescent="0.25">
      <c r="A1076" t="s">
        <v>8</v>
      </c>
      <c r="B1076" s="1" t="str">
        <f>"000134730 - RICH FOODS HILTON NONCORE"</f>
        <v>000134730 - RICH FOODS HILTON NONCORE</v>
      </c>
      <c r="C1076" t="s">
        <v>516</v>
      </c>
      <c r="D1076" s="1" t="str">
        <f t="shared" si="31"/>
        <v>PRG-1014940</v>
      </c>
      <c r="E1076" t="s">
        <v>125</v>
      </c>
      <c r="F1076" t="s">
        <v>4</v>
      </c>
      <c r="G1076" t="str">
        <f>""</f>
        <v/>
      </c>
    </row>
    <row r="1077" spans="1:7" x14ac:dyDescent="0.25">
      <c r="A1077" t="s">
        <v>8</v>
      </c>
      <c r="B1077" s="1" t="str">
        <f>"000135571 - "</f>
        <v xml:space="preserve">000135571 - </v>
      </c>
      <c r="D1077" s="1" t="str">
        <f t="shared" si="31"/>
        <v>PRG-1014940</v>
      </c>
      <c r="E1077" t="s">
        <v>125</v>
      </c>
      <c r="F1077" t="s">
        <v>4</v>
      </c>
      <c r="G1077" t="str">
        <f>""</f>
        <v/>
      </c>
    </row>
    <row r="1078" spans="1:7" x14ac:dyDescent="0.25">
      <c r="A1078" t="s">
        <v>8</v>
      </c>
      <c r="B1078" s="1" t="str">
        <f>"000136189 - RICH FOODS-HILTON"</f>
        <v>000136189 - RICH FOODS-HILTON</v>
      </c>
      <c r="C1078" t="s">
        <v>183</v>
      </c>
      <c r="D1078" s="1" t="str">
        <f t="shared" si="31"/>
        <v>PRG-1014940</v>
      </c>
      <c r="E1078" t="s">
        <v>125</v>
      </c>
      <c r="F1078" t="s">
        <v>4</v>
      </c>
      <c r="G1078" t="str">
        <f>""</f>
        <v/>
      </c>
    </row>
    <row r="1079" spans="1:7" x14ac:dyDescent="0.25">
      <c r="A1079" t="s">
        <v>8</v>
      </c>
      <c r="B1079" s="1" t="str">
        <f>"000136259 - RICH FOODS HILTON NCORE"</f>
        <v>000136259 - RICH FOODS HILTON NCORE</v>
      </c>
      <c r="C1079" t="s">
        <v>561</v>
      </c>
      <c r="D1079" s="1" t="str">
        <f t="shared" si="31"/>
        <v>PRG-1014940</v>
      </c>
      <c r="E1079" t="s">
        <v>125</v>
      </c>
      <c r="F1079" t="s">
        <v>4</v>
      </c>
      <c r="G1079" t="str">
        <f>""</f>
        <v/>
      </c>
    </row>
    <row r="1080" spans="1:7" x14ac:dyDescent="0.25">
      <c r="A1080" t="s">
        <v>8</v>
      </c>
      <c r="B1080" s="1" t="str">
        <f>"000139358 - RICH FOODS HILTON NCORE"</f>
        <v>000139358 - RICH FOODS HILTON NCORE</v>
      </c>
      <c r="C1080" t="s">
        <v>561</v>
      </c>
      <c r="D1080" s="1" t="str">
        <f t="shared" si="31"/>
        <v>PRG-1014940</v>
      </c>
      <c r="E1080" t="s">
        <v>125</v>
      </c>
      <c r="F1080" t="s">
        <v>4</v>
      </c>
      <c r="G1080" t="str">
        <f>""</f>
        <v/>
      </c>
    </row>
    <row r="1081" spans="1:7" x14ac:dyDescent="0.25">
      <c r="A1081" t="s">
        <v>8</v>
      </c>
      <c r="B1081" s="1" t="str">
        <f>"000142052 - RICH FOODS HILTON"</f>
        <v>000142052 - RICH FOODS HILTON</v>
      </c>
      <c r="C1081" t="s">
        <v>490</v>
      </c>
      <c r="D1081" s="1" t="str">
        <f t="shared" si="31"/>
        <v>PRG-1014940</v>
      </c>
      <c r="E1081" t="s">
        <v>125</v>
      </c>
      <c r="F1081" t="s">
        <v>4</v>
      </c>
      <c r="G1081" t="str">
        <f>""</f>
        <v/>
      </c>
    </row>
    <row r="1082" spans="1:7" x14ac:dyDescent="0.25">
      <c r="A1082" t="s">
        <v>8</v>
      </c>
      <c r="B1082" s="1" t="str">
        <f>"000147675 - RICH FOODS NON CORE HILTONVOID"</f>
        <v>000147675 - RICH FOODS NON CORE HILTONVOID</v>
      </c>
      <c r="C1082" t="s">
        <v>513</v>
      </c>
      <c r="D1082" s="1" t="str">
        <f t="shared" si="31"/>
        <v>PRG-1014940</v>
      </c>
      <c r="E1082" t="s">
        <v>125</v>
      </c>
      <c r="F1082" t="s">
        <v>4</v>
      </c>
      <c r="G1082" t="str">
        <f>""</f>
        <v/>
      </c>
    </row>
    <row r="1083" spans="1:7" x14ac:dyDescent="0.25">
      <c r="A1083" t="s">
        <v>8</v>
      </c>
      <c r="B1083" s="1" t="str">
        <f>"000147676 - RICH FOODS CORE - HILTON VOID"</f>
        <v>000147676 - RICH FOODS CORE - HILTON VOID</v>
      </c>
      <c r="C1083" t="s">
        <v>794</v>
      </c>
      <c r="D1083" s="1" t="str">
        <f t="shared" si="31"/>
        <v>PRG-1014940</v>
      </c>
      <c r="E1083" t="s">
        <v>125</v>
      </c>
      <c r="F1083" t="s">
        <v>4</v>
      </c>
      <c r="G1083" t="str">
        <f>""</f>
        <v/>
      </c>
    </row>
    <row r="1084" spans="1:7" x14ac:dyDescent="0.25">
      <c r="A1084" t="s">
        <v>8</v>
      </c>
      <c r="B1084" s="1" t="str">
        <f>"000148245 - RICH FOODS HILTON NONCORE"</f>
        <v>000148245 - RICH FOODS HILTON NONCORE</v>
      </c>
      <c r="C1084" t="s">
        <v>516</v>
      </c>
      <c r="D1084" s="1" t="str">
        <f t="shared" si="31"/>
        <v>PRG-1014940</v>
      </c>
      <c r="E1084" t="s">
        <v>125</v>
      </c>
      <c r="F1084" t="s">
        <v>4</v>
      </c>
      <c r="G1084" t="str">
        <f>""</f>
        <v/>
      </c>
    </row>
    <row r="1085" spans="1:7" x14ac:dyDescent="0.25">
      <c r="A1085" t="s">
        <v>8</v>
      </c>
      <c r="B1085" s="1" t="str">
        <f>"000149148 - RICH HILTON"</f>
        <v>000149148 - RICH HILTON</v>
      </c>
      <c r="C1085" t="s">
        <v>1006</v>
      </c>
      <c r="D1085" s="1" t="str">
        <f t="shared" si="31"/>
        <v>PRG-1014940</v>
      </c>
      <c r="E1085" t="s">
        <v>125</v>
      </c>
      <c r="F1085" t="s">
        <v>4</v>
      </c>
      <c r="G1085" t="str">
        <f>""</f>
        <v/>
      </c>
    </row>
    <row r="1086" spans="1:7" x14ac:dyDescent="0.25">
      <c r="A1086" t="s">
        <v>8</v>
      </c>
      <c r="B1086" s="1" t="str">
        <f>"000163968 - RICH FOODS-HILTON"</f>
        <v>000163968 - RICH FOODS-HILTON</v>
      </c>
      <c r="C1086" t="s">
        <v>183</v>
      </c>
      <c r="D1086" s="1" t="str">
        <f t="shared" si="31"/>
        <v>PRG-1014940</v>
      </c>
      <c r="E1086" t="s">
        <v>125</v>
      </c>
      <c r="F1086" t="s">
        <v>4</v>
      </c>
      <c r="G1086" t="str">
        <f>""</f>
        <v/>
      </c>
    </row>
    <row r="1087" spans="1:7" x14ac:dyDescent="0.25">
      <c r="A1087" t="s">
        <v>8</v>
      </c>
      <c r="B1087" s="1" t="str">
        <f>"000169607 - RICH FOODS HILTON"</f>
        <v>000169607 - RICH FOODS HILTON</v>
      </c>
      <c r="C1087" t="s">
        <v>490</v>
      </c>
      <c r="D1087" s="1" t="str">
        <f t="shared" si="31"/>
        <v>PRG-1014940</v>
      </c>
      <c r="E1087" t="s">
        <v>125</v>
      </c>
      <c r="F1087" t="s">
        <v>4</v>
      </c>
      <c r="G1087" t="str">
        <f>""</f>
        <v/>
      </c>
    </row>
    <row r="1088" spans="1:7" x14ac:dyDescent="0.25">
      <c r="A1088" t="s">
        <v>8</v>
      </c>
      <c r="B1088" s="1" t="str">
        <f>"000174005 - RICH FOODS-HILTON"</f>
        <v>000174005 - RICH FOODS-HILTON</v>
      </c>
      <c r="C1088" t="s">
        <v>183</v>
      </c>
      <c r="D1088" s="1" t="str">
        <f t="shared" si="31"/>
        <v>PRG-1014940</v>
      </c>
      <c r="E1088" t="s">
        <v>125</v>
      </c>
      <c r="F1088" t="s">
        <v>4</v>
      </c>
      <c r="G1088" t="str">
        <f>""</f>
        <v/>
      </c>
    </row>
    <row r="1089" spans="1:7" x14ac:dyDescent="0.25">
      <c r="A1089" t="s">
        <v>8</v>
      </c>
      <c r="B1089" s="1" t="str">
        <f>"000174856 - RICH FOODS NON CORE HILTONVOID"</f>
        <v>000174856 - RICH FOODS NON CORE HILTONVOID</v>
      </c>
      <c r="C1089" t="s">
        <v>513</v>
      </c>
      <c r="D1089" s="1" t="str">
        <f t="shared" si="31"/>
        <v>PRG-1014940</v>
      </c>
      <c r="E1089" t="s">
        <v>125</v>
      </c>
      <c r="F1089" t="s">
        <v>4</v>
      </c>
      <c r="G1089" t="str">
        <f>""</f>
        <v/>
      </c>
    </row>
    <row r="1090" spans="1:7" x14ac:dyDescent="0.25">
      <c r="A1090" t="s">
        <v>8</v>
      </c>
      <c r="B1090" s="1" t="str">
        <f>"000175628 - RICH FOODS HILTON NONCORE"</f>
        <v>000175628 - RICH FOODS HILTON NONCORE</v>
      </c>
      <c r="C1090" t="s">
        <v>516</v>
      </c>
      <c r="D1090" s="1" t="str">
        <f t="shared" si="31"/>
        <v>PRG-1014940</v>
      </c>
      <c r="E1090" t="s">
        <v>125</v>
      </c>
      <c r="F1090" t="s">
        <v>4</v>
      </c>
      <c r="G1090" t="str">
        <f>""</f>
        <v/>
      </c>
    </row>
    <row r="1091" spans="1:7" x14ac:dyDescent="0.25">
      <c r="A1091" t="s">
        <v>8</v>
      </c>
      <c r="B1091" s="1" t="str">
        <f>"000183344 - RICH FOODS-HILTON"</f>
        <v>000183344 - RICH FOODS-HILTON</v>
      </c>
      <c r="C1091" t="s">
        <v>183</v>
      </c>
      <c r="D1091" s="1" t="str">
        <f t="shared" si="31"/>
        <v>PRG-1014940</v>
      </c>
      <c r="E1091" t="s">
        <v>125</v>
      </c>
      <c r="F1091" t="s">
        <v>4</v>
      </c>
      <c r="G1091" t="str">
        <f>""</f>
        <v/>
      </c>
    </row>
    <row r="1092" spans="1:7" x14ac:dyDescent="0.25">
      <c r="A1092" t="s">
        <v>8</v>
      </c>
      <c r="B1092" s="1" t="str">
        <f>"000187575 - RICH FOODS NON CORE HILTONVOID"</f>
        <v>000187575 - RICH FOODS NON CORE HILTONVOID</v>
      </c>
      <c r="C1092" t="s">
        <v>513</v>
      </c>
      <c r="D1092" s="1" t="str">
        <f t="shared" si="31"/>
        <v>PRG-1014940</v>
      </c>
      <c r="E1092" t="s">
        <v>125</v>
      </c>
      <c r="F1092" t="s">
        <v>4</v>
      </c>
      <c r="G1092" t="str">
        <f>""</f>
        <v/>
      </c>
    </row>
    <row r="1093" spans="1:7" x14ac:dyDescent="0.25">
      <c r="A1093" t="s">
        <v>8</v>
      </c>
      <c r="B1093" s="1" t="str">
        <f>"000187772 - RICH FOODS NON CORE HILTONVOID"</f>
        <v>000187772 - RICH FOODS NON CORE HILTONVOID</v>
      </c>
      <c r="C1093" t="s">
        <v>513</v>
      </c>
      <c r="D1093" s="1" t="str">
        <f t="shared" si="31"/>
        <v>PRG-1014940</v>
      </c>
      <c r="E1093" t="s">
        <v>125</v>
      </c>
      <c r="F1093" t="s">
        <v>4</v>
      </c>
      <c r="G1093" t="str">
        <f>""</f>
        <v/>
      </c>
    </row>
    <row r="1094" spans="1:7" x14ac:dyDescent="0.25">
      <c r="A1094" t="s">
        <v>8</v>
      </c>
      <c r="B1094" s="1" t="str">
        <f>"000187773 - RICH FOODS CORE - HILTON VOID"</f>
        <v>000187773 - RICH FOODS CORE - HILTON VOID</v>
      </c>
      <c r="C1094" t="s">
        <v>794</v>
      </c>
      <c r="D1094" s="1" t="str">
        <f t="shared" si="31"/>
        <v>PRG-1014940</v>
      </c>
      <c r="E1094" t="s">
        <v>125</v>
      </c>
      <c r="F1094" t="s">
        <v>4</v>
      </c>
      <c r="G1094" t="str">
        <f>""</f>
        <v/>
      </c>
    </row>
    <row r="1095" spans="1:7" x14ac:dyDescent="0.25">
      <c r="A1095" t="s">
        <v>8</v>
      </c>
      <c r="B1095" s="1" t="str">
        <f>"000188218 - RICH FOODS HILTON NONCORE"</f>
        <v>000188218 - RICH FOODS HILTON NONCORE</v>
      </c>
      <c r="C1095" t="s">
        <v>516</v>
      </c>
      <c r="D1095" s="1" t="str">
        <f t="shared" si="31"/>
        <v>PRG-1014940</v>
      </c>
      <c r="E1095" t="s">
        <v>125</v>
      </c>
      <c r="F1095" t="s">
        <v>4</v>
      </c>
      <c r="G1095" t="str">
        <f>""</f>
        <v/>
      </c>
    </row>
    <row r="1096" spans="1:7" x14ac:dyDescent="0.25">
      <c r="A1096" t="s">
        <v>8</v>
      </c>
      <c r="B1096" s="1" t="str">
        <f>"000188400 - RICH FOODS HILTON NONCORE"</f>
        <v>000188400 - RICH FOODS HILTON NONCORE</v>
      </c>
      <c r="C1096" t="s">
        <v>516</v>
      </c>
      <c r="D1096" s="1" t="str">
        <f t="shared" si="31"/>
        <v>PRG-1014940</v>
      </c>
      <c r="E1096" t="s">
        <v>125</v>
      </c>
      <c r="F1096" t="s">
        <v>4</v>
      </c>
      <c r="G1096" t="str">
        <f>""</f>
        <v/>
      </c>
    </row>
    <row r="1097" spans="1:7" x14ac:dyDescent="0.25">
      <c r="A1097" t="s">
        <v>8</v>
      </c>
      <c r="B1097" s="1" t="str">
        <f>"000194168 - RICH FOODS HILTON NCORE"</f>
        <v>000194168 - RICH FOODS HILTON NCORE</v>
      </c>
      <c r="C1097" t="s">
        <v>561</v>
      </c>
      <c r="D1097" s="1" t="str">
        <f t="shared" si="31"/>
        <v>PRG-1014940</v>
      </c>
      <c r="E1097" t="s">
        <v>125</v>
      </c>
      <c r="F1097" t="s">
        <v>4</v>
      </c>
      <c r="G1097" t="str">
        <f>""</f>
        <v/>
      </c>
    </row>
    <row r="1098" spans="1:7" x14ac:dyDescent="0.25">
      <c r="A1098" t="s">
        <v>8</v>
      </c>
      <c r="B1098" s="1" t="str">
        <f>"000194733 - RICH FOODS HILTON NCORE"</f>
        <v>000194733 - RICH FOODS HILTON NCORE</v>
      </c>
      <c r="C1098" t="s">
        <v>561</v>
      </c>
      <c r="D1098" s="1" t="str">
        <f t="shared" si="31"/>
        <v>PRG-1014940</v>
      </c>
      <c r="E1098" t="s">
        <v>125</v>
      </c>
      <c r="F1098" t="s">
        <v>4</v>
      </c>
      <c r="G1098" t="str">
        <f>""</f>
        <v/>
      </c>
    </row>
    <row r="1099" spans="1:7" x14ac:dyDescent="0.25">
      <c r="A1099" t="s">
        <v>8</v>
      </c>
      <c r="B1099" s="1" t="str">
        <f>"000194834 - RICH FOODS NON CORE HILTONVOID"</f>
        <v>000194834 - RICH FOODS NON CORE HILTONVOID</v>
      </c>
      <c r="C1099" t="s">
        <v>513</v>
      </c>
      <c r="D1099" s="1" t="str">
        <f t="shared" ref="D1099:D1162" si="32">"PRG-1014940"</f>
        <v>PRG-1014940</v>
      </c>
      <c r="E1099" t="s">
        <v>125</v>
      </c>
      <c r="F1099" t="s">
        <v>4</v>
      </c>
      <c r="G1099" t="str">
        <f>""</f>
        <v/>
      </c>
    </row>
    <row r="1100" spans="1:7" x14ac:dyDescent="0.25">
      <c r="A1100" t="s">
        <v>8</v>
      </c>
      <c r="B1100" s="1" t="str">
        <f>"000194883 - BB HILTON FOB RICH"</f>
        <v>000194883 - BB HILTON FOB RICH</v>
      </c>
      <c r="C1100" t="s">
        <v>1247</v>
      </c>
      <c r="D1100" s="1" t="str">
        <f t="shared" si="32"/>
        <v>PRG-1014940</v>
      </c>
      <c r="E1100" t="s">
        <v>125</v>
      </c>
      <c r="F1100" t="s">
        <v>4</v>
      </c>
      <c r="G1100" t="str">
        <f>""</f>
        <v/>
      </c>
    </row>
    <row r="1101" spans="1:7" x14ac:dyDescent="0.25">
      <c r="A1101" t="s">
        <v>8</v>
      </c>
      <c r="B1101" s="1" t="str">
        <f>"000196213 - BB HILTON FOB RICH"</f>
        <v>000196213 - BB HILTON FOB RICH</v>
      </c>
      <c r="C1101" t="s">
        <v>1247</v>
      </c>
      <c r="D1101" s="1" t="str">
        <f t="shared" si="32"/>
        <v>PRG-1014940</v>
      </c>
      <c r="E1101" t="s">
        <v>125</v>
      </c>
      <c r="F1101" t="s">
        <v>4</v>
      </c>
      <c r="G1101" t="str">
        <f>""</f>
        <v/>
      </c>
    </row>
    <row r="1102" spans="1:7" x14ac:dyDescent="0.25">
      <c r="A1102" t="s">
        <v>8</v>
      </c>
      <c r="B1102" s="1" t="str">
        <f>"000200403 - RICH FOODS-HILTON"</f>
        <v>000200403 - RICH FOODS-HILTON</v>
      </c>
      <c r="C1102" t="s">
        <v>183</v>
      </c>
      <c r="D1102" s="1" t="str">
        <f t="shared" si="32"/>
        <v>PRG-1014940</v>
      </c>
      <c r="E1102" t="s">
        <v>125</v>
      </c>
      <c r="F1102" t="s">
        <v>4</v>
      </c>
      <c r="G1102" t="str">
        <f>""</f>
        <v/>
      </c>
    </row>
    <row r="1103" spans="1:7" x14ac:dyDescent="0.25">
      <c r="A1103" t="s">
        <v>8</v>
      </c>
      <c r="B1103" s="1" t="str">
        <f>"000200595 - BB HILTON FOB RICH"</f>
        <v>000200595 - BB HILTON FOB RICH</v>
      </c>
      <c r="C1103" t="s">
        <v>1247</v>
      </c>
      <c r="D1103" s="1" t="str">
        <f t="shared" si="32"/>
        <v>PRG-1014940</v>
      </c>
      <c r="E1103" t="s">
        <v>125</v>
      </c>
      <c r="F1103" t="s">
        <v>4</v>
      </c>
      <c r="G1103" t="str">
        <f>""</f>
        <v/>
      </c>
    </row>
    <row r="1104" spans="1:7" x14ac:dyDescent="0.25">
      <c r="A1104" t="s">
        <v>8</v>
      </c>
      <c r="B1104" s="1" t="str">
        <f>"000201220 - RICH FOODS-HILTON"</f>
        <v>000201220 - RICH FOODS-HILTON</v>
      </c>
      <c r="C1104" t="s">
        <v>183</v>
      </c>
      <c r="D1104" s="1" t="str">
        <f t="shared" si="32"/>
        <v>PRG-1014940</v>
      </c>
      <c r="E1104" t="s">
        <v>125</v>
      </c>
      <c r="F1104" t="s">
        <v>4</v>
      </c>
      <c r="G1104" t="str">
        <f>""</f>
        <v/>
      </c>
    </row>
    <row r="1105" spans="1:7" x14ac:dyDescent="0.25">
      <c r="A1105" t="s">
        <v>8</v>
      </c>
      <c r="B1105" s="1" t="str">
        <f>"000201319 - RICH FOODS-HILTON"</f>
        <v>000201319 - RICH FOODS-HILTON</v>
      </c>
      <c r="C1105" t="s">
        <v>183</v>
      </c>
      <c r="D1105" s="1" t="str">
        <f t="shared" si="32"/>
        <v>PRG-1014940</v>
      </c>
      <c r="E1105" t="s">
        <v>125</v>
      </c>
      <c r="F1105" t="s">
        <v>4</v>
      </c>
      <c r="G1105" t="str">
        <f>""</f>
        <v/>
      </c>
    </row>
    <row r="1106" spans="1:7" x14ac:dyDescent="0.25">
      <c r="A1106" t="s">
        <v>8</v>
      </c>
      <c r="B1106" s="1" t="str">
        <f>"000201345 - RICH FOODS HILTON NCORE"</f>
        <v>000201345 - RICH FOODS HILTON NCORE</v>
      </c>
      <c r="C1106" t="s">
        <v>561</v>
      </c>
      <c r="D1106" s="1" t="str">
        <f t="shared" si="32"/>
        <v>PRG-1014940</v>
      </c>
      <c r="E1106" t="s">
        <v>125</v>
      </c>
      <c r="F1106" t="s">
        <v>4</v>
      </c>
      <c r="G1106" t="str">
        <f>""</f>
        <v/>
      </c>
    </row>
    <row r="1107" spans="1:7" x14ac:dyDescent="0.25">
      <c r="A1107" t="s">
        <v>8</v>
      </c>
      <c r="B1107" s="1" t="str">
        <f>"000201492 - RICH FOODS-HILTON"</f>
        <v>000201492 - RICH FOODS-HILTON</v>
      </c>
      <c r="C1107" t="s">
        <v>183</v>
      </c>
      <c r="D1107" s="1" t="str">
        <f t="shared" si="32"/>
        <v>PRG-1014940</v>
      </c>
      <c r="E1107" t="s">
        <v>125</v>
      </c>
      <c r="F1107" t="s">
        <v>4</v>
      </c>
      <c r="G1107" t="str">
        <f>""</f>
        <v/>
      </c>
    </row>
    <row r="1108" spans="1:7" x14ac:dyDescent="0.25">
      <c r="A1108" t="s">
        <v>8</v>
      </c>
      <c r="B1108" s="1" t="str">
        <f>"000201640 - RICH FOODS BB NCORE HILTON"</f>
        <v>000201640 - RICH FOODS BB NCORE HILTON</v>
      </c>
      <c r="C1108" t="s">
        <v>143</v>
      </c>
      <c r="D1108" s="1" t="str">
        <f t="shared" si="32"/>
        <v>PRG-1014940</v>
      </c>
      <c r="E1108" t="s">
        <v>125</v>
      </c>
      <c r="F1108" t="s">
        <v>4</v>
      </c>
      <c r="G1108" t="str">
        <f>""</f>
        <v/>
      </c>
    </row>
    <row r="1109" spans="1:7" x14ac:dyDescent="0.25">
      <c r="A1109" t="s">
        <v>8</v>
      </c>
      <c r="B1109" s="1" t="str">
        <f>"000205170 - RICH FOODS HILTON"</f>
        <v>000205170 - RICH FOODS HILTON</v>
      </c>
      <c r="C1109" t="s">
        <v>490</v>
      </c>
      <c r="D1109" s="1" t="str">
        <f t="shared" si="32"/>
        <v>PRG-1014940</v>
      </c>
      <c r="E1109" t="s">
        <v>125</v>
      </c>
      <c r="F1109" t="s">
        <v>4</v>
      </c>
      <c r="G1109" t="str">
        <f>""</f>
        <v/>
      </c>
    </row>
    <row r="1110" spans="1:7" x14ac:dyDescent="0.25">
      <c r="A1110" t="s">
        <v>8</v>
      </c>
      <c r="B1110" s="1" t="str">
        <f>"000205733 - RICH FOODS HILTON"</f>
        <v>000205733 - RICH FOODS HILTON</v>
      </c>
      <c r="C1110" t="s">
        <v>490</v>
      </c>
      <c r="D1110" s="1" t="str">
        <f t="shared" si="32"/>
        <v>PRG-1014940</v>
      </c>
      <c r="E1110" t="s">
        <v>125</v>
      </c>
      <c r="F1110" t="s">
        <v>4</v>
      </c>
      <c r="G1110" t="str">
        <f>""</f>
        <v/>
      </c>
    </row>
    <row r="1111" spans="1:7" x14ac:dyDescent="0.25">
      <c r="A1111" t="s">
        <v>8</v>
      </c>
      <c r="B1111" s="1" t="str">
        <f>"000207017 - RICH FOODS NON CORE HILTONVOID"</f>
        <v>000207017 - RICH FOODS NON CORE HILTONVOID</v>
      </c>
      <c r="C1111" t="s">
        <v>513</v>
      </c>
      <c r="D1111" s="1" t="str">
        <f t="shared" si="32"/>
        <v>PRG-1014940</v>
      </c>
      <c r="E1111" t="s">
        <v>125</v>
      </c>
      <c r="F1111" t="s">
        <v>4</v>
      </c>
      <c r="G1111" t="str">
        <f>""</f>
        <v/>
      </c>
    </row>
    <row r="1112" spans="1:7" x14ac:dyDescent="0.25">
      <c r="A1112" t="s">
        <v>8</v>
      </c>
      <c r="B1112" s="1" t="str">
        <f>"000207018 - RICH FOODS CORE - HILTON VOID"</f>
        <v>000207018 - RICH FOODS CORE - HILTON VOID</v>
      </c>
      <c r="C1112" t="s">
        <v>794</v>
      </c>
      <c r="D1112" s="1" t="str">
        <f t="shared" si="32"/>
        <v>PRG-1014940</v>
      </c>
      <c r="E1112" t="s">
        <v>125</v>
      </c>
      <c r="F1112" t="s">
        <v>4</v>
      </c>
      <c r="G1112" t="str">
        <f>""</f>
        <v/>
      </c>
    </row>
    <row r="1113" spans="1:7" x14ac:dyDescent="0.25">
      <c r="A1113" t="s">
        <v>8</v>
      </c>
      <c r="B1113" s="1" t="str">
        <f>"000207026 - BB HILTON FOB RICH"</f>
        <v>000207026 - BB HILTON FOB RICH</v>
      </c>
      <c r="C1113" t="s">
        <v>1247</v>
      </c>
      <c r="D1113" s="1" t="str">
        <f t="shared" si="32"/>
        <v>PRG-1014940</v>
      </c>
      <c r="E1113" t="s">
        <v>125</v>
      </c>
      <c r="F1113" t="s">
        <v>4</v>
      </c>
      <c r="G1113" t="str">
        <f>""</f>
        <v/>
      </c>
    </row>
    <row r="1114" spans="1:7" x14ac:dyDescent="0.25">
      <c r="A1114" t="s">
        <v>8</v>
      </c>
      <c r="B1114" s="1" t="str">
        <f>"000207682 - RICH FOODS HILTON NONCORE"</f>
        <v>000207682 - RICH FOODS HILTON NONCORE</v>
      </c>
      <c r="C1114" t="s">
        <v>516</v>
      </c>
      <c r="D1114" s="1" t="str">
        <f t="shared" si="32"/>
        <v>PRG-1014940</v>
      </c>
      <c r="E1114" t="s">
        <v>125</v>
      </c>
      <c r="F1114" t="s">
        <v>4</v>
      </c>
      <c r="G1114" t="str">
        <f>""</f>
        <v/>
      </c>
    </row>
    <row r="1115" spans="1:7" x14ac:dyDescent="0.25">
      <c r="A1115" t="s">
        <v>8</v>
      </c>
      <c r="B1115" s="1" t="str">
        <f>"000207790 - RICH FOODS-HILTON"</f>
        <v>000207790 - RICH FOODS-HILTON</v>
      </c>
      <c r="C1115" t="s">
        <v>183</v>
      </c>
      <c r="D1115" s="1" t="str">
        <f t="shared" si="32"/>
        <v>PRG-1014940</v>
      </c>
      <c r="E1115" t="s">
        <v>125</v>
      </c>
      <c r="F1115" t="s">
        <v>4</v>
      </c>
      <c r="G1115" t="str">
        <f>""</f>
        <v/>
      </c>
    </row>
    <row r="1116" spans="1:7" x14ac:dyDescent="0.25">
      <c r="A1116" t="s">
        <v>8</v>
      </c>
      <c r="B1116" s="1" t="str">
        <f>"000207948 - RICH FOODS HILTON"</f>
        <v>000207948 - RICH FOODS HILTON</v>
      </c>
      <c r="C1116" t="s">
        <v>490</v>
      </c>
      <c r="D1116" s="1" t="str">
        <f t="shared" si="32"/>
        <v>PRG-1014940</v>
      </c>
      <c r="E1116" t="s">
        <v>125</v>
      </c>
      <c r="F1116" t="s">
        <v>4</v>
      </c>
      <c r="G1116" t="str">
        <f>""</f>
        <v/>
      </c>
    </row>
    <row r="1117" spans="1:7" x14ac:dyDescent="0.25">
      <c r="A1117" t="s">
        <v>8</v>
      </c>
      <c r="B1117" s="1" t="str">
        <f>"000208324 - RICH FOODS-HILTON"</f>
        <v>000208324 - RICH FOODS-HILTON</v>
      </c>
      <c r="C1117" t="s">
        <v>183</v>
      </c>
      <c r="D1117" s="1" t="str">
        <f t="shared" si="32"/>
        <v>PRG-1014940</v>
      </c>
      <c r="E1117" t="s">
        <v>125</v>
      </c>
      <c r="F1117" t="s">
        <v>4</v>
      </c>
      <c r="G1117" t="str">
        <f>""</f>
        <v/>
      </c>
    </row>
    <row r="1118" spans="1:7" x14ac:dyDescent="0.25">
      <c r="A1118" t="s">
        <v>8</v>
      </c>
      <c r="B1118" s="1" t="str">
        <f>"000208809 - RICH FOODS HILTON"</f>
        <v>000208809 - RICH FOODS HILTON</v>
      </c>
      <c r="C1118" t="s">
        <v>490</v>
      </c>
      <c r="D1118" s="1" t="str">
        <f t="shared" si="32"/>
        <v>PRG-1014940</v>
      </c>
      <c r="E1118" t="s">
        <v>125</v>
      </c>
      <c r="F1118" t="s">
        <v>4</v>
      </c>
      <c r="G1118" t="str">
        <f>""</f>
        <v/>
      </c>
    </row>
    <row r="1119" spans="1:7" x14ac:dyDescent="0.25">
      <c r="A1119" t="s">
        <v>8</v>
      </c>
      <c r="B1119" s="1" t="str">
        <f>"000209795 - RICH FOODS NON CORE HILTONVOID"</f>
        <v>000209795 - RICH FOODS NON CORE HILTONVOID</v>
      </c>
      <c r="C1119" t="s">
        <v>513</v>
      </c>
      <c r="D1119" s="1" t="str">
        <f t="shared" si="32"/>
        <v>PRG-1014940</v>
      </c>
      <c r="E1119" t="s">
        <v>125</v>
      </c>
      <c r="F1119" t="s">
        <v>4</v>
      </c>
      <c r="G1119" t="str">
        <f>""</f>
        <v/>
      </c>
    </row>
    <row r="1120" spans="1:7" x14ac:dyDescent="0.25">
      <c r="A1120" t="s">
        <v>8</v>
      </c>
      <c r="B1120" s="1" t="str">
        <f>"000209796 - RICH FOODS CORE - HILTON VOID"</f>
        <v>000209796 - RICH FOODS CORE - HILTON VOID</v>
      </c>
      <c r="C1120" t="s">
        <v>794</v>
      </c>
      <c r="D1120" s="1" t="str">
        <f t="shared" si="32"/>
        <v>PRG-1014940</v>
      </c>
      <c r="E1120" t="s">
        <v>125</v>
      </c>
      <c r="F1120" t="s">
        <v>4</v>
      </c>
      <c r="G1120" t="str">
        <f>""</f>
        <v/>
      </c>
    </row>
    <row r="1121" spans="1:7" x14ac:dyDescent="0.25">
      <c r="A1121" t="s">
        <v>8</v>
      </c>
      <c r="B1121" s="1" t="str">
        <f>"000210220 - RICH FOODS NON CORE HILTONVOID"</f>
        <v>000210220 - RICH FOODS NON CORE HILTONVOID</v>
      </c>
      <c r="C1121" t="s">
        <v>513</v>
      </c>
      <c r="D1121" s="1" t="str">
        <f t="shared" si="32"/>
        <v>PRG-1014940</v>
      </c>
      <c r="E1121" t="s">
        <v>125</v>
      </c>
      <c r="F1121" t="s">
        <v>4</v>
      </c>
      <c r="G1121" t="str">
        <f>""</f>
        <v/>
      </c>
    </row>
    <row r="1122" spans="1:7" x14ac:dyDescent="0.25">
      <c r="A1122" t="s">
        <v>8</v>
      </c>
      <c r="B1122" s="1" t="str">
        <f>"000210338 - RICH FOODS HILTON NONCORE"</f>
        <v>000210338 - RICH FOODS HILTON NONCORE</v>
      </c>
      <c r="C1122" t="s">
        <v>516</v>
      </c>
      <c r="D1122" s="1" t="str">
        <f t="shared" si="32"/>
        <v>PRG-1014940</v>
      </c>
      <c r="E1122" t="s">
        <v>125</v>
      </c>
      <c r="F1122" t="s">
        <v>4</v>
      </c>
      <c r="G1122" t="str">
        <f>""</f>
        <v/>
      </c>
    </row>
    <row r="1123" spans="1:7" x14ac:dyDescent="0.25">
      <c r="A1123" t="s">
        <v>8</v>
      </c>
      <c r="B1123" s="1" t="str">
        <f>"000210575 - RICH FOODS-HILTON"</f>
        <v>000210575 - RICH FOODS-HILTON</v>
      </c>
      <c r="C1123" t="s">
        <v>183</v>
      </c>
      <c r="D1123" s="1" t="str">
        <f t="shared" si="32"/>
        <v>PRG-1014940</v>
      </c>
      <c r="E1123" t="s">
        <v>125</v>
      </c>
      <c r="F1123" t="s">
        <v>4</v>
      </c>
      <c r="G1123" t="str">
        <f>""</f>
        <v/>
      </c>
    </row>
    <row r="1124" spans="1:7" x14ac:dyDescent="0.25">
      <c r="A1124" t="s">
        <v>8</v>
      </c>
      <c r="B1124" s="1" t="str">
        <f>"000210708 - RICH FOODS HILTON NONCORE"</f>
        <v>000210708 - RICH FOODS HILTON NONCORE</v>
      </c>
      <c r="C1124" t="s">
        <v>516</v>
      </c>
      <c r="D1124" s="1" t="str">
        <f t="shared" si="32"/>
        <v>PRG-1014940</v>
      </c>
      <c r="E1124" t="s">
        <v>125</v>
      </c>
      <c r="F1124" t="s">
        <v>4</v>
      </c>
      <c r="G1124" t="str">
        <f>""</f>
        <v/>
      </c>
    </row>
    <row r="1125" spans="1:7" x14ac:dyDescent="0.25">
      <c r="A1125" t="s">
        <v>8</v>
      </c>
      <c r="B1125" s="1" t="str">
        <f>"000211269 - RICH FOODS-HILTON"</f>
        <v>000211269 - RICH FOODS-HILTON</v>
      </c>
      <c r="C1125" t="s">
        <v>183</v>
      </c>
      <c r="D1125" s="1" t="str">
        <f t="shared" si="32"/>
        <v>PRG-1014940</v>
      </c>
      <c r="E1125" t="s">
        <v>125</v>
      </c>
      <c r="F1125" t="s">
        <v>4</v>
      </c>
      <c r="G1125" t="str">
        <f>""</f>
        <v/>
      </c>
    </row>
    <row r="1126" spans="1:7" x14ac:dyDescent="0.25">
      <c r="A1126" t="s">
        <v>8</v>
      </c>
      <c r="B1126" s="1" t="str">
        <f>"000211554 - RICH FOODS-HILTON"</f>
        <v>000211554 - RICH FOODS-HILTON</v>
      </c>
      <c r="C1126" t="s">
        <v>183</v>
      </c>
      <c r="D1126" s="1" t="str">
        <f t="shared" si="32"/>
        <v>PRG-1014940</v>
      </c>
      <c r="E1126" t="s">
        <v>125</v>
      </c>
      <c r="F1126" t="s">
        <v>4</v>
      </c>
      <c r="G1126" t="str">
        <f>""</f>
        <v/>
      </c>
    </row>
    <row r="1127" spans="1:7" x14ac:dyDescent="0.25">
      <c r="A1127" t="s">
        <v>8</v>
      </c>
      <c r="B1127" s="1" t="str">
        <f>"000211648 - RICH FOODS-HILTON"</f>
        <v>000211648 - RICH FOODS-HILTON</v>
      </c>
      <c r="C1127" t="s">
        <v>183</v>
      </c>
      <c r="D1127" s="1" t="str">
        <f t="shared" si="32"/>
        <v>PRG-1014940</v>
      </c>
      <c r="E1127" t="s">
        <v>125</v>
      </c>
      <c r="F1127" t="s">
        <v>4</v>
      </c>
      <c r="G1127" t="str">
        <f>""</f>
        <v/>
      </c>
    </row>
    <row r="1128" spans="1:7" x14ac:dyDescent="0.25">
      <c r="A1128" t="s">
        <v>8</v>
      </c>
      <c r="B1128" s="1" t="str">
        <f>"000213458 - RICH FOODS HILTON"</f>
        <v>000213458 - RICH FOODS HILTON</v>
      </c>
      <c r="C1128" t="s">
        <v>490</v>
      </c>
      <c r="D1128" s="1" t="str">
        <f t="shared" si="32"/>
        <v>PRG-1014940</v>
      </c>
      <c r="E1128" t="s">
        <v>125</v>
      </c>
      <c r="F1128" t="s">
        <v>4</v>
      </c>
      <c r="G1128" t="str">
        <f>""</f>
        <v/>
      </c>
    </row>
    <row r="1129" spans="1:7" x14ac:dyDescent="0.25">
      <c r="A1129" t="s">
        <v>8</v>
      </c>
      <c r="B1129" s="1" t="str">
        <f>"000213629 - RICH FOODS-HILTON"</f>
        <v>000213629 - RICH FOODS-HILTON</v>
      </c>
      <c r="C1129" t="s">
        <v>183</v>
      </c>
      <c r="D1129" s="1" t="str">
        <f t="shared" si="32"/>
        <v>PRG-1014940</v>
      </c>
      <c r="E1129" t="s">
        <v>125</v>
      </c>
      <c r="F1129" t="s">
        <v>4</v>
      </c>
      <c r="G1129" t="str">
        <f>""</f>
        <v/>
      </c>
    </row>
    <row r="1130" spans="1:7" x14ac:dyDescent="0.25">
      <c r="A1130" t="s">
        <v>8</v>
      </c>
      <c r="B1130" s="1" t="str">
        <f>"000213687 - RICH FOODS-HILTON"</f>
        <v>000213687 - RICH FOODS-HILTON</v>
      </c>
      <c r="C1130" t="s">
        <v>183</v>
      </c>
      <c r="D1130" s="1" t="str">
        <f t="shared" si="32"/>
        <v>PRG-1014940</v>
      </c>
      <c r="E1130" t="s">
        <v>125</v>
      </c>
      <c r="F1130" t="s">
        <v>4</v>
      </c>
      <c r="G1130" t="str">
        <f>""</f>
        <v/>
      </c>
    </row>
    <row r="1131" spans="1:7" x14ac:dyDescent="0.25">
      <c r="A1131" t="s">
        <v>8</v>
      </c>
      <c r="B1131" s="1" t="str">
        <f>"000213967 - RICH FOODS NON CORE HILTONVOID"</f>
        <v>000213967 - RICH FOODS NON CORE HILTONVOID</v>
      </c>
      <c r="C1131" t="s">
        <v>513</v>
      </c>
      <c r="D1131" s="1" t="str">
        <f t="shared" si="32"/>
        <v>PRG-1014940</v>
      </c>
      <c r="E1131" t="s">
        <v>125</v>
      </c>
      <c r="F1131" t="s">
        <v>4</v>
      </c>
      <c r="G1131" t="str">
        <f>""</f>
        <v/>
      </c>
    </row>
    <row r="1132" spans="1:7" x14ac:dyDescent="0.25">
      <c r="A1132" t="s">
        <v>8</v>
      </c>
      <c r="B1132" s="1" t="str">
        <f>"000214318 - RICH HILTON CORE WBB"</f>
        <v>000214318 - RICH HILTON CORE WBB</v>
      </c>
      <c r="C1132" t="s">
        <v>1315</v>
      </c>
      <c r="D1132" s="1" t="str">
        <f t="shared" si="32"/>
        <v>PRG-1014940</v>
      </c>
      <c r="E1132" t="s">
        <v>125</v>
      </c>
      <c r="F1132" t="s">
        <v>4</v>
      </c>
      <c r="G1132" t="str">
        <f>""</f>
        <v/>
      </c>
    </row>
    <row r="1133" spans="1:7" x14ac:dyDescent="0.25">
      <c r="A1133" t="s">
        <v>8</v>
      </c>
      <c r="B1133" s="1" t="str">
        <f>"000214539 - RICH FOODS HILTON"</f>
        <v>000214539 - RICH FOODS HILTON</v>
      </c>
      <c r="C1133" t="s">
        <v>490</v>
      </c>
      <c r="D1133" s="1" t="str">
        <f t="shared" si="32"/>
        <v>PRG-1014940</v>
      </c>
      <c r="E1133" t="s">
        <v>125</v>
      </c>
      <c r="F1133" t="s">
        <v>4</v>
      </c>
      <c r="G1133" t="str">
        <f>""</f>
        <v/>
      </c>
    </row>
    <row r="1134" spans="1:7" x14ac:dyDescent="0.25">
      <c r="A1134" t="s">
        <v>8</v>
      </c>
      <c r="B1134" s="1" t="str">
        <f>"000214851 - RICH FOODS HILTON NONCORE"</f>
        <v>000214851 - RICH FOODS HILTON NONCORE</v>
      </c>
      <c r="C1134" t="s">
        <v>516</v>
      </c>
      <c r="D1134" s="1" t="str">
        <f t="shared" si="32"/>
        <v>PRG-1014940</v>
      </c>
      <c r="E1134" t="s">
        <v>125</v>
      </c>
      <c r="F1134" t="s">
        <v>4</v>
      </c>
      <c r="G1134" t="str">
        <f>""</f>
        <v/>
      </c>
    </row>
    <row r="1135" spans="1:7" x14ac:dyDescent="0.25">
      <c r="A1135" t="s">
        <v>8</v>
      </c>
      <c r="B1135" s="1" t="str">
        <f>"000215070 - BB HILTON FOB NC RICH"</f>
        <v>000215070 - BB HILTON FOB NC RICH</v>
      </c>
      <c r="C1135" t="s">
        <v>1518</v>
      </c>
      <c r="D1135" s="1" t="str">
        <f t="shared" si="32"/>
        <v>PRG-1014940</v>
      </c>
      <c r="E1135" t="s">
        <v>125</v>
      </c>
      <c r="F1135" t="s">
        <v>4</v>
      </c>
      <c r="G1135" t="str">
        <f>""</f>
        <v/>
      </c>
    </row>
    <row r="1136" spans="1:7" x14ac:dyDescent="0.25">
      <c r="A1136" t="s">
        <v>8</v>
      </c>
      <c r="B1136" s="1" t="str">
        <f>"000215332 - RICH FOODS HILTON NCORE"</f>
        <v>000215332 - RICH FOODS HILTON NCORE</v>
      </c>
      <c r="C1136" t="s">
        <v>561</v>
      </c>
      <c r="D1136" s="1" t="str">
        <f t="shared" si="32"/>
        <v>PRG-1014940</v>
      </c>
      <c r="E1136" t="s">
        <v>125</v>
      </c>
      <c r="F1136" t="s">
        <v>4</v>
      </c>
      <c r="G1136" t="str">
        <f>""</f>
        <v/>
      </c>
    </row>
    <row r="1137" spans="1:7" x14ac:dyDescent="0.25">
      <c r="A1137" t="s">
        <v>8</v>
      </c>
      <c r="B1137" s="1" t="str">
        <f>"000215534 - RICH HILTON CORE WBB"</f>
        <v>000215534 - RICH HILTON CORE WBB</v>
      </c>
      <c r="C1137" t="s">
        <v>1315</v>
      </c>
      <c r="D1137" s="1" t="str">
        <f t="shared" si="32"/>
        <v>PRG-1014940</v>
      </c>
      <c r="E1137" t="s">
        <v>125</v>
      </c>
      <c r="F1137" t="s">
        <v>4</v>
      </c>
      <c r="G1137" t="str">
        <f>""</f>
        <v/>
      </c>
    </row>
    <row r="1138" spans="1:7" x14ac:dyDescent="0.25">
      <c r="A1138" t="s">
        <v>8</v>
      </c>
      <c r="B1138" s="1" t="str">
        <f>"000216154 - RICH FOODS NON CORE HILTONVOID"</f>
        <v>000216154 - RICH FOODS NON CORE HILTONVOID</v>
      </c>
      <c r="C1138" t="s">
        <v>513</v>
      </c>
      <c r="D1138" s="1" t="str">
        <f t="shared" si="32"/>
        <v>PRG-1014940</v>
      </c>
      <c r="E1138" t="s">
        <v>125</v>
      </c>
      <c r="F1138" t="s">
        <v>4</v>
      </c>
      <c r="G1138" t="str">
        <f>""</f>
        <v/>
      </c>
    </row>
    <row r="1139" spans="1:7" x14ac:dyDescent="0.25">
      <c r="A1139" t="s">
        <v>8</v>
      </c>
      <c r="B1139" s="1" t="str">
        <f>"000216250 - RICH FOODS HILTON"</f>
        <v>000216250 - RICH FOODS HILTON</v>
      </c>
      <c r="C1139" t="s">
        <v>490</v>
      </c>
      <c r="D1139" s="1" t="str">
        <f t="shared" si="32"/>
        <v>PRG-1014940</v>
      </c>
      <c r="E1139" t="s">
        <v>125</v>
      </c>
      <c r="F1139" t="s">
        <v>4</v>
      </c>
      <c r="G1139" t="str">
        <f>""</f>
        <v/>
      </c>
    </row>
    <row r="1140" spans="1:7" x14ac:dyDescent="0.25">
      <c r="A1140" t="s">
        <v>8</v>
      </c>
      <c r="B1140" s="1" t="str">
        <f>"000216858 - RICH FOODS HILTON NONCORE"</f>
        <v>000216858 - RICH FOODS HILTON NONCORE</v>
      </c>
      <c r="C1140" t="s">
        <v>516</v>
      </c>
      <c r="D1140" s="1" t="str">
        <f t="shared" si="32"/>
        <v>PRG-1014940</v>
      </c>
      <c r="E1140" t="s">
        <v>125</v>
      </c>
      <c r="F1140" t="s">
        <v>4</v>
      </c>
      <c r="G1140" t="str">
        <f>""</f>
        <v/>
      </c>
    </row>
    <row r="1141" spans="1:7" x14ac:dyDescent="0.25">
      <c r="A1141" t="s">
        <v>8</v>
      </c>
      <c r="B1141" s="1" t="str">
        <f>"000218957 - RICH FOODS NON CORE HILTONVOID"</f>
        <v>000218957 - RICH FOODS NON CORE HILTONVOID</v>
      </c>
      <c r="C1141" t="s">
        <v>513</v>
      </c>
      <c r="D1141" s="1" t="str">
        <f t="shared" si="32"/>
        <v>PRG-1014940</v>
      </c>
      <c r="E1141" t="s">
        <v>125</v>
      </c>
      <c r="F1141" t="s">
        <v>4</v>
      </c>
      <c r="G1141" t="str">
        <f>""</f>
        <v/>
      </c>
    </row>
    <row r="1142" spans="1:7" x14ac:dyDescent="0.25">
      <c r="A1142" t="s">
        <v>8</v>
      </c>
      <c r="B1142" s="1" t="str">
        <f>"000219385 - RICH FOODS HILTON"</f>
        <v>000219385 - RICH FOODS HILTON</v>
      </c>
      <c r="C1142" t="s">
        <v>490</v>
      </c>
      <c r="D1142" s="1" t="str">
        <f t="shared" si="32"/>
        <v>PRG-1014940</v>
      </c>
      <c r="E1142" t="s">
        <v>125</v>
      </c>
      <c r="F1142" t="s">
        <v>4</v>
      </c>
      <c r="G1142" t="str">
        <f>""</f>
        <v/>
      </c>
    </row>
    <row r="1143" spans="1:7" x14ac:dyDescent="0.25">
      <c r="A1143" t="s">
        <v>8</v>
      </c>
      <c r="B1143" s="1" t="str">
        <f>"000219567 - RICH FOODS HILTON"</f>
        <v>000219567 - RICH FOODS HILTON</v>
      </c>
      <c r="C1143" t="s">
        <v>490</v>
      </c>
      <c r="D1143" s="1" t="str">
        <f t="shared" si="32"/>
        <v>PRG-1014940</v>
      </c>
      <c r="E1143" t="s">
        <v>125</v>
      </c>
      <c r="F1143" t="s">
        <v>4</v>
      </c>
      <c r="G1143" t="str">
        <f>""</f>
        <v/>
      </c>
    </row>
    <row r="1144" spans="1:7" x14ac:dyDescent="0.25">
      <c r="A1144" t="s">
        <v>8</v>
      </c>
      <c r="B1144" s="1" t="str">
        <f>"000219620 - RICH FOODS HILTON NONCORE"</f>
        <v>000219620 - RICH FOODS HILTON NONCORE</v>
      </c>
      <c r="C1144" t="s">
        <v>516</v>
      </c>
      <c r="D1144" s="1" t="str">
        <f t="shared" si="32"/>
        <v>PRG-1014940</v>
      </c>
      <c r="E1144" t="s">
        <v>125</v>
      </c>
      <c r="F1144" t="s">
        <v>4</v>
      </c>
      <c r="G1144" t="str">
        <f>""</f>
        <v/>
      </c>
    </row>
    <row r="1145" spans="1:7" x14ac:dyDescent="0.25">
      <c r="A1145" t="s">
        <v>8</v>
      </c>
      <c r="B1145" s="1" t="str">
        <f>"000219977 - RICH FOODS NON CORE HILTONVOID"</f>
        <v>000219977 - RICH FOODS NON CORE HILTONVOID</v>
      </c>
      <c r="C1145" t="s">
        <v>513</v>
      </c>
      <c r="D1145" s="1" t="str">
        <f t="shared" si="32"/>
        <v>PRG-1014940</v>
      </c>
      <c r="E1145" t="s">
        <v>125</v>
      </c>
      <c r="F1145" t="s">
        <v>4</v>
      </c>
      <c r="G1145" t="str">
        <f>""</f>
        <v/>
      </c>
    </row>
    <row r="1146" spans="1:7" x14ac:dyDescent="0.25">
      <c r="A1146" t="s">
        <v>8</v>
      </c>
      <c r="B1146" s="1" t="str">
        <f>"000219978 - RICH FOODS CORE - HILTON VOID"</f>
        <v>000219978 - RICH FOODS CORE - HILTON VOID</v>
      </c>
      <c r="C1146" t="s">
        <v>794</v>
      </c>
      <c r="D1146" s="1" t="str">
        <f t="shared" si="32"/>
        <v>PRG-1014940</v>
      </c>
      <c r="E1146" t="s">
        <v>125</v>
      </c>
      <c r="F1146" t="s">
        <v>4</v>
      </c>
      <c r="G1146" t="str">
        <f>""</f>
        <v/>
      </c>
    </row>
    <row r="1147" spans="1:7" x14ac:dyDescent="0.25">
      <c r="A1147" t="s">
        <v>8</v>
      </c>
      <c r="B1147" s="1" t="str">
        <f>"000219981 - RICH FOODS HILTON"</f>
        <v>000219981 - RICH FOODS HILTON</v>
      </c>
      <c r="C1147" t="s">
        <v>490</v>
      </c>
      <c r="D1147" s="1" t="str">
        <f t="shared" si="32"/>
        <v>PRG-1014940</v>
      </c>
      <c r="E1147" t="s">
        <v>125</v>
      </c>
      <c r="F1147" t="s">
        <v>4</v>
      </c>
      <c r="G1147" t="str">
        <f>""</f>
        <v/>
      </c>
    </row>
    <row r="1148" spans="1:7" x14ac:dyDescent="0.25">
      <c r="A1148" t="s">
        <v>8</v>
      </c>
      <c r="B1148" s="1" t="str">
        <f>"000220566 - RICH FOODS HILTON NONCORE"</f>
        <v>000220566 - RICH FOODS HILTON NONCORE</v>
      </c>
      <c r="C1148" t="s">
        <v>516</v>
      </c>
      <c r="D1148" s="1" t="str">
        <f t="shared" si="32"/>
        <v>PRG-1014940</v>
      </c>
      <c r="E1148" t="s">
        <v>125</v>
      </c>
      <c r="F1148" t="s">
        <v>4</v>
      </c>
      <c r="G1148" t="str">
        <f>""</f>
        <v/>
      </c>
    </row>
    <row r="1149" spans="1:7" x14ac:dyDescent="0.25">
      <c r="A1149" t="s">
        <v>8</v>
      </c>
      <c r="B1149" s="1" t="str">
        <f>"000220655 - RICH FOODS BB NCORE HILTON"</f>
        <v>000220655 - RICH FOODS BB NCORE HILTON</v>
      </c>
      <c r="C1149" t="s">
        <v>143</v>
      </c>
      <c r="D1149" s="1" t="str">
        <f t="shared" si="32"/>
        <v>PRG-1014940</v>
      </c>
      <c r="E1149" t="s">
        <v>125</v>
      </c>
      <c r="F1149" t="s">
        <v>4</v>
      </c>
      <c r="G1149" t="str">
        <f>""</f>
        <v/>
      </c>
    </row>
    <row r="1150" spans="1:7" x14ac:dyDescent="0.25">
      <c r="A1150" t="s">
        <v>8</v>
      </c>
      <c r="B1150" s="1" t="str">
        <f>"000220988 - RICH FOODS HILTON"</f>
        <v>000220988 - RICH FOODS HILTON</v>
      </c>
      <c r="C1150" t="s">
        <v>490</v>
      </c>
      <c r="D1150" s="1" t="str">
        <f t="shared" si="32"/>
        <v>PRG-1014940</v>
      </c>
      <c r="E1150" t="s">
        <v>125</v>
      </c>
      <c r="F1150" t="s">
        <v>4</v>
      </c>
      <c r="G1150" t="str">
        <f>""</f>
        <v/>
      </c>
    </row>
    <row r="1151" spans="1:7" x14ac:dyDescent="0.25">
      <c r="A1151" t="s">
        <v>8</v>
      </c>
      <c r="B1151" s="1" t="str">
        <f>"000221087 - RICH FOODS NON CORE HILTONVOID"</f>
        <v>000221087 - RICH FOODS NON CORE HILTONVOID</v>
      </c>
      <c r="C1151" t="s">
        <v>513</v>
      </c>
      <c r="D1151" s="1" t="str">
        <f t="shared" si="32"/>
        <v>PRG-1014940</v>
      </c>
      <c r="E1151" t="s">
        <v>125</v>
      </c>
      <c r="F1151" t="s">
        <v>4</v>
      </c>
      <c r="G1151" t="str">
        <f>""</f>
        <v/>
      </c>
    </row>
    <row r="1152" spans="1:7" x14ac:dyDescent="0.25">
      <c r="A1152" t="s">
        <v>8</v>
      </c>
      <c r="B1152" s="1" t="str">
        <f>"000221091 - RICH FOODS HILTON NCORE"</f>
        <v>000221091 - RICH FOODS HILTON NCORE</v>
      </c>
      <c r="C1152" t="s">
        <v>561</v>
      </c>
      <c r="D1152" s="1" t="str">
        <f t="shared" si="32"/>
        <v>PRG-1014940</v>
      </c>
      <c r="E1152" t="s">
        <v>125</v>
      </c>
      <c r="F1152" t="s">
        <v>4</v>
      </c>
      <c r="G1152" t="str">
        <f>""</f>
        <v/>
      </c>
    </row>
    <row r="1153" spans="1:7" x14ac:dyDescent="0.25">
      <c r="A1153" t="s">
        <v>8</v>
      </c>
      <c r="B1153" s="1" t="str">
        <f>"000221558 - RICH FOODS HILTON NONCORE"</f>
        <v>000221558 - RICH FOODS HILTON NONCORE</v>
      </c>
      <c r="C1153" t="s">
        <v>516</v>
      </c>
      <c r="D1153" s="1" t="str">
        <f t="shared" si="32"/>
        <v>PRG-1014940</v>
      </c>
      <c r="E1153" t="s">
        <v>125</v>
      </c>
      <c r="F1153" t="s">
        <v>4</v>
      </c>
      <c r="G1153" t="str">
        <f>""</f>
        <v/>
      </c>
    </row>
    <row r="1154" spans="1:7" x14ac:dyDescent="0.25">
      <c r="A1154" t="s">
        <v>8</v>
      </c>
      <c r="B1154" s="1" t="str">
        <f>"000222108 - RICH FOODS NON CORE HILTONVOID"</f>
        <v>000222108 - RICH FOODS NON CORE HILTONVOID</v>
      </c>
      <c r="C1154" t="s">
        <v>513</v>
      </c>
      <c r="D1154" s="1" t="str">
        <f t="shared" si="32"/>
        <v>PRG-1014940</v>
      </c>
      <c r="E1154" t="s">
        <v>125</v>
      </c>
      <c r="F1154" t="s">
        <v>4</v>
      </c>
      <c r="G1154" t="str">
        <f>""</f>
        <v/>
      </c>
    </row>
    <row r="1155" spans="1:7" x14ac:dyDescent="0.25">
      <c r="A1155" t="s">
        <v>8</v>
      </c>
      <c r="B1155" s="1" t="str">
        <f>"000222770 - RICH FOODS HILTON NONCORE RETR"</f>
        <v>000222770 - RICH FOODS HILTON NONCORE RETR</v>
      </c>
      <c r="C1155" t="s">
        <v>1635</v>
      </c>
      <c r="D1155" s="1" t="str">
        <f t="shared" si="32"/>
        <v>PRG-1014940</v>
      </c>
      <c r="E1155" t="s">
        <v>125</v>
      </c>
      <c r="F1155" t="s">
        <v>4</v>
      </c>
      <c r="G1155" t="str">
        <f>""</f>
        <v/>
      </c>
    </row>
    <row r="1156" spans="1:7" x14ac:dyDescent="0.25">
      <c r="A1156" t="s">
        <v>8</v>
      </c>
      <c r="B1156" s="1" t="str">
        <f>"000223699 - RICH FOODS HILTON NCORE"</f>
        <v>000223699 - RICH FOODS HILTON NCORE</v>
      </c>
      <c r="C1156" t="s">
        <v>561</v>
      </c>
      <c r="D1156" s="1" t="str">
        <f t="shared" si="32"/>
        <v>PRG-1014940</v>
      </c>
      <c r="E1156" t="s">
        <v>125</v>
      </c>
      <c r="F1156" t="s">
        <v>4</v>
      </c>
      <c r="G1156" t="str">
        <f>""</f>
        <v/>
      </c>
    </row>
    <row r="1157" spans="1:7" x14ac:dyDescent="0.25">
      <c r="A1157" t="s">
        <v>8</v>
      </c>
      <c r="B1157" s="1" t="str">
        <f>"000224301 - RICH FOODS-HILTON"</f>
        <v>000224301 - RICH FOODS-HILTON</v>
      </c>
      <c r="C1157" t="s">
        <v>183</v>
      </c>
      <c r="D1157" s="1" t="str">
        <f t="shared" si="32"/>
        <v>PRG-1014940</v>
      </c>
      <c r="E1157" t="s">
        <v>125</v>
      </c>
      <c r="F1157" t="s">
        <v>4</v>
      </c>
      <c r="G1157" t="str">
        <f>""</f>
        <v/>
      </c>
    </row>
    <row r="1158" spans="1:7" x14ac:dyDescent="0.25">
      <c r="A1158" t="s">
        <v>8</v>
      </c>
      <c r="B1158" s="1" t="str">
        <f>"000224716 - RICH FOODS HILTON"</f>
        <v>000224716 - RICH FOODS HILTON</v>
      </c>
      <c r="C1158" t="s">
        <v>490</v>
      </c>
      <c r="D1158" s="1" t="str">
        <f t="shared" si="32"/>
        <v>PRG-1014940</v>
      </c>
      <c r="E1158" t="s">
        <v>125</v>
      </c>
      <c r="F1158" t="s">
        <v>4</v>
      </c>
      <c r="G1158" t="str">
        <f>""</f>
        <v/>
      </c>
    </row>
    <row r="1159" spans="1:7" x14ac:dyDescent="0.25">
      <c r="A1159" t="s">
        <v>8</v>
      </c>
      <c r="B1159" s="1" t="str">
        <f>"000224832 - RICH FOODS HILTON NCORE"</f>
        <v>000224832 - RICH FOODS HILTON NCORE</v>
      </c>
      <c r="C1159" t="s">
        <v>561</v>
      </c>
      <c r="D1159" s="1" t="str">
        <f t="shared" si="32"/>
        <v>PRG-1014940</v>
      </c>
      <c r="E1159" t="s">
        <v>125</v>
      </c>
      <c r="F1159" t="s">
        <v>4</v>
      </c>
      <c r="G1159" t="str">
        <f>""</f>
        <v/>
      </c>
    </row>
    <row r="1160" spans="1:7" x14ac:dyDescent="0.25">
      <c r="A1160" t="s">
        <v>8</v>
      </c>
      <c r="B1160" s="1" t="str">
        <f>"000224974 - RICH FOODS NON CORE HILTONVOID"</f>
        <v>000224974 - RICH FOODS NON CORE HILTONVOID</v>
      </c>
      <c r="C1160" t="s">
        <v>513</v>
      </c>
      <c r="D1160" s="1" t="str">
        <f t="shared" si="32"/>
        <v>PRG-1014940</v>
      </c>
      <c r="E1160" t="s">
        <v>125</v>
      </c>
      <c r="F1160" t="s">
        <v>4</v>
      </c>
      <c r="G1160" t="str">
        <f>""</f>
        <v/>
      </c>
    </row>
    <row r="1161" spans="1:7" x14ac:dyDescent="0.25">
      <c r="A1161" t="s">
        <v>8</v>
      </c>
      <c r="B1161" s="1" t="str">
        <f>"000225496 - RICH FOODS HILTON NONCORE"</f>
        <v>000225496 - RICH FOODS HILTON NONCORE</v>
      </c>
      <c r="C1161" t="s">
        <v>516</v>
      </c>
      <c r="D1161" s="1" t="str">
        <f t="shared" si="32"/>
        <v>PRG-1014940</v>
      </c>
      <c r="E1161" t="s">
        <v>125</v>
      </c>
      <c r="F1161" t="s">
        <v>4</v>
      </c>
      <c r="G1161" t="str">
        <f>""</f>
        <v/>
      </c>
    </row>
    <row r="1162" spans="1:7" x14ac:dyDescent="0.25">
      <c r="A1162" t="s">
        <v>8</v>
      </c>
      <c r="B1162" s="1" t="str">
        <f>"000225508 - RICH FOODS HILTON NONCORE"</f>
        <v>000225508 - RICH FOODS HILTON NONCORE</v>
      </c>
      <c r="C1162" t="s">
        <v>516</v>
      </c>
      <c r="D1162" s="1" t="str">
        <f t="shared" si="32"/>
        <v>PRG-1014940</v>
      </c>
      <c r="E1162" t="s">
        <v>125</v>
      </c>
      <c r="F1162" t="s">
        <v>4</v>
      </c>
      <c r="G1162" t="str">
        <f>""</f>
        <v/>
      </c>
    </row>
    <row r="1163" spans="1:7" x14ac:dyDescent="0.25">
      <c r="A1163" t="s">
        <v>8</v>
      </c>
      <c r="B1163" s="1" t="str">
        <f>"000225569 - RICH FOODS NON CORE HILTONVOID"</f>
        <v>000225569 - RICH FOODS NON CORE HILTONVOID</v>
      </c>
      <c r="C1163" t="s">
        <v>513</v>
      </c>
      <c r="D1163" s="1" t="str">
        <f t="shared" ref="D1163:D1226" si="33">"PRG-1014940"</f>
        <v>PRG-1014940</v>
      </c>
      <c r="E1163" t="s">
        <v>125</v>
      </c>
      <c r="F1163" t="s">
        <v>4</v>
      </c>
      <c r="G1163" t="str">
        <f>""</f>
        <v/>
      </c>
    </row>
    <row r="1164" spans="1:7" x14ac:dyDescent="0.25">
      <c r="A1164" t="s">
        <v>8</v>
      </c>
      <c r="B1164" s="1" t="str">
        <f>"000225570 - RICH FOODS CORE - HILTON VOID"</f>
        <v>000225570 - RICH FOODS CORE - HILTON VOID</v>
      </c>
      <c r="C1164" t="s">
        <v>794</v>
      </c>
      <c r="D1164" s="1" t="str">
        <f t="shared" si="33"/>
        <v>PRG-1014940</v>
      </c>
      <c r="E1164" t="s">
        <v>125</v>
      </c>
      <c r="F1164" t="s">
        <v>4</v>
      </c>
      <c r="G1164" t="str">
        <f>""</f>
        <v/>
      </c>
    </row>
    <row r="1165" spans="1:7" x14ac:dyDescent="0.25">
      <c r="A1165" t="s">
        <v>8</v>
      </c>
      <c r="B1165" s="1" t="str">
        <f>"000225922 - RICH FOODS-HILTON"</f>
        <v>000225922 - RICH FOODS-HILTON</v>
      </c>
      <c r="C1165" t="s">
        <v>183</v>
      </c>
      <c r="D1165" s="1" t="str">
        <f t="shared" si="33"/>
        <v>PRG-1014940</v>
      </c>
      <c r="E1165" t="s">
        <v>125</v>
      </c>
      <c r="F1165" t="s">
        <v>4</v>
      </c>
      <c r="G1165" t="str">
        <f>""</f>
        <v/>
      </c>
    </row>
    <row r="1166" spans="1:7" x14ac:dyDescent="0.25">
      <c r="A1166" t="s">
        <v>8</v>
      </c>
      <c r="B1166" s="1" t="str">
        <f>"000225973 - RICH FOODS HILTON NCORE"</f>
        <v>000225973 - RICH FOODS HILTON NCORE</v>
      </c>
      <c r="C1166" t="s">
        <v>561</v>
      </c>
      <c r="D1166" s="1" t="str">
        <f t="shared" si="33"/>
        <v>PRG-1014940</v>
      </c>
      <c r="E1166" t="s">
        <v>125</v>
      </c>
      <c r="F1166" t="s">
        <v>4</v>
      </c>
      <c r="G1166" t="str">
        <f>""</f>
        <v/>
      </c>
    </row>
    <row r="1167" spans="1:7" x14ac:dyDescent="0.25">
      <c r="A1167" t="s">
        <v>8</v>
      </c>
      <c r="B1167" s="1" t="str">
        <f>"000226118 - RICH FOODS HILTON NONCORE"</f>
        <v>000226118 - RICH FOODS HILTON NONCORE</v>
      </c>
      <c r="C1167" t="s">
        <v>516</v>
      </c>
      <c r="D1167" s="1" t="str">
        <f t="shared" si="33"/>
        <v>PRG-1014940</v>
      </c>
      <c r="E1167" t="s">
        <v>125</v>
      </c>
      <c r="F1167" t="s">
        <v>4</v>
      </c>
      <c r="G1167" t="str">
        <f>""</f>
        <v/>
      </c>
    </row>
    <row r="1168" spans="1:7" x14ac:dyDescent="0.25">
      <c r="A1168" t="s">
        <v>8</v>
      </c>
      <c r="B1168" s="1" t="str">
        <f>"000226379 - RICH FOODS-HILTON"</f>
        <v>000226379 - RICH FOODS-HILTON</v>
      </c>
      <c r="C1168" t="s">
        <v>183</v>
      </c>
      <c r="D1168" s="1" t="str">
        <f t="shared" si="33"/>
        <v>PRG-1014940</v>
      </c>
      <c r="E1168" t="s">
        <v>125</v>
      </c>
      <c r="F1168" t="s">
        <v>4</v>
      </c>
      <c r="G1168" t="str">
        <f>""</f>
        <v/>
      </c>
    </row>
    <row r="1169" spans="1:7" x14ac:dyDescent="0.25">
      <c r="A1169" t="s">
        <v>8</v>
      </c>
      <c r="B1169" s="1" t="str">
        <f>"000226396 - RICH FOODS NON CORE HILTONVOID"</f>
        <v>000226396 - RICH FOODS NON CORE HILTONVOID</v>
      </c>
      <c r="C1169" t="s">
        <v>513</v>
      </c>
      <c r="D1169" s="1" t="str">
        <f t="shared" si="33"/>
        <v>PRG-1014940</v>
      </c>
      <c r="E1169" t="s">
        <v>125</v>
      </c>
      <c r="F1169" t="s">
        <v>4</v>
      </c>
      <c r="G1169" t="str">
        <f>""</f>
        <v/>
      </c>
    </row>
    <row r="1170" spans="1:7" x14ac:dyDescent="0.25">
      <c r="A1170" t="s">
        <v>8</v>
      </c>
      <c r="B1170" s="1" t="str">
        <f>"000226527 - RICH FOODS HILTON NCORE"</f>
        <v>000226527 - RICH FOODS HILTON NCORE</v>
      </c>
      <c r="C1170" t="s">
        <v>561</v>
      </c>
      <c r="D1170" s="1" t="str">
        <f t="shared" si="33"/>
        <v>PRG-1014940</v>
      </c>
      <c r="E1170" t="s">
        <v>125</v>
      </c>
      <c r="F1170" t="s">
        <v>4</v>
      </c>
      <c r="G1170" t="str">
        <f>""</f>
        <v/>
      </c>
    </row>
    <row r="1171" spans="1:7" x14ac:dyDescent="0.25">
      <c r="A1171" t="s">
        <v>8</v>
      </c>
      <c r="B1171" s="1" t="str">
        <f>"000226696 - RICH HILTON CORE WBB"</f>
        <v>000226696 - RICH HILTON CORE WBB</v>
      </c>
      <c r="C1171" t="s">
        <v>1315</v>
      </c>
      <c r="D1171" s="1" t="str">
        <f t="shared" si="33"/>
        <v>PRG-1014940</v>
      </c>
      <c r="E1171" t="s">
        <v>125</v>
      </c>
      <c r="F1171" t="s">
        <v>4</v>
      </c>
      <c r="G1171" t="str">
        <f>""</f>
        <v/>
      </c>
    </row>
    <row r="1172" spans="1:7" x14ac:dyDescent="0.25">
      <c r="A1172" t="s">
        <v>8</v>
      </c>
      <c r="B1172" s="1" t="str">
        <f>"000227284 - RICH FOODS HILTON NONCORE"</f>
        <v>000227284 - RICH FOODS HILTON NONCORE</v>
      </c>
      <c r="C1172" t="s">
        <v>516</v>
      </c>
      <c r="D1172" s="1" t="str">
        <f t="shared" si="33"/>
        <v>PRG-1014940</v>
      </c>
      <c r="E1172" t="s">
        <v>125</v>
      </c>
      <c r="F1172" t="s">
        <v>4</v>
      </c>
      <c r="G1172" t="str">
        <f>""</f>
        <v/>
      </c>
    </row>
    <row r="1173" spans="1:7" x14ac:dyDescent="0.25">
      <c r="A1173" t="s">
        <v>8</v>
      </c>
      <c r="B1173" s="1" t="str">
        <f>"000227760 - RICH FOODS HILTON NCORE"</f>
        <v>000227760 - RICH FOODS HILTON NCORE</v>
      </c>
      <c r="C1173" t="s">
        <v>561</v>
      </c>
      <c r="D1173" s="1" t="str">
        <f t="shared" si="33"/>
        <v>PRG-1014940</v>
      </c>
      <c r="E1173" t="s">
        <v>125</v>
      </c>
      <c r="F1173" t="s">
        <v>4</v>
      </c>
      <c r="G1173" t="str">
        <f>""</f>
        <v/>
      </c>
    </row>
    <row r="1174" spans="1:7" x14ac:dyDescent="0.25">
      <c r="A1174" t="s">
        <v>8</v>
      </c>
      <c r="B1174" s="1" t="str">
        <f>"000227762 - RICH HILTON CORE WBB"</f>
        <v>000227762 - RICH HILTON CORE WBB</v>
      </c>
      <c r="C1174" t="s">
        <v>1315</v>
      </c>
      <c r="D1174" s="1" t="str">
        <f t="shared" si="33"/>
        <v>PRG-1014940</v>
      </c>
      <c r="E1174" t="s">
        <v>125</v>
      </c>
      <c r="F1174" t="s">
        <v>4</v>
      </c>
      <c r="G1174" t="str">
        <f>""</f>
        <v/>
      </c>
    </row>
    <row r="1175" spans="1:7" x14ac:dyDescent="0.25">
      <c r="A1175" t="s">
        <v>8</v>
      </c>
      <c r="B1175" s="1" t="str">
        <f>"000227971 - RICH HILTON CORE WBB"</f>
        <v>000227971 - RICH HILTON CORE WBB</v>
      </c>
      <c r="C1175" t="s">
        <v>1315</v>
      </c>
      <c r="D1175" s="1" t="str">
        <f t="shared" si="33"/>
        <v>PRG-1014940</v>
      </c>
      <c r="E1175" t="s">
        <v>125</v>
      </c>
      <c r="F1175" t="s">
        <v>4</v>
      </c>
      <c r="G1175" t="str">
        <f>""</f>
        <v/>
      </c>
    </row>
    <row r="1176" spans="1:7" x14ac:dyDescent="0.25">
      <c r="A1176" t="s">
        <v>8</v>
      </c>
      <c r="B1176" s="1" t="str">
        <f>"000229399 - RICH FOODS HILTON"</f>
        <v>000229399 - RICH FOODS HILTON</v>
      </c>
      <c r="C1176" t="s">
        <v>490</v>
      </c>
      <c r="D1176" s="1" t="str">
        <f t="shared" si="33"/>
        <v>PRG-1014940</v>
      </c>
      <c r="E1176" t="s">
        <v>125</v>
      </c>
      <c r="F1176" t="s">
        <v>4</v>
      </c>
      <c r="G1176" t="str">
        <f>""</f>
        <v/>
      </c>
    </row>
    <row r="1177" spans="1:7" x14ac:dyDescent="0.25">
      <c r="A1177" t="s">
        <v>8</v>
      </c>
      <c r="B1177" s="1" t="str">
        <f>"000229938 - RICH FOODS NON CORE HILTONVOID"</f>
        <v>000229938 - RICH FOODS NON CORE HILTONVOID</v>
      </c>
      <c r="C1177" t="s">
        <v>513</v>
      </c>
      <c r="D1177" s="1" t="str">
        <f t="shared" si="33"/>
        <v>PRG-1014940</v>
      </c>
      <c r="E1177" t="s">
        <v>125</v>
      </c>
      <c r="F1177" t="s">
        <v>4</v>
      </c>
      <c r="G1177" t="str">
        <f>""</f>
        <v/>
      </c>
    </row>
    <row r="1178" spans="1:7" x14ac:dyDescent="0.25">
      <c r="A1178" t="s">
        <v>8</v>
      </c>
      <c r="B1178" s="1" t="str">
        <f>"000230465 - RICH FOODS NON CORE HILTONVOID"</f>
        <v>000230465 - RICH FOODS NON CORE HILTONVOID</v>
      </c>
      <c r="C1178" t="s">
        <v>513</v>
      </c>
      <c r="D1178" s="1" t="str">
        <f t="shared" si="33"/>
        <v>PRG-1014940</v>
      </c>
      <c r="E1178" t="s">
        <v>125</v>
      </c>
      <c r="F1178" t="s">
        <v>4</v>
      </c>
      <c r="G1178" t="str">
        <f>""</f>
        <v/>
      </c>
    </row>
    <row r="1179" spans="1:7" x14ac:dyDescent="0.25">
      <c r="A1179" t="s">
        <v>8</v>
      </c>
      <c r="B1179" s="1" t="str">
        <f>"000230656 - RICH FOODS HILTON"</f>
        <v>000230656 - RICH FOODS HILTON</v>
      </c>
      <c r="C1179" t="s">
        <v>490</v>
      </c>
      <c r="D1179" s="1" t="str">
        <f t="shared" si="33"/>
        <v>PRG-1014940</v>
      </c>
      <c r="E1179" t="s">
        <v>125</v>
      </c>
      <c r="F1179" t="s">
        <v>4</v>
      </c>
      <c r="G1179" t="str">
        <f>""</f>
        <v/>
      </c>
    </row>
    <row r="1180" spans="1:7" x14ac:dyDescent="0.25">
      <c r="A1180" t="s">
        <v>8</v>
      </c>
      <c r="B1180" s="1" t="str">
        <f>"000230737 - RICH FOODS HILTON NONCORE"</f>
        <v>000230737 - RICH FOODS HILTON NONCORE</v>
      </c>
      <c r="C1180" t="s">
        <v>516</v>
      </c>
      <c r="D1180" s="1" t="str">
        <f t="shared" si="33"/>
        <v>PRG-1014940</v>
      </c>
      <c r="E1180" t="s">
        <v>125</v>
      </c>
      <c r="F1180" t="s">
        <v>4</v>
      </c>
      <c r="G1180" t="str">
        <f>""</f>
        <v/>
      </c>
    </row>
    <row r="1181" spans="1:7" x14ac:dyDescent="0.25">
      <c r="A1181" t="s">
        <v>8</v>
      </c>
      <c r="B1181" s="1" t="str">
        <f>"000230986 - RICH FOODS-HILTON"</f>
        <v>000230986 - RICH FOODS-HILTON</v>
      </c>
      <c r="C1181" t="s">
        <v>183</v>
      </c>
      <c r="D1181" s="1" t="str">
        <f t="shared" si="33"/>
        <v>PRG-1014940</v>
      </c>
      <c r="E1181" t="s">
        <v>125</v>
      </c>
      <c r="F1181" t="s">
        <v>4</v>
      </c>
      <c r="G1181" t="str">
        <f>""</f>
        <v/>
      </c>
    </row>
    <row r="1182" spans="1:7" x14ac:dyDescent="0.25">
      <c r="A1182" t="s">
        <v>8</v>
      </c>
      <c r="B1182" s="1" t="str">
        <f>"000231108 - RICH FOODS HILTON NONCORE"</f>
        <v>000231108 - RICH FOODS HILTON NONCORE</v>
      </c>
      <c r="C1182" t="s">
        <v>516</v>
      </c>
      <c r="D1182" s="1" t="str">
        <f t="shared" si="33"/>
        <v>PRG-1014940</v>
      </c>
      <c r="E1182" t="s">
        <v>125</v>
      </c>
      <c r="F1182" t="s">
        <v>4</v>
      </c>
      <c r="G1182" t="str">
        <f>""</f>
        <v/>
      </c>
    </row>
    <row r="1183" spans="1:7" x14ac:dyDescent="0.25">
      <c r="A1183" t="s">
        <v>8</v>
      </c>
      <c r="B1183" s="1" t="str">
        <f>"000231331 - RICH FOODS-HILTON"</f>
        <v>000231331 - RICH FOODS-HILTON</v>
      </c>
      <c r="C1183" t="s">
        <v>183</v>
      </c>
      <c r="D1183" s="1" t="str">
        <f t="shared" si="33"/>
        <v>PRG-1014940</v>
      </c>
      <c r="E1183" t="s">
        <v>125</v>
      </c>
      <c r="F1183" t="s">
        <v>4</v>
      </c>
      <c r="G1183" t="str">
        <f>""</f>
        <v/>
      </c>
    </row>
    <row r="1184" spans="1:7" x14ac:dyDescent="0.25">
      <c r="A1184" t="s">
        <v>8</v>
      </c>
      <c r="B1184" s="1" t="str">
        <f>"000231411 - RICH FOODS-HILTON"</f>
        <v>000231411 - RICH FOODS-HILTON</v>
      </c>
      <c r="C1184" t="s">
        <v>183</v>
      </c>
      <c r="D1184" s="1" t="str">
        <f t="shared" si="33"/>
        <v>PRG-1014940</v>
      </c>
      <c r="E1184" t="s">
        <v>125</v>
      </c>
      <c r="F1184" t="s">
        <v>4</v>
      </c>
      <c r="G1184" t="str">
        <f>""</f>
        <v/>
      </c>
    </row>
    <row r="1185" spans="1:7" x14ac:dyDescent="0.25">
      <c r="A1185" t="s">
        <v>8</v>
      </c>
      <c r="B1185" s="1" t="str">
        <f>"000231515 - RICH FOODS HILTON NCORE"</f>
        <v>000231515 - RICH FOODS HILTON NCORE</v>
      </c>
      <c r="C1185" t="s">
        <v>561</v>
      </c>
      <c r="D1185" s="1" t="str">
        <f t="shared" si="33"/>
        <v>PRG-1014940</v>
      </c>
      <c r="E1185" t="s">
        <v>125</v>
      </c>
      <c r="F1185" t="s">
        <v>4</v>
      </c>
      <c r="G1185" t="str">
        <f>""</f>
        <v/>
      </c>
    </row>
    <row r="1186" spans="1:7" x14ac:dyDescent="0.25">
      <c r="A1186" t="s">
        <v>8</v>
      </c>
      <c r="B1186" s="1" t="str">
        <f>"000231836 - RICH FOODS BB NCORE HILTON"</f>
        <v>000231836 - RICH FOODS BB NCORE HILTON</v>
      </c>
      <c r="C1186" t="s">
        <v>143</v>
      </c>
      <c r="D1186" s="1" t="str">
        <f t="shared" si="33"/>
        <v>PRG-1014940</v>
      </c>
      <c r="E1186" t="s">
        <v>125</v>
      </c>
      <c r="F1186" t="s">
        <v>4</v>
      </c>
      <c r="G1186" t="str">
        <f>""</f>
        <v/>
      </c>
    </row>
    <row r="1187" spans="1:7" x14ac:dyDescent="0.25">
      <c r="A1187" t="s">
        <v>8</v>
      </c>
      <c r="B1187" s="1" t="str">
        <f>"000232348 - RICH FOODS BB NCORE HILTON"</f>
        <v>000232348 - RICH FOODS BB NCORE HILTON</v>
      </c>
      <c r="C1187" t="s">
        <v>143</v>
      </c>
      <c r="D1187" s="1" t="str">
        <f t="shared" si="33"/>
        <v>PRG-1014940</v>
      </c>
      <c r="E1187" t="s">
        <v>125</v>
      </c>
      <c r="F1187" t="s">
        <v>4</v>
      </c>
      <c r="G1187" t="str">
        <f>""</f>
        <v/>
      </c>
    </row>
    <row r="1188" spans="1:7" x14ac:dyDescent="0.25">
      <c r="A1188" t="s">
        <v>8</v>
      </c>
      <c r="B1188" s="1" t="str">
        <f>"000232600 - RICH FOODS HILTON"</f>
        <v>000232600 - RICH FOODS HILTON</v>
      </c>
      <c r="C1188" t="s">
        <v>490</v>
      </c>
      <c r="D1188" s="1" t="str">
        <f t="shared" si="33"/>
        <v>PRG-1014940</v>
      </c>
      <c r="E1188" t="s">
        <v>125</v>
      </c>
      <c r="F1188" t="s">
        <v>4</v>
      </c>
      <c r="G1188" t="str">
        <f>""</f>
        <v/>
      </c>
    </row>
    <row r="1189" spans="1:7" x14ac:dyDescent="0.25">
      <c r="A1189" t="s">
        <v>8</v>
      </c>
      <c r="B1189" s="1" t="str">
        <f>"000232635 - RICH FOODS-HILTON"</f>
        <v>000232635 - RICH FOODS-HILTON</v>
      </c>
      <c r="C1189" t="s">
        <v>183</v>
      </c>
      <c r="D1189" s="1" t="str">
        <f t="shared" si="33"/>
        <v>PRG-1014940</v>
      </c>
      <c r="E1189" t="s">
        <v>125</v>
      </c>
      <c r="F1189" t="s">
        <v>4</v>
      </c>
      <c r="G1189" t="str">
        <f>""</f>
        <v/>
      </c>
    </row>
    <row r="1190" spans="1:7" x14ac:dyDescent="0.25">
      <c r="A1190" t="s">
        <v>8</v>
      </c>
      <c r="B1190" s="1" t="str">
        <f>"000232854 - RICH FOODS-HILTON"</f>
        <v>000232854 - RICH FOODS-HILTON</v>
      </c>
      <c r="C1190" t="s">
        <v>183</v>
      </c>
      <c r="D1190" s="1" t="str">
        <f t="shared" si="33"/>
        <v>PRG-1014940</v>
      </c>
      <c r="E1190" t="s">
        <v>125</v>
      </c>
      <c r="F1190" t="s">
        <v>4</v>
      </c>
      <c r="G1190" t="str">
        <f>""</f>
        <v/>
      </c>
    </row>
    <row r="1191" spans="1:7" x14ac:dyDescent="0.25">
      <c r="A1191" t="s">
        <v>8</v>
      </c>
      <c r="B1191" s="1" t="str">
        <f>"000232895 - RICH FOODS HILTON"</f>
        <v>000232895 - RICH FOODS HILTON</v>
      </c>
      <c r="C1191" t="s">
        <v>490</v>
      </c>
      <c r="D1191" s="1" t="str">
        <f t="shared" si="33"/>
        <v>PRG-1014940</v>
      </c>
      <c r="E1191" t="s">
        <v>125</v>
      </c>
      <c r="F1191" t="s">
        <v>4</v>
      </c>
      <c r="G1191" t="str">
        <f>""</f>
        <v/>
      </c>
    </row>
    <row r="1192" spans="1:7" x14ac:dyDescent="0.25">
      <c r="A1192" t="s">
        <v>8</v>
      </c>
      <c r="B1192" s="1" t="str">
        <f>"000235319 - RICH FOODS NON CORE HILTONVOID"</f>
        <v>000235319 - RICH FOODS NON CORE HILTONVOID</v>
      </c>
      <c r="C1192" t="s">
        <v>513</v>
      </c>
      <c r="D1192" s="1" t="str">
        <f t="shared" si="33"/>
        <v>PRG-1014940</v>
      </c>
      <c r="E1192" t="s">
        <v>125</v>
      </c>
      <c r="F1192" t="s">
        <v>4</v>
      </c>
      <c r="G1192" t="str">
        <f>""</f>
        <v/>
      </c>
    </row>
    <row r="1193" spans="1:7" x14ac:dyDescent="0.25">
      <c r="A1193" t="s">
        <v>8</v>
      </c>
      <c r="B1193" s="1" t="str">
        <f>"000235320 - RICH FOODS CORE - HILTON VOID"</f>
        <v>000235320 - RICH FOODS CORE - HILTON VOID</v>
      </c>
      <c r="C1193" t="s">
        <v>794</v>
      </c>
      <c r="D1193" s="1" t="str">
        <f t="shared" si="33"/>
        <v>PRG-1014940</v>
      </c>
      <c r="E1193" t="s">
        <v>125</v>
      </c>
      <c r="F1193" t="s">
        <v>4</v>
      </c>
      <c r="G1193" t="str">
        <f>""</f>
        <v/>
      </c>
    </row>
    <row r="1194" spans="1:7" x14ac:dyDescent="0.25">
      <c r="A1194" t="s">
        <v>8</v>
      </c>
      <c r="B1194" s="1" t="str">
        <f>"000235952 - RICH FOODS HILTON NONCORE"</f>
        <v>000235952 - RICH FOODS HILTON NONCORE</v>
      </c>
      <c r="C1194" t="s">
        <v>516</v>
      </c>
      <c r="D1194" s="1" t="str">
        <f t="shared" si="33"/>
        <v>PRG-1014940</v>
      </c>
      <c r="E1194" t="s">
        <v>125</v>
      </c>
      <c r="F1194" t="s">
        <v>4</v>
      </c>
      <c r="G1194" t="str">
        <f>""</f>
        <v/>
      </c>
    </row>
    <row r="1195" spans="1:7" x14ac:dyDescent="0.25">
      <c r="A1195" t="s">
        <v>8</v>
      </c>
      <c r="B1195" s="1" t="str">
        <f>"000236086 - RICH FOODS HILTON NONCORE"</f>
        <v>000236086 - RICH FOODS HILTON NONCORE</v>
      </c>
      <c r="C1195" t="s">
        <v>516</v>
      </c>
      <c r="D1195" s="1" t="str">
        <f t="shared" si="33"/>
        <v>PRG-1014940</v>
      </c>
      <c r="E1195" t="s">
        <v>125</v>
      </c>
      <c r="F1195" t="s">
        <v>4</v>
      </c>
      <c r="G1195" t="str">
        <f>""</f>
        <v/>
      </c>
    </row>
    <row r="1196" spans="1:7" x14ac:dyDescent="0.25">
      <c r="A1196" t="s">
        <v>8</v>
      </c>
      <c r="B1196" s="1" t="str">
        <f>"000236742 - RICH FOODS HILTON NCORE"</f>
        <v>000236742 - RICH FOODS HILTON NCORE</v>
      </c>
      <c r="C1196" t="s">
        <v>561</v>
      </c>
      <c r="D1196" s="1" t="str">
        <f t="shared" si="33"/>
        <v>PRG-1014940</v>
      </c>
      <c r="E1196" t="s">
        <v>125</v>
      </c>
      <c r="F1196" t="s">
        <v>4</v>
      </c>
      <c r="G1196" t="str">
        <f>""</f>
        <v/>
      </c>
    </row>
    <row r="1197" spans="1:7" x14ac:dyDescent="0.25">
      <c r="A1197" t="s">
        <v>8</v>
      </c>
      <c r="B1197" s="1" t="str">
        <f>"000236907 - RICH FOODS NON CORE HILTONVOID"</f>
        <v>000236907 - RICH FOODS NON CORE HILTONVOID</v>
      </c>
      <c r="C1197" t="s">
        <v>513</v>
      </c>
      <c r="D1197" s="1" t="str">
        <f t="shared" si="33"/>
        <v>PRG-1014940</v>
      </c>
      <c r="E1197" t="s">
        <v>125</v>
      </c>
      <c r="F1197" t="s">
        <v>4</v>
      </c>
      <c r="G1197" t="str">
        <f>""</f>
        <v/>
      </c>
    </row>
    <row r="1198" spans="1:7" x14ac:dyDescent="0.25">
      <c r="A1198" t="s">
        <v>8</v>
      </c>
      <c r="B1198" s="1" t="str">
        <f>"000236908 - RICH FOODS CORE - HILTON VOID"</f>
        <v>000236908 - RICH FOODS CORE - HILTON VOID</v>
      </c>
      <c r="C1198" t="s">
        <v>794</v>
      </c>
      <c r="D1198" s="1" t="str">
        <f t="shared" si="33"/>
        <v>PRG-1014940</v>
      </c>
      <c r="E1198" t="s">
        <v>125</v>
      </c>
      <c r="F1198" t="s">
        <v>4</v>
      </c>
      <c r="G1198" t="str">
        <f>""</f>
        <v/>
      </c>
    </row>
    <row r="1199" spans="1:7" x14ac:dyDescent="0.25">
      <c r="A1199" t="s">
        <v>8</v>
      </c>
      <c r="B1199" s="1" t="str">
        <f>"000237686 - RICH FOODS HILTON"</f>
        <v>000237686 - RICH FOODS HILTON</v>
      </c>
      <c r="C1199" t="s">
        <v>490</v>
      </c>
      <c r="D1199" s="1" t="str">
        <f t="shared" si="33"/>
        <v>PRG-1014940</v>
      </c>
      <c r="E1199" t="s">
        <v>125</v>
      </c>
      <c r="F1199" t="s">
        <v>4</v>
      </c>
      <c r="G1199" t="str">
        <f>""</f>
        <v/>
      </c>
    </row>
    <row r="1200" spans="1:7" x14ac:dyDescent="0.25">
      <c r="A1200" t="s">
        <v>8</v>
      </c>
      <c r="B1200" s="1" t="str">
        <f>"000237708 - RICH FOODS HILTON NONCORE"</f>
        <v>000237708 - RICH FOODS HILTON NONCORE</v>
      </c>
      <c r="C1200" t="s">
        <v>516</v>
      </c>
      <c r="D1200" s="1" t="str">
        <f t="shared" si="33"/>
        <v>PRG-1014940</v>
      </c>
      <c r="E1200" t="s">
        <v>125</v>
      </c>
      <c r="F1200" t="s">
        <v>4</v>
      </c>
      <c r="G1200" t="str">
        <f>""</f>
        <v/>
      </c>
    </row>
    <row r="1201" spans="1:7" x14ac:dyDescent="0.25">
      <c r="A1201" t="s">
        <v>8</v>
      </c>
      <c r="B1201" s="1" t="str">
        <f>"000237840 - RICH FOODS NON CORE HILTONVOID"</f>
        <v>000237840 - RICH FOODS NON CORE HILTONVOID</v>
      </c>
      <c r="C1201" t="s">
        <v>513</v>
      </c>
      <c r="D1201" s="1" t="str">
        <f t="shared" si="33"/>
        <v>PRG-1014940</v>
      </c>
      <c r="E1201" t="s">
        <v>125</v>
      </c>
      <c r="F1201" t="s">
        <v>4</v>
      </c>
      <c r="G1201" t="str">
        <f>""</f>
        <v/>
      </c>
    </row>
    <row r="1202" spans="1:7" x14ac:dyDescent="0.25">
      <c r="A1202" t="s">
        <v>8</v>
      </c>
      <c r="B1202" s="1" t="str">
        <f>"000237841 - RICH FOODS CORE - HILTON VOID"</f>
        <v>000237841 - RICH FOODS CORE - HILTON VOID</v>
      </c>
      <c r="C1202" t="s">
        <v>794</v>
      </c>
      <c r="D1202" s="1" t="str">
        <f t="shared" si="33"/>
        <v>PRG-1014940</v>
      </c>
      <c r="E1202" t="s">
        <v>125</v>
      </c>
      <c r="F1202" t="s">
        <v>4</v>
      </c>
      <c r="G1202" t="str">
        <f>""</f>
        <v/>
      </c>
    </row>
    <row r="1203" spans="1:7" x14ac:dyDescent="0.25">
      <c r="A1203" t="s">
        <v>8</v>
      </c>
      <c r="B1203" s="1" t="str">
        <f>"000238227 - RICH FOODS HILTON"</f>
        <v>000238227 - RICH FOODS HILTON</v>
      </c>
      <c r="C1203" t="s">
        <v>490</v>
      </c>
      <c r="D1203" s="1" t="str">
        <f t="shared" si="33"/>
        <v>PRG-1014940</v>
      </c>
      <c r="E1203" t="s">
        <v>125</v>
      </c>
      <c r="F1203" t="s">
        <v>4</v>
      </c>
      <c r="G1203" t="str">
        <f>""</f>
        <v/>
      </c>
    </row>
    <row r="1204" spans="1:7" x14ac:dyDescent="0.25">
      <c r="A1204" t="s">
        <v>8</v>
      </c>
      <c r="B1204" s="1" t="str">
        <f>"000238365 - RICH FOODS HILTON NCORE"</f>
        <v>000238365 - RICH FOODS HILTON NCORE</v>
      </c>
      <c r="C1204" t="s">
        <v>561</v>
      </c>
      <c r="D1204" s="1" t="str">
        <f t="shared" si="33"/>
        <v>PRG-1014940</v>
      </c>
      <c r="E1204" t="s">
        <v>125</v>
      </c>
      <c r="F1204" t="s">
        <v>4</v>
      </c>
      <c r="G1204" t="str">
        <f>""</f>
        <v/>
      </c>
    </row>
    <row r="1205" spans="1:7" x14ac:dyDescent="0.25">
      <c r="A1205" t="s">
        <v>8</v>
      </c>
      <c r="B1205" s="1" t="str">
        <f>"000238451 - RICH FOODS HILTON NONCORE"</f>
        <v>000238451 - RICH FOODS HILTON NONCORE</v>
      </c>
      <c r="C1205" t="s">
        <v>516</v>
      </c>
      <c r="D1205" s="1" t="str">
        <f t="shared" si="33"/>
        <v>PRG-1014940</v>
      </c>
      <c r="E1205" t="s">
        <v>125</v>
      </c>
      <c r="F1205" t="s">
        <v>4</v>
      </c>
      <c r="G1205" t="str">
        <f>""</f>
        <v/>
      </c>
    </row>
    <row r="1206" spans="1:7" x14ac:dyDescent="0.25">
      <c r="A1206" t="s">
        <v>8</v>
      </c>
      <c r="B1206" s="1" t="str">
        <f>"000238633 - RICH FOODS HILTON"</f>
        <v>000238633 - RICH FOODS HILTON</v>
      </c>
      <c r="C1206" t="s">
        <v>490</v>
      </c>
      <c r="D1206" s="1" t="str">
        <f t="shared" si="33"/>
        <v>PRG-1014940</v>
      </c>
      <c r="E1206" t="s">
        <v>125</v>
      </c>
      <c r="F1206" t="s">
        <v>4</v>
      </c>
      <c r="G1206" t="str">
        <f>""</f>
        <v/>
      </c>
    </row>
    <row r="1207" spans="1:7" x14ac:dyDescent="0.25">
      <c r="A1207" t="s">
        <v>8</v>
      </c>
      <c r="B1207" s="1" t="str">
        <f>"000238651 - RICH FOODS BB NCORE HILTON"</f>
        <v>000238651 - RICH FOODS BB NCORE HILTON</v>
      </c>
      <c r="C1207" t="s">
        <v>143</v>
      </c>
      <c r="D1207" s="1" t="str">
        <f t="shared" si="33"/>
        <v>PRG-1014940</v>
      </c>
      <c r="E1207" t="s">
        <v>125</v>
      </c>
      <c r="F1207" t="s">
        <v>4</v>
      </c>
      <c r="G1207" t="str">
        <f>""</f>
        <v/>
      </c>
    </row>
    <row r="1208" spans="1:7" x14ac:dyDescent="0.25">
      <c r="A1208" t="s">
        <v>8</v>
      </c>
      <c r="B1208" s="1" t="str">
        <f>"000238888 - RICH FOODS HILTON"</f>
        <v>000238888 - RICH FOODS HILTON</v>
      </c>
      <c r="C1208" t="s">
        <v>490</v>
      </c>
      <c r="D1208" s="1" t="str">
        <f t="shared" si="33"/>
        <v>PRG-1014940</v>
      </c>
      <c r="E1208" t="s">
        <v>125</v>
      </c>
      <c r="F1208" t="s">
        <v>4</v>
      </c>
      <c r="G1208" t="str">
        <f>""</f>
        <v/>
      </c>
    </row>
    <row r="1209" spans="1:7" x14ac:dyDescent="0.25">
      <c r="A1209" t="s">
        <v>8</v>
      </c>
      <c r="B1209" s="1" t="str">
        <f>"000239016 - RICH FOODS NON CORE HILTONVOID"</f>
        <v>000239016 - RICH FOODS NON CORE HILTONVOID</v>
      </c>
      <c r="C1209" t="s">
        <v>513</v>
      </c>
      <c r="D1209" s="1" t="str">
        <f t="shared" si="33"/>
        <v>PRG-1014940</v>
      </c>
      <c r="E1209" t="s">
        <v>125</v>
      </c>
      <c r="F1209" t="s">
        <v>4</v>
      </c>
      <c r="G1209" t="str">
        <f>""</f>
        <v/>
      </c>
    </row>
    <row r="1210" spans="1:7" x14ac:dyDescent="0.25">
      <c r="A1210" t="s">
        <v>8</v>
      </c>
      <c r="B1210" s="1" t="str">
        <f>"000239017 - RICH FOODS CORE - HILTON VOID"</f>
        <v>000239017 - RICH FOODS CORE - HILTON VOID</v>
      </c>
      <c r="C1210" t="s">
        <v>794</v>
      </c>
      <c r="D1210" s="1" t="str">
        <f t="shared" si="33"/>
        <v>PRG-1014940</v>
      </c>
      <c r="E1210" t="s">
        <v>125</v>
      </c>
      <c r="F1210" t="s">
        <v>4</v>
      </c>
      <c r="G1210" t="str">
        <f>""</f>
        <v/>
      </c>
    </row>
    <row r="1211" spans="1:7" x14ac:dyDescent="0.25">
      <c r="A1211" t="s">
        <v>8</v>
      </c>
      <c r="B1211" s="1" t="str">
        <f>"000239622 - RICH FOODS NON CORE HILTONVOID"</f>
        <v>000239622 - RICH FOODS NON CORE HILTONVOID</v>
      </c>
      <c r="C1211" t="s">
        <v>513</v>
      </c>
      <c r="D1211" s="1" t="str">
        <f t="shared" si="33"/>
        <v>PRG-1014940</v>
      </c>
      <c r="E1211" t="s">
        <v>125</v>
      </c>
      <c r="F1211" t="s">
        <v>4</v>
      </c>
      <c r="G1211" t="str">
        <f>""</f>
        <v/>
      </c>
    </row>
    <row r="1212" spans="1:7" x14ac:dyDescent="0.25">
      <c r="A1212" t="s">
        <v>8</v>
      </c>
      <c r="B1212" s="1" t="str">
        <f>"000239623 - RICH FOODS CORE - HILTON VOID"</f>
        <v>000239623 - RICH FOODS CORE - HILTON VOID</v>
      </c>
      <c r="C1212" t="s">
        <v>794</v>
      </c>
      <c r="D1212" s="1" t="str">
        <f t="shared" si="33"/>
        <v>PRG-1014940</v>
      </c>
      <c r="E1212" t="s">
        <v>125</v>
      </c>
      <c r="F1212" t="s">
        <v>4</v>
      </c>
      <c r="G1212" t="str">
        <f>""</f>
        <v/>
      </c>
    </row>
    <row r="1213" spans="1:7" x14ac:dyDescent="0.25">
      <c r="A1213" t="s">
        <v>8</v>
      </c>
      <c r="B1213" s="1" t="str">
        <f>"000239832 - RICH FOODS HILTON"</f>
        <v>000239832 - RICH FOODS HILTON</v>
      </c>
      <c r="C1213" t="s">
        <v>490</v>
      </c>
      <c r="D1213" s="1" t="str">
        <f t="shared" si="33"/>
        <v>PRG-1014940</v>
      </c>
      <c r="E1213" t="s">
        <v>125</v>
      </c>
      <c r="F1213" t="s">
        <v>4</v>
      </c>
      <c r="G1213" t="str">
        <f>""</f>
        <v/>
      </c>
    </row>
    <row r="1214" spans="1:7" x14ac:dyDescent="0.25">
      <c r="A1214" t="s">
        <v>8</v>
      </c>
      <c r="B1214" s="1" t="str">
        <f>"000240093 - RICH FOODS HILTON NONCORE"</f>
        <v>000240093 - RICH FOODS HILTON NONCORE</v>
      </c>
      <c r="C1214" t="s">
        <v>516</v>
      </c>
      <c r="D1214" s="1" t="str">
        <f t="shared" si="33"/>
        <v>PRG-1014940</v>
      </c>
      <c r="E1214" t="s">
        <v>125</v>
      </c>
      <c r="F1214" t="s">
        <v>4</v>
      </c>
      <c r="G1214" t="str">
        <f>""</f>
        <v/>
      </c>
    </row>
    <row r="1215" spans="1:7" x14ac:dyDescent="0.25">
      <c r="A1215" t="s">
        <v>8</v>
      </c>
      <c r="B1215" s="1" t="str">
        <f>"000240216 - RICH FOODS-HILTON"</f>
        <v>000240216 - RICH FOODS-HILTON</v>
      </c>
      <c r="C1215" t="s">
        <v>183</v>
      </c>
      <c r="D1215" s="1" t="str">
        <f t="shared" si="33"/>
        <v>PRG-1014940</v>
      </c>
      <c r="E1215" t="s">
        <v>125</v>
      </c>
      <c r="F1215" t="s">
        <v>4</v>
      </c>
      <c r="G1215" t="str">
        <f>""</f>
        <v/>
      </c>
    </row>
    <row r="1216" spans="1:7" x14ac:dyDescent="0.25">
      <c r="A1216" t="s">
        <v>8</v>
      </c>
      <c r="B1216" s="1" t="str">
        <f>"000240432 - RICH FOODS HILTON NONCORE"</f>
        <v>000240432 - RICH FOODS HILTON NONCORE</v>
      </c>
      <c r="C1216" t="s">
        <v>516</v>
      </c>
      <c r="D1216" s="1" t="str">
        <f t="shared" si="33"/>
        <v>PRG-1014940</v>
      </c>
      <c r="E1216" t="s">
        <v>125</v>
      </c>
      <c r="F1216" t="s">
        <v>4</v>
      </c>
      <c r="G1216" t="str">
        <f>""</f>
        <v/>
      </c>
    </row>
    <row r="1217" spans="1:7" x14ac:dyDescent="0.25">
      <c r="A1217" t="s">
        <v>8</v>
      </c>
      <c r="B1217" s="1" t="str">
        <f>"000241207 - RICH FOODS-HILTON"</f>
        <v>000241207 - RICH FOODS-HILTON</v>
      </c>
      <c r="C1217" t="s">
        <v>183</v>
      </c>
      <c r="D1217" s="1" t="str">
        <f t="shared" si="33"/>
        <v>PRG-1014940</v>
      </c>
      <c r="E1217" t="s">
        <v>125</v>
      </c>
      <c r="F1217" t="s">
        <v>4</v>
      </c>
      <c r="G1217" t="str">
        <f>""</f>
        <v/>
      </c>
    </row>
    <row r="1218" spans="1:7" x14ac:dyDescent="0.25">
      <c r="A1218" t="s">
        <v>8</v>
      </c>
      <c r="B1218" s="1" t="str">
        <f>"000241429 - "</f>
        <v xml:space="preserve">000241429 - </v>
      </c>
      <c r="D1218" s="1" t="str">
        <f t="shared" si="33"/>
        <v>PRG-1014940</v>
      </c>
      <c r="E1218" t="s">
        <v>125</v>
      </c>
      <c r="F1218" t="s">
        <v>4</v>
      </c>
      <c r="G1218" t="str">
        <f>""</f>
        <v/>
      </c>
    </row>
    <row r="1219" spans="1:7" x14ac:dyDescent="0.25">
      <c r="A1219" t="s">
        <v>8</v>
      </c>
      <c r="B1219" s="1" t="str">
        <f>"000243328 - RICH FOODS NON CORE HILTONVOID"</f>
        <v>000243328 - RICH FOODS NON CORE HILTONVOID</v>
      </c>
      <c r="C1219" t="s">
        <v>513</v>
      </c>
      <c r="D1219" s="1" t="str">
        <f t="shared" si="33"/>
        <v>PRG-1014940</v>
      </c>
      <c r="E1219" t="s">
        <v>125</v>
      </c>
      <c r="F1219" t="s">
        <v>4</v>
      </c>
      <c r="G1219" t="str">
        <f>""</f>
        <v/>
      </c>
    </row>
    <row r="1220" spans="1:7" x14ac:dyDescent="0.25">
      <c r="A1220" t="s">
        <v>8</v>
      </c>
      <c r="B1220" s="1" t="str">
        <f>"000243577 - RICH FOODS HILTON NCORE"</f>
        <v>000243577 - RICH FOODS HILTON NCORE</v>
      </c>
      <c r="C1220" t="s">
        <v>561</v>
      </c>
      <c r="D1220" s="1" t="str">
        <f t="shared" si="33"/>
        <v>PRG-1014940</v>
      </c>
      <c r="E1220" t="s">
        <v>125</v>
      </c>
      <c r="F1220" t="s">
        <v>4</v>
      </c>
      <c r="G1220" t="str">
        <f>""</f>
        <v/>
      </c>
    </row>
    <row r="1221" spans="1:7" x14ac:dyDescent="0.25">
      <c r="A1221" t="s">
        <v>8</v>
      </c>
      <c r="B1221" s="1" t="str">
        <f>"000243979 - RICH FOODS HILTON NONCORE"</f>
        <v>000243979 - RICH FOODS HILTON NONCORE</v>
      </c>
      <c r="C1221" t="s">
        <v>516</v>
      </c>
      <c r="D1221" s="1" t="str">
        <f t="shared" si="33"/>
        <v>PRG-1014940</v>
      </c>
      <c r="E1221" t="s">
        <v>125</v>
      </c>
      <c r="F1221" t="s">
        <v>4</v>
      </c>
      <c r="G1221" t="str">
        <f>""</f>
        <v/>
      </c>
    </row>
    <row r="1222" spans="1:7" x14ac:dyDescent="0.25">
      <c r="A1222" t="s">
        <v>8</v>
      </c>
      <c r="B1222" s="1" t="str">
        <f>"000244603 - RICH FOODS NON CORE HILTONVOID"</f>
        <v>000244603 - RICH FOODS NON CORE HILTONVOID</v>
      </c>
      <c r="C1222" t="s">
        <v>513</v>
      </c>
      <c r="D1222" s="1" t="str">
        <f t="shared" si="33"/>
        <v>PRG-1014940</v>
      </c>
      <c r="E1222" t="s">
        <v>125</v>
      </c>
      <c r="F1222" t="s">
        <v>4</v>
      </c>
      <c r="G1222" t="str">
        <f>""</f>
        <v/>
      </c>
    </row>
    <row r="1223" spans="1:7" x14ac:dyDescent="0.25">
      <c r="A1223" t="s">
        <v>8</v>
      </c>
      <c r="B1223" s="1" t="str">
        <f>"000244794 - RICH FOODS HILTON NCORE"</f>
        <v>000244794 - RICH FOODS HILTON NCORE</v>
      </c>
      <c r="C1223" t="s">
        <v>561</v>
      </c>
      <c r="D1223" s="1" t="str">
        <f t="shared" si="33"/>
        <v>PRG-1014940</v>
      </c>
      <c r="E1223" t="s">
        <v>125</v>
      </c>
      <c r="F1223" t="s">
        <v>4</v>
      </c>
      <c r="G1223" t="str">
        <f>""</f>
        <v/>
      </c>
    </row>
    <row r="1224" spans="1:7" x14ac:dyDescent="0.25">
      <c r="A1224" t="s">
        <v>8</v>
      </c>
      <c r="B1224" s="1" t="str">
        <f>"000245146 - RICH FOODS HILTON NONCORE"</f>
        <v>000245146 - RICH FOODS HILTON NONCORE</v>
      </c>
      <c r="C1224" t="s">
        <v>516</v>
      </c>
      <c r="D1224" s="1" t="str">
        <f t="shared" si="33"/>
        <v>PRG-1014940</v>
      </c>
      <c r="E1224" t="s">
        <v>125</v>
      </c>
      <c r="F1224" t="s">
        <v>4</v>
      </c>
      <c r="G1224" t="str">
        <f>""</f>
        <v/>
      </c>
    </row>
    <row r="1225" spans="1:7" x14ac:dyDescent="0.25">
      <c r="A1225" t="s">
        <v>8</v>
      </c>
      <c r="B1225" s="1" t="str">
        <f>"000245205 - RICH FOODS NON CORE HILTONVOID"</f>
        <v>000245205 - RICH FOODS NON CORE HILTONVOID</v>
      </c>
      <c r="C1225" t="s">
        <v>513</v>
      </c>
      <c r="D1225" s="1" t="str">
        <f t="shared" si="33"/>
        <v>PRG-1014940</v>
      </c>
      <c r="E1225" t="s">
        <v>125</v>
      </c>
      <c r="F1225" t="s">
        <v>4</v>
      </c>
      <c r="G1225" t="str">
        <f>""</f>
        <v/>
      </c>
    </row>
    <row r="1226" spans="1:7" x14ac:dyDescent="0.25">
      <c r="A1226" t="s">
        <v>8</v>
      </c>
      <c r="B1226" s="1" t="str">
        <f>"000245206 - RICH FOODS CORE - HILTON VOID"</f>
        <v>000245206 - RICH FOODS CORE - HILTON VOID</v>
      </c>
      <c r="C1226" t="s">
        <v>794</v>
      </c>
      <c r="D1226" s="1" t="str">
        <f t="shared" si="33"/>
        <v>PRG-1014940</v>
      </c>
      <c r="E1226" t="s">
        <v>125</v>
      </c>
      <c r="F1226" t="s">
        <v>4</v>
      </c>
      <c r="G1226" t="str">
        <f>""</f>
        <v/>
      </c>
    </row>
    <row r="1227" spans="1:7" x14ac:dyDescent="0.25">
      <c r="A1227" t="s">
        <v>8</v>
      </c>
      <c r="B1227" s="1" t="str">
        <f>"000245280 - RICH FOODS NON CORE HILTONVOID"</f>
        <v>000245280 - RICH FOODS NON CORE HILTONVOID</v>
      </c>
      <c r="C1227" t="s">
        <v>513</v>
      </c>
      <c r="D1227" s="1" t="str">
        <f t="shared" ref="D1227:D1290" si="34">"PRG-1014940"</f>
        <v>PRG-1014940</v>
      </c>
      <c r="E1227" t="s">
        <v>125</v>
      </c>
      <c r="F1227" t="s">
        <v>4</v>
      </c>
      <c r="G1227" t="str">
        <f>""</f>
        <v/>
      </c>
    </row>
    <row r="1228" spans="1:7" x14ac:dyDescent="0.25">
      <c r="A1228" t="s">
        <v>8</v>
      </c>
      <c r="B1228" s="1" t="str">
        <f>"000245281 - RICH FOODS CORE - HILTON VOID"</f>
        <v>000245281 - RICH FOODS CORE - HILTON VOID</v>
      </c>
      <c r="C1228" t="s">
        <v>794</v>
      </c>
      <c r="D1228" s="1" t="str">
        <f t="shared" si="34"/>
        <v>PRG-1014940</v>
      </c>
      <c r="E1228" t="s">
        <v>125</v>
      </c>
      <c r="F1228" t="s">
        <v>4</v>
      </c>
      <c r="G1228" t="str">
        <f>""</f>
        <v/>
      </c>
    </row>
    <row r="1229" spans="1:7" x14ac:dyDescent="0.25">
      <c r="A1229" t="s">
        <v>8</v>
      </c>
      <c r="B1229" s="1" t="str">
        <f>"000245490 - RICH FOODS-HILTON"</f>
        <v>000245490 - RICH FOODS-HILTON</v>
      </c>
      <c r="C1229" t="s">
        <v>183</v>
      </c>
      <c r="D1229" s="1" t="str">
        <f t="shared" si="34"/>
        <v>PRG-1014940</v>
      </c>
      <c r="E1229" t="s">
        <v>125</v>
      </c>
      <c r="F1229" t="s">
        <v>4</v>
      </c>
      <c r="G1229" t="str">
        <f>""</f>
        <v/>
      </c>
    </row>
    <row r="1230" spans="1:7" x14ac:dyDescent="0.25">
      <c r="A1230" t="s">
        <v>8</v>
      </c>
      <c r="B1230" s="1" t="str">
        <f>"000245672 - RICH FOODS HILTON"</f>
        <v>000245672 - RICH FOODS HILTON</v>
      </c>
      <c r="C1230" t="s">
        <v>490</v>
      </c>
      <c r="D1230" s="1" t="str">
        <f t="shared" si="34"/>
        <v>PRG-1014940</v>
      </c>
      <c r="E1230" t="s">
        <v>125</v>
      </c>
      <c r="F1230" t="s">
        <v>4</v>
      </c>
      <c r="G1230" t="str">
        <f>""</f>
        <v/>
      </c>
    </row>
    <row r="1231" spans="1:7" x14ac:dyDescent="0.25">
      <c r="A1231" t="s">
        <v>8</v>
      </c>
      <c r="B1231" s="1" t="str">
        <f>"000245780 - RICH FOODS CORE - HILTON VOID"</f>
        <v>000245780 - RICH FOODS CORE - HILTON VOID</v>
      </c>
      <c r="C1231" t="s">
        <v>794</v>
      </c>
      <c r="D1231" s="1" t="str">
        <f t="shared" si="34"/>
        <v>PRG-1014940</v>
      </c>
      <c r="E1231" t="s">
        <v>125</v>
      </c>
      <c r="F1231" t="s">
        <v>4</v>
      </c>
      <c r="G1231" t="str">
        <f>""</f>
        <v/>
      </c>
    </row>
    <row r="1232" spans="1:7" x14ac:dyDescent="0.25">
      <c r="A1232" t="s">
        <v>8</v>
      </c>
      <c r="B1232" s="1" t="str">
        <f>"000245924 - RICH FOODS HILTON NONCORE"</f>
        <v>000245924 - RICH FOODS HILTON NONCORE</v>
      </c>
      <c r="C1232" t="s">
        <v>516</v>
      </c>
      <c r="D1232" s="1" t="str">
        <f t="shared" si="34"/>
        <v>PRG-1014940</v>
      </c>
      <c r="E1232" t="s">
        <v>125</v>
      </c>
      <c r="F1232" t="s">
        <v>4</v>
      </c>
      <c r="G1232" t="str">
        <f>""</f>
        <v/>
      </c>
    </row>
    <row r="1233" spans="1:7" x14ac:dyDescent="0.25">
      <c r="A1233" t="s">
        <v>8</v>
      </c>
      <c r="B1233" s="1" t="str">
        <f>"000246027 - CASA DI BERTACCHI-SODEXO"</f>
        <v>000246027 - CASA DI BERTACCHI-SODEXO</v>
      </c>
      <c r="C1233" t="s">
        <v>378</v>
      </c>
      <c r="D1233" s="1" t="str">
        <f t="shared" si="34"/>
        <v>PRG-1014940</v>
      </c>
      <c r="E1233" t="s">
        <v>125</v>
      </c>
      <c r="F1233" t="s">
        <v>4</v>
      </c>
      <c r="G1233" t="str">
        <f>""</f>
        <v/>
      </c>
    </row>
    <row r="1234" spans="1:7" x14ac:dyDescent="0.25">
      <c r="A1234" t="s">
        <v>8</v>
      </c>
      <c r="B1234" s="1" t="str">
        <f>"000246187 - RICH FOODS HILTON NCORE"</f>
        <v>000246187 - RICH FOODS HILTON NCORE</v>
      </c>
      <c r="C1234" t="s">
        <v>561</v>
      </c>
      <c r="D1234" s="1" t="str">
        <f t="shared" si="34"/>
        <v>PRG-1014940</v>
      </c>
      <c r="E1234" t="s">
        <v>125</v>
      </c>
      <c r="F1234" t="s">
        <v>4</v>
      </c>
      <c r="G1234" t="str">
        <f>""</f>
        <v/>
      </c>
    </row>
    <row r="1235" spans="1:7" x14ac:dyDescent="0.25">
      <c r="A1235" t="s">
        <v>8</v>
      </c>
      <c r="B1235" s="1" t="str">
        <f>"000246210 - HILT RICH NON RETRO OVERRIDE"</f>
        <v>000246210 - HILT RICH NON RETRO OVERRIDE</v>
      </c>
      <c r="C1235" t="s">
        <v>2019</v>
      </c>
      <c r="D1235" s="1" t="str">
        <f t="shared" si="34"/>
        <v>PRG-1014940</v>
      </c>
      <c r="E1235" t="s">
        <v>125</v>
      </c>
      <c r="F1235" t="s">
        <v>4</v>
      </c>
      <c r="G1235" t="str">
        <f>""</f>
        <v/>
      </c>
    </row>
    <row r="1236" spans="1:7" x14ac:dyDescent="0.25">
      <c r="A1236" t="s">
        <v>8</v>
      </c>
      <c r="B1236" s="1" t="str">
        <f>"000246254 - RICH PRODUCTS (NON)   HILTON"</f>
        <v>000246254 - RICH PRODUCTS (NON)   HILTON</v>
      </c>
      <c r="C1236" t="s">
        <v>2021</v>
      </c>
      <c r="D1236" s="1" t="str">
        <f t="shared" si="34"/>
        <v>PRG-1014940</v>
      </c>
      <c r="E1236" t="s">
        <v>125</v>
      </c>
      <c r="F1236" t="s">
        <v>4</v>
      </c>
      <c r="G1236" t="str">
        <f>""</f>
        <v/>
      </c>
    </row>
    <row r="1237" spans="1:7" x14ac:dyDescent="0.25">
      <c r="A1237" t="s">
        <v>8</v>
      </c>
      <c r="B1237" s="1" t="str">
        <f>"000246553 - RICH FOODS HILTON NONCORE"</f>
        <v>000246553 - RICH FOODS HILTON NONCORE</v>
      </c>
      <c r="C1237" t="s">
        <v>516</v>
      </c>
      <c r="D1237" s="1" t="str">
        <f t="shared" si="34"/>
        <v>PRG-1014940</v>
      </c>
      <c r="E1237" t="s">
        <v>125</v>
      </c>
      <c r="F1237" t="s">
        <v>4</v>
      </c>
      <c r="G1237" t="str">
        <f>""</f>
        <v/>
      </c>
    </row>
    <row r="1238" spans="1:7" x14ac:dyDescent="0.25">
      <c r="A1238" t="s">
        <v>8</v>
      </c>
      <c r="B1238" s="1" t="str">
        <f>"000247505 - RICH FOODS HILTON NCORE"</f>
        <v>000247505 - RICH FOODS HILTON NCORE</v>
      </c>
      <c r="C1238" t="s">
        <v>561</v>
      </c>
      <c r="D1238" s="1" t="str">
        <f t="shared" si="34"/>
        <v>PRG-1014940</v>
      </c>
      <c r="E1238" t="s">
        <v>125</v>
      </c>
      <c r="F1238" t="s">
        <v>4</v>
      </c>
      <c r="G1238" t="str">
        <f>""</f>
        <v/>
      </c>
    </row>
    <row r="1239" spans="1:7" x14ac:dyDescent="0.25">
      <c r="A1239" t="s">
        <v>8</v>
      </c>
      <c r="B1239" s="1" t="str">
        <f>"000249478 - RICH FOODS HILTON NCORE"</f>
        <v>000249478 - RICH FOODS HILTON NCORE</v>
      </c>
      <c r="C1239" t="s">
        <v>561</v>
      </c>
      <c r="D1239" s="1" t="str">
        <f t="shared" si="34"/>
        <v>PRG-1014940</v>
      </c>
      <c r="E1239" t="s">
        <v>125</v>
      </c>
      <c r="F1239" t="s">
        <v>4</v>
      </c>
      <c r="G1239" t="str">
        <f>""</f>
        <v/>
      </c>
    </row>
    <row r="1240" spans="1:7" x14ac:dyDescent="0.25">
      <c r="A1240" t="s">
        <v>8</v>
      </c>
      <c r="B1240" s="1" t="str">
        <f>"000249480 - RICH HILTON CORE WBB"</f>
        <v>000249480 - RICH HILTON CORE WBB</v>
      </c>
      <c r="C1240" t="s">
        <v>1315</v>
      </c>
      <c r="D1240" s="1" t="str">
        <f t="shared" si="34"/>
        <v>PRG-1014940</v>
      </c>
      <c r="E1240" t="s">
        <v>125</v>
      </c>
      <c r="F1240" t="s">
        <v>4</v>
      </c>
      <c r="G1240" t="str">
        <f>""</f>
        <v/>
      </c>
    </row>
    <row r="1241" spans="1:7" x14ac:dyDescent="0.25">
      <c r="A1241" t="s">
        <v>8</v>
      </c>
      <c r="B1241" s="1" t="str">
        <f>"000249669 - RICH HILTON CORE WBB"</f>
        <v>000249669 - RICH HILTON CORE WBB</v>
      </c>
      <c r="C1241" t="s">
        <v>1315</v>
      </c>
      <c r="D1241" s="1" t="str">
        <f t="shared" si="34"/>
        <v>PRG-1014940</v>
      </c>
      <c r="E1241" t="s">
        <v>125</v>
      </c>
      <c r="F1241" t="s">
        <v>4</v>
      </c>
      <c r="G1241" t="str">
        <f>""</f>
        <v/>
      </c>
    </row>
    <row r="1242" spans="1:7" x14ac:dyDescent="0.25">
      <c r="A1242" t="s">
        <v>8</v>
      </c>
      <c r="B1242" s="1" t="str">
        <f>"000251270 - RICH FOODS HILTON NONCORE"</f>
        <v>000251270 - RICH FOODS HILTON NONCORE</v>
      </c>
      <c r="C1242" t="s">
        <v>516</v>
      </c>
      <c r="D1242" s="1" t="str">
        <f t="shared" si="34"/>
        <v>PRG-1014940</v>
      </c>
      <c r="E1242" t="s">
        <v>125</v>
      </c>
      <c r="F1242" t="s">
        <v>4</v>
      </c>
      <c r="G1242" t="str">
        <f>""</f>
        <v/>
      </c>
    </row>
    <row r="1243" spans="1:7" x14ac:dyDescent="0.25">
      <c r="A1243" t="s">
        <v>8</v>
      </c>
      <c r="B1243" s="1" t="str">
        <f>"000252359 - RICH FOODS HILTON NCORE"</f>
        <v>000252359 - RICH FOODS HILTON NCORE</v>
      </c>
      <c r="C1243" t="s">
        <v>561</v>
      </c>
      <c r="D1243" s="1" t="str">
        <f t="shared" si="34"/>
        <v>PRG-1014940</v>
      </c>
      <c r="E1243" t="s">
        <v>125</v>
      </c>
      <c r="F1243" t="s">
        <v>4</v>
      </c>
      <c r="G1243" t="str">
        <f>""</f>
        <v/>
      </c>
    </row>
    <row r="1244" spans="1:7" x14ac:dyDescent="0.25">
      <c r="A1244" t="s">
        <v>8</v>
      </c>
      <c r="B1244" s="1" t="str">
        <f>"000252382 - RICH FOODS HILTON NONCORE"</f>
        <v>000252382 - RICH FOODS HILTON NONCORE</v>
      </c>
      <c r="C1244" t="s">
        <v>516</v>
      </c>
      <c r="D1244" s="1" t="str">
        <f t="shared" si="34"/>
        <v>PRG-1014940</v>
      </c>
      <c r="E1244" t="s">
        <v>125</v>
      </c>
      <c r="F1244" t="s">
        <v>4</v>
      </c>
      <c r="G1244" t="str">
        <f>""</f>
        <v/>
      </c>
    </row>
    <row r="1245" spans="1:7" x14ac:dyDescent="0.25">
      <c r="A1245" t="s">
        <v>8</v>
      </c>
      <c r="B1245" s="1" t="str">
        <f>"000252753 - RICH (NON)   HILTON HOTEL DC"</f>
        <v>000252753 - RICH (NON)   HILTON HOTEL DC</v>
      </c>
      <c r="C1245" t="s">
        <v>2133</v>
      </c>
      <c r="D1245" s="1" t="str">
        <f t="shared" si="34"/>
        <v>PRG-1014940</v>
      </c>
      <c r="E1245" t="s">
        <v>125</v>
      </c>
      <c r="F1245" t="s">
        <v>4</v>
      </c>
      <c r="G1245" t="str">
        <f>""</f>
        <v/>
      </c>
    </row>
    <row r="1246" spans="1:7" x14ac:dyDescent="0.25">
      <c r="A1246" t="s">
        <v>8</v>
      </c>
      <c r="B1246" s="1" t="str">
        <f>"000253078 - RICH FOODS HILTON NCORE"</f>
        <v>000253078 - RICH FOODS HILTON NCORE</v>
      </c>
      <c r="C1246" t="s">
        <v>561</v>
      </c>
      <c r="D1246" s="1" t="str">
        <f t="shared" si="34"/>
        <v>PRG-1014940</v>
      </c>
      <c r="E1246" t="s">
        <v>125</v>
      </c>
      <c r="F1246" t="s">
        <v>4</v>
      </c>
      <c r="G1246" t="str">
        <f>""</f>
        <v/>
      </c>
    </row>
    <row r="1247" spans="1:7" x14ac:dyDescent="0.25">
      <c r="A1247" t="s">
        <v>8</v>
      </c>
      <c r="B1247" s="1" t="str">
        <f>"000253230 - RICH FOODS HILTON NCORE"</f>
        <v>000253230 - RICH FOODS HILTON NCORE</v>
      </c>
      <c r="C1247" t="s">
        <v>561</v>
      </c>
      <c r="D1247" s="1" t="str">
        <f t="shared" si="34"/>
        <v>PRG-1014940</v>
      </c>
      <c r="E1247" t="s">
        <v>125</v>
      </c>
      <c r="F1247" t="s">
        <v>4</v>
      </c>
      <c r="G1247" t="str">
        <f>""</f>
        <v/>
      </c>
    </row>
    <row r="1248" spans="1:7" x14ac:dyDescent="0.25">
      <c r="A1248" t="s">
        <v>8</v>
      </c>
      <c r="B1248" s="1" t="str">
        <f>"000253527 - RICH FOODS-HILTON"</f>
        <v>000253527 - RICH FOODS-HILTON</v>
      </c>
      <c r="C1248" t="s">
        <v>183</v>
      </c>
      <c r="D1248" s="1" t="str">
        <f t="shared" si="34"/>
        <v>PRG-1014940</v>
      </c>
      <c r="E1248" t="s">
        <v>125</v>
      </c>
      <c r="F1248" t="s">
        <v>4</v>
      </c>
      <c r="G1248" t="str">
        <f>""</f>
        <v/>
      </c>
    </row>
    <row r="1249" spans="1:7" x14ac:dyDescent="0.25">
      <c r="A1249" t="s">
        <v>8</v>
      </c>
      <c r="B1249" s="1" t="str">
        <f>"000253725 - RICH FOODS BB NCORE HILTON"</f>
        <v>000253725 - RICH FOODS BB NCORE HILTON</v>
      </c>
      <c r="C1249" t="s">
        <v>143</v>
      </c>
      <c r="D1249" s="1" t="str">
        <f t="shared" si="34"/>
        <v>PRG-1014940</v>
      </c>
      <c r="E1249" t="s">
        <v>125</v>
      </c>
      <c r="F1249" t="s">
        <v>4</v>
      </c>
      <c r="G1249" t="str">
        <f>""</f>
        <v/>
      </c>
    </row>
    <row r="1250" spans="1:7" x14ac:dyDescent="0.25">
      <c r="A1250" t="s">
        <v>8</v>
      </c>
      <c r="B1250" s="1" t="str">
        <f>"000253991 - RICH FOODS HILTON"</f>
        <v>000253991 - RICH FOODS HILTON</v>
      </c>
      <c r="C1250" t="s">
        <v>490</v>
      </c>
      <c r="D1250" s="1" t="str">
        <f t="shared" si="34"/>
        <v>PRG-1014940</v>
      </c>
      <c r="E1250" t="s">
        <v>125</v>
      </c>
      <c r="F1250" t="s">
        <v>4</v>
      </c>
      <c r="G1250" t="str">
        <f>""</f>
        <v/>
      </c>
    </row>
    <row r="1251" spans="1:7" x14ac:dyDescent="0.25">
      <c r="A1251" t="s">
        <v>8</v>
      </c>
      <c r="B1251" s="1" t="str">
        <f>"000254534 - RICH FOODS BB NCORE HILTON"</f>
        <v>000254534 - RICH FOODS BB NCORE HILTON</v>
      </c>
      <c r="C1251" t="s">
        <v>143</v>
      </c>
      <c r="D1251" s="1" t="str">
        <f t="shared" si="34"/>
        <v>PRG-1014940</v>
      </c>
      <c r="E1251" t="s">
        <v>125</v>
      </c>
      <c r="F1251" t="s">
        <v>4</v>
      </c>
      <c r="G1251" t="str">
        <f>""</f>
        <v/>
      </c>
    </row>
    <row r="1252" spans="1:7" x14ac:dyDescent="0.25">
      <c r="A1252" t="s">
        <v>8</v>
      </c>
      <c r="B1252" s="1" t="str">
        <f>"000255597 - RICH FOODS NON CORE HILTONVOID"</f>
        <v>000255597 - RICH FOODS NON CORE HILTONVOID</v>
      </c>
      <c r="C1252" t="s">
        <v>513</v>
      </c>
      <c r="D1252" s="1" t="str">
        <f t="shared" si="34"/>
        <v>PRG-1014940</v>
      </c>
      <c r="E1252" t="s">
        <v>125</v>
      </c>
      <c r="F1252" t="s">
        <v>4</v>
      </c>
      <c r="G1252" t="str">
        <f>""</f>
        <v/>
      </c>
    </row>
    <row r="1253" spans="1:7" x14ac:dyDescent="0.25">
      <c r="A1253" t="s">
        <v>8</v>
      </c>
      <c r="B1253" s="1" t="str">
        <f>"000255788 - RICH FOODS BB NCORE HILTON"</f>
        <v>000255788 - RICH FOODS BB NCORE HILTON</v>
      </c>
      <c r="C1253" t="s">
        <v>143</v>
      </c>
      <c r="D1253" s="1" t="str">
        <f t="shared" si="34"/>
        <v>PRG-1014940</v>
      </c>
      <c r="E1253" t="s">
        <v>125</v>
      </c>
      <c r="F1253" t="s">
        <v>4</v>
      </c>
      <c r="G1253" t="str">
        <f>""</f>
        <v/>
      </c>
    </row>
    <row r="1254" spans="1:7" x14ac:dyDescent="0.25">
      <c r="A1254" t="s">
        <v>8</v>
      </c>
      <c r="B1254" s="1" t="str">
        <f>"000256177 - RICH FOODS BB NCORE HILTON"</f>
        <v>000256177 - RICH FOODS BB NCORE HILTON</v>
      </c>
      <c r="C1254" t="s">
        <v>143</v>
      </c>
      <c r="D1254" s="1" t="str">
        <f t="shared" si="34"/>
        <v>PRG-1014940</v>
      </c>
      <c r="E1254" t="s">
        <v>125</v>
      </c>
      <c r="F1254" t="s">
        <v>4</v>
      </c>
      <c r="G1254" t="str">
        <f>""</f>
        <v/>
      </c>
    </row>
    <row r="1255" spans="1:7" x14ac:dyDescent="0.25">
      <c r="A1255" t="s">
        <v>8</v>
      </c>
      <c r="B1255" s="1" t="str">
        <f>"000256301 - RICH FOODS HILTON NONCORE"</f>
        <v>000256301 - RICH FOODS HILTON NONCORE</v>
      </c>
      <c r="C1255" t="s">
        <v>516</v>
      </c>
      <c r="D1255" s="1" t="str">
        <f t="shared" si="34"/>
        <v>PRG-1014940</v>
      </c>
      <c r="E1255" t="s">
        <v>125</v>
      </c>
      <c r="F1255" t="s">
        <v>4</v>
      </c>
      <c r="G1255" t="str">
        <f>""</f>
        <v/>
      </c>
    </row>
    <row r="1256" spans="1:7" x14ac:dyDescent="0.25">
      <c r="A1256" t="s">
        <v>8</v>
      </c>
      <c r="B1256" s="1" t="str">
        <f>"000256479 - RICH FOODS HILTON NCORE"</f>
        <v>000256479 - RICH FOODS HILTON NCORE</v>
      </c>
      <c r="C1256" t="s">
        <v>561</v>
      </c>
      <c r="D1256" s="1" t="str">
        <f t="shared" si="34"/>
        <v>PRG-1014940</v>
      </c>
      <c r="E1256" t="s">
        <v>125</v>
      </c>
      <c r="F1256" t="s">
        <v>4</v>
      </c>
      <c r="G1256" t="str">
        <f>""</f>
        <v/>
      </c>
    </row>
    <row r="1257" spans="1:7" x14ac:dyDescent="0.25">
      <c r="A1257" t="s">
        <v>8</v>
      </c>
      <c r="B1257" s="1" t="str">
        <f>"000259847 - RICH FOODS BB NCORE HILTON"</f>
        <v>000259847 - RICH FOODS BB NCORE HILTON</v>
      </c>
      <c r="C1257" t="s">
        <v>143</v>
      </c>
      <c r="D1257" s="1" t="str">
        <f t="shared" si="34"/>
        <v>PRG-1014940</v>
      </c>
      <c r="E1257" t="s">
        <v>125</v>
      </c>
      <c r="F1257" t="s">
        <v>4</v>
      </c>
      <c r="G1257" t="str">
        <f>""</f>
        <v/>
      </c>
    </row>
    <row r="1258" spans="1:7" x14ac:dyDescent="0.25">
      <c r="A1258" t="s">
        <v>8</v>
      </c>
      <c r="B1258" s="1" t="str">
        <f>"000261707 - RICH FOODS HILTON"</f>
        <v>000261707 - RICH FOODS HILTON</v>
      </c>
      <c r="C1258" t="s">
        <v>490</v>
      </c>
      <c r="D1258" s="1" t="str">
        <f t="shared" si="34"/>
        <v>PRG-1014940</v>
      </c>
      <c r="E1258" t="s">
        <v>125</v>
      </c>
      <c r="F1258" t="s">
        <v>4</v>
      </c>
      <c r="G1258" t="str">
        <f>""</f>
        <v/>
      </c>
    </row>
    <row r="1259" spans="1:7" x14ac:dyDescent="0.25">
      <c r="A1259" t="s">
        <v>8</v>
      </c>
      <c r="B1259" s="1" t="str">
        <f>"000261825 - RICH FOODS NON CORE HILTONVOID"</f>
        <v>000261825 - RICH FOODS NON CORE HILTONVOID</v>
      </c>
      <c r="C1259" t="s">
        <v>513</v>
      </c>
      <c r="D1259" s="1" t="str">
        <f t="shared" si="34"/>
        <v>PRG-1014940</v>
      </c>
      <c r="E1259" t="s">
        <v>125</v>
      </c>
      <c r="F1259" t="s">
        <v>4</v>
      </c>
      <c r="G1259" t="str">
        <f>""</f>
        <v/>
      </c>
    </row>
    <row r="1260" spans="1:7" x14ac:dyDescent="0.25">
      <c r="A1260" t="s">
        <v>8</v>
      </c>
      <c r="B1260" s="1" t="str">
        <f>"000261826 - RICH FOODS CORE - HILTON VOID"</f>
        <v>000261826 - RICH FOODS CORE - HILTON VOID</v>
      </c>
      <c r="C1260" t="s">
        <v>794</v>
      </c>
      <c r="D1260" s="1" t="str">
        <f t="shared" si="34"/>
        <v>PRG-1014940</v>
      </c>
      <c r="E1260" t="s">
        <v>125</v>
      </c>
      <c r="F1260" t="s">
        <v>4</v>
      </c>
      <c r="G1260" t="str">
        <f>""</f>
        <v/>
      </c>
    </row>
    <row r="1261" spans="1:7" x14ac:dyDescent="0.25">
      <c r="A1261" t="s">
        <v>8</v>
      </c>
      <c r="B1261" s="1" t="str">
        <f>"000261852 - RICH FOODS BB NCORE HILTON"</f>
        <v>000261852 - RICH FOODS BB NCORE HILTON</v>
      </c>
      <c r="C1261" t="s">
        <v>143</v>
      </c>
      <c r="D1261" s="1" t="str">
        <f t="shared" si="34"/>
        <v>PRG-1014940</v>
      </c>
      <c r="E1261" t="s">
        <v>125</v>
      </c>
      <c r="F1261" t="s">
        <v>4</v>
      </c>
      <c r="G1261" t="str">
        <f>""</f>
        <v/>
      </c>
    </row>
    <row r="1262" spans="1:7" x14ac:dyDescent="0.25">
      <c r="A1262" t="s">
        <v>8</v>
      </c>
      <c r="B1262" s="1" t="str">
        <f>"000262315 - RICH FOODS-HILTON"</f>
        <v>000262315 - RICH FOODS-HILTON</v>
      </c>
      <c r="C1262" t="s">
        <v>183</v>
      </c>
      <c r="D1262" s="1" t="str">
        <f t="shared" si="34"/>
        <v>PRG-1014940</v>
      </c>
      <c r="E1262" t="s">
        <v>125</v>
      </c>
      <c r="F1262" t="s">
        <v>4</v>
      </c>
      <c r="G1262" t="str">
        <f>""</f>
        <v/>
      </c>
    </row>
    <row r="1263" spans="1:7" x14ac:dyDescent="0.25">
      <c r="A1263" t="s">
        <v>8</v>
      </c>
      <c r="B1263" s="1" t="str">
        <f>"000262635 - RICH FOODS HILTON NONCORE"</f>
        <v>000262635 - RICH FOODS HILTON NONCORE</v>
      </c>
      <c r="C1263" t="s">
        <v>516</v>
      </c>
      <c r="D1263" s="1" t="str">
        <f t="shared" si="34"/>
        <v>PRG-1014940</v>
      </c>
      <c r="E1263" t="s">
        <v>125</v>
      </c>
      <c r="F1263" t="s">
        <v>4</v>
      </c>
      <c r="G1263" t="str">
        <f>""</f>
        <v/>
      </c>
    </row>
    <row r="1264" spans="1:7" x14ac:dyDescent="0.25">
      <c r="A1264" t="s">
        <v>8</v>
      </c>
      <c r="B1264" s="1" t="str">
        <f>"000263663 - RICH FOODS-HILTON"</f>
        <v>000263663 - RICH FOODS-HILTON</v>
      </c>
      <c r="C1264" t="s">
        <v>183</v>
      </c>
      <c r="D1264" s="1" t="str">
        <f t="shared" si="34"/>
        <v>PRG-1014940</v>
      </c>
      <c r="E1264" t="s">
        <v>125</v>
      </c>
      <c r="F1264" t="s">
        <v>4</v>
      </c>
      <c r="G1264" t="str">
        <f>""</f>
        <v/>
      </c>
    </row>
    <row r="1265" spans="1:7" x14ac:dyDescent="0.25">
      <c r="A1265" t="s">
        <v>8</v>
      </c>
      <c r="B1265" s="1" t="str">
        <f>"000263968 - RICH FOODS-HILTON"</f>
        <v>000263968 - RICH FOODS-HILTON</v>
      </c>
      <c r="C1265" t="s">
        <v>183</v>
      </c>
      <c r="D1265" s="1" t="str">
        <f t="shared" si="34"/>
        <v>PRG-1014940</v>
      </c>
      <c r="E1265" t="s">
        <v>125</v>
      </c>
      <c r="F1265" t="s">
        <v>4</v>
      </c>
      <c r="G1265" t="str">
        <f>""</f>
        <v/>
      </c>
    </row>
    <row r="1266" spans="1:7" x14ac:dyDescent="0.25">
      <c r="A1266" t="s">
        <v>8</v>
      </c>
      <c r="B1266" s="1" t="str">
        <f>"000268834 - RICH FOODS NON CORE HILTONVOID"</f>
        <v>000268834 - RICH FOODS NON CORE HILTONVOID</v>
      </c>
      <c r="C1266" t="s">
        <v>513</v>
      </c>
      <c r="D1266" s="1" t="str">
        <f t="shared" si="34"/>
        <v>PRG-1014940</v>
      </c>
      <c r="E1266" t="s">
        <v>125</v>
      </c>
      <c r="F1266" t="s">
        <v>4</v>
      </c>
      <c r="G1266" t="str">
        <f>""</f>
        <v/>
      </c>
    </row>
    <row r="1267" spans="1:7" x14ac:dyDescent="0.25">
      <c r="A1267" t="s">
        <v>8</v>
      </c>
      <c r="B1267" s="1" t="str">
        <f>"000268835 - RICH FOODS CORE - HILTON VOID"</f>
        <v>000268835 - RICH FOODS CORE - HILTON VOID</v>
      </c>
      <c r="C1267" t="s">
        <v>794</v>
      </c>
      <c r="D1267" s="1" t="str">
        <f t="shared" si="34"/>
        <v>PRG-1014940</v>
      </c>
      <c r="E1267" t="s">
        <v>125</v>
      </c>
      <c r="F1267" t="s">
        <v>4</v>
      </c>
      <c r="G1267" t="str">
        <f>""</f>
        <v/>
      </c>
    </row>
    <row r="1268" spans="1:7" x14ac:dyDescent="0.25">
      <c r="A1268" t="s">
        <v>8</v>
      </c>
      <c r="B1268" s="1" t="str">
        <f>"000269566 - RICH FOODS HILTON NONCORE"</f>
        <v>000269566 - RICH FOODS HILTON NONCORE</v>
      </c>
      <c r="C1268" t="s">
        <v>516</v>
      </c>
      <c r="D1268" s="1" t="str">
        <f t="shared" si="34"/>
        <v>PRG-1014940</v>
      </c>
      <c r="E1268" t="s">
        <v>125</v>
      </c>
      <c r="F1268" t="s">
        <v>4</v>
      </c>
      <c r="G1268" t="str">
        <f>""</f>
        <v/>
      </c>
    </row>
    <row r="1269" spans="1:7" x14ac:dyDescent="0.25">
      <c r="A1269" t="s">
        <v>8</v>
      </c>
      <c r="B1269" s="1" t="str">
        <f>"000269583 - RICH FOODS HILTON NONCORE"</f>
        <v>000269583 - RICH FOODS HILTON NONCORE</v>
      </c>
      <c r="C1269" t="s">
        <v>516</v>
      </c>
      <c r="D1269" s="1" t="str">
        <f t="shared" si="34"/>
        <v>PRG-1014940</v>
      </c>
      <c r="E1269" t="s">
        <v>125</v>
      </c>
      <c r="F1269" t="s">
        <v>4</v>
      </c>
      <c r="G1269" t="str">
        <f>""</f>
        <v/>
      </c>
    </row>
    <row r="1270" spans="1:7" x14ac:dyDescent="0.25">
      <c r="A1270" t="s">
        <v>8</v>
      </c>
      <c r="B1270" s="1" t="str">
        <f>"000270813 - RICH FOODS HILTON"</f>
        <v>000270813 - RICH FOODS HILTON</v>
      </c>
      <c r="C1270" t="s">
        <v>490</v>
      </c>
      <c r="D1270" s="1" t="str">
        <f t="shared" si="34"/>
        <v>PRG-1014940</v>
      </c>
      <c r="E1270" t="s">
        <v>125</v>
      </c>
      <c r="F1270" t="s">
        <v>4</v>
      </c>
      <c r="G1270" t="str">
        <f>""</f>
        <v/>
      </c>
    </row>
    <row r="1271" spans="1:7" x14ac:dyDescent="0.25">
      <c r="A1271" t="s">
        <v>8</v>
      </c>
      <c r="B1271" s="1" t="str">
        <f>"000271280 - RICH FOODS HILTON NCORE"</f>
        <v>000271280 - RICH FOODS HILTON NCORE</v>
      </c>
      <c r="C1271" t="s">
        <v>561</v>
      </c>
      <c r="D1271" s="1" t="str">
        <f t="shared" si="34"/>
        <v>PRG-1014940</v>
      </c>
      <c r="E1271" t="s">
        <v>125</v>
      </c>
      <c r="F1271" t="s">
        <v>4</v>
      </c>
      <c r="G1271" t="str">
        <f>""</f>
        <v/>
      </c>
    </row>
    <row r="1272" spans="1:7" x14ac:dyDescent="0.25">
      <c r="A1272" t="s">
        <v>8</v>
      </c>
      <c r="B1272" s="1" t="str">
        <f>"000271300 - RICH FOODS HILTON"</f>
        <v>000271300 - RICH FOODS HILTON</v>
      </c>
      <c r="C1272" t="s">
        <v>490</v>
      </c>
      <c r="D1272" s="1" t="str">
        <f t="shared" si="34"/>
        <v>PRG-1014940</v>
      </c>
      <c r="E1272" t="s">
        <v>125</v>
      </c>
      <c r="F1272" t="s">
        <v>4</v>
      </c>
      <c r="G1272" t="str">
        <f>""</f>
        <v/>
      </c>
    </row>
    <row r="1273" spans="1:7" x14ac:dyDescent="0.25">
      <c r="A1273" t="s">
        <v>8</v>
      </c>
      <c r="B1273" s="1" t="str">
        <f>"000271627 - RICH HILTON CORE WBB"</f>
        <v>000271627 - RICH HILTON CORE WBB</v>
      </c>
      <c r="C1273" t="s">
        <v>1315</v>
      </c>
      <c r="D1273" s="1" t="str">
        <f t="shared" si="34"/>
        <v>PRG-1014940</v>
      </c>
      <c r="E1273" t="s">
        <v>125</v>
      </c>
      <c r="F1273" t="s">
        <v>4</v>
      </c>
      <c r="G1273" t="str">
        <f>""</f>
        <v/>
      </c>
    </row>
    <row r="1274" spans="1:7" x14ac:dyDescent="0.25">
      <c r="A1274" t="s">
        <v>8</v>
      </c>
      <c r="B1274" s="1" t="str">
        <f>"000272769 - RICH FOODS-HILTON"</f>
        <v>000272769 - RICH FOODS-HILTON</v>
      </c>
      <c r="C1274" t="s">
        <v>183</v>
      </c>
      <c r="D1274" s="1" t="str">
        <f t="shared" si="34"/>
        <v>PRG-1014940</v>
      </c>
      <c r="E1274" t="s">
        <v>125</v>
      </c>
      <c r="F1274" t="s">
        <v>4</v>
      </c>
      <c r="G1274" t="str">
        <f>""</f>
        <v/>
      </c>
    </row>
    <row r="1275" spans="1:7" x14ac:dyDescent="0.25">
      <c r="A1275" t="s">
        <v>8</v>
      </c>
      <c r="B1275" s="1" t="str">
        <f>"000273015 - RICH FOODS-HILTON"</f>
        <v>000273015 - RICH FOODS-HILTON</v>
      </c>
      <c r="C1275" t="s">
        <v>183</v>
      </c>
      <c r="D1275" s="1" t="str">
        <f t="shared" si="34"/>
        <v>PRG-1014940</v>
      </c>
      <c r="E1275" t="s">
        <v>125</v>
      </c>
      <c r="F1275" t="s">
        <v>4</v>
      </c>
      <c r="G1275" t="str">
        <f>""</f>
        <v/>
      </c>
    </row>
    <row r="1276" spans="1:7" x14ac:dyDescent="0.25">
      <c r="A1276" t="s">
        <v>8</v>
      </c>
      <c r="B1276" s="1" t="str">
        <f>"000273175 - RICH FDS HILTON'S RETRO"</f>
        <v>000273175 - RICH FDS HILTON'S RETRO</v>
      </c>
      <c r="C1276" t="s">
        <v>2519</v>
      </c>
      <c r="D1276" s="1" t="str">
        <f t="shared" si="34"/>
        <v>PRG-1014940</v>
      </c>
      <c r="E1276" t="s">
        <v>125</v>
      </c>
      <c r="F1276" t="s">
        <v>4</v>
      </c>
      <c r="G1276" t="str">
        <f>""</f>
        <v/>
      </c>
    </row>
    <row r="1277" spans="1:7" x14ac:dyDescent="0.25">
      <c r="A1277" t="s">
        <v>8</v>
      </c>
      <c r="B1277" s="1" t="str">
        <f>"000273326 - RICH FOODS-HILTON"</f>
        <v>000273326 - RICH FOODS-HILTON</v>
      </c>
      <c r="C1277" t="s">
        <v>183</v>
      </c>
      <c r="D1277" s="1" t="str">
        <f t="shared" si="34"/>
        <v>PRG-1014940</v>
      </c>
      <c r="E1277" t="s">
        <v>125</v>
      </c>
      <c r="F1277" t="s">
        <v>4</v>
      </c>
      <c r="G1277" t="str">
        <f>""</f>
        <v/>
      </c>
    </row>
    <row r="1278" spans="1:7" x14ac:dyDescent="0.25">
      <c r="A1278" t="s">
        <v>8</v>
      </c>
      <c r="B1278" s="1" t="str">
        <f>"000274577 - RICH FOODS-HILTON"</f>
        <v>000274577 - RICH FOODS-HILTON</v>
      </c>
      <c r="C1278" t="s">
        <v>183</v>
      </c>
      <c r="D1278" s="1" t="str">
        <f t="shared" si="34"/>
        <v>PRG-1014940</v>
      </c>
      <c r="E1278" t="s">
        <v>125</v>
      </c>
      <c r="F1278" t="s">
        <v>4</v>
      </c>
      <c r="G1278" t="str">
        <f>""</f>
        <v/>
      </c>
    </row>
    <row r="1279" spans="1:7" x14ac:dyDescent="0.25">
      <c r="A1279" t="s">
        <v>8</v>
      </c>
      <c r="B1279" s="1" t="str">
        <f>"000274986 - RICH FOODS HILTON"</f>
        <v>000274986 - RICH FOODS HILTON</v>
      </c>
      <c r="C1279" t="s">
        <v>490</v>
      </c>
      <c r="D1279" s="1" t="str">
        <f t="shared" si="34"/>
        <v>PRG-1014940</v>
      </c>
      <c r="E1279" t="s">
        <v>125</v>
      </c>
      <c r="F1279" t="s">
        <v>4</v>
      </c>
      <c r="G1279" t="str">
        <f>""</f>
        <v/>
      </c>
    </row>
    <row r="1280" spans="1:7" x14ac:dyDescent="0.25">
      <c r="A1280" t="s">
        <v>8</v>
      </c>
      <c r="B1280" s="1" t="str">
        <f>"000275526 - RICH FOODS HILTON NCORE"</f>
        <v>000275526 - RICH FOODS HILTON NCORE</v>
      </c>
      <c r="C1280" t="s">
        <v>561</v>
      </c>
      <c r="D1280" s="1" t="str">
        <f t="shared" si="34"/>
        <v>PRG-1014940</v>
      </c>
      <c r="E1280" t="s">
        <v>125</v>
      </c>
      <c r="F1280" t="s">
        <v>4</v>
      </c>
      <c r="G1280" t="str">
        <f>""</f>
        <v/>
      </c>
    </row>
    <row r="1281" spans="1:7" x14ac:dyDescent="0.25">
      <c r="A1281" t="s">
        <v>8</v>
      </c>
      <c r="B1281" s="1" t="str">
        <f>"000276987 - RICH FOODS NON CORE HILTONVOID"</f>
        <v>000276987 - RICH FOODS NON CORE HILTONVOID</v>
      </c>
      <c r="C1281" t="s">
        <v>513</v>
      </c>
      <c r="D1281" s="1" t="str">
        <f t="shared" si="34"/>
        <v>PRG-1014940</v>
      </c>
      <c r="E1281" t="s">
        <v>125</v>
      </c>
      <c r="F1281" t="s">
        <v>4</v>
      </c>
      <c r="G1281" t="str">
        <f>""</f>
        <v/>
      </c>
    </row>
    <row r="1282" spans="1:7" x14ac:dyDescent="0.25">
      <c r="A1282" t="s">
        <v>8</v>
      </c>
      <c r="B1282" s="1" t="str">
        <f>"000277574 - RICH FOODS HILTON NONCORE"</f>
        <v>000277574 - RICH FOODS HILTON NONCORE</v>
      </c>
      <c r="C1282" t="s">
        <v>516</v>
      </c>
      <c r="D1282" s="1" t="str">
        <f t="shared" si="34"/>
        <v>PRG-1014940</v>
      </c>
      <c r="E1282" t="s">
        <v>125</v>
      </c>
      <c r="F1282" t="s">
        <v>4</v>
      </c>
      <c r="G1282" t="str">
        <f>""</f>
        <v/>
      </c>
    </row>
    <row r="1283" spans="1:7" x14ac:dyDescent="0.25">
      <c r="A1283" t="s">
        <v>8</v>
      </c>
      <c r="B1283" s="1" t="str">
        <f>"000279560 - RICH FOODS NON CORE HILTONVOID"</f>
        <v>000279560 - RICH FOODS NON CORE HILTONVOID</v>
      </c>
      <c r="C1283" t="s">
        <v>513</v>
      </c>
      <c r="D1283" s="1" t="str">
        <f t="shared" si="34"/>
        <v>PRG-1014940</v>
      </c>
      <c r="E1283" t="s">
        <v>125</v>
      </c>
      <c r="F1283" t="s">
        <v>4</v>
      </c>
      <c r="G1283" t="str">
        <f>""</f>
        <v/>
      </c>
    </row>
    <row r="1284" spans="1:7" x14ac:dyDescent="0.25">
      <c r="A1284" t="s">
        <v>8</v>
      </c>
      <c r="B1284" s="1" t="str">
        <f>"000279561 - RICH FOODS CORE - HILTON VOID"</f>
        <v>000279561 - RICH FOODS CORE - HILTON VOID</v>
      </c>
      <c r="C1284" t="s">
        <v>794</v>
      </c>
      <c r="D1284" s="1" t="str">
        <f t="shared" si="34"/>
        <v>PRG-1014940</v>
      </c>
      <c r="E1284" t="s">
        <v>125</v>
      </c>
      <c r="F1284" t="s">
        <v>4</v>
      </c>
      <c r="G1284" t="str">
        <f>""</f>
        <v/>
      </c>
    </row>
    <row r="1285" spans="1:7" x14ac:dyDescent="0.25">
      <c r="A1285" t="s">
        <v>8</v>
      </c>
      <c r="B1285" s="1" t="str">
        <f>"000280498 - RICH FOODS HILTON NONCORE"</f>
        <v>000280498 - RICH FOODS HILTON NONCORE</v>
      </c>
      <c r="C1285" t="s">
        <v>516</v>
      </c>
      <c r="D1285" s="1" t="str">
        <f t="shared" si="34"/>
        <v>PRG-1014940</v>
      </c>
      <c r="E1285" t="s">
        <v>125</v>
      </c>
      <c r="F1285" t="s">
        <v>4</v>
      </c>
      <c r="G1285" t="str">
        <f>""</f>
        <v/>
      </c>
    </row>
    <row r="1286" spans="1:7" x14ac:dyDescent="0.25">
      <c r="A1286" t="s">
        <v>8</v>
      </c>
      <c r="B1286" s="1" t="str">
        <f>"000281489 - RICH FOODS HILTON"</f>
        <v>000281489 - RICH FOODS HILTON</v>
      </c>
      <c r="C1286" t="s">
        <v>490</v>
      </c>
      <c r="D1286" s="1" t="str">
        <f t="shared" si="34"/>
        <v>PRG-1014940</v>
      </c>
      <c r="E1286" t="s">
        <v>125</v>
      </c>
      <c r="F1286" t="s">
        <v>4</v>
      </c>
      <c r="G1286" t="str">
        <f>""</f>
        <v/>
      </c>
    </row>
    <row r="1287" spans="1:7" x14ac:dyDescent="0.25">
      <c r="A1287" t="s">
        <v>8</v>
      </c>
      <c r="B1287" s="1" t="str">
        <f>"000281833 - RICH FOODS-HILTON"</f>
        <v>000281833 - RICH FOODS-HILTON</v>
      </c>
      <c r="C1287" t="s">
        <v>183</v>
      </c>
      <c r="D1287" s="1" t="str">
        <f t="shared" si="34"/>
        <v>PRG-1014940</v>
      </c>
      <c r="E1287" t="s">
        <v>125</v>
      </c>
      <c r="F1287" t="s">
        <v>4</v>
      </c>
      <c r="G1287" t="str">
        <f>""</f>
        <v/>
      </c>
    </row>
    <row r="1288" spans="1:7" x14ac:dyDescent="0.25">
      <c r="A1288" t="s">
        <v>8</v>
      </c>
      <c r="B1288" s="1" t="str">
        <f>"000283092 - RICH FOODS-HILTON"</f>
        <v>000283092 - RICH FOODS-HILTON</v>
      </c>
      <c r="C1288" t="s">
        <v>183</v>
      </c>
      <c r="D1288" s="1" t="str">
        <f t="shared" si="34"/>
        <v>PRG-1014940</v>
      </c>
      <c r="E1288" t="s">
        <v>125</v>
      </c>
      <c r="F1288" t="s">
        <v>4</v>
      </c>
      <c r="G1288" t="str">
        <f>""</f>
        <v/>
      </c>
    </row>
    <row r="1289" spans="1:7" x14ac:dyDescent="0.25">
      <c r="A1289" t="s">
        <v>8</v>
      </c>
      <c r="B1289" s="1" t="str">
        <f>"000283556 - RICH FOODS HILTON"</f>
        <v>000283556 - RICH FOODS HILTON</v>
      </c>
      <c r="C1289" t="s">
        <v>490</v>
      </c>
      <c r="D1289" s="1" t="str">
        <f t="shared" si="34"/>
        <v>PRG-1014940</v>
      </c>
      <c r="E1289" t="s">
        <v>125</v>
      </c>
      <c r="F1289" t="s">
        <v>4</v>
      </c>
      <c r="G1289" t="str">
        <f>""</f>
        <v/>
      </c>
    </row>
    <row r="1290" spans="1:7" x14ac:dyDescent="0.25">
      <c r="A1290" t="s">
        <v>8</v>
      </c>
      <c r="B1290" s="1" t="str">
        <f>"000284287 - RICH FOODS BB NCORE HILTON"</f>
        <v>000284287 - RICH FOODS BB NCORE HILTON</v>
      </c>
      <c r="C1290" t="s">
        <v>143</v>
      </c>
      <c r="D1290" s="1" t="str">
        <f t="shared" si="34"/>
        <v>PRG-1014940</v>
      </c>
      <c r="E1290" t="s">
        <v>125</v>
      </c>
      <c r="F1290" t="s">
        <v>4</v>
      </c>
      <c r="G1290" t="str">
        <f>""</f>
        <v/>
      </c>
    </row>
    <row r="1291" spans="1:7" x14ac:dyDescent="0.25">
      <c r="A1291" t="s">
        <v>8</v>
      </c>
      <c r="B1291" s="1" t="str">
        <f>"000284848 - RICH FOODS NON CORE HILTONVOID"</f>
        <v>000284848 - RICH FOODS NON CORE HILTONVOID</v>
      </c>
      <c r="C1291" t="s">
        <v>513</v>
      </c>
      <c r="D1291" s="1" t="str">
        <f t="shared" ref="D1291:D1354" si="35">"PRG-1014940"</f>
        <v>PRG-1014940</v>
      </c>
      <c r="E1291" t="s">
        <v>125</v>
      </c>
      <c r="F1291" t="s">
        <v>4</v>
      </c>
      <c r="G1291" t="str">
        <f>""</f>
        <v/>
      </c>
    </row>
    <row r="1292" spans="1:7" x14ac:dyDescent="0.25">
      <c r="A1292" t="s">
        <v>8</v>
      </c>
      <c r="B1292" s="1" t="str">
        <f>"000286488 - RICH FOODS NON CORE HILTONVOID"</f>
        <v>000286488 - RICH FOODS NON CORE HILTONVOID</v>
      </c>
      <c r="C1292" t="s">
        <v>513</v>
      </c>
      <c r="D1292" s="1" t="str">
        <f t="shared" si="35"/>
        <v>PRG-1014940</v>
      </c>
      <c r="E1292" t="s">
        <v>125</v>
      </c>
      <c r="F1292" t="s">
        <v>4</v>
      </c>
      <c r="G1292" t="str">
        <f>""</f>
        <v/>
      </c>
    </row>
    <row r="1293" spans="1:7" x14ac:dyDescent="0.25">
      <c r="A1293" t="s">
        <v>8</v>
      </c>
      <c r="B1293" s="1" t="str">
        <f>"000286954 - RICH FOODS-HILTON"</f>
        <v>000286954 - RICH FOODS-HILTON</v>
      </c>
      <c r="C1293" t="s">
        <v>183</v>
      </c>
      <c r="D1293" s="1" t="str">
        <f t="shared" si="35"/>
        <v>PRG-1014940</v>
      </c>
      <c r="E1293" t="s">
        <v>125</v>
      </c>
      <c r="F1293" t="s">
        <v>4</v>
      </c>
      <c r="G1293" t="str">
        <f>""</f>
        <v/>
      </c>
    </row>
    <row r="1294" spans="1:7" x14ac:dyDescent="0.25">
      <c r="A1294" t="s">
        <v>8</v>
      </c>
      <c r="B1294" s="1" t="str">
        <f>"000287123 - RICH FOODS NON CORE HILTONVOID"</f>
        <v>000287123 - RICH FOODS NON CORE HILTONVOID</v>
      </c>
      <c r="C1294" t="s">
        <v>513</v>
      </c>
      <c r="D1294" s="1" t="str">
        <f t="shared" si="35"/>
        <v>PRG-1014940</v>
      </c>
      <c r="E1294" t="s">
        <v>125</v>
      </c>
      <c r="F1294" t="s">
        <v>4</v>
      </c>
      <c r="G1294" t="str">
        <f>""</f>
        <v/>
      </c>
    </row>
    <row r="1295" spans="1:7" x14ac:dyDescent="0.25">
      <c r="A1295" t="s">
        <v>8</v>
      </c>
      <c r="B1295" s="1" t="str">
        <f>"000287190 - RICH FOODS HILTON NONCORE"</f>
        <v>000287190 - RICH FOODS HILTON NONCORE</v>
      </c>
      <c r="C1295" t="s">
        <v>516</v>
      </c>
      <c r="D1295" s="1" t="str">
        <f t="shared" si="35"/>
        <v>PRG-1014940</v>
      </c>
      <c r="E1295" t="s">
        <v>125</v>
      </c>
      <c r="F1295" t="s">
        <v>4</v>
      </c>
      <c r="G1295" t="str">
        <f>""</f>
        <v/>
      </c>
    </row>
    <row r="1296" spans="1:7" x14ac:dyDescent="0.25">
      <c r="A1296" t="s">
        <v>8</v>
      </c>
      <c r="B1296" s="1" t="str">
        <f>"000287349 - RICH FOODS HILTON NCORE"</f>
        <v>000287349 - RICH FOODS HILTON NCORE</v>
      </c>
      <c r="C1296" t="s">
        <v>561</v>
      </c>
      <c r="D1296" s="1" t="str">
        <f t="shared" si="35"/>
        <v>PRG-1014940</v>
      </c>
      <c r="E1296" t="s">
        <v>125</v>
      </c>
      <c r="F1296" t="s">
        <v>4</v>
      </c>
      <c r="G1296" t="str">
        <f>""</f>
        <v/>
      </c>
    </row>
    <row r="1297" spans="1:7" x14ac:dyDescent="0.25">
      <c r="A1297" t="s">
        <v>8</v>
      </c>
      <c r="B1297" s="1" t="str">
        <f>"000288107 - RICH FOODS NON CORE HILTONVOID"</f>
        <v>000288107 - RICH FOODS NON CORE HILTONVOID</v>
      </c>
      <c r="C1297" t="s">
        <v>513</v>
      </c>
      <c r="D1297" s="1" t="str">
        <f t="shared" si="35"/>
        <v>PRG-1014940</v>
      </c>
      <c r="E1297" t="s">
        <v>125</v>
      </c>
      <c r="F1297" t="s">
        <v>4</v>
      </c>
      <c r="G1297" t="str">
        <f>""</f>
        <v/>
      </c>
    </row>
    <row r="1298" spans="1:7" x14ac:dyDescent="0.25">
      <c r="A1298" t="s">
        <v>8</v>
      </c>
      <c r="B1298" s="1" t="str">
        <f>"000288551 - RICH FOODS HILTON NONCORE"</f>
        <v>000288551 - RICH FOODS HILTON NONCORE</v>
      </c>
      <c r="C1298" t="s">
        <v>516</v>
      </c>
      <c r="D1298" s="1" t="str">
        <f t="shared" si="35"/>
        <v>PRG-1014940</v>
      </c>
      <c r="E1298" t="s">
        <v>125</v>
      </c>
      <c r="F1298" t="s">
        <v>4</v>
      </c>
      <c r="G1298" t="str">
        <f>""</f>
        <v/>
      </c>
    </row>
    <row r="1299" spans="1:7" x14ac:dyDescent="0.25">
      <c r="A1299" t="s">
        <v>8</v>
      </c>
      <c r="B1299" s="1" t="str">
        <f>"000288827 - RICH FOODS HILTON NONCORE"</f>
        <v>000288827 - RICH FOODS HILTON NONCORE</v>
      </c>
      <c r="C1299" t="s">
        <v>516</v>
      </c>
      <c r="D1299" s="1" t="str">
        <f t="shared" si="35"/>
        <v>PRG-1014940</v>
      </c>
      <c r="E1299" t="s">
        <v>125</v>
      </c>
      <c r="F1299" t="s">
        <v>4</v>
      </c>
      <c r="G1299" t="str">
        <f>""</f>
        <v/>
      </c>
    </row>
    <row r="1300" spans="1:7" x14ac:dyDescent="0.25">
      <c r="A1300" t="s">
        <v>8</v>
      </c>
      <c r="B1300" s="1" t="str">
        <f>"000289858 - RICH FOODS HILTON"</f>
        <v>000289858 - RICH FOODS HILTON</v>
      </c>
      <c r="C1300" t="s">
        <v>490</v>
      </c>
      <c r="D1300" s="1" t="str">
        <f t="shared" si="35"/>
        <v>PRG-1014940</v>
      </c>
      <c r="E1300" t="s">
        <v>125</v>
      </c>
      <c r="F1300" t="s">
        <v>4</v>
      </c>
      <c r="G1300" t="str">
        <f>""</f>
        <v/>
      </c>
    </row>
    <row r="1301" spans="1:7" x14ac:dyDescent="0.25">
      <c r="A1301" t="s">
        <v>8</v>
      </c>
      <c r="B1301" s="1" t="str">
        <f>"000290438 - RICH FOODS-HILTON"</f>
        <v>000290438 - RICH FOODS-HILTON</v>
      </c>
      <c r="C1301" t="s">
        <v>183</v>
      </c>
      <c r="D1301" s="1" t="str">
        <f t="shared" si="35"/>
        <v>PRG-1014940</v>
      </c>
      <c r="E1301" t="s">
        <v>125</v>
      </c>
      <c r="F1301" t="s">
        <v>4</v>
      </c>
      <c r="G1301" t="str">
        <f>""</f>
        <v/>
      </c>
    </row>
    <row r="1302" spans="1:7" x14ac:dyDescent="0.25">
      <c r="A1302" t="s">
        <v>8</v>
      </c>
      <c r="B1302" s="1" t="str">
        <f>"000291982 - RICH FOODS NON CORE HILTONVOID"</f>
        <v>000291982 - RICH FOODS NON CORE HILTONVOID</v>
      </c>
      <c r="C1302" t="s">
        <v>513</v>
      </c>
      <c r="D1302" s="1" t="str">
        <f t="shared" si="35"/>
        <v>PRG-1014940</v>
      </c>
      <c r="E1302" t="s">
        <v>125</v>
      </c>
      <c r="F1302" t="s">
        <v>4</v>
      </c>
      <c r="G1302" t="str">
        <f>""</f>
        <v/>
      </c>
    </row>
    <row r="1303" spans="1:7" x14ac:dyDescent="0.25">
      <c r="A1303" t="s">
        <v>8</v>
      </c>
      <c r="B1303" s="1" t="str">
        <f>"000292155 - RICH FOODS HILTON"</f>
        <v>000292155 - RICH FOODS HILTON</v>
      </c>
      <c r="C1303" t="s">
        <v>490</v>
      </c>
      <c r="D1303" s="1" t="str">
        <f t="shared" si="35"/>
        <v>PRG-1014940</v>
      </c>
      <c r="E1303" t="s">
        <v>125</v>
      </c>
      <c r="F1303" t="s">
        <v>4</v>
      </c>
      <c r="G1303" t="str">
        <f>""</f>
        <v/>
      </c>
    </row>
    <row r="1304" spans="1:7" x14ac:dyDescent="0.25">
      <c r="A1304" t="s">
        <v>8</v>
      </c>
      <c r="B1304" s="1" t="str">
        <f>"000292760 - RICH FOODS-HILTON"</f>
        <v>000292760 - RICH FOODS-HILTON</v>
      </c>
      <c r="C1304" t="s">
        <v>183</v>
      </c>
      <c r="D1304" s="1" t="str">
        <f t="shared" si="35"/>
        <v>PRG-1014940</v>
      </c>
      <c r="E1304" t="s">
        <v>125</v>
      </c>
      <c r="F1304" t="s">
        <v>4</v>
      </c>
      <c r="G1304" t="str">
        <f>""</f>
        <v/>
      </c>
    </row>
    <row r="1305" spans="1:7" x14ac:dyDescent="0.25">
      <c r="A1305" t="s">
        <v>8</v>
      </c>
      <c r="B1305" s="1" t="str">
        <f>"000293104 - RICH FOODS HILTON NONCORE"</f>
        <v>000293104 - RICH FOODS HILTON NONCORE</v>
      </c>
      <c r="C1305" t="s">
        <v>516</v>
      </c>
      <c r="D1305" s="1" t="str">
        <f t="shared" si="35"/>
        <v>PRG-1014940</v>
      </c>
      <c r="E1305" t="s">
        <v>125</v>
      </c>
      <c r="F1305" t="s">
        <v>4</v>
      </c>
      <c r="G1305" t="str">
        <f>""</f>
        <v/>
      </c>
    </row>
    <row r="1306" spans="1:7" x14ac:dyDescent="0.25">
      <c r="A1306" t="s">
        <v>8</v>
      </c>
      <c r="B1306" s="1" t="str">
        <f>"000293857 - RICH FOODS HILTON NCORE"</f>
        <v>000293857 - RICH FOODS HILTON NCORE</v>
      </c>
      <c r="C1306" t="s">
        <v>561</v>
      </c>
      <c r="D1306" s="1" t="str">
        <f t="shared" si="35"/>
        <v>PRG-1014940</v>
      </c>
      <c r="E1306" t="s">
        <v>125</v>
      </c>
      <c r="F1306" t="s">
        <v>4</v>
      </c>
      <c r="G1306" t="str">
        <f>""</f>
        <v/>
      </c>
    </row>
    <row r="1307" spans="1:7" x14ac:dyDescent="0.25">
      <c r="A1307" t="s">
        <v>8</v>
      </c>
      <c r="B1307" s="1" t="str">
        <f>"000295562 - RICH FOODS HILTON"</f>
        <v>000295562 - RICH FOODS HILTON</v>
      </c>
      <c r="C1307" t="s">
        <v>490</v>
      </c>
      <c r="D1307" s="1" t="str">
        <f t="shared" si="35"/>
        <v>PRG-1014940</v>
      </c>
      <c r="E1307" t="s">
        <v>125</v>
      </c>
      <c r="F1307" t="s">
        <v>4</v>
      </c>
      <c r="G1307" t="str">
        <f>""</f>
        <v/>
      </c>
    </row>
    <row r="1308" spans="1:7" x14ac:dyDescent="0.25">
      <c r="A1308" t="s">
        <v>8</v>
      </c>
      <c r="B1308" s="1" t="str">
        <f>"000297695 - RICH FOODS HILTON"</f>
        <v>000297695 - RICH FOODS HILTON</v>
      </c>
      <c r="C1308" t="s">
        <v>490</v>
      </c>
      <c r="D1308" s="1" t="str">
        <f t="shared" si="35"/>
        <v>PRG-1014940</v>
      </c>
      <c r="E1308" t="s">
        <v>125</v>
      </c>
      <c r="F1308" t="s">
        <v>4</v>
      </c>
      <c r="G1308" t="str">
        <f>""</f>
        <v/>
      </c>
    </row>
    <row r="1309" spans="1:7" x14ac:dyDescent="0.25">
      <c r="A1309" t="s">
        <v>8</v>
      </c>
      <c r="B1309" s="1" t="str">
        <f>"000297731 - RICH FOODS NON CORE HILTONVOID"</f>
        <v>000297731 - RICH FOODS NON CORE HILTONVOID</v>
      </c>
      <c r="C1309" t="s">
        <v>513</v>
      </c>
      <c r="D1309" s="1" t="str">
        <f t="shared" si="35"/>
        <v>PRG-1014940</v>
      </c>
      <c r="E1309" t="s">
        <v>125</v>
      </c>
      <c r="F1309" t="s">
        <v>4</v>
      </c>
      <c r="G1309" t="str">
        <f>""</f>
        <v/>
      </c>
    </row>
    <row r="1310" spans="1:7" x14ac:dyDescent="0.25">
      <c r="A1310" t="s">
        <v>8</v>
      </c>
      <c r="B1310" s="1" t="str">
        <f>"000297732 - RICH FOODS CORE - HILTON VOID"</f>
        <v>000297732 - RICH FOODS CORE - HILTON VOID</v>
      </c>
      <c r="C1310" t="s">
        <v>794</v>
      </c>
      <c r="D1310" s="1" t="str">
        <f t="shared" si="35"/>
        <v>PRG-1014940</v>
      </c>
      <c r="E1310" t="s">
        <v>125</v>
      </c>
      <c r="F1310" t="s">
        <v>4</v>
      </c>
      <c r="G1310" t="str">
        <f>""</f>
        <v/>
      </c>
    </row>
    <row r="1311" spans="1:7" x14ac:dyDescent="0.25">
      <c r="A1311" t="s">
        <v>8</v>
      </c>
      <c r="B1311" s="1" t="str">
        <f>"000298407 - RICH FOODS HILTON NONCORE"</f>
        <v>000298407 - RICH FOODS HILTON NONCORE</v>
      </c>
      <c r="C1311" t="s">
        <v>516</v>
      </c>
      <c r="D1311" s="1" t="str">
        <f t="shared" si="35"/>
        <v>PRG-1014940</v>
      </c>
      <c r="E1311" t="s">
        <v>125</v>
      </c>
      <c r="F1311" t="s">
        <v>4</v>
      </c>
      <c r="G1311" t="str">
        <f>""</f>
        <v/>
      </c>
    </row>
    <row r="1312" spans="1:7" x14ac:dyDescent="0.25">
      <c r="A1312" t="s">
        <v>8</v>
      </c>
      <c r="B1312" s="1" t="str">
        <f>"000299924 - RICH FOODS HILTON NCORE"</f>
        <v>000299924 - RICH FOODS HILTON NCORE</v>
      </c>
      <c r="C1312" t="s">
        <v>561</v>
      </c>
      <c r="D1312" s="1" t="str">
        <f t="shared" si="35"/>
        <v>PRG-1014940</v>
      </c>
      <c r="E1312" t="s">
        <v>125</v>
      </c>
      <c r="F1312" t="s">
        <v>4</v>
      </c>
      <c r="G1312" t="str">
        <f>""</f>
        <v/>
      </c>
    </row>
    <row r="1313" spans="1:7" x14ac:dyDescent="0.25">
      <c r="A1313" t="s">
        <v>8</v>
      </c>
      <c r="B1313" s="1" t="str">
        <f>"000300142 - RICH FOODS-HILTON"</f>
        <v>000300142 - RICH FOODS-HILTON</v>
      </c>
      <c r="C1313" t="s">
        <v>183</v>
      </c>
      <c r="D1313" s="1" t="str">
        <f t="shared" si="35"/>
        <v>PRG-1014940</v>
      </c>
      <c r="E1313" t="s">
        <v>125</v>
      </c>
      <c r="F1313" t="s">
        <v>4</v>
      </c>
      <c r="G1313" t="str">
        <f>""</f>
        <v/>
      </c>
    </row>
    <row r="1314" spans="1:7" x14ac:dyDescent="0.25">
      <c r="A1314" t="s">
        <v>8</v>
      </c>
      <c r="B1314" s="1" t="str">
        <f>"000300394 - RICH FOODS CORE - HILTON VOID"</f>
        <v>000300394 - RICH FOODS CORE - HILTON VOID</v>
      </c>
      <c r="C1314" t="s">
        <v>794</v>
      </c>
      <c r="D1314" s="1" t="str">
        <f t="shared" si="35"/>
        <v>PRG-1014940</v>
      </c>
      <c r="E1314" t="s">
        <v>125</v>
      </c>
      <c r="F1314" t="s">
        <v>4</v>
      </c>
      <c r="G1314" t="str">
        <f>""</f>
        <v/>
      </c>
    </row>
    <row r="1315" spans="1:7" x14ac:dyDescent="0.25">
      <c r="A1315" t="s">
        <v>8</v>
      </c>
      <c r="B1315" s="1" t="str">
        <f>"000300568 - RICH FOODS BB NCORE HILTON"</f>
        <v>000300568 - RICH FOODS BB NCORE HILTON</v>
      </c>
      <c r="C1315" t="s">
        <v>143</v>
      </c>
      <c r="D1315" s="1" t="str">
        <f t="shared" si="35"/>
        <v>PRG-1014940</v>
      </c>
      <c r="E1315" t="s">
        <v>125</v>
      </c>
      <c r="F1315" t="s">
        <v>4</v>
      </c>
      <c r="G1315" t="str">
        <f>""</f>
        <v/>
      </c>
    </row>
    <row r="1316" spans="1:7" x14ac:dyDescent="0.25">
      <c r="A1316" t="s">
        <v>8</v>
      </c>
      <c r="B1316" s="1" t="str">
        <f>"000301282 - RICH FOODS HILTON NONCORE"</f>
        <v>000301282 - RICH FOODS HILTON NONCORE</v>
      </c>
      <c r="C1316" t="s">
        <v>516</v>
      </c>
      <c r="D1316" s="1" t="str">
        <f t="shared" si="35"/>
        <v>PRG-1014940</v>
      </c>
      <c r="E1316" t="s">
        <v>125</v>
      </c>
      <c r="F1316" t="s">
        <v>4</v>
      </c>
      <c r="G1316" t="str">
        <f>""</f>
        <v/>
      </c>
    </row>
    <row r="1317" spans="1:7" x14ac:dyDescent="0.25">
      <c r="A1317" t="s">
        <v>8</v>
      </c>
      <c r="B1317" s="1" t="str">
        <f>"000301795 - RICH FOODS HILTON NCORE"</f>
        <v>000301795 - RICH FOODS HILTON NCORE</v>
      </c>
      <c r="C1317" t="s">
        <v>561</v>
      </c>
      <c r="D1317" s="1" t="str">
        <f t="shared" si="35"/>
        <v>PRG-1014940</v>
      </c>
      <c r="E1317" t="s">
        <v>125</v>
      </c>
      <c r="F1317" t="s">
        <v>4</v>
      </c>
      <c r="G1317" t="str">
        <f>""</f>
        <v/>
      </c>
    </row>
    <row r="1318" spans="1:7" x14ac:dyDescent="0.25">
      <c r="A1318" t="s">
        <v>8</v>
      </c>
      <c r="B1318" s="1" t="str">
        <f>"000302328 - RICH FDS HILTON"</f>
        <v>000302328 - RICH FDS HILTON</v>
      </c>
      <c r="C1318" t="s">
        <v>2994</v>
      </c>
      <c r="D1318" s="1" t="str">
        <f t="shared" si="35"/>
        <v>PRG-1014940</v>
      </c>
      <c r="E1318" t="s">
        <v>125</v>
      </c>
      <c r="F1318" t="s">
        <v>4</v>
      </c>
      <c r="G1318" t="str">
        <f>""</f>
        <v/>
      </c>
    </row>
    <row r="1319" spans="1:7" x14ac:dyDescent="0.25">
      <c r="A1319" t="s">
        <v>8</v>
      </c>
      <c r="B1319" s="1" t="str">
        <f>"000302431 - RICH FOODS HILTON"</f>
        <v>000302431 - RICH FOODS HILTON</v>
      </c>
      <c r="C1319" t="s">
        <v>490</v>
      </c>
      <c r="D1319" s="1" t="str">
        <f t="shared" si="35"/>
        <v>PRG-1014940</v>
      </c>
      <c r="E1319" t="s">
        <v>125</v>
      </c>
      <c r="F1319" t="s">
        <v>4</v>
      </c>
      <c r="G1319" t="str">
        <f>""</f>
        <v/>
      </c>
    </row>
    <row r="1320" spans="1:7" x14ac:dyDescent="0.25">
      <c r="A1320" t="s">
        <v>8</v>
      </c>
      <c r="B1320" s="1" t="str">
        <f>"000302641 - RICH FOODS-HILTON"</f>
        <v>000302641 - RICH FOODS-HILTON</v>
      </c>
      <c r="C1320" t="s">
        <v>183</v>
      </c>
      <c r="D1320" s="1" t="str">
        <f t="shared" si="35"/>
        <v>PRG-1014940</v>
      </c>
      <c r="E1320" t="s">
        <v>125</v>
      </c>
      <c r="F1320" t="s">
        <v>4</v>
      </c>
      <c r="G1320" t="str">
        <f>""</f>
        <v/>
      </c>
    </row>
    <row r="1321" spans="1:7" x14ac:dyDescent="0.25">
      <c r="A1321" t="s">
        <v>8</v>
      </c>
      <c r="B1321" s="1" t="str">
        <f>"000303284 - RICH FOODS NON CORE HILTONVOID"</f>
        <v>000303284 - RICH FOODS NON CORE HILTONVOID</v>
      </c>
      <c r="C1321" t="s">
        <v>513</v>
      </c>
      <c r="D1321" s="1" t="str">
        <f t="shared" si="35"/>
        <v>PRG-1014940</v>
      </c>
      <c r="E1321" t="s">
        <v>125</v>
      </c>
      <c r="F1321" t="s">
        <v>4</v>
      </c>
      <c r="G1321" t="str">
        <f>""</f>
        <v/>
      </c>
    </row>
    <row r="1322" spans="1:7" x14ac:dyDescent="0.25">
      <c r="A1322" t="s">
        <v>8</v>
      </c>
      <c r="B1322" s="1" t="str">
        <f>"000304021 - RICH FOODS NON CORE HILTONVOID"</f>
        <v>000304021 - RICH FOODS NON CORE HILTONVOID</v>
      </c>
      <c r="C1322" t="s">
        <v>513</v>
      </c>
      <c r="D1322" s="1" t="str">
        <f t="shared" si="35"/>
        <v>PRG-1014940</v>
      </c>
      <c r="E1322" t="s">
        <v>125</v>
      </c>
      <c r="F1322" t="s">
        <v>4</v>
      </c>
      <c r="G1322" t="str">
        <f>""</f>
        <v/>
      </c>
    </row>
    <row r="1323" spans="1:7" x14ac:dyDescent="0.25">
      <c r="A1323" t="s">
        <v>8</v>
      </c>
      <c r="B1323" s="1" t="str">
        <f>"000304192 - RICH FOODS HILTON NONCORE"</f>
        <v>000304192 - RICH FOODS HILTON NONCORE</v>
      </c>
      <c r="C1323" t="s">
        <v>516</v>
      </c>
      <c r="D1323" s="1" t="str">
        <f t="shared" si="35"/>
        <v>PRG-1014940</v>
      </c>
      <c r="E1323" t="s">
        <v>125</v>
      </c>
      <c r="F1323" t="s">
        <v>4</v>
      </c>
      <c r="G1323" t="str">
        <f>""</f>
        <v/>
      </c>
    </row>
    <row r="1324" spans="1:7" x14ac:dyDescent="0.25">
      <c r="A1324" t="s">
        <v>8</v>
      </c>
      <c r="B1324" s="1" t="str">
        <f>"000304781 - RICH FOODS HILTON NONCORE"</f>
        <v>000304781 - RICH FOODS HILTON NONCORE</v>
      </c>
      <c r="C1324" t="s">
        <v>516</v>
      </c>
      <c r="D1324" s="1" t="str">
        <f t="shared" si="35"/>
        <v>PRG-1014940</v>
      </c>
      <c r="E1324" t="s">
        <v>125</v>
      </c>
      <c r="F1324" t="s">
        <v>4</v>
      </c>
      <c r="G1324" t="str">
        <f>""</f>
        <v/>
      </c>
    </row>
    <row r="1325" spans="1:7" x14ac:dyDescent="0.25">
      <c r="A1325" t="s">
        <v>8</v>
      </c>
      <c r="B1325" s="1" t="str">
        <f>"000304869 - RICH FOODS  HILTON( NONCORE)"</f>
        <v>000304869 - RICH FOODS  HILTON( NONCORE)</v>
      </c>
      <c r="C1325" t="s">
        <v>3031</v>
      </c>
      <c r="D1325" s="1" t="str">
        <f t="shared" si="35"/>
        <v>PRG-1014940</v>
      </c>
      <c r="E1325" t="s">
        <v>125</v>
      </c>
      <c r="F1325" t="s">
        <v>4</v>
      </c>
      <c r="G1325" t="str">
        <f>""</f>
        <v/>
      </c>
    </row>
    <row r="1326" spans="1:7" x14ac:dyDescent="0.25">
      <c r="A1326" t="s">
        <v>8</v>
      </c>
      <c r="B1326" s="1" t="str">
        <f>"000308196 - RICH FOODS HILTON"</f>
        <v>000308196 - RICH FOODS HILTON</v>
      </c>
      <c r="C1326" t="s">
        <v>490</v>
      </c>
      <c r="D1326" s="1" t="str">
        <f t="shared" si="35"/>
        <v>PRG-1014940</v>
      </c>
      <c r="E1326" t="s">
        <v>125</v>
      </c>
      <c r="F1326" t="s">
        <v>4</v>
      </c>
      <c r="G1326" t="str">
        <f>""</f>
        <v/>
      </c>
    </row>
    <row r="1327" spans="1:7" x14ac:dyDescent="0.25">
      <c r="A1327" t="s">
        <v>8</v>
      </c>
      <c r="B1327" s="1" t="str">
        <f>"000310991 - RICH FOODS NON CORE HILTONVOID"</f>
        <v>000310991 - RICH FOODS NON CORE HILTONVOID</v>
      </c>
      <c r="C1327" t="s">
        <v>513</v>
      </c>
      <c r="D1327" s="1" t="str">
        <f t="shared" si="35"/>
        <v>PRG-1014940</v>
      </c>
      <c r="E1327" t="s">
        <v>125</v>
      </c>
      <c r="F1327" t="s">
        <v>4</v>
      </c>
      <c r="G1327" t="str">
        <f>""</f>
        <v/>
      </c>
    </row>
    <row r="1328" spans="1:7" x14ac:dyDescent="0.25">
      <c r="A1328" t="s">
        <v>8</v>
      </c>
      <c r="B1328" s="1" t="str">
        <f>"000310992 - RICH FOODS CORE - HILTON VOID"</f>
        <v>000310992 - RICH FOODS CORE - HILTON VOID</v>
      </c>
      <c r="C1328" t="s">
        <v>794</v>
      </c>
      <c r="D1328" s="1" t="str">
        <f t="shared" si="35"/>
        <v>PRG-1014940</v>
      </c>
      <c r="E1328" t="s">
        <v>125</v>
      </c>
      <c r="F1328" t="s">
        <v>4</v>
      </c>
      <c r="G1328" t="str">
        <f>""</f>
        <v/>
      </c>
    </row>
    <row r="1329" spans="1:7" x14ac:dyDescent="0.25">
      <c r="A1329" t="s">
        <v>8</v>
      </c>
      <c r="B1329" s="1" t="str">
        <f>"000311683 - RICH FOODS HILTON NCORE"</f>
        <v>000311683 - RICH FOODS HILTON NCORE</v>
      </c>
      <c r="C1329" t="s">
        <v>561</v>
      </c>
      <c r="D1329" s="1" t="str">
        <f t="shared" si="35"/>
        <v>PRG-1014940</v>
      </c>
      <c r="E1329" t="s">
        <v>125</v>
      </c>
      <c r="F1329" t="s">
        <v>4</v>
      </c>
      <c r="G1329" t="str">
        <f>""</f>
        <v/>
      </c>
    </row>
    <row r="1330" spans="1:7" x14ac:dyDescent="0.25">
      <c r="A1330" t="s">
        <v>8</v>
      </c>
      <c r="B1330" s="1" t="str">
        <f>"000311930 - RICH FOODS HILTON NONCORE"</f>
        <v>000311930 - RICH FOODS HILTON NONCORE</v>
      </c>
      <c r="C1330" t="s">
        <v>516</v>
      </c>
      <c r="D1330" s="1" t="str">
        <f t="shared" si="35"/>
        <v>PRG-1014940</v>
      </c>
      <c r="E1330" t="s">
        <v>125</v>
      </c>
      <c r="F1330" t="s">
        <v>4</v>
      </c>
      <c r="G1330" t="str">
        <f>""</f>
        <v/>
      </c>
    </row>
    <row r="1331" spans="1:7" x14ac:dyDescent="0.25">
      <c r="A1331" t="s">
        <v>8</v>
      </c>
      <c r="B1331" s="1" t="str">
        <f>"000312608 - RICH FOODS-HILTON"</f>
        <v>000312608 - RICH FOODS-HILTON</v>
      </c>
      <c r="C1331" t="s">
        <v>183</v>
      </c>
      <c r="D1331" s="1" t="str">
        <f t="shared" si="35"/>
        <v>PRG-1014940</v>
      </c>
      <c r="E1331" t="s">
        <v>125</v>
      </c>
      <c r="F1331" t="s">
        <v>4</v>
      </c>
      <c r="G1331" t="str">
        <f>""</f>
        <v/>
      </c>
    </row>
    <row r="1332" spans="1:7" x14ac:dyDescent="0.25">
      <c r="A1332" t="s">
        <v>8</v>
      </c>
      <c r="B1332" s="1" t="str">
        <f>"000314950 - RICH FOODS NON CORE HILTONVOID"</f>
        <v>000314950 - RICH FOODS NON CORE HILTONVOID</v>
      </c>
      <c r="C1332" t="s">
        <v>513</v>
      </c>
      <c r="D1332" s="1" t="str">
        <f t="shared" si="35"/>
        <v>PRG-1014940</v>
      </c>
      <c r="E1332" t="s">
        <v>125</v>
      </c>
      <c r="F1332" t="s">
        <v>4</v>
      </c>
      <c r="G1332" t="str">
        <f>""</f>
        <v/>
      </c>
    </row>
    <row r="1333" spans="1:7" x14ac:dyDescent="0.25">
      <c r="A1333" t="s">
        <v>8</v>
      </c>
      <c r="B1333" s="1" t="str">
        <f>"000317982 - RICH FOODS NON CORE HILTONVOID"</f>
        <v>000317982 - RICH FOODS NON CORE HILTONVOID</v>
      </c>
      <c r="C1333" t="s">
        <v>513</v>
      </c>
      <c r="D1333" s="1" t="str">
        <f t="shared" si="35"/>
        <v>PRG-1014940</v>
      </c>
      <c r="E1333" t="s">
        <v>125</v>
      </c>
      <c r="F1333" t="s">
        <v>4</v>
      </c>
      <c r="G1333" t="str">
        <f>""</f>
        <v/>
      </c>
    </row>
    <row r="1334" spans="1:7" x14ac:dyDescent="0.25">
      <c r="A1334" t="s">
        <v>8</v>
      </c>
      <c r="B1334" s="1" t="str">
        <f>"000317983 - RICH FOODS CORE - HILTON VOID"</f>
        <v>000317983 - RICH FOODS CORE - HILTON VOID</v>
      </c>
      <c r="C1334" t="s">
        <v>794</v>
      </c>
      <c r="D1334" s="1" t="str">
        <f t="shared" si="35"/>
        <v>PRG-1014940</v>
      </c>
      <c r="E1334" t="s">
        <v>125</v>
      </c>
      <c r="F1334" t="s">
        <v>4</v>
      </c>
      <c r="G1334" t="str">
        <f>""</f>
        <v/>
      </c>
    </row>
    <row r="1335" spans="1:7" x14ac:dyDescent="0.25">
      <c r="A1335" t="s">
        <v>8</v>
      </c>
      <c r="B1335" s="1" t="str">
        <f>"000318780 - RICH FOODS HILTON NONCORE"</f>
        <v>000318780 - RICH FOODS HILTON NONCORE</v>
      </c>
      <c r="C1335" t="s">
        <v>516</v>
      </c>
      <c r="D1335" s="1" t="str">
        <f t="shared" si="35"/>
        <v>PRG-1014940</v>
      </c>
      <c r="E1335" t="s">
        <v>125</v>
      </c>
      <c r="F1335" t="s">
        <v>4</v>
      </c>
      <c r="G1335" t="str">
        <f>""</f>
        <v/>
      </c>
    </row>
    <row r="1336" spans="1:7" x14ac:dyDescent="0.25">
      <c r="A1336" t="s">
        <v>8</v>
      </c>
      <c r="B1336" s="1" t="str">
        <f>"000320962 - RICH FOODS HILTON"</f>
        <v>000320962 - RICH FOODS HILTON</v>
      </c>
      <c r="C1336" t="s">
        <v>490</v>
      </c>
      <c r="D1336" s="1" t="str">
        <f t="shared" si="35"/>
        <v>PRG-1014940</v>
      </c>
      <c r="E1336" t="s">
        <v>125</v>
      </c>
      <c r="F1336" t="s">
        <v>4</v>
      </c>
      <c r="G1336" t="str">
        <f>""</f>
        <v/>
      </c>
    </row>
    <row r="1337" spans="1:7" x14ac:dyDescent="0.25">
      <c r="A1337" t="s">
        <v>8</v>
      </c>
      <c r="B1337" s="1" t="str">
        <f>"000321320 - RICH FOODS HILTON NCORE"</f>
        <v>000321320 - RICH FOODS HILTON NCORE</v>
      </c>
      <c r="C1337" t="s">
        <v>561</v>
      </c>
      <c r="D1337" s="1" t="str">
        <f t="shared" si="35"/>
        <v>PRG-1014940</v>
      </c>
      <c r="E1337" t="s">
        <v>125</v>
      </c>
      <c r="F1337" t="s">
        <v>4</v>
      </c>
      <c r="G1337" t="str">
        <f>""</f>
        <v/>
      </c>
    </row>
    <row r="1338" spans="1:7" x14ac:dyDescent="0.25">
      <c r="A1338" t="s">
        <v>8</v>
      </c>
      <c r="B1338" s="1" t="str">
        <f>"000327302 - RICH FOODS-HILTON"</f>
        <v>000327302 - RICH FOODS-HILTON</v>
      </c>
      <c r="C1338" t="s">
        <v>183</v>
      </c>
      <c r="D1338" s="1" t="str">
        <f t="shared" si="35"/>
        <v>PRG-1014940</v>
      </c>
      <c r="E1338" t="s">
        <v>125</v>
      </c>
      <c r="F1338" t="s">
        <v>4</v>
      </c>
      <c r="G1338" t="str">
        <f>""</f>
        <v/>
      </c>
    </row>
    <row r="1339" spans="1:7" x14ac:dyDescent="0.25">
      <c r="A1339" t="s">
        <v>8</v>
      </c>
      <c r="B1339" s="1" t="str">
        <f>"000328622 - RICH FOODS NON CORE HILTONVOID"</f>
        <v>000328622 - RICH FOODS NON CORE HILTONVOID</v>
      </c>
      <c r="C1339" t="s">
        <v>513</v>
      </c>
      <c r="D1339" s="1" t="str">
        <f t="shared" si="35"/>
        <v>PRG-1014940</v>
      </c>
      <c r="E1339" t="s">
        <v>125</v>
      </c>
      <c r="F1339" t="s">
        <v>4</v>
      </c>
      <c r="G1339" t="str">
        <f>""</f>
        <v/>
      </c>
    </row>
    <row r="1340" spans="1:7" x14ac:dyDescent="0.25">
      <c r="A1340" t="s">
        <v>8</v>
      </c>
      <c r="B1340" s="1" t="str">
        <f>"000328623 - RICH FOODS CORE - HILTON VOID"</f>
        <v>000328623 - RICH FOODS CORE - HILTON VOID</v>
      </c>
      <c r="C1340" t="s">
        <v>794</v>
      </c>
      <c r="D1340" s="1" t="str">
        <f t="shared" si="35"/>
        <v>PRG-1014940</v>
      </c>
      <c r="E1340" t="s">
        <v>125</v>
      </c>
      <c r="F1340" t="s">
        <v>4</v>
      </c>
      <c r="G1340" t="str">
        <f>""</f>
        <v/>
      </c>
    </row>
    <row r="1341" spans="1:7" x14ac:dyDescent="0.25">
      <c r="A1341" t="s">
        <v>8</v>
      </c>
      <c r="B1341" s="1" t="str">
        <f>"000329453 - RICH FOODS HILTON NONCORE"</f>
        <v>000329453 - RICH FOODS HILTON NONCORE</v>
      </c>
      <c r="C1341" t="s">
        <v>516</v>
      </c>
      <c r="D1341" s="1" t="str">
        <f t="shared" si="35"/>
        <v>PRG-1014940</v>
      </c>
      <c r="E1341" t="s">
        <v>125</v>
      </c>
      <c r="F1341" t="s">
        <v>4</v>
      </c>
      <c r="G1341" t="str">
        <f>""</f>
        <v/>
      </c>
    </row>
    <row r="1342" spans="1:7" x14ac:dyDescent="0.25">
      <c r="A1342" t="s">
        <v>8</v>
      </c>
      <c r="B1342" s="1" t="str">
        <f>"000330523 - RICH NC(DPMRETRO)-HILTON"</f>
        <v>000330523 - RICH NC(DPMRETRO)-HILTON</v>
      </c>
      <c r="C1342" t="s">
        <v>3341</v>
      </c>
      <c r="D1342" s="1" t="str">
        <f t="shared" si="35"/>
        <v>PRG-1014940</v>
      </c>
      <c r="E1342" t="s">
        <v>125</v>
      </c>
      <c r="F1342" t="s">
        <v>4</v>
      </c>
      <c r="G1342" t="str">
        <f>""</f>
        <v/>
      </c>
    </row>
    <row r="1343" spans="1:7" x14ac:dyDescent="0.25">
      <c r="A1343" t="s">
        <v>8</v>
      </c>
      <c r="B1343" s="1" t="str">
        <f>"000332231 - RICH FOODS BB NCORE HILTON"</f>
        <v>000332231 - RICH FOODS BB NCORE HILTON</v>
      </c>
      <c r="C1343" t="s">
        <v>143</v>
      </c>
      <c r="D1343" s="1" t="str">
        <f t="shared" si="35"/>
        <v>PRG-1014940</v>
      </c>
      <c r="E1343" t="s">
        <v>125</v>
      </c>
      <c r="F1343" t="s">
        <v>4</v>
      </c>
      <c r="G1343" t="str">
        <f>""</f>
        <v/>
      </c>
    </row>
    <row r="1344" spans="1:7" x14ac:dyDescent="0.25">
      <c r="A1344" t="s">
        <v>8</v>
      </c>
      <c r="B1344" s="1" t="str">
        <f>"000335878 - RICH FOODS HILTON"</f>
        <v>000335878 - RICH FOODS HILTON</v>
      </c>
      <c r="C1344" t="s">
        <v>490</v>
      </c>
      <c r="D1344" s="1" t="str">
        <f t="shared" si="35"/>
        <v>PRG-1014940</v>
      </c>
      <c r="E1344" t="s">
        <v>125</v>
      </c>
      <c r="F1344" t="s">
        <v>4</v>
      </c>
      <c r="G1344" t="str">
        <f>""</f>
        <v/>
      </c>
    </row>
    <row r="1345" spans="1:7" x14ac:dyDescent="0.25">
      <c r="A1345" t="s">
        <v>8</v>
      </c>
      <c r="B1345" s="1" t="str">
        <f>"000336708 - RICH FOODS-HILTON"</f>
        <v>000336708 - RICH FOODS-HILTON</v>
      </c>
      <c r="C1345" t="s">
        <v>183</v>
      </c>
      <c r="D1345" s="1" t="str">
        <f t="shared" si="35"/>
        <v>PRG-1014940</v>
      </c>
      <c r="E1345" t="s">
        <v>125</v>
      </c>
      <c r="F1345" t="s">
        <v>4</v>
      </c>
      <c r="G1345" t="str">
        <f>""</f>
        <v/>
      </c>
    </row>
    <row r="1346" spans="1:7" x14ac:dyDescent="0.25">
      <c r="A1346" t="s">
        <v>8</v>
      </c>
      <c r="B1346" s="1" t="str">
        <f>"000337315 - RICH FOODS HILTON NCORE"</f>
        <v>000337315 - RICH FOODS HILTON NCORE</v>
      </c>
      <c r="C1346" t="s">
        <v>561</v>
      </c>
      <c r="D1346" s="1" t="str">
        <f t="shared" si="35"/>
        <v>PRG-1014940</v>
      </c>
      <c r="E1346" t="s">
        <v>125</v>
      </c>
      <c r="F1346" t="s">
        <v>4</v>
      </c>
      <c r="G1346" t="str">
        <f>""</f>
        <v/>
      </c>
    </row>
    <row r="1347" spans="1:7" x14ac:dyDescent="0.25">
      <c r="A1347" t="s">
        <v>8</v>
      </c>
      <c r="B1347" s="1" t="str">
        <f>"000337317 - RICH HILTON CORE WBB"</f>
        <v>000337317 - RICH HILTON CORE WBB</v>
      </c>
      <c r="C1347" t="s">
        <v>1315</v>
      </c>
      <c r="D1347" s="1" t="str">
        <f t="shared" si="35"/>
        <v>PRG-1014940</v>
      </c>
      <c r="E1347" t="s">
        <v>125</v>
      </c>
      <c r="F1347" t="s">
        <v>4</v>
      </c>
      <c r="G1347" t="str">
        <f>""</f>
        <v/>
      </c>
    </row>
    <row r="1348" spans="1:7" x14ac:dyDescent="0.25">
      <c r="A1348" t="s">
        <v>8</v>
      </c>
      <c r="B1348" s="1" t="str">
        <f>"000337636 - RICH HILTON CORE WBB"</f>
        <v>000337636 - RICH HILTON CORE WBB</v>
      </c>
      <c r="C1348" t="s">
        <v>1315</v>
      </c>
      <c r="D1348" s="1" t="str">
        <f t="shared" si="35"/>
        <v>PRG-1014940</v>
      </c>
      <c r="E1348" t="s">
        <v>125</v>
      </c>
      <c r="F1348" t="s">
        <v>4</v>
      </c>
      <c r="G1348" t="str">
        <f>""</f>
        <v/>
      </c>
    </row>
    <row r="1349" spans="1:7" x14ac:dyDescent="0.25">
      <c r="A1349" t="s">
        <v>8</v>
      </c>
      <c r="B1349" s="1" t="str">
        <f>"000339040 - RICH CORE BB(DPMRETRO)-HILTON"</f>
        <v>000339040 - RICH CORE BB(DPMRETRO)-HILTON</v>
      </c>
      <c r="C1349" t="s">
        <v>3430</v>
      </c>
      <c r="D1349" s="1" t="str">
        <f t="shared" si="35"/>
        <v>PRG-1014940</v>
      </c>
      <c r="E1349" t="s">
        <v>125</v>
      </c>
      <c r="F1349" t="s">
        <v>4</v>
      </c>
      <c r="G1349" t="str">
        <f>""</f>
        <v/>
      </c>
    </row>
    <row r="1350" spans="1:7" x14ac:dyDescent="0.25">
      <c r="A1350" t="s">
        <v>8</v>
      </c>
      <c r="B1350" s="1" t="str">
        <f>"000342710 - RICH FOODS HILTON"</f>
        <v>000342710 - RICH FOODS HILTON</v>
      </c>
      <c r="C1350" t="s">
        <v>490</v>
      </c>
      <c r="D1350" s="1" t="str">
        <f t="shared" si="35"/>
        <v>PRG-1014940</v>
      </c>
      <c r="E1350" t="s">
        <v>125</v>
      </c>
      <c r="F1350" t="s">
        <v>4</v>
      </c>
      <c r="G1350" t="str">
        <f>""</f>
        <v/>
      </c>
    </row>
    <row r="1351" spans="1:7" x14ac:dyDescent="0.25">
      <c r="A1351" t="s">
        <v>8</v>
      </c>
      <c r="B1351" s="1" t="str">
        <f>"000343866 - RICH FOODS NON CORE HILTONVOID"</f>
        <v>000343866 - RICH FOODS NON CORE HILTONVOID</v>
      </c>
      <c r="C1351" t="s">
        <v>513</v>
      </c>
      <c r="D1351" s="1" t="str">
        <f t="shared" si="35"/>
        <v>PRG-1014940</v>
      </c>
      <c r="E1351" t="s">
        <v>125</v>
      </c>
      <c r="F1351" t="s">
        <v>4</v>
      </c>
      <c r="G1351" t="str">
        <f>""</f>
        <v/>
      </c>
    </row>
    <row r="1352" spans="1:7" x14ac:dyDescent="0.25">
      <c r="A1352" t="s">
        <v>8</v>
      </c>
      <c r="B1352" s="1" t="str">
        <f>"000344792 - RICH FOODS HILTON NONCORE"</f>
        <v>000344792 - RICH FOODS HILTON NONCORE</v>
      </c>
      <c r="C1352" t="s">
        <v>516</v>
      </c>
      <c r="D1352" s="1" t="str">
        <f t="shared" si="35"/>
        <v>PRG-1014940</v>
      </c>
      <c r="E1352" t="s">
        <v>125</v>
      </c>
      <c r="F1352" t="s">
        <v>4</v>
      </c>
      <c r="G1352" t="str">
        <f>""</f>
        <v/>
      </c>
    </row>
    <row r="1353" spans="1:7" x14ac:dyDescent="0.25">
      <c r="A1353" t="s">
        <v>8</v>
      </c>
      <c r="B1353" s="1" t="str">
        <f>"000345121 - RICH FDS NONCORE HILTON"</f>
        <v>000345121 - RICH FDS NONCORE HILTON</v>
      </c>
      <c r="C1353" t="s">
        <v>3456</v>
      </c>
      <c r="D1353" s="1" t="str">
        <f t="shared" si="35"/>
        <v>PRG-1014940</v>
      </c>
      <c r="E1353" t="s">
        <v>125</v>
      </c>
      <c r="F1353" t="s">
        <v>4</v>
      </c>
      <c r="G1353" t="str">
        <f>""</f>
        <v/>
      </c>
    </row>
    <row r="1354" spans="1:7" x14ac:dyDescent="0.25">
      <c r="A1354" t="s">
        <v>8</v>
      </c>
      <c r="B1354" s="1" t="str">
        <f>"000348533 - RICH FOODS NON CORE HILTONVOID"</f>
        <v>000348533 - RICH FOODS NON CORE HILTONVOID</v>
      </c>
      <c r="C1354" t="s">
        <v>513</v>
      </c>
      <c r="D1354" s="1" t="str">
        <f t="shared" si="35"/>
        <v>PRG-1014940</v>
      </c>
      <c r="E1354" t="s">
        <v>125</v>
      </c>
      <c r="F1354" t="s">
        <v>4</v>
      </c>
      <c r="G1354" t="str">
        <f>""</f>
        <v/>
      </c>
    </row>
    <row r="1355" spans="1:7" x14ac:dyDescent="0.25">
      <c r="A1355" t="s">
        <v>8</v>
      </c>
      <c r="B1355" s="1" t="str">
        <f>"000349326 - RICH FOODS HILTON NONCORE"</f>
        <v>000349326 - RICH FOODS HILTON NONCORE</v>
      </c>
      <c r="C1355" t="s">
        <v>516</v>
      </c>
      <c r="D1355" s="1" t="str">
        <f t="shared" ref="D1355:D1364" si="36">"PRG-1014940"</f>
        <v>PRG-1014940</v>
      </c>
      <c r="E1355" t="s">
        <v>125</v>
      </c>
      <c r="F1355" t="s">
        <v>4</v>
      </c>
      <c r="G1355" t="str">
        <f>""</f>
        <v/>
      </c>
    </row>
    <row r="1356" spans="1:7" x14ac:dyDescent="0.25">
      <c r="A1356" t="s">
        <v>8</v>
      </c>
      <c r="B1356" s="1" t="str">
        <f>"000352907 - RICH FOODS HILTON NCORE"</f>
        <v>000352907 - RICH FOODS HILTON NCORE</v>
      </c>
      <c r="C1356" t="s">
        <v>561</v>
      </c>
      <c r="D1356" s="1" t="str">
        <f t="shared" si="36"/>
        <v>PRG-1014940</v>
      </c>
      <c r="E1356" t="s">
        <v>125</v>
      </c>
      <c r="F1356" t="s">
        <v>4</v>
      </c>
      <c r="G1356" t="str">
        <f>""</f>
        <v/>
      </c>
    </row>
    <row r="1357" spans="1:7" x14ac:dyDescent="0.25">
      <c r="A1357" t="s">
        <v>8</v>
      </c>
      <c r="B1357" s="1" t="str">
        <f>"000356942 - RICH FOODS HILTON NCORE"</f>
        <v>000356942 - RICH FOODS HILTON NCORE</v>
      </c>
      <c r="C1357" t="s">
        <v>561</v>
      </c>
      <c r="D1357" s="1" t="str">
        <f t="shared" si="36"/>
        <v>PRG-1014940</v>
      </c>
      <c r="E1357" t="s">
        <v>125</v>
      </c>
      <c r="F1357" t="s">
        <v>4</v>
      </c>
      <c r="G1357" t="str">
        <f>""</f>
        <v/>
      </c>
    </row>
    <row r="1358" spans="1:7" x14ac:dyDescent="0.25">
      <c r="A1358" t="s">
        <v>8</v>
      </c>
      <c r="B1358" s="1" t="str">
        <f>"000362839 - RICH FOODS BB NCORE HILTON"</f>
        <v>000362839 - RICH FOODS BB NCORE HILTON</v>
      </c>
      <c r="C1358" t="s">
        <v>143</v>
      </c>
      <c r="D1358" s="1" t="str">
        <f t="shared" si="36"/>
        <v>PRG-1014940</v>
      </c>
      <c r="E1358" t="s">
        <v>125</v>
      </c>
      <c r="F1358" t="s">
        <v>4</v>
      </c>
      <c r="G1358" t="str">
        <f>""</f>
        <v/>
      </c>
    </row>
    <row r="1359" spans="1:7" x14ac:dyDescent="0.25">
      <c r="A1359" t="s">
        <v>8</v>
      </c>
      <c r="B1359" s="1" t="str">
        <f>"2000193299 - RICH FOODS-HILTON"</f>
        <v>2000193299 - RICH FOODS-HILTON</v>
      </c>
      <c r="C1359" t="s">
        <v>183</v>
      </c>
      <c r="D1359" s="1" t="str">
        <f t="shared" si="36"/>
        <v>PRG-1014940</v>
      </c>
      <c r="E1359" t="s">
        <v>125</v>
      </c>
      <c r="F1359" t="s">
        <v>4</v>
      </c>
      <c r="G1359" t="str">
        <f>""</f>
        <v/>
      </c>
    </row>
    <row r="1360" spans="1:7" x14ac:dyDescent="0.25">
      <c r="A1360" t="s">
        <v>8</v>
      </c>
      <c r="B1360" s="1" t="str">
        <f>"2000231147 - RICH FOODS-HILTON"</f>
        <v>2000231147 - RICH FOODS-HILTON</v>
      </c>
      <c r="C1360" t="s">
        <v>183</v>
      </c>
      <c r="D1360" s="1" t="str">
        <f t="shared" si="36"/>
        <v>PRG-1014940</v>
      </c>
      <c r="E1360" t="s">
        <v>125</v>
      </c>
      <c r="F1360" t="s">
        <v>4</v>
      </c>
      <c r="G1360" t="str">
        <f>""</f>
        <v/>
      </c>
    </row>
    <row r="1361" spans="1:7" x14ac:dyDescent="0.25">
      <c r="A1361" t="s">
        <v>8</v>
      </c>
      <c r="B1361" s="1" t="str">
        <f>"2000263225 - RICH FOODS-HILTON"</f>
        <v>2000263225 - RICH FOODS-HILTON</v>
      </c>
      <c r="C1361" t="s">
        <v>183</v>
      </c>
      <c r="D1361" s="1" t="str">
        <f t="shared" si="36"/>
        <v>PRG-1014940</v>
      </c>
      <c r="E1361" t="s">
        <v>125</v>
      </c>
      <c r="F1361" t="s">
        <v>4</v>
      </c>
      <c r="G1361" t="str">
        <f>""</f>
        <v/>
      </c>
    </row>
    <row r="1362" spans="1:7" x14ac:dyDescent="0.25">
      <c r="A1362" t="s">
        <v>8</v>
      </c>
      <c r="B1362" s="1" t="str">
        <f>"2000266620 - RICH FOODS-HILTON"</f>
        <v>2000266620 - RICH FOODS-HILTON</v>
      </c>
      <c r="C1362" t="s">
        <v>183</v>
      </c>
      <c r="D1362" s="1" t="str">
        <f t="shared" si="36"/>
        <v>PRG-1014940</v>
      </c>
      <c r="E1362" t="s">
        <v>125</v>
      </c>
      <c r="F1362" t="s">
        <v>4</v>
      </c>
      <c r="G1362" t="str">
        <f>""</f>
        <v/>
      </c>
    </row>
    <row r="1363" spans="1:7" x14ac:dyDescent="0.25">
      <c r="A1363" t="s">
        <v>8</v>
      </c>
      <c r="B1363" s="1" t="str">
        <f>"2000301021 - RICH FOODS-HILTON"</f>
        <v>2000301021 - RICH FOODS-HILTON</v>
      </c>
      <c r="C1363" t="s">
        <v>183</v>
      </c>
      <c r="D1363" s="1" t="str">
        <f t="shared" si="36"/>
        <v>PRG-1014940</v>
      </c>
      <c r="E1363" t="s">
        <v>125</v>
      </c>
      <c r="F1363" t="s">
        <v>4</v>
      </c>
      <c r="G1363" t="str">
        <f>""</f>
        <v/>
      </c>
    </row>
    <row r="1364" spans="1:7" x14ac:dyDescent="0.25">
      <c r="A1364" t="s">
        <v>8</v>
      </c>
      <c r="B1364" s="1" t="str">
        <f>"2000302326 - RICH FOODS-HILTON"</f>
        <v>2000302326 - RICH FOODS-HILTON</v>
      </c>
      <c r="C1364" t="s">
        <v>183</v>
      </c>
      <c r="D1364" s="1" t="str">
        <f t="shared" si="36"/>
        <v>PRG-1014940</v>
      </c>
      <c r="E1364" t="s">
        <v>125</v>
      </c>
      <c r="F1364" t="s">
        <v>4</v>
      </c>
      <c r="G1364" t="str">
        <f>""</f>
        <v/>
      </c>
    </row>
    <row r="1365" spans="1:7" x14ac:dyDescent="0.25">
      <c r="A1365" t="s">
        <v>8</v>
      </c>
      <c r="B1365" s="1" t="str">
        <f>"6026M370"</f>
        <v>6026M370</v>
      </c>
      <c r="C1365" t="s">
        <v>5105</v>
      </c>
      <c r="D1365" s="1" t="str">
        <f>"PRG-1014946"</f>
        <v>PRG-1014946</v>
      </c>
      <c r="E1365" t="s">
        <v>5106</v>
      </c>
      <c r="F1365" t="s">
        <v>5</v>
      </c>
      <c r="G1365" t="str">
        <f>""</f>
        <v/>
      </c>
    </row>
    <row r="1366" spans="1:7" x14ac:dyDescent="0.25">
      <c r="A1366" t="s">
        <v>8</v>
      </c>
      <c r="B1366" s="1" t="str">
        <f>"000214670 - RICH'S TOWN PUMP 1014949"</f>
        <v>000214670 - RICH'S TOWN PUMP 1014949</v>
      </c>
      <c r="C1366" t="s">
        <v>1508</v>
      </c>
      <c r="D1366" s="1" t="str">
        <f>"PRG-1014949"</f>
        <v>PRG-1014949</v>
      </c>
      <c r="E1366" t="s">
        <v>1509</v>
      </c>
      <c r="F1366" t="s">
        <v>4</v>
      </c>
      <c r="G1366" t="str">
        <f>""</f>
        <v/>
      </c>
    </row>
    <row r="1367" spans="1:7" x14ac:dyDescent="0.25">
      <c r="A1367" t="s">
        <v>8</v>
      </c>
      <c r="B1367" s="1" t="str">
        <f>"000235178 - RICH PRODUCTS-KINGS ISLAND"</f>
        <v>000235178 - RICH PRODUCTS-KINGS ISLAND</v>
      </c>
      <c r="C1367" t="s">
        <v>1839</v>
      </c>
      <c r="D1367" s="1" t="str">
        <f>"PRG-1015029"</f>
        <v>PRG-1015029</v>
      </c>
      <c r="E1367" t="s">
        <v>1840</v>
      </c>
      <c r="F1367" t="s">
        <v>4</v>
      </c>
      <c r="G1367" t="str">
        <f>""</f>
        <v/>
      </c>
    </row>
    <row r="1368" spans="1:7" x14ac:dyDescent="0.25">
      <c r="A1368" t="s">
        <v>8</v>
      </c>
      <c r="B1368" s="1" t="str">
        <f>"000188182 - RICH PROD. CIRCLE K"</f>
        <v>000188182 - RICH PROD. CIRCLE K</v>
      </c>
      <c r="C1368" t="s">
        <v>1188</v>
      </c>
      <c r="D1368" s="1" t="str">
        <f>"PRG-1015032"</f>
        <v>PRG-1015032</v>
      </c>
      <c r="E1368" t="s">
        <v>1189</v>
      </c>
      <c r="F1368" t="s">
        <v>4</v>
      </c>
      <c r="G1368" t="str">
        <f>""</f>
        <v/>
      </c>
    </row>
    <row r="1369" spans="1:7" x14ac:dyDescent="0.25">
      <c r="A1369" t="s">
        <v>8</v>
      </c>
      <c r="B1369" s="1" t="str">
        <f>"000252688 - RICH PRODUCTS CIRCLE K"</f>
        <v>000252688 - RICH PRODUCTS CIRCLE K</v>
      </c>
      <c r="C1369" t="s">
        <v>2131</v>
      </c>
      <c r="D1369" s="1" t="str">
        <f>"PRG-1015032"</f>
        <v>PRG-1015032</v>
      </c>
      <c r="E1369" t="s">
        <v>1189</v>
      </c>
      <c r="F1369" t="s">
        <v>4</v>
      </c>
      <c r="G1369" t="str">
        <f>""</f>
        <v/>
      </c>
    </row>
    <row r="1370" spans="1:7" x14ac:dyDescent="0.25">
      <c r="A1370" t="s">
        <v>8</v>
      </c>
      <c r="B1370" s="1" t="str">
        <f>"000257225 - RICH PRODUCTS CIRCLE K"</f>
        <v>000257225 - RICH PRODUCTS CIRCLE K</v>
      </c>
      <c r="C1370" t="s">
        <v>2131</v>
      </c>
      <c r="D1370" s="1" t="str">
        <f>"PRG-1015032"</f>
        <v>PRG-1015032</v>
      </c>
      <c r="E1370" t="s">
        <v>1189</v>
      </c>
      <c r="F1370" t="s">
        <v>4</v>
      </c>
      <c r="G1370" t="str">
        <f>""</f>
        <v/>
      </c>
    </row>
    <row r="1371" spans="1:7" x14ac:dyDescent="0.25">
      <c r="A1371" t="s">
        <v>8</v>
      </c>
      <c r="B1371" s="1" t="str">
        <f>"000266116 - RICH PRODUCTS CIRCLE K"</f>
        <v>000266116 - RICH PRODUCTS CIRCLE K</v>
      </c>
      <c r="C1371" t="s">
        <v>2131</v>
      </c>
      <c r="D1371" s="1" t="str">
        <f>"PRG-1015032"</f>
        <v>PRG-1015032</v>
      </c>
      <c r="E1371" t="s">
        <v>1189</v>
      </c>
      <c r="F1371" t="s">
        <v>4</v>
      </c>
      <c r="G1371" t="str">
        <f>""</f>
        <v/>
      </c>
    </row>
    <row r="1372" spans="1:7" x14ac:dyDescent="0.25">
      <c r="A1372" t="s">
        <v>8</v>
      </c>
      <c r="B1372" s="1" t="str">
        <f>"000277050 - RICH PRODUCTS CIRCLE K"</f>
        <v>000277050 - RICH PRODUCTS CIRCLE K</v>
      </c>
      <c r="C1372" t="s">
        <v>2131</v>
      </c>
      <c r="D1372" s="1" t="str">
        <f>"PRG-1015032"</f>
        <v>PRG-1015032</v>
      </c>
      <c r="E1372" t="s">
        <v>1189</v>
      </c>
      <c r="F1372" t="s">
        <v>4</v>
      </c>
      <c r="G1372" t="str">
        <f>""</f>
        <v/>
      </c>
    </row>
    <row r="1373" spans="1:7" x14ac:dyDescent="0.25">
      <c r="A1373" t="s">
        <v>8</v>
      </c>
      <c r="B1373" s="1" t="str">
        <f>"000003363 - RICH-FORUM"</f>
        <v>000003363 - RICH-FORUM</v>
      </c>
      <c r="C1373" t="s">
        <v>155</v>
      </c>
      <c r="D1373" s="1" t="str">
        <f t="shared" ref="D1373:D1404" si="37">"PRG-1015057"</f>
        <v>PRG-1015057</v>
      </c>
      <c r="E1373" t="s">
        <v>95</v>
      </c>
      <c r="F1373" t="s">
        <v>4</v>
      </c>
      <c r="G1373" t="str">
        <f>""</f>
        <v/>
      </c>
    </row>
    <row r="1374" spans="1:7" x14ac:dyDescent="0.25">
      <c r="A1374" t="s">
        <v>8</v>
      </c>
      <c r="B1374" s="1" t="str">
        <f>"000068284 - rich-forum"</f>
        <v>000068284 - rich-forum</v>
      </c>
      <c r="C1374" t="s">
        <v>723</v>
      </c>
      <c r="D1374" s="1" t="str">
        <f t="shared" si="37"/>
        <v>PRG-1015057</v>
      </c>
      <c r="E1374" t="s">
        <v>95</v>
      </c>
      <c r="F1374" t="s">
        <v>4</v>
      </c>
      <c r="G1374" t="str">
        <f>""</f>
        <v/>
      </c>
    </row>
    <row r="1375" spans="1:7" x14ac:dyDescent="0.25">
      <c r="A1375" t="s">
        <v>8</v>
      </c>
      <c r="B1375" s="1" t="str">
        <f>"000083499 - RICH-FORUM"</f>
        <v>000083499 - RICH-FORUM</v>
      </c>
      <c r="C1375" t="s">
        <v>155</v>
      </c>
      <c r="D1375" s="1" t="str">
        <f t="shared" si="37"/>
        <v>PRG-1015057</v>
      </c>
      <c r="E1375" t="s">
        <v>95</v>
      </c>
      <c r="F1375" t="s">
        <v>4</v>
      </c>
      <c r="G1375" t="str">
        <f>""</f>
        <v/>
      </c>
    </row>
    <row r="1376" spans="1:7" x14ac:dyDescent="0.25">
      <c r="A1376" t="s">
        <v>8</v>
      </c>
      <c r="B1376" s="1" t="str">
        <f>"000088832 - Rich-Forum"</f>
        <v>000088832 - Rich-Forum</v>
      </c>
      <c r="C1376" t="s">
        <v>770</v>
      </c>
      <c r="D1376" s="1" t="str">
        <f t="shared" si="37"/>
        <v>PRG-1015057</v>
      </c>
      <c r="E1376" t="s">
        <v>95</v>
      </c>
      <c r="F1376" t="s">
        <v>4</v>
      </c>
      <c r="G1376" t="str">
        <f>""</f>
        <v/>
      </c>
    </row>
    <row r="1377" spans="1:7" x14ac:dyDescent="0.25">
      <c r="A1377" t="s">
        <v>8</v>
      </c>
      <c r="B1377" s="1" t="str">
        <f>"000098935 - rich-forum"</f>
        <v>000098935 - rich-forum</v>
      </c>
      <c r="C1377" t="s">
        <v>723</v>
      </c>
      <c r="D1377" s="1" t="str">
        <f t="shared" si="37"/>
        <v>PRG-1015057</v>
      </c>
      <c r="E1377" t="s">
        <v>95</v>
      </c>
      <c r="F1377" t="s">
        <v>4</v>
      </c>
      <c r="G1377" t="str">
        <f>""</f>
        <v/>
      </c>
    </row>
    <row r="1378" spans="1:7" x14ac:dyDescent="0.25">
      <c r="A1378" t="s">
        <v>8</v>
      </c>
      <c r="B1378" s="1" t="str">
        <f>"000106635 - Rich-Forum"</f>
        <v>000106635 - Rich-Forum</v>
      </c>
      <c r="C1378" t="s">
        <v>770</v>
      </c>
      <c r="D1378" s="1" t="str">
        <f t="shared" si="37"/>
        <v>PRG-1015057</v>
      </c>
      <c r="E1378" t="s">
        <v>95</v>
      </c>
      <c r="F1378" t="s">
        <v>4</v>
      </c>
      <c r="G1378" t="str">
        <f>""</f>
        <v/>
      </c>
    </row>
    <row r="1379" spans="1:7" x14ac:dyDescent="0.25">
      <c r="A1379" t="s">
        <v>8</v>
      </c>
      <c r="B1379" s="1" t="str">
        <f>"000116587 - RICH-FORUM"</f>
        <v>000116587 - RICH-FORUM</v>
      </c>
      <c r="C1379" t="s">
        <v>155</v>
      </c>
      <c r="D1379" s="1" t="str">
        <f t="shared" si="37"/>
        <v>PRG-1015057</v>
      </c>
      <c r="E1379" t="s">
        <v>95</v>
      </c>
      <c r="F1379" t="s">
        <v>4</v>
      </c>
      <c r="G1379" t="str">
        <f>""</f>
        <v/>
      </c>
    </row>
    <row r="1380" spans="1:7" x14ac:dyDescent="0.25">
      <c r="A1380" t="s">
        <v>8</v>
      </c>
      <c r="B1380" s="1" t="str">
        <f>"000127399 - RICH FOODS NONCORE-FORUM"</f>
        <v>000127399 - RICH FOODS NONCORE-FORUM</v>
      </c>
      <c r="C1380" t="s">
        <v>919</v>
      </c>
      <c r="D1380" s="1" t="str">
        <f t="shared" si="37"/>
        <v>PRG-1015057</v>
      </c>
      <c r="E1380" t="s">
        <v>95</v>
      </c>
      <c r="F1380" t="s">
        <v>4</v>
      </c>
      <c r="G1380" t="str">
        <f>""</f>
        <v/>
      </c>
    </row>
    <row r="1381" spans="1:7" x14ac:dyDescent="0.25">
      <c r="A1381" t="s">
        <v>8</v>
      </c>
      <c r="B1381" s="1" t="str">
        <f>"000129632 - RICH-FORUM"</f>
        <v>000129632 - RICH-FORUM</v>
      </c>
      <c r="C1381" t="s">
        <v>155</v>
      </c>
      <c r="D1381" s="1" t="str">
        <f t="shared" si="37"/>
        <v>PRG-1015057</v>
      </c>
      <c r="E1381" t="s">
        <v>95</v>
      </c>
      <c r="F1381" t="s">
        <v>4</v>
      </c>
      <c r="G1381" t="str">
        <f>""</f>
        <v/>
      </c>
    </row>
    <row r="1382" spans="1:7" x14ac:dyDescent="0.25">
      <c r="A1382" t="s">
        <v>8</v>
      </c>
      <c r="B1382" s="1" t="str">
        <f>"000163475 - RICH-FORUM"</f>
        <v>000163475 - RICH-FORUM</v>
      </c>
      <c r="C1382" t="s">
        <v>155</v>
      </c>
      <c r="D1382" s="1" t="str">
        <f t="shared" si="37"/>
        <v>PRG-1015057</v>
      </c>
      <c r="E1382" t="s">
        <v>95</v>
      </c>
      <c r="F1382" t="s">
        <v>4</v>
      </c>
      <c r="G1382" t="str">
        <f>""</f>
        <v/>
      </c>
    </row>
    <row r="1383" spans="1:7" x14ac:dyDescent="0.25">
      <c r="A1383" t="s">
        <v>8</v>
      </c>
      <c r="B1383" s="1" t="str">
        <f>"000176622 - RICH-FORUM"</f>
        <v>000176622 - RICH-FORUM</v>
      </c>
      <c r="C1383" t="s">
        <v>155</v>
      </c>
      <c r="D1383" s="1" t="str">
        <f t="shared" si="37"/>
        <v>PRG-1015057</v>
      </c>
      <c r="E1383" t="s">
        <v>95</v>
      </c>
      <c r="F1383" t="s">
        <v>4</v>
      </c>
      <c r="G1383" t="str">
        <f>""</f>
        <v/>
      </c>
    </row>
    <row r="1384" spans="1:7" x14ac:dyDescent="0.25">
      <c r="A1384" t="s">
        <v>8</v>
      </c>
      <c r="B1384" s="1" t="str">
        <f>"000181830 - RICH-FORUM"</f>
        <v>000181830 - RICH-FORUM</v>
      </c>
      <c r="C1384" t="s">
        <v>155</v>
      </c>
      <c r="D1384" s="1" t="str">
        <f t="shared" si="37"/>
        <v>PRG-1015057</v>
      </c>
      <c r="E1384" t="s">
        <v>95</v>
      </c>
      <c r="F1384" t="s">
        <v>4</v>
      </c>
      <c r="G1384" t="str">
        <f>""</f>
        <v/>
      </c>
    </row>
    <row r="1385" spans="1:7" x14ac:dyDescent="0.25">
      <c r="A1385" t="s">
        <v>8</v>
      </c>
      <c r="B1385" s="1" t="str">
        <f>"000184201 - RICH-FORUM"</f>
        <v>000184201 - RICH-FORUM</v>
      </c>
      <c r="C1385" t="s">
        <v>155</v>
      </c>
      <c r="D1385" s="1" t="str">
        <f t="shared" si="37"/>
        <v>PRG-1015057</v>
      </c>
      <c r="E1385" t="s">
        <v>95</v>
      </c>
      <c r="F1385" t="s">
        <v>4</v>
      </c>
      <c r="G1385" t="str">
        <f>""</f>
        <v/>
      </c>
    </row>
    <row r="1386" spans="1:7" x14ac:dyDescent="0.25">
      <c r="A1386" t="s">
        <v>8</v>
      </c>
      <c r="B1386" s="1" t="str">
        <f>"000184629 - RICH-FORUM"</f>
        <v>000184629 - RICH-FORUM</v>
      </c>
      <c r="C1386" t="s">
        <v>155</v>
      </c>
      <c r="D1386" s="1" t="str">
        <f t="shared" si="37"/>
        <v>PRG-1015057</v>
      </c>
      <c r="E1386" t="s">
        <v>95</v>
      </c>
      <c r="F1386" t="s">
        <v>4</v>
      </c>
      <c r="G1386" t="str">
        <f>""</f>
        <v/>
      </c>
    </row>
    <row r="1387" spans="1:7" x14ac:dyDescent="0.25">
      <c r="A1387" t="s">
        <v>8</v>
      </c>
      <c r="B1387" s="1" t="str">
        <f>"000184923 - RICH-FORUM"</f>
        <v>000184923 - RICH-FORUM</v>
      </c>
      <c r="C1387" t="s">
        <v>155</v>
      </c>
      <c r="D1387" s="1" t="str">
        <f t="shared" si="37"/>
        <v>PRG-1015057</v>
      </c>
      <c r="E1387" t="s">
        <v>95</v>
      </c>
      <c r="F1387" t="s">
        <v>4</v>
      </c>
      <c r="G1387" t="str">
        <f>""</f>
        <v/>
      </c>
    </row>
    <row r="1388" spans="1:7" x14ac:dyDescent="0.25">
      <c r="A1388" t="s">
        <v>8</v>
      </c>
      <c r="B1388" s="1" t="str">
        <f>"000186800 - RICH-FORUM"</f>
        <v>000186800 - RICH-FORUM</v>
      </c>
      <c r="C1388" t="s">
        <v>155</v>
      </c>
      <c r="D1388" s="1" t="str">
        <f t="shared" si="37"/>
        <v>PRG-1015057</v>
      </c>
      <c r="E1388" t="s">
        <v>95</v>
      </c>
      <c r="F1388" t="s">
        <v>4</v>
      </c>
      <c r="G1388" t="str">
        <f>""</f>
        <v/>
      </c>
    </row>
    <row r="1389" spans="1:7" x14ac:dyDescent="0.25">
      <c r="A1389" t="s">
        <v>8</v>
      </c>
      <c r="B1389" s="1" t="str">
        <f>"000191605 - rich-forum"</f>
        <v>000191605 - rich-forum</v>
      </c>
      <c r="C1389" t="s">
        <v>723</v>
      </c>
      <c r="D1389" s="1" t="str">
        <f t="shared" si="37"/>
        <v>PRG-1015057</v>
      </c>
      <c r="E1389" t="s">
        <v>95</v>
      </c>
      <c r="F1389" t="s">
        <v>4</v>
      </c>
      <c r="G1389" t="str">
        <f>""</f>
        <v/>
      </c>
    </row>
    <row r="1390" spans="1:7" x14ac:dyDescent="0.25">
      <c r="A1390" t="s">
        <v>8</v>
      </c>
      <c r="B1390" s="1" t="str">
        <f>"000193711 - RICH-FORUM"</f>
        <v>000193711 - RICH-FORUM</v>
      </c>
      <c r="C1390" t="s">
        <v>155</v>
      </c>
      <c r="D1390" s="1" t="str">
        <f t="shared" si="37"/>
        <v>PRG-1015057</v>
      </c>
      <c r="E1390" t="s">
        <v>95</v>
      </c>
      <c r="F1390" t="s">
        <v>4</v>
      </c>
      <c r="G1390" t="str">
        <f>""</f>
        <v/>
      </c>
    </row>
    <row r="1391" spans="1:7" x14ac:dyDescent="0.25">
      <c r="A1391" t="s">
        <v>8</v>
      </c>
      <c r="B1391" s="1" t="str">
        <f>"000193813 - RICH-FORUM"</f>
        <v>000193813 - RICH-FORUM</v>
      </c>
      <c r="C1391" t="s">
        <v>155</v>
      </c>
      <c r="D1391" s="1" t="str">
        <f t="shared" si="37"/>
        <v>PRG-1015057</v>
      </c>
      <c r="E1391" t="s">
        <v>95</v>
      </c>
      <c r="F1391" t="s">
        <v>4</v>
      </c>
      <c r="G1391" t="str">
        <f>""</f>
        <v/>
      </c>
    </row>
    <row r="1392" spans="1:7" x14ac:dyDescent="0.25">
      <c r="A1392" t="s">
        <v>8</v>
      </c>
      <c r="B1392" s="1" t="str">
        <f>"000194561 - rich-forum"</f>
        <v>000194561 - rich-forum</v>
      </c>
      <c r="C1392" t="s">
        <v>723</v>
      </c>
      <c r="D1392" s="1" t="str">
        <f t="shared" si="37"/>
        <v>PRG-1015057</v>
      </c>
      <c r="E1392" t="s">
        <v>95</v>
      </c>
      <c r="F1392" t="s">
        <v>4</v>
      </c>
      <c r="G1392" t="str">
        <f>""</f>
        <v/>
      </c>
    </row>
    <row r="1393" spans="1:7" x14ac:dyDescent="0.25">
      <c r="A1393" t="s">
        <v>8</v>
      </c>
      <c r="B1393" s="1" t="str">
        <f>"000201883 - RICH-FORUM"</f>
        <v>000201883 - RICH-FORUM</v>
      </c>
      <c r="C1393" t="s">
        <v>155</v>
      </c>
      <c r="D1393" s="1" t="str">
        <f t="shared" si="37"/>
        <v>PRG-1015057</v>
      </c>
      <c r="E1393" t="s">
        <v>95</v>
      </c>
      <c r="F1393" t="s">
        <v>4</v>
      </c>
      <c r="G1393" t="str">
        <f>""</f>
        <v/>
      </c>
    </row>
    <row r="1394" spans="1:7" x14ac:dyDescent="0.25">
      <c r="A1394" t="s">
        <v>8</v>
      </c>
      <c r="B1394" s="1" t="str">
        <f>"000206444 - RICH-FORUM"</f>
        <v>000206444 - RICH-FORUM</v>
      </c>
      <c r="C1394" t="s">
        <v>155</v>
      </c>
      <c r="D1394" s="1" t="str">
        <f t="shared" si="37"/>
        <v>PRG-1015057</v>
      </c>
      <c r="E1394" t="s">
        <v>95</v>
      </c>
      <c r="F1394" t="s">
        <v>4</v>
      </c>
      <c r="G1394" t="str">
        <f>""</f>
        <v/>
      </c>
    </row>
    <row r="1395" spans="1:7" x14ac:dyDescent="0.25">
      <c r="A1395" t="s">
        <v>8</v>
      </c>
      <c r="B1395" s="1" t="str">
        <f>"000211300 - Rich-Forum"</f>
        <v>000211300 - Rich-Forum</v>
      </c>
      <c r="C1395" t="s">
        <v>770</v>
      </c>
      <c r="D1395" s="1" t="str">
        <f t="shared" si="37"/>
        <v>PRG-1015057</v>
      </c>
      <c r="E1395" t="s">
        <v>95</v>
      </c>
      <c r="F1395" t="s">
        <v>4</v>
      </c>
      <c r="G1395" t="str">
        <f>""</f>
        <v/>
      </c>
    </row>
    <row r="1396" spans="1:7" x14ac:dyDescent="0.25">
      <c r="A1396" t="s">
        <v>8</v>
      </c>
      <c r="B1396" s="1" t="str">
        <f>"000214581 - RICH FOODS NONCORE-FORUM"</f>
        <v>000214581 - RICH FOODS NONCORE-FORUM</v>
      </c>
      <c r="C1396" t="s">
        <v>919</v>
      </c>
      <c r="D1396" s="1" t="str">
        <f t="shared" si="37"/>
        <v>PRG-1015057</v>
      </c>
      <c r="E1396" t="s">
        <v>95</v>
      </c>
      <c r="F1396" t="s">
        <v>4</v>
      </c>
      <c r="G1396" t="str">
        <f>""</f>
        <v/>
      </c>
    </row>
    <row r="1397" spans="1:7" x14ac:dyDescent="0.25">
      <c r="A1397" t="s">
        <v>8</v>
      </c>
      <c r="B1397" s="1" t="str">
        <f>"000217196 - RICH-FORUM"</f>
        <v>000217196 - RICH-FORUM</v>
      </c>
      <c r="C1397" t="s">
        <v>155</v>
      </c>
      <c r="D1397" s="1" t="str">
        <f t="shared" si="37"/>
        <v>PRG-1015057</v>
      </c>
      <c r="E1397" t="s">
        <v>95</v>
      </c>
      <c r="F1397" t="s">
        <v>4</v>
      </c>
      <c r="G1397" t="str">
        <f>""</f>
        <v/>
      </c>
    </row>
    <row r="1398" spans="1:7" x14ac:dyDescent="0.25">
      <c r="A1398" t="s">
        <v>8</v>
      </c>
      <c r="B1398" s="1" t="str">
        <f>"000219448 - RICH-FORUM"</f>
        <v>000219448 - RICH-FORUM</v>
      </c>
      <c r="C1398" t="s">
        <v>155</v>
      </c>
      <c r="D1398" s="1" t="str">
        <f t="shared" si="37"/>
        <v>PRG-1015057</v>
      </c>
      <c r="E1398" t="s">
        <v>95</v>
      </c>
      <c r="F1398" t="s">
        <v>4</v>
      </c>
      <c r="G1398" t="str">
        <f>""</f>
        <v/>
      </c>
    </row>
    <row r="1399" spans="1:7" x14ac:dyDescent="0.25">
      <c r="A1399" t="s">
        <v>8</v>
      </c>
      <c r="B1399" s="1" t="str">
        <f>"000219604 - RICH-FORUM"</f>
        <v>000219604 - RICH-FORUM</v>
      </c>
      <c r="C1399" t="s">
        <v>155</v>
      </c>
      <c r="D1399" s="1" t="str">
        <f t="shared" si="37"/>
        <v>PRG-1015057</v>
      </c>
      <c r="E1399" t="s">
        <v>95</v>
      </c>
      <c r="F1399" t="s">
        <v>4</v>
      </c>
      <c r="G1399" t="str">
        <f>""</f>
        <v/>
      </c>
    </row>
    <row r="1400" spans="1:7" x14ac:dyDescent="0.25">
      <c r="A1400" t="s">
        <v>8</v>
      </c>
      <c r="B1400" s="1" t="str">
        <f>"000224598 - RICH FOODS NONCORE-FORUM"</f>
        <v>000224598 - RICH FOODS NONCORE-FORUM</v>
      </c>
      <c r="C1400" t="s">
        <v>919</v>
      </c>
      <c r="D1400" s="1" t="str">
        <f t="shared" si="37"/>
        <v>PRG-1015057</v>
      </c>
      <c r="E1400" t="s">
        <v>95</v>
      </c>
      <c r="F1400" t="s">
        <v>4</v>
      </c>
      <c r="G1400" t="str">
        <f>""</f>
        <v/>
      </c>
    </row>
    <row r="1401" spans="1:7" x14ac:dyDescent="0.25">
      <c r="A1401" t="s">
        <v>8</v>
      </c>
      <c r="B1401" s="1" t="str">
        <f>"000226373 - RICH FOODS NONCORE-FORUM"</f>
        <v>000226373 - RICH FOODS NONCORE-FORUM</v>
      </c>
      <c r="C1401" t="s">
        <v>919</v>
      </c>
      <c r="D1401" s="1" t="str">
        <f t="shared" si="37"/>
        <v>PRG-1015057</v>
      </c>
      <c r="E1401" t="s">
        <v>95</v>
      </c>
      <c r="F1401" t="s">
        <v>4</v>
      </c>
      <c r="G1401" t="str">
        <f>""</f>
        <v/>
      </c>
    </row>
    <row r="1402" spans="1:7" x14ac:dyDescent="0.25">
      <c r="A1402" t="s">
        <v>8</v>
      </c>
      <c r="B1402" s="1" t="str">
        <f>"000229462 - RICH-FORUM"</f>
        <v>000229462 - RICH-FORUM</v>
      </c>
      <c r="C1402" t="s">
        <v>155</v>
      </c>
      <c r="D1402" s="1" t="str">
        <f t="shared" si="37"/>
        <v>PRG-1015057</v>
      </c>
      <c r="E1402" t="s">
        <v>95</v>
      </c>
      <c r="F1402" t="s">
        <v>4</v>
      </c>
      <c r="G1402" t="str">
        <f>""</f>
        <v/>
      </c>
    </row>
    <row r="1403" spans="1:7" x14ac:dyDescent="0.25">
      <c r="A1403" t="s">
        <v>8</v>
      </c>
      <c r="B1403" s="1" t="str">
        <f>"000229681 - RICH-FORUM"</f>
        <v>000229681 - RICH-FORUM</v>
      </c>
      <c r="C1403" t="s">
        <v>155</v>
      </c>
      <c r="D1403" s="1" t="str">
        <f t="shared" si="37"/>
        <v>PRG-1015057</v>
      </c>
      <c r="E1403" t="s">
        <v>95</v>
      </c>
      <c r="F1403" t="s">
        <v>4</v>
      </c>
      <c r="G1403" t="str">
        <f>""</f>
        <v/>
      </c>
    </row>
    <row r="1404" spans="1:7" x14ac:dyDescent="0.25">
      <c r="A1404" t="s">
        <v>8</v>
      </c>
      <c r="B1404" s="1" t="str">
        <f>"000230529 - RICH-FORUM"</f>
        <v>000230529 - RICH-FORUM</v>
      </c>
      <c r="C1404" t="s">
        <v>155</v>
      </c>
      <c r="D1404" s="1" t="str">
        <f t="shared" si="37"/>
        <v>PRG-1015057</v>
      </c>
      <c r="E1404" t="s">
        <v>95</v>
      </c>
      <c r="F1404" t="s">
        <v>4</v>
      </c>
      <c r="G1404" t="str">
        <f>""</f>
        <v/>
      </c>
    </row>
    <row r="1405" spans="1:7" x14ac:dyDescent="0.25">
      <c r="A1405" t="s">
        <v>8</v>
      </c>
      <c r="B1405" s="1" t="str">
        <f>"000231187 - RICH FOODS NONCORE-FORUM"</f>
        <v>000231187 - RICH FOODS NONCORE-FORUM</v>
      </c>
      <c r="C1405" t="s">
        <v>919</v>
      </c>
      <c r="D1405" s="1" t="str">
        <f t="shared" ref="D1405:D1425" si="38">"PRG-1015057"</f>
        <v>PRG-1015057</v>
      </c>
      <c r="E1405" t="s">
        <v>95</v>
      </c>
      <c r="F1405" t="s">
        <v>4</v>
      </c>
      <c r="G1405" t="str">
        <f>""</f>
        <v/>
      </c>
    </row>
    <row r="1406" spans="1:7" x14ac:dyDescent="0.25">
      <c r="A1406" t="s">
        <v>8</v>
      </c>
      <c r="B1406" s="1" t="str">
        <f>"000236529 - RICH FOODS NONCORE-FORUM"</f>
        <v>000236529 - RICH FOODS NONCORE-FORUM</v>
      </c>
      <c r="C1406" t="s">
        <v>919</v>
      </c>
      <c r="D1406" s="1" t="str">
        <f t="shared" si="38"/>
        <v>PRG-1015057</v>
      </c>
      <c r="E1406" t="s">
        <v>95</v>
      </c>
      <c r="F1406" t="s">
        <v>4</v>
      </c>
      <c r="G1406" t="str">
        <f>""</f>
        <v/>
      </c>
    </row>
    <row r="1407" spans="1:7" x14ac:dyDescent="0.25">
      <c r="A1407" t="s">
        <v>8</v>
      </c>
      <c r="B1407" s="1" t="str">
        <f>"000244849 - RICH-FORUM"</f>
        <v>000244849 - RICH-FORUM</v>
      </c>
      <c r="C1407" t="s">
        <v>155</v>
      </c>
      <c r="D1407" s="1" t="str">
        <f t="shared" si="38"/>
        <v>PRG-1015057</v>
      </c>
      <c r="E1407" t="s">
        <v>95</v>
      </c>
      <c r="F1407" t="s">
        <v>4</v>
      </c>
      <c r="G1407" t="str">
        <f>""</f>
        <v/>
      </c>
    </row>
    <row r="1408" spans="1:7" x14ac:dyDescent="0.25">
      <c r="A1408" t="s">
        <v>8</v>
      </c>
      <c r="B1408" s="1" t="str">
        <f>"000250373 - RICH-FORUM"</f>
        <v>000250373 - RICH-FORUM</v>
      </c>
      <c r="C1408" t="s">
        <v>155</v>
      </c>
      <c r="D1408" s="1" t="str">
        <f t="shared" si="38"/>
        <v>PRG-1015057</v>
      </c>
      <c r="E1408" t="s">
        <v>95</v>
      </c>
      <c r="F1408" t="s">
        <v>4</v>
      </c>
      <c r="G1408" t="str">
        <f>""</f>
        <v/>
      </c>
    </row>
    <row r="1409" spans="1:7" x14ac:dyDescent="0.25">
      <c r="A1409" t="s">
        <v>8</v>
      </c>
      <c r="B1409" s="1" t="str">
        <f>"000253800 - RICH-FORUM"</f>
        <v>000253800 - RICH-FORUM</v>
      </c>
      <c r="C1409" t="s">
        <v>155</v>
      </c>
      <c r="D1409" s="1" t="str">
        <f t="shared" si="38"/>
        <v>PRG-1015057</v>
      </c>
      <c r="E1409" t="s">
        <v>95</v>
      </c>
      <c r="F1409" t="s">
        <v>4</v>
      </c>
      <c r="G1409" t="str">
        <f>""</f>
        <v/>
      </c>
    </row>
    <row r="1410" spans="1:7" x14ac:dyDescent="0.25">
      <c r="A1410" t="s">
        <v>8</v>
      </c>
      <c r="B1410" s="1" t="str">
        <f>"000256242 - RICH FOODS NONCORE-FORUM"</f>
        <v>000256242 - RICH FOODS NONCORE-FORUM</v>
      </c>
      <c r="C1410" t="s">
        <v>919</v>
      </c>
      <c r="D1410" s="1" t="str">
        <f t="shared" si="38"/>
        <v>PRG-1015057</v>
      </c>
      <c r="E1410" t="s">
        <v>95</v>
      </c>
      <c r="F1410" t="s">
        <v>4</v>
      </c>
      <c r="G1410" t="str">
        <f>""</f>
        <v/>
      </c>
    </row>
    <row r="1411" spans="1:7" x14ac:dyDescent="0.25">
      <c r="A1411" t="s">
        <v>8</v>
      </c>
      <c r="B1411" s="1" t="str">
        <f>"000257219 - RICH-FORUM"</f>
        <v>000257219 - RICH-FORUM</v>
      </c>
      <c r="C1411" t="s">
        <v>155</v>
      </c>
      <c r="D1411" s="1" t="str">
        <f t="shared" si="38"/>
        <v>PRG-1015057</v>
      </c>
      <c r="E1411" t="s">
        <v>95</v>
      </c>
      <c r="F1411" t="s">
        <v>4</v>
      </c>
      <c r="G1411" t="str">
        <f>""</f>
        <v/>
      </c>
    </row>
    <row r="1412" spans="1:7" x14ac:dyDescent="0.25">
      <c r="A1412" t="s">
        <v>8</v>
      </c>
      <c r="B1412" s="1" t="str">
        <f>"000260372 - RICH-FORUM"</f>
        <v>000260372 - RICH-FORUM</v>
      </c>
      <c r="C1412" t="s">
        <v>155</v>
      </c>
      <c r="D1412" s="1" t="str">
        <f t="shared" si="38"/>
        <v>PRG-1015057</v>
      </c>
      <c r="E1412" t="s">
        <v>95</v>
      </c>
      <c r="F1412" t="s">
        <v>4</v>
      </c>
      <c r="G1412" t="str">
        <f>""</f>
        <v/>
      </c>
    </row>
    <row r="1413" spans="1:7" x14ac:dyDescent="0.25">
      <c r="A1413" t="s">
        <v>8</v>
      </c>
      <c r="B1413" s="1" t="str">
        <f>"000273979 - RICH-FORUM"</f>
        <v>000273979 - RICH-FORUM</v>
      </c>
      <c r="C1413" t="s">
        <v>155</v>
      </c>
      <c r="D1413" s="1" t="str">
        <f t="shared" si="38"/>
        <v>PRG-1015057</v>
      </c>
      <c r="E1413" t="s">
        <v>95</v>
      </c>
      <c r="F1413" t="s">
        <v>4</v>
      </c>
      <c r="G1413" t="str">
        <f>""</f>
        <v/>
      </c>
    </row>
    <row r="1414" spans="1:7" x14ac:dyDescent="0.25">
      <c r="A1414" t="s">
        <v>8</v>
      </c>
      <c r="B1414" s="1" t="str">
        <f>"000274190 - RICH-FORUM"</f>
        <v>000274190 - RICH-FORUM</v>
      </c>
      <c r="C1414" t="s">
        <v>155</v>
      </c>
      <c r="D1414" s="1" t="str">
        <f t="shared" si="38"/>
        <v>PRG-1015057</v>
      </c>
      <c r="E1414" t="s">
        <v>95</v>
      </c>
      <c r="F1414" t="s">
        <v>4</v>
      </c>
      <c r="G1414" t="str">
        <f>""</f>
        <v/>
      </c>
    </row>
    <row r="1415" spans="1:7" x14ac:dyDescent="0.25">
      <c r="A1415" t="s">
        <v>8</v>
      </c>
      <c r="B1415" s="1" t="str">
        <f>"000282735 - RICH-FORUM"</f>
        <v>000282735 - RICH-FORUM</v>
      </c>
      <c r="C1415" t="s">
        <v>155</v>
      </c>
      <c r="D1415" s="1" t="str">
        <f t="shared" si="38"/>
        <v>PRG-1015057</v>
      </c>
      <c r="E1415" t="s">
        <v>95</v>
      </c>
      <c r="F1415" t="s">
        <v>4</v>
      </c>
      <c r="G1415" t="str">
        <f>""</f>
        <v/>
      </c>
    </row>
    <row r="1416" spans="1:7" x14ac:dyDescent="0.25">
      <c r="A1416" t="s">
        <v>8</v>
      </c>
      <c r="B1416" s="1" t="str">
        <f>"000283620 - RICH-FORUM"</f>
        <v>000283620 - RICH-FORUM</v>
      </c>
      <c r="C1416" t="s">
        <v>155</v>
      </c>
      <c r="D1416" s="1" t="str">
        <f t="shared" si="38"/>
        <v>PRG-1015057</v>
      </c>
      <c r="E1416" t="s">
        <v>95</v>
      </c>
      <c r="F1416" t="s">
        <v>4</v>
      </c>
      <c r="G1416" t="str">
        <f>""</f>
        <v/>
      </c>
    </row>
    <row r="1417" spans="1:7" x14ac:dyDescent="0.25">
      <c r="A1417" t="s">
        <v>8</v>
      </c>
      <c r="B1417" s="1" t="str">
        <f>"000288878 - RICH FOODS NONCORE-FORUM"</f>
        <v>000288878 - RICH FOODS NONCORE-FORUM</v>
      </c>
      <c r="C1417" t="s">
        <v>919</v>
      </c>
      <c r="D1417" s="1" t="str">
        <f t="shared" si="38"/>
        <v>PRG-1015057</v>
      </c>
      <c r="E1417" t="s">
        <v>95</v>
      </c>
      <c r="F1417" t="s">
        <v>4</v>
      </c>
      <c r="G1417" t="str">
        <f>""</f>
        <v/>
      </c>
    </row>
    <row r="1418" spans="1:7" x14ac:dyDescent="0.25">
      <c r="A1418" t="s">
        <v>8</v>
      </c>
      <c r="B1418" s="1" t="str">
        <f>"000289922 - RICH-FORUM"</f>
        <v>000289922 - RICH-FORUM</v>
      </c>
      <c r="C1418" t="s">
        <v>155</v>
      </c>
      <c r="D1418" s="1" t="str">
        <f t="shared" si="38"/>
        <v>PRG-1015057</v>
      </c>
      <c r="E1418" t="s">
        <v>95</v>
      </c>
      <c r="F1418" t="s">
        <v>4</v>
      </c>
      <c r="G1418" t="str">
        <f>""</f>
        <v/>
      </c>
    </row>
    <row r="1419" spans="1:7" x14ac:dyDescent="0.25">
      <c r="A1419" t="s">
        <v>8</v>
      </c>
      <c r="B1419" s="1" t="str">
        <f>"000296118 - RICH-FORUM"</f>
        <v>000296118 - RICH-FORUM</v>
      </c>
      <c r="C1419" t="s">
        <v>155</v>
      </c>
      <c r="D1419" s="1" t="str">
        <f t="shared" si="38"/>
        <v>PRG-1015057</v>
      </c>
      <c r="E1419" t="s">
        <v>95</v>
      </c>
      <c r="F1419" t="s">
        <v>4</v>
      </c>
      <c r="G1419" t="str">
        <f>""</f>
        <v/>
      </c>
    </row>
    <row r="1420" spans="1:7" x14ac:dyDescent="0.25">
      <c r="A1420" t="s">
        <v>8</v>
      </c>
      <c r="B1420" s="1" t="str">
        <f>"000301416 - RICH FOODS NONCORE-FORUM"</f>
        <v>000301416 - RICH FOODS NONCORE-FORUM</v>
      </c>
      <c r="C1420" t="s">
        <v>919</v>
      </c>
      <c r="D1420" s="1" t="str">
        <f t="shared" si="38"/>
        <v>PRG-1015057</v>
      </c>
      <c r="E1420" t="s">
        <v>95</v>
      </c>
      <c r="F1420" t="s">
        <v>4</v>
      </c>
      <c r="G1420" t="str">
        <f>""</f>
        <v/>
      </c>
    </row>
    <row r="1421" spans="1:7" x14ac:dyDescent="0.25">
      <c r="A1421" t="s">
        <v>8</v>
      </c>
      <c r="B1421" s="1" t="str">
        <f>"000308237 - RICH-FORUM"</f>
        <v>000308237 - RICH-FORUM</v>
      </c>
      <c r="C1421" t="s">
        <v>155</v>
      </c>
      <c r="D1421" s="1" t="str">
        <f t="shared" si="38"/>
        <v>PRG-1015057</v>
      </c>
      <c r="E1421" t="s">
        <v>95</v>
      </c>
      <c r="F1421" t="s">
        <v>4</v>
      </c>
      <c r="G1421" t="str">
        <f>""</f>
        <v/>
      </c>
    </row>
    <row r="1422" spans="1:7" x14ac:dyDescent="0.25">
      <c r="A1422" t="s">
        <v>8</v>
      </c>
      <c r="B1422" s="1" t="str">
        <f>"000315989 - Rich-Forum"</f>
        <v>000315989 - Rich-Forum</v>
      </c>
      <c r="C1422" t="s">
        <v>770</v>
      </c>
      <c r="D1422" s="1" t="str">
        <f t="shared" si="38"/>
        <v>PRG-1015057</v>
      </c>
      <c r="E1422" t="s">
        <v>95</v>
      </c>
      <c r="F1422" t="s">
        <v>4</v>
      </c>
      <c r="G1422" t="str">
        <f>""</f>
        <v/>
      </c>
    </row>
    <row r="1423" spans="1:7" x14ac:dyDescent="0.25">
      <c r="A1423" t="s">
        <v>8</v>
      </c>
      <c r="B1423" s="1" t="str">
        <f>"2000125770 - RICH PRODUCTS-FORUM"</f>
        <v>2000125770 - RICH PRODUCTS-FORUM</v>
      </c>
      <c r="C1423" t="s">
        <v>3830</v>
      </c>
      <c r="D1423" s="1" t="str">
        <f t="shared" si="38"/>
        <v>PRG-1015057</v>
      </c>
      <c r="E1423" t="s">
        <v>95</v>
      </c>
      <c r="F1423" t="s">
        <v>4</v>
      </c>
      <c r="G1423" t="str">
        <f>""</f>
        <v/>
      </c>
    </row>
    <row r="1424" spans="1:7" x14ac:dyDescent="0.25">
      <c r="A1424" t="s">
        <v>8</v>
      </c>
      <c r="B1424" s="1" t="str">
        <f>"2000285124 - RICH FOODS-FORUM"</f>
        <v>2000285124 - RICH FOODS-FORUM</v>
      </c>
      <c r="C1424" t="s">
        <v>94</v>
      </c>
      <c r="D1424" s="1" t="str">
        <f t="shared" si="38"/>
        <v>PRG-1015057</v>
      </c>
      <c r="E1424" t="s">
        <v>95</v>
      </c>
      <c r="F1424" t="s">
        <v>4</v>
      </c>
      <c r="G1424" t="str">
        <f>""</f>
        <v/>
      </c>
    </row>
    <row r="1425" spans="1:7" x14ac:dyDescent="0.25">
      <c r="A1425" t="s">
        <v>8</v>
      </c>
      <c r="B1425" s="1" t="str">
        <f>"2000298888 - RICH FOODS-FORUM"</f>
        <v>2000298888 - RICH FOODS-FORUM</v>
      </c>
      <c r="C1425" t="s">
        <v>94</v>
      </c>
      <c r="D1425" s="1" t="str">
        <f t="shared" si="38"/>
        <v>PRG-1015057</v>
      </c>
      <c r="E1425" t="s">
        <v>95</v>
      </c>
      <c r="F1425" t="s">
        <v>4</v>
      </c>
      <c r="G1425" t="str">
        <f>""</f>
        <v/>
      </c>
    </row>
    <row r="1426" spans="1:7" x14ac:dyDescent="0.25">
      <c r="A1426" t="s">
        <v>8</v>
      </c>
      <c r="B1426" s="1" t="str">
        <f>"2099A420"</f>
        <v>2099A420</v>
      </c>
      <c r="C1426" t="s">
        <v>4100</v>
      </c>
      <c r="D1426" s="1" t="str">
        <f>"PRG-1015166"</f>
        <v>PRG-1015166</v>
      </c>
      <c r="E1426" t="s">
        <v>4101</v>
      </c>
      <c r="F1426" t="s">
        <v>5</v>
      </c>
      <c r="G1426" t="str">
        <f>""</f>
        <v/>
      </c>
    </row>
    <row r="1427" spans="1:7" x14ac:dyDescent="0.25">
      <c r="A1427" t="s">
        <v>8</v>
      </c>
      <c r="B1427" s="1" t="str">
        <f>"000220398 - RICH   STROUDSMOOR INN"</f>
        <v>000220398 - RICH   STROUDSMOOR INN</v>
      </c>
      <c r="C1427" t="s">
        <v>1584</v>
      </c>
      <c r="D1427" s="1" t="str">
        <f>"PRG-1015170"</f>
        <v>PRG-1015170</v>
      </c>
      <c r="E1427" t="s">
        <v>1585</v>
      </c>
      <c r="F1427" t="s">
        <v>4</v>
      </c>
      <c r="G1427" t="str">
        <f>""</f>
        <v/>
      </c>
    </row>
    <row r="1428" spans="1:7" x14ac:dyDescent="0.25">
      <c r="A1428" t="s">
        <v>8</v>
      </c>
      <c r="B1428" s="1" t="str">
        <f>"000001916 - RICH'S-UNIVERSITY OF COLORADO"</f>
        <v>000001916 - RICH'S-UNIVERSITY OF COLORADO</v>
      </c>
      <c r="C1428" t="s">
        <v>100</v>
      </c>
      <c r="D1428" s="1" t="str">
        <f>"PRG-1015176"</f>
        <v>PRG-1015176</v>
      </c>
      <c r="E1428" t="s">
        <v>101</v>
      </c>
      <c r="F1428" t="s">
        <v>4</v>
      </c>
      <c r="G1428" t="str">
        <f>""</f>
        <v/>
      </c>
    </row>
    <row r="1429" spans="1:7" x14ac:dyDescent="0.25">
      <c r="A1429" t="s">
        <v>8</v>
      </c>
      <c r="B1429" s="1" t="str">
        <f>"2000152131 - RICH PRODUCTS- UNIV. OF COLO"</f>
        <v>2000152131 - RICH PRODUCTS- UNIV. OF COLO</v>
      </c>
      <c r="C1429" t="s">
        <v>3873</v>
      </c>
      <c r="D1429" s="1" t="str">
        <f>"PRG-1015176"</f>
        <v>PRG-1015176</v>
      </c>
      <c r="E1429" t="s">
        <v>101</v>
      </c>
      <c r="F1429" t="s">
        <v>4</v>
      </c>
      <c r="G1429" t="str">
        <f>""</f>
        <v/>
      </c>
    </row>
    <row r="1430" spans="1:7" x14ac:dyDescent="0.25">
      <c r="A1430" t="s">
        <v>8</v>
      </c>
      <c r="B1430" s="1" t="str">
        <f>"2000337242 - RICH'S-UNIVERSITY OF COLORADO"</f>
        <v>2000337242 - RICH'S-UNIVERSITY OF COLORADO</v>
      </c>
      <c r="C1430" t="s">
        <v>100</v>
      </c>
      <c r="D1430" s="1" t="str">
        <f>"PRG-1015176"</f>
        <v>PRG-1015176</v>
      </c>
      <c r="E1430" t="s">
        <v>101</v>
      </c>
      <c r="F1430" t="s">
        <v>4</v>
      </c>
      <c r="G1430" t="str">
        <f>""</f>
        <v/>
      </c>
    </row>
    <row r="1431" spans="1:7" x14ac:dyDescent="0.25">
      <c r="A1431" t="s">
        <v>8</v>
      </c>
      <c r="B1431" s="1" t="str">
        <f>"2000434882 - RICH'S-UNIVERSITY OF COLORADO"</f>
        <v>2000434882 - RICH'S-UNIVERSITY OF COLORADO</v>
      </c>
      <c r="C1431" t="s">
        <v>100</v>
      </c>
      <c r="D1431" s="1" t="str">
        <f>"PRG-1015176"</f>
        <v>PRG-1015176</v>
      </c>
      <c r="E1431" t="s">
        <v>101</v>
      </c>
      <c r="F1431" t="s">
        <v>4</v>
      </c>
      <c r="G1431" t="str">
        <f>""</f>
        <v/>
      </c>
    </row>
    <row r="1432" spans="1:7" x14ac:dyDescent="0.25">
      <c r="A1432" t="s">
        <v>8</v>
      </c>
      <c r="B1432" s="1" t="str">
        <f>"000209889 - RICHS  RENOS"</f>
        <v>000209889 - RICHS  RENOS</v>
      </c>
      <c r="C1432" t="s">
        <v>1427</v>
      </c>
      <c r="D1432" s="1" t="str">
        <f>"PRG-1015188"</f>
        <v>PRG-1015188</v>
      </c>
      <c r="E1432" t="s">
        <v>1428</v>
      </c>
      <c r="F1432" t="s">
        <v>4</v>
      </c>
      <c r="G1432" t="str">
        <f>""</f>
        <v/>
      </c>
    </row>
    <row r="1433" spans="1:7" x14ac:dyDescent="0.25">
      <c r="A1433" t="s">
        <v>8</v>
      </c>
      <c r="B1433" s="1" t="str">
        <f>"2260E715"</f>
        <v>2260E715</v>
      </c>
      <c r="C1433" t="s">
        <v>4466</v>
      </c>
      <c r="D1433" s="1" t="str">
        <f>"PRG-1015230"</f>
        <v>PRG-1015230</v>
      </c>
      <c r="E1433" t="s">
        <v>4467</v>
      </c>
      <c r="F1433" t="s">
        <v>5</v>
      </c>
      <c r="G1433" t="str">
        <f>""</f>
        <v/>
      </c>
    </row>
    <row r="1434" spans="1:7" x14ac:dyDescent="0.25">
      <c r="A1434" t="s">
        <v>8</v>
      </c>
      <c r="B1434" s="1" t="str">
        <f>"000194070 - RICH'S DANNY'S 4 MILE #1015324"</f>
        <v>000194070 - RICH'S DANNY'S 4 MILE #1015324</v>
      </c>
      <c r="C1434" t="s">
        <v>1238</v>
      </c>
      <c r="D1434" s="1" t="str">
        <f>"PRG-1015324"</f>
        <v>PRG-1015324</v>
      </c>
      <c r="E1434" t="s">
        <v>1239</v>
      </c>
      <c r="F1434" t="s">
        <v>4</v>
      </c>
      <c r="G1434" t="str">
        <f>""</f>
        <v/>
      </c>
    </row>
    <row r="1435" spans="1:7" x14ac:dyDescent="0.25">
      <c r="A1435" t="s">
        <v>8</v>
      </c>
      <c r="B1435" s="1" t="str">
        <f>"000237405 - RICHS TCBY"</f>
        <v>000237405 - RICHS TCBY</v>
      </c>
      <c r="C1435" t="s">
        <v>1867</v>
      </c>
      <c r="D1435" s="1" t="str">
        <f>"PRG-1015482"</f>
        <v>PRG-1015482</v>
      </c>
      <c r="E1435" t="s">
        <v>1868</v>
      </c>
      <c r="F1435" t="s">
        <v>4</v>
      </c>
      <c r="G1435" t="str">
        <f>""</f>
        <v/>
      </c>
    </row>
    <row r="1436" spans="1:7" x14ac:dyDescent="0.25">
      <c r="A1436" t="s">
        <v>8</v>
      </c>
      <c r="B1436" s="1" t="str">
        <f>"000268800 - "</f>
        <v xml:space="preserve">000268800 - </v>
      </c>
      <c r="D1436" s="1" t="str">
        <f>"PRG-1015482"</f>
        <v>PRG-1015482</v>
      </c>
      <c r="E1436" t="s">
        <v>1868</v>
      </c>
      <c r="F1436" t="s">
        <v>4</v>
      </c>
      <c r="G1436" t="str">
        <f>""</f>
        <v/>
      </c>
    </row>
    <row r="1437" spans="1:7" x14ac:dyDescent="0.25">
      <c r="A1437" t="s">
        <v>8</v>
      </c>
      <c r="B1437" s="1" t="str">
        <f>"000097834 - RICH FOODS-DELAWARE"</f>
        <v>000097834 - RICH FOODS-DELAWARE</v>
      </c>
      <c r="C1437" t="s">
        <v>190</v>
      </c>
      <c r="D1437" s="1" t="str">
        <f>"PRG-1015483"</f>
        <v>PRG-1015483</v>
      </c>
      <c r="E1437" t="s">
        <v>791</v>
      </c>
      <c r="F1437" t="s">
        <v>4</v>
      </c>
      <c r="G1437" t="str">
        <f>""</f>
        <v/>
      </c>
    </row>
    <row r="1438" spans="1:7" x14ac:dyDescent="0.25">
      <c r="A1438" t="s">
        <v>8</v>
      </c>
      <c r="B1438" s="1" t="str">
        <f>"000279240 - RICH FOODS-DELAWARE"</f>
        <v>000279240 - RICH FOODS-DELAWARE</v>
      </c>
      <c r="C1438" t="s">
        <v>190</v>
      </c>
      <c r="D1438" s="1" t="str">
        <f>"PRG-1015483"</f>
        <v>PRG-1015483</v>
      </c>
      <c r="E1438" t="s">
        <v>791</v>
      </c>
      <c r="F1438" t="s">
        <v>4</v>
      </c>
      <c r="G1438" t="str">
        <f>""</f>
        <v/>
      </c>
    </row>
    <row r="1439" spans="1:7" x14ac:dyDescent="0.25">
      <c r="A1439" t="s">
        <v>8</v>
      </c>
      <c r="B1439" s="1" t="str">
        <f>"000283558 - RICH FOODS-DELAWARE"</f>
        <v>000283558 - RICH FOODS-DELAWARE</v>
      </c>
      <c r="C1439" t="s">
        <v>190</v>
      </c>
      <c r="D1439" s="1" t="str">
        <f>"PRG-1015483"</f>
        <v>PRG-1015483</v>
      </c>
      <c r="E1439" t="s">
        <v>791</v>
      </c>
      <c r="F1439" t="s">
        <v>4</v>
      </c>
      <c r="G1439" t="str">
        <f>""</f>
        <v/>
      </c>
    </row>
    <row r="1440" spans="1:7" x14ac:dyDescent="0.25">
      <c r="A1440" t="s">
        <v>8</v>
      </c>
      <c r="B1440" s="1" t="str">
        <f>"000230893 - RICH'S   NML"</f>
        <v>000230893 - RICH'S   NML</v>
      </c>
      <c r="C1440" t="s">
        <v>1234</v>
      </c>
      <c r="D1440" s="1" t="str">
        <f>"PRG-1015491"</f>
        <v>PRG-1015491</v>
      </c>
      <c r="E1440" t="s">
        <v>1758</v>
      </c>
      <c r="F1440" t="s">
        <v>4</v>
      </c>
      <c r="G1440" t="str">
        <f>""</f>
        <v/>
      </c>
    </row>
    <row r="1441" spans="1:7" x14ac:dyDescent="0.25">
      <c r="A1441" t="s">
        <v>8</v>
      </c>
      <c r="B1441" s="1" t="str">
        <f>"000182422 - RICH FOODS-FOODBUY"</f>
        <v>000182422 - RICH FOODS-FOODBUY</v>
      </c>
      <c r="C1441" t="s">
        <v>237</v>
      </c>
      <c r="D1441" s="1" t="str">
        <f>"PRG-1015524"</f>
        <v>PRG-1015524</v>
      </c>
      <c r="E1441" t="s">
        <v>1151</v>
      </c>
      <c r="F1441" t="s">
        <v>4</v>
      </c>
      <c r="G1441" t="str">
        <f>""</f>
        <v/>
      </c>
    </row>
    <row r="1442" spans="1:7" x14ac:dyDescent="0.25">
      <c r="A1442" t="s">
        <v>8</v>
      </c>
      <c r="B1442" s="1" t="str">
        <f>"000202245 - RICH FOODS CSM CNSLT (FDBY)"</f>
        <v>000202245 - RICH FOODS CSM CNSLT (FDBY)</v>
      </c>
      <c r="C1442" t="s">
        <v>1324</v>
      </c>
      <c r="D1442" s="1" t="str">
        <f>"PRG-1015524"</f>
        <v>PRG-1015524</v>
      </c>
      <c r="E1442" t="s">
        <v>1151</v>
      </c>
      <c r="F1442" t="s">
        <v>4</v>
      </c>
      <c r="G1442" t="str">
        <f>""</f>
        <v/>
      </c>
    </row>
    <row r="1443" spans="1:7" x14ac:dyDescent="0.25">
      <c r="A1443" t="s">
        <v>8</v>
      </c>
      <c r="B1443" s="1" t="str">
        <f>"000258179 - RICH FOODS-FOODBUY"</f>
        <v>000258179 - RICH FOODS-FOODBUY</v>
      </c>
      <c r="C1443" t="s">
        <v>237</v>
      </c>
      <c r="D1443" s="1" t="str">
        <f>"PRG-1015524"</f>
        <v>PRG-1015524</v>
      </c>
      <c r="E1443" t="s">
        <v>1151</v>
      </c>
      <c r="F1443" t="s">
        <v>4</v>
      </c>
      <c r="G1443" t="str">
        <f>""</f>
        <v/>
      </c>
    </row>
    <row r="1444" spans="1:7" x14ac:dyDescent="0.25">
      <c r="A1444" t="s">
        <v>8</v>
      </c>
      <c r="B1444" s="1" t="str">
        <f>"000270962 - Rich Foods-Foodbuy"</f>
        <v>000270962 - Rich Foods-Foodbuy</v>
      </c>
      <c r="C1444" t="s">
        <v>757</v>
      </c>
      <c r="D1444" s="1" t="str">
        <f>"PRG-1015524"</f>
        <v>PRG-1015524</v>
      </c>
      <c r="E1444" t="s">
        <v>1151</v>
      </c>
      <c r="F1444" t="s">
        <v>4</v>
      </c>
      <c r="G1444" t="str">
        <f>""</f>
        <v/>
      </c>
    </row>
    <row r="1445" spans="1:7" x14ac:dyDescent="0.25">
      <c r="A1445" t="s">
        <v>8</v>
      </c>
      <c r="B1445" s="1" t="str">
        <f>"41001611"</f>
        <v>41001611</v>
      </c>
      <c r="C1445" t="s">
        <v>4923</v>
      </c>
      <c r="D1445" s="1" t="str">
        <f>"PRG-1015567"</f>
        <v>PRG-1015567</v>
      </c>
      <c r="E1445" t="s">
        <v>4924</v>
      </c>
      <c r="F1445" t="s">
        <v>5</v>
      </c>
      <c r="G1445" t="str">
        <f>""</f>
        <v/>
      </c>
    </row>
    <row r="1446" spans="1:7" x14ac:dyDescent="0.25">
      <c r="A1446" t="s">
        <v>8</v>
      </c>
      <c r="B1446" s="1" t="str">
        <f>"21350800"</f>
        <v>21350800</v>
      </c>
      <c r="C1446" t="s">
        <v>4139</v>
      </c>
      <c r="D1446" s="1" t="str">
        <f>"PRG-1015582"</f>
        <v>PRG-1015582</v>
      </c>
      <c r="E1446" t="s">
        <v>4140</v>
      </c>
      <c r="F1446" t="s">
        <v>5</v>
      </c>
      <c r="G1446" t="str">
        <f>""</f>
        <v/>
      </c>
    </row>
    <row r="1447" spans="1:7" x14ac:dyDescent="0.25">
      <c r="A1447" t="s">
        <v>8</v>
      </c>
      <c r="B1447" s="1" t="str">
        <f>"000274470 - RICHS-DC LEGOLAND"</f>
        <v>000274470 - RICHS-DC LEGOLAND</v>
      </c>
      <c r="C1447" t="s">
        <v>2542</v>
      </c>
      <c r="D1447" s="1" t="str">
        <f>"PRG-1015589"</f>
        <v>PRG-1015589</v>
      </c>
      <c r="E1447" t="s">
        <v>2543</v>
      </c>
      <c r="F1447" t="s">
        <v>4</v>
      </c>
      <c r="G1447" t="str">
        <f>""</f>
        <v/>
      </c>
    </row>
    <row r="1448" spans="1:7" x14ac:dyDescent="0.25">
      <c r="A1448" t="s">
        <v>8</v>
      </c>
      <c r="B1448" s="1" t="str">
        <f>"000349441 - "</f>
        <v xml:space="preserve">000349441 - </v>
      </c>
      <c r="D1448" s="1" t="str">
        <f>"PRG-1015589"</f>
        <v>PRG-1015589</v>
      </c>
      <c r="E1448" t="s">
        <v>2543</v>
      </c>
      <c r="F1448" t="s">
        <v>4</v>
      </c>
      <c r="G1448" t="str">
        <f>""</f>
        <v/>
      </c>
    </row>
    <row r="1449" spans="1:7" x14ac:dyDescent="0.25">
      <c r="A1449" t="s">
        <v>8</v>
      </c>
      <c r="B1449" s="1" t="str">
        <f>"000351675 - "</f>
        <v xml:space="preserve">000351675 - </v>
      </c>
      <c r="D1449" s="1" t="str">
        <f>"PRG-1015589"</f>
        <v>PRG-1015589</v>
      </c>
      <c r="E1449" t="s">
        <v>2543</v>
      </c>
      <c r="F1449" t="s">
        <v>4</v>
      </c>
      <c r="G1449" t="str">
        <f>""</f>
        <v/>
      </c>
    </row>
    <row r="1450" spans="1:7" x14ac:dyDescent="0.25">
      <c r="A1450" t="s">
        <v>8</v>
      </c>
      <c r="B1450" s="1" t="str">
        <f>"000221167 - RICH PRODUCTS DOUGH ROLLER"</f>
        <v>000221167 - RICH PRODUCTS DOUGH ROLLER</v>
      </c>
      <c r="C1450" t="s">
        <v>1598</v>
      </c>
      <c r="D1450" s="1" t="str">
        <f>"PRG-1015693"</f>
        <v>PRG-1015693</v>
      </c>
      <c r="E1450" t="s">
        <v>1599</v>
      </c>
      <c r="F1450" t="s">
        <v>4</v>
      </c>
      <c r="G1450" t="str">
        <f>""</f>
        <v/>
      </c>
    </row>
    <row r="1451" spans="1:7" x14ac:dyDescent="0.25">
      <c r="A1451" t="s">
        <v>8</v>
      </c>
      <c r="B1451" s="1" t="str">
        <f>"000233867 - RICH PROD. GENERAL STR &amp; DELI"</f>
        <v>000233867 - RICH PROD. GENERAL STR &amp; DELI</v>
      </c>
      <c r="C1451" t="s">
        <v>1814</v>
      </c>
      <c r="D1451" s="1" t="str">
        <f>"PRG-1015703"</f>
        <v>PRG-1015703</v>
      </c>
      <c r="E1451" t="s">
        <v>1815</v>
      </c>
      <c r="F1451" t="s">
        <v>4</v>
      </c>
      <c r="G1451" t="str">
        <f>""</f>
        <v/>
      </c>
    </row>
    <row r="1452" spans="1:7" x14ac:dyDescent="0.25">
      <c r="A1452" t="s">
        <v>8</v>
      </c>
      <c r="B1452" s="1" t="str">
        <f>"000253708 - RICH PROD. GENERAL STR &amp; DELI"</f>
        <v>000253708 - RICH PROD. GENERAL STR &amp; DELI</v>
      </c>
      <c r="C1452" t="s">
        <v>1814</v>
      </c>
      <c r="D1452" s="1" t="str">
        <f>"PRG-1015703"</f>
        <v>PRG-1015703</v>
      </c>
      <c r="E1452" t="s">
        <v>1815</v>
      </c>
      <c r="F1452" t="s">
        <v>4</v>
      </c>
      <c r="G1452" t="str">
        <f>""</f>
        <v/>
      </c>
    </row>
    <row r="1453" spans="1:7" x14ac:dyDescent="0.25">
      <c r="A1453" t="s">
        <v>8</v>
      </c>
      <c r="B1453" s="1" t="str">
        <f>"000196593 - RICH FOODS-SELECT RESTAURANT"</f>
        <v>000196593 - RICH FOODS-SELECT RESTAURANT</v>
      </c>
      <c r="C1453" t="s">
        <v>1262</v>
      </c>
      <c r="D1453" s="1" t="str">
        <f t="shared" ref="D1453:D1464" si="39">"PRG-1015712"</f>
        <v>PRG-1015712</v>
      </c>
      <c r="E1453" t="s">
        <v>1263</v>
      </c>
      <c r="F1453" t="s">
        <v>4</v>
      </c>
      <c r="G1453" t="str">
        <f>""</f>
        <v/>
      </c>
    </row>
    <row r="1454" spans="1:7" x14ac:dyDescent="0.25">
      <c r="A1454" t="s">
        <v>8</v>
      </c>
      <c r="B1454" s="1" t="str">
        <f>"000199979 - RICH PROD REST PARTNERS"</f>
        <v>000199979 - RICH PROD REST PARTNERS</v>
      </c>
      <c r="C1454" t="s">
        <v>1298</v>
      </c>
      <c r="D1454" s="1" t="str">
        <f t="shared" si="39"/>
        <v>PRG-1015712</v>
      </c>
      <c r="E1454" t="s">
        <v>1263</v>
      </c>
      <c r="F1454" t="s">
        <v>4</v>
      </c>
      <c r="G1454" t="str">
        <f>""</f>
        <v/>
      </c>
    </row>
    <row r="1455" spans="1:7" x14ac:dyDescent="0.25">
      <c r="A1455" t="s">
        <v>8</v>
      </c>
      <c r="B1455" s="1" t="str">
        <f>"000204374 - RPI RICHS FOODS"</f>
        <v>000204374 - RPI RICHS FOODS</v>
      </c>
      <c r="C1455" t="s">
        <v>1349</v>
      </c>
      <c r="D1455" s="1" t="str">
        <f t="shared" si="39"/>
        <v>PRG-1015712</v>
      </c>
      <c r="E1455" t="s">
        <v>1263</v>
      </c>
      <c r="F1455" t="s">
        <v>4</v>
      </c>
      <c r="G1455" t="str">
        <f>""</f>
        <v/>
      </c>
    </row>
    <row r="1456" spans="1:7" x14ac:dyDescent="0.25">
      <c r="A1456" t="s">
        <v>8</v>
      </c>
      <c r="B1456" s="1" t="str">
        <f>"000204563 - RICH RESTAURANT PARTNERS"</f>
        <v>000204563 - RICH RESTAURANT PARTNERS</v>
      </c>
      <c r="C1456" t="s">
        <v>1355</v>
      </c>
      <c r="D1456" s="1" t="str">
        <f t="shared" si="39"/>
        <v>PRG-1015712</v>
      </c>
      <c r="E1456" t="s">
        <v>1263</v>
      </c>
      <c r="F1456" t="s">
        <v>4</v>
      </c>
      <c r="G1456" t="str">
        <f>""</f>
        <v/>
      </c>
    </row>
    <row r="1457" spans="1:7" x14ac:dyDescent="0.25">
      <c r="A1457" t="s">
        <v>8</v>
      </c>
      <c r="B1457" s="1" t="str">
        <f>"000214151 - RICH RESTAURANT PARTNERS"</f>
        <v>000214151 - RICH RESTAURANT PARTNERS</v>
      </c>
      <c r="C1457" t="s">
        <v>1355</v>
      </c>
      <c r="D1457" s="1" t="str">
        <f t="shared" si="39"/>
        <v>PRG-1015712</v>
      </c>
      <c r="E1457" t="s">
        <v>1263</v>
      </c>
      <c r="F1457" t="s">
        <v>4</v>
      </c>
      <c r="G1457" t="str">
        <f>""</f>
        <v/>
      </c>
    </row>
    <row r="1458" spans="1:7" x14ac:dyDescent="0.25">
      <c r="A1458" t="s">
        <v>8</v>
      </c>
      <c r="B1458" s="1" t="str">
        <f>"000232501 - RESTAURANT PARTNERS-RICH FOODS"</f>
        <v>000232501 - RESTAURANT PARTNERS-RICH FOODS</v>
      </c>
      <c r="C1458" t="s">
        <v>1790</v>
      </c>
      <c r="D1458" s="1" t="str">
        <f t="shared" si="39"/>
        <v>PRG-1015712</v>
      </c>
      <c r="E1458" t="s">
        <v>1263</v>
      </c>
      <c r="F1458" t="s">
        <v>4</v>
      </c>
      <c r="G1458" t="str">
        <f>""</f>
        <v/>
      </c>
    </row>
    <row r="1459" spans="1:7" x14ac:dyDescent="0.25">
      <c r="A1459" t="s">
        <v>8</v>
      </c>
      <c r="B1459" s="1" t="str">
        <f>"000262879 - RICH FDS REST. PARTNERS"</f>
        <v>000262879 - RICH FDS REST. PARTNERS</v>
      </c>
      <c r="C1459" t="s">
        <v>2328</v>
      </c>
      <c r="D1459" s="1" t="str">
        <f t="shared" si="39"/>
        <v>PRG-1015712</v>
      </c>
      <c r="E1459" t="s">
        <v>1263</v>
      </c>
      <c r="F1459" t="s">
        <v>4</v>
      </c>
      <c r="G1459" t="str">
        <f>""</f>
        <v/>
      </c>
    </row>
    <row r="1460" spans="1:7" x14ac:dyDescent="0.25">
      <c r="A1460" t="s">
        <v>8</v>
      </c>
      <c r="B1460" s="1" t="str">
        <f>"000270461 - RICHS-RESTAURANT PARTNERS"</f>
        <v>000270461 - RICHS-RESTAURANT PARTNERS</v>
      </c>
      <c r="C1460" t="s">
        <v>2469</v>
      </c>
      <c r="D1460" s="1" t="str">
        <f t="shared" si="39"/>
        <v>PRG-1015712</v>
      </c>
      <c r="E1460" t="s">
        <v>1263</v>
      </c>
      <c r="F1460" t="s">
        <v>4</v>
      </c>
      <c r="G1460" t="str">
        <f>""</f>
        <v/>
      </c>
    </row>
    <row r="1461" spans="1:7" x14ac:dyDescent="0.25">
      <c r="A1461" t="s">
        <v>8</v>
      </c>
      <c r="B1461" s="1" t="str">
        <f>"000279337 - RICH RESTAURANT PARTNERS"</f>
        <v>000279337 - RICH RESTAURANT PARTNERS</v>
      </c>
      <c r="C1461" t="s">
        <v>1355</v>
      </c>
      <c r="D1461" s="1" t="str">
        <f t="shared" si="39"/>
        <v>PRG-1015712</v>
      </c>
      <c r="E1461" t="s">
        <v>1263</v>
      </c>
      <c r="F1461" t="s">
        <v>4</v>
      </c>
      <c r="G1461" t="str">
        <f>""</f>
        <v/>
      </c>
    </row>
    <row r="1462" spans="1:7" x14ac:dyDescent="0.25">
      <c r="A1462" t="s">
        <v>8</v>
      </c>
      <c r="B1462" s="1" t="str">
        <f>"000302030 - RICH RESTAURANT PARTNER"</f>
        <v>000302030 - RICH RESTAURANT PARTNER</v>
      </c>
      <c r="C1462" t="s">
        <v>2991</v>
      </c>
      <c r="D1462" s="1" t="str">
        <f t="shared" si="39"/>
        <v>PRG-1015712</v>
      </c>
      <c r="E1462" t="s">
        <v>1263</v>
      </c>
      <c r="F1462" t="s">
        <v>4</v>
      </c>
      <c r="G1462" t="str">
        <f>""</f>
        <v/>
      </c>
    </row>
    <row r="1463" spans="1:7" x14ac:dyDescent="0.25">
      <c r="A1463" t="s">
        <v>8</v>
      </c>
      <c r="B1463" s="1" t="str">
        <f>"000318658 - RICH FDS REST PRTNRS"</f>
        <v>000318658 - RICH FDS REST PRTNRS</v>
      </c>
      <c r="C1463" t="s">
        <v>3218</v>
      </c>
      <c r="D1463" s="1" t="str">
        <f t="shared" si="39"/>
        <v>PRG-1015712</v>
      </c>
      <c r="E1463" t="s">
        <v>1263</v>
      </c>
      <c r="F1463" t="s">
        <v>4</v>
      </c>
      <c r="G1463" t="str">
        <f>""</f>
        <v/>
      </c>
    </row>
    <row r="1464" spans="1:7" x14ac:dyDescent="0.25">
      <c r="A1464" t="s">
        <v>8</v>
      </c>
      <c r="B1464" s="1" t="str">
        <f>"000328350 - RICH PRODUCTS REST PRTN"</f>
        <v>000328350 - RICH PRODUCTS REST PRTN</v>
      </c>
      <c r="C1464" t="s">
        <v>3316</v>
      </c>
      <c r="D1464" s="1" t="str">
        <f t="shared" si="39"/>
        <v>PRG-1015712</v>
      </c>
      <c r="E1464" t="s">
        <v>1263</v>
      </c>
      <c r="F1464" t="s">
        <v>4</v>
      </c>
      <c r="G1464" t="str">
        <f>""</f>
        <v/>
      </c>
    </row>
    <row r="1465" spans="1:7" x14ac:dyDescent="0.25">
      <c r="A1465" t="s">
        <v>8</v>
      </c>
      <c r="B1465" s="1" t="str">
        <f>"000190025 - UNIV OF MICH RICH PRODUCTS"</f>
        <v>000190025 - UNIV OF MICH RICH PRODUCTS</v>
      </c>
      <c r="C1465" t="s">
        <v>1194</v>
      </c>
      <c r="D1465" s="1" t="str">
        <f>"PRG-1015739"</f>
        <v>PRG-1015739</v>
      </c>
      <c r="E1465" t="s">
        <v>1195</v>
      </c>
      <c r="F1465" t="s">
        <v>4</v>
      </c>
      <c r="G1465" t="str">
        <f>""</f>
        <v/>
      </c>
    </row>
    <row r="1466" spans="1:7" x14ac:dyDescent="0.25">
      <c r="A1466" t="s">
        <v>8</v>
      </c>
      <c r="B1466" s="1" t="str">
        <f>"000199812 - RICH'S JOHNNY V'S"</f>
        <v>000199812 - RICH'S JOHNNY V'S</v>
      </c>
      <c r="C1466" t="s">
        <v>1293</v>
      </c>
      <c r="D1466" s="1" t="str">
        <f>"PRG-1015839"</f>
        <v>PRG-1015839</v>
      </c>
      <c r="E1466" t="s">
        <v>1294</v>
      </c>
      <c r="F1466" t="s">
        <v>4</v>
      </c>
      <c r="G1466" t="str">
        <f>""</f>
        <v/>
      </c>
    </row>
    <row r="1467" spans="1:7" x14ac:dyDescent="0.25">
      <c r="A1467" t="s">
        <v>8</v>
      </c>
      <c r="B1467" s="1" t="str">
        <f>"000212579 - RICH PROD STEAK N SHAKE"</f>
        <v>000212579 - RICH PROD STEAK N SHAKE</v>
      </c>
      <c r="C1467" t="s">
        <v>1465</v>
      </c>
      <c r="D1467" s="1" t="str">
        <f>"PRG-1015845"</f>
        <v>PRG-1015845</v>
      </c>
      <c r="E1467" t="s">
        <v>1466</v>
      </c>
      <c r="F1467" t="s">
        <v>4</v>
      </c>
      <c r="G1467" t="str">
        <f>""</f>
        <v/>
      </c>
    </row>
    <row r="1468" spans="1:7" x14ac:dyDescent="0.25">
      <c r="A1468" t="s">
        <v>8</v>
      </c>
      <c r="B1468" s="1" t="str">
        <f>"2000152690 - RICH PRODUCTS STEAK N SHAKE"</f>
        <v>2000152690 - RICH PRODUCTS STEAK N SHAKE</v>
      </c>
      <c r="C1468" t="s">
        <v>3875</v>
      </c>
      <c r="D1468" s="1" t="str">
        <f>"PRG-1015845"</f>
        <v>PRG-1015845</v>
      </c>
      <c r="E1468" t="s">
        <v>1466</v>
      </c>
      <c r="F1468" t="s">
        <v>4</v>
      </c>
      <c r="G1468" t="str">
        <f>""</f>
        <v/>
      </c>
    </row>
    <row r="1469" spans="1:7" x14ac:dyDescent="0.25">
      <c r="A1469" t="s">
        <v>8</v>
      </c>
      <c r="B1469" s="1" t="str">
        <f>"000299062 - RICHS NW PETROLEUM  CLT RWD"</f>
        <v>000299062 - RICHS NW PETROLEUM  CLT RWD</v>
      </c>
      <c r="C1469" t="s">
        <v>2945</v>
      </c>
      <c r="D1469" s="1" t="str">
        <f>"PRG-1015854"</f>
        <v>PRG-1015854</v>
      </c>
      <c r="E1469" t="s">
        <v>2946</v>
      </c>
      <c r="F1469" t="s">
        <v>4</v>
      </c>
      <c r="G1469" t="str">
        <f>""</f>
        <v/>
      </c>
    </row>
    <row r="1470" spans="1:7" x14ac:dyDescent="0.25">
      <c r="A1470" t="s">
        <v>8</v>
      </c>
      <c r="B1470" s="1" t="str">
        <f>"22205169"</f>
        <v>22205169</v>
      </c>
      <c r="C1470" t="s">
        <v>4232</v>
      </c>
      <c r="D1470" s="1" t="str">
        <f>"PRG-1015891"</f>
        <v>PRG-1015891</v>
      </c>
      <c r="E1470" t="s">
        <v>4233</v>
      </c>
      <c r="F1470" t="s">
        <v>5</v>
      </c>
      <c r="G1470" t="str">
        <f>""</f>
        <v/>
      </c>
    </row>
    <row r="1471" spans="1:7" x14ac:dyDescent="0.25">
      <c r="A1471" t="s">
        <v>8</v>
      </c>
      <c r="B1471" s="1" t="str">
        <f>"3103C529"</f>
        <v>3103C529</v>
      </c>
      <c r="C1471" t="s">
        <v>4607</v>
      </c>
      <c r="D1471" s="1" t="str">
        <f>"PRG-1015918"</f>
        <v>PRG-1015918</v>
      </c>
      <c r="E1471" t="s">
        <v>4608</v>
      </c>
      <c r="F1471" t="s">
        <v>5</v>
      </c>
      <c r="G1471" t="str">
        <f>""</f>
        <v/>
      </c>
    </row>
    <row r="1472" spans="1:7" x14ac:dyDescent="0.25">
      <c r="A1472" t="s">
        <v>8</v>
      </c>
      <c r="B1472" s="1" t="str">
        <f>"000298434 - RICH PRODUCTS DISNEY CRUISES"</f>
        <v>000298434 - RICH PRODUCTS DISNEY CRUISES</v>
      </c>
      <c r="C1472" t="s">
        <v>2935</v>
      </c>
      <c r="D1472" s="1" t="str">
        <f>"PRG-1015941"</f>
        <v>PRG-1015941</v>
      </c>
      <c r="E1472" t="s">
        <v>2936</v>
      </c>
      <c r="F1472" t="s">
        <v>4</v>
      </c>
      <c r="G1472" t="str">
        <f>""</f>
        <v/>
      </c>
    </row>
    <row r="1473" spans="1:7" x14ac:dyDescent="0.25">
      <c r="A1473" t="s">
        <v>8</v>
      </c>
      <c r="B1473" s="1" t="str">
        <f>"000009612 - RICH PRODUCTS-SAMMYS WOODFIRED"</f>
        <v>000009612 - RICH PRODUCTS-SAMMYS WOODFIRED</v>
      </c>
      <c r="C1473" t="s">
        <v>294</v>
      </c>
      <c r="D1473" s="1" t="str">
        <f t="shared" ref="D1473:D1479" si="40">"PRG-1015984"</f>
        <v>PRG-1015984</v>
      </c>
      <c r="E1473" t="s">
        <v>295</v>
      </c>
      <c r="F1473" t="s">
        <v>4</v>
      </c>
      <c r="G1473" t="str">
        <f>""</f>
        <v/>
      </c>
    </row>
    <row r="1474" spans="1:7" x14ac:dyDescent="0.25">
      <c r="A1474" t="s">
        <v>8</v>
      </c>
      <c r="B1474" s="1" t="str">
        <f>"000297991 - RICH SAMMYS WOODFIRE PIZZA"</f>
        <v>000297991 - RICH SAMMYS WOODFIRE PIZZA</v>
      </c>
      <c r="C1474" t="s">
        <v>2930</v>
      </c>
      <c r="D1474" s="1" t="str">
        <f t="shared" si="40"/>
        <v>PRG-1015984</v>
      </c>
      <c r="E1474" t="s">
        <v>295</v>
      </c>
      <c r="F1474" t="s">
        <v>4</v>
      </c>
      <c r="G1474" t="str">
        <f>""</f>
        <v/>
      </c>
    </row>
    <row r="1475" spans="1:7" x14ac:dyDescent="0.25">
      <c r="A1475" t="s">
        <v>8</v>
      </c>
      <c r="B1475" s="1" t="str">
        <f>"000347012 - RICH SAMMYS WOODFIRE PIZZA"</f>
        <v>000347012 - RICH SAMMYS WOODFIRE PIZZA</v>
      </c>
      <c r="C1475" t="s">
        <v>2930</v>
      </c>
      <c r="D1475" s="1" t="str">
        <f t="shared" si="40"/>
        <v>PRG-1015984</v>
      </c>
      <c r="E1475" t="s">
        <v>295</v>
      </c>
      <c r="F1475" t="s">
        <v>4</v>
      </c>
      <c r="G1475" t="str">
        <f>""</f>
        <v/>
      </c>
    </row>
    <row r="1476" spans="1:7" x14ac:dyDescent="0.25">
      <c r="A1476" t="s">
        <v>8</v>
      </c>
      <c r="B1476" s="1" t="str">
        <f>"000348179 - RICH SAMMYS"</f>
        <v>000348179 - RICH SAMMYS</v>
      </c>
      <c r="C1476" t="s">
        <v>3479</v>
      </c>
      <c r="D1476" s="1" t="str">
        <f t="shared" si="40"/>
        <v>PRG-1015984</v>
      </c>
      <c r="E1476" t="s">
        <v>295</v>
      </c>
      <c r="F1476" t="s">
        <v>4</v>
      </c>
      <c r="G1476" t="str">
        <f>""</f>
        <v/>
      </c>
    </row>
    <row r="1477" spans="1:7" x14ac:dyDescent="0.25">
      <c r="A1477" t="s">
        <v>8</v>
      </c>
      <c r="B1477" s="1" t="str">
        <f>"000373618 - XRICH SAMMYS WOODFIRE PIZZA"</f>
        <v>000373618 - XRICH SAMMYS WOODFIRE PIZZA</v>
      </c>
      <c r="C1477" t="s">
        <v>3476</v>
      </c>
      <c r="D1477" s="1" t="str">
        <f t="shared" si="40"/>
        <v>PRG-1015984</v>
      </c>
      <c r="E1477" t="s">
        <v>295</v>
      </c>
      <c r="F1477" t="s">
        <v>4</v>
      </c>
      <c r="G1477" t="str">
        <f>""</f>
        <v/>
      </c>
    </row>
    <row r="1478" spans="1:7" x14ac:dyDescent="0.25">
      <c r="A1478" t="s">
        <v>8</v>
      </c>
      <c r="B1478" s="1" t="str">
        <f>"000373619 - RICH SAMMYS WOODFIRE PIZZA"</f>
        <v>000373619 - RICH SAMMYS WOODFIRE PIZZA</v>
      </c>
      <c r="C1478" t="s">
        <v>2930</v>
      </c>
      <c r="D1478" s="1" t="str">
        <f t="shared" si="40"/>
        <v>PRG-1015984</v>
      </c>
      <c r="E1478" t="s">
        <v>295</v>
      </c>
      <c r="F1478" t="s">
        <v>4</v>
      </c>
      <c r="G1478" t="str">
        <f>""</f>
        <v/>
      </c>
    </row>
    <row r="1479" spans="1:7" x14ac:dyDescent="0.25">
      <c r="A1479" t="s">
        <v>8</v>
      </c>
      <c r="B1479" s="1" t="str">
        <f>"2000134450 - RICH FOODS-SAMMYS WOODFIRED PIZZA"</f>
        <v>2000134450 - RICH FOODS-SAMMYS WOODFIRED PIZZA</v>
      </c>
      <c r="C1479" t="s">
        <v>3855</v>
      </c>
      <c r="D1479" s="1" t="str">
        <f t="shared" si="40"/>
        <v>PRG-1015984</v>
      </c>
      <c r="E1479" t="s">
        <v>295</v>
      </c>
      <c r="F1479" t="s">
        <v>4</v>
      </c>
      <c r="G1479" t="str">
        <f>""</f>
        <v/>
      </c>
    </row>
    <row r="1480" spans="1:7" x14ac:dyDescent="0.25">
      <c r="A1480" t="s">
        <v>8</v>
      </c>
      <c r="B1480" s="1" t="str">
        <f>"2000152054 - RICH PRODUCTS-RITE OF PASSAGE"</f>
        <v>2000152054 - RICH PRODUCTS-RITE OF PASSAGE</v>
      </c>
      <c r="C1480" t="s">
        <v>3866</v>
      </c>
      <c r="D1480" s="1" t="str">
        <f>"PRG-1016040"</f>
        <v>PRG-1016040</v>
      </c>
      <c r="E1480" t="s">
        <v>3867</v>
      </c>
      <c r="F1480" t="s">
        <v>4</v>
      </c>
      <c r="G1480" t="str">
        <f>""</f>
        <v/>
      </c>
    </row>
    <row r="1481" spans="1:7" x14ac:dyDescent="0.25">
      <c r="A1481" t="s">
        <v>8</v>
      </c>
      <c r="B1481" s="1" t="str">
        <f>"000218436 - RICH PROD HOMETOWN DELI"</f>
        <v>000218436 - RICH PROD HOMETOWN DELI</v>
      </c>
      <c r="C1481" t="s">
        <v>1561</v>
      </c>
      <c r="D1481" s="1" t="str">
        <f>"PRG-1016092"</f>
        <v>PRG-1016092</v>
      </c>
      <c r="E1481" t="s">
        <v>1562</v>
      </c>
      <c r="F1481" t="s">
        <v>4</v>
      </c>
      <c r="G1481" t="str">
        <f>""</f>
        <v/>
      </c>
    </row>
    <row r="1482" spans="1:7" x14ac:dyDescent="0.25">
      <c r="A1482" t="s">
        <v>8</v>
      </c>
      <c r="B1482" s="1" t="str">
        <f>"000197001 - RICHS CNU (DC)"</f>
        <v>000197001 - RICHS CNU (DC)</v>
      </c>
      <c r="C1482" t="s">
        <v>1267</v>
      </c>
      <c r="D1482" s="1" t="str">
        <f>"PRG-1016159"</f>
        <v>PRG-1016159</v>
      </c>
      <c r="E1482" t="s">
        <v>1268</v>
      </c>
      <c r="F1482" t="s">
        <v>4</v>
      </c>
      <c r="G1482" t="str">
        <f>""</f>
        <v/>
      </c>
    </row>
    <row r="1483" spans="1:7" x14ac:dyDescent="0.25">
      <c r="A1483" t="s">
        <v>8</v>
      </c>
      <c r="B1483" s="1" t="str">
        <f>"000249720 - RICH PROD CHINA STAR"</f>
        <v>000249720 - RICH PROD CHINA STAR</v>
      </c>
      <c r="C1483" t="s">
        <v>2079</v>
      </c>
      <c r="D1483" s="1" t="str">
        <f>"PRG-1016163"</f>
        <v>PRG-1016163</v>
      </c>
      <c r="E1483" t="s">
        <v>2080</v>
      </c>
      <c r="F1483" t="s">
        <v>4</v>
      </c>
      <c r="G1483" t="str">
        <f>""</f>
        <v/>
      </c>
    </row>
    <row r="1484" spans="1:7" x14ac:dyDescent="0.25">
      <c r="A1484" t="s">
        <v>8</v>
      </c>
      <c r="B1484" s="1" t="str">
        <f>"3126A741"</f>
        <v>3126A741</v>
      </c>
      <c r="C1484" t="s">
        <v>4618</v>
      </c>
      <c r="D1484" s="1" t="str">
        <f>"PRG-1016163"</f>
        <v>PRG-1016163</v>
      </c>
      <c r="E1484" t="s">
        <v>2080</v>
      </c>
      <c r="F1484" t="s">
        <v>5</v>
      </c>
      <c r="G1484" t="str">
        <f>""</f>
        <v/>
      </c>
    </row>
    <row r="1485" spans="1:7" x14ac:dyDescent="0.25">
      <c r="A1485" t="s">
        <v>8</v>
      </c>
      <c r="B1485" s="1" t="str">
        <f>"000274312 - NYAJ   RICH'S"</f>
        <v>000274312 - NYAJ   RICH'S</v>
      </c>
      <c r="C1485" t="s">
        <v>2540</v>
      </c>
      <c r="D1485" s="1" t="str">
        <f>"PRG-1016205"</f>
        <v>PRG-1016205</v>
      </c>
      <c r="E1485" t="s">
        <v>2541</v>
      </c>
      <c r="F1485" t="s">
        <v>4</v>
      </c>
      <c r="G1485" t="str">
        <f>""</f>
        <v/>
      </c>
    </row>
    <row r="1486" spans="1:7" x14ac:dyDescent="0.25">
      <c r="A1486" t="s">
        <v>8</v>
      </c>
      <c r="B1486" s="1" t="str">
        <f>"000154243 - RICH DC SEA PINES"</f>
        <v>000154243 - RICH DC SEA PINES</v>
      </c>
      <c r="C1486" t="s">
        <v>1025</v>
      </c>
      <c r="D1486" s="1" t="str">
        <f>"PRG-1016300"</f>
        <v>PRG-1016300</v>
      </c>
      <c r="E1486" t="s">
        <v>1026</v>
      </c>
      <c r="F1486" t="s">
        <v>4</v>
      </c>
      <c r="G1486" t="str">
        <f>""</f>
        <v/>
      </c>
    </row>
    <row r="1487" spans="1:7" x14ac:dyDescent="0.25">
      <c r="A1487" t="s">
        <v>8</v>
      </c>
      <c r="B1487" s="1" t="str">
        <f>"000170914 - RICHS MK PIZZERIA"</f>
        <v>000170914 - RICHS MK PIZZERIA</v>
      </c>
      <c r="C1487" t="s">
        <v>1102</v>
      </c>
      <c r="D1487" s="1" t="str">
        <f>"PRG-1016365"</f>
        <v>PRG-1016365</v>
      </c>
      <c r="E1487" t="s">
        <v>1103</v>
      </c>
      <c r="F1487" t="s">
        <v>4</v>
      </c>
      <c r="G1487" t="str">
        <f>""</f>
        <v/>
      </c>
    </row>
    <row r="1488" spans="1:7" x14ac:dyDescent="0.25">
      <c r="A1488" t="s">
        <v>8</v>
      </c>
      <c r="B1488" s="1" t="str">
        <f>"31306877"</f>
        <v>31306877</v>
      </c>
      <c r="C1488" t="s">
        <v>4631</v>
      </c>
      <c r="D1488" s="1" t="str">
        <f>"PRG-1016421"</f>
        <v>PRG-1016421</v>
      </c>
      <c r="E1488" t="s">
        <v>4632</v>
      </c>
      <c r="F1488" t="s">
        <v>5</v>
      </c>
      <c r="G1488" t="str">
        <f>""</f>
        <v/>
      </c>
    </row>
    <row r="1489" spans="1:7" x14ac:dyDescent="0.25">
      <c r="A1489" t="s">
        <v>8</v>
      </c>
      <c r="B1489" s="1" t="str">
        <f>"3130B390"</f>
        <v>3130B390</v>
      </c>
      <c r="C1489" t="s">
        <v>4637</v>
      </c>
      <c r="D1489" s="1" t="str">
        <f>"PRG-1016421"</f>
        <v>PRG-1016421</v>
      </c>
      <c r="E1489" t="s">
        <v>4632</v>
      </c>
      <c r="F1489" t="s">
        <v>5</v>
      </c>
      <c r="G1489" t="str">
        <f>""</f>
        <v/>
      </c>
    </row>
    <row r="1490" spans="1:7" x14ac:dyDescent="0.25">
      <c r="A1490" t="s">
        <v>8</v>
      </c>
      <c r="B1490" s="1" t="str">
        <f>"000185295 - RICH PRODUCTS-SYSCO SHARES"</f>
        <v>000185295 - RICH PRODUCTS-SYSCO SHARES</v>
      </c>
      <c r="C1490" t="s">
        <v>1167</v>
      </c>
      <c r="D1490" s="1" t="str">
        <f>"PRG-1016443"</f>
        <v>PRG-1016443</v>
      </c>
      <c r="E1490" t="s">
        <v>1168</v>
      </c>
      <c r="F1490" t="s">
        <v>4</v>
      </c>
      <c r="G1490" t="str">
        <f>""</f>
        <v/>
      </c>
    </row>
    <row r="1491" spans="1:7" x14ac:dyDescent="0.25">
      <c r="A1491" t="s">
        <v>8</v>
      </c>
      <c r="B1491" s="1" t="str">
        <f>"000250625 - RICH PRODUCTS-SYSCO SHARES"</f>
        <v>000250625 - RICH PRODUCTS-SYSCO SHARES</v>
      </c>
      <c r="C1491" t="s">
        <v>1167</v>
      </c>
      <c r="D1491" s="1" t="str">
        <f>"PRG-1016443"</f>
        <v>PRG-1016443</v>
      </c>
      <c r="E1491" t="s">
        <v>1168</v>
      </c>
      <c r="F1491" t="s">
        <v>4</v>
      </c>
      <c r="G1491" t="str">
        <f>""</f>
        <v/>
      </c>
    </row>
    <row r="1492" spans="1:7" x14ac:dyDescent="0.25">
      <c r="A1492" t="s">
        <v>8</v>
      </c>
      <c r="B1492" s="1" t="str">
        <f>"000115949 - RICH PIZZA DOUGH UMO"</f>
        <v>000115949 - RICH PIZZA DOUGH UMO</v>
      </c>
      <c r="C1492" t="s">
        <v>862</v>
      </c>
      <c r="D1492" s="1" t="str">
        <f>"PRG-1016604"</f>
        <v>PRG-1016604</v>
      </c>
      <c r="E1492" t="s">
        <v>863</v>
      </c>
      <c r="F1492" t="s">
        <v>4</v>
      </c>
      <c r="G1492" t="str">
        <f>""</f>
        <v/>
      </c>
    </row>
    <row r="1493" spans="1:7" x14ac:dyDescent="0.25">
      <c r="A1493" t="s">
        <v>8</v>
      </c>
      <c r="B1493" s="1" t="str">
        <f>"000154832 - RICH'S WEATHERVANE"</f>
        <v>000154832 - RICH'S WEATHERVANE</v>
      </c>
      <c r="C1493" t="s">
        <v>1030</v>
      </c>
      <c r="D1493" s="1" t="str">
        <f>"PRG-1016605"</f>
        <v>PRG-1016605</v>
      </c>
      <c r="E1493" t="s">
        <v>1031</v>
      </c>
      <c r="F1493" t="s">
        <v>4</v>
      </c>
      <c r="G1493" t="str">
        <f>""</f>
        <v/>
      </c>
    </row>
    <row r="1494" spans="1:7" x14ac:dyDescent="0.25">
      <c r="A1494" t="s">
        <v>8</v>
      </c>
      <c r="B1494" s="1" t="str">
        <f>"000291119 - DUCLAW RICH PRODUCTS"</f>
        <v>000291119 - DUCLAW RICH PRODUCTS</v>
      </c>
      <c r="C1494" t="s">
        <v>2839</v>
      </c>
      <c r="D1494" s="1" t="str">
        <f>"PRG-1016648"</f>
        <v>PRG-1016648</v>
      </c>
      <c r="E1494" t="s">
        <v>2840</v>
      </c>
      <c r="F1494" t="s">
        <v>4</v>
      </c>
      <c r="G1494" t="str">
        <f>""</f>
        <v/>
      </c>
    </row>
    <row r="1495" spans="1:7" x14ac:dyDescent="0.25">
      <c r="A1495" t="s">
        <v>8</v>
      </c>
      <c r="B1495" s="1" t="str">
        <f>"000303527 - DUCLAW RICH PRODUCTS"</f>
        <v>000303527 - DUCLAW RICH PRODUCTS</v>
      </c>
      <c r="C1495" t="s">
        <v>2839</v>
      </c>
      <c r="D1495" s="1" t="str">
        <f>"PRG-1016648"</f>
        <v>PRG-1016648</v>
      </c>
      <c r="E1495" t="s">
        <v>2840</v>
      </c>
      <c r="F1495" t="s">
        <v>4</v>
      </c>
      <c r="G1495" t="str">
        <f>""</f>
        <v/>
      </c>
    </row>
    <row r="1496" spans="1:7" x14ac:dyDescent="0.25">
      <c r="A1496" t="s">
        <v>8</v>
      </c>
      <c r="B1496" s="1" t="str">
        <f>"000316728 - DUCLAW RICH PRODUCTS"</f>
        <v>000316728 - DUCLAW RICH PRODUCTS</v>
      </c>
      <c r="C1496" t="s">
        <v>2839</v>
      </c>
      <c r="D1496" s="1" t="str">
        <f>"PRG-1016648"</f>
        <v>PRG-1016648</v>
      </c>
      <c r="E1496" t="s">
        <v>2840</v>
      </c>
      <c r="F1496" t="s">
        <v>4</v>
      </c>
      <c r="G1496" t="str">
        <f>""</f>
        <v/>
      </c>
    </row>
    <row r="1497" spans="1:7" x14ac:dyDescent="0.25">
      <c r="A1497" t="s">
        <v>8</v>
      </c>
      <c r="B1497" s="1" t="str">
        <f>"000266336 - RICH FDS MOONLITE DINER"</f>
        <v>000266336 - RICH FDS MOONLITE DINER</v>
      </c>
      <c r="C1497" t="s">
        <v>2403</v>
      </c>
      <c r="D1497" s="1" t="str">
        <f>"PRG-1016656"</f>
        <v>PRG-1016656</v>
      </c>
      <c r="E1497" t="s">
        <v>2404</v>
      </c>
      <c r="F1497" t="s">
        <v>4</v>
      </c>
      <c r="G1497" t="str">
        <f>""</f>
        <v/>
      </c>
    </row>
    <row r="1498" spans="1:7" x14ac:dyDescent="0.25">
      <c r="A1498" t="s">
        <v>8</v>
      </c>
      <c r="B1498" s="1" t="str">
        <f>"S1Z0IMD0"</f>
        <v>S1Z0IMD0</v>
      </c>
      <c r="C1498" t="s">
        <v>5402</v>
      </c>
      <c r="D1498" s="1" t="str">
        <f>"PRG-1016825"</f>
        <v>PRG-1016825</v>
      </c>
      <c r="E1498" t="s">
        <v>5403</v>
      </c>
      <c r="F1498" t="s">
        <v>5</v>
      </c>
      <c r="G1498" t="str">
        <f>""</f>
        <v/>
      </c>
    </row>
    <row r="1499" spans="1:7" x14ac:dyDescent="0.25">
      <c r="A1499" t="s">
        <v>8</v>
      </c>
      <c r="B1499" s="1" t="str">
        <f>"S6V00EJ0"</f>
        <v>S6V00EJ0</v>
      </c>
      <c r="C1499" t="s">
        <v>6202</v>
      </c>
      <c r="D1499" s="1" t="str">
        <f>"PRG-1016825"</f>
        <v>PRG-1016825</v>
      </c>
      <c r="E1499" t="s">
        <v>5403</v>
      </c>
      <c r="F1499" t="s">
        <v>5</v>
      </c>
      <c r="G1499" t="str">
        <f>""</f>
        <v/>
      </c>
    </row>
    <row r="1500" spans="1:7" x14ac:dyDescent="0.25">
      <c r="A1500" t="s">
        <v>8</v>
      </c>
      <c r="B1500" s="1" t="str">
        <f>"60277799"</f>
        <v>60277799</v>
      </c>
      <c r="C1500" t="s">
        <v>5201</v>
      </c>
      <c r="D1500" s="1" t="str">
        <f>"PRG-1016834"</f>
        <v>PRG-1016834</v>
      </c>
      <c r="E1500" t="s">
        <v>5196</v>
      </c>
      <c r="F1500" t="s">
        <v>5</v>
      </c>
      <c r="G1500" t="str">
        <f>""</f>
        <v/>
      </c>
    </row>
    <row r="1501" spans="1:7" x14ac:dyDescent="0.25">
      <c r="A1501" t="s">
        <v>8</v>
      </c>
      <c r="B1501" s="1" t="str">
        <f>"60303942"</f>
        <v>60303942</v>
      </c>
      <c r="C1501" t="s">
        <v>5260</v>
      </c>
      <c r="D1501" s="1" t="str">
        <f>"PRG-1016834"</f>
        <v>PRG-1016834</v>
      </c>
      <c r="E1501" t="s">
        <v>5196</v>
      </c>
      <c r="F1501" t="s">
        <v>5</v>
      </c>
      <c r="G1501" t="str">
        <f>""</f>
        <v/>
      </c>
    </row>
    <row r="1502" spans="1:7" x14ac:dyDescent="0.25">
      <c r="A1502" t="s">
        <v>8</v>
      </c>
      <c r="B1502" s="1" t="str">
        <f>"6026E245"</f>
        <v>6026E245</v>
      </c>
      <c r="C1502" t="s">
        <v>5052</v>
      </c>
      <c r="D1502" s="1" t="str">
        <f>"PRG-1016857"</f>
        <v>PRG-1016857</v>
      </c>
      <c r="E1502" t="s">
        <v>5053</v>
      </c>
      <c r="F1502" t="s">
        <v>5</v>
      </c>
      <c r="G1502" t="str">
        <f>""</f>
        <v/>
      </c>
    </row>
    <row r="1503" spans="1:7" x14ac:dyDescent="0.25">
      <c r="A1503" t="s">
        <v>8</v>
      </c>
      <c r="B1503" s="1" t="str">
        <f>"6026E246"</f>
        <v>6026E246</v>
      </c>
      <c r="C1503" t="s">
        <v>5054</v>
      </c>
      <c r="D1503" s="1" t="str">
        <f>"PRG-1016857"</f>
        <v>PRG-1016857</v>
      </c>
      <c r="E1503" t="s">
        <v>5053</v>
      </c>
      <c r="F1503" t="s">
        <v>5</v>
      </c>
      <c r="G1503" t="str">
        <f>""</f>
        <v/>
      </c>
    </row>
    <row r="1504" spans="1:7" x14ac:dyDescent="0.25">
      <c r="A1504" t="s">
        <v>8</v>
      </c>
      <c r="B1504" s="1" t="str">
        <f>"6026HE72"</f>
        <v>6026HE72</v>
      </c>
      <c r="C1504" t="s">
        <v>5077</v>
      </c>
      <c r="D1504" s="1" t="str">
        <f>"PRG-1016857"</f>
        <v>PRG-1016857</v>
      </c>
      <c r="E1504" t="s">
        <v>5053</v>
      </c>
      <c r="F1504" t="s">
        <v>5</v>
      </c>
      <c r="G1504" t="str">
        <f>""</f>
        <v/>
      </c>
    </row>
    <row r="1505" spans="1:7" x14ac:dyDescent="0.25">
      <c r="A1505" t="s">
        <v>8</v>
      </c>
      <c r="B1505" s="1" t="str">
        <f>"6026S420"</f>
        <v>6026S420</v>
      </c>
      <c r="C1505" t="s">
        <v>5146</v>
      </c>
      <c r="D1505" s="1" t="str">
        <f>"PRG-1016857"</f>
        <v>PRG-1016857</v>
      </c>
      <c r="E1505" t="s">
        <v>5053</v>
      </c>
      <c r="F1505" t="s">
        <v>5</v>
      </c>
      <c r="G1505" t="str">
        <f>""</f>
        <v/>
      </c>
    </row>
    <row r="1506" spans="1:7" x14ac:dyDescent="0.25">
      <c r="A1506" t="s">
        <v>8</v>
      </c>
      <c r="B1506" s="1" t="str">
        <f>"60276380"</f>
        <v>60276380</v>
      </c>
      <c r="C1506" t="s">
        <v>5194</v>
      </c>
      <c r="D1506" s="1" t="str">
        <f>"PRG-1016857"</f>
        <v>PRG-1016857</v>
      </c>
      <c r="E1506" t="s">
        <v>5053</v>
      </c>
      <c r="F1506" t="s">
        <v>5</v>
      </c>
      <c r="G1506" t="str">
        <f>""</f>
        <v/>
      </c>
    </row>
    <row r="1507" spans="1:7" x14ac:dyDescent="0.25">
      <c r="A1507" t="s">
        <v>8</v>
      </c>
      <c r="B1507" s="1" t="str">
        <f>"19334224"</f>
        <v>19334224</v>
      </c>
      <c r="C1507" t="s">
        <v>3819</v>
      </c>
      <c r="D1507" s="1" t="str">
        <f>"PRG-1016933"</f>
        <v>PRG-1016933</v>
      </c>
      <c r="E1507" t="s">
        <v>3820</v>
      </c>
      <c r="F1507" t="s">
        <v>5</v>
      </c>
      <c r="G1507" t="str">
        <f>""</f>
        <v/>
      </c>
    </row>
    <row r="1508" spans="1:7" x14ac:dyDescent="0.25">
      <c r="A1508" t="s">
        <v>8</v>
      </c>
      <c r="B1508" s="1" t="str">
        <f>"000117634 - RICH FOODS SHARI'S"</f>
        <v>000117634 - RICH FOODS SHARI'S</v>
      </c>
      <c r="C1508" t="s">
        <v>869</v>
      </c>
      <c r="D1508" s="1" t="str">
        <f t="shared" ref="D1508:D1515" si="41">"PRG-1017031"</f>
        <v>PRG-1017031</v>
      </c>
      <c r="E1508" t="s">
        <v>870</v>
      </c>
      <c r="F1508" t="s">
        <v>4</v>
      </c>
      <c r="G1508" t="str">
        <f>""</f>
        <v/>
      </c>
    </row>
    <row r="1509" spans="1:7" x14ac:dyDescent="0.25">
      <c r="A1509" t="s">
        <v>8</v>
      </c>
      <c r="B1509" s="1" t="str">
        <f>"000129512 - RICH FOODS SHARI'S"</f>
        <v>000129512 - RICH FOODS SHARI'S</v>
      </c>
      <c r="C1509" t="s">
        <v>869</v>
      </c>
      <c r="D1509" s="1" t="str">
        <f t="shared" si="41"/>
        <v>PRG-1017031</v>
      </c>
      <c r="E1509" t="s">
        <v>870</v>
      </c>
      <c r="F1509" t="s">
        <v>4</v>
      </c>
      <c r="G1509" t="str">
        <f>""</f>
        <v/>
      </c>
    </row>
    <row r="1510" spans="1:7" x14ac:dyDescent="0.25">
      <c r="A1510" t="s">
        <v>8</v>
      </c>
      <c r="B1510" s="1" t="str">
        <f>"000254320 - RICH PRODUCTS CORP SHARI'S"</f>
        <v>000254320 - RICH PRODUCTS CORP SHARI'S</v>
      </c>
      <c r="C1510" t="s">
        <v>2152</v>
      </c>
      <c r="D1510" s="1" t="str">
        <f t="shared" si="41"/>
        <v>PRG-1017031</v>
      </c>
      <c r="E1510" t="s">
        <v>870</v>
      </c>
      <c r="F1510" t="s">
        <v>4</v>
      </c>
      <c r="G1510" t="str">
        <f>""</f>
        <v/>
      </c>
    </row>
    <row r="1511" spans="1:7" x14ac:dyDescent="0.25">
      <c r="A1511" t="s">
        <v>8</v>
      </c>
      <c r="B1511" s="1" t="str">
        <f>"000262324 - RICH FOODS SHARI'S"</f>
        <v>000262324 - RICH FOODS SHARI'S</v>
      </c>
      <c r="C1511" t="s">
        <v>869</v>
      </c>
      <c r="D1511" s="1" t="str">
        <f t="shared" si="41"/>
        <v>PRG-1017031</v>
      </c>
      <c r="E1511" t="s">
        <v>870</v>
      </c>
      <c r="F1511" t="s">
        <v>4</v>
      </c>
      <c r="G1511" t="str">
        <f>""</f>
        <v/>
      </c>
    </row>
    <row r="1512" spans="1:7" x14ac:dyDescent="0.25">
      <c r="A1512" t="s">
        <v>8</v>
      </c>
      <c r="B1512" s="1" t="str">
        <f>"000279761 - RICH FOODS SHARI'S"</f>
        <v>000279761 - RICH FOODS SHARI'S</v>
      </c>
      <c r="C1512" t="s">
        <v>869</v>
      </c>
      <c r="D1512" s="1" t="str">
        <f t="shared" si="41"/>
        <v>PRG-1017031</v>
      </c>
      <c r="E1512" t="s">
        <v>870</v>
      </c>
      <c r="F1512" t="s">
        <v>4</v>
      </c>
      <c r="G1512" t="str">
        <f>""</f>
        <v/>
      </c>
    </row>
    <row r="1513" spans="1:7" x14ac:dyDescent="0.25">
      <c r="A1513" t="s">
        <v>8</v>
      </c>
      <c r="B1513" s="1" t="str">
        <f>"000291425 - RICH PRODUCTS SHARI'S"</f>
        <v>000291425 - RICH PRODUCTS SHARI'S</v>
      </c>
      <c r="C1513" t="s">
        <v>2847</v>
      </c>
      <c r="D1513" s="1" t="str">
        <f t="shared" si="41"/>
        <v>PRG-1017031</v>
      </c>
      <c r="E1513" t="s">
        <v>870</v>
      </c>
      <c r="F1513" t="s">
        <v>4</v>
      </c>
      <c r="G1513" t="str">
        <f>""</f>
        <v/>
      </c>
    </row>
    <row r="1514" spans="1:7" x14ac:dyDescent="0.25">
      <c r="A1514" t="s">
        <v>8</v>
      </c>
      <c r="B1514" s="1" t="str">
        <f>"000310359 - RICH PRODUCTS SHARI'S"</f>
        <v>000310359 - RICH PRODUCTS SHARI'S</v>
      </c>
      <c r="C1514" t="s">
        <v>2847</v>
      </c>
      <c r="D1514" s="1" t="str">
        <f t="shared" si="41"/>
        <v>PRG-1017031</v>
      </c>
      <c r="E1514" t="s">
        <v>870</v>
      </c>
      <c r="F1514" t="s">
        <v>4</v>
      </c>
      <c r="G1514" t="str">
        <f>""</f>
        <v/>
      </c>
    </row>
    <row r="1515" spans="1:7" x14ac:dyDescent="0.25">
      <c r="A1515" t="s">
        <v>8</v>
      </c>
      <c r="B1515" s="1" t="str">
        <f>"2000135520 - RICHS-SHARIS"</f>
        <v>2000135520 - RICHS-SHARIS</v>
      </c>
      <c r="C1515" t="s">
        <v>20</v>
      </c>
      <c r="D1515" s="1" t="str">
        <f t="shared" si="41"/>
        <v>PRG-1017031</v>
      </c>
      <c r="E1515" t="s">
        <v>870</v>
      </c>
      <c r="F1515" t="s">
        <v>4</v>
      </c>
      <c r="G1515" t="str">
        <f>""</f>
        <v/>
      </c>
    </row>
    <row r="1516" spans="1:7" x14ac:dyDescent="0.25">
      <c r="A1516" t="s">
        <v>8</v>
      </c>
      <c r="B1516" s="1" t="str">
        <f>"2000132480 - RICH FOODS-IKEA"</f>
        <v>2000132480 - RICH FOODS-IKEA</v>
      </c>
      <c r="C1516" t="s">
        <v>3848</v>
      </c>
      <c r="D1516" s="1" t="str">
        <f>"PRG-1017167"</f>
        <v>PRG-1017167</v>
      </c>
      <c r="E1516" t="s">
        <v>464</v>
      </c>
      <c r="F1516" t="s">
        <v>4</v>
      </c>
      <c r="G1516" t="str">
        <f>""</f>
        <v/>
      </c>
    </row>
    <row r="1517" spans="1:7" x14ac:dyDescent="0.25">
      <c r="A1517" t="s">
        <v>8</v>
      </c>
      <c r="B1517" s="1" t="str">
        <f>"3126A790"</f>
        <v>3126A790</v>
      </c>
      <c r="C1517" t="s">
        <v>4621</v>
      </c>
      <c r="D1517" s="1" t="str">
        <f>"PRG-1017213"</f>
        <v>PRG-1017213</v>
      </c>
      <c r="E1517" t="s">
        <v>3612</v>
      </c>
      <c r="F1517" t="s">
        <v>5</v>
      </c>
      <c r="G1517" t="str">
        <f>""</f>
        <v/>
      </c>
    </row>
    <row r="1518" spans="1:7" x14ac:dyDescent="0.25">
      <c r="A1518" t="s">
        <v>8</v>
      </c>
      <c r="B1518" s="1" t="str">
        <f>"2000136919 - RICHS AZ-PASTRY PRIDE PROGRAM"</f>
        <v>2000136919 - RICHS AZ-PASTRY PRIDE PROGRAM</v>
      </c>
      <c r="C1518" t="s">
        <v>3857</v>
      </c>
      <c r="D1518" s="1" t="str">
        <f>"PRG-1017244"</f>
        <v>PRG-1017244</v>
      </c>
      <c r="E1518" t="s">
        <v>3858</v>
      </c>
      <c r="F1518" t="s">
        <v>4</v>
      </c>
      <c r="G1518" t="str">
        <f>""</f>
        <v/>
      </c>
    </row>
    <row r="1519" spans="1:7" x14ac:dyDescent="0.25">
      <c r="A1519" t="s">
        <v>8</v>
      </c>
      <c r="B1519" s="1" t="str">
        <f>"2000171890 - RICHS-TRADITIONS SPIRITS INC"</f>
        <v>2000171890 - RICHS-TRADITIONS SPIRITS INC</v>
      </c>
      <c r="C1519" t="s">
        <v>3887</v>
      </c>
      <c r="D1519" s="1" t="str">
        <f>"PRG-1017285"</f>
        <v>PRG-1017285</v>
      </c>
      <c r="E1519" t="s">
        <v>3888</v>
      </c>
      <c r="F1519" t="s">
        <v>4</v>
      </c>
      <c r="G1519" t="str">
        <f>""</f>
        <v/>
      </c>
    </row>
    <row r="1520" spans="1:7" x14ac:dyDescent="0.25">
      <c r="A1520" t="s">
        <v>8</v>
      </c>
      <c r="B1520" s="1" t="str">
        <f>"2000325704 - RICHS-TRADITIONS SPIRITS"</f>
        <v>2000325704 - RICHS-TRADITIONS SPIRITS</v>
      </c>
      <c r="C1520" t="s">
        <v>15</v>
      </c>
      <c r="D1520" s="1" t="str">
        <f>"PRG-1017285"</f>
        <v>PRG-1017285</v>
      </c>
      <c r="E1520" t="s">
        <v>3888</v>
      </c>
      <c r="F1520" t="s">
        <v>4</v>
      </c>
      <c r="G1520" t="str">
        <f>""</f>
        <v/>
      </c>
    </row>
    <row r="1521" spans="1:7" x14ac:dyDescent="0.25">
      <c r="A1521" t="s">
        <v>8</v>
      </c>
      <c r="B1521" s="1" t="str">
        <f>"000249884 - RICHS  HIBACHI GRILL"</f>
        <v>000249884 - RICHS  HIBACHI GRILL</v>
      </c>
      <c r="C1521" t="s">
        <v>2085</v>
      </c>
      <c r="D1521" s="1" t="str">
        <f>"PRG-1017312"</f>
        <v>PRG-1017312</v>
      </c>
      <c r="E1521" t="s">
        <v>2086</v>
      </c>
      <c r="F1521" t="s">
        <v>4</v>
      </c>
      <c r="G1521" t="str">
        <f>""</f>
        <v/>
      </c>
    </row>
    <row r="1522" spans="1:7" x14ac:dyDescent="0.25">
      <c r="A1522" t="s">
        <v>8</v>
      </c>
      <c r="B1522" s="1" t="str">
        <f>"000005544 - "</f>
        <v xml:space="preserve">000005544 - </v>
      </c>
      <c r="D1522" s="1" t="str">
        <f t="shared" ref="D1522:D1555" si="42">"PRG-1017358"</f>
        <v>PRG-1017358</v>
      </c>
      <c r="E1522" t="s">
        <v>227</v>
      </c>
      <c r="F1522" t="s">
        <v>4</v>
      </c>
      <c r="G1522" t="str">
        <f>""</f>
        <v/>
      </c>
    </row>
    <row r="1523" spans="1:7" x14ac:dyDescent="0.25">
      <c r="A1523" t="s">
        <v>8</v>
      </c>
      <c r="B1523" s="1" t="str">
        <f>"000008450 - RICH PRODUCTS-OLD SPAG FACTORY"</f>
        <v>000008450 - RICH PRODUCTS-OLD SPAG FACTORY</v>
      </c>
      <c r="C1523" t="s">
        <v>280</v>
      </c>
      <c r="D1523" s="1" t="str">
        <f t="shared" si="42"/>
        <v>PRG-1017358</v>
      </c>
      <c r="E1523" t="s">
        <v>227</v>
      </c>
      <c r="F1523" t="s">
        <v>4</v>
      </c>
      <c r="G1523" t="str">
        <f>""</f>
        <v/>
      </c>
    </row>
    <row r="1524" spans="1:7" x14ac:dyDescent="0.25">
      <c r="A1524" t="s">
        <v>8</v>
      </c>
      <c r="B1524" s="1" t="str">
        <f>"000017290 - RICH PRODUCTS-OLD SPAG FACTORY"</f>
        <v>000017290 - RICH PRODUCTS-OLD SPAG FACTORY</v>
      </c>
      <c r="C1524" t="s">
        <v>280</v>
      </c>
      <c r="D1524" s="1" t="str">
        <f t="shared" si="42"/>
        <v>PRG-1017358</v>
      </c>
      <c r="E1524" t="s">
        <v>227</v>
      </c>
      <c r="F1524" t="s">
        <v>4</v>
      </c>
      <c r="G1524" t="str">
        <f>""</f>
        <v/>
      </c>
    </row>
    <row r="1525" spans="1:7" x14ac:dyDescent="0.25">
      <c r="A1525" t="s">
        <v>8</v>
      </c>
      <c r="B1525" s="1" t="str">
        <f>"000052177 - RICH PRODUCTS-OLD SPAG FACTORY"</f>
        <v>000052177 - RICH PRODUCTS-OLD SPAG FACTORY</v>
      </c>
      <c r="C1525" t="s">
        <v>280</v>
      </c>
      <c r="D1525" s="1" t="str">
        <f t="shared" si="42"/>
        <v>PRG-1017358</v>
      </c>
      <c r="E1525" t="s">
        <v>227</v>
      </c>
      <c r="F1525" t="s">
        <v>4</v>
      </c>
      <c r="G1525" t="str">
        <f>""</f>
        <v/>
      </c>
    </row>
    <row r="1526" spans="1:7" x14ac:dyDescent="0.25">
      <c r="A1526" t="s">
        <v>8</v>
      </c>
      <c r="B1526" s="1" t="str">
        <f>"000095714 - RICH PRODUCTS-OLD SPAG FACTORY"</f>
        <v>000095714 - RICH PRODUCTS-OLD SPAG FACTORY</v>
      </c>
      <c r="C1526" t="s">
        <v>280</v>
      </c>
      <c r="D1526" s="1" t="str">
        <f t="shared" si="42"/>
        <v>PRG-1017358</v>
      </c>
      <c r="E1526" t="s">
        <v>227</v>
      </c>
      <c r="F1526" t="s">
        <v>4</v>
      </c>
      <c r="G1526" t="str">
        <f>""</f>
        <v/>
      </c>
    </row>
    <row r="1527" spans="1:7" x14ac:dyDescent="0.25">
      <c r="A1527" t="s">
        <v>8</v>
      </c>
      <c r="B1527" s="1" t="str">
        <f>"000116967 - RICH PRODUCTS-OLD SPAG FACTORY"</f>
        <v>000116967 - RICH PRODUCTS-OLD SPAG FACTORY</v>
      </c>
      <c r="C1527" t="s">
        <v>280</v>
      </c>
      <c r="D1527" s="1" t="str">
        <f t="shared" si="42"/>
        <v>PRG-1017358</v>
      </c>
      <c r="E1527" t="s">
        <v>227</v>
      </c>
      <c r="F1527" t="s">
        <v>4</v>
      </c>
      <c r="G1527" t="str">
        <f>""</f>
        <v/>
      </c>
    </row>
    <row r="1528" spans="1:7" x14ac:dyDescent="0.25">
      <c r="A1528" t="s">
        <v>8</v>
      </c>
      <c r="B1528" s="1" t="str">
        <f>"000143711 - "</f>
        <v xml:space="preserve">000143711 - </v>
      </c>
      <c r="D1528" s="1" t="str">
        <f t="shared" si="42"/>
        <v>PRG-1017358</v>
      </c>
      <c r="E1528" t="s">
        <v>227</v>
      </c>
      <c r="F1528" t="s">
        <v>4</v>
      </c>
      <c r="G1528" t="str">
        <f>""</f>
        <v/>
      </c>
    </row>
    <row r="1529" spans="1:7" x14ac:dyDescent="0.25">
      <c r="A1529" t="s">
        <v>8</v>
      </c>
      <c r="B1529" s="1" t="str">
        <f>"000182869 - BB OSF FOB RICH"</f>
        <v>000182869 - BB OSF FOB RICH</v>
      </c>
      <c r="C1529" t="s">
        <v>1157</v>
      </c>
      <c r="D1529" s="1" t="str">
        <f t="shared" si="42"/>
        <v>PRG-1017358</v>
      </c>
      <c r="E1529" t="s">
        <v>227</v>
      </c>
      <c r="F1529" t="s">
        <v>4</v>
      </c>
      <c r="G1529" t="str">
        <f>""</f>
        <v/>
      </c>
    </row>
    <row r="1530" spans="1:7" x14ac:dyDescent="0.25">
      <c r="A1530" t="s">
        <v>8</v>
      </c>
      <c r="B1530" s="1" t="str">
        <f>"000198882 - RICH PRODUCTS-OLD SPAG FACTORY"</f>
        <v>000198882 - RICH PRODUCTS-OLD SPAG FACTORY</v>
      </c>
      <c r="C1530" t="s">
        <v>280</v>
      </c>
      <c r="D1530" s="1" t="str">
        <f t="shared" si="42"/>
        <v>PRG-1017358</v>
      </c>
      <c r="E1530" t="s">
        <v>227</v>
      </c>
      <c r="F1530" t="s">
        <v>4</v>
      </c>
      <c r="G1530" t="str">
        <f>""</f>
        <v/>
      </c>
    </row>
    <row r="1531" spans="1:7" x14ac:dyDescent="0.25">
      <c r="A1531" t="s">
        <v>8</v>
      </c>
      <c r="B1531" s="1" t="str">
        <f>"000200373 - BB OSF FOB RICH"</f>
        <v>000200373 - BB OSF FOB RICH</v>
      </c>
      <c r="C1531" t="s">
        <v>1157</v>
      </c>
      <c r="D1531" s="1" t="str">
        <f t="shared" si="42"/>
        <v>PRG-1017358</v>
      </c>
      <c r="E1531" t="s">
        <v>227</v>
      </c>
      <c r="F1531" t="s">
        <v>4</v>
      </c>
      <c r="G1531" t="str">
        <f>""</f>
        <v/>
      </c>
    </row>
    <row r="1532" spans="1:7" x14ac:dyDescent="0.25">
      <c r="A1532" t="s">
        <v>8</v>
      </c>
      <c r="B1532" s="1" t="str">
        <f>"000208778 - RICH PRODUCTS-OLD SPAG FACTORY"</f>
        <v>000208778 - RICH PRODUCTS-OLD SPAG FACTORY</v>
      </c>
      <c r="C1532" t="s">
        <v>280</v>
      </c>
      <c r="D1532" s="1" t="str">
        <f t="shared" si="42"/>
        <v>PRG-1017358</v>
      </c>
      <c r="E1532" t="s">
        <v>227</v>
      </c>
      <c r="F1532" t="s">
        <v>4</v>
      </c>
      <c r="G1532" t="str">
        <f>""</f>
        <v/>
      </c>
    </row>
    <row r="1533" spans="1:7" x14ac:dyDescent="0.25">
      <c r="A1533" t="s">
        <v>8</v>
      </c>
      <c r="B1533" s="1" t="str">
        <f>"000212753 - RICH PRODUCTS-OLD SPAG FACTORY"</f>
        <v>000212753 - RICH PRODUCTS-OLD SPAG FACTORY</v>
      </c>
      <c r="C1533" t="s">
        <v>280</v>
      </c>
      <c r="D1533" s="1" t="str">
        <f t="shared" si="42"/>
        <v>PRG-1017358</v>
      </c>
      <c r="E1533" t="s">
        <v>227</v>
      </c>
      <c r="F1533" t="s">
        <v>4</v>
      </c>
      <c r="G1533" t="str">
        <f>""</f>
        <v/>
      </c>
    </row>
    <row r="1534" spans="1:7" x14ac:dyDescent="0.25">
      <c r="A1534" t="s">
        <v>8</v>
      </c>
      <c r="B1534" s="1" t="str">
        <f>"000220106 - BB OSF FOB RICH"</f>
        <v>000220106 - BB OSF FOB RICH</v>
      </c>
      <c r="C1534" t="s">
        <v>1157</v>
      </c>
      <c r="D1534" s="1" t="str">
        <f t="shared" si="42"/>
        <v>PRG-1017358</v>
      </c>
      <c r="E1534" t="s">
        <v>227</v>
      </c>
      <c r="F1534" t="s">
        <v>4</v>
      </c>
      <c r="G1534" t="str">
        <f>""</f>
        <v/>
      </c>
    </row>
    <row r="1535" spans="1:7" x14ac:dyDescent="0.25">
      <c r="A1535" t="s">
        <v>8</v>
      </c>
      <c r="B1535" s="1" t="str">
        <f>"000231050 - RICH PRODUCTS-OLD SPAG FACTORY"</f>
        <v>000231050 - RICH PRODUCTS-OLD SPAG FACTORY</v>
      </c>
      <c r="C1535" t="s">
        <v>280</v>
      </c>
      <c r="D1535" s="1" t="str">
        <f t="shared" si="42"/>
        <v>PRG-1017358</v>
      </c>
      <c r="E1535" t="s">
        <v>227</v>
      </c>
      <c r="F1535" t="s">
        <v>4</v>
      </c>
      <c r="G1535" t="str">
        <f>""</f>
        <v/>
      </c>
    </row>
    <row r="1536" spans="1:7" x14ac:dyDescent="0.25">
      <c r="A1536" t="s">
        <v>8</v>
      </c>
      <c r="B1536" s="1" t="str">
        <f>"000231789 - RICH PRODUCTS-OLD SPAG FACTORY"</f>
        <v>000231789 - RICH PRODUCTS-OLD SPAG FACTORY</v>
      </c>
      <c r="C1536" t="s">
        <v>280</v>
      </c>
      <c r="D1536" s="1" t="str">
        <f t="shared" si="42"/>
        <v>PRG-1017358</v>
      </c>
      <c r="E1536" t="s">
        <v>227</v>
      </c>
      <c r="F1536" t="s">
        <v>4</v>
      </c>
      <c r="G1536" t="str">
        <f>""</f>
        <v/>
      </c>
    </row>
    <row r="1537" spans="1:7" x14ac:dyDescent="0.25">
      <c r="A1537" t="s">
        <v>8</v>
      </c>
      <c r="B1537" s="1" t="str">
        <f>"000233166 - RICH PRODUCTS-OLD SPAG FACTORY"</f>
        <v>000233166 - RICH PRODUCTS-OLD SPAG FACTORY</v>
      </c>
      <c r="C1537" t="s">
        <v>280</v>
      </c>
      <c r="D1537" s="1" t="str">
        <f t="shared" si="42"/>
        <v>PRG-1017358</v>
      </c>
      <c r="E1537" t="s">
        <v>227</v>
      </c>
      <c r="F1537" t="s">
        <v>4</v>
      </c>
      <c r="G1537" t="str">
        <f>""</f>
        <v/>
      </c>
    </row>
    <row r="1538" spans="1:7" x14ac:dyDescent="0.25">
      <c r="A1538" t="s">
        <v>8</v>
      </c>
      <c r="B1538" s="1" t="str">
        <f>"000241668 - RICH PRODUCTS-OLD SPAG FACTORY"</f>
        <v>000241668 - RICH PRODUCTS-OLD SPAG FACTORY</v>
      </c>
      <c r="C1538" t="s">
        <v>280</v>
      </c>
      <c r="D1538" s="1" t="str">
        <f t="shared" si="42"/>
        <v>PRG-1017358</v>
      </c>
      <c r="E1538" t="s">
        <v>227</v>
      </c>
      <c r="F1538" t="s">
        <v>4</v>
      </c>
      <c r="G1538" t="str">
        <f>""</f>
        <v/>
      </c>
    </row>
    <row r="1539" spans="1:7" x14ac:dyDescent="0.25">
      <c r="A1539" t="s">
        <v>8</v>
      </c>
      <c r="B1539" s="1" t="str">
        <f>"000261390 - RICH PRODUCTS-OLD SPAG FACTORY"</f>
        <v>000261390 - RICH PRODUCTS-OLD SPAG FACTORY</v>
      </c>
      <c r="C1539" t="s">
        <v>280</v>
      </c>
      <c r="D1539" s="1" t="str">
        <f t="shared" si="42"/>
        <v>PRG-1017358</v>
      </c>
      <c r="E1539" t="s">
        <v>227</v>
      </c>
      <c r="F1539" t="s">
        <v>4</v>
      </c>
      <c r="G1539" t="str">
        <f>""</f>
        <v/>
      </c>
    </row>
    <row r="1540" spans="1:7" x14ac:dyDescent="0.25">
      <c r="A1540" t="s">
        <v>8</v>
      </c>
      <c r="B1540" s="1" t="str">
        <f>"000261424 - RICH PRODUCTS-OLD SPAG FACTORY"</f>
        <v>000261424 - RICH PRODUCTS-OLD SPAG FACTORY</v>
      </c>
      <c r="C1540" t="s">
        <v>280</v>
      </c>
      <c r="D1540" s="1" t="str">
        <f t="shared" si="42"/>
        <v>PRG-1017358</v>
      </c>
      <c r="E1540" t="s">
        <v>227</v>
      </c>
      <c r="F1540" t="s">
        <v>4</v>
      </c>
      <c r="G1540" t="str">
        <f>""</f>
        <v/>
      </c>
    </row>
    <row r="1541" spans="1:7" x14ac:dyDescent="0.25">
      <c r="A1541" t="s">
        <v>8</v>
      </c>
      <c r="B1541" s="1" t="str">
        <f>"000266298 - BB OSF FOB RICH"</f>
        <v>000266298 - BB OSF FOB RICH</v>
      </c>
      <c r="C1541" t="s">
        <v>1157</v>
      </c>
      <c r="D1541" s="1" t="str">
        <f t="shared" si="42"/>
        <v>PRG-1017358</v>
      </c>
      <c r="E1541" t="s">
        <v>227</v>
      </c>
      <c r="F1541" t="s">
        <v>4</v>
      </c>
      <c r="G1541" t="str">
        <f>""</f>
        <v/>
      </c>
    </row>
    <row r="1542" spans="1:7" x14ac:dyDescent="0.25">
      <c r="A1542" t="s">
        <v>8</v>
      </c>
      <c r="B1542" s="1" t="str">
        <f>"000278594 - RICH PRODUCTS-OLD SPAG FACTORY"</f>
        <v>000278594 - RICH PRODUCTS-OLD SPAG FACTORY</v>
      </c>
      <c r="C1542" t="s">
        <v>280</v>
      </c>
      <c r="D1542" s="1" t="str">
        <f t="shared" si="42"/>
        <v>PRG-1017358</v>
      </c>
      <c r="E1542" t="s">
        <v>227</v>
      </c>
      <c r="F1542" t="s">
        <v>4</v>
      </c>
      <c r="G1542" t="str">
        <f>""</f>
        <v/>
      </c>
    </row>
    <row r="1543" spans="1:7" x14ac:dyDescent="0.25">
      <c r="A1543" t="s">
        <v>8</v>
      </c>
      <c r="B1543" s="1" t="str">
        <f>"000290424 - RICH PRODUCTS-OLD SPAG FACTORY"</f>
        <v>000290424 - RICH PRODUCTS-OLD SPAG FACTORY</v>
      </c>
      <c r="C1543" t="s">
        <v>280</v>
      </c>
      <c r="D1543" s="1" t="str">
        <f t="shared" si="42"/>
        <v>PRG-1017358</v>
      </c>
      <c r="E1543" t="s">
        <v>227</v>
      </c>
      <c r="F1543" t="s">
        <v>4</v>
      </c>
      <c r="G1543" t="str">
        <f>""</f>
        <v/>
      </c>
    </row>
    <row r="1544" spans="1:7" x14ac:dyDescent="0.25">
      <c r="A1544" t="s">
        <v>8</v>
      </c>
      <c r="B1544" s="1" t="str">
        <f>"000299724 - RICH PRODUCTS-OLD SPAG FACTORY"</f>
        <v>000299724 - RICH PRODUCTS-OLD SPAG FACTORY</v>
      </c>
      <c r="C1544" t="s">
        <v>280</v>
      </c>
      <c r="D1544" s="1" t="str">
        <f t="shared" si="42"/>
        <v>PRG-1017358</v>
      </c>
      <c r="E1544" t="s">
        <v>227</v>
      </c>
      <c r="F1544" t="s">
        <v>4</v>
      </c>
      <c r="G1544" t="str">
        <f>""</f>
        <v/>
      </c>
    </row>
    <row r="1545" spans="1:7" x14ac:dyDescent="0.25">
      <c r="A1545" t="s">
        <v>8</v>
      </c>
      <c r="B1545" s="1" t="str">
        <f>"000300224 - "</f>
        <v xml:space="preserve">000300224 - </v>
      </c>
      <c r="D1545" s="1" t="str">
        <f t="shared" si="42"/>
        <v>PRG-1017358</v>
      </c>
      <c r="E1545" t="s">
        <v>227</v>
      </c>
      <c r="F1545" t="s">
        <v>4</v>
      </c>
      <c r="G1545" t="str">
        <f>""</f>
        <v/>
      </c>
    </row>
    <row r="1546" spans="1:7" x14ac:dyDescent="0.25">
      <c r="A1546" t="s">
        <v>8</v>
      </c>
      <c r="B1546" s="1" t="str">
        <f>"000327515 - RICH PRODUCTS-OLD SPAG FACTORY"</f>
        <v>000327515 - RICH PRODUCTS-OLD SPAG FACTORY</v>
      </c>
      <c r="C1546" t="s">
        <v>280</v>
      </c>
      <c r="D1546" s="1" t="str">
        <f t="shared" si="42"/>
        <v>PRG-1017358</v>
      </c>
      <c r="E1546" t="s">
        <v>227</v>
      </c>
      <c r="F1546" t="s">
        <v>4</v>
      </c>
      <c r="G1546" t="str">
        <f>""</f>
        <v/>
      </c>
    </row>
    <row r="1547" spans="1:7" x14ac:dyDescent="0.25">
      <c r="A1547" t="s">
        <v>8</v>
      </c>
      <c r="B1547" s="1" t="str">
        <f>"000332110 - "</f>
        <v xml:space="preserve">000332110 - </v>
      </c>
      <c r="D1547" s="1" t="str">
        <f t="shared" si="42"/>
        <v>PRG-1017358</v>
      </c>
      <c r="E1547" t="s">
        <v>227</v>
      </c>
      <c r="F1547" t="s">
        <v>4</v>
      </c>
      <c r="G1547" t="str">
        <f>""</f>
        <v/>
      </c>
    </row>
    <row r="1548" spans="1:7" x14ac:dyDescent="0.25">
      <c r="A1548" t="s">
        <v>8</v>
      </c>
      <c r="B1548" s="1" t="str">
        <f>"000335158 - RICH PRODUCTS-OLD SPAG FACTORY"</f>
        <v>000335158 - RICH PRODUCTS-OLD SPAG FACTORY</v>
      </c>
      <c r="C1548" t="s">
        <v>280</v>
      </c>
      <c r="D1548" s="1" t="str">
        <f t="shared" si="42"/>
        <v>PRG-1017358</v>
      </c>
      <c r="E1548" t="s">
        <v>227</v>
      </c>
      <c r="F1548" t="s">
        <v>4</v>
      </c>
      <c r="G1548" t="str">
        <f>""</f>
        <v/>
      </c>
    </row>
    <row r="1549" spans="1:7" x14ac:dyDescent="0.25">
      <c r="A1549" t="s">
        <v>8</v>
      </c>
      <c r="B1549" s="1" t="str">
        <f>"000344518 - RICH PRODUCTS-OLD SPAG FACTORY"</f>
        <v>000344518 - RICH PRODUCTS-OLD SPAG FACTORY</v>
      </c>
      <c r="C1549" t="s">
        <v>280</v>
      </c>
      <c r="D1549" s="1" t="str">
        <f t="shared" si="42"/>
        <v>PRG-1017358</v>
      </c>
      <c r="E1549" t="s">
        <v>227</v>
      </c>
      <c r="F1549" t="s">
        <v>4</v>
      </c>
      <c r="G1549" t="str">
        <f>""</f>
        <v/>
      </c>
    </row>
    <row r="1550" spans="1:7" x14ac:dyDescent="0.25">
      <c r="A1550" t="s">
        <v>8</v>
      </c>
      <c r="B1550" s="1" t="str">
        <f>"000348219 - RICH PRODUCTS-OLD SPAG FACTORY"</f>
        <v>000348219 - RICH PRODUCTS-OLD SPAG FACTORY</v>
      </c>
      <c r="C1550" t="s">
        <v>280</v>
      </c>
      <c r="D1550" s="1" t="str">
        <f t="shared" si="42"/>
        <v>PRG-1017358</v>
      </c>
      <c r="E1550" t="s">
        <v>227</v>
      </c>
      <c r="F1550" t="s">
        <v>4</v>
      </c>
      <c r="G1550" t="str">
        <f>""</f>
        <v/>
      </c>
    </row>
    <row r="1551" spans="1:7" x14ac:dyDescent="0.25">
      <c r="A1551" t="s">
        <v>8</v>
      </c>
      <c r="B1551" s="1" t="str">
        <f>"000363232 - "</f>
        <v xml:space="preserve">000363232 - </v>
      </c>
      <c r="D1551" s="1" t="str">
        <f t="shared" si="42"/>
        <v>PRG-1017358</v>
      </c>
      <c r="E1551" t="s">
        <v>227</v>
      </c>
      <c r="F1551" t="s">
        <v>4</v>
      </c>
      <c r="G1551" t="str">
        <f>""</f>
        <v/>
      </c>
    </row>
    <row r="1552" spans="1:7" x14ac:dyDescent="0.25">
      <c r="A1552" t="s">
        <v>8</v>
      </c>
      <c r="B1552" s="1" t="str">
        <f>"000405242 - RICH PRODUCTS-OLD SPAG FACTORY"</f>
        <v>000405242 - RICH PRODUCTS-OLD SPAG FACTORY</v>
      </c>
      <c r="C1552" t="s">
        <v>280</v>
      </c>
      <c r="D1552" s="1" t="str">
        <f t="shared" si="42"/>
        <v>PRG-1017358</v>
      </c>
      <c r="E1552" t="s">
        <v>227</v>
      </c>
      <c r="F1552" t="s">
        <v>4</v>
      </c>
      <c r="G1552" t="str">
        <f>""</f>
        <v/>
      </c>
    </row>
    <row r="1553" spans="1:7" x14ac:dyDescent="0.25">
      <c r="A1553" t="s">
        <v>8</v>
      </c>
      <c r="B1553" s="1" t="str">
        <f>"2000124809 - RICH PRODUCTS-OLD SPAGHETTI FACTORY"</f>
        <v>2000124809 - RICH PRODUCTS-OLD SPAGHETTI FACTORY</v>
      </c>
      <c r="C1553" t="s">
        <v>3838</v>
      </c>
      <c r="D1553" s="1" t="str">
        <f t="shared" si="42"/>
        <v>PRG-1017358</v>
      </c>
      <c r="E1553" t="s">
        <v>227</v>
      </c>
      <c r="F1553" t="s">
        <v>4</v>
      </c>
      <c r="G1553" t="str">
        <f>""</f>
        <v/>
      </c>
    </row>
    <row r="1554" spans="1:7" x14ac:dyDescent="0.25">
      <c r="A1554" t="s">
        <v>8</v>
      </c>
      <c r="B1554" s="1" t="str">
        <f>"2000229852 - RICH PRODUCTS-OLD SPAGHETTI FACTORY"</f>
        <v>2000229852 - RICH PRODUCTS-OLD SPAGHETTI FACTORY</v>
      </c>
      <c r="C1554" t="s">
        <v>3838</v>
      </c>
      <c r="D1554" s="1" t="str">
        <f t="shared" si="42"/>
        <v>PRG-1017358</v>
      </c>
      <c r="E1554" t="s">
        <v>227</v>
      </c>
      <c r="F1554" t="s">
        <v>4</v>
      </c>
      <c r="G1554" t="str">
        <f>""</f>
        <v/>
      </c>
    </row>
    <row r="1555" spans="1:7" x14ac:dyDescent="0.25">
      <c r="A1555" t="s">
        <v>8</v>
      </c>
      <c r="B1555" s="1" t="str">
        <f>"2000330093 - RICH PRODUCTS-OLD SPAGHETTI FACTORY"</f>
        <v>2000330093 - RICH PRODUCTS-OLD SPAGHETTI FACTORY</v>
      </c>
      <c r="C1555" t="s">
        <v>3838</v>
      </c>
      <c r="D1555" s="1" t="str">
        <f t="shared" si="42"/>
        <v>PRG-1017358</v>
      </c>
      <c r="E1555" t="s">
        <v>227</v>
      </c>
      <c r="F1555" t="s">
        <v>4</v>
      </c>
      <c r="G1555" t="str">
        <f>""</f>
        <v/>
      </c>
    </row>
    <row r="1556" spans="1:7" x14ac:dyDescent="0.25">
      <c r="A1556" t="s">
        <v>8</v>
      </c>
      <c r="B1556" s="1" t="str">
        <f>"000295833 - RICH BACKWOODS"</f>
        <v>000295833 - RICH BACKWOODS</v>
      </c>
      <c r="C1556" t="s">
        <v>2715</v>
      </c>
      <c r="D1556" s="1" t="str">
        <f>"PRG-1017402"</f>
        <v>PRG-1017402</v>
      </c>
      <c r="E1556" t="s">
        <v>2904</v>
      </c>
      <c r="F1556" t="s">
        <v>4</v>
      </c>
      <c r="G1556" t="str">
        <f>""</f>
        <v/>
      </c>
    </row>
    <row r="1557" spans="1:7" x14ac:dyDescent="0.25">
      <c r="A1557" t="s">
        <v>8</v>
      </c>
      <c r="B1557" s="1" t="str">
        <f>"000216902 - RICH'S BD'S MONGOLIAN"</f>
        <v>000216902 - RICH'S BD'S MONGOLIAN</v>
      </c>
      <c r="C1557" t="s">
        <v>1537</v>
      </c>
      <c r="D1557" s="1" t="str">
        <f>"PRG-1017427"</f>
        <v>PRG-1017427</v>
      </c>
      <c r="E1557" t="s">
        <v>1538</v>
      </c>
      <c r="F1557" t="s">
        <v>4</v>
      </c>
      <c r="G1557" t="str">
        <f>""</f>
        <v/>
      </c>
    </row>
    <row r="1558" spans="1:7" x14ac:dyDescent="0.25">
      <c r="A1558" t="s">
        <v>8</v>
      </c>
      <c r="B1558" s="1" t="str">
        <f>"000104277 - RICH'S-DELAWARE NORTH"</f>
        <v>000104277 - RICH'S-DELAWARE NORTH</v>
      </c>
      <c r="C1558" t="s">
        <v>814</v>
      </c>
      <c r="D1558" s="1" t="str">
        <f t="shared" ref="D1558:D1621" si="43">"PRG-1017430"</f>
        <v>PRG-1017430</v>
      </c>
      <c r="E1558" t="s">
        <v>191</v>
      </c>
      <c r="F1558" t="s">
        <v>4</v>
      </c>
      <c r="G1558" t="str">
        <f>""</f>
        <v/>
      </c>
    </row>
    <row r="1559" spans="1:7" x14ac:dyDescent="0.25">
      <c r="A1559" t="s">
        <v>8</v>
      </c>
      <c r="B1559" s="1" t="str">
        <f>"000109973 - RICH-CORE-DELAWARE NORTH"</f>
        <v>000109973 - RICH-CORE-DELAWARE NORTH</v>
      </c>
      <c r="C1559" t="s">
        <v>833</v>
      </c>
      <c r="D1559" s="1" t="str">
        <f t="shared" si="43"/>
        <v>PRG-1017430</v>
      </c>
      <c r="E1559" t="s">
        <v>191</v>
      </c>
      <c r="F1559" t="s">
        <v>4</v>
      </c>
      <c r="G1559" t="str">
        <f>""</f>
        <v/>
      </c>
    </row>
    <row r="1560" spans="1:7" x14ac:dyDescent="0.25">
      <c r="A1560" t="s">
        <v>8</v>
      </c>
      <c r="B1560" s="1" t="str">
        <f>"000109974 - RICH-NONCORE-DELAWARE NORTH"</f>
        <v>000109974 - RICH-NONCORE-DELAWARE NORTH</v>
      </c>
      <c r="C1560" t="s">
        <v>834</v>
      </c>
      <c r="D1560" s="1" t="str">
        <f t="shared" si="43"/>
        <v>PRG-1017430</v>
      </c>
      <c r="E1560" t="s">
        <v>191</v>
      </c>
      <c r="F1560" t="s">
        <v>4</v>
      </c>
      <c r="G1560" t="str">
        <f>""</f>
        <v/>
      </c>
    </row>
    <row r="1561" spans="1:7" x14ac:dyDescent="0.25">
      <c r="A1561" t="s">
        <v>8</v>
      </c>
      <c r="B1561" s="1" t="str">
        <f>"000110634 - RICH NC(DPMRETRO)-DELAWARE NOR"</f>
        <v>000110634 - RICH NC(DPMRETRO)-DELAWARE NOR</v>
      </c>
      <c r="C1561" t="s">
        <v>836</v>
      </c>
      <c r="D1561" s="1" t="str">
        <f t="shared" si="43"/>
        <v>PRG-1017430</v>
      </c>
      <c r="E1561" t="s">
        <v>191</v>
      </c>
      <c r="F1561" t="s">
        <v>4</v>
      </c>
      <c r="G1561" t="str">
        <f>""</f>
        <v/>
      </c>
    </row>
    <row r="1562" spans="1:7" x14ac:dyDescent="0.25">
      <c r="A1562" t="s">
        <v>8</v>
      </c>
      <c r="B1562" s="1" t="str">
        <f>"000115809 - RICHS CORE(DPMRETRO)-DELAWARE"</f>
        <v>000115809 - RICHS CORE(DPMRETRO)-DELAWARE</v>
      </c>
      <c r="C1562" t="s">
        <v>860</v>
      </c>
      <c r="D1562" s="1" t="str">
        <f t="shared" si="43"/>
        <v>PRG-1017430</v>
      </c>
      <c r="E1562" t="s">
        <v>191</v>
      </c>
      <c r="F1562" t="s">
        <v>4</v>
      </c>
      <c r="G1562" t="str">
        <f>""</f>
        <v/>
      </c>
    </row>
    <row r="1563" spans="1:7" x14ac:dyDescent="0.25">
      <c r="A1563" t="s">
        <v>8</v>
      </c>
      <c r="B1563" s="1" t="str">
        <f>"000116319 - RICH-CORE CC BB-DELAWARE"</f>
        <v>000116319 - RICH-CORE CC BB-DELAWARE</v>
      </c>
      <c r="C1563" t="s">
        <v>866</v>
      </c>
      <c r="D1563" s="1" t="str">
        <f t="shared" si="43"/>
        <v>PRG-1017430</v>
      </c>
      <c r="E1563" t="s">
        <v>191</v>
      </c>
      <c r="F1563" t="s">
        <v>4</v>
      </c>
      <c r="G1563" t="str">
        <f>""</f>
        <v/>
      </c>
    </row>
    <row r="1564" spans="1:7" x14ac:dyDescent="0.25">
      <c r="A1564" t="s">
        <v>8</v>
      </c>
      <c r="B1564" s="1" t="str">
        <f>"000116320 - RICH-NONCORE-DELAWARE NORTH"</f>
        <v>000116320 - RICH-NONCORE-DELAWARE NORTH</v>
      </c>
      <c r="C1564" t="s">
        <v>834</v>
      </c>
      <c r="D1564" s="1" t="str">
        <f t="shared" si="43"/>
        <v>PRG-1017430</v>
      </c>
      <c r="E1564" t="s">
        <v>191</v>
      </c>
      <c r="F1564" t="s">
        <v>4</v>
      </c>
      <c r="G1564" t="str">
        <f>""</f>
        <v/>
      </c>
    </row>
    <row r="1565" spans="1:7" x14ac:dyDescent="0.25">
      <c r="A1565" t="s">
        <v>8</v>
      </c>
      <c r="B1565" s="1" t="str">
        <f>"000126990 - RICH C BB-DELAWARE"</f>
        <v>000126990 - RICH C BB-DELAWARE</v>
      </c>
      <c r="C1565" t="s">
        <v>282</v>
      </c>
      <c r="D1565" s="1" t="str">
        <f t="shared" si="43"/>
        <v>PRG-1017430</v>
      </c>
      <c r="E1565" t="s">
        <v>191</v>
      </c>
      <c r="F1565" t="s">
        <v>4</v>
      </c>
      <c r="G1565" t="str">
        <f>""</f>
        <v/>
      </c>
    </row>
    <row r="1566" spans="1:7" x14ac:dyDescent="0.25">
      <c r="A1566" t="s">
        <v>8</v>
      </c>
      <c r="B1566" s="1" t="str">
        <f>"000128696 - RICHS CORE BB-DELAWARE"</f>
        <v>000128696 - RICHS CORE BB-DELAWARE</v>
      </c>
      <c r="C1566" t="s">
        <v>929</v>
      </c>
      <c r="D1566" s="1" t="str">
        <f t="shared" si="43"/>
        <v>PRG-1017430</v>
      </c>
      <c r="E1566" t="s">
        <v>191</v>
      </c>
      <c r="F1566" t="s">
        <v>4</v>
      </c>
      <c r="G1566" t="str">
        <f>""</f>
        <v/>
      </c>
    </row>
    <row r="1567" spans="1:7" x14ac:dyDescent="0.25">
      <c r="A1567" t="s">
        <v>8</v>
      </c>
      <c r="B1567" s="1" t="str">
        <f>"000128725 - RICH C BB-DELAWARE"</f>
        <v>000128725 - RICH C BB-DELAWARE</v>
      </c>
      <c r="C1567" t="s">
        <v>282</v>
      </c>
      <c r="D1567" s="1" t="str">
        <f t="shared" si="43"/>
        <v>PRG-1017430</v>
      </c>
      <c r="E1567" t="s">
        <v>191</v>
      </c>
      <c r="F1567" t="s">
        <v>4</v>
      </c>
      <c r="G1567" t="str">
        <f>""</f>
        <v/>
      </c>
    </row>
    <row r="1568" spans="1:7" x14ac:dyDescent="0.25">
      <c r="A1568" t="s">
        <v>8</v>
      </c>
      <c r="B1568" s="1" t="str">
        <f>"000174280 - (L)RICH FOODS-DELAWARE(OR)"</f>
        <v>000174280 - (L)RICH FOODS-DELAWARE(OR)</v>
      </c>
      <c r="C1568" t="s">
        <v>1110</v>
      </c>
      <c r="D1568" s="1" t="str">
        <f t="shared" si="43"/>
        <v>PRG-1017430</v>
      </c>
      <c r="E1568" t="s">
        <v>191</v>
      </c>
      <c r="F1568" t="s">
        <v>4</v>
      </c>
      <c r="G1568" t="str">
        <f>""</f>
        <v/>
      </c>
    </row>
    <row r="1569" spans="1:7" x14ac:dyDescent="0.25">
      <c r="A1569" t="s">
        <v>8</v>
      </c>
      <c r="B1569" s="1" t="str">
        <f>"000180669 - RICH'S-DELAWARE NORTH"</f>
        <v>000180669 - RICH'S-DELAWARE NORTH</v>
      </c>
      <c r="C1569" t="s">
        <v>814</v>
      </c>
      <c r="D1569" s="1" t="str">
        <f t="shared" si="43"/>
        <v>PRG-1017430</v>
      </c>
      <c r="E1569" t="s">
        <v>191</v>
      </c>
      <c r="F1569" t="s">
        <v>4</v>
      </c>
      <c r="G1569" t="str">
        <f>""</f>
        <v/>
      </c>
    </row>
    <row r="1570" spans="1:7" x14ac:dyDescent="0.25">
      <c r="A1570" t="s">
        <v>8</v>
      </c>
      <c r="B1570" s="1" t="str">
        <f>"000180772 - RICH FOODS-DELAWARE"</f>
        <v>000180772 - RICH FOODS-DELAWARE</v>
      </c>
      <c r="C1570" t="s">
        <v>190</v>
      </c>
      <c r="D1570" s="1" t="str">
        <f t="shared" si="43"/>
        <v>PRG-1017430</v>
      </c>
      <c r="E1570" t="s">
        <v>191</v>
      </c>
      <c r="F1570" t="s">
        <v>4</v>
      </c>
      <c r="G1570" t="str">
        <f>""</f>
        <v/>
      </c>
    </row>
    <row r="1571" spans="1:7" x14ac:dyDescent="0.25">
      <c r="A1571" t="s">
        <v>8</v>
      </c>
      <c r="B1571" s="1" t="str">
        <f>"000188108 - RICH-CORE-DELAWARE NORTH"</f>
        <v>000188108 - RICH-CORE-DELAWARE NORTH</v>
      </c>
      <c r="C1571" t="s">
        <v>833</v>
      </c>
      <c r="D1571" s="1" t="str">
        <f t="shared" si="43"/>
        <v>PRG-1017430</v>
      </c>
      <c r="E1571" t="s">
        <v>191</v>
      </c>
      <c r="F1571" t="s">
        <v>4</v>
      </c>
      <c r="G1571" t="str">
        <f>""</f>
        <v/>
      </c>
    </row>
    <row r="1572" spans="1:7" x14ac:dyDescent="0.25">
      <c r="A1572" t="s">
        <v>8</v>
      </c>
      <c r="B1572" s="1" t="str">
        <f>"000188109 - RICH-NONCORE-DELAWARE NORTH"</f>
        <v>000188109 - RICH-NONCORE-DELAWARE NORTH</v>
      </c>
      <c r="C1572" t="s">
        <v>834</v>
      </c>
      <c r="D1572" s="1" t="str">
        <f t="shared" si="43"/>
        <v>PRG-1017430</v>
      </c>
      <c r="E1572" t="s">
        <v>191</v>
      </c>
      <c r="F1572" t="s">
        <v>4</v>
      </c>
      <c r="G1572" t="str">
        <f>""</f>
        <v/>
      </c>
    </row>
    <row r="1573" spans="1:7" x14ac:dyDescent="0.25">
      <c r="A1573" t="s">
        <v>8</v>
      </c>
      <c r="B1573" s="1" t="str">
        <f>"000188144 - RICH'S-DELAWARE NORTH"</f>
        <v>000188144 - RICH'S-DELAWARE NORTH</v>
      </c>
      <c r="C1573" t="s">
        <v>814</v>
      </c>
      <c r="D1573" s="1" t="str">
        <f t="shared" si="43"/>
        <v>PRG-1017430</v>
      </c>
      <c r="E1573" t="s">
        <v>191</v>
      </c>
      <c r="F1573" t="s">
        <v>4</v>
      </c>
      <c r="G1573" t="str">
        <f>""</f>
        <v/>
      </c>
    </row>
    <row r="1574" spans="1:7" x14ac:dyDescent="0.25">
      <c r="A1574" t="s">
        <v>8</v>
      </c>
      <c r="B1574" s="1" t="str">
        <f>"000190659 - BB DELAWARE FOB RICH"</f>
        <v>000190659 - BB DELAWARE FOB RICH</v>
      </c>
      <c r="C1574" t="s">
        <v>1205</v>
      </c>
      <c r="D1574" s="1" t="str">
        <f t="shared" si="43"/>
        <v>PRG-1017430</v>
      </c>
      <c r="E1574" t="s">
        <v>191</v>
      </c>
      <c r="F1574" t="s">
        <v>4</v>
      </c>
      <c r="G1574" t="str">
        <f>""</f>
        <v/>
      </c>
    </row>
    <row r="1575" spans="1:7" x14ac:dyDescent="0.25">
      <c r="A1575" t="s">
        <v>8</v>
      </c>
      <c r="B1575" s="1" t="str">
        <f>"000195422 - RICH-NONCORE-DELAWARE NORTH"</f>
        <v>000195422 - RICH-NONCORE-DELAWARE NORTH</v>
      </c>
      <c r="C1575" t="s">
        <v>834</v>
      </c>
      <c r="D1575" s="1" t="str">
        <f t="shared" si="43"/>
        <v>PRG-1017430</v>
      </c>
      <c r="E1575" t="s">
        <v>191</v>
      </c>
      <c r="F1575" t="s">
        <v>4</v>
      </c>
      <c r="G1575" t="str">
        <f>""</f>
        <v/>
      </c>
    </row>
    <row r="1576" spans="1:7" x14ac:dyDescent="0.25">
      <c r="A1576" t="s">
        <v>8</v>
      </c>
      <c r="B1576" s="1" t="str">
        <f>"000196298 - RICH-CORE CC BB-DELAWARE"</f>
        <v>000196298 - RICH-CORE CC BB-DELAWARE</v>
      </c>
      <c r="C1576" t="s">
        <v>866</v>
      </c>
      <c r="D1576" s="1" t="str">
        <f t="shared" si="43"/>
        <v>PRG-1017430</v>
      </c>
      <c r="E1576" t="s">
        <v>191</v>
      </c>
      <c r="F1576" t="s">
        <v>4</v>
      </c>
      <c r="G1576" t="str">
        <f>""</f>
        <v/>
      </c>
    </row>
    <row r="1577" spans="1:7" x14ac:dyDescent="0.25">
      <c r="A1577" t="s">
        <v>8</v>
      </c>
      <c r="B1577" s="1" t="str">
        <f>"000198147 - RICH FOODS-DELAWARE"</f>
        <v>000198147 - RICH FOODS-DELAWARE</v>
      </c>
      <c r="C1577" t="s">
        <v>190</v>
      </c>
      <c r="D1577" s="1" t="str">
        <f t="shared" si="43"/>
        <v>PRG-1017430</v>
      </c>
      <c r="E1577" t="s">
        <v>191</v>
      </c>
      <c r="F1577" t="s">
        <v>4</v>
      </c>
      <c r="G1577" t="str">
        <f>""</f>
        <v/>
      </c>
    </row>
    <row r="1578" spans="1:7" x14ac:dyDescent="0.25">
      <c r="A1578" t="s">
        <v>8</v>
      </c>
      <c r="B1578" s="1" t="str">
        <f>"000198280 - RICH FOODS-DELAWARE"</f>
        <v>000198280 - RICH FOODS-DELAWARE</v>
      </c>
      <c r="C1578" t="s">
        <v>190</v>
      </c>
      <c r="D1578" s="1" t="str">
        <f t="shared" si="43"/>
        <v>PRG-1017430</v>
      </c>
      <c r="E1578" t="s">
        <v>191</v>
      </c>
      <c r="F1578" t="s">
        <v>4</v>
      </c>
      <c r="G1578" t="str">
        <f>""</f>
        <v/>
      </c>
    </row>
    <row r="1579" spans="1:7" x14ac:dyDescent="0.25">
      <c r="A1579" t="s">
        <v>8</v>
      </c>
      <c r="B1579" s="1" t="str">
        <f>"000199266 - BB DELAWARE NORTH FOB RICH"</f>
        <v>000199266 - BB DELAWARE NORTH FOB RICH</v>
      </c>
      <c r="C1579" t="s">
        <v>1290</v>
      </c>
      <c r="D1579" s="1" t="str">
        <f t="shared" si="43"/>
        <v>PRG-1017430</v>
      </c>
      <c r="E1579" t="s">
        <v>191</v>
      </c>
      <c r="F1579" t="s">
        <v>4</v>
      </c>
      <c r="G1579" t="str">
        <f>""</f>
        <v/>
      </c>
    </row>
    <row r="1580" spans="1:7" x14ac:dyDescent="0.25">
      <c r="A1580" t="s">
        <v>8</v>
      </c>
      <c r="B1580" s="1" t="str">
        <f>"000203389 - RICH-NONCORE-DELAWARE NORTH"</f>
        <v>000203389 - RICH-NONCORE-DELAWARE NORTH</v>
      </c>
      <c r="C1580" t="s">
        <v>834</v>
      </c>
      <c r="D1580" s="1" t="str">
        <f t="shared" si="43"/>
        <v>PRG-1017430</v>
      </c>
      <c r="E1580" t="s">
        <v>191</v>
      </c>
      <c r="F1580" t="s">
        <v>4</v>
      </c>
      <c r="G1580" t="str">
        <f>""</f>
        <v/>
      </c>
    </row>
    <row r="1581" spans="1:7" x14ac:dyDescent="0.25">
      <c r="A1581" t="s">
        <v>8</v>
      </c>
      <c r="B1581" s="1" t="str">
        <f>"000203608 - BB DELAWARE FOB RICHS"</f>
        <v>000203608 - BB DELAWARE FOB RICHS</v>
      </c>
      <c r="C1581" t="s">
        <v>1341</v>
      </c>
      <c r="D1581" s="1" t="str">
        <f t="shared" si="43"/>
        <v>PRG-1017430</v>
      </c>
      <c r="E1581" t="s">
        <v>191</v>
      </c>
      <c r="F1581" t="s">
        <v>4</v>
      </c>
      <c r="G1581" t="str">
        <f>""</f>
        <v/>
      </c>
    </row>
    <row r="1582" spans="1:7" x14ac:dyDescent="0.25">
      <c r="A1582" t="s">
        <v>8</v>
      </c>
      <c r="B1582" s="1" t="str">
        <f>"000204533 - BB DELAWARE FOB RICH"</f>
        <v>000204533 - BB DELAWARE FOB RICH</v>
      </c>
      <c r="C1582" t="s">
        <v>1205</v>
      </c>
      <c r="D1582" s="1" t="str">
        <f t="shared" si="43"/>
        <v>PRG-1017430</v>
      </c>
      <c r="E1582" t="s">
        <v>191</v>
      </c>
      <c r="F1582" t="s">
        <v>4</v>
      </c>
      <c r="G1582" t="str">
        <f>""</f>
        <v/>
      </c>
    </row>
    <row r="1583" spans="1:7" x14ac:dyDescent="0.25">
      <c r="A1583" t="s">
        <v>8</v>
      </c>
      <c r="B1583" s="1" t="str">
        <f>"000206743 - RICH FOODS-DELAWARE"</f>
        <v>000206743 - RICH FOODS-DELAWARE</v>
      </c>
      <c r="C1583" t="s">
        <v>190</v>
      </c>
      <c r="D1583" s="1" t="str">
        <f t="shared" si="43"/>
        <v>PRG-1017430</v>
      </c>
      <c r="E1583" t="s">
        <v>191</v>
      </c>
      <c r="F1583" t="s">
        <v>4</v>
      </c>
      <c r="G1583" t="str">
        <f>""</f>
        <v/>
      </c>
    </row>
    <row r="1584" spans="1:7" x14ac:dyDescent="0.25">
      <c r="A1584" t="s">
        <v>8</v>
      </c>
      <c r="B1584" s="1" t="str">
        <f>"000206771 - RICH'S-DELAWARE NORTH"</f>
        <v>000206771 - RICH'S-DELAWARE NORTH</v>
      </c>
      <c r="C1584" t="s">
        <v>814</v>
      </c>
      <c r="D1584" s="1" t="str">
        <f t="shared" si="43"/>
        <v>PRG-1017430</v>
      </c>
      <c r="E1584" t="s">
        <v>191</v>
      </c>
      <c r="F1584" t="s">
        <v>4</v>
      </c>
      <c r="G1584" t="str">
        <f>""</f>
        <v/>
      </c>
    </row>
    <row r="1585" spans="1:7" x14ac:dyDescent="0.25">
      <c r="A1585" t="s">
        <v>8</v>
      </c>
      <c r="B1585" s="1" t="str">
        <f>"000207578 - RICH-CORE-DELAWARE NORTH"</f>
        <v>000207578 - RICH-CORE-DELAWARE NORTH</v>
      </c>
      <c r="C1585" t="s">
        <v>833</v>
      </c>
      <c r="D1585" s="1" t="str">
        <f t="shared" si="43"/>
        <v>PRG-1017430</v>
      </c>
      <c r="E1585" t="s">
        <v>191</v>
      </c>
      <c r="F1585" t="s">
        <v>4</v>
      </c>
      <c r="G1585" t="str">
        <f>""</f>
        <v/>
      </c>
    </row>
    <row r="1586" spans="1:7" x14ac:dyDescent="0.25">
      <c r="A1586" t="s">
        <v>8</v>
      </c>
      <c r="B1586" s="1" t="str">
        <f>"000207579 - RICH-NONCORE-DELAWARE NORTH"</f>
        <v>000207579 - RICH-NONCORE-DELAWARE NORTH</v>
      </c>
      <c r="C1586" t="s">
        <v>834</v>
      </c>
      <c r="D1586" s="1" t="str">
        <f t="shared" si="43"/>
        <v>PRG-1017430</v>
      </c>
      <c r="E1586" t="s">
        <v>191</v>
      </c>
      <c r="F1586" t="s">
        <v>4</v>
      </c>
      <c r="G1586" t="str">
        <f>""</f>
        <v/>
      </c>
    </row>
    <row r="1587" spans="1:7" x14ac:dyDescent="0.25">
      <c r="A1587" t="s">
        <v>8</v>
      </c>
      <c r="B1587" s="1" t="str">
        <f>"000207844 - RICH'S-DELAWARE NORTH"</f>
        <v>000207844 - RICH'S-DELAWARE NORTH</v>
      </c>
      <c r="C1587" t="s">
        <v>814</v>
      </c>
      <c r="D1587" s="1" t="str">
        <f t="shared" si="43"/>
        <v>PRG-1017430</v>
      </c>
      <c r="E1587" t="s">
        <v>191</v>
      </c>
      <c r="F1587" t="s">
        <v>4</v>
      </c>
      <c r="G1587" t="str">
        <f>""</f>
        <v/>
      </c>
    </row>
    <row r="1588" spans="1:7" x14ac:dyDescent="0.25">
      <c r="A1588" t="s">
        <v>8</v>
      </c>
      <c r="B1588" s="1" t="str">
        <f>"000208027 - BB DELAWRE DPM FIX RICH"</f>
        <v>000208027 - BB DELAWRE DPM FIX RICH</v>
      </c>
      <c r="C1588" t="s">
        <v>1384</v>
      </c>
      <c r="D1588" s="1" t="str">
        <f t="shared" si="43"/>
        <v>PRG-1017430</v>
      </c>
      <c r="E1588" t="s">
        <v>191</v>
      </c>
      <c r="F1588" t="s">
        <v>4</v>
      </c>
      <c r="G1588" t="str">
        <f>""</f>
        <v/>
      </c>
    </row>
    <row r="1589" spans="1:7" x14ac:dyDescent="0.25">
      <c r="A1589" t="s">
        <v>8</v>
      </c>
      <c r="B1589" s="1" t="str">
        <f>"000208262 - RICH FOODS-DELAWARE"</f>
        <v>000208262 - RICH FOODS-DELAWARE</v>
      </c>
      <c r="C1589" t="s">
        <v>190</v>
      </c>
      <c r="D1589" s="1" t="str">
        <f t="shared" si="43"/>
        <v>PRG-1017430</v>
      </c>
      <c r="E1589" t="s">
        <v>191</v>
      </c>
      <c r="F1589" t="s">
        <v>4</v>
      </c>
      <c r="G1589" t="str">
        <f>""</f>
        <v/>
      </c>
    </row>
    <row r="1590" spans="1:7" x14ac:dyDescent="0.25">
      <c r="A1590" t="s">
        <v>8</v>
      </c>
      <c r="B1590" s="1" t="str">
        <f>"000209215 - RICH FOODS-DELAWARE"</f>
        <v>000209215 - RICH FOODS-DELAWARE</v>
      </c>
      <c r="C1590" t="s">
        <v>190</v>
      </c>
      <c r="D1590" s="1" t="str">
        <f t="shared" si="43"/>
        <v>PRG-1017430</v>
      </c>
      <c r="E1590" t="s">
        <v>191</v>
      </c>
      <c r="F1590" t="s">
        <v>4</v>
      </c>
      <c r="G1590" t="str">
        <f>""</f>
        <v/>
      </c>
    </row>
    <row r="1591" spans="1:7" x14ac:dyDescent="0.25">
      <c r="A1591" t="s">
        <v>8</v>
      </c>
      <c r="B1591" s="1" t="str">
        <f>"000210523 - RICH C BB-DELAWARE"</f>
        <v>000210523 - RICH C BB-DELAWARE</v>
      </c>
      <c r="C1591" t="s">
        <v>282</v>
      </c>
      <c r="D1591" s="1" t="str">
        <f t="shared" si="43"/>
        <v>PRG-1017430</v>
      </c>
      <c r="E1591" t="s">
        <v>191</v>
      </c>
      <c r="F1591" t="s">
        <v>4</v>
      </c>
      <c r="G1591" t="str">
        <f>""</f>
        <v/>
      </c>
    </row>
    <row r="1592" spans="1:7" x14ac:dyDescent="0.25">
      <c r="A1592" t="s">
        <v>8</v>
      </c>
      <c r="B1592" s="1" t="str">
        <f>"000210524 - RICH NC BB-DELAWARE"</f>
        <v>000210524 - RICH NC BB-DELAWARE</v>
      </c>
      <c r="C1592" t="s">
        <v>691</v>
      </c>
      <c r="D1592" s="1" t="str">
        <f t="shared" si="43"/>
        <v>PRG-1017430</v>
      </c>
      <c r="E1592" t="s">
        <v>191</v>
      </c>
      <c r="F1592" t="s">
        <v>4</v>
      </c>
      <c r="G1592" t="str">
        <f>""</f>
        <v/>
      </c>
    </row>
    <row r="1593" spans="1:7" x14ac:dyDescent="0.25">
      <c r="A1593" t="s">
        <v>8</v>
      </c>
      <c r="B1593" s="1" t="str">
        <f>"000212778 - RICHS CORE BB-DELAWARE"</f>
        <v>000212778 - RICHS CORE BB-DELAWARE</v>
      </c>
      <c r="C1593" t="s">
        <v>929</v>
      </c>
      <c r="D1593" s="1" t="str">
        <f t="shared" si="43"/>
        <v>PRG-1017430</v>
      </c>
      <c r="E1593" t="s">
        <v>191</v>
      </c>
      <c r="F1593" t="s">
        <v>4</v>
      </c>
      <c r="G1593" t="str">
        <f>""</f>
        <v/>
      </c>
    </row>
    <row r="1594" spans="1:7" x14ac:dyDescent="0.25">
      <c r="A1594" t="s">
        <v>8</v>
      </c>
      <c r="B1594" s="1" t="str">
        <f>"000212779 - RICHS NC BB-DELAWARE"</f>
        <v>000212779 - RICHS NC BB-DELAWARE</v>
      </c>
      <c r="C1594" t="s">
        <v>1467</v>
      </c>
      <c r="D1594" s="1" t="str">
        <f t="shared" si="43"/>
        <v>PRG-1017430</v>
      </c>
      <c r="E1594" t="s">
        <v>191</v>
      </c>
      <c r="F1594" t="s">
        <v>4</v>
      </c>
      <c r="G1594" t="str">
        <f>""</f>
        <v/>
      </c>
    </row>
    <row r="1595" spans="1:7" x14ac:dyDescent="0.25">
      <c r="A1595" t="s">
        <v>8</v>
      </c>
      <c r="B1595" s="1" t="str">
        <f>"000212835 - RICH C BB-DELAWARE"</f>
        <v>000212835 - RICH C BB-DELAWARE</v>
      </c>
      <c r="C1595" t="s">
        <v>282</v>
      </c>
      <c r="D1595" s="1" t="str">
        <f t="shared" si="43"/>
        <v>PRG-1017430</v>
      </c>
      <c r="E1595" t="s">
        <v>191</v>
      </c>
      <c r="F1595" t="s">
        <v>4</v>
      </c>
      <c r="G1595" t="str">
        <f>""</f>
        <v/>
      </c>
    </row>
    <row r="1596" spans="1:7" x14ac:dyDescent="0.25">
      <c r="A1596" t="s">
        <v>8</v>
      </c>
      <c r="B1596" s="1" t="str">
        <f>"000212836 - RICH NC BB-DELAWARE"</f>
        <v>000212836 - RICH NC BB-DELAWARE</v>
      </c>
      <c r="C1596" t="s">
        <v>691</v>
      </c>
      <c r="D1596" s="1" t="str">
        <f t="shared" si="43"/>
        <v>PRG-1017430</v>
      </c>
      <c r="E1596" t="s">
        <v>191</v>
      </c>
      <c r="F1596" t="s">
        <v>4</v>
      </c>
      <c r="G1596" t="str">
        <f>""</f>
        <v/>
      </c>
    </row>
    <row r="1597" spans="1:7" x14ac:dyDescent="0.25">
      <c r="A1597" t="s">
        <v>8</v>
      </c>
      <c r="B1597" s="1" t="str">
        <f>"000214440 - BB DELAWARE DPMFX CR RICH"</f>
        <v>000214440 - BB DELAWARE DPMFX CR RICH</v>
      </c>
      <c r="C1597" t="s">
        <v>1496</v>
      </c>
      <c r="D1597" s="1" t="str">
        <f t="shared" si="43"/>
        <v>PRG-1017430</v>
      </c>
      <c r="E1597" t="s">
        <v>191</v>
      </c>
      <c r="F1597" t="s">
        <v>4</v>
      </c>
      <c r="G1597" t="str">
        <f>""</f>
        <v/>
      </c>
    </row>
    <row r="1598" spans="1:7" x14ac:dyDescent="0.25">
      <c r="A1598" t="s">
        <v>8</v>
      </c>
      <c r="B1598" s="1" t="str">
        <f>"000214441 - BB DELAWARE FOB CR RICH"</f>
        <v>000214441 - BB DELAWARE FOB CR RICH</v>
      </c>
      <c r="C1598" t="s">
        <v>1497</v>
      </c>
      <c r="D1598" s="1" t="str">
        <f t="shared" si="43"/>
        <v>PRG-1017430</v>
      </c>
      <c r="E1598" t="s">
        <v>191</v>
      </c>
      <c r="F1598" t="s">
        <v>4</v>
      </c>
      <c r="G1598" t="str">
        <f>""</f>
        <v/>
      </c>
    </row>
    <row r="1599" spans="1:7" x14ac:dyDescent="0.25">
      <c r="A1599" t="s">
        <v>8</v>
      </c>
      <c r="B1599" s="1" t="str">
        <f>"000214443 - BB DELAWARE FOB NC RICH"</f>
        <v>000214443 - BB DELAWARE FOB NC RICH</v>
      </c>
      <c r="C1599" t="s">
        <v>1498</v>
      </c>
      <c r="D1599" s="1" t="str">
        <f t="shared" si="43"/>
        <v>PRG-1017430</v>
      </c>
      <c r="E1599" t="s">
        <v>191</v>
      </c>
      <c r="F1599" t="s">
        <v>4</v>
      </c>
      <c r="G1599" t="str">
        <f>""</f>
        <v/>
      </c>
    </row>
    <row r="1600" spans="1:7" x14ac:dyDescent="0.25">
      <c r="A1600" t="s">
        <v>8</v>
      </c>
      <c r="B1600" s="1" t="str">
        <f>"000214761 - RICH-CORE-DELAWARE NORTH"</f>
        <v>000214761 - RICH-CORE-DELAWARE NORTH</v>
      </c>
      <c r="C1600" t="s">
        <v>833</v>
      </c>
      <c r="D1600" s="1" t="str">
        <f t="shared" si="43"/>
        <v>PRG-1017430</v>
      </c>
      <c r="E1600" t="s">
        <v>191</v>
      </c>
      <c r="F1600" t="s">
        <v>4</v>
      </c>
      <c r="G1600" t="str">
        <f>""</f>
        <v/>
      </c>
    </row>
    <row r="1601" spans="1:7" x14ac:dyDescent="0.25">
      <c r="A1601" t="s">
        <v>8</v>
      </c>
      <c r="B1601" s="1" t="str">
        <f>"000214762 - RICH-NONCORE-DELAWARE NORTH"</f>
        <v>000214762 - RICH-NONCORE-DELAWARE NORTH</v>
      </c>
      <c r="C1601" t="s">
        <v>834</v>
      </c>
      <c r="D1601" s="1" t="str">
        <f t="shared" si="43"/>
        <v>PRG-1017430</v>
      </c>
      <c r="E1601" t="s">
        <v>191</v>
      </c>
      <c r="F1601" t="s">
        <v>4</v>
      </c>
      <c r="G1601" t="str">
        <f>""</f>
        <v/>
      </c>
    </row>
    <row r="1602" spans="1:7" x14ac:dyDescent="0.25">
      <c r="A1602" t="s">
        <v>8</v>
      </c>
      <c r="B1602" s="1" t="str">
        <f>"000216293 - RICH'S-DELAWARE NORTH"</f>
        <v>000216293 - RICH'S-DELAWARE NORTH</v>
      </c>
      <c r="C1602" t="s">
        <v>814</v>
      </c>
      <c r="D1602" s="1" t="str">
        <f t="shared" si="43"/>
        <v>PRG-1017430</v>
      </c>
      <c r="E1602" t="s">
        <v>191</v>
      </c>
      <c r="F1602" t="s">
        <v>4</v>
      </c>
      <c r="G1602" t="str">
        <f>""</f>
        <v/>
      </c>
    </row>
    <row r="1603" spans="1:7" x14ac:dyDescent="0.25">
      <c r="A1603" t="s">
        <v>8</v>
      </c>
      <c r="B1603" s="1" t="str">
        <f>"000216520 - RICH-CORE CC BB-DELAWARE"</f>
        <v>000216520 - RICH-CORE CC BB-DELAWARE</v>
      </c>
      <c r="C1603" t="s">
        <v>866</v>
      </c>
      <c r="D1603" s="1" t="str">
        <f t="shared" si="43"/>
        <v>PRG-1017430</v>
      </c>
      <c r="E1603" t="s">
        <v>191</v>
      </c>
      <c r="F1603" t="s">
        <v>4</v>
      </c>
      <c r="G1603" t="str">
        <f>""</f>
        <v/>
      </c>
    </row>
    <row r="1604" spans="1:7" x14ac:dyDescent="0.25">
      <c r="A1604" t="s">
        <v>8</v>
      </c>
      <c r="B1604" s="1" t="str">
        <f>"000216526 - BB DELAWARE FOB RICH"</f>
        <v>000216526 - BB DELAWARE FOB RICH</v>
      </c>
      <c r="C1604" t="s">
        <v>1205</v>
      </c>
      <c r="D1604" s="1" t="str">
        <f t="shared" si="43"/>
        <v>PRG-1017430</v>
      </c>
      <c r="E1604" t="s">
        <v>191</v>
      </c>
      <c r="F1604" t="s">
        <v>4</v>
      </c>
      <c r="G1604" t="str">
        <f>""</f>
        <v/>
      </c>
    </row>
    <row r="1605" spans="1:7" x14ac:dyDescent="0.25">
      <c r="A1605" t="s">
        <v>8</v>
      </c>
      <c r="B1605" s="1" t="str">
        <f>"000216758 - RICH-CORE-DELAWARE NORTH"</f>
        <v>000216758 - RICH-CORE-DELAWARE NORTH</v>
      </c>
      <c r="C1605" t="s">
        <v>833</v>
      </c>
      <c r="D1605" s="1" t="str">
        <f t="shared" si="43"/>
        <v>PRG-1017430</v>
      </c>
      <c r="E1605" t="s">
        <v>191</v>
      </c>
      <c r="F1605" t="s">
        <v>4</v>
      </c>
      <c r="G1605" t="str">
        <f>""</f>
        <v/>
      </c>
    </row>
    <row r="1606" spans="1:7" x14ac:dyDescent="0.25">
      <c r="A1606" t="s">
        <v>8</v>
      </c>
      <c r="B1606" s="1" t="str">
        <f>"000216759 - RICH-NONCORE-DELAWARE NORTH"</f>
        <v>000216759 - RICH-NONCORE-DELAWARE NORTH</v>
      </c>
      <c r="C1606" t="s">
        <v>834</v>
      </c>
      <c r="D1606" s="1" t="str">
        <f t="shared" si="43"/>
        <v>PRG-1017430</v>
      </c>
      <c r="E1606" t="s">
        <v>191</v>
      </c>
      <c r="F1606" t="s">
        <v>4</v>
      </c>
      <c r="G1606" t="str">
        <f>""</f>
        <v/>
      </c>
    </row>
    <row r="1607" spans="1:7" x14ac:dyDescent="0.25">
      <c r="A1607" t="s">
        <v>8</v>
      </c>
      <c r="B1607" s="1" t="str">
        <f>"000217000 - RICH C BB-DELAWARE"</f>
        <v>000217000 - RICH C BB-DELAWARE</v>
      </c>
      <c r="C1607" t="s">
        <v>282</v>
      </c>
      <c r="D1607" s="1" t="str">
        <f t="shared" si="43"/>
        <v>PRG-1017430</v>
      </c>
      <c r="E1607" t="s">
        <v>191</v>
      </c>
      <c r="F1607" t="s">
        <v>4</v>
      </c>
      <c r="G1607" t="str">
        <f>""</f>
        <v/>
      </c>
    </row>
    <row r="1608" spans="1:7" x14ac:dyDescent="0.25">
      <c r="A1608" t="s">
        <v>8</v>
      </c>
      <c r="B1608" s="1" t="str">
        <f>"000217001 - RICH NC BB-DELAWARE"</f>
        <v>000217001 - RICH NC BB-DELAWARE</v>
      </c>
      <c r="C1608" t="s">
        <v>691</v>
      </c>
      <c r="D1608" s="1" t="str">
        <f t="shared" si="43"/>
        <v>PRG-1017430</v>
      </c>
      <c r="E1608" t="s">
        <v>191</v>
      </c>
      <c r="F1608" t="s">
        <v>4</v>
      </c>
      <c r="G1608" t="str">
        <f>""</f>
        <v/>
      </c>
    </row>
    <row r="1609" spans="1:7" x14ac:dyDescent="0.25">
      <c r="A1609" t="s">
        <v>8</v>
      </c>
      <c r="B1609" s="1" t="str">
        <f>"000217888 - RICH'S-DELAWARE NORTH"</f>
        <v>000217888 - RICH'S-DELAWARE NORTH</v>
      </c>
      <c r="C1609" t="s">
        <v>814</v>
      </c>
      <c r="D1609" s="1" t="str">
        <f t="shared" si="43"/>
        <v>PRG-1017430</v>
      </c>
      <c r="E1609" t="s">
        <v>191</v>
      </c>
      <c r="F1609" t="s">
        <v>4</v>
      </c>
      <c r="G1609" t="str">
        <f>""</f>
        <v/>
      </c>
    </row>
    <row r="1610" spans="1:7" x14ac:dyDescent="0.25">
      <c r="A1610" t="s">
        <v>8</v>
      </c>
      <c r="B1610" s="1" t="str">
        <f>"000219079 - RICHS CORE BB-DELAWARE"</f>
        <v>000219079 - RICHS CORE BB-DELAWARE</v>
      </c>
      <c r="C1610" t="s">
        <v>929</v>
      </c>
      <c r="D1610" s="1" t="str">
        <f t="shared" si="43"/>
        <v>PRG-1017430</v>
      </c>
      <c r="E1610" t="s">
        <v>191</v>
      </c>
      <c r="F1610" t="s">
        <v>4</v>
      </c>
      <c r="G1610" t="str">
        <f>""</f>
        <v/>
      </c>
    </row>
    <row r="1611" spans="1:7" x14ac:dyDescent="0.25">
      <c r="A1611" t="s">
        <v>8</v>
      </c>
      <c r="B1611" s="1" t="str">
        <f>"000219080 - RICHS NC BB-DELAWARE"</f>
        <v>000219080 - RICHS NC BB-DELAWARE</v>
      </c>
      <c r="C1611" t="s">
        <v>1467</v>
      </c>
      <c r="D1611" s="1" t="str">
        <f t="shared" si="43"/>
        <v>PRG-1017430</v>
      </c>
      <c r="E1611" t="s">
        <v>191</v>
      </c>
      <c r="F1611" t="s">
        <v>4</v>
      </c>
      <c r="G1611" t="str">
        <f>""</f>
        <v/>
      </c>
    </row>
    <row r="1612" spans="1:7" x14ac:dyDescent="0.25">
      <c r="A1612" t="s">
        <v>8</v>
      </c>
      <c r="B1612" s="1" t="str">
        <f>"000219133 - RICH C BB-DELAWARE"</f>
        <v>000219133 - RICH C BB-DELAWARE</v>
      </c>
      <c r="C1612" t="s">
        <v>282</v>
      </c>
      <c r="D1612" s="1" t="str">
        <f t="shared" si="43"/>
        <v>PRG-1017430</v>
      </c>
      <c r="E1612" t="s">
        <v>191</v>
      </c>
      <c r="F1612" t="s">
        <v>4</v>
      </c>
      <c r="G1612" t="str">
        <f>""</f>
        <v/>
      </c>
    </row>
    <row r="1613" spans="1:7" x14ac:dyDescent="0.25">
      <c r="A1613" t="s">
        <v>8</v>
      </c>
      <c r="B1613" s="1" t="str">
        <f>"000219134 - RICH NC BB-DELAWARE"</f>
        <v>000219134 - RICH NC BB-DELAWARE</v>
      </c>
      <c r="C1613" t="s">
        <v>691</v>
      </c>
      <c r="D1613" s="1" t="str">
        <f t="shared" si="43"/>
        <v>PRG-1017430</v>
      </c>
      <c r="E1613" t="s">
        <v>191</v>
      </c>
      <c r="F1613" t="s">
        <v>4</v>
      </c>
      <c r="G1613" t="str">
        <f>""</f>
        <v/>
      </c>
    </row>
    <row r="1614" spans="1:7" x14ac:dyDescent="0.25">
      <c r="A1614" t="s">
        <v>8</v>
      </c>
      <c r="B1614" s="1" t="str">
        <f>"000220148 - RICH FOODS-DELAWARE"</f>
        <v>000220148 - RICH FOODS-DELAWARE</v>
      </c>
      <c r="C1614" t="s">
        <v>190</v>
      </c>
      <c r="D1614" s="1" t="str">
        <f t="shared" si="43"/>
        <v>PRG-1017430</v>
      </c>
      <c r="E1614" t="s">
        <v>191</v>
      </c>
      <c r="F1614" t="s">
        <v>4</v>
      </c>
      <c r="G1614" t="str">
        <f>""</f>
        <v/>
      </c>
    </row>
    <row r="1615" spans="1:7" x14ac:dyDescent="0.25">
      <c r="A1615" t="s">
        <v>8</v>
      </c>
      <c r="B1615" s="1" t="str">
        <f>"000220968 - RICH FOODS-DELAWARE"</f>
        <v>000220968 - RICH FOODS-DELAWARE</v>
      </c>
      <c r="C1615" t="s">
        <v>190</v>
      </c>
      <c r="D1615" s="1" t="str">
        <f t="shared" si="43"/>
        <v>PRG-1017430</v>
      </c>
      <c r="E1615" t="s">
        <v>191</v>
      </c>
      <c r="F1615" t="s">
        <v>4</v>
      </c>
      <c r="G1615" t="str">
        <f>""</f>
        <v/>
      </c>
    </row>
    <row r="1616" spans="1:7" x14ac:dyDescent="0.25">
      <c r="A1616" t="s">
        <v>8</v>
      </c>
      <c r="B1616" s="1" t="str">
        <f>"000222674 - RICH-CORE-DELAWARE NORTH"</f>
        <v>000222674 - RICH-CORE-DELAWARE NORTH</v>
      </c>
      <c r="C1616" t="s">
        <v>833</v>
      </c>
      <c r="D1616" s="1" t="str">
        <f t="shared" si="43"/>
        <v>PRG-1017430</v>
      </c>
      <c r="E1616" t="s">
        <v>191</v>
      </c>
      <c r="F1616" t="s">
        <v>4</v>
      </c>
      <c r="G1616" t="str">
        <f>""</f>
        <v/>
      </c>
    </row>
    <row r="1617" spans="1:7" x14ac:dyDescent="0.25">
      <c r="A1617" t="s">
        <v>8</v>
      </c>
      <c r="B1617" s="1" t="str">
        <f>"000222675 - RICH-NONCORE-DELAWARE NORTH"</f>
        <v>000222675 - RICH-NONCORE-DELAWARE NORTH</v>
      </c>
      <c r="C1617" t="s">
        <v>834</v>
      </c>
      <c r="D1617" s="1" t="str">
        <f t="shared" si="43"/>
        <v>PRG-1017430</v>
      </c>
      <c r="E1617" t="s">
        <v>191</v>
      </c>
      <c r="F1617" t="s">
        <v>4</v>
      </c>
      <c r="G1617" t="str">
        <f>""</f>
        <v/>
      </c>
    </row>
    <row r="1618" spans="1:7" x14ac:dyDescent="0.25">
      <c r="A1618" t="s">
        <v>8</v>
      </c>
      <c r="B1618" s="1" t="str">
        <f>"000223247 - RICH FOODS-DELAWARE"</f>
        <v>000223247 - RICH FOODS-DELAWARE</v>
      </c>
      <c r="C1618" t="s">
        <v>190</v>
      </c>
      <c r="D1618" s="1" t="str">
        <f t="shared" si="43"/>
        <v>PRG-1017430</v>
      </c>
      <c r="E1618" t="s">
        <v>191</v>
      </c>
      <c r="F1618" t="s">
        <v>4</v>
      </c>
      <c r="G1618" t="str">
        <f>""</f>
        <v/>
      </c>
    </row>
    <row r="1619" spans="1:7" x14ac:dyDescent="0.25">
      <c r="A1619" t="s">
        <v>8</v>
      </c>
      <c r="B1619" s="1" t="str">
        <f>"000223349 - RICH-CORE CC BB-DELAWARE"</f>
        <v>000223349 - RICH-CORE CC BB-DELAWARE</v>
      </c>
      <c r="C1619" t="s">
        <v>866</v>
      </c>
      <c r="D1619" s="1" t="str">
        <f t="shared" si="43"/>
        <v>PRG-1017430</v>
      </c>
      <c r="E1619" t="s">
        <v>191</v>
      </c>
      <c r="F1619" t="s">
        <v>4</v>
      </c>
      <c r="G1619" t="str">
        <f>""</f>
        <v/>
      </c>
    </row>
    <row r="1620" spans="1:7" x14ac:dyDescent="0.25">
      <c r="A1620" t="s">
        <v>8</v>
      </c>
      <c r="B1620" s="1" t="str">
        <f>"000223350 - RICH-NONCORE-DELAWARE NORTH"</f>
        <v>000223350 - RICH-NONCORE-DELAWARE NORTH</v>
      </c>
      <c r="C1620" t="s">
        <v>834</v>
      </c>
      <c r="D1620" s="1" t="str">
        <f t="shared" si="43"/>
        <v>PRG-1017430</v>
      </c>
      <c r="E1620" t="s">
        <v>191</v>
      </c>
      <c r="F1620" t="s">
        <v>4</v>
      </c>
      <c r="G1620" t="str">
        <f>""</f>
        <v/>
      </c>
    </row>
    <row r="1621" spans="1:7" x14ac:dyDescent="0.25">
      <c r="A1621" t="s">
        <v>8</v>
      </c>
      <c r="B1621" s="1" t="str">
        <f>"000223978 - RICH FOODS-DELAWARE"</f>
        <v>000223978 - RICH FOODS-DELAWARE</v>
      </c>
      <c r="C1621" t="s">
        <v>190</v>
      </c>
      <c r="D1621" s="1" t="str">
        <f t="shared" si="43"/>
        <v>PRG-1017430</v>
      </c>
      <c r="E1621" t="s">
        <v>191</v>
      </c>
      <c r="F1621" t="s">
        <v>4</v>
      </c>
      <c r="G1621" t="str">
        <f>""</f>
        <v/>
      </c>
    </row>
    <row r="1622" spans="1:7" x14ac:dyDescent="0.25">
      <c r="A1622" t="s">
        <v>8</v>
      </c>
      <c r="B1622" s="1" t="str">
        <f>"000226289 - RICH-CORE CC BB-DELAWARE"</f>
        <v>000226289 - RICH-CORE CC BB-DELAWARE</v>
      </c>
      <c r="C1622" t="s">
        <v>866</v>
      </c>
      <c r="D1622" s="1" t="str">
        <f t="shared" ref="D1622:D1685" si="44">"PRG-1017430"</f>
        <v>PRG-1017430</v>
      </c>
      <c r="E1622" t="s">
        <v>191</v>
      </c>
      <c r="F1622" t="s">
        <v>4</v>
      </c>
      <c r="G1622" t="str">
        <f>""</f>
        <v/>
      </c>
    </row>
    <row r="1623" spans="1:7" x14ac:dyDescent="0.25">
      <c r="A1623" t="s">
        <v>8</v>
      </c>
      <c r="B1623" s="1" t="str">
        <f>"000227193 - RICH-NONCORE-DELAWARE NORTH"</f>
        <v>000227193 - RICH-NONCORE-DELAWARE NORTH</v>
      </c>
      <c r="C1623" t="s">
        <v>834</v>
      </c>
      <c r="D1623" s="1" t="str">
        <f t="shared" si="44"/>
        <v>PRG-1017430</v>
      </c>
      <c r="E1623" t="s">
        <v>191</v>
      </c>
      <c r="F1623" t="s">
        <v>4</v>
      </c>
      <c r="G1623" t="str">
        <f>""</f>
        <v/>
      </c>
    </row>
    <row r="1624" spans="1:7" x14ac:dyDescent="0.25">
      <c r="A1624" t="s">
        <v>8</v>
      </c>
      <c r="B1624" s="1" t="str">
        <f>"000227886 - RICH FOODS-DELAWARE"</f>
        <v>000227886 - RICH FOODS-DELAWARE</v>
      </c>
      <c r="C1624" t="s">
        <v>190</v>
      </c>
      <c r="D1624" s="1" t="str">
        <f t="shared" si="44"/>
        <v>PRG-1017430</v>
      </c>
      <c r="E1624" t="s">
        <v>191</v>
      </c>
      <c r="F1624" t="s">
        <v>4</v>
      </c>
      <c r="G1624" t="str">
        <f>""</f>
        <v/>
      </c>
    </row>
    <row r="1625" spans="1:7" x14ac:dyDescent="0.25">
      <c r="A1625" t="s">
        <v>8</v>
      </c>
      <c r="B1625" s="1" t="str">
        <f>"000228311 - RICH NC BB-DELAWARE"</f>
        <v>000228311 - RICH NC BB-DELAWARE</v>
      </c>
      <c r="C1625" t="s">
        <v>691</v>
      </c>
      <c r="D1625" s="1" t="str">
        <f t="shared" si="44"/>
        <v>PRG-1017430</v>
      </c>
      <c r="E1625" t="s">
        <v>191</v>
      </c>
      <c r="F1625" t="s">
        <v>4</v>
      </c>
      <c r="G1625" t="str">
        <f>""</f>
        <v/>
      </c>
    </row>
    <row r="1626" spans="1:7" x14ac:dyDescent="0.25">
      <c r="A1626" t="s">
        <v>8</v>
      </c>
      <c r="B1626" s="1" t="str">
        <f>"000229384 - RICH'S-DELAWARE NORTH"</f>
        <v>000229384 - RICH'S-DELAWARE NORTH</v>
      </c>
      <c r="C1626" t="s">
        <v>814</v>
      </c>
      <c r="D1626" s="1" t="str">
        <f t="shared" si="44"/>
        <v>PRG-1017430</v>
      </c>
      <c r="E1626" t="s">
        <v>191</v>
      </c>
      <c r="F1626" t="s">
        <v>4</v>
      </c>
      <c r="G1626" t="str">
        <f>""</f>
        <v/>
      </c>
    </row>
    <row r="1627" spans="1:7" x14ac:dyDescent="0.25">
      <c r="A1627" t="s">
        <v>8</v>
      </c>
      <c r="B1627" s="1" t="str">
        <f>"000229498 - RICH-CORE CC BB-DELAWARE"</f>
        <v>000229498 - RICH-CORE CC BB-DELAWARE</v>
      </c>
      <c r="C1627" t="s">
        <v>866</v>
      </c>
      <c r="D1627" s="1" t="str">
        <f t="shared" si="44"/>
        <v>PRG-1017430</v>
      </c>
      <c r="E1627" t="s">
        <v>191</v>
      </c>
      <c r="F1627" t="s">
        <v>4</v>
      </c>
      <c r="G1627" t="str">
        <f>""</f>
        <v/>
      </c>
    </row>
    <row r="1628" spans="1:7" x14ac:dyDescent="0.25">
      <c r="A1628" t="s">
        <v>8</v>
      </c>
      <c r="B1628" s="1" t="str">
        <f>"000229834 - RICH FOODS-DELAWARE"</f>
        <v>000229834 - RICH FOODS-DELAWARE</v>
      </c>
      <c r="C1628" t="s">
        <v>190</v>
      </c>
      <c r="D1628" s="1" t="str">
        <f t="shared" si="44"/>
        <v>PRG-1017430</v>
      </c>
      <c r="E1628" t="s">
        <v>191</v>
      </c>
      <c r="F1628" t="s">
        <v>4</v>
      </c>
      <c r="G1628" t="str">
        <f>""</f>
        <v/>
      </c>
    </row>
    <row r="1629" spans="1:7" x14ac:dyDescent="0.25">
      <c r="A1629" t="s">
        <v>8</v>
      </c>
      <c r="B1629" s="1" t="str">
        <f>"000230659 - RICH-NONCORE-DELAWARE NORTH"</f>
        <v>000230659 - RICH-NONCORE-DELAWARE NORTH</v>
      </c>
      <c r="C1629" t="s">
        <v>834</v>
      </c>
      <c r="D1629" s="1" t="str">
        <f t="shared" si="44"/>
        <v>PRG-1017430</v>
      </c>
      <c r="E1629" t="s">
        <v>191</v>
      </c>
      <c r="F1629" t="s">
        <v>4</v>
      </c>
      <c r="G1629" t="str">
        <f>""</f>
        <v/>
      </c>
    </row>
    <row r="1630" spans="1:7" x14ac:dyDescent="0.25">
      <c r="A1630" t="s">
        <v>8</v>
      </c>
      <c r="B1630" s="1" t="str">
        <f>"000231392 - RICH'S-DELAWARE NORTH"</f>
        <v>000231392 - RICH'S-DELAWARE NORTH</v>
      </c>
      <c r="C1630" t="s">
        <v>814</v>
      </c>
      <c r="D1630" s="1" t="str">
        <f t="shared" si="44"/>
        <v>PRG-1017430</v>
      </c>
      <c r="E1630" t="s">
        <v>191</v>
      </c>
      <c r="F1630" t="s">
        <v>4</v>
      </c>
      <c r="G1630" t="str">
        <f>""</f>
        <v/>
      </c>
    </row>
    <row r="1631" spans="1:7" x14ac:dyDescent="0.25">
      <c r="A1631" t="s">
        <v>8</v>
      </c>
      <c r="B1631" s="1" t="str">
        <f>"000231868 - RICH'S-DELAWARE NORTH"</f>
        <v>000231868 - RICH'S-DELAWARE NORTH</v>
      </c>
      <c r="C1631" t="s">
        <v>814</v>
      </c>
      <c r="D1631" s="1" t="str">
        <f t="shared" si="44"/>
        <v>PRG-1017430</v>
      </c>
      <c r="E1631" t="s">
        <v>191</v>
      </c>
      <c r="F1631" t="s">
        <v>4</v>
      </c>
      <c r="G1631" t="str">
        <f>""</f>
        <v/>
      </c>
    </row>
    <row r="1632" spans="1:7" x14ac:dyDescent="0.25">
      <c r="A1632" t="s">
        <v>8</v>
      </c>
      <c r="B1632" s="1" t="str">
        <f>"000232447 - BB DELAWARE FOB CR RICH"</f>
        <v>000232447 - BB DELAWARE FOB CR RICH</v>
      </c>
      <c r="C1632" t="s">
        <v>1497</v>
      </c>
      <c r="D1632" s="1" t="str">
        <f t="shared" si="44"/>
        <v>PRG-1017430</v>
      </c>
      <c r="E1632" t="s">
        <v>191</v>
      </c>
      <c r="F1632" t="s">
        <v>4</v>
      </c>
      <c r="G1632" t="str">
        <f>""</f>
        <v/>
      </c>
    </row>
    <row r="1633" spans="1:7" x14ac:dyDescent="0.25">
      <c r="A1633" t="s">
        <v>8</v>
      </c>
      <c r="B1633" s="1" t="str">
        <f>"000234853 - RICHS CORE BB-DELAWARE"</f>
        <v>000234853 - RICHS CORE BB-DELAWARE</v>
      </c>
      <c r="C1633" t="s">
        <v>929</v>
      </c>
      <c r="D1633" s="1" t="str">
        <f t="shared" si="44"/>
        <v>PRG-1017430</v>
      </c>
      <c r="E1633" t="s">
        <v>191</v>
      </c>
      <c r="F1633" t="s">
        <v>4</v>
      </c>
      <c r="G1633" t="str">
        <f>""</f>
        <v/>
      </c>
    </row>
    <row r="1634" spans="1:7" x14ac:dyDescent="0.25">
      <c r="A1634" t="s">
        <v>8</v>
      </c>
      <c r="B1634" s="1" t="str">
        <f>"000234892 - BB DELAWARE FOB NC RICHS"</f>
        <v>000234892 - BB DELAWARE FOB NC RICHS</v>
      </c>
      <c r="C1634" t="s">
        <v>1836</v>
      </c>
      <c r="D1634" s="1" t="str">
        <f t="shared" si="44"/>
        <v>PRG-1017430</v>
      </c>
      <c r="E1634" t="s">
        <v>191</v>
      </c>
      <c r="F1634" t="s">
        <v>4</v>
      </c>
      <c r="G1634" t="str">
        <f>""</f>
        <v/>
      </c>
    </row>
    <row r="1635" spans="1:7" x14ac:dyDescent="0.25">
      <c r="A1635" t="s">
        <v>8</v>
      </c>
      <c r="B1635" s="1" t="str">
        <f>"000235863 - RICH-NONCORE-DELAWARE NORTH"</f>
        <v>000235863 - RICH-NONCORE-DELAWARE NORTH</v>
      </c>
      <c r="C1635" t="s">
        <v>834</v>
      </c>
      <c r="D1635" s="1" t="str">
        <f t="shared" si="44"/>
        <v>PRG-1017430</v>
      </c>
      <c r="E1635" t="s">
        <v>191</v>
      </c>
      <c r="F1635" t="s">
        <v>4</v>
      </c>
      <c r="G1635" t="str">
        <f>""</f>
        <v/>
      </c>
    </row>
    <row r="1636" spans="1:7" x14ac:dyDescent="0.25">
      <c r="A1636" t="s">
        <v>8</v>
      </c>
      <c r="B1636" s="1" t="str">
        <f>"000235939 - RICH-NONCORE-DELAWARE NORTH"</f>
        <v>000235939 - RICH-NONCORE-DELAWARE NORTH</v>
      </c>
      <c r="C1636" t="s">
        <v>834</v>
      </c>
      <c r="D1636" s="1" t="str">
        <f t="shared" si="44"/>
        <v>PRG-1017430</v>
      </c>
      <c r="E1636" t="s">
        <v>191</v>
      </c>
      <c r="F1636" t="s">
        <v>4</v>
      </c>
      <c r="G1636" t="str">
        <f>""</f>
        <v/>
      </c>
    </row>
    <row r="1637" spans="1:7" x14ac:dyDescent="0.25">
      <c r="A1637" t="s">
        <v>8</v>
      </c>
      <c r="B1637" s="1" t="str">
        <f>"000236717 - RICH-NONCORE-DELAWARE NORTH"</f>
        <v>000236717 - RICH-NONCORE-DELAWARE NORTH</v>
      </c>
      <c r="C1637" t="s">
        <v>834</v>
      </c>
      <c r="D1637" s="1" t="str">
        <f t="shared" si="44"/>
        <v>PRG-1017430</v>
      </c>
      <c r="E1637" t="s">
        <v>191</v>
      </c>
      <c r="F1637" t="s">
        <v>4</v>
      </c>
      <c r="G1637" t="str">
        <f>""</f>
        <v/>
      </c>
    </row>
    <row r="1638" spans="1:7" x14ac:dyDescent="0.25">
      <c r="A1638" t="s">
        <v>8</v>
      </c>
      <c r="B1638" s="1" t="str">
        <f>"000236789 - RICH'S-DELAWARE NORTH"</f>
        <v>000236789 - RICH'S-DELAWARE NORTH</v>
      </c>
      <c r="C1638" t="s">
        <v>814</v>
      </c>
      <c r="D1638" s="1" t="str">
        <f t="shared" si="44"/>
        <v>PRG-1017430</v>
      </c>
      <c r="E1638" t="s">
        <v>191</v>
      </c>
      <c r="F1638" t="s">
        <v>4</v>
      </c>
      <c r="G1638" t="str">
        <f>""</f>
        <v/>
      </c>
    </row>
    <row r="1639" spans="1:7" x14ac:dyDescent="0.25">
      <c r="A1639" t="s">
        <v>8</v>
      </c>
      <c r="B1639" s="1" t="str">
        <f>"000237514 - RICH'S-DELAWARE NORTH"</f>
        <v>000237514 - RICH'S-DELAWARE NORTH</v>
      </c>
      <c r="C1639" t="s">
        <v>814</v>
      </c>
      <c r="D1639" s="1" t="str">
        <f t="shared" si="44"/>
        <v>PRG-1017430</v>
      </c>
      <c r="E1639" t="s">
        <v>191</v>
      </c>
      <c r="F1639" t="s">
        <v>4</v>
      </c>
      <c r="G1639" t="str">
        <f>""</f>
        <v/>
      </c>
    </row>
    <row r="1640" spans="1:7" x14ac:dyDescent="0.25">
      <c r="A1640" t="s">
        <v>8</v>
      </c>
      <c r="B1640" s="1" t="str">
        <f>"000237609 - RICH-CORE-DELAWARE NORTH"</f>
        <v>000237609 - RICH-CORE-DELAWARE NORTH</v>
      </c>
      <c r="C1640" t="s">
        <v>833</v>
      </c>
      <c r="D1640" s="1" t="str">
        <f t="shared" si="44"/>
        <v>PRG-1017430</v>
      </c>
      <c r="E1640" t="s">
        <v>191</v>
      </c>
      <c r="F1640" t="s">
        <v>4</v>
      </c>
      <c r="G1640" t="str">
        <f>""</f>
        <v/>
      </c>
    </row>
    <row r="1641" spans="1:7" x14ac:dyDescent="0.25">
      <c r="A1641" t="s">
        <v>8</v>
      </c>
      <c r="B1641" s="1" t="str">
        <f>"000237610 - RICH-NONCORE-DELAWARE NORTH"</f>
        <v>000237610 - RICH-NONCORE-DELAWARE NORTH</v>
      </c>
      <c r="C1641" t="s">
        <v>834</v>
      </c>
      <c r="D1641" s="1" t="str">
        <f t="shared" si="44"/>
        <v>PRG-1017430</v>
      </c>
      <c r="E1641" t="s">
        <v>191</v>
      </c>
      <c r="F1641" t="s">
        <v>4</v>
      </c>
      <c r="G1641" t="str">
        <f>""</f>
        <v/>
      </c>
    </row>
    <row r="1642" spans="1:7" x14ac:dyDescent="0.25">
      <c r="A1642" t="s">
        <v>8</v>
      </c>
      <c r="B1642" s="1" t="str">
        <f>"000237733 - RICH FOODS-DELAWARE"</f>
        <v>000237733 - RICH FOODS-DELAWARE</v>
      </c>
      <c r="C1642" t="s">
        <v>190</v>
      </c>
      <c r="D1642" s="1" t="str">
        <f t="shared" si="44"/>
        <v>PRG-1017430</v>
      </c>
      <c r="E1642" t="s">
        <v>191</v>
      </c>
      <c r="F1642" t="s">
        <v>4</v>
      </c>
      <c r="G1642" t="str">
        <f>""</f>
        <v/>
      </c>
    </row>
    <row r="1643" spans="1:7" x14ac:dyDescent="0.25">
      <c r="A1643" t="s">
        <v>8</v>
      </c>
      <c r="B1643" s="1" t="str">
        <f>"000237789 - RICH'S-DELAWARE NORTH"</f>
        <v>000237789 - RICH'S-DELAWARE NORTH</v>
      </c>
      <c r="C1643" t="s">
        <v>814</v>
      </c>
      <c r="D1643" s="1" t="str">
        <f t="shared" si="44"/>
        <v>PRG-1017430</v>
      </c>
      <c r="E1643" t="s">
        <v>191</v>
      </c>
      <c r="F1643" t="s">
        <v>4</v>
      </c>
      <c r="G1643" t="str">
        <f>""</f>
        <v/>
      </c>
    </row>
    <row r="1644" spans="1:7" x14ac:dyDescent="0.25">
      <c r="A1644" t="s">
        <v>8</v>
      </c>
      <c r="B1644" s="1" t="str">
        <f>"000238370 - RICH-NONCORE-DELAWARE NORTH"</f>
        <v>000238370 - RICH-NONCORE-DELAWARE NORTH</v>
      </c>
      <c r="C1644" t="s">
        <v>834</v>
      </c>
      <c r="D1644" s="1" t="str">
        <f t="shared" si="44"/>
        <v>PRG-1017430</v>
      </c>
      <c r="E1644" t="s">
        <v>191</v>
      </c>
      <c r="F1644" t="s">
        <v>4</v>
      </c>
      <c r="G1644" t="str">
        <f>""</f>
        <v/>
      </c>
    </row>
    <row r="1645" spans="1:7" x14ac:dyDescent="0.25">
      <c r="A1645" t="s">
        <v>8</v>
      </c>
      <c r="B1645" s="1" t="str">
        <f>"000238532 - RICH C BB-DELAWARE"</f>
        <v>000238532 - RICH C BB-DELAWARE</v>
      </c>
      <c r="C1645" t="s">
        <v>282</v>
      </c>
      <c r="D1645" s="1" t="str">
        <f t="shared" si="44"/>
        <v>PRG-1017430</v>
      </c>
      <c r="E1645" t="s">
        <v>191</v>
      </c>
      <c r="F1645" t="s">
        <v>4</v>
      </c>
      <c r="G1645" t="str">
        <f>""</f>
        <v/>
      </c>
    </row>
    <row r="1646" spans="1:7" x14ac:dyDescent="0.25">
      <c r="A1646" t="s">
        <v>8</v>
      </c>
      <c r="B1646" s="1" t="str">
        <f>"000238533 - RICH NC BB-DELAWARE"</f>
        <v>000238533 - RICH NC BB-DELAWARE</v>
      </c>
      <c r="C1646" t="s">
        <v>691</v>
      </c>
      <c r="D1646" s="1" t="str">
        <f t="shared" si="44"/>
        <v>PRG-1017430</v>
      </c>
      <c r="E1646" t="s">
        <v>191</v>
      </c>
      <c r="F1646" t="s">
        <v>4</v>
      </c>
      <c r="G1646" t="str">
        <f>""</f>
        <v/>
      </c>
    </row>
    <row r="1647" spans="1:7" x14ac:dyDescent="0.25">
      <c r="A1647" t="s">
        <v>8</v>
      </c>
      <c r="B1647" s="1" t="str">
        <f>"000239998 - RICH-CORE-DELAWARE NORTH"</f>
        <v>000239998 - RICH-CORE-DELAWARE NORTH</v>
      </c>
      <c r="C1647" t="s">
        <v>833</v>
      </c>
      <c r="D1647" s="1" t="str">
        <f t="shared" si="44"/>
        <v>PRG-1017430</v>
      </c>
      <c r="E1647" t="s">
        <v>191</v>
      </c>
      <c r="F1647" t="s">
        <v>4</v>
      </c>
      <c r="G1647" t="str">
        <f>""</f>
        <v/>
      </c>
    </row>
    <row r="1648" spans="1:7" x14ac:dyDescent="0.25">
      <c r="A1648" t="s">
        <v>8</v>
      </c>
      <c r="B1648" s="1" t="str">
        <f>"000239999 - RICH-NONCORE-DELAWARE NORTH"</f>
        <v>000239999 - RICH-NONCORE-DELAWARE NORTH</v>
      </c>
      <c r="C1648" t="s">
        <v>834</v>
      </c>
      <c r="D1648" s="1" t="str">
        <f t="shared" si="44"/>
        <v>PRG-1017430</v>
      </c>
      <c r="E1648" t="s">
        <v>191</v>
      </c>
      <c r="F1648" t="s">
        <v>4</v>
      </c>
      <c r="G1648" t="str">
        <f>""</f>
        <v/>
      </c>
    </row>
    <row r="1649" spans="1:7" x14ac:dyDescent="0.25">
      <c r="A1649" t="s">
        <v>8</v>
      </c>
      <c r="B1649" s="1" t="str">
        <f>"000240559 - RICH NC BB-DELAWARE"</f>
        <v>000240559 - RICH NC BB-DELAWARE</v>
      </c>
      <c r="C1649" t="s">
        <v>691</v>
      </c>
      <c r="D1649" s="1" t="str">
        <f t="shared" si="44"/>
        <v>PRG-1017430</v>
      </c>
      <c r="E1649" t="s">
        <v>191</v>
      </c>
      <c r="F1649" t="s">
        <v>4</v>
      </c>
      <c r="G1649" t="str">
        <f>""</f>
        <v/>
      </c>
    </row>
    <row r="1650" spans="1:7" x14ac:dyDescent="0.25">
      <c r="A1650" t="s">
        <v>8</v>
      </c>
      <c r="B1650" s="1" t="str">
        <f>"000240878 - RICHS CORE BB-DELAWARE"</f>
        <v>000240878 - RICHS CORE BB-DELAWARE</v>
      </c>
      <c r="C1650" t="s">
        <v>929</v>
      </c>
      <c r="D1650" s="1" t="str">
        <f t="shared" si="44"/>
        <v>PRG-1017430</v>
      </c>
      <c r="E1650" t="s">
        <v>191</v>
      </c>
      <c r="F1650" t="s">
        <v>4</v>
      </c>
      <c r="G1650" t="str">
        <f>""</f>
        <v/>
      </c>
    </row>
    <row r="1651" spans="1:7" x14ac:dyDescent="0.25">
      <c r="A1651" t="s">
        <v>8</v>
      </c>
      <c r="B1651" s="1" t="str">
        <f>"000240879 - RICHS NC BB-DELAWARE"</f>
        <v>000240879 - RICHS NC BB-DELAWARE</v>
      </c>
      <c r="C1651" t="s">
        <v>1467</v>
      </c>
      <c r="D1651" s="1" t="str">
        <f t="shared" si="44"/>
        <v>PRG-1017430</v>
      </c>
      <c r="E1651" t="s">
        <v>191</v>
      </c>
      <c r="F1651" t="s">
        <v>4</v>
      </c>
      <c r="G1651" t="str">
        <f>""</f>
        <v/>
      </c>
    </row>
    <row r="1652" spans="1:7" x14ac:dyDescent="0.25">
      <c r="A1652" t="s">
        <v>8</v>
      </c>
      <c r="B1652" s="1" t="str">
        <f>"000240929 - RICH C BB-DELAWARE"</f>
        <v>000240929 - RICH C BB-DELAWARE</v>
      </c>
      <c r="C1652" t="s">
        <v>282</v>
      </c>
      <c r="D1652" s="1" t="str">
        <f t="shared" si="44"/>
        <v>PRG-1017430</v>
      </c>
      <c r="E1652" t="s">
        <v>191</v>
      </c>
      <c r="F1652" t="s">
        <v>4</v>
      </c>
      <c r="G1652" t="str">
        <f>""</f>
        <v/>
      </c>
    </row>
    <row r="1653" spans="1:7" x14ac:dyDescent="0.25">
      <c r="A1653" t="s">
        <v>8</v>
      </c>
      <c r="B1653" s="1" t="str">
        <f>"000240930 - RICH NC BB-DELAWARE"</f>
        <v>000240930 - RICH NC BB-DELAWARE</v>
      </c>
      <c r="C1653" t="s">
        <v>691</v>
      </c>
      <c r="D1653" s="1" t="str">
        <f t="shared" si="44"/>
        <v>PRG-1017430</v>
      </c>
      <c r="E1653" t="s">
        <v>191</v>
      </c>
      <c r="F1653" t="s">
        <v>4</v>
      </c>
      <c r="G1653" t="str">
        <f>""</f>
        <v/>
      </c>
    </row>
    <row r="1654" spans="1:7" x14ac:dyDescent="0.25">
      <c r="A1654" t="s">
        <v>8</v>
      </c>
      <c r="B1654" s="1" t="str">
        <f>"000241169 - RICH C BB-DELAWARE"</f>
        <v>000241169 - RICH C BB-DELAWARE</v>
      </c>
      <c r="C1654" t="s">
        <v>282</v>
      </c>
      <c r="D1654" s="1" t="str">
        <f t="shared" si="44"/>
        <v>PRG-1017430</v>
      </c>
      <c r="E1654" t="s">
        <v>191</v>
      </c>
      <c r="F1654" t="s">
        <v>4</v>
      </c>
      <c r="G1654" t="str">
        <f>""</f>
        <v/>
      </c>
    </row>
    <row r="1655" spans="1:7" x14ac:dyDescent="0.25">
      <c r="A1655" t="s">
        <v>8</v>
      </c>
      <c r="B1655" s="1" t="str">
        <f>"000242634 - RICHS CORE BB-DELAWARE"</f>
        <v>000242634 - RICHS CORE BB-DELAWARE</v>
      </c>
      <c r="C1655" t="s">
        <v>929</v>
      </c>
      <c r="D1655" s="1" t="str">
        <f t="shared" si="44"/>
        <v>PRG-1017430</v>
      </c>
      <c r="E1655" t="s">
        <v>191</v>
      </c>
      <c r="F1655" t="s">
        <v>4</v>
      </c>
      <c r="G1655" t="str">
        <f>""</f>
        <v/>
      </c>
    </row>
    <row r="1656" spans="1:7" x14ac:dyDescent="0.25">
      <c r="A1656" t="s">
        <v>8</v>
      </c>
      <c r="B1656" s="1" t="str">
        <f>"000242687 - RICH C BB-DELAWARE"</f>
        <v>000242687 - RICH C BB-DELAWARE</v>
      </c>
      <c r="C1656" t="s">
        <v>282</v>
      </c>
      <c r="D1656" s="1" t="str">
        <f t="shared" si="44"/>
        <v>PRG-1017430</v>
      </c>
      <c r="E1656" t="s">
        <v>191</v>
      </c>
      <c r="F1656" t="s">
        <v>4</v>
      </c>
      <c r="G1656" t="str">
        <f>""</f>
        <v/>
      </c>
    </row>
    <row r="1657" spans="1:7" x14ac:dyDescent="0.25">
      <c r="A1657" t="s">
        <v>8</v>
      </c>
      <c r="B1657" s="1" t="str">
        <f>"000242688 - RICH NC BB-DELAWARE"</f>
        <v>000242688 - RICH NC BB-DELAWARE</v>
      </c>
      <c r="C1657" t="s">
        <v>691</v>
      </c>
      <c r="D1657" s="1" t="str">
        <f t="shared" si="44"/>
        <v>PRG-1017430</v>
      </c>
      <c r="E1657" t="s">
        <v>191</v>
      </c>
      <c r="F1657" t="s">
        <v>4</v>
      </c>
      <c r="G1657" t="str">
        <f>""</f>
        <v/>
      </c>
    </row>
    <row r="1658" spans="1:7" x14ac:dyDescent="0.25">
      <c r="A1658" t="s">
        <v>8</v>
      </c>
      <c r="B1658" s="1" t="str">
        <f>"000242978 - RICHS CORE BB-DELAWARE"</f>
        <v>000242978 - RICHS CORE BB-DELAWARE</v>
      </c>
      <c r="C1658" t="s">
        <v>929</v>
      </c>
      <c r="D1658" s="1" t="str">
        <f t="shared" si="44"/>
        <v>PRG-1017430</v>
      </c>
      <c r="E1658" t="s">
        <v>191</v>
      </c>
      <c r="F1658" t="s">
        <v>4</v>
      </c>
      <c r="G1658" t="str">
        <f>""</f>
        <v/>
      </c>
    </row>
    <row r="1659" spans="1:7" x14ac:dyDescent="0.25">
      <c r="A1659" t="s">
        <v>8</v>
      </c>
      <c r="B1659" s="1" t="str">
        <f>"000242979 - RICHS NC BB-DELAWARE"</f>
        <v>000242979 - RICHS NC BB-DELAWARE</v>
      </c>
      <c r="C1659" t="s">
        <v>1467</v>
      </c>
      <c r="D1659" s="1" t="str">
        <f t="shared" si="44"/>
        <v>PRG-1017430</v>
      </c>
      <c r="E1659" t="s">
        <v>191</v>
      </c>
      <c r="F1659" t="s">
        <v>4</v>
      </c>
      <c r="G1659" t="str">
        <f>""</f>
        <v/>
      </c>
    </row>
    <row r="1660" spans="1:7" x14ac:dyDescent="0.25">
      <c r="A1660" t="s">
        <v>8</v>
      </c>
      <c r="B1660" s="1" t="str">
        <f>"000243020 - RICH C BB-DELAWARE"</f>
        <v>000243020 - RICH C BB-DELAWARE</v>
      </c>
      <c r="C1660" t="s">
        <v>282</v>
      </c>
      <c r="D1660" s="1" t="str">
        <f t="shared" si="44"/>
        <v>PRG-1017430</v>
      </c>
      <c r="E1660" t="s">
        <v>191</v>
      </c>
      <c r="F1660" t="s">
        <v>4</v>
      </c>
      <c r="G1660" t="str">
        <f>""</f>
        <v/>
      </c>
    </row>
    <row r="1661" spans="1:7" x14ac:dyDescent="0.25">
      <c r="A1661" t="s">
        <v>8</v>
      </c>
      <c r="B1661" s="1" t="str">
        <f>"000243499 - RICH-CORE CC BB-DELAWARE"</f>
        <v>000243499 - RICH-CORE CC BB-DELAWARE</v>
      </c>
      <c r="C1661" t="s">
        <v>866</v>
      </c>
      <c r="D1661" s="1" t="str">
        <f t="shared" si="44"/>
        <v>PRG-1017430</v>
      </c>
      <c r="E1661" t="s">
        <v>191</v>
      </c>
      <c r="F1661" t="s">
        <v>4</v>
      </c>
      <c r="G1661" t="str">
        <f>""</f>
        <v/>
      </c>
    </row>
    <row r="1662" spans="1:7" x14ac:dyDescent="0.25">
      <c r="A1662" t="s">
        <v>8</v>
      </c>
      <c r="B1662" s="1" t="str">
        <f>"000243500 - "</f>
        <v xml:space="preserve">000243500 - </v>
      </c>
      <c r="D1662" s="1" t="str">
        <f t="shared" si="44"/>
        <v>PRG-1017430</v>
      </c>
      <c r="E1662" t="s">
        <v>191</v>
      </c>
      <c r="F1662" t="s">
        <v>4</v>
      </c>
      <c r="G1662" t="str">
        <f>""</f>
        <v/>
      </c>
    </row>
    <row r="1663" spans="1:7" x14ac:dyDescent="0.25">
      <c r="A1663" t="s">
        <v>8</v>
      </c>
      <c r="B1663" s="1" t="str">
        <f>"000244625 - RICH'S-DELAWARE NORTH"</f>
        <v>000244625 - RICH'S-DELAWARE NORTH</v>
      </c>
      <c r="C1663" t="s">
        <v>814</v>
      </c>
      <c r="D1663" s="1" t="str">
        <f t="shared" si="44"/>
        <v>PRG-1017430</v>
      </c>
      <c r="E1663" t="s">
        <v>191</v>
      </c>
      <c r="F1663" t="s">
        <v>4</v>
      </c>
      <c r="G1663" t="str">
        <f>""</f>
        <v/>
      </c>
    </row>
    <row r="1664" spans="1:7" x14ac:dyDescent="0.25">
      <c r="A1664" t="s">
        <v>8</v>
      </c>
      <c r="B1664" s="1" t="str">
        <f>"000244648 - "</f>
        <v xml:space="preserve">000244648 - </v>
      </c>
      <c r="D1664" s="1" t="str">
        <f t="shared" si="44"/>
        <v>PRG-1017430</v>
      </c>
      <c r="E1664" t="s">
        <v>191</v>
      </c>
      <c r="F1664" t="s">
        <v>4</v>
      </c>
      <c r="G1664" t="str">
        <f>""</f>
        <v/>
      </c>
    </row>
    <row r="1665" spans="1:7" x14ac:dyDescent="0.25">
      <c r="A1665" t="s">
        <v>8</v>
      </c>
      <c r="B1665" s="1" t="str">
        <f>"000244943 - RICHS CORE BB-DELAWARE"</f>
        <v>000244943 - RICHS CORE BB-DELAWARE</v>
      </c>
      <c r="C1665" t="s">
        <v>929</v>
      </c>
      <c r="D1665" s="1" t="str">
        <f t="shared" si="44"/>
        <v>PRG-1017430</v>
      </c>
      <c r="E1665" t="s">
        <v>191</v>
      </c>
      <c r="F1665" t="s">
        <v>4</v>
      </c>
      <c r="G1665" t="str">
        <f>""</f>
        <v/>
      </c>
    </row>
    <row r="1666" spans="1:7" x14ac:dyDescent="0.25">
      <c r="A1666" t="s">
        <v>8</v>
      </c>
      <c r="B1666" s="1" t="str">
        <f>"000245057 - RICH-CORE-DELAWARE NORTH"</f>
        <v>000245057 - RICH-CORE-DELAWARE NORTH</v>
      </c>
      <c r="C1666" t="s">
        <v>833</v>
      </c>
      <c r="D1666" s="1" t="str">
        <f t="shared" si="44"/>
        <v>PRG-1017430</v>
      </c>
      <c r="E1666" t="s">
        <v>191</v>
      </c>
      <c r="F1666" t="s">
        <v>4</v>
      </c>
      <c r="G1666" t="str">
        <f>""</f>
        <v/>
      </c>
    </row>
    <row r="1667" spans="1:7" x14ac:dyDescent="0.25">
      <c r="A1667" t="s">
        <v>8</v>
      </c>
      <c r="B1667" s="1" t="str">
        <f>"000245058 - RICH-NONCORE-DELAWARE NORTH"</f>
        <v>000245058 - RICH-NONCORE-DELAWARE NORTH</v>
      </c>
      <c r="C1667" t="s">
        <v>834</v>
      </c>
      <c r="D1667" s="1" t="str">
        <f t="shared" si="44"/>
        <v>PRG-1017430</v>
      </c>
      <c r="E1667" t="s">
        <v>191</v>
      </c>
      <c r="F1667" t="s">
        <v>4</v>
      </c>
      <c r="G1667" t="str">
        <f>""</f>
        <v/>
      </c>
    </row>
    <row r="1668" spans="1:7" x14ac:dyDescent="0.25">
      <c r="A1668" t="s">
        <v>8</v>
      </c>
      <c r="B1668" s="1" t="str">
        <f>"000245473 - RICH-CORE CC BB-DELAWARE"</f>
        <v>000245473 - RICH-CORE CC BB-DELAWARE</v>
      </c>
      <c r="C1668" t="s">
        <v>866</v>
      </c>
      <c r="D1668" s="1" t="str">
        <f t="shared" si="44"/>
        <v>PRG-1017430</v>
      </c>
      <c r="E1668" t="s">
        <v>191</v>
      </c>
      <c r="F1668" t="s">
        <v>4</v>
      </c>
      <c r="G1668" t="str">
        <f>""</f>
        <v/>
      </c>
    </row>
    <row r="1669" spans="1:7" x14ac:dyDescent="0.25">
      <c r="A1669" t="s">
        <v>8</v>
      </c>
      <c r="B1669" s="1" t="str">
        <f>"000245831 - RICH-CORE-DELAWARE NORTH"</f>
        <v>000245831 - RICH-CORE-DELAWARE NORTH</v>
      </c>
      <c r="C1669" t="s">
        <v>833</v>
      </c>
      <c r="D1669" s="1" t="str">
        <f t="shared" si="44"/>
        <v>PRG-1017430</v>
      </c>
      <c r="E1669" t="s">
        <v>191</v>
      </c>
      <c r="F1669" t="s">
        <v>4</v>
      </c>
      <c r="G1669" t="str">
        <f>""</f>
        <v/>
      </c>
    </row>
    <row r="1670" spans="1:7" x14ac:dyDescent="0.25">
      <c r="A1670" t="s">
        <v>8</v>
      </c>
      <c r="B1670" s="1" t="str">
        <f>"000245832 - RICH-NONCORE-DELAWARE NORTH"</f>
        <v>000245832 - RICH-NONCORE-DELAWARE NORTH</v>
      </c>
      <c r="C1670" t="s">
        <v>834</v>
      </c>
      <c r="D1670" s="1" t="str">
        <f t="shared" si="44"/>
        <v>PRG-1017430</v>
      </c>
      <c r="E1670" t="s">
        <v>191</v>
      </c>
      <c r="F1670" t="s">
        <v>4</v>
      </c>
      <c r="G1670" t="str">
        <f>""</f>
        <v/>
      </c>
    </row>
    <row r="1671" spans="1:7" x14ac:dyDescent="0.25">
      <c r="A1671" t="s">
        <v>8</v>
      </c>
      <c r="B1671" s="1" t="str">
        <f>"000246498 - RICHS CORE BB-DELAWARE"</f>
        <v>000246498 - RICHS CORE BB-DELAWARE</v>
      </c>
      <c r="C1671" t="s">
        <v>929</v>
      </c>
      <c r="D1671" s="1" t="str">
        <f t="shared" si="44"/>
        <v>PRG-1017430</v>
      </c>
      <c r="E1671" t="s">
        <v>191</v>
      </c>
      <c r="F1671" t="s">
        <v>4</v>
      </c>
      <c r="G1671" t="str">
        <f>""</f>
        <v/>
      </c>
    </row>
    <row r="1672" spans="1:7" x14ac:dyDescent="0.25">
      <c r="A1672" t="s">
        <v>8</v>
      </c>
      <c r="B1672" s="1" t="str">
        <f>"000246509 - RICH C BB-DELAWARE"</f>
        <v>000246509 - RICH C BB-DELAWARE</v>
      </c>
      <c r="C1672" t="s">
        <v>282</v>
      </c>
      <c r="D1672" s="1" t="str">
        <f t="shared" si="44"/>
        <v>PRG-1017430</v>
      </c>
      <c r="E1672" t="s">
        <v>191</v>
      </c>
      <c r="F1672" t="s">
        <v>4</v>
      </c>
      <c r="G1672" t="str">
        <f>""</f>
        <v/>
      </c>
    </row>
    <row r="1673" spans="1:7" x14ac:dyDescent="0.25">
      <c r="A1673" t="s">
        <v>8</v>
      </c>
      <c r="B1673" s="1" t="str">
        <f>"000247210 - RICH-NONCORE-DELAWARE NORTH"</f>
        <v>000247210 - RICH-NONCORE-DELAWARE NORTH</v>
      </c>
      <c r="C1673" t="s">
        <v>834</v>
      </c>
      <c r="D1673" s="1" t="str">
        <f t="shared" si="44"/>
        <v>PRG-1017430</v>
      </c>
      <c r="E1673" t="s">
        <v>191</v>
      </c>
      <c r="F1673" t="s">
        <v>4</v>
      </c>
      <c r="G1673" t="str">
        <f>""</f>
        <v/>
      </c>
    </row>
    <row r="1674" spans="1:7" x14ac:dyDescent="0.25">
      <c r="A1674" t="s">
        <v>8</v>
      </c>
      <c r="B1674" s="1" t="str">
        <f>"000247613 - DEL NORTH RICHS BB"</f>
        <v>000247613 - DEL NORTH RICHS BB</v>
      </c>
      <c r="C1674" t="s">
        <v>2038</v>
      </c>
      <c r="D1674" s="1" t="str">
        <f t="shared" si="44"/>
        <v>PRG-1017430</v>
      </c>
      <c r="E1674" t="s">
        <v>191</v>
      </c>
      <c r="F1674" t="s">
        <v>4</v>
      </c>
      <c r="G1674" t="str">
        <f>""</f>
        <v/>
      </c>
    </row>
    <row r="1675" spans="1:7" x14ac:dyDescent="0.25">
      <c r="A1675" t="s">
        <v>8</v>
      </c>
      <c r="B1675" s="1" t="str">
        <f>"000248427 - RICH-CORE CC BB-DELAWARE"</f>
        <v>000248427 - RICH-CORE CC BB-DELAWARE</v>
      </c>
      <c r="C1675" t="s">
        <v>866</v>
      </c>
      <c r="D1675" s="1" t="str">
        <f t="shared" si="44"/>
        <v>PRG-1017430</v>
      </c>
      <c r="E1675" t="s">
        <v>191</v>
      </c>
      <c r="F1675" t="s">
        <v>4</v>
      </c>
      <c r="G1675" t="str">
        <f>""</f>
        <v/>
      </c>
    </row>
    <row r="1676" spans="1:7" x14ac:dyDescent="0.25">
      <c r="A1676" t="s">
        <v>8</v>
      </c>
      <c r="B1676" s="1" t="str">
        <f>"000248428 - RICH-NONCORE-DELAWARE NORTH"</f>
        <v>000248428 - RICH-NONCORE-DELAWARE NORTH</v>
      </c>
      <c r="C1676" t="s">
        <v>834</v>
      </c>
      <c r="D1676" s="1" t="str">
        <f t="shared" si="44"/>
        <v>PRG-1017430</v>
      </c>
      <c r="E1676" t="s">
        <v>191</v>
      </c>
      <c r="F1676" t="s">
        <v>4</v>
      </c>
      <c r="G1676" t="str">
        <f>""</f>
        <v/>
      </c>
    </row>
    <row r="1677" spans="1:7" x14ac:dyDescent="0.25">
      <c r="A1677" t="s">
        <v>8</v>
      </c>
      <c r="B1677" s="1" t="str">
        <f>"000251177 - RICH-CORE-DELAWARE NORTH"</f>
        <v>000251177 - RICH-CORE-DELAWARE NORTH</v>
      </c>
      <c r="C1677" t="s">
        <v>833</v>
      </c>
      <c r="D1677" s="1" t="str">
        <f t="shared" si="44"/>
        <v>PRG-1017430</v>
      </c>
      <c r="E1677" t="s">
        <v>191</v>
      </c>
      <c r="F1677" t="s">
        <v>4</v>
      </c>
      <c r="G1677" t="str">
        <f>""</f>
        <v/>
      </c>
    </row>
    <row r="1678" spans="1:7" x14ac:dyDescent="0.25">
      <c r="A1678" t="s">
        <v>8</v>
      </c>
      <c r="B1678" s="1" t="str">
        <f>"000251178 - RICH-NONCORE-DELAWARE NORTH"</f>
        <v>000251178 - RICH-NONCORE-DELAWARE NORTH</v>
      </c>
      <c r="C1678" t="s">
        <v>834</v>
      </c>
      <c r="D1678" s="1" t="str">
        <f t="shared" si="44"/>
        <v>PRG-1017430</v>
      </c>
      <c r="E1678" t="s">
        <v>191</v>
      </c>
      <c r="F1678" t="s">
        <v>4</v>
      </c>
      <c r="G1678" t="str">
        <f>""</f>
        <v/>
      </c>
    </row>
    <row r="1679" spans="1:7" x14ac:dyDescent="0.25">
      <c r="A1679" t="s">
        <v>8</v>
      </c>
      <c r="B1679" s="1" t="str">
        <f>"000253044 - RICH-NONCORE-DELAWARE NORTH"</f>
        <v>000253044 - RICH-NONCORE-DELAWARE NORTH</v>
      </c>
      <c r="C1679" t="s">
        <v>834</v>
      </c>
      <c r="D1679" s="1" t="str">
        <f t="shared" si="44"/>
        <v>PRG-1017430</v>
      </c>
      <c r="E1679" t="s">
        <v>191</v>
      </c>
      <c r="F1679" t="s">
        <v>4</v>
      </c>
      <c r="G1679" t="str">
        <f>""</f>
        <v/>
      </c>
    </row>
    <row r="1680" spans="1:7" x14ac:dyDescent="0.25">
      <c r="A1680" t="s">
        <v>8</v>
      </c>
      <c r="B1680" s="1" t="str">
        <f>"000255551 - RICH-CORE CC BB-DELAWARE"</f>
        <v>000255551 - RICH-CORE CC BB-DELAWARE</v>
      </c>
      <c r="C1680" t="s">
        <v>866</v>
      </c>
      <c r="D1680" s="1" t="str">
        <f t="shared" si="44"/>
        <v>PRG-1017430</v>
      </c>
      <c r="E1680" t="s">
        <v>191</v>
      </c>
      <c r="F1680" t="s">
        <v>4</v>
      </c>
      <c r="G1680" t="str">
        <f>""</f>
        <v/>
      </c>
    </row>
    <row r="1681" spans="1:7" x14ac:dyDescent="0.25">
      <c r="A1681" t="s">
        <v>8</v>
      </c>
      <c r="B1681" s="1" t="str">
        <f>"000255552 - RICH-NONCORE-DELAWARE NORTH"</f>
        <v>000255552 - RICH-NONCORE-DELAWARE NORTH</v>
      </c>
      <c r="C1681" t="s">
        <v>834</v>
      </c>
      <c r="D1681" s="1" t="str">
        <f t="shared" si="44"/>
        <v>PRG-1017430</v>
      </c>
      <c r="E1681" t="s">
        <v>191</v>
      </c>
      <c r="F1681" t="s">
        <v>4</v>
      </c>
      <c r="G1681" t="str">
        <f>""</f>
        <v/>
      </c>
    </row>
    <row r="1682" spans="1:7" x14ac:dyDescent="0.25">
      <c r="A1682" t="s">
        <v>8</v>
      </c>
      <c r="B1682" s="1" t="str">
        <f>"000257239 - RICHS CORE BB-DELAWARE"</f>
        <v>000257239 - RICHS CORE BB-DELAWARE</v>
      </c>
      <c r="C1682" t="s">
        <v>929</v>
      </c>
      <c r="D1682" s="1" t="str">
        <f t="shared" si="44"/>
        <v>PRG-1017430</v>
      </c>
      <c r="E1682" t="s">
        <v>191</v>
      </c>
      <c r="F1682" t="s">
        <v>4</v>
      </c>
      <c r="G1682" t="str">
        <f>""</f>
        <v/>
      </c>
    </row>
    <row r="1683" spans="1:7" x14ac:dyDescent="0.25">
      <c r="A1683" t="s">
        <v>8</v>
      </c>
      <c r="B1683" s="1" t="str">
        <f>"000257240 - RICHS NC BB-DELAWARE"</f>
        <v>000257240 - RICHS NC BB-DELAWARE</v>
      </c>
      <c r="C1683" t="s">
        <v>1467</v>
      </c>
      <c r="D1683" s="1" t="str">
        <f t="shared" si="44"/>
        <v>PRG-1017430</v>
      </c>
      <c r="E1683" t="s">
        <v>191</v>
      </c>
      <c r="F1683" t="s">
        <v>4</v>
      </c>
      <c r="G1683" t="str">
        <f>""</f>
        <v/>
      </c>
    </row>
    <row r="1684" spans="1:7" x14ac:dyDescent="0.25">
      <c r="A1684" t="s">
        <v>8</v>
      </c>
      <c r="B1684" s="1" t="str">
        <f>"000257951 - RICH NC BB-DELAWARE"</f>
        <v>000257951 - RICH NC BB-DELAWARE</v>
      </c>
      <c r="C1684" t="s">
        <v>691</v>
      </c>
      <c r="D1684" s="1" t="str">
        <f t="shared" si="44"/>
        <v>PRG-1017430</v>
      </c>
      <c r="E1684" t="s">
        <v>191</v>
      </c>
      <c r="F1684" t="s">
        <v>4</v>
      </c>
      <c r="G1684" t="str">
        <f>""</f>
        <v/>
      </c>
    </row>
    <row r="1685" spans="1:7" x14ac:dyDescent="0.25">
      <c r="A1685" t="s">
        <v>8</v>
      </c>
      <c r="B1685" s="1" t="str">
        <f>"000258232 - DEL NORTH-RICHS BB"</f>
        <v>000258232 - DEL NORTH-RICHS BB</v>
      </c>
      <c r="C1685" t="s">
        <v>2215</v>
      </c>
      <c r="D1685" s="1" t="str">
        <f t="shared" si="44"/>
        <v>PRG-1017430</v>
      </c>
      <c r="E1685" t="s">
        <v>191</v>
      </c>
      <c r="F1685" t="s">
        <v>4</v>
      </c>
      <c r="G1685" t="str">
        <f>""</f>
        <v/>
      </c>
    </row>
    <row r="1686" spans="1:7" x14ac:dyDescent="0.25">
      <c r="A1686" t="s">
        <v>8</v>
      </c>
      <c r="B1686" s="1" t="str">
        <f>"000258321 - RICH FOODS-DELAWARE"</f>
        <v>000258321 - RICH FOODS-DELAWARE</v>
      </c>
      <c r="C1686" t="s">
        <v>190</v>
      </c>
      <c r="D1686" s="1" t="str">
        <f t="shared" ref="D1686:D1749" si="45">"PRG-1017430"</f>
        <v>PRG-1017430</v>
      </c>
      <c r="E1686" t="s">
        <v>191</v>
      </c>
      <c r="F1686" t="s">
        <v>4</v>
      </c>
      <c r="G1686" t="str">
        <f>""</f>
        <v/>
      </c>
    </row>
    <row r="1687" spans="1:7" x14ac:dyDescent="0.25">
      <c r="A1687" t="s">
        <v>8</v>
      </c>
      <c r="B1687" s="1" t="str">
        <f>"000258406 - RICH-CORE CC BB-DELAWARE"</f>
        <v>000258406 - RICH-CORE CC BB-DELAWARE</v>
      </c>
      <c r="C1687" t="s">
        <v>866</v>
      </c>
      <c r="D1687" s="1" t="str">
        <f t="shared" si="45"/>
        <v>PRG-1017430</v>
      </c>
      <c r="E1687" t="s">
        <v>191</v>
      </c>
      <c r="F1687" t="s">
        <v>4</v>
      </c>
      <c r="G1687" t="str">
        <f>""</f>
        <v/>
      </c>
    </row>
    <row r="1688" spans="1:7" x14ac:dyDescent="0.25">
      <c r="A1688" t="s">
        <v>8</v>
      </c>
      <c r="B1688" s="1" t="str">
        <f>"000258638 - RICH FOODS-DELAWARE"</f>
        <v>000258638 - RICH FOODS-DELAWARE</v>
      </c>
      <c r="C1688" t="s">
        <v>190</v>
      </c>
      <c r="D1688" s="1" t="str">
        <f t="shared" si="45"/>
        <v>PRG-1017430</v>
      </c>
      <c r="E1688" t="s">
        <v>191</v>
      </c>
      <c r="F1688" t="s">
        <v>4</v>
      </c>
      <c r="G1688" t="str">
        <f>""</f>
        <v/>
      </c>
    </row>
    <row r="1689" spans="1:7" x14ac:dyDescent="0.25">
      <c r="A1689" t="s">
        <v>8</v>
      </c>
      <c r="B1689" s="1" t="str">
        <f>"000260373 - RICHS NC BB-DELAWARE"</f>
        <v>000260373 - RICHS NC BB-DELAWARE</v>
      </c>
      <c r="C1689" t="s">
        <v>1467</v>
      </c>
      <c r="D1689" s="1" t="str">
        <f t="shared" si="45"/>
        <v>PRG-1017430</v>
      </c>
      <c r="E1689" t="s">
        <v>191</v>
      </c>
      <c r="F1689" t="s">
        <v>4</v>
      </c>
      <c r="G1689" t="str">
        <f>""</f>
        <v/>
      </c>
    </row>
    <row r="1690" spans="1:7" x14ac:dyDescent="0.25">
      <c r="A1690" t="s">
        <v>8</v>
      </c>
      <c r="B1690" s="1" t="str">
        <f>"000260424 - RICH C BB-DELAWARE"</f>
        <v>000260424 - RICH C BB-DELAWARE</v>
      </c>
      <c r="C1690" t="s">
        <v>282</v>
      </c>
      <c r="D1690" s="1" t="str">
        <f t="shared" si="45"/>
        <v>PRG-1017430</v>
      </c>
      <c r="E1690" t="s">
        <v>191</v>
      </c>
      <c r="F1690" t="s">
        <v>4</v>
      </c>
      <c r="G1690" t="str">
        <f>""</f>
        <v/>
      </c>
    </row>
    <row r="1691" spans="1:7" x14ac:dyDescent="0.25">
      <c r="A1691" t="s">
        <v>8</v>
      </c>
      <c r="B1691" s="1" t="str">
        <f>"000260425 - RICH NC BB-DELAWARE"</f>
        <v>000260425 - RICH NC BB-DELAWARE</v>
      </c>
      <c r="C1691" t="s">
        <v>691</v>
      </c>
      <c r="D1691" s="1" t="str">
        <f t="shared" si="45"/>
        <v>PRG-1017430</v>
      </c>
      <c r="E1691" t="s">
        <v>191</v>
      </c>
      <c r="F1691" t="s">
        <v>4</v>
      </c>
      <c r="G1691" t="str">
        <f>""</f>
        <v/>
      </c>
    </row>
    <row r="1692" spans="1:7" x14ac:dyDescent="0.25">
      <c r="A1692" t="s">
        <v>8</v>
      </c>
      <c r="B1692" s="1" t="str">
        <f>"000261871 - RICHS CORE BB-DELAWARE"</f>
        <v>000261871 - RICHS CORE BB-DELAWARE</v>
      </c>
      <c r="C1692" t="s">
        <v>929</v>
      </c>
      <c r="D1692" s="1" t="str">
        <f t="shared" si="45"/>
        <v>PRG-1017430</v>
      </c>
      <c r="E1692" t="s">
        <v>191</v>
      </c>
      <c r="F1692" t="s">
        <v>4</v>
      </c>
      <c r="G1692" t="str">
        <f>""</f>
        <v/>
      </c>
    </row>
    <row r="1693" spans="1:7" x14ac:dyDescent="0.25">
      <c r="A1693" t="s">
        <v>8</v>
      </c>
      <c r="B1693" s="1" t="str">
        <f>"000261933 - RICH C BB-DELAWARE"</f>
        <v>000261933 - RICH C BB-DELAWARE</v>
      </c>
      <c r="C1693" t="s">
        <v>282</v>
      </c>
      <c r="D1693" s="1" t="str">
        <f t="shared" si="45"/>
        <v>PRG-1017430</v>
      </c>
      <c r="E1693" t="s">
        <v>191</v>
      </c>
      <c r="F1693" t="s">
        <v>4</v>
      </c>
      <c r="G1693" t="str">
        <f>""</f>
        <v/>
      </c>
    </row>
    <row r="1694" spans="1:7" x14ac:dyDescent="0.25">
      <c r="A1694" t="s">
        <v>8</v>
      </c>
      <c r="B1694" s="1" t="str">
        <f>"000262312 - RICHS NC BB-DELAWARE"</f>
        <v>000262312 - RICHS NC BB-DELAWARE</v>
      </c>
      <c r="C1694" t="s">
        <v>1467</v>
      </c>
      <c r="D1694" s="1" t="str">
        <f t="shared" si="45"/>
        <v>PRG-1017430</v>
      </c>
      <c r="E1694" t="s">
        <v>191</v>
      </c>
      <c r="F1694" t="s">
        <v>4</v>
      </c>
      <c r="G1694" t="str">
        <f>""</f>
        <v/>
      </c>
    </row>
    <row r="1695" spans="1:7" x14ac:dyDescent="0.25">
      <c r="A1695" t="s">
        <v>8</v>
      </c>
      <c r="B1695" s="1" t="str">
        <f>"000263065 - RICH C BB-DELAWARE"</f>
        <v>000263065 - RICH C BB-DELAWARE</v>
      </c>
      <c r="C1695" t="s">
        <v>282</v>
      </c>
      <c r="D1695" s="1" t="str">
        <f t="shared" si="45"/>
        <v>PRG-1017430</v>
      </c>
      <c r="E1695" t="s">
        <v>191</v>
      </c>
      <c r="F1695" t="s">
        <v>4</v>
      </c>
      <c r="G1695" t="str">
        <f>""</f>
        <v/>
      </c>
    </row>
    <row r="1696" spans="1:7" x14ac:dyDescent="0.25">
      <c r="A1696" t="s">
        <v>8</v>
      </c>
      <c r="B1696" s="1" t="str">
        <f>"000264146 - RICH C BB-DELAWARE"</f>
        <v>000264146 - RICH C BB-DELAWARE</v>
      </c>
      <c r="C1696" t="s">
        <v>282</v>
      </c>
      <c r="D1696" s="1" t="str">
        <f t="shared" si="45"/>
        <v>PRG-1017430</v>
      </c>
      <c r="E1696" t="s">
        <v>191</v>
      </c>
      <c r="F1696" t="s">
        <v>4</v>
      </c>
      <c r="G1696" t="str">
        <f>""</f>
        <v/>
      </c>
    </row>
    <row r="1697" spans="1:7" x14ac:dyDescent="0.25">
      <c r="A1697" t="s">
        <v>8</v>
      </c>
      <c r="B1697" s="1" t="str">
        <f>"000264147 - RICH NC BB-DELAWARE"</f>
        <v>000264147 - RICH NC BB-DELAWARE</v>
      </c>
      <c r="C1697" t="s">
        <v>691</v>
      </c>
      <c r="D1697" s="1" t="str">
        <f t="shared" si="45"/>
        <v>PRG-1017430</v>
      </c>
      <c r="E1697" t="s">
        <v>191</v>
      </c>
      <c r="F1697" t="s">
        <v>4</v>
      </c>
      <c r="G1697" t="str">
        <f>""</f>
        <v/>
      </c>
    </row>
    <row r="1698" spans="1:7" x14ac:dyDescent="0.25">
      <c r="A1698" t="s">
        <v>8</v>
      </c>
      <c r="B1698" s="1" t="str">
        <f>"000264402 - RICH C BB-DELAWARE"</f>
        <v>000264402 - RICH C BB-DELAWARE</v>
      </c>
      <c r="C1698" t="s">
        <v>282</v>
      </c>
      <c r="D1698" s="1" t="str">
        <f t="shared" si="45"/>
        <v>PRG-1017430</v>
      </c>
      <c r="E1698" t="s">
        <v>191</v>
      </c>
      <c r="F1698" t="s">
        <v>4</v>
      </c>
      <c r="G1698" t="str">
        <f>""</f>
        <v/>
      </c>
    </row>
    <row r="1699" spans="1:7" x14ac:dyDescent="0.25">
      <c r="A1699" t="s">
        <v>8</v>
      </c>
      <c r="B1699" s="1" t="str">
        <f>"000264403 - RICH NC BB-DELAWARE"</f>
        <v>000264403 - RICH NC BB-DELAWARE</v>
      </c>
      <c r="C1699" t="s">
        <v>691</v>
      </c>
      <c r="D1699" s="1" t="str">
        <f t="shared" si="45"/>
        <v>PRG-1017430</v>
      </c>
      <c r="E1699" t="s">
        <v>191</v>
      </c>
      <c r="F1699" t="s">
        <v>4</v>
      </c>
      <c r="G1699" t="str">
        <f>""</f>
        <v/>
      </c>
    </row>
    <row r="1700" spans="1:7" x14ac:dyDescent="0.25">
      <c r="A1700" t="s">
        <v>8</v>
      </c>
      <c r="B1700" s="1" t="str">
        <f>"000265837 - RICHS CORE BB-DELAWARE"</f>
        <v>000265837 - RICHS CORE BB-DELAWARE</v>
      </c>
      <c r="C1700" t="s">
        <v>929</v>
      </c>
      <c r="D1700" s="1" t="str">
        <f t="shared" si="45"/>
        <v>PRG-1017430</v>
      </c>
      <c r="E1700" t="s">
        <v>191</v>
      </c>
      <c r="F1700" t="s">
        <v>4</v>
      </c>
      <c r="G1700" t="str">
        <f>""</f>
        <v/>
      </c>
    </row>
    <row r="1701" spans="1:7" x14ac:dyDescent="0.25">
      <c r="A1701" t="s">
        <v>8</v>
      </c>
      <c r="B1701" s="1" t="str">
        <f>"000265838 - RICHS NC BB-DELAWARE"</f>
        <v>000265838 - RICHS NC BB-DELAWARE</v>
      </c>
      <c r="C1701" t="s">
        <v>1467</v>
      </c>
      <c r="D1701" s="1" t="str">
        <f t="shared" si="45"/>
        <v>PRG-1017430</v>
      </c>
      <c r="E1701" t="s">
        <v>191</v>
      </c>
      <c r="F1701" t="s">
        <v>4</v>
      </c>
      <c r="G1701" t="str">
        <f>""</f>
        <v/>
      </c>
    </row>
    <row r="1702" spans="1:7" x14ac:dyDescent="0.25">
      <c r="A1702" t="s">
        <v>8</v>
      </c>
      <c r="B1702" s="1" t="str">
        <f>"000265885 - RICH C BB-DELAWARE"</f>
        <v>000265885 - RICH C BB-DELAWARE</v>
      </c>
      <c r="C1702" t="s">
        <v>282</v>
      </c>
      <c r="D1702" s="1" t="str">
        <f t="shared" si="45"/>
        <v>PRG-1017430</v>
      </c>
      <c r="E1702" t="s">
        <v>191</v>
      </c>
      <c r="F1702" t="s">
        <v>4</v>
      </c>
      <c r="G1702" t="str">
        <f>""</f>
        <v/>
      </c>
    </row>
    <row r="1703" spans="1:7" x14ac:dyDescent="0.25">
      <c r="A1703" t="s">
        <v>8</v>
      </c>
      <c r="B1703" s="1" t="str">
        <f>"000266544 - RICHS CORE BB-DELAWARE"</f>
        <v>000266544 - RICHS CORE BB-DELAWARE</v>
      </c>
      <c r="C1703" t="s">
        <v>929</v>
      </c>
      <c r="D1703" s="1" t="str">
        <f t="shared" si="45"/>
        <v>PRG-1017430</v>
      </c>
      <c r="E1703" t="s">
        <v>191</v>
      </c>
      <c r="F1703" t="s">
        <v>4</v>
      </c>
      <c r="G1703" t="str">
        <f>""</f>
        <v/>
      </c>
    </row>
    <row r="1704" spans="1:7" x14ac:dyDescent="0.25">
      <c r="A1704" t="s">
        <v>8</v>
      </c>
      <c r="B1704" s="1" t="str">
        <f>"000266545 - RICHS NC BB-DELAWARE"</f>
        <v>000266545 - RICHS NC BB-DELAWARE</v>
      </c>
      <c r="C1704" t="s">
        <v>1467</v>
      </c>
      <c r="D1704" s="1" t="str">
        <f t="shared" si="45"/>
        <v>PRG-1017430</v>
      </c>
      <c r="E1704" t="s">
        <v>191</v>
      </c>
      <c r="F1704" t="s">
        <v>4</v>
      </c>
      <c r="G1704" t="str">
        <f>""</f>
        <v/>
      </c>
    </row>
    <row r="1705" spans="1:7" x14ac:dyDescent="0.25">
      <c r="A1705" t="s">
        <v>8</v>
      </c>
      <c r="B1705" s="1" t="str">
        <f>"000266598 - RICH C BB-DELAWARE"</f>
        <v>000266598 - RICH C BB-DELAWARE</v>
      </c>
      <c r="C1705" t="s">
        <v>282</v>
      </c>
      <c r="D1705" s="1" t="str">
        <f t="shared" si="45"/>
        <v>PRG-1017430</v>
      </c>
      <c r="E1705" t="s">
        <v>191</v>
      </c>
      <c r="F1705" t="s">
        <v>4</v>
      </c>
      <c r="G1705" t="str">
        <f>""</f>
        <v/>
      </c>
    </row>
    <row r="1706" spans="1:7" x14ac:dyDescent="0.25">
      <c r="A1706" t="s">
        <v>8</v>
      </c>
      <c r="B1706" s="1" t="str">
        <f>"000266599 - RICH NC BB-DELAWARE"</f>
        <v>000266599 - RICH NC BB-DELAWARE</v>
      </c>
      <c r="C1706" t="s">
        <v>691</v>
      </c>
      <c r="D1706" s="1" t="str">
        <f t="shared" si="45"/>
        <v>PRG-1017430</v>
      </c>
      <c r="E1706" t="s">
        <v>191</v>
      </c>
      <c r="F1706" t="s">
        <v>4</v>
      </c>
      <c r="G1706" t="str">
        <f>""</f>
        <v/>
      </c>
    </row>
    <row r="1707" spans="1:7" x14ac:dyDescent="0.25">
      <c r="A1707" t="s">
        <v>8</v>
      </c>
      <c r="B1707" s="1" t="str">
        <f>"000267452 - RICH C BB-DELAWARE"</f>
        <v>000267452 - RICH C BB-DELAWARE</v>
      </c>
      <c r="C1707" t="s">
        <v>282</v>
      </c>
      <c r="D1707" s="1" t="str">
        <f t="shared" si="45"/>
        <v>PRG-1017430</v>
      </c>
      <c r="E1707" t="s">
        <v>191</v>
      </c>
      <c r="F1707" t="s">
        <v>4</v>
      </c>
      <c r="G1707" t="str">
        <f>""</f>
        <v/>
      </c>
    </row>
    <row r="1708" spans="1:7" x14ac:dyDescent="0.25">
      <c r="A1708" t="s">
        <v>8</v>
      </c>
      <c r="B1708" s="1" t="str">
        <f>"000267453 - RICH NC BB-DELAWARE"</f>
        <v>000267453 - RICH NC BB-DELAWARE</v>
      </c>
      <c r="C1708" t="s">
        <v>691</v>
      </c>
      <c r="D1708" s="1" t="str">
        <f t="shared" si="45"/>
        <v>PRG-1017430</v>
      </c>
      <c r="E1708" t="s">
        <v>191</v>
      </c>
      <c r="F1708" t="s">
        <v>4</v>
      </c>
      <c r="G1708" t="str">
        <f>""</f>
        <v/>
      </c>
    </row>
    <row r="1709" spans="1:7" x14ac:dyDescent="0.25">
      <c r="A1709" t="s">
        <v>8</v>
      </c>
      <c r="B1709" s="1" t="str">
        <f>"000267580 - RICH C BB-DELAWARE"</f>
        <v>000267580 - RICH C BB-DELAWARE</v>
      </c>
      <c r="C1709" t="s">
        <v>282</v>
      </c>
      <c r="D1709" s="1" t="str">
        <f t="shared" si="45"/>
        <v>PRG-1017430</v>
      </c>
      <c r="E1709" t="s">
        <v>191</v>
      </c>
      <c r="F1709" t="s">
        <v>4</v>
      </c>
      <c r="G1709" t="str">
        <f>""</f>
        <v/>
      </c>
    </row>
    <row r="1710" spans="1:7" x14ac:dyDescent="0.25">
      <c r="A1710" t="s">
        <v>8</v>
      </c>
      <c r="B1710" s="1" t="str">
        <f>"000267581 - RICH C BB-DELAWARE"</f>
        <v>000267581 - RICH C BB-DELAWARE</v>
      </c>
      <c r="C1710" t="s">
        <v>282</v>
      </c>
      <c r="D1710" s="1" t="str">
        <f t="shared" si="45"/>
        <v>PRG-1017430</v>
      </c>
      <c r="E1710" t="s">
        <v>191</v>
      </c>
      <c r="F1710" t="s">
        <v>4</v>
      </c>
      <c r="G1710" t="str">
        <f>""</f>
        <v/>
      </c>
    </row>
    <row r="1711" spans="1:7" x14ac:dyDescent="0.25">
      <c r="A1711" t="s">
        <v>8</v>
      </c>
      <c r="B1711" s="1" t="str">
        <f>"000269049 - RICH C BB-DELAWARE"</f>
        <v>000269049 - RICH C BB-DELAWARE</v>
      </c>
      <c r="C1711" t="s">
        <v>282</v>
      </c>
      <c r="D1711" s="1" t="str">
        <f t="shared" si="45"/>
        <v>PRG-1017430</v>
      </c>
      <c r="E1711" t="s">
        <v>191</v>
      </c>
      <c r="F1711" t="s">
        <v>4</v>
      </c>
      <c r="G1711" t="str">
        <f>""</f>
        <v/>
      </c>
    </row>
    <row r="1712" spans="1:7" x14ac:dyDescent="0.25">
      <c r="A1712" t="s">
        <v>8</v>
      </c>
      <c r="B1712" s="1" t="str">
        <f>"000269627 - RICHS CORE BB-DELAWARE"</f>
        <v>000269627 - RICHS CORE BB-DELAWARE</v>
      </c>
      <c r="C1712" t="s">
        <v>929</v>
      </c>
      <c r="D1712" s="1" t="str">
        <f t="shared" si="45"/>
        <v>PRG-1017430</v>
      </c>
      <c r="E1712" t="s">
        <v>191</v>
      </c>
      <c r="F1712" t="s">
        <v>4</v>
      </c>
      <c r="G1712" t="str">
        <f>""</f>
        <v/>
      </c>
    </row>
    <row r="1713" spans="1:7" x14ac:dyDescent="0.25">
      <c r="A1713" t="s">
        <v>8</v>
      </c>
      <c r="B1713" s="1" t="str">
        <f>"000269628 - RICHS NC BB-DELAWARE"</f>
        <v>000269628 - RICHS NC BB-DELAWARE</v>
      </c>
      <c r="C1713" t="s">
        <v>1467</v>
      </c>
      <c r="D1713" s="1" t="str">
        <f t="shared" si="45"/>
        <v>PRG-1017430</v>
      </c>
      <c r="E1713" t="s">
        <v>191</v>
      </c>
      <c r="F1713" t="s">
        <v>4</v>
      </c>
      <c r="G1713" t="str">
        <f>""</f>
        <v/>
      </c>
    </row>
    <row r="1714" spans="1:7" x14ac:dyDescent="0.25">
      <c r="A1714" t="s">
        <v>8</v>
      </c>
      <c r="B1714" s="1" t="str">
        <f>"000269670 - RICH C BB-DELAWARE"</f>
        <v>000269670 - RICH C BB-DELAWARE</v>
      </c>
      <c r="C1714" t="s">
        <v>282</v>
      </c>
      <c r="D1714" s="1" t="str">
        <f t="shared" si="45"/>
        <v>PRG-1017430</v>
      </c>
      <c r="E1714" t="s">
        <v>191</v>
      </c>
      <c r="F1714" t="s">
        <v>4</v>
      </c>
      <c r="G1714" t="str">
        <f>""</f>
        <v/>
      </c>
    </row>
    <row r="1715" spans="1:7" x14ac:dyDescent="0.25">
      <c r="A1715" t="s">
        <v>8</v>
      </c>
      <c r="B1715" s="1" t="str">
        <f>"000269671 - RICH NC BB-DELAWARE"</f>
        <v>000269671 - RICH NC BB-DELAWARE</v>
      </c>
      <c r="C1715" t="s">
        <v>691</v>
      </c>
      <c r="D1715" s="1" t="str">
        <f t="shared" si="45"/>
        <v>PRG-1017430</v>
      </c>
      <c r="E1715" t="s">
        <v>191</v>
      </c>
      <c r="F1715" t="s">
        <v>4</v>
      </c>
      <c r="G1715" t="str">
        <f>""</f>
        <v/>
      </c>
    </row>
    <row r="1716" spans="1:7" x14ac:dyDescent="0.25">
      <c r="A1716" t="s">
        <v>8</v>
      </c>
      <c r="B1716" s="1" t="str">
        <f>"000269677 - RICH'S-DELAWARE NORTH"</f>
        <v>000269677 - RICH'S-DELAWARE NORTH</v>
      </c>
      <c r="C1716" t="s">
        <v>814</v>
      </c>
      <c r="D1716" s="1" t="str">
        <f t="shared" si="45"/>
        <v>PRG-1017430</v>
      </c>
      <c r="E1716" t="s">
        <v>191</v>
      </c>
      <c r="F1716" t="s">
        <v>4</v>
      </c>
      <c r="G1716" t="str">
        <f>""</f>
        <v/>
      </c>
    </row>
    <row r="1717" spans="1:7" x14ac:dyDescent="0.25">
      <c r="A1717" t="s">
        <v>8</v>
      </c>
      <c r="B1717" s="1" t="str">
        <f>"000269943 - RICH'S-DELAWARE NORTH"</f>
        <v>000269943 - RICH'S-DELAWARE NORTH</v>
      </c>
      <c r="C1717" t="s">
        <v>814</v>
      </c>
      <c r="D1717" s="1" t="str">
        <f t="shared" si="45"/>
        <v>PRG-1017430</v>
      </c>
      <c r="E1717" t="s">
        <v>191</v>
      </c>
      <c r="F1717" t="s">
        <v>4</v>
      </c>
      <c r="G1717" t="str">
        <f>""</f>
        <v/>
      </c>
    </row>
    <row r="1718" spans="1:7" x14ac:dyDescent="0.25">
      <c r="A1718" t="s">
        <v>8</v>
      </c>
      <c r="B1718" s="1" t="str">
        <f>"000271524 - RICH C BB-DELAWARE"</f>
        <v>000271524 - RICH C BB-DELAWARE</v>
      </c>
      <c r="C1718" t="s">
        <v>282</v>
      </c>
      <c r="D1718" s="1" t="str">
        <f t="shared" si="45"/>
        <v>PRG-1017430</v>
      </c>
      <c r="E1718" t="s">
        <v>191</v>
      </c>
      <c r="F1718" t="s">
        <v>4</v>
      </c>
      <c r="G1718" t="str">
        <f>""</f>
        <v/>
      </c>
    </row>
    <row r="1719" spans="1:7" x14ac:dyDescent="0.25">
      <c r="A1719" t="s">
        <v>8</v>
      </c>
      <c r="B1719" s="1" t="str">
        <f>"000271525 - RICH NC BB-DELAWARE"</f>
        <v>000271525 - RICH NC BB-DELAWARE</v>
      </c>
      <c r="C1719" t="s">
        <v>691</v>
      </c>
      <c r="D1719" s="1" t="str">
        <f t="shared" si="45"/>
        <v>PRG-1017430</v>
      </c>
      <c r="E1719" t="s">
        <v>191</v>
      </c>
      <c r="F1719" t="s">
        <v>4</v>
      </c>
      <c r="G1719" t="str">
        <f>""</f>
        <v/>
      </c>
    </row>
    <row r="1720" spans="1:7" x14ac:dyDescent="0.25">
      <c r="A1720" t="s">
        <v>8</v>
      </c>
      <c r="B1720" s="1" t="str">
        <f>"000271965 - RICH C BB-DELAWARE"</f>
        <v>000271965 - RICH C BB-DELAWARE</v>
      </c>
      <c r="C1720" t="s">
        <v>282</v>
      </c>
      <c r="D1720" s="1" t="str">
        <f t="shared" si="45"/>
        <v>PRG-1017430</v>
      </c>
      <c r="E1720" t="s">
        <v>191</v>
      </c>
      <c r="F1720" t="s">
        <v>4</v>
      </c>
      <c r="G1720" t="str">
        <f>""</f>
        <v/>
      </c>
    </row>
    <row r="1721" spans="1:7" x14ac:dyDescent="0.25">
      <c r="A1721" t="s">
        <v>8</v>
      </c>
      <c r="B1721" s="1" t="str">
        <f>"000271966 - RICH NC BB-DELAWARE"</f>
        <v>000271966 - RICH NC BB-DELAWARE</v>
      </c>
      <c r="C1721" t="s">
        <v>691</v>
      </c>
      <c r="D1721" s="1" t="str">
        <f t="shared" si="45"/>
        <v>PRG-1017430</v>
      </c>
      <c r="E1721" t="s">
        <v>191</v>
      </c>
      <c r="F1721" t="s">
        <v>4</v>
      </c>
      <c r="G1721" t="str">
        <f>""</f>
        <v/>
      </c>
    </row>
    <row r="1722" spans="1:7" x14ac:dyDescent="0.25">
      <c r="A1722" t="s">
        <v>8</v>
      </c>
      <c r="B1722" s="1" t="str">
        <f>"000273526 - RICHS CORE BB-DELAWARE"</f>
        <v>000273526 - RICHS CORE BB-DELAWARE</v>
      </c>
      <c r="C1722" t="s">
        <v>929</v>
      </c>
      <c r="D1722" s="1" t="str">
        <f t="shared" si="45"/>
        <v>PRG-1017430</v>
      </c>
      <c r="E1722" t="s">
        <v>191</v>
      </c>
      <c r="F1722" t="s">
        <v>4</v>
      </c>
      <c r="G1722" t="str">
        <f>""</f>
        <v/>
      </c>
    </row>
    <row r="1723" spans="1:7" x14ac:dyDescent="0.25">
      <c r="A1723" t="s">
        <v>8</v>
      </c>
      <c r="B1723" s="1" t="str">
        <f>"000273580 - RICH C BB-DELAWARE"</f>
        <v>000273580 - RICH C BB-DELAWARE</v>
      </c>
      <c r="C1723" t="s">
        <v>282</v>
      </c>
      <c r="D1723" s="1" t="str">
        <f t="shared" si="45"/>
        <v>PRG-1017430</v>
      </c>
      <c r="E1723" t="s">
        <v>191</v>
      </c>
      <c r="F1723" t="s">
        <v>4</v>
      </c>
      <c r="G1723" t="str">
        <f>""</f>
        <v/>
      </c>
    </row>
    <row r="1724" spans="1:7" x14ac:dyDescent="0.25">
      <c r="A1724" t="s">
        <v>8</v>
      </c>
      <c r="B1724" s="1" t="str">
        <f>"000273581 - RICH NC BB-DELAWARE"</f>
        <v>000273581 - RICH NC BB-DELAWARE</v>
      </c>
      <c r="C1724" t="s">
        <v>691</v>
      </c>
      <c r="D1724" s="1" t="str">
        <f t="shared" si="45"/>
        <v>PRG-1017430</v>
      </c>
      <c r="E1724" t="s">
        <v>191</v>
      </c>
      <c r="F1724" t="s">
        <v>4</v>
      </c>
      <c r="G1724" t="str">
        <f>""</f>
        <v/>
      </c>
    </row>
    <row r="1725" spans="1:7" x14ac:dyDescent="0.25">
      <c r="A1725" t="s">
        <v>8</v>
      </c>
      <c r="B1725" s="1" t="str">
        <f>"000274448 - RICHS CORE BB-DELAWARE"</f>
        <v>000274448 - RICHS CORE BB-DELAWARE</v>
      </c>
      <c r="C1725" t="s">
        <v>929</v>
      </c>
      <c r="D1725" s="1" t="str">
        <f t="shared" si="45"/>
        <v>PRG-1017430</v>
      </c>
      <c r="E1725" t="s">
        <v>191</v>
      </c>
      <c r="F1725" t="s">
        <v>4</v>
      </c>
      <c r="G1725" t="str">
        <f>""</f>
        <v/>
      </c>
    </row>
    <row r="1726" spans="1:7" x14ac:dyDescent="0.25">
      <c r="A1726" t="s">
        <v>8</v>
      </c>
      <c r="B1726" s="1" t="str">
        <f>"000274449 - RICHS NC BB-DELAWARE"</f>
        <v>000274449 - RICHS NC BB-DELAWARE</v>
      </c>
      <c r="C1726" t="s">
        <v>1467</v>
      </c>
      <c r="D1726" s="1" t="str">
        <f t="shared" si="45"/>
        <v>PRG-1017430</v>
      </c>
      <c r="E1726" t="s">
        <v>191</v>
      </c>
      <c r="F1726" t="s">
        <v>4</v>
      </c>
      <c r="G1726" t="str">
        <f>""</f>
        <v/>
      </c>
    </row>
    <row r="1727" spans="1:7" x14ac:dyDescent="0.25">
      <c r="A1727" t="s">
        <v>8</v>
      </c>
      <c r="B1727" s="1" t="str">
        <f>"000274502 - RICH C BB-DELAWARE"</f>
        <v>000274502 - RICH C BB-DELAWARE</v>
      </c>
      <c r="C1727" t="s">
        <v>282</v>
      </c>
      <c r="D1727" s="1" t="str">
        <f t="shared" si="45"/>
        <v>PRG-1017430</v>
      </c>
      <c r="E1727" t="s">
        <v>191</v>
      </c>
      <c r="F1727" t="s">
        <v>4</v>
      </c>
      <c r="G1727" t="str">
        <f>""</f>
        <v/>
      </c>
    </row>
    <row r="1728" spans="1:7" x14ac:dyDescent="0.25">
      <c r="A1728" t="s">
        <v>8</v>
      </c>
      <c r="B1728" s="1" t="str">
        <f>"000274503 - RICH NC BB-DELAWARE"</f>
        <v>000274503 - RICH NC BB-DELAWARE</v>
      </c>
      <c r="C1728" t="s">
        <v>691</v>
      </c>
      <c r="D1728" s="1" t="str">
        <f t="shared" si="45"/>
        <v>PRG-1017430</v>
      </c>
      <c r="E1728" t="s">
        <v>191</v>
      </c>
      <c r="F1728" t="s">
        <v>4</v>
      </c>
      <c r="G1728" t="str">
        <f>""</f>
        <v/>
      </c>
    </row>
    <row r="1729" spans="1:7" x14ac:dyDescent="0.25">
      <c r="A1729" t="s">
        <v>8</v>
      </c>
      <c r="B1729" s="1" t="str">
        <f>"000277492 - RICH-CORE-DELAWARE NORTH"</f>
        <v>000277492 - RICH-CORE-DELAWARE NORTH</v>
      </c>
      <c r="C1729" t="s">
        <v>833</v>
      </c>
      <c r="D1729" s="1" t="str">
        <f t="shared" si="45"/>
        <v>PRG-1017430</v>
      </c>
      <c r="E1729" t="s">
        <v>191</v>
      </c>
      <c r="F1729" t="s">
        <v>4</v>
      </c>
      <c r="G1729" t="str">
        <f>""</f>
        <v/>
      </c>
    </row>
    <row r="1730" spans="1:7" x14ac:dyDescent="0.25">
      <c r="A1730" t="s">
        <v>8</v>
      </c>
      <c r="B1730" s="1" t="str">
        <f>"000277493 - RICH-NONCORE-DELAWARE NORTH"</f>
        <v>000277493 - RICH-NONCORE-DELAWARE NORTH</v>
      </c>
      <c r="C1730" t="s">
        <v>834</v>
      </c>
      <c r="D1730" s="1" t="str">
        <f t="shared" si="45"/>
        <v>PRG-1017430</v>
      </c>
      <c r="E1730" t="s">
        <v>191</v>
      </c>
      <c r="F1730" t="s">
        <v>4</v>
      </c>
      <c r="G1730" t="str">
        <f>""</f>
        <v/>
      </c>
    </row>
    <row r="1731" spans="1:7" x14ac:dyDescent="0.25">
      <c r="A1731" t="s">
        <v>8</v>
      </c>
      <c r="B1731" s="1" t="str">
        <f>"000277501 - RICH FDS CORE DELAWARE NRTH BB"</f>
        <v>000277501 - RICH FDS CORE DELAWARE NRTH BB</v>
      </c>
      <c r="C1731" t="s">
        <v>2602</v>
      </c>
      <c r="D1731" s="1" t="str">
        <f t="shared" si="45"/>
        <v>PRG-1017430</v>
      </c>
      <c r="E1731" t="s">
        <v>191</v>
      </c>
      <c r="F1731" t="s">
        <v>4</v>
      </c>
      <c r="G1731" t="str">
        <f>""</f>
        <v/>
      </c>
    </row>
    <row r="1732" spans="1:7" x14ac:dyDescent="0.25">
      <c r="A1732" t="s">
        <v>8</v>
      </c>
      <c r="B1732" s="1" t="str">
        <f>"000280439 - RICH'S-DELAWARE NORTH"</f>
        <v>000280439 - RICH'S-DELAWARE NORTH</v>
      </c>
      <c r="C1732" t="s">
        <v>814</v>
      </c>
      <c r="D1732" s="1" t="str">
        <f t="shared" si="45"/>
        <v>PRG-1017430</v>
      </c>
      <c r="E1732" t="s">
        <v>191</v>
      </c>
      <c r="F1732" t="s">
        <v>4</v>
      </c>
      <c r="G1732" t="str">
        <f>""</f>
        <v/>
      </c>
    </row>
    <row r="1733" spans="1:7" x14ac:dyDescent="0.25">
      <c r="A1733" t="s">
        <v>8</v>
      </c>
      <c r="B1733" s="1" t="str">
        <f>"000287075 - RICH FOODS-DELAWARE"</f>
        <v>000287075 - RICH FOODS-DELAWARE</v>
      </c>
      <c r="C1733" t="s">
        <v>190</v>
      </c>
      <c r="D1733" s="1" t="str">
        <f t="shared" si="45"/>
        <v>PRG-1017430</v>
      </c>
      <c r="E1733" t="s">
        <v>191</v>
      </c>
      <c r="F1733" t="s">
        <v>4</v>
      </c>
      <c r="G1733" t="str">
        <f>""</f>
        <v/>
      </c>
    </row>
    <row r="1734" spans="1:7" x14ac:dyDescent="0.25">
      <c r="A1734" t="s">
        <v>8</v>
      </c>
      <c r="B1734" s="1" t="str">
        <f>"000287885 - RICH FOODS (CORE)BB  DNC"</f>
        <v>000287885 - RICH FOODS (CORE)BB  DNC</v>
      </c>
      <c r="C1734" t="s">
        <v>2771</v>
      </c>
      <c r="D1734" s="1" t="str">
        <f t="shared" si="45"/>
        <v>PRG-1017430</v>
      </c>
      <c r="E1734" t="s">
        <v>191</v>
      </c>
      <c r="F1734" t="s">
        <v>4</v>
      </c>
      <c r="G1734" t="str">
        <f>""</f>
        <v/>
      </c>
    </row>
    <row r="1735" spans="1:7" x14ac:dyDescent="0.25">
      <c r="A1735" t="s">
        <v>8</v>
      </c>
      <c r="B1735" s="1" t="str">
        <f>"000288748 - RICH-NONCORE-DELAWARE NORTH"</f>
        <v>000288748 - RICH-NONCORE-DELAWARE NORTH</v>
      </c>
      <c r="C1735" t="s">
        <v>834</v>
      </c>
      <c r="D1735" s="1" t="str">
        <f t="shared" si="45"/>
        <v>PRG-1017430</v>
      </c>
      <c r="E1735" t="s">
        <v>191</v>
      </c>
      <c r="F1735" t="s">
        <v>4</v>
      </c>
      <c r="G1735" t="str">
        <f>""</f>
        <v/>
      </c>
    </row>
    <row r="1736" spans="1:7" x14ac:dyDescent="0.25">
      <c r="A1736" t="s">
        <v>8</v>
      </c>
      <c r="B1736" s="1" t="str">
        <f>"000289449 - RICH-CORE CC BB-DELAWARE"</f>
        <v>000289449 - RICH-CORE CC BB-DELAWARE</v>
      </c>
      <c r="C1736" t="s">
        <v>866</v>
      </c>
      <c r="D1736" s="1" t="str">
        <f t="shared" si="45"/>
        <v>PRG-1017430</v>
      </c>
      <c r="E1736" t="s">
        <v>191</v>
      </c>
      <c r="F1736" t="s">
        <v>4</v>
      </c>
      <c r="G1736" t="str">
        <f>""</f>
        <v/>
      </c>
    </row>
    <row r="1737" spans="1:7" x14ac:dyDescent="0.25">
      <c r="A1737" t="s">
        <v>8</v>
      </c>
      <c r="B1737" s="1" t="str">
        <f>"000289450 - RICH-NONCORE-DELAWARE NORTH"</f>
        <v>000289450 - RICH-NONCORE-DELAWARE NORTH</v>
      </c>
      <c r="C1737" t="s">
        <v>834</v>
      </c>
      <c r="D1737" s="1" t="str">
        <f t="shared" si="45"/>
        <v>PRG-1017430</v>
      </c>
      <c r="E1737" t="s">
        <v>191</v>
      </c>
      <c r="F1737" t="s">
        <v>4</v>
      </c>
      <c r="G1737" t="str">
        <f>""</f>
        <v/>
      </c>
    </row>
    <row r="1738" spans="1:7" x14ac:dyDescent="0.25">
      <c r="A1738" t="s">
        <v>8</v>
      </c>
      <c r="B1738" s="1" t="str">
        <f>"000290576 - RICH'S-DELAWARE NORTH"</f>
        <v>000290576 - RICH'S-DELAWARE NORTH</v>
      </c>
      <c r="C1738" t="s">
        <v>814</v>
      </c>
      <c r="D1738" s="1" t="str">
        <f t="shared" si="45"/>
        <v>PRG-1017430</v>
      </c>
      <c r="E1738" t="s">
        <v>191</v>
      </c>
      <c r="F1738" t="s">
        <v>4</v>
      </c>
      <c r="G1738" t="str">
        <f>""</f>
        <v/>
      </c>
    </row>
    <row r="1739" spans="1:7" x14ac:dyDescent="0.25">
      <c r="A1739" t="s">
        <v>8</v>
      </c>
      <c r="B1739" s="1" t="str">
        <f>"000292157 - RICH-NONCORE-DELAWARE NORTH"</f>
        <v>000292157 - RICH-NONCORE-DELAWARE NORTH</v>
      </c>
      <c r="C1739" t="s">
        <v>834</v>
      </c>
      <c r="D1739" s="1" t="str">
        <f t="shared" si="45"/>
        <v>PRG-1017430</v>
      </c>
      <c r="E1739" t="s">
        <v>191</v>
      </c>
      <c r="F1739" t="s">
        <v>4</v>
      </c>
      <c r="G1739" t="str">
        <f>""</f>
        <v/>
      </c>
    </row>
    <row r="1740" spans="1:7" x14ac:dyDescent="0.25">
      <c r="A1740" t="s">
        <v>8</v>
      </c>
      <c r="B1740" s="1" t="str">
        <f>"000293889 - RICH'S-DELAWARE NORTH"</f>
        <v>000293889 - RICH'S-DELAWARE NORTH</v>
      </c>
      <c r="C1740" t="s">
        <v>814</v>
      </c>
      <c r="D1740" s="1" t="str">
        <f t="shared" si="45"/>
        <v>PRG-1017430</v>
      </c>
      <c r="E1740" t="s">
        <v>191</v>
      </c>
      <c r="F1740" t="s">
        <v>4</v>
      </c>
      <c r="G1740" t="str">
        <f>""</f>
        <v/>
      </c>
    </row>
    <row r="1741" spans="1:7" x14ac:dyDescent="0.25">
      <c r="A1741" t="s">
        <v>8</v>
      </c>
      <c r="B1741" s="1" t="str">
        <f>"000296149 - RICHS-DELAWARE NORTH"</f>
        <v>000296149 - RICHS-DELAWARE NORTH</v>
      </c>
      <c r="C1741" t="s">
        <v>2910</v>
      </c>
      <c r="D1741" s="1" t="str">
        <f t="shared" si="45"/>
        <v>PRG-1017430</v>
      </c>
      <c r="E1741" t="s">
        <v>191</v>
      </c>
      <c r="F1741" t="s">
        <v>4</v>
      </c>
      <c r="G1741" t="str">
        <f>""</f>
        <v/>
      </c>
    </row>
    <row r="1742" spans="1:7" x14ac:dyDescent="0.25">
      <c r="A1742" t="s">
        <v>8</v>
      </c>
      <c r="B1742" s="1" t="str">
        <f>"000296282 - RICH'S-DELAWARE NORTH"</f>
        <v>000296282 - RICH'S-DELAWARE NORTH</v>
      </c>
      <c r="C1742" t="s">
        <v>814</v>
      </c>
      <c r="D1742" s="1" t="str">
        <f t="shared" si="45"/>
        <v>PRG-1017430</v>
      </c>
      <c r="E1742" t="s">
        <v>191</v>
      </c>
      <c r="F1742" t="s">
        <v>4</v>
      </c>
      <c r="G1742" t="str">
        <f>""</f>
        <v/>
      </c>
    </row>
    <row r="1743" spans="1:7" x14ac:dyDescent="0.25">
      <c r="A1743" t="s">
        <v>8</v>
      </c>
      <c r="B1743" s="1" t="str">
        <f>"000298330 - RICH-NONCORE-DELAWARE NORTH"</f>
        <v>000298330 - RICH-NONCORE-DELAWARE NORTH</v>
      </c>
      <c r="C1743" t="s">
        <v>834</v>
      </c>
      <c r="D1743" s="1" t="str">
        <f t="shared" si="45"/>
        <v>PRG-1017430</v>
      </c>
      <c r="E1743" t="s">
        <v>191</v>
      </c>
      <c r="F1743" t="s">
        <v>4</v>
      </c>
      <c r="G1743" t="str">
        <f>""</f>
        <v/>
      </c>
    </row>
    <row r="1744" spans="1:7" x14ac:dyDescent="0.25">
      <c r="A1744" t="s">
        <v>8</v>
      </c>
      <c r="B1744" s="1" t="str">
        <f>"000299069 - RICH FOODS-DELAWARE"</f>
        <v>000299069 - RICH FOODS-DELAWARE</v>
      </c>
      <c r="C1744" t="s">
        <v>190</v>
      </c>
      <c r="D1744" s="1" t="str">
        <f t="shared" si="45"/>
        <v>PRG-1017430</v>
      </c>
      <c r="E1744" t="s">
        <v>191</v>
      </c>
      <c r="F1744" t="s">
        <v>4</v>
      </c>
      <c r="G1744" t="str">
        <f>""</f>
        <v/>
      </c>
    </row>
    <row r="1745" spans="1:7" x14ac:dyDescent="0.25">
      <c r="A1745" t="s">
        <v>8</v>
      </c>
      <c r="B1745" s="1" t="str">
        <f>"000300926 - RICH'S-DELAWARE NORTH"</f>
        <v>000300926 - RICH'S-DELAWARE NORTH</v>
      </c>
      <c r="C1745" t="s">
        <v>814</v>
      </c>
      <c r="D1745" s="1" t="str">
        <f t="shared" si="45"/>
        <v>PRG-1017430</v>
      </c>
      <c r="E1745" t="s">
        <v>191</v>
      </c>
      <c r="F1745" t="s">
        <v>4</v>
      </c>
      <c r="G1745" t="str">
        <f>""</f>
        <v/>
      </c>
    </row>
    <row r="1746" spans="1:7" x14ac:dyDescent="0.25">
      <c r="A1746" t="s">
        <v>8</v>
      </c>
      <c r="B1746" s="1" t="str">
        <f>"000301192 - RICH-CORE-DELAWARE NORTH"</f>
        <v>000301192 - RICH-CORE-DELAWARE NORTH</v>
      </c>
      <c r="C1746" t="s">
        <v>833</v>
      </c>
      <c r="D1746" s="1" t="str">
        <f t="shared" si="45"/>
        <v>PRG-1017430</v>
      </c>
      <c r="E1746" t="s">
        <v>191</v>
      </c>
      <c r="F1746" t="s">
        <v>4</v>
      </c>
      <c r="G1746" t="str">
        <f>""</f>
        <v/>
      </c>
    </row>
    <row r="1747" spans="1:7" x14ac:dyDescent="0.25">
      <c r="A1747" t="s">
        <v>8</v>
      </c>
      <c r="B1747" s="1" t="str">
        <f>"000301193 - RICH-NONCORE-DELAWARE NORTH"</f>
        <v>000301193 - RICH-NONCORE-DELAWARE NORTH</v>
      </c>
      <c r="C1747" t="s">
        <v>834</v>
      </c>
      <c r="D1747" s="1" t="str">
        <f t="shared" si="45"/>
        <v>PRG-1017430</v>
      </c>
      <c r="E1747" t="s">
        <v>191</v>
      </c>
      <c r="F1747" t="s">
        <v>4</v>
      </c>
      <c r="G1747" t="str">
        <f>""</f>
        <v/>
      </c>
    </row>
    <row r="1748" spans="1:7" x14ac:dyDescent="0.25">
      <c r="A1748" t="s">
        <v>8</v>
      </c>
      <c r="B1748" s="1" t="str">
        <f>"000303699 - RICH C BB-DELAWARE"</f>
        <v>000303699 - RICH C BB-DELAWARE</v>
      </c>
      <c r="C1748" t="s">
        <v>282</v>
      </c>
      <c r="D1748" s="1" t="str">
        <f t="shared" si="45"/>
        <v>PRG-1017430</v>
      </c>
      <c r="E1748" t="s">
        <v>191</v>
      </c>
      <c r="F1748" t="s">
        <v>4</v>
      </c>
      <c r="G1748" t="str">
        <f>""</f>
        <v/>
      </c>
    </row>
    <row r="1749" spans="1:7" x14ac:dyDescent="0.25">
      <c r="A1749" t="s">
        <v>8</v>
      </c>
      <c r="B1749" s="1" t="str">
        <f>"000303700 - RICH NC BB-DELAWARE"</f>
        <v>000303700 - RICH NC BB-DELAWARE</v>
      </c>
      <c r="C1749" t="s">
        <v>691</v>
      </c>
      <c r="D1749" s="1" t="str">
        <f t="shared" si="45"/>
        <v>PRG-1017430</v>
      </c>
      <c r="E1749" t="s">
        <v>191</v>
      </c>
      <c r="F1749" t="s">
        <v>4</v>
      </c>
      <c r="G1749" t="str">
        <f>""</f>
        <v/>
      </c>
    </row>
    <row r="1750" spans="1:7" x14ac:dyDescent="0.25">
      <c r="A1750" t="s">
        <v>8</v>
      </c>
      <c r="B1750" s="1" t="str">
        <f>"000304088 - RICH-NONCORE-DELAWARE NORTH"</f>
        <v>000304088 - RICH-NONCORE-DELAWARE NORTH</v>
      </c>
      <c r="C1750" t="s">
        <v>834</v>
      </c>
      <c r="D1750" s="1" t="str">
        <f t="shared" ref="D1750:D1813" si="46">"PRG-1017430"</f>
        <v>PRG-1017430</v>
      </c>
      <c r="E1750" t="s">
        <v>191</v>
      </c>
      <c r="F1750" t="s">
        <v>4</v>
      </c>
      <c r="G1750" t="str">
        <f>""</f>
        <v/>
      </c>
    </row>
    <row r="1751" spans="1:7" x14ac:dyDescent="0.25">
      <c r="A1751" t="s">
        <v>8</v>
      </c>
      <c r="B1751" s="1" t="str">
        <f>"000304670 - RICH-NONCORE-DELAWARE NORTH"</f>
        <v>000304670 - RICH-NONCORE-DELAWARE NORTH</v>
      </c>
      <c r="C1751" t="s">
        <v>834</v>
      </c>
      <c r="D1751" s="1" t="str">
        <f t="shared" si="46"/>
        <v>PRG-1017430</v>
      </c>
      <c r="E1751" t="s">
        <v>191</v>
      </c>
      <c r="F1751" t="s">
        <v>4</v>
      </c>
      <c r="G1751" t="str">
        <f>""</f>
        <v/>
      </c>
    </row>
    <row r="1752" spans="1:7" x14ac:dyDescent="0.25">
      <c r="A1752" t="s">
        <v>8</v>
      </c>
      <c r="B1752" s="1" t="str">
        <f>"000307475 - RICHS CORE BB-DELAWARE"</f>
        <v>000307475 - RICHS CORE BB-DELAWARE</v>
      </c>
      <c r="C1752" t="s">
        <v>929</v>
      </c>
      <c r="D1752" s="1" t="str">
        <f t="shared" si="46"/>
        <v>PRG-1017430</v>
      </c>
      <c r="E1752" t="s">
        <v>191</v>
      </c>
      <c r="F1752" t="s">
        <v>4</v>
      </c>
      <c r="G1752" t="str">
        <f>""</f>
        <v/>
      </c>
    </row>
    <row r="1753" spans="1:7" x14ac:dyDescent="0.25">
      <c r="A1753" t="s">
        <v>8</v>
      </c>
      <c r="B1753" s="1" t="str">
        <f>"000307476 - RICHS NC BB-DELAWARE"</f>
        <v>000307476 - RICHS NC BB-DELAWARE</v>
      </c>
      <c r="C1753" t="s">
        <v>1467</v>
      </c>
      <c r="D1753" s="1" t="str">
        <f t="shared" si="46"/>
        <v>PRG-1017430</v>
      </c>
      <c r="E1753" t="s">
        <v>191</v>
      </c>
      <c r="F1753" t="s">
        <v>4</v>
      </c>
      <c r="G1753" t="str">
        <f>""</f>
        <v/>
      </c>
    </row>
    <row r="1754" spans="1:7" x14ac:dyDescent="0.25">
      <c r="A1754" t="s">
        <v>8</v>
      </c>
      <c r="B1754" s="1" t="str">
        <f>"000307524 - RICH C BB-DELAWARE"</f>
        <v>000307524 - RICH C BB-DELAWARE</v>
      </c>
      <c r="C1754" t="s">
        <v>282</v>
      </c>
      <c r="D1754" s="1" t="str">
        <f t="shared" si="46"/>
        <v>PRG-1017430</v>
      </c>
      <c r="E1754" t="s">
        <v>191</v>
      </c>
      <c r="F1754" t="s">
        <v>4</v>
      </c>
      <c r="G1754" t="str">
        <f>""</f>
        <v/>
      </c>
    </row>
    <row r="1755" spans="1:7" x14ac:dyDescent="0.25">
      <c r="A1755" t="s">
        <v>8</v>
      </c>
      <c r="B1755" s="1" t="str">
        <f>"000307525 - RICH NC BB-DELAWARE"</f>
        <v>000307525 - RICH NC BB-DELAWARE</v>
      </c>
      <c r="C1755" t="s">
        <v>691</v>
      </c>
      <c r="D1755" s="1" t="str">
        <f t="shared" si="46"/>
        <v>PRG-1017430</v>
      </c>
      <c r="E1755" t="s">
        <v>191</v>
      </c>
      <c r="F1755" t="s">
        <v>4</v>
      </c>
      <c r="G1755" t="str">
        <f>""</f>
        <v/>
      </c>
    </row>
    <row r="1756" spans="1:7" x14ac:dyDescent="0.25">
      <c r="A1756" t="s">
        <v>8</v>
      </c>
      <c r="B1756" s="1" t="str">
        <f>"000309034 - RICH'S-DELAWARE NORTH"</f>
        <v>000309034 - RICH'S-DELAWARE NORTH</v>
      </c>
      <c r="C1756" t="s">
        <v>814</v>
      </c>
      <c r="D1756" s="1" t="str">
        <f t="shared" si="46"/>
        <v>PRG-1017430</v>
      </c>
      <c r="E1756" t="s">
        <v>191</v>
      </c>
      <c r="F1756" t="s">
        <v>4</v>
      </c>
      <c r="G1756" t="str">
        <f>""</f>
        <v/>
      </c>
    </row>
    <row r="1757" spans="1:7" x14ac:dyDescent="0.25">
      <c r="A1757" t="s">
        <v>8</v>
      </c>
      <c r="B1757" s="1" t="str">
        <f>"000311817 - RICH-CORE-DELAWARE NORTH"</f>
        <v>000311817 - RICH-CORE-DELAWARE NORTH</v>
      </c>
      <c r="C1757" t="s">
        <v>833</v>
      </c>
      <c r="D1757" s="1" t="str">
        <f t="shared" si="46"/>
        <v>PRG-1017430</v>
      </c>
      <c r="E1757" t="s">
        <v>191</v>
      </c>
      <c r="F1757" t="s">
        <v>4</v>
      </c>
      <c r="G1757" t="str">
        <f>""</f>
        <v/>
      </c>
    </row>
    <row r="1758" spans="1:7" x14ac:dyDescent="0.25">
      <c r="A1758" t="s">
        <v>8</v>
      </c>
      <c r="B1758" s="1" t="str">
        <f>"000311818 - RICH-NONCORE-DELAWARE NORTH"</f>
        <v>000311818 - RICH-NONCORE-DELAWARE NORTH</v>
      </c>
      <c r="C1758" t="s">
        <v>834</v>
      </c>
      <c r="D1758" s="1" t="str">
        <f t="shared" si="46"/>
        <v>PRG-1017430</v>
      </c>
      <c r="E1758" t="s">
        <v>191</v>
      </c>
      <c r="F1758" t="s">
        <v>4</v>
      </c>
      <c r="G1758" t="str">
        <f>""</f>
        <v/>
      </c>
    </row>
    <row r="1759" spans="1:7" x14ac:dyDescent="0.25">
      <c r="A1759" t="s">
        <v>8</v>
      </c>
      <c r="B1759" s="1" t="str">
        <f>"000313620 - RICH-CORE CC BB-DELAWARE"</f>
        <v>000313620 - RICH-CORE CC BB-DELAWARE</v>
      </c>
      <c r="C1759" t="s">
        <v>866</v>
      </c>
      <c r="D1759" s="1" t="str">
        <f t="shared" si="46"/>
        <v>PRG-1017430</v>
      </c>
      <c r="E1759" t="s">
        <v>191</v>
      </c>
      <c r="F1759" t="s">
        <v>4</v>
      </c>
      <c r="G1759" t="str">
        <f>""</f>
        <v/>
      </c>
    </row>
    <row r="1760" spans="1:7" x14ac:dyDescent="0.25">
      <c r="A1760" t="s">
        <v>8</v>
      </c>
      <c r="B1760" s="1" t="str">
        <f>"000313621 - RICH-NONCORE-DELAWARE NORTH"</f>
        <v>000313621 - RICH-NONCORE-DELAWARE NORTH</v>
      </c>
      <c r="C1760" t="s">
        <v>834</v>
      </c>
      <c r="D1760" s="1" t="str">
        <f t="shared" si="46"/>
        <v>PRG-1017430</v>
      </c>
      <c r="E1760" t="s">
        <v>191</v>
      </c>
      <c r="F1760" t="s">
        <v>4</v>
      </c>
      <c r="G1760" t="str">
        <f>""</f>
        <v/>
      </c>
    </row>
    <row r="1761" spans="1:7" x14ac:dyDescent="0.25">
      <c r="A1761" t="s">
        <v>8</v>
      </c>
      <c r="B1761" s="1" t="str">
        <f>"000313878 - RICH NC BB-DELAWARE"</f>
        <v>000313878 - RICH NC BB-DELAWARE</v>
      </c>
      <c r="C1761" t="s">
        <v>691</v>
      </c>
      <c r="D1761" s="1" t="str">
        <f t="shared" si="46"/>
        <v>PRG-1017430</v>
      </c>
      <c r="E1761" t="s">
        <v>191</v>
      </c>
      <c r="F1761" t="s">
        <v>4</v>
      </c>
      <c r="G1761" t="str">
        <f>""</f>
        <v/>
      </c>
    </row>
    <row r="1762" spans="1:7" x14ac:dyDescent="0.25">
      <c r="A1762" t="s">
        <v>8</v>
      </c>
      <c r="B1762" s="1" t="str">
        <f>"000313904 - RICH NC BB-DELAWARE"</f>
        <v>000313904 - RICH NC BB-DELAWARE</v>
      </c>
      <c r="C1762" t="s">
        <v>691</v>
      </c>
      <c r="D1762" s="1" t="str">
        <f t="shared" si="46"/>
        <v>PRG-1017430</v>
      </c>
      <c r="E1762" t="s">
        <v>191</v>
      </c>
      <c r="F1762" t="s">
        <v>4</v>
      </c>
      <c r="G1762" t="str">
        <f>""</f>
        <v/>
      </c>
    </row>
    <row r="1763" spans="1:7" x14ac:dyDescent="0.25">
      <c r="A1763" t="s">
        <v>8</v>
      </c>
      <c r="B1763" s="1" t="str">
        <f>"000314458 - RICH-CORE CC BB-DELAWARE"</f>
        <v>000314458 - RICH-CORE CC BB-DELAWARE</v>
      </c>
      <c r="C1763" t="s">
        <v>866</v>
      </c>
      <c r="D1763" s="1" t="str">
        <f t="shared" si="46"/>
        <v>PRG-1017430</v>
      </c>
      <c r="E1763" t="s">
        <v>191</v>
      </c>
      <c r="F1763" t="s">
        <v>4</v>
      </c>
      <c r="G1763" t="str">
        <f>""</f>
        <v/>
      </c>
    </row>
    <row r="1764" spans="1:7" x14ac:dyDescent="0.25">
      <c r="A1764" t="s">
        <v>8</v>
      </c>
      <c r="B1764" s="1" t="str">
        <f>"000314459 - RICH-NONCORE-DELAWARE NORTH"</f>
        <v>000314459 - RICH-NONCORE-DELAWARE NORTH</v>
      </c>
      <c r="C1764" t="s">
        <v>834</v>
      </c>
      <c r="D1764" s="1" t="str">
        <f t="shared" si="46"/>
        <v>PRG-1017430</v>
      </c>
      <c r="E1764" t="s">
        <v>191</v>
      </c>
      <c r="F1764" t="s">
        <v>4</v>
      </c>
      <c r="G1764" t="str">
        <f>""</f>
        <v/>
      </c>
    </row>
    <row r="1765" spans="1:7" x14ac:dyDescent="0.25">
      <c r="A1765" t="s">
        <v>8</v>
      </c>
      <c r="B1765" s="1" t="str">
        <f>"000316473 - RICHS NC BB-DELAWARE"</f>
        <v>000316473 - RICHS NC BB-DELAWARE</v>
      </c>
      <c r="C1765" t="s">
        <v>1467</v>
      </c>
      <c r="D1765" s="1" t="str">
        <f t="shared" si="46"/>
        <v>PRG-1017430</v>
      </c>
      <c r="E1765" t="s">
        <v>191</v>
      </c>
      <c r="F1765" t="s">
        <v>4</v>
      </c>
      <c r="G1765" t="str">
        <f>""</f>
        <v/>
      </c>
    </row>
    <row r="1766" spans="1:7" x14ac:dyDescent="0.25">
      <c r="A1766" t="s">
        <v>8</v>
      </c>
      <c r="B1766" s="1" t="str">
        <f>"000316528 - RICH NC BB-DELAWARE"</f>
        <v>000316528 - RICH NC BB-DELAWARE</v>
      </c>
      <c r="C1766" t="s">
        <v>691</v>
      </c>
      <c r="D1766" s="1" t="str">
        <f t="shared" si="46"/>
        <v>PRG-1017430</v>
      </c>
      <c r="E1766" t="s">
        <v>191</v>
      </c>
      <c r="F1766" t="s">
        <v>4</v>
      </c>
      <c r="G1766" t="str">
        <f>""</f>
        <v/>
      </c>
    </row>
    <row r="1767" spans="1:7" x14ac:dyDescent="0.25">
      <c r="A1767" t="s">
        <v>8</v>
      </c>
      <c r="B1767" s="1" t="str">
        <f>"000317068 - RICHS CORE BB-DELAWARE"</f>
        <v>000317068 - RICHS CORE BB-DELAWARE</v>
      </c>
      <c r="C1767" t="s">
        <v>929</v>
      </c>
      <c r="D1767" s="1" t="str">
        <f t="shared" si="46"/>
        <v>PRG-1017430</v>
      </c>
      <c r="E1767" t="s">
        <v>191</v>
      </c>
      <c r="F1767" t="s">
        <v>4</v>
      </c>
      <c r="G1767" t="str">
        <f>""</f>
        <v/>
      </c>
    </row>
    <row r="1768" spans="1:7" x14ac:dyDescent="0.25">
      <c r="A1768" t="s">
        <v>8</v>
      </c>
      <c r="B1768" s="1" t="str">
        <f>"000317069 - RICHS NC BB-DELAWARE"</f>
        <v>000317069 - RICHS NC BB-DELAWARE</v>
      </c>
      <c r="C1768" t="s">
        <v>1467</v>
      </c>
      <c r="D1768" s="1" t="str">
        <f t="shared" si="46"/>
        <v>PRG-1017430</v>
      </c>
      <c r="E1768" t="s">
        <v>191</v>
      </c>
      <c r="F1768" t="s">
        <v>4</v>
      </c>
      <c r="G1768" t="str">
        <f>""</f>
        <v/>
      </c>
    </row>
    <row r="1769" spans="1:7" x14ac:dyDescent="0.25">
      <c r="A1769" t="s">
        <v>8</v>
      </c>
      <c r="B1769" s="1" t="str">
        <f>"000318687 - RICH-CORE-DELAWARE NORTH"</f>
        <v>000318687 - RICH-CORE-DELAWARE NORTH</v>
      </c>
      <c r="C1769" t="s">
        <v>833</v>
      </c>
      <c r="D1769" s="1" t="str">
        <f t="shared" si="46"/>
        <v>PRG-1017430</v>
      </c>
      <c r="E1769" t="s">
        <v>191</v>
      </c>
      <c r="F1769" t="s">
        <v>4</v>
      </c>
      <c r="G1769" t="str">
        <f>""</f>
        <v/>
      </c>
    </row>
    <row r="1770" spans="1:7" x14ac:dyDescent="0.25">
      <c r="A1770" t="s">
        <v>8</v>
      </c>
      <c r="B1770" s="1" t="str">
        <f>"000318688 - RICH-NONCORE-DELAWARE NORTH"</f>
        <v>000318688 - RICH-NONCORE-DELAWARE NORTH</v>
      </c>
      <c r="C1770" t="s">
        <v>834</v>
      </c>
      <c r="D1770" s="1" t="str">
        <f t="shared" si="46"/>
        <v>PRG-1017430</v>
      </c>
      <c r="E1770" t="s">
        <v>191</v>
      </c>
      <c r="F1770" t="s">
        <v>4</v>
      </c>
      <c r="G1770" t="str">
        <f>""</f>
        <v/>
      </c>
    </row>
    <row r="1771" spans="1:7" x14ac:dyDescent="0.25">
      <c r="A1771" t="s">
        <v>8</v>
      </c>
      <c r="B1771" s="1" t="str">
        <f>"000319532 - RICH'S-DELAWARE NORTH"</f>
        <v>000319532 - RICH'S-DELAWARE NORTH</v>
      </c>
      <c r="C1771" t="s">
        <v>814</v>
      </c>
      <c r="D1771" s="1" t="str">
        <f t="shared" si="46"/>
        <v>PRG-1017430</v>
      </c>
      <c r="E1771" t="s">
        <v>191</v>
      </c>
      <c r="F1771" t="s">
        <v>4</v>
      </c>
      <c r="G1771" t="str">
        <f>""</f>
        <v/>
      </c>
    </row>
    <row r="1772" spans="1:7" x14ac:dyDescent="0.25">
      <c r="A1772" t="s">
        <v>8</v>
      </c>
      <c r="B1772" s="1" t="str">
        <f>"000323672 - RICH FOODS-DELAWARE"</f>
        <v>000323672 - RICH FOODS-DELAWARE</v>
      </c>
      <c r="C1772" t="s">
        <v>190</v>
      </c>
      <c r="D1772" s="1" t="str">
        <f t="shared" si="46"/>
        <v>PRG-1017430</v>
      </c>
      <c r="E1772" t="s">
        <v>191</v>
      </c>
      <c r="F1772" t="s">
        <v>4</v>
      </c>
      <c r="G1772" t="str">
        <f>""</f>
        <v/>
      </c>
    </row>
    <row r="1773" spans="1:7" x14ac:dyDescent="0.25">
      <c r="A1773" t="s">
        <v>8</v>
      </c>
      <c r="B1773" s="1" t="str">
        <f>"000324559 - RICH-CORE CC BB-DELAWARE"</f>
        <v>000324559 - RICH-CORE CC BB-DELAWARE</v>
      </c>
      <c r="C1773" t="s">
        <v>866</v>
      </c>
      <c r="D1773" s="1" t="str">
        <f t="shared" si="46"/>
        <v>PRG-1017430</v>
      </c>
      <c r="E1773" t="s">
        <v>191</v>
      </c>
      <c r="F1773" t="s">
        <v>4</v>
      </c>
      <c r="G1773" t="str">
        <f>""</f>
        <v/>
      </c>
    </row>
    <row r="1774" spans="1:7" x14ac:dyDescent="0.25">
      <c r="A1774" t="s">
        <v>8</v>
      </c>
      <c r="B1774" s="1" t="str">
        <f>"000325694 - RICH C BB-DELAWARE"</f>
        <v>000325694 - RICH C BB-DELAWARE</v>
      </c>
      <c r="C1774" t="s">
        <v>282</v>
      </c>
      <c r="D1774" s="1" t="str">
        <f t="shared" si="46"/>
        <v>PRG-1017430</v>
      </c>
      <c r="E1774" t="s">
        <v>191</v>
      </c>
      <c r="F1774" t="s">
        <v>4</v>
      </c>
      <c r="G1774" t="str">
        <f>""</f>
        <v/>
      </c>
    </row>
    <row r="1775" spans="1:7" x14ac:dyDescent="0.25">
      <c r="A1775" t="s">
        <v>8</v>
      </c>
      <c r="B1775" s="1" t="str">
        <f>"000327290 - RICH FOODS   DELAWARE-GARBANZO"</f>
        <v>000327290 - RICH FOODS   DELAWARE-GARBANZO</v>
      </c>
      <c r="C1775" t="s">
        <v>3305</v>
      </c>
      <c r="D1775" s="1" t="str">
        <f t="shared" si="46"/>
        <v>PRG-1017430</v>
      </c>
      <c r="E1775" t="s">
        <v>191</v>
      </c>
      <c r="F1775" t="s">
        <v>4</v>
      </c>
      <c r="G1775" t="str">
        <f>""</f>
        <v/>
      </c>
    </row>
    <row r="1776" spans="1:7" x14ac:dyDescent="0.25">
      <c r="A1776" t="s">
        <v>8</v>
      </c>
      <c r="B1776" s="1" t="str">
        <f>"000327986 - "</f>
        <v xml:space="preserve">000327986 - </v>
      </c>
      <c r="D1776" s="1" t="str">
        <f t="shared" si="46"/>
        <v>PRG-1017430</v>
      </c>
      <c r="E1776" t="s">
        <v>191</v>
      </c>
      <c r="F1776" t="s">
        <v>4</v>
      </c>
      <c r="G1776" t="str">
        <f>""</f>
        <v/>
      </c>
    </row>
    <row r="1777" spans="1:7" x14ac:dyDescent="0.25">
      <c r="A1777" t="s">
        <v>8</v>
      </c>
      <c r="B1777" s="1" t="str">
        <f>"000327987 - "</f>
        <v xml:space="preserve">000327987 - </v>
      </c>
      <c r="D1777" s="1" t="str">
        <f t="shared" si="46"/>
        <v>PRG-1017430</v>
      </c>
      <c r="E1777" t="s">
        <v>191</v>
      </c>
      <c r="F1777" t="s">
        <v>4</v>
      </c>
      <c r="G1777" t="str">
        <f>""</f>
        <v/>
      </c>
    </row>
    <row r="1778" spans="1:7" x14ac:dyDescent="0.25">
      <c r="A1778" t="s">
        <v>8</v>
      </c>
      <c r="B1778" s="1" t="str">
        <f>"000328458 - RICHS CORE BB-DELAWARE"</f>
        <v>000328458 - RICHS CORE BB-DELAWARE</v>
      </c>
      <c r="C1778" t="s">
        <v>929</v>
      </c>
      <c r="D1778" s="1" t="str">
        <f t="shared" si="46"/>
        <v>PRG-1017430</v>
      </c>
      <c r="E1778" t="s">
        <v>191</v>
      </c>
      <c r="F1778" t="s">
        <v>4</v>
      </c>
      <c r="G1778" t="str">
        <f>""</f>
        <v/>
      </c>
    </row>
    <row r="1779" spans="1:7" x14ac:dyDescent="0.25">
      <c r="A1779" t="s">
        <v>8</v>
      </c>
      <c r="B1779" s="1" t="str">
        <f>"000328511 - RICH C BB-DELAWARE"</f>
        <v>000328511 - RICH C BB-DELAWARE</v>
      </c>
      <c r="C1779" t="s">
        <v>282</v>
      </c>
      <c r="D1779" s="1" t="str">
        <f t="shared" si="46"/>
        <v>PRG-1017430</v>
      </c>
      <c r="E1779" t="s">
        <v>191</v>
      </c>
      <c r="F1779" t="s">
        <v>4</v>
      </c>
      <c r="G1779" t="str">
        <f>""</f>
        <v/>
      </c>
    </row>
    <row r="1780" spans="1:7" x14ac:dyDescent="0.25">
      <c r="A1780" t="s">
        <v>8</v>
      </c>
      <c r="B1780" s="1" t="str">
        <f>"000329331 - RICH-CORE-DELAWARE NORTH"</f>
        <v>000329331 - RICH-CORE-DELAWARE NORTH</v>
      </c>
      <c r="C1780" t="s">
        <v>833</v>
      </c>
      <c r="D1780" s="1" t="str">
        <f t="shared" si="46"/>
        <v>PRG-1017430</v>
      </c>
      <c r="E1780" t="s">
        <v>191</v>
      </c>
      <c r="F1780" t="s">
        <v>4</v>
      </c>
      <c r="G1780" t="str">
        <f>""</f>
        <v/>
      </c>
    </row>
    <row r="1781" spans="1:7" x14ac:dyDescent="0.25">
      <c r="A1781" t="s">
        <v>8</v>
      </c>
      <c r="B1781" s="1" t="str">
        <f>"000329332 - RICH-NONCORE-DELAWARE NORTH"</f>
        <v>000329332 - RICH-NONCORE-DELAWARE NORTH</v>
      </c>
      <c r="C1781" t="s">
        <v>834</v>
      </c>
      <c r="D1781" s="1" t="str">
        <f t="shared" si="46"/>
        <v>PRG-1017430</v>
      </c>
      <c r="E1781" t="s">
        <v>191</v>
      </c>
      <c r="F1781" t="s">
        <v>4</v>
      </c>
      <c r="G1781" t="str">
        <f>""</f>
        <v/>
      </c>
    </row>
    <row r="1782" spans="1:7" x14ac:dyDescent="0.25">
      <c r="A1782" t="s">
        <v>8</v>
      </c>
      <c r="B1782" s="1" t="str">
        <f>"000330402 - RICH NC(DPMRETRO)-DELAWARE NOR"</f>
        <v>000330402 - RICH NC(DPMRETRO)-DELAWARE NOR</v>
      </c>
      <c r="C1782" t="s">
        <v>836</v>
      </c>
      <c r="D1782" s="1" t="str">
        <f t="shared" si="46"/>
        <v>PRG-1017430</v>
      </c>
      <c r="E1782" t="s">
        <v>191</v>
      </c>
      <c r="F1782" t="s">
        <v>4</v>
      </c>
      <c r="G1782" t="str">
        <f>""</f>
        <v/>
      </c>
    </row>
    <row r="1783" spans="1:7" x14ac:dyDescent="0.25">
      <c r="A1783" t="s">
        <v>8</v>
      </c>
      <c r="B1783" s="1" t="str">
        <f>"000334920 - RICH C BB-DELAWARE"</f>
        <v>000334920 - RICH C BB-DELAWARE</v>
      </c>
      <c r="C1783" t="s">
        <v>282</v>
      </c>
      <c r="D1783" s="1" t="str">
        <f t="shared" si="46"/>
        <v>PRG-1017430</v>
      </c>
      <c r="E1783" t="s">
        <v>191</v>
      </c>
      <c r="F1783" t="s">
        <v>4</v>
      </c>
      <c r="G1783" t="str">
        <f>""</f>
        <v/>
      </c>
    </row>
    <row r="1784" spans="1:7" x14ac:dyDescent="0.25">
      <c r="A1784" t="s">
        <v>8</v>
      </c>
      <c r="B1784" s="1" t="str">
        <f>"000334921 - RICH NC BB-DELAWARE"</f>
        <v>000334921 - RICH NC BB-DELAWARE</v>
      </c>
      <c r="C1784" t="s">
        <v>691</v>
      </c>
      <c r="D1784" s="1" t="str">
        <f t="shared" si="46"/>
        <v>PRG-1017430</v>
      </c>
      <c r="E1784" t="s">
        <v>191</v>
      </c>
      <c r="F1784" t="s">
        <v>4</v>
      </c>
      <c r="G1784" t="str">
        <f>""</f>
        <v/>
      </c>
    </row>
    <row r="1785" spans="1:7" x14ac:dyDescent="0.25">
      <c r="A1785" t="s">
        <v>8</v>
      </c>
      <c r="B1785" s="1" t="str">
        <f>"000335074 - RICHS CORE BB-DELAWARE"</f>
        <v>000335074 - RICHS CORE BB-DELAWARE</v>
      </c>
      <c r="C1785" t="s">
        <v>929</v>
      </c>
      <c r="D1785" s="1" t="str">
        <f t="shared" si="46"/>
        <v>PRG-1017430</v>
      </c>
      <c r="E1785" t="s">
        <v>191</v>
      </c>
      <c r="F1785" t="s">
        <v>4</v>
      </c>
      <c r="G1785" t="str">
        <f>""</f>
        <v/>
      </c>
    </row>
    <row r="1786" spans="1:7" x14ac:dyDescent="0.25">
      <c r="A1786" t="s">
        <v>8</v>
      </c>
      <c r="B1786" s="1" t="str">
        <f>"000335075 - RICHS NC BB-DELAWARE"</f>
        <v>000335075 - RICHS NC BB-DELAWARE</v>
      </c>
      <c r="C1786" t="s">
        <v>1467</v>
      </c>
      <c r="D1786" s="1" t="str">
        <f t="shared" si="46"/>
        <v>PRG-1017430</v>
      </c>
      <c r="E1786" t="s">
        <v>191</v>
      </c>
      <c r="F1786" t="s">
        <v>4</v>
      </c>
      <c r="G1786" t="str">
        <f>""</f>
        <v/>
      </c>
    </row>
    <row r="1787" spans="1:7" x14ac:dyDescent="0.25">
      <c r="A1787" t="s">
        <v>8</v>
      </c>
      <c r="B1787" s="1" t="str">
        <f>"000335102 - RICHS CORE BB-DELAWARE"</f>
        <v>000335102 - RICHS CORE BB-DELAWARE</v>
      </c>
      <c r="C1787" t="s">
        <v>929</v>
      </c>
      <c r="D1787" s="1" t="str">
        <f t="shared" si="46"/>
        <v>PRG-1017430</v>
      </c>
      <c r="E1787" t="s">
        <v>191</v>
      </c>
      <c r="F1787" t="s">
        <v>4</v>
      </c>
      <c r="G1787" t="str">
        <f>""</f>
        <v/>
      </c>
    </row>
    <row r="1788" spans="1:7" x14ac:dyDescent="0.25">
      <c r="A1788" t="s">
        <v>8</v>
      </c>
      <c r="B1788" s="1" t="str">
        <f>"000335133 - RICH C BB-DELAWARE"</f>
        <v>000335133 - RICH C BB-DELAWARE</v>
      </c>
      <c r="C1788" t="s">
        <v>282</v>
      </c>
      <c r="D1788" s="1" t="str">
        <f t="shared" si="46"/>
        <v>PRG-1017430</v>
      </c>
      <c r="E1788" t="s">
        <v>191</v>
      </c>
      <c r="F1788" t="s">
        <v>4</v>
      </c>
      <c r="G1788" t="str">
        <f>""</f>
        <v/>
      </c>
    </row>
    <row r="1789" spans="1:7" x14ac:dyDescent="0.25">
      <c r="A1789" t="s">
        <v>8</v>
      </c>
      <c r="B1789" s="1" t="str">
        <f>"000335164 - RICH C BB-DELAWARE"</f>
        <v>000335164 - RICH C BB-DELAWARE</v>
      </c>
      <c r="C1789" t="s">
        <v>282</v>
      </c>
      <c r="D1789" s="1" t="str">
        <f t="shared" si="46"/>
        <v>PRG-1017430</v>
      </c>
      <c r="E1789" t="s">
        <v>191</v>
      </c>
      <c r="F1789" t="s">
        <v>4</v>
      </c>
      <c r="G1789" t="str">
        <f>""</f>
        <v/>
      </c>
    </row>
    <row r="1790" spans="1:7" x14ac:dyDescent="0.25">
      <c r="A1790" t="s">
        <v>8</v>
      </c>
      <c r="B1790" s="1" t="str">
        <f>"000338259 - RICHS CORE BB-DELAWARE"</f>
        <v>000338259 - RICHS CORE BB-DELAWARE</v>
      </c>
      <c r="C1790" t="s">
        <v>929</v>
      </c>
      <c r="D1790" s="1" t="str">
        <f t="shared" si="46"/>
        <v>PRG-1017430</v>
      </c>
      <c r="E1790" t="s">
        <v>191</v>
      </c>
      <c r="F1790" t="s">
        <v>4</v>
      </c>
      <c r="G1790" t="str">
        <f>""</f>
        <v/>
      </c>
    </row>
    <row r="1791" spans="1:7" x14ac:dyDescent="0.25">
      <c r="A1791" t="s">
        <v>8</v>
      </c>
      <c r="B1791" s="1" t="str">
        <f>"000338260 - RICHS NC BB-DELAWARE"</f>
        <v>000338260 - RICHS NC BB-DELAWARE</v>
      </c>
      <c r="C1791" t="s">
        <v>1467</v>
      </c>
      <c r="D1791" s="1" t="str">
        <f t="shared" si="46"/>
        <v>PRG-1017430</v>
      </c>
      <c r="E1791" t="s">
        <v>191</v>
      </c>
      <c r="F1791" t="s">
        <v>4</v>
      </c>
      <c r="G1791" t="str">
        <f>""</f>
        <v/>
      </c>
    </row>
    <row r="1792" spans="1:7" x14ac:dyDescent="0.25">
      <c r="A1792" t="s">
        <v>8</v>
      </c>
      <c r="B1792" s="1" t="str">
        <f>"000338323 - RICH C BB-DELAWARE"</f>
        <v>000338323 - RICH C BB-DELAWARE</v>
      </c>
      <c r="C1792" t="s">
        <v>282</v>
      </c>
      <c r="D1792" s="1" t="str">
        <f t="shared" si="46"/>
        <v>PRG-1017430</v>
      </c>
      <c r="E1792" t="s">
        <v>191</v>
      </c>
      <c r="F1792" t="s">
        <v>4</v>
      </c>
      <c r="G1792" t="str">
        <f>""</f>
        <v/>
      </c>
    </row>
    <row r="1793" spans="1:7" x14ac:dyDescent="0.25">
      <c r="A1793" t="s">
        <v>8</v>
      </c>
      <c r="B1793" s="1" t="str">
        <f>"000338324 - RICH NC BB-DELAWARE"</f>
        <v>000338324 - RICH NC BB-DELAWARE</v>
      </c>
      <c r="C1793" t="s">
        <v>691</v>
      </c>
      <c r="D1793" s="1" t="str">
        <f t="shared" si="46"/>
        <v>PRG-1017430</v>
      </c>
      <c r="E1793" t="s">
        <v>191</v>
      </c>
      <c r="F1793" t="s">
        <v>4</v>
      </c>
      <c r="G1793" t="str">
        <f>""</f>
        <v/>
      </c>
    </row>
    <row r="1794" spans="1:7" x14ac:dyDescent="0.25">
      <c r="A1794" t="s">
        <v>8</v>
      </c>
      <c r="B1794" s="1" t="str">
        <f>"000339049 - RICHS CORE(DPMRETRO)-DELAWARE"</f>
        <v>000339049 - RICHS CORE(DPMRETRO)-DELAWARE</v>
      </c>
      <c r="C1794" t="s">
        <v>860</v>
      </c>
      <c r="D1794" s="1" t="str">
        <f t="shared" si="46"/>
        <v>PRG-1017430</v>
      </c>
      <c r="E1794" t="s">
        <v>191</v>
      </c>
      <c r="F1794" t="s">
        <v>4</v>
      </c>
      <c r="G1794" t="str">
        <f>""</f>
        <v/>
      </c>
    </row>
    <row r="1795" spans="1:7" x14ac:dyDescent="0.25">
      <c r="A1795" t="s">
        <v>8</v>
      </c>
      <c r="B1795" s="1" t="str">
        <f>"000340054 - RICH-CORE CC BB-DELAWARE"</f>
        <v>000340054 - RICH-CORE CC BB-DELAWARE</v>
      </c>
      <c r="C1795" t="s">
        <v>866</v>
      </c>
      <c r="D1795" s="1" t="str">
        <f t="shared" si="46"/>
        <v>PRG-1017430</v>
      </c>
      <c r="E1795" t="s">
        <v>191</v>
      </c>
      <c r="F1795" t="s">
        <v>4</v>
      </c>
      <c r="G1795" t="str">
        <f>""</f>
        <v/>
      </c>
    </row>
    <row r="1796" spans="1:7" x14ac:dyDescent="0.25">
      <c r="A1796" t="s">
        <v>8</v>
      </c>
      <c r="B1796" s="1" t="str">
        <f>"000341681 - RICH'S-DELAWARE NORTH"</f>
        <v>000341681 - RICH'S-DELAWARE NORTH</v>
      </c>
      <c r="C1796" t="s">
        <v>814</v>
      </c>
      <c r="D1796" s="1" t="str">
        <f t="shared" si="46"/>
        <v>PRG-1017430</v>
      </c>
      <c r="E1796" t="s">
        <v>191</v>
      </c>
      <c r="F1796" t="s">
        <v>4</v>
      </c>
      <c r="G1796" t="str">
        <f>""</f>
        <v/>
      </c>
    </row>
    <row r="1797" spans="1:7" x14ac:dyDescent="0.25">
      <c r="A1797" t="s">
        <v>8</v>
      </c>
      <c r="B1797" s="1" t="str">
        <f>"000344703 - RICH-NONCORE-DELAWARE NORTH"</f>
        <v>000344703 - RICH-NONCORE-DELAWARE NORTH</v>
      </c>
      <c r="C1797" t="s">
        <v>834</v>
      </c>
      <c r="D1797" s="1" t="str">
        <f t="shared" si="46"/>
        <v>PRG-1017430</v>
      </c>
      <c r="E1797" t="s">
        <v>191</v>
      </c>
      <c r="F1797" t="s">
        <v>4</v>
      </c>
      <c r="G1797" t="str">
        <f>""</f>
        <v/>
      </c>
    </row>
    <row r="1798" spans="1:7" x14ac:dyDescent="0.25">
      <c r="A1798" t="s">
        <v>8</v>
      </c>
      <c r="B1798" s="1" t="str">
        <f>"000344889 - RICH C BB-DELAWARE"</f>
        <v>000344889 - RICH C BB-DELAWARE</v>
      </c>
      <c r="C1798" t="s">
        <v>282</v>
      </c>
      <c r="D1798" s="1" t="str">
        <f t="shared" si="46"/>
        <v>PRG-1017430</v>
      </c>
      <c r="E1798" t="s">
        <v>191</v>
      </c>
      <c r="F1798" t="s">
        <v>4</v>
      </c>
      <c r="G1798" t="str">
        <f>""</f>
        <v/>
      </c>
    </row>
    <row r="1799" spans="1:7" x14ac:dyDescent="0.25">
      <c r="A1799" t="s">
        <v>8</v>
      </c>
      <c r="B1799" s="1" t="str">
        <f>"000345327 - RICH C BB-DELAWARE"</f>
        <v>000345327 - RICH C BB-DELAWARE</v>
      </c>
      <c r="C1799" t="s">
        <v>282</v>
      </c>
      <c r="D1799" s="1" t="str">
        <f t="shared" si="46"/>
        <v>PRG-1017430</v>
      </c>
      <c r="E1799" t="s">
        <v>191</v>
      </c>
      <c r="F1799" t="s">
        <v>4</v>
      </c>
      <c r="G1799" t="str">
        <f>""</f>
        <v/>
      </c>
    </row>
    <row r="1800" spans="1:7" x14ac:dyDescent="0.25">
      <c r="A1800" t="s">
        <v>8</v>
      </c>
      <c r="B1800" s="1" t="str">
        <f>"000345328 - RICH NC BB-DELAWARE"</f>
        <v>000345328 - RICH NC BB-DELAWARE</v>
      </c>
      <c r="C1800" t="s">
        <v>691</v>
      </c>
      <c r="D1800" s="1" t="str">
        <f t="shared" si="46"/>
        <v>PRG-1017430</v>
      </c>
      <c r="E1800" t="s">
        <v>191</v>
      </c>
      <c r="F1800" t="s">
        <v>4</v>
      </c>
      <c r="G1800" t="str">
        <f>""</f>
        <v/>
      </c>
    </row>
    <row r="1801" spans="1:7" x14ac:dyDescent="0.25">
      <c r="A1801" t="s">
        <v>8</v>
      </c>
      <c r="B1801" s="1" t="str">
        <f>"000345332 - RICH NC BB-DELAWARE GAP"</f>
        <v>000345332 - RICH NC BB-DELAWARE GAP</v>
      </c>
      <c r="C1801" t="s">
        <v>3458</v>
      </c>
      <c r="D1801" s="1" t="str">
        <f t="shared" si="46"/>
        <v>PRG-1017430</v>
      </c>
      <c r="E1801" t="s">
        <v>191</v>
      </c>
      <c r="F1801" t="s">
        <v>4</v>
      </c>
      <c r="G1801" t="str">
        <f>""</f>
        <v/>
      </c>
    </row>
    <row r="1802" spans="1:7" x14ac:dyDescent="0.25">
      <c r="A1802" t="s">
        <v>8</v>
      </c>
      <c r="B1802" s="1" t="str">
        <f>"000347983 - RICHS CORE BB-DELAWARE"</f>
        <v>000347983 - RICHS CORE BB-DELAWARE</v>
      </c>
      <c r="C1802" t="s">
        <v>929</v>
      </c>
      <c r="D1802" s="1" t="str">
        <f t="shared" si="46"/>
        <v>PRG-1017430</v>
      </c>
      <c r="E1802" t="s">
        <v>191</v>
      </c>
      <c r="F1802" t="s">
        <v>4</v>
      </c>
      <c r="G1802" t="str">
        <f>""</f>
        <v/>
      </c>
    </row>
    <row r="1803" spans="1:7" x14ac:dyDescent="0.25">
      <c r="A1803" t="s">
        <v>8</v>
      </c>
      <c r="B1803" s="1" t="str">
        <f>"000347984 - RICHS NC BB-DELAWARE"</f>
        <v>000347984 - RICHS NC BB-DELAWARE</v>
      </c>
      <c r="C1803" t="s">
        <v>1467</v>
      </c>
      <c r="D1803" s="1" t="str">
        <f t="shared" si="46"/>
        <v>PRG-1017430</v>
      </c>
      <c r="E1803" t="s">
        <v>191</v>
      </c>
      <c r="F1803" t="s">
        <v>4</v>
      </c>
      <c r="G1803" t="str">
        <f>""</f>
        <v/>
      </c>
    </row>
    <row r="1804" spans="1:7" x14ac:dyDescent="0.25">
      <c r="A1804" t="s">
        <v>8</v>
      </c>
      <c r="B1804" s="1" t="str">
        <f>"000348058 - RICH C BB-DELAWARE"</f>
        <v>000348058 - RICH C BB-DELAWARE</v>
      </c>
      <c r="C1804" t="s">
        <v>282</v>
      </c>
      <c r="D1804" s="1" t="str">
        <f t="shared" si="46"/>
        <v>PRG-1017430</v>
      </c>
      <c r="E1804" t="s">
        <v>191</v>
      </c>
      <c r="F1804" t="s">
        <v>4</v>
      </c>
      <c r="G1804" t="str">
        <f>""</f>
        <v/>
      </c>
    </row>
    <row r="1805" spans="1:7" x14ac:dyDescent="0.25">
      <c r="A1805" t="s">
        <v>8</v>
      </c>
      <c r="B1805" s="1" t="str">
        <f>"000348059 - RICH NC BB-DELAWARE"</f>
        <v>000348059 - RICH NC BB-DELAWARE</v>
      </c>
      <c r="C1805" t="s">
        <v>691</v>
      </c>
      <c r="D1805" s="1" t="str">
        <f t="shared" si="46"/>
        <v>PRG-1017430</v>
      </c>
      <c r="E1805" t="s">
        <v>191</v>
      </c>
      <c r="F1805" t="s">
        <v>4</v>
      </c>
      <c r="G1805" t="str">
        <f>""</f>
        <v/>
      </c>
    </row>
    <row r="1806" spans="1:7" x14ac:dyDescent="0.25">
      <c r="A1806" t="s">
        <v>8</v>
      </c>
      <c r="B1806" s="1" t="str">
        <f>"000348110 - RICHS CORE BB-DELAWARE"</f>
        <v>000348110 - RICHS CORE BB-DELAWARE</v>
      </c>
      <c r="C1806" t="s">
        <v>929</v>
      </c>
      <c r="D1806" s="1" t="str">
        <f t="shared" si="46"/>
        <v>PRG-1017430</v>
      </c>
      <c r="E1806" t="s">
        <v>191</v>
      </c>
      <c r="F1806" t="s">
        <v>4</v>
      </c>
      <c r="G1806" t="str">
        <f>""</f>
        <v/>
      </c>
    </row>
    <row r="1807" spans="1:7" x14ac:dyDescent="0.25">
      <c r="A1807" t="s">
        <v>8</v>
      </c>
      <c r="B1807" s="1" t="str">
        <f>"000348192 - RICH C BB-DELAWARE"</f>
        <v>000348192 - RICH C BB-DELAWARE</v>
      </c>
      <c r="C1807" t="s">
        <v>282</v>
      </c>
      <c r="D1807" s="1" t="str">
        <f t="shared" si="46"/>
        <v>PRG-1017430</v>
      </c>
      <c r="E1807" t="s">
        <v>191</v>
      </c>
      <c r="F1807" t="s">
        <v>4</v>
      </c>
      <c r="G1807" t="str">
        <f>""</f>
        <v/>
      </c>
    </row>
    <row r="1808" spans="1:7" x14ac:dyDescent="0.25">
      <c r="A1808" t="s">
        <v>8</v>
      </c>
      <c r="B1808" s="1" t="str">
        <f>"000349211 - RICH-NONCORE-DELAWARE NORTH"</f>
        <v>000349211 - RICH-NONCORE-DELAWARE NORTH</v>
      </c>
      <c r="C1808" t="s">
        <v>834</v>
      </c>
      <c r="D1808" s="1" t="str">
        <f t="shared" si="46"/>
        <v>PRG-1017430</v>
      </c>
      <c r="E1808" t="s">
        <v>191</v>
      </c>
      <c r="F1808" t="s">
        <v>4</v>
      </c>
      <c r="G1808" t="str">
        <f>""</f>
        <v/>
      </c>
    </row>
    <row r="1809" spans="1:7" x14ac:dyDescent="0.25">
      <c r="A1809" t="s">
        <v>8</v>
      </c>
      <c r="B1809" s="1" t="str">
        <f>"000355691 - RICH-CORE CC BB-DELAWARE"</f>
        <v>000355691 - RICH-CORE CC BB-DELAWARE</v>
      </c>
      <c r="C1809" t="s">
        <v>866</v>
      </c>
      <c r="D1809" s="1" t="str">
        <f t="shared" si="46"/>
        <v>PRG-1017430</v>
      </c>
      <c r="E1809" t="s">
        <v>191</v>
      </c>
      <c r="F1809" t="s">
        <v>4</v>
      </c>
      <c r="G1809" t="str">
        <f>""</f>
        <v/>
      </c>
    </row>
    <row r="1810" spans="1:7" x14ac:dyDescent="0.25">
      <c r="A1810" t="s">
        <v>8</v>
      </c>
      <c r="B1810" s="1" t="str">
        <f>"000355692 - RICH-NONCORE-DELAWARE NORTH"</f>
        <v>000355692 - RICH-NONCORE-DELAWARE NORTH</v>
      </c>
      <c r="C1810" t="s">
        <v>834</v>
      </c>
      <c r="D1810" s="1" t="str">
        <f t="shared" si="46"/>
        <v>PRG-1017430</v>
      </c>
      <c r="E1810" t="s">
        <v>191</v>
      </c>
      <c r="F1810" t="s">
        <v>4</v>
      </c>
      <c r="G1810" t="str">
        <f>""</f>
        <v/>
      </c>
    </row>
    <row r="1811" spans="1:7" x14ac:dyDescent="0.25">
      <c r="A1811" t="s">
        <v>8</v>
      </c>
      <c r="B1811" s="1" t="str">
        <f>"000358872 - RICH C BB-DELAWARE"</f>
        <v>000358872 - RICH C BB-DELAWARE</v>
      </c>
      <c r="C1811" t="s">
        <v>282</v>
      </c>
      <c r="D1811" s="1" t="str">
        <f t="shared" si="46"/>
        <v>PRG-1017430</v>
      </c>
      <c r="E1811" t="s">
        <v>191</v>
      </c>
      <c r="F1811" t="s">
        <v>4</v>
      </c>
      <c r="G1811" t="str">
        <f>""</f>
        <v/>
      </c>
    </row>
    <row r="1812" spans="1:7" x14ac:dyDescent="0.25">
      <c r="A1812" t="s">
        <v>8</v>
      </c>
      <c r="B1812" s="1" t="str">
        <f>"000359628 - RICH-CORE CC BB-DELAWARE"</f>
        <v>000359628 - RICH-CORE CC BB-DELAWARE</v>
      </c>
      <c r="C1812" t="s">
        <v>866</v>
      </c>
      <c r="D1812" s="1" t="str">
        <f t="shared" si="46"/>
        <v>PRG-1017430</v>
      </c>
      <c r="E1812" t="s">
        <v>191</v>
      </c>
      <c r="F1812" t="s">
        <v>4</v>
      </c>
      <c r="G1812" t="str">
        <f>""</f>
        <v/>
      </c>
    </row>
    <row r="1813" spans="1:7" x14ac:dyDescent="0.25">
      <c r="A1813" t="s">
        <v>8</v>
      </c>
      <c r="B1813" s="1" t="str">
        <f>"000359629 - RICH-NONCORE-DELAWARE NORTH"</f>
        <v>000359629 - RICH-NONCORE-DELAWARE NORTH</v>
      </c>
      <c r="C1813" t="s">
        <v>834</v>
      </c>
      <c r="D1813" s="1" t="str">
        <f t="shared" si="46"/>
        <v>PRG-1017430</v>
      </c>
      <c r="E1813" t="s">
        <v>191</v>
      </c>
      <c r="F1813" t="s">
        <v>4</v>
      </c>
      <c r="G1813" t="str">
        <f>""</f>
        <v/>
      </c>
    </row>
    <row r="1814" spans="1:7" x14ac:dyDescent="0.25">
      <c r="A1814" t="s">
        <v>8</v>
      </c>
      <c r="B1814" s="1" t="str">
        <f>"000361602 - RICHS CORE BB-DELAWARE"</f>
        <v>000361602 - RICHS CORE BB-DELAWARE</v>
      </c>
      <c r="C1814" t="s">
        <v>929</v>
      </c>
      <c r="D1814" s="1" t="str">
        <f t="shared" ref="D1814:D1831" si="47">"PRG-1017430"</f>
        <v>PRG-1017430</v>
      </c>
      <c r="E1814" t="s">
        <v>191</v>
      </c>
      <c r="F1814" t="s">
        <v>4</v>
      </c>
      <c r="G1814" t="str">
        <f>""</f>
        <v/>
      </c>
    </row>
    <row r="1815" spans="1:7" x14ac:dyDescent="0.25">
      <c r="A1815" t="s">
        <v>8</v>
      </c>
      <c r="B1815" s="1" t="str">
        <f>"000361654 - RICH C BB-DELAWARE"</f>
        <v>000361654 - RICH C BB-DELAWARE</v>
      </c>
      <c r="C1815" t="s">
        <v>282</v>
      </c>
      <c r="D1815" s="1" t="str">
        <f t="shared" si="47"/>
        <v>PRG-1017430</v>
      </c>
      <c r="E1815" t="s">
        <v>191</v>
      </c>
      <c r="F1815" t="s">
        <v>4</v>
      </c>
      <c r="G1815" t="str">
        <f>""</f>
        <v/>
      </c>
    </row>
    <row r="1816" spans="1:7" x14ac:dyDescent="0.25">
      <c r="A1816" t="s">
        <v>8</v>
      </c>
      <c r="B1816" s="1" t="str">
        <f>"000361655 - RICH NC BB-DELAWARE"</f>
        <v>000361655 - RICH NC BB-DELAWARE</v>
      </c>
      <c r="C1816" t="s">
        <v>691</v>
      </c>
      <c r="D1816" s="1" t="str">
        <f t="shared" si="47"/>
        <v>PRG-1017430</v>
      </c>
      <c r="E1816" t="s">
        <v>191</v>
      </c>
      <c r="F1816" t="s">
        <v>4</v>
      </c>
      <c r="G1816" t="str">
        <f>""</f>
        <v/>
      </c>
    </row>
    <row r="1817" spans="1:7" x14ac:dyDescent="0.25">
      <c r="A1817" t="s">
        <v>8</v>
      </c>
      <c r="B1817" s="1" t="str">
        <f>"000373724 - RICH C BB-DELAWARE"</f>
        <v>000373724 - RICH C BB-DELAWARE</v>
      </c>
      <c r="C1817" t="s">
        <v>282</v>
      </c>
      <c r="D1817" s="1" t="str">
        <f t="shared" si="47"/>
        <v>PRG-1017430</v>
      </c>
      <c r="E1817" t="s">
        <v>191</v>
      </c>
      <c r="F1817" t="s">
        <v>4</v>
      </c>
      <c r="G1817" t="str">
        <f>""</f>
        <v/>
      </c>
    </row>
    <row r="1818" spans="1:7" x14ac:dyDescent="0.25">
      <c r="A1818" t="s">
        <v>8</v>
      </c>
      <c r="B1818" s="1" t="str">
        <f>"000373725 - RICH NC BB-DELAWARE"</f>
        <v>000373725 - RICH NC BB-DELAWARE</v>
      </c>
      <c r="C1818" t="s">
        <v>691</v>
      </c>
      <c r="D1818" s="1" t="str">
        <f t="shared" si="47"/>
        <v>PRG-1017430</v>
      </c>
      <c r="E1818" t="s">
        <v>191</v>
      </c>
      <c r="F1818" t="s">
        <v>4</v>
      </c>
      <c r="G1818" t="str">
        <f>""</f>
        <v/>
      </c>
    </row>
    <row r="1819" spans="1:7" x14ac:dyDescent="0.25">
      <c r="A1819" t="s">
        <v>8</v>
      </c>
      <c r="B1819" s="1" t="str">
        <f>"000376463 - RICHS CORE BB-DELAWARE"</f>
        <v>000376463 - RICHS CORE BB-DELAWARE</v>
      </c>
      <c r="C1819" t="s">
        <v>929</v>
      </c>
      <c r="D1819" s="1" t="str">
        <f t="shared" si="47"/>
        <v>PRG-1017430</v>
      </c>
      <c r="E1819" t="s">
        <v>191</v>
      </c>
      <c r="F1819" t="s">
        <v>4</v>
      </c>
      <c r="G1819" t="str">
        <f>""</f>
        <v/>
      </c>
    </row>
    <row r="1820" spans="1:7" x14ac:dyDescent="0.25">
      <c r="A1820" t="s">
        <v>8</v>
      </c>
      <c r="B1820" s="1" t="str">
        <f>"000376464 - RICHS NC BB-DELAWARE"</f>
        <v>000376464 - RICHS NC BB-DELAWARE</v>
      </c>
      <c r="C1820" t="s">
        <v>1467</v>
      </c>
      <c r="D1820" s="1" t="str">
        <f t="shared" si="47"/>
        <v>PRG-1017430</v>
      </c>
      <c r="E1820" t="s">
        <v>191</v>
      </c>
      <c r="F1820" t="s">
        <v>4</v>
      </c>
      <c r="G1820" t="str">
        <f>""</f>
        <v/>
      </c>
    </row>
    <row r="1821" spans="1:7" x14ac:dyDescent="0.25">
      <c r="A1821" t="s">
        <v>8</v>
      </c>
      <c r="B1821" s="1" t="str">
        <f>"000376532 - RICH C BB-DELAWARE"</f>
        <v>000376532 - RICH C BB-DELAWARE</v>
      </c>
      <c r="C1821" t="s">
        <v>282</v>
      </c>
      <c r="D1821" s="1" t="str">
        <f t="shared" si="47"/>
        <v>PRG-1017430</v>
      </c>
      <c r="E1821" t="s">
        <v>191</v>
      </c>
      <c r="F1821" t="s">
        <v>4</v>
      </c>
      <c r="G1821" t="str">
        <f>""</f>
        <v/>
      </c>
    </row>
    <row r="1822" spans="1:7" x14ac:dyDescent="0.25">
      <c r="A1822" t="s">
        <v>8</v>
      </c>
      <c r="B1822" s="1" t="str">
        <f>"000376533 - RICH NC BB-DELAWARE"</f>
        <v>000376533 - RICH NC BB-DELAWARE</v>
      </c>
      <c r="C1822" t="s">
        <v>691</v>
      </c>
      <c r="D1822" s="1" t="str">
        <f t="shared" si="47"/>
        <v>PRG-1017430</v>
      </c>
      <c r="E1822" t="s">
        <v>191</v>
      </c>
      <c r="F1822" t="s">
        <v>4</v>
      </c>
      <c r="G1822" t="str">
        <f>""</f>
        <v/>
      </c>
    </row>
    <row r="1823" spans="1:7" x14ac:dyDescent="0.25">
      <c r="A1823" t="s">
        <v>8</v>
      </c>
      <c r="B1823" s="1" t="str">
        <f>"000377173 - RICHS CORE BB-DELAWARE"</f>
        <v>000377173 - RICHS CORE BB-DELAWARE</v>
      </c>
      <c r="C1823" t="s">
        <v>929</v>
      </c>
      <c r="D1823" s="1" t="str">
        <f t="shared" si="47"/>
        <v>PRG-1017430</v>
      </c>
      <c r="E1823" t="s">
        <v>191</v>
      </c>
      <c r="F1823" t="s">
        <v>4</v>
      </c>
      <c r="G1823" t="str">
        <f>""</f>
        <v/>
      </c>
    </row>
    <row r="1824" spans="1:7" x14ac:dyDescent="0.25">
      <c r="A1824" t="s">
        <v>8</v>
      </c>
      <c r="B1824" s="1" t="str">
        <f>"2000171368 - RICH FOODS-DELAWARE NORTH"</f>
        <v>2000171368 - RICH FOODS-DELAWARE NORTH</v>
      </c>
      <c r="C1824" t="s">
        <v>3886</v>
      </c>
      <c r="D1824" s="1" t="str">
        <f t="shared" si="47"/>
        <v>PRG-1017430</v>
      </c>
      <c r="E1824" t="s">
        <v>191</v>
      </c>
      <c r="F1824" t="s">
        <v>4</v>
      </c>
      <c r="G1824" t="str">
        <f>""</f>
        <v/>
      </c>
    </row>
    <row r="1825" spans="1:7" x14ac:dyDescent="0.25">
      <c r="A1825" t="s">
        <v>8</v>
      </c>
      <c r="B1825" s="1" t="str">
        <f>"2000226405 - RICH FOODS-DELAWARE NORTH"</f>
        <v>2000226405 - RICH FOODS-DELAWARE NORTH</v>
      </c>
      <c r="C1825" t="s">
        <v>3886</v>
      </c>
      <c r="D1825" s="1" t="str">
        <f t="shared" si="47"/>
        <v>PRG-1017430</v>
      </c>
      <c r="E1825" t="s">
        <v>191</v>
      </c>
      <c r="F1825" t="s">
        <v>4</v>
      </c>
      <c r="G1825" t="str">
        <f>""</f>
        <v/>
      </c>
    </row>
    <row r="1826" spans="1:7" x14ac:dyDescent="0.25">
      <c r="A1826" t="s">
        <v>8</v>
      </c>
      <c r="B1826" s="1" t="str">
        <f>"2000265078 - RICH FOODS-DELAWARE NORTH"</f>
        <v>2000265078 - RICH FOODS-DELAWARE NORTH</v>
      </c>
      <c r="C1826" t="s">
        <v>3886</v>
      </c>
      <c r="D1826" s="1" t="str">
        <f t="shared" si="47"/>
        <v>PRG-1017430</v>
      </c>
      <c r="E1826" t="s">
        <v>191</v>
      </c>
      <c r="F1826" t="s">
        <v>4</v>
      </c>
      <c r="G1826" t="str">
        <f>""</f>
        <v/>
      </c>
    </row>
    <row r="1827" spans="1:7" x14ac:dyDescent="0.25">
      <c r="A1827" t="s">
        <v>8</v>
      </c>
      <c r="B1827" s="1" t="str">
        <f>"2000311301 - "</f>
        <v xml:space="preserve">2000311301 - </v>
      </c>
      <c r="D1827" s="1" t="str">
        <f t="shared" si="47"/>
        <v>PRG-1017430</v>
      </c>
      <c r="E1827" t="s">
        <v>191</v>
      </c>
      <c r="F1827" t="s">
        <v>4</v>
      </c>
      <c r="G1827" t="str">
        <f>""</f>
        <v/>
      </c>
    </row>
    <row r="1828" spans="1:7" x14ac:dyDescent="0.25">
      <c r="A1828" t="s">
        <v>8</v>
      </c>
      <c r="B1828" s="1" t="str">
        <f>"2000330935 - RICH FOODS-DELAWARE NORTH"</f>
        <v>2000330935 - RICH FOODS-DELAWARE NORTH</v>
      </c>
      <c r="C1828" t="s">
        <v>3886</v>
      </c>
      <c r="D1828" s="1" t="str">
        <f t="shared" si="47"/>
        <v>PRG-1017430</v>
      </c>
      <c r="E1828" t="s">
        <v>191</v>
      </c>
      <c r="F1828" t="s">
        <v>4</v>
      </c>
      <c r="G1828" t="str">
        <f>""</f>
        <v/>
      </c>
    </row>
    <row r="1829" spans="1:7" x14ac:dyDescent="0.25">
      <c r="A1829" t="s">
        <v>8</v>
      </c>
      <c r="B1829" s="1" t="str">
        <f>"2000378219 - RICH FOODS-DELAWARE NORTH"</f>
        <v>2000378219 - RICH FOODS-DELAWARE NORTH</v>
      </c>
      <c r="C1829" t="s">
        <v>3886</v>
      </c>
      <c r="D1829" s="1" t="str">
        <f t="shared" si="47"/>
        <v>PRG-1017430</v>
      </c>
      <c r="E1829" t="s">
        <v>191</v>
      </c>
      <c r="F1829" t="s">
        <v>4</v>
      </c>
      <c r="G1829" t="str">
        <f>""</f>
        <v/>
      </c>
    </row>
    <row r="1830" spans="1:7" x14ac:dyDescent="0.25">
      <c r="A1830" t="s">
        <v>8</v>
      </c>
      <c r="B1830" s="1" t="str">
        <f>"2000396848 - "</f>
        <v xml:space="preserve">2000396848 - </v>
      </c>
      <c r="D1830" s="1" t="str">
        <f t="shared" si="47"/>
        <v>PRG-1017430</v>
      </c>
      <c r="E1830" t="s">
        <v>191</v>
      </c>
      <c r="F1830" t="s">
        <v>4</v>
      </c>
      <c r="G1830" t="str">
        <f>""</f>
        <v/>
      </c>
    </row>
    <row r="1831" spans="1:7" x14ac:dyDescent="0.25">
      <c r="A1831" t="s">
        <v>8</v>
      </c>
      <c r="B1831" s="1" t="str">
        <f>"2000396849 - RICH FOODS-DELAWARE NORTH"</f>
        <v>2000396849 - RICH FOODS-DELAWARE NORTH</v>
      </c>
      <c r="C1831" t="s">
        <v>3886</v>
      </c>
      <c r="D1831" s="1" t="str">
        <f t="shared" si="47"/>
        <v>PRG-1017430</v>
      </c>
      <c r="E1831" t="s">
        <v>191</v>
      </c>
      <c r="F1831" t="s">
        <v>4</v>
      </c>
      <c r="G1831" t="str">
        <f>""</f>
        <v/>
      </c>
    </row>
    <row r="1832" spans="1:7" x14ac:dyDescent="0.25">
      <c r="A1832" t="s">
        <v>8</v>
      </c>
      <c r="B1832" s="1" t="str">
        <f>"21100542"</f>
        <v>21100542</v>
      </c>
      <c r="C1832" t="s">
        <v>4115</v>
      </c>
      <c r="D1832" s="1" t="str">
        <f>"PRG-1017463"</f>
        <v>PRG-1017463</v>
      </c>
      <c r="E1832" t="s">
        <v>4116</v>
      </c>
      <c r="F1832" t="s">
        <v>5</v>
      </c>
      <c r="G1832" t="str">
        <f>""</f>
        <v/>
      </c>
    </row>
    <row r="1833" spans="1:7" x14ac:dyDescent="0.25">
      <c r="A1833" t="s">
        <v>8</v>
      </c>
      <c r="B1833" s="1" t="str">
        <f>"000318629 - RICH PROD UCLA"</f>
        <v>000318629 - RICH PROD UCLA</v>
      </c>
      <c r="C1833" t="s">
        <v>3216</v>
      </c>
      <c r="D1833" s="1" t="str">
        <f>"PRG-1017483"</f>
        <v>PRG-1017483</v>
      </c>
      <c r="E1833" t="s">
        <v>3217</v>
      </c>
      <c r="F1833" t="s">
        <v>4</v>
      </c>
      <c r="G1833" t="str">
        <f>""</f>
        <v/>
      </c>
    </row>
    <row r="1834" spans="1:7" x14ac:dyDescent="0.25">
      <c r="A1834" t="s">
        <v>8</v>
      </c>
      <c r="B1834" s="1" t="str">
        <f>"000197255 - USDA-RICH N.KINGSTOWN SCHL"</f>
        <v>000197255 - USDA-RICH N.KINGSTOWN SCHL</v>
      </c>
      <c r="C1834" t="s">
        <v>1270</v>
      </c>
      <c r="D1834" s="1" t="str">
        <f>"PRG-1017546"</f>
        <v>PRG-1017546</v>
      </c>
      <c r="E1834" t="s">
        <v>1271</v>
      </c>
      <c r="F1834" t="s">
        <v>4</v>
      </c>
      <c r="G1834" t="str">
        <f>""</f>
        <v/>
      </c>
    </row>
    <row r="1835" spans="1:7" x14ac:dyDescent="0.25">
      <c r="A1835" t="s">
        <v>8</v>
      </c>
      <c r="B1835" s="1" t="str">
        <f>"2020B044"</f>
        <v>2020B044</v>
      </c>
      <c r="C1835" t="s">
        <v>4098</v>
      </c>
      <c r="D1835" s="1" t="str">
        <f>"PRG-1017546"</f>
        <v>PRG-1017546</v>
      </c>
      <c r="E1835" t="s">
        <v>1271</v>
      </c>
      <c r="F1835" t="s">
        <v>5</v>
      </c>
      <c r="G1835" t="str">
        <f>""</f>
        <v/>
      </c>
    </row>
    <row r="1836" spans="1:7" x14ac:dyDescent="0.25">
      <c r="A1836" t="s">
        <v>8</v>
      </c>
      <c r="B1836" s="1" t="str">
        <f>"2220F250"</f>
        <v>2220F250</v>
      </c>
      <c r="C1836" t="s">
        <v>4271</v>
      </c>
      <c r="D1836" s="1" t="str">
        <f>"PRG-1017546"</f>
        <v>PRG-1017546</v>
      </c>
      <c r="E1836" t="s">
        <v>1271</v>
      </c>
      <c r="F1836" t="s">
        <v>5</v>
      </c>
      <c r="G1836" t="str">
        <f>""</f>
        <v/>
      </c>
    </row>
    <row r="1837" spans="1:7" x14ac:dyDescent="0.25">
      <c r="A1837" t="s">
        <v>8</v>
      </c>
      <c r="B1837" s="1" t="str">
        <f>"22407529"</f>
        <v>22407529</v>
      </c>
      <c r="C1837" t="s">
        <v>4322</v>
      </c>
      <c r="D1837" s="1" t="str">
        <f>"PRG-1017546"</f>
        <v>PRG-1017546</v>
      </c>
      <c r="E1837" t="s">
        <v>1271</v>
      </c>
      <c r="F1837" t="s">
        <v>5</v>
      </c>
      <c r="G1837" t="str">
        <f>""</f>
        <v/>
      </c>
    </row>
    <row r="1838" spans="1:7" x14ac:dyDescent="0.25">
      <c r="A1838" t="s">
        <v>8</v>
      </c>
      <c r="B1838" s="1" t="str">
        <f>"22605565"</f>
        <v>22605565</v>
      </c>
      <c r="C1838" t="s">
        <v>4427</v>
      </c>
      <c r="D1838" s="1" t="str">
        <f>"PRG-1017546"</f>
        <v>PRG-1017546</v>
      </c>
      <c r="E1838" t="s">
        <v>1271</v>
      </c>
      <c r="F1838" t="s">
        <v>5</v>
      </c>
      <c r="G1838" t="str">
        <f>""</f>
        <v/>
      </c>
    </row>
    <row r="1839" spans="1:7" x14ac:dyDescent="0.25">
      <c r="A1839" t="s">
        <v>8</v>
      </c>
      <c r="B1839" s="1" t="str">
        <f>"23506945"</f>
        <v>23506945</v>
      </c>
      <c r="C1839" t="s">
        <v>4513</v>
      </c>
      <c r="D1839" s="1" t="str">
        <f t="shared" ref="D1839:D1845" si="48">"PRG-1017547"</f>
        <v>PRG-1017547</v>
      </c>
      <c r="E1839" t="s">
        <v>4514</v>
      </c>
      <c r="F1839" t="s">
        <v>5</v>
      </c>
      <c r="G1839" t="str">
        <f>""</f>
        <v/>
      </c>
    </row>
    <row r="1840" spans="1:7" x14ac:dyDescent="0.25">
      <c r="A1840" t="s">
        <v>8</v>
      </c>
      <c r="B1840" s="1" t="str">
        <f>"2370A337"</f>
        <v>2370A337</v>
      </c>
      <c r="C1840" t="s">
        <v>4543</v>
      </c>
      <c r="D1840" s="1" t="str">
        <f t="shared" si="48"/>
        <v>PRG-1017547</v>
      </c>
      <c r="E1840" t="s">
        <v>4514</v>
      </c>
      <c r="F1840" t="s">
        <v>5</v>
      </c>
      <c r="G1840" t="str">
        <f>""</f>
        <v/>
      </c>
    </row>
    <row r="1841" spans="1:7" x14ac:dyDescent="0.25">
      <c r="A1841" t="s">
        <v>8</v>
      </c>
      <c r="B1841" s="1" t="str">
        <f>"2370C110"</f>
        <v>2370C110</v>
      </c>
      <c r="C1841" t="s">
        <v>4551</v>
      </c>
      <c r="D1841" s="1" t="str">
        <f t="shared" si="48"/>
        <v>PRG-1017547</v>
      </c>
      <c r="E1841" t="s">
        <v>4514</v>
      </c>
      <c r="F1841" t="s">
        <v>5</v>
      </c>
      <c r="G1841" t="str">
        <f>""</f>
        <v/>
      </c>
    </row>
    <row r="1842" spans="1:7" x14ac:dyDescent="0.25">
      <c r="A1842" t="s">
        <v>8</v>
      </c>
      <c r="B1842" s="1" t="str">
        <f>"2370F152"</f>
        <v>2370F152</v>
      </c>
      <c r="C1842" t="s">
        <v>4561</v>
      </c>
      <c r="D1842" s="1" t="str">
        <f t="shared" si="48"/>
        <v>PRG-1017547</v>
      </c>
      <c r="E1842" t="s">
        <v>4514</v>
      </c>
      <c r="F1842" t="s">
        <v>5</v>
      </c>
      <c r="G1842" t="str">
        <f>""</f>
        <v/>
      </c>
    </row>
    <row r="1843" spans="1:7" x14ac:dyDescent="0.25">
      <c r="A1843" t="s">
        <v>8</v>
      </c>
      <c r="B1843" s="1" t="str">
        <f>"2370H340"</f>
        <v>2370H340</v>
      </c>
      <c r="C1843" t="s">
        <v>4568</v>
      </c>
      <c r="D1843" s="1" t="str">
        <f t="shared" si="48"/>
        <v>PRG-1017547</v>
      </c>
      <c r="E1843" t="s">
        <v>4514</v>
      </c>
      <c r="F1843" t="s">
        <v>5</v>
      </c>
      <c r="G1843" t="str">
        <f>""</f>
        <v/>
      </c>
    </row>
    <row r="1844" spans="1:7" x14ac:dyDescent="0.25">
      <c r="A1844" t="s">
        <v>8</v>
      </c>
      <c r="B1844" s="1" t="str">
        <f>"3220D076"</f>
        <v>3220D076</v>
      </c>
      <c r="C1844" t="s">
        <v>4825</v>
      </c>
      <c r="D1844" s="1" t="str">
        <f t="shared" si="48"/>
        <v>PRG-1017547</v>
      </c>
      <c r="E1844" t="s">
        <v>4514</v>
      </c>
      <c r="F1844" t="s">
        <v>5</v>
      </c>
      <c r="G1844" t="str">
        <f>""</f>
        <v/>
      </c>
    </row>
    <row r="1845" spans="1:7" x14ac:dyDescent="0.25">
      <c r="A1845" t="s">
        <v>8</v>
      </c>
      <c r="B1845" s="1" t="str">
        <f>"32303983"</f>
        <v>32303983</v>
      </c>
      <c r="C1845" t="s">
        <v>4870</v>
      </c>
      <c r="D1845" s="1" t="str">
        <f t="shared" si="48"/>
        <v>PRG-1017547</v>
      </c>
      <c r="E1845" t="s">
        <v>4514</v>
      </c>
      <c r="F1845" t="s">
        <v>5</v>
      </c>
      <c r="G1845" t="str">
        <f>""</f>
        <v/>
      </c>
    </row>
    <row r="1846" spans="1:7" x14ac:dyDescent="0.25">
      <c r="A1846" t="s">
        <v>8</v>
      </c>
      <c r="B1846" s="1" t="str">
        <f>"4120D322"</f>
        <v>4120D322</v>
      </c>
      <c r="C1846" t="s">
        <v>4987</v>
      </c>
      <c r="D1846" s="1" t="str">
        <f>"PRG-1017548"</f>
        <v>PRG-1017548</v>
      </c>
      <c r="E1846" t="s">
        <v>4988</v>
      </c>
      <c r="F1846" t="s">
        <v>5</v>
      </c>
      <c r="G1846" t="str">
        <f>""</f>
        <v/>
      </c>
    </row>
    <row r="1847" spans="1:7" x14ac:dyDescent="0.25">
      <c r="A1847" t="s">
        <v>8</v>
      </c>
      <c r="B1847" s="1" t="str">
        <f>"3147B228"</f>
        <v>3147B228</v>
      </c>
      <c r="C1847" t="s">
        <v>4654</v>
      </c>
      <c r="D1847" s="1" t="str">
        <f>"PRG-1017549"</f>
        <v>PRG-1017549</v>
      </c>
      <c r="E1847" t="s">
        <v>4655</v>
      </c>
      <c r="F1847" t="s">
        <v>5</v>
      </c>
      <c r="G1847" t="str">
        <f>""</f>
        <v/>
      </c>
    </row>
    <row r="1848" spans="1:7" x14ac:dyDescent="0.25">
      <c r="A1848" t="s">
        <v>8</v>
      </c>
      <c r="B1848" s="1" t="str">
        <f>"000197323 - EXECUTIVE RICH"</f>
        <v>000197323 - EXECUTIVE RICH</v>
      </c>
      <c r="C1848" t="s">
        <v>1272</v>
      </c>
      <c r="D1848" s="1" t="str">
        <f>"PRG-1017580"</f>
        <v>PRG-1017580</v>
      </c>
      <c r="E1848" t="s">
        <v>1273</v>
      </c>
      <c r="F1848" t="s">
        <v>4</v>
      </c>
      <c r="G1848" t="str">
        <f>""</f>
        <v/>
      </c>
    </row>
    <row r="1849" spans="1:7" x14ac:dyDescent="0.25">
      <c r="A1849" t="s">
        <v>8</v>
      </c>
      <c r="B1849" s="1" t="str">
        <f>"000204053 - EXECUTIVE RICH"</f>
        <v>000204053 - EXECUTIVE RICH</v>
      </c>
      <c r="C1849" t="s">
        <v>1272</v>
      </c>
      <c r="D1849" s="1" t="str">
        <f>"PRG-1017580"</f>
        <v>PRG-1017580</v>
      </c>
      <c r="E1849" t="s">
        <v>1273</v>
      </c>
      <c r="F1849" t="s">
        <v>4</v>
      </c>
      <c r="G1849" t="str">
        <f>""</f>
        <v/>
      </c>
    </row>
    <row r="1850" spans="1:7" x14ac:dyDescent="0.25">
      <c r="A1850" t="s">
        <v>8</v>
      </c>
      <c r="B1850" s="1" t="str">
        <f>"000000130 - RICH PRODUCTS-DOD NAPA"</f>
        <v>000000130 - RICH PRODUCTS-DOD NAPA</v>
      </c>
      <c r="C1850" t="s">
        <v>11</v>
      </c>
      <c r="D1850" s="1" t="str">
        <f t="shared" ref="D1850:D1881" si="49">"PRG-1017597"</f>
        <v>PRG-1017597</v>
      </c>
      <c r="E1850" t="s">
        <v>12</v>
      </c>
      <c r="F1850" t="s">
        <v>4</v>
      </c>
      <c r="G1850" t="str">
        <f>""</f>
        <v/>
      </c>
    </row>
    <row r="1851" spans="1:7" x14ac:dyDescent="0.25">
      <c r="A1851" t="s">
        <v>8</v>
      </c>
      <c r="B1851" s="1" t="str">
        <f>"000002087 - NAPA 0262 RICH PRODUCTS"</f>
        <v>000002087 - NAPA 0262 RICH PRODUCTS</v>
      </c>
      <c r="C1851" t="s">
        <v>111</v>
      </c>
      <c r="D1851" s="1" t="str">
        <f t="shared" si="49"/>
        <v>PRG-1017597</v>
      </c>
      <c r="E1851" t="s">
        <v>12</v>
      </c>
      <c r="F1851" t="s">
        <v>4</v>
      </c>
      <c r="G1851" t="str">
        <f>""</f>
        <v/>
      </c>
    </row>
    <row r="1852" spans="1:7" x14ac:dyDescent="0.25">
      <c r="A1852" t="s">
        <v>8</v>
      </c>
      <c r="B1852" s="1" t="str">
        <f>"000044544 - VOID PRODUCTS CORP -DOD NAPA"</f>
        <v>000044544 - VOID PRODUCTS CORP -DOD NAPA</v>
      </c>
      <c r="C1852" t="s">
        <v>611</v>
      </c>
      <c r="D1852" s="1" t="str">
        <f t="shared" si="49"/>
        <v>PRG-1017597</v>
      </c>
      <c r="E1852" t="s">
        <v>12</v>
      </c>
      <c r="F1852" t="s">
        <v>4</v>
      </c>
      <c r="G1852" t="str">
        <f>""</f>
        <v/>
      </c>
    </row>
    <row r="1853" spans="1:7" x14ac:dyDescent="0.25">
      <c r="A1853" t="s">
        <v>8</v>
      </c>
      <c r="B1853" s="1" t="str">
        <f>"000047139 - RICH FOODS-DOD NAPA"</f>
        <v>000047139 - RICH FOODS-DOD NAPA</v>
      </c>
      <c r="C1853" t="s">
        <v>628</v>
      </c>
      <c r="D1853" s="1" t="str">
        <f t="shared" si="49"/>
        <v>PRG-1017597</v>
      </c>
      <c r="E1853" t="s">
        <v>12</v>
      </c>
      <c r="F1853" t="s">
        <v>4</v>
      </c>
      <c r="G1853" t="str">
        <f>""</f>
        <v/>
      </c>
    </row>
    <row r="1854" spans="1:7" x14ac:dyDescent="0.25">
      <c r="A1854" t="s">
        <v>8</v>
      </c>
      <c r="B1854" s="1" t="str">
        <f>"000049167 - RICH NAPA DOD"</f>
        <v>000049167 - RICH NAPA DOD</v>
      </c>
      <c r="C1854" t="s">
        <v>642</v>
      </c>
      <c r="D1854" s="1" t="str">
        <f t="shared" si="49"/>
        <v>PRG-1017597</v>
      </c>
      <c r="E1854" t="s">
        <v>12</v>
      </c>
      <c r="F1854" t="s">
        <v>4</v>
      </c>
      <c r="G1854" t="str">
        <f>""</f>
        <v/>
      </c>
    </row>
    <row r="1855" spans="1:7" x14ac:dyDescent="0.25">
      <c r="A1855" t="s">
        <v>8</v>
      </c>
      <c r="B1855" s="1" t="str">
        <f>"000055686 - DOD- RICH PRODUCTS CORP"</f>
        <v>000055686 - DOD- RICH PRODUCTS CORP</v>
      </c>
      <c r="C1855" t="s">
        <v>593</v>
      </c>
      <c r="D1855" s="1" t="str">
        <f t="shared" si="49"/>
        <v>PRG-1017597</v>
      </c>
      <c r="E1855" t="s">
        <v>12</v>
      </c>
      <c r="F1855" t="s">
        <v>4</v>
      </c>
      <c r="G1855" t="str">
        <f>""</f>
        <v/>
      </c>
    </row>
    <row r="1856" spans="1:7" x14ac:dyDescent="0.25">
      <c r="A1856" t="s">
        <v>8</v>
      </c>
      <c r="B1856" s="1" t="str">
        <f>"000112011 - RICH PRODUCTS CORP        NAPA"</f>
        <v>000112011 - RICH PRODUCTS CORP        NAPA</v>
      </c>
      <c r="C1856" t="s">
        <v>845</v>
      </c>
      <c r="D1856" s="1" t="str">
        <f t="shared" si="49"/>
        <v>PRG-1017597</v>
      </c>
      <c r="E1856" t="s">
        <v>12</v>
      </c>
      <c r="F1856" t="s">
        <v>4</v>
      </c>
      <c r="G1856" t="str">
        <f>""</f>
        <v/>
      </c>
    </row>
    <row r="1857" spans="1:7" x14ac:dyDescent="0.25">
      <c r="A1857" t="s">
        <v>8</v>
      </c>
      <c r="B1857" s="1" t="str">
        <f>"000132249 - RICH PRODUCTS-DOD NAPA"</f>
        <v>000132249 - RICH PRODUCTS-DOD NAPA</v>
      </c>
      <c r="C1857" t="s">
        <v>11</v>
      </c>
      <c r="D1857" s="1" t="str">
        <f t="shared" si="49"/>
        <v>PRG-1017597</v>
      </c>
      <c r="E1857" t="s">
        <v>12</v>
      </c>
      <c r="F1857" t="s">
        <v>4</v>
      </c>
      <c r="G1857" t="str">
        <f>""</f>
        <v/>
      </c>
    </row>
    <row r="1858" spans="1:7" x14ac:dyDescent="0.25">
      <c r="A1858" t="s">
        <v>8</v>
      </c>
      <c r="B1858" s="1" t="str">
        <f>"000134476 - NAPA RICH'S"</f>
        <v>000134476 - NAPA RICH'S</v>
      </c>
      <c r="C1858" t="s">
        <v>950</v>
      </c>
      <c r="D1858" s="1" t="str">
        <f t="shared" si="49"/>
        <v>PRG-1017597</v>
      </c>
      <c r="E1858" t="s">
        <v>12</v>
      </c>
      <c r="F1858" t="s">
        <v>4</v>
      </c>
      <c r="G1858" t="str">
        <f>""</f>
        <v/>
      </c>
    </row>
    <row r="1859" spans="1:7" x14ac:dyDescent="0.25">
      <c r="A1859" t="s">
        <v>8</v>
      </c>
      <c r="B1859" s="1" t="str">
        <f>"000144706 - "</f>
        <v xml:space="preserve">000144706 - </v>
      </c>
      <c r="D1859" s="1" t="str">
        <f t="shared" si="49"/>
        <v>PRG-1017597</v>
      </c>
      <c r="E1859" t="s">
        <v>12</v>
      </c>
      <c r="F1859" t="s">
        <v>4</v>
      </c>
      <c r="G1859" t="str">
        <f>""</f>
        <v/>
      </c>
    </row>
    <row r="1860" spans="1:7" x14ac:dyDescent="0.25">
      <c r="A1860" t="s">
        <v>8</v>
      </c>
      <c r="B1860" s="1" t="str">
        <f>"000145424 - DEPT. OF DEFENSE RICH'S"</f>
        <v>000145424 - DEPT. OF DEFENSE RICH'S</v>
      </c>
      <c r="C1860" t="s">
        <v>997</v>
      </c>
      <c r="D1860" s="1" t="str">
        <f t="shared" si="49"/>
        <v>PRG-1017597</v>
      </c>
      <c r="E1860" t="s">
        <v>12</v>
      </c>
      <c r="F1860" t="s">
        <v>4</v>
      </c>
      <c r="G1860" t="str">
        <f>""</f>
        <v/>
      </c>
    </row>
    <row r="1861" spans="1:7" x14ac:dyDescent="0.25">
      <c r="A1861" t="s">
        <v>8</v>
      </c>
      <c r="B1861" s="1" t="str">
        <f>"000153222 - RICH PRODUCTS CORP NAPA"</f>
        <v>000153222 - RICH PRODUCTS CORP NAPA</v>
      </c>
      <c r="C1861" t="s">
        <v>1020</v>
      </c>
      <c r="D1861" s="1" t="str">
        <f t="shared" si="49"/>
        <v>PRG-1017597</v>
      </c>
      <c r="E1861" t="s">
        <v>12</v>
      </c>
      <c r="F1861" t="s">
        <v>4</v>
      </c>
      <c r="G1861" t="str">
        <f>""</f>
        <v/>
      </c>
    </row>
    <row r="1862" spans="1:7" x14ac:dyDescent="0.25">
      <c r="A1862" t="s">
        <v>8</v>
      </c>
      <c r="B1862" s="1" t="str">
        <f>"000163505 - RICHS DOD"</f>
        <v>000163505 - RICHS DOD</v>
      </c>
      <c r="C1862" t="s">
        <v>1048</v>
      </c>
      <c r="D1862" s="1" t="str">
        <f t="shared" si="49"/>
        <v>PRG-1017597</v>
      </c>
      <c r="E1862" t="s">
        <v>12</v>
      </c>
      <c r="F1862" t="s">
        <v>4</v>
      </c>
      <c r="G1862" t="str">
        <f>""</f>
        <v/>
      </c>
    </row>
    <row r="1863" spans="1:7" x14ac:dyDescent="0.25">
      <c r="A1863" t="s">
        <v>8</v>
      </c>
      <c r="B1863" s="1" t="str">
        <f>"000188498 - DOD- RICH PRODUCTS CORP"</f>
        <v>000188498 - DOD- RICH PRODUCTS CORP</v>
      </c>
      <c r="C1863" t="s">
        <v>593</v>
      </c>
      <c r="D1863" s="1" t="str">
        <f t="shared" si="49"/>
        <v>PRG-1017597</v>
      </c>
      <c r="E1863" t="s">
        <v>12</v>
      </c>
      <c r="F1863" t="s">
        <v>4</v>
      </c>
      <c r="G1863" t="str">
        <f>""</f>
        <v/>
      </c>
    </row>
    <row r="1864" spans="1:7" x14ac:dyDescent="0.25">
      <c r="A1864" t="s">
        <v>8</v>
      </c>
      <c r="B1864" s="1" t="str">
        <f>"000189574 - RICH PRODUCTS CORP -DOD NAPA"</f>
        <v>000189574 - RICH PRODUCTS CORP -DOD NAPA</v>
      </c>
      <c r="C1864" t="s">
        <v>645</v>
      </c>
      <c r="D1864" s="1" t="str">
        <f t="shared" si="49"/>
        <v>PRG-1017597</v>
      </c>
      <c r="E1864" t="s">
        <v>12</v>
      </c>
      <c r="F1864" t="s">
        <v>4</v>
      </c>
      <c r="G1864" t="str">
        <f>""</f>
        <v/>
      </c>
    </row>
    <row r="1865" spans="1:7" x14ac:dyDescent="0.25">
      <c r="A1865" t="s">
        <v>8</v>
      </c>
      <c r="B1865" s="1" t="str">
        <f>"000189972 - VOID PRODUCTS CORP -DOD NAPA"</f>
        <v>000189972 - VOID PRODUCTS CORP -DOD NAPA</v>
      </c>
      <c r="C1865" t="s">
        <v>611</v>
      </c>
      <c r="D1865" s="1" t="str">
        <f t="shared" si="49"/>
        <v>PRG-1017597</v>
      </c>
      <c r="E1865" t="s">
        <v>12</v>
      </c>
      <c r="F1865" t="s">
        <v>4</v>
      </c>
      <c r="G1865" t="str">
        <f>""</f>
        <v/>
      </c>
    </row>
    <row r="1866" spans="1:7" x14ac:dyDescent="0.25">
      <c r="A1866" t="s">
        <v>8</v>
      </c>
      <c r="B1866" s="1" t="str">
        <f>"000191967 - RICH PRODUCTS DEPT OF DEFENSE"</f>
        <v>000191967 - RICH PRODUCTS DEPT OF DEFENSE</v>
      </c>
      <c r="C1866" t="s">
        <v>1220</v>
      </c>
      <c r="D1866" s="1" t="str">
        <f t="shared" si="49"/>
        <v>PRG-1017597</v>
      </c>
      <c r="E1866" t="s">
        <v>12</v>
      </c>
      <c r="F1866" t="s">
        <v>4</v>
      </c>
      <c r="G1866" t="str">
        <f>""</f>
        <v/>
      </c>
    </row>
    <row r="1867" spans="1:7" x14ac:dyDescent="0.25">
      <c r="A1867" t="s">
        <v>8</v>
      </c>
      <c r="B1867" s="1" t="str">
        <f>"000192106 - RICH FOODS-DOD NAPA"</f>
        <v>000192106 - RICH FOODS-DOD NAPA</v>
      </c>
      <c r="C1867" t="s">
        <v>628</v>
      </c>
      <c r="D1867" s="1" t="str">
        <f t="shared" si="49"/>
        <v>PRG-1017597</v>
      </c>
      <c r="E1867" t="s">
        <v>12</v>
      </c>
      <c r="F1867" t="s">
        <v>4</v>
      </c>
      <c r="G1867" t="str">
        <f>""</f>
        <v/>
      </c>
    </row>
    <row r="1868" spans="1:7" x14ac:dyDescent="0.25">
      <c r="A1868" t="s">
        <v>8</v>
      </c>
      <c r="B1868" s="1" t="str">
        <f>"000192295 - RICH FOODS-DOD NAPA"</f>
        <v>000192295 - RICH FOODS-DOD NAPA</v>
      </c>
      <c r="C1868" t="s">
        <v>628</v>
      </c>
      <c r="D1868" s="1" t="str">
        <f t="shared" si="49"/>
        <v>PRG-1017597</v>
      </c>
      <c r="E1868" t="s">
        <v>12</v>
      </c>
      <c r="F1868" t="s">
        <v>4</v>
      </c>
      <c r="G1868" t="str">
        <f>""</f>
        <v/>
      </c>
    </row>
    <row r="1869" spans="1:7" x14ac:dyDescent="0.25">
      <c r="A1869" t="s">
        <v>8</v>
      </c>
      <c r="B1869" s="1" t="str">
        <f>"000206348 - RICH'S DOD NAPA"</f>
        <v>000206348 - RICH'S DOD NAPA</v>
      </c>
      <c r="C1869" t="s">
        <v>1368</v>
      </c>
      <c r="D1869" s="1" t="str">
        <f t="shared" si="49"/>
        <v>PRG-1017597</v>
      </c>
      <c r="E1869" t="s">
        <v>12</v>
      </c>
      <c r="F1869" t="s">
        <v>4</v>
      </c>
      <c r="G1869" t="str">
        <f>""</f>
        <v/>
      </c>
    </row>
    <row r="1870" spans="1:7" x14ac:dyDescent="0.25">
      <c r="A1870" t="s">
        <v>8</v>
      </c>
      <c r="B1870" s="1" t="str">
        <f>"000211062 - RICHS DEPT OF DEFENSE"</f>
        <v>000211062 - RICHS DEPT OF DEFENSE</v>
      </c>
      <c r="C1870" t="s">
        <v>1442</v>
      </c>
      <c r="D1870" s="1" t="str">
        <f t="shared" si="49"/>
        <v>PRG-1017597</v>
      </c>
      <c r="E1870" t="s">
        <v>12</v>
      </c>
      <c r="F1870" t="s">
        <v>4</v>
      </c>
      <c r="G1870" t="str">
        <f>""</f>
        <v/>
      </c>
    </row>
    <row r="1871" spans="1:7" x14ac:dyDescent="0.25">
      <c r="A1871" t="s">
        <v>8</v>
      </c>
      <c r="B1871" s="1" t="str">
        <f>"000218570 - RICH PRODUCTS NAPA"</f>
        <v>000218570 - RICH PRODUCTS NAPA</v>
      </c>
      <c r="C1871" t="s">
        <v>1566</v>
      </c>
      <c r="D1871" s="1" t="str">
        <f t="shared" si="49"/>
        <v>PRG-1017597</v>
      </c>
      <c r="E1871" t="s">
        <v>12</v>
      </c>
      <c r="F1871" t="s">
        <v>4</v>
      </c>
      <c r="G1871" t="str">
        <f>""</f>
        <v/>
      </c>
    </row>
    <row r="1872" spans="1:7" x14ac:dyDescent="0.25">
      <c r="A1872" t="s">
        <v>8</v>
      </c>
      <c r="B1872" s="1" t="str">
        <f>"000221738 - RICH PRODUCTS DOD NAPA"</f>
        <v>000221738 - RICH PRODUCTS DOD NAPA</v>
      </c>
      <c r="C1872" t="s">
        <v>1611</v>
      </c>
      <c r="D1872" s="1" t="str">
        <f t="shared" si="49"/>
        <v>PRG-1017597</v>
      </c>
      <c r="E1872" t="s">
        <v>12</v>
      </c>
      <c r="F1872" t="s">
        <v>4</v>
      </c>
      <c r="G1872" t="str">
        <f>""</f>
        <v/>
      </c>
    </row>
    <row r="1873" spans="1:7" x14ac:dyDescent="0.25">
      <c r="A1873" t="s">
        <v>8</v>
      </c>
      <c r="B1873" s="1" t="str">
        <f>"000225271 - RICH PRODUCTS NAPA"</f>
        <v>000225271 - RICH PRODUCTS NAPA</v>
      </c>
      <c r="C1873" t="s">
        <v>1566</v>
      </c>
      <c r="D1873" s="1" t="str">
        <f t="shared" si="49"/>
        <v>PRG-1017597</v>
      </c>
      <c r="E1873" t="s">
        <v>12</v>
      </c>
      <c r="F1873" t="s">
        <v>4</v>
      </c>
      <c r="G1873" t="str">
        <f>""</f>
        <v/>
      </c>
    </row>
    <row r="1874" spans="1:7" x14ac:dyDescent="0.25">
      <c r="A1874" t="s">
        <v>8</v>
      </c>
      <c r="B1874" s="1" t="str">
        <f>"000227534 - DOD- RICH PRODUCTS CORP"</f>
        <v>000227534 - DOD- RICH PRODUCTS CORP</v>
      </c>
      <c r="C1874" t="s">
        <v>593</v>
      </c>
      <c r="D1874" s="1" t="str">
        <f t="shared" si="49"/>
        <v>PRG-1017597</v>
      </c>
      <c r="E1874" t="s">
        <v>12</v>
      </c>
      <c r="F1874" t="s">
        <v>4</v>
      </c>
      <c r="G1874" t="str">
        <f>""</f>
        <v/>
      </c>
    </row>
    <row r="1875" spans="1:7" x14ac:dyDescent="0.25">
      <c r="A1875" t="s">
        <v>8</v>
      </c>
      <c r="B1875" s="1" t="str">
        <f>"000238310 - 0262 RICH PRODUCTS NAPA"</f>
        <v>000238310 - 0262 RICH PRODUCTS NAPA</v>
      </c>
      <c r="C1875" t="s">
        <v>1879</v>
      </c>
      <c r="D1875" s="1" t="str">
        <f t="shared" si="49"/>
        <v>PRG-1017597</v>
      </c>
      <c r="E1875" t="s">
        <v>12</v>
      </c>
      <c r="F1875" t="s">
        <v>4</v>
      </c>
      <c r="G1875" t="str">
        <f>""</f>
        <v/>
      </c>
    </row>
    <row r="1876" spans="1:7" x14ac:dyDescent="0.25">
      <c r="A1876" t="s">
        <v>8</v>
      </c>
      <c r="B1876" s="1" t="str">
        <f>"000239261 - RICH PRODUCTS (NC) NAPA"</f>
        <v>000239261 - RICH PRODUCTS (NC) NAPA</v>
      </c>
      <c r="C1876" t="s">
        <v>1893</v>
      </c>
      <c r="D1876" s="1" t="str">
        <f t="shared" si="49"/>
        <v>PRG-1017597</v>
      </c>
      <c r="E1876" t="s">
        <v>12</v>
      </c>
      <c r="F1876" t="s">
        <v>4</v>
      </c>
      <c r="G1876" t="str">
        <f>""</f>
        <v/>
      </c>
    </row>
    <row r="1877" spans="1:7" x14ac:dyDescent="0.25">
      <c r="A1877" t="s">
        <v>8</v>
      </c>
      <c r="B1877" s="1" t="str">
        <f>"000257721 - 0262 RICH PRODUCTS NAPA"</f>
        <v>000257721 - 0262 RICH PRODUCTS NAPA</v>
      </c>
      <c r="C1877" t="s">
        <v>1879</v>
      </c>
      <c r="D1877" s="1" t="str">
        <f t="shared" si="49"/>
        <v>PRG-1017597</v>
      </c>
      <c r="E1877" t="s">
        <v>12</v>
      </c>
      <c r="F1877" t="s">
        <v>4</v>
      </c>
      <c r="G1877" t="str">
        <f>""</f>
        <v/>
      </c>
    </row>
    <row r="1878" spans="1:7" x14ac:dyDescent="0.25">
      <c r="A1878" t="s">
        <v>8</v>
      </c>
      <c r="B1878" s="1" t="str">
        <f>"000258466 - RICH PRODUCTS-DOD NAPA"</f>
        <v>000258466 - RICH PRODUCTS-DOD NAPA</v>
      </c>
      <c r="C1878" t="s">
        <v>11</v>
      </c>
      <c r="D1878" s="1" t="str">
        <f t="shared" si="49"/>
        <v>PRG-1017597</v>
      </c>
      <c r="E1878" t="s">
        <v>12</v>
      </c>
      <c r="F1878" t="s">
        <v>4</v>
      </c>
      <c r="G1878" t="str">
        <f>""</f>
        <v/>
      </c>
    </row>
    <row r="1879" spans="1:7" x14ac:dyDescent="0.25">
      <c r="A1879" t="s">
        <v>8</v>
      </c>
      <c r="B1879" s="1" t="str">
        <f>"000266506 - DOD- RICH PRODUCTS CORP"</f>
        <v>000266506 - DOD- RICH PRODUCTS CORP</v>
      </c>
      <c r="C1879" t="s">
        <v>593</v>
      </c>
      <c r="D1879" s="1" t="str">
        <f t="shared" si="49"/>
        <v>PRG-1017597</v>
      </c>
      <c r="E1879" t="s">
        <v>12</v>
      </c>
      <c r="F1879" t="s">
        <v>4</v>
      </c>
      <c r="G1879" t="str">
        <f>""</f>
        <v/>
      </c>
    </row>
    <row r="1880" spans="1:7" x14ac:dyDescent="0.25">
      <c r="A1880" t="s">
        <v>8</v>
      </c>
      <c r="B1880" s="1" t="str">
        <f>"000266855 - DOD- RICH PRODUCTS CORP"</f>
        <v>000266855 - DOD- RICH PRODUCTS CORP</v>
      </c>
      <c r="C1880" t="s">
        <v>593</v>
      </c>
      <c r="D1880" s="1" t="str">
        <f t="shared" si="49"/>
        <v>PRG-1017597</v>
      </c>
      <c r="E1880" t="s">
        <v>12</v>
      </c>
      <c r="F1880" t="s">
        <v>4</v>
      </c>
      <c r="G1880" t="str">
        <f>""</f>
        <v/>
      </c>
    </row>
    <row r="1881" spans="1:7" x14ac:dyDescent="0.25">
      <c r="A1881" t="s">
        <v>8</v>
      </c>
      <c r="B1881" s="1" t="str">
        <f>"000268301 - RICH PRODUCTS CORP -DOD NAPA"</f>
        <v>000268301 - RICH PRODUCTS CORP -DOD NAPA</v>
      </c>
      <c r="C1881" t="s">
        <v>645</v>
      </c>
      <c r="D1881" s="1" t="str">
        <f t="shared" si="49"/>
        <v>PRG-1017597</v>
      </c>
      <c r="E1881" t="s">
        <v>12</v>
      </c>
      <c r="F1881" t="s">
        <v>4</v>
      </c>
      <c r="G1881" t="str">
        <f>""</f>
        <v/>
      </c>
    </row>
    <row r="1882" spans="1:7" x14ac:dyDescent="0.25">
      <c r="A1882" t="s">
        <v>8</v>
      </c>
      <c r="B1882" s="1" t="str">
        <f>"000270587 - RICH FOODS-DOD NAPA"</f>
        <v>000270587 - RICH FOODS-DOD NAPA</v>
      </c>
      <c r="C1882" t="s">
        <v>628</v>
      </c>
      <c r="D1882" s="1" t="str">
        <f t="shared" ref="D1882:D1913" si="50">"PRG-1017597"</f>
        <v>PRG-1017597</v>
      </c>
      <c r="E1882" t="s">
        <v>12</v>
      </c>
      <c r="F1882" t="s">
        <v>4</v>
      </c>
      <c r="G1882" t="str">
        <f>""</f>
        <v/>
      </c>
    </row>
    <row r="1883" spans="1:7" x14ac:dyDescent="0.25">
      <c r="A1883" t="s">
        <v>8</v>
      </c>
      <c r="B1883" s="1" t="str">
        <f>"000271448 - RICH (BB CORE)-AFNAF"</f>
        <v>000271448 - RICH (BB CORE)-AFNAF</v>
      </c>
      <c r="C1883" t="s">
        <v>134</v>
      </c>
      <c r="D1883" s="1" t="str">
        <f t="shared" si="50"/>
        <v>PRG-1017597</v>
      </c>
      <c r="E1883" t="s">
        <v>12</v>
      </c>
      <c r="F1883" t="s">
        <v>4</v>
      </c>
      <c r="G1883" t="str">
        <f>""</f>
        <v/>
      </c>
    </row>
    <row r="1884" spans="1:7" x14ac:dyDescent="0.25">
      <c r="A1884" t="s">
        <v>8</v>
      </c>
      <c r="B1884" s="1" t="str">
        <f>"000272968 - RICH NAPA ALW SPE30015D3114"</f>
        <v>000272968 - RICH NAPA ALW SPE30015D3114</v>
      </c>
      <c r="C1884" t="s">
        <v>2511</v>
      </c>
      <c r="D1884" s="1" t="str">
        <f t="shared" si="50"/>
        <v>PRG-1017597</v>
      </c>
      <c r="E1884" t="s">
        <v>12</v>
      </c>
      <c r="F1884" t="s">
        <v>4</v>
      </c>
      <c r="G1884" t="str">
        <f>""</f>
        <v/>
      </c>
    </row>
    <row r="1885" spans="1:7" x14ac:dyDescent="0.25">
      <c r="A1885" t="s">
        <v>8</v>
      </c>
      <c r="B1885" s="1" t="str">
        <f>"000274683 - RICH MILITARY NAPA"</f>
        <v>000274683 - RICH MILITARY NAPA</v>
      </c>
      <c r="C1885" t="s">
        <v>2547</v>
      </c>
      <c r="D1885" s="1" t="str">
        <f t="shared" si="50"/>
        <v>PRG-1017597</v>
      </c>
      <c r="E1885" t="s">
        <v>12</v>
      </c>
      <c r="F1885" t="s">
        <v>4</v>
      </c>
      <c r="G1885" t="str">
        <f>""</f>
        <v/>
      </c>
    </row>
    <row r="1886" spans="1:7" x14ac:dyDescent="0.25">
      <c r="A1886" t="s">
        <v>8</v>
      </c>
      <c r="B1886" s="1" t="str">
        <f>"000281629 - RICH'S DOD NAPA"</f>
        <v>000281629 - RICH'S DOD NAPA</v>
      </c>
      <c r="C1886" t="s">
        <v>1368</v>
      </c>
      <c r="D1886" s="1" t="str">
        <f t="shared" si="50"/>
        <v>PRG-1017597</v>
      </c>
      <c r="E1886" t="s">
        <v>12</v>
      </c>
      <c r="F1886" t="s">
        <v>4</v>
      </c>
      <c r="G1886" t="str">
        <f>""</f>
        <v/>
      </c>
    </row>
    <row r="1887" spans="1:7" x14ac:dyDescent="0.25">
      <c r="A1887" t="s">
        <v>8</v>
      </c>
      <c r="B1887" s="1" t="str">
        <f>"000289334 - NAPA 0262 RICH PRODUCTS"</f>
        <v>000289334 - NAPA 0262 RICH PRODUCTS</v>
      </c>
      <c r="C1887" t="s">
        <v>111</v>
      </c>
      <c r="D1887" s="1" t="str">
        <f t="shared" si="50"/>
        <v>PRG-1017597</v>
      </c>
      <c r="E1887" t="s">
        <v>12</v>
      </c>
      <c r="F1887" t="s">
        <v>4</v>
      </c>
      <c r="G1887" t="str">
        <f>""</f>
        <v/>
      </c>
    </row>
    <row r="1888" spans="1:7" x14ac:dyDescent="0.25">
      <c r="A1888" t="s">
        <v>8</v>
      </c>
      <c r="B1888" s="1" t="str">
        <f>"000292278 - DOD- RICH PRODUCTS CORP"</f>
        <v>000292278 - DOD- RICH PRODUCTS CORP</v>
      </c>
      <c r="C1888" t="s">
        <v>593</v>
      </c>
      <c r="D1888" s="1" t="str">
        <f t="shared" si="50"/>
        <v>PRG-1017597</v>
      </c>
      <c r="E1888" t="s">
        <v>12</v>
      </c>
      <c r="F1888" t="s">
        <v>4</v>
      </c>
      <c r="G1888" t="str">
        <f>""</f>
        <v/>
      </c>
    </row>
    <row r="1889" spans="1:7" x14ac:dyDescent="0.25">
      <c r="A1889" t="s">
        <v>8</v>
      </c>
      <c r="B1889" s="1" t="str">
        <f>"000294275 - DOD- RICH PRODUCTS CORP"</f>
        <v>000294275 - DOD- RICH PRODUCTS CORP</v>
      </c>
      <c r="C1889" t="s">
        <v>593</v>
      </c>
      <c r="D1889" s="1" t="str">
        <f t="shared" si="50"/>
        <v>PRG-1017597</v>
      </c>
      <c r="E1889" t="s">
        <v>12</v>
      </c>
      <c r="F1889" t="s">
        <v>4</v>
      </c>
      <c r="G1889" t="str">
        <f>""</f>
        <v/>
      </c>
    </row>
    <row r="1890" spans="1:7" x14ac:dyDescent="0.25">
      <c r="A1890" t="s">
        <v>8</v>
      </c>
      <c r="B1890" s="1" t="str">
        <f>"000294572 - DOD- RICH PRODUCTS CORP"</f>
        <v>000294572 - DOD- RICH PRODUCTS CORP</v>
      </c>
      <c r="C1890" t="s">
        <v>593</v>
      </c>
      <c r="D1890" s="1" t="str">
        <f t="shared" si="50"/>
        <v>PRG-1017597</v>
      </c>
      <c r="E1890" t="s">
        <v>12</v>
      </c>
      <c r="F1890" t="s">
        <v>4</v>
      </c>
      <c r="G1890" t="str">
        <f>""</f>
        <v/>
      </c>
    </row>
    <row r="1891" spans="1:7" x14ac:dyDescent="0.25">
      <c r="A1891" t="s">
        <v>8</v>
      </c>
      <c r="B1891" s="1" t="str">
        <f>"000296525 - RICH PRODUCTS CORP -DOD NAPA"</f>
        <v>000296525 - RICH PRODUCTS CORP -DOD NAPA</v>
      </c>
      <c r="C1891" t="s">
        <v>645</v>
      </c>
      <c r="D1891" s="1" t="str">
        <f t="shared" si="50"/>
        <v>PRG-1017597</v>
      </c>
      <c r="E1891" t="s">
        <v>12</v>
      </c>
      <c r="F1891" t="s">
        <v>4</v>
      </c>
      <c r="G1891" t="str">
        <f>""</f>
        <v/>
      </c>
    </row>
    <row r="1892" spans="1:7" x14ac:dyDescent="0.25">
      <c r="A1892" t="s">
        <v>8</v>
      </c>
      <c r="B1892" s="1" t="str">
        <f>"000297315 - RICH PRODUCTS CORP   NAPA"</f>
        <v>000297315 - RICH PRODUCTS CORP   NAPA</v>
      </c>
      <c r="C1892" t="s">
        <v>2922</v>
      </c>
      <c r="D1892" s="1" t="str">
        <f t="shared" si="50"/>
        <v>PRG-1017597</v>
      </c>
      <c r="E1892" t="s">
        <v>12</v>
      </c>
      <c r="F1892" t="s">
        <v>4</v>
      </c>
      <c r="G1892" t="str">
        <f>""</f>
        <v/>
      </c>
    </row>
    <row r="1893" spans="1:7" x14ac:dyDescent="0.25">
      <c r="A1893" t="s">
        <v>8</v>
      </c>
      <c r="B1893" s="1" t="str">
        <f>"000299689 - RICH FOODS-DOD NAPA"</f>
        <v>000299689 - RICH FOODS-DOD NAPA</v>
      </c>
      <c r="C1893" t="s">
        <v>628</v>
      </c>
      <c r="D1893" s="1" t="str">
        <f t="shared" si="50"/>
        <v>PRG-1017597</v>
      </c>
      <c r="E1893" t="s">
        <v>12</v>
      </c>
      <c r="F1893" t="s">
        <v>4</v>
      </c>
      <c r="G1893" t="str">
        <f>""</f>
        <v/>
      </c>
    </row>
    <row r="1894" spans="1:7" x14ac:dyDescent="0.25">
      <c r="A1894" t="s">
        <v>8</v>
      </c>
      <c r="B1894" s="1" t="str">
        <f>"000301395 - RICHS DOD"</f>
        <v>000301395 - RICHS DOD</v>
      </c>
      <c r="C1894" t="s">
        <v>1048</v>
      </c>
      <c r="D1894" s="1" t="str">
        <f t="shared" si="50"/>
        <v>PRG-1017597</v>
      </c>
      <c r="E1894" t="s">
        <v>12</v>
      </c>
      <c r="F1894" t="s">
        <v>4</v>
      </c>
      <c r="G1894" t="str">
        <f>""</f>
        <v/>
      </c>
    </row>
    <row r="1895" spans="1:7" x14ac:dyDescent="0.25">
      <c r="A1895" t="s">
        <v>8</v>
      </c>
      <c r="B1895" s="1" t="str">
        <f>"000341424 - RICHS DODGE CITY"</f>
        <v>000341424 - RICHS DODGE CITY</v>
      </c>
      <c r="C1895" t="s">
        <v>3440</v>
      </c>
      <c r="D1895" s="1" t="str">
        <f t="shared" si="50"/>
        <v>PRG-1017597</v>
      </c>
      <c r="E1895" t="s">
        <v>12</v>
      </c>
      <c r="F1895" t="s">
        <v>4</v>
      </c>
      <c r="G1895" t="str">
        <f>""</f>
        <v/>
      </c>
    </row>
    <row r="1896" spans="1:7" x14ac:dyDescent="0.25">
      <c r="A1896" t="s">
        <v>8</v>
      </c>
      <c r="B1896" s="1" t="str">
        <f>"000352120 - VOID PRODUCTS CORP -DOD NAPA"</f>
        <v>000352120 - VOID PRODUCTS CORP -DOD NAPA</v>
      </c>
      <c r="C1896" t="s">
        <v>611</v>
      </c>
      <c r="D1896" s="1" t="str">
        <f t="shared" si="50"/>
        <v>PRG-1017597</v>
      </c>
      <c r="E1896" t="s">
        <v>12</v>
      </c>
      <c r="F1896" t="s">
        <v>4</v>
      </c>
      <c r="G1896" t="str">
        <f>""</f>
        <v/>
      </c>
    </row>
    <row r="1897" spans="1:7" x14ac:dyDescent="0.25">
      <c r="A1897" t="s">
        <v>8</v>
      </c>
      <c r="B1897" s="1" t="str">
        <f>"000358614 - RICHS BB-AFNAF"</f>
        <v>000358614 - RICHS BB-AFNAF</v>
      </c>
      <c r="C1897" t="s">
        <v>375</v>
      </c>
      <c r="D1897" s="1" t="str">
        <f t="shared" si="50"/>
        <v>PRG-1017597</v>
      </c>
      <c r="E1897" t="s">
        <v>12</v>
      </c>
      <c r="F1897" t="s">
        <v>4</v>
      </c>
      <c r="G1897" t="str">
        <f>""</f>
        <v/>
      </c>
    </row>
    <row r="1898" spans="1:7" x14ac:dyDescent="0.25">
      <c r="A1898" t="s">
        <v>8</v>
      </c>
      <c r="B1898" s="1" t="str">
        <f>"000385492 - DOD- RICH PRODUCTS CORP"</f>
        <v>000385492 - DOD- RICH PRODUCTS CORP</v>
      </c>
      <c r="C1898" t="s">
        <v>593</v>
      </c>
      <c r="D1898" s="1" t="str">
        <f t="shared" si="50"/>
        <v>PRG-1017597</v>
      </c>
      <c r="E1898" t="s">
        <v>12</v>
      </c>
      <c r="F1898" t="s">
        <v>4</v>
      </c>
      <c r="G1898" t="str">
        <f>""</f>
        <v/>
      </c>
    </row>
    <row r="1899" spans="1:7" x14ac:dyDescent="0.25">
      <c r="A1899" t="s">
        <v>8</v>
      </c>
      <c r="B1899" s="1" t="str">
        <f>"000388055 - RICH PRODUCTS CORP -DOD NAPA"</f>
        <v>000388055 - RICH PRODUCTS CORP -DOD NAPA</v>
      </c>
      <c r="C1899" t="s">
        <v>645</v>
      </c>
      <c r="D1899" s="1" t="str">
        <f t="shared" si="50"/>
        <v>PRG-1017597</v>
      </c>
      <c r="E1899" t="s">
        <v>12</v>
      </c>
      <c r="F1899" t="s">
        <v>4</v>
      </c>
      <c r="G1899" t="str">
        <f>""</f>
        <v/>
      </c>
    </row>
    <row r="1900" spans="1:7" x14ac:dyDescent="0.25">
      <c r="A1900" t="s">
        <v>8</v>
      </c>
      <c r="B1900" s="1" t="str">
        <f>"000389067 - RICH PROD DC DOD NAPA 0262"</f>
        <v>000389067 - RICH PROD DC DOD NAPA 0262</v>
      </c>
      <c r="C1900" t="s">
        <v>3673</v>
      </c>
      <c r="D1900" s="1" t="str">
        <f t="shared" si="50"/>
        <v>PRG-1017597</v>
      </c>
      <c r="E1900" t="s">
        <v>12</v>
      </c>
      <c r="F1900" t="s">
        <v>4</v>
      </c>
      <c r="G1900" t="str">
        <f>""</f>
        <v/>
      </c>
    </row>
    <row r="1901" spans="1:7" x14ac:dyDescent="0.25">
      <c r="A1901" t="s">
        <v>8</v>
      </c>
      <c r="B1901" s="1" t="str">
        <f>"000392367 - RICH FOODS-DOD NAPA"</f>
        <v>000392367 - RICH FOODS-DOD NAPA</v>
      </c>
      <c r="C1901" t="s">
        <v>628</v>
      </c>
      <c r="D1901" s="1" t="str">
        <f t="shared" si="50"/>
        <v>PRG-1017597</v>
      </c>
      <c r="E1901" t="s">
        <v>12</v>
      </c>
      <c r="F1901" t="s">
        <v>4</v>
      </c>
      <c r="G1901" t="str">
        <f>""</f>
        <v/>
      </c>
    </row>
    <row r="1902" spans="1:7" x14ac:dyDescent="0.25">
      <c r="A1902" t="s">
        <v>8</v>
      </c>
      <c r="B1902" s="1" t="str">
        <f>"000400071 - DOD- RICH PRODUCTS CORP"</f>
        <v>000400071 - DOD- RICH PRODUCTS CORP</v>
      </c>
      <c r="C1902" t="s">
        <v>593</v>
      </c>
      <c r="D1902" s="1" t="str">
        <f t="shared" si="50"/>
        <v>PRG-1017597</v>
      </c>
      <c r="E1902" t="s">
        <v>12</v>
      </c>
      <c r="F1902" t="s">
        <v>4</v>
      </c>
      <c r="G1902" t="str">
        <f>""</f>
        <v/>
      </c>
    </row>
    <row r="1903" spans="1:7" x14ac:dyDescent="0.25">
      <c r="A1903" t="s">
        <v>8</v>
      </c>
      <c r="B1903" s="1" t="str">
        <f>"000400106 - DOD- RICH PRODUCTS CORP"</f>
        <v>000400106 - DOD- RICH PRODUCTS CORP</v>
      </c>
      <c r="C1903" t="s">
        <v>593</v>
      </c>
      <c r="D1903" s="1" t="str">
        <f t="shared" si="50"/>
        <v>PRG-1017597</v>
      </c>
      <c r="E1903" t="s">
        <v>12</v>
      </c>
      <c r="F1903" t="s">
        <v>4</v>
      </c>
      <c r="G1903" t="str">
        <f>""</f>
        <v/>
      </c>
    </row>
    <row r="1904" spans="1:7" x14ac:dyDescent="0.25">
      <c r="A1904" t="s">
        <v>8</v>
      </c>
      <c r="B1904" s="1" t="str">
        <f>"000401989 - RICH PRODUCTS CORP -DOD NAPA"</f>
        <v>000401989 - RICH PRODUCTS CORP -DOD NAPA</v>
      </c>
      <c r="C1904" t="s">
        <v>645</v>
      </c>
      <c r="D1904" s="1" t="str">
        <f t="shared" si="50"/>
        <v>PRG-1017597</v>
      </c>
      <c r="E1904" t="s">
        <v>12</v>
      </c>
      <c r="F1904" t="s">
        <v>4</v>
      </c>
      <c r="G1904" t="str">
        <f>""</f>
        <v/>
      </c>
    </row>
    <row r="1905" spans="1:7" x14ac:dyDescent="0.25">
      <c r="A1905" t="s">
        <v>8</v>
      </c>
      <c r="B1905" s="1" t="str">
        <f>"000402310 - VOID PRODUCTS CORP -DOD NAPA"</f>
        <v>000402310 - VOID PRODUCTS CORP -DOD NAPA</v>
      </c>
      <c r="C1905" t="s">
        <v>611</v>
      </c>
      <c r="D1905" s="1" t="str">
        <f t="shared" si="50"/>
        <v>PRG-1017597</v>
      </c>
      <c r="E1905" t="s">
        <v>12</v>
      </c>
      <c r="F1905" t="s">
        <v>4</v>
      </c>
      <c r="G1905" t="str">
        <f>""</f>
        <v/>
      </c>
    </row>
    <row r="1906" spans="1:7" x14ac:dyDescent="0.25">
      <c r="A1906" t="s">
        <v>8</v>
      </c>
      <c r="B1906" s="1" t="str">
        <f>"000405853 - RICH FOODS-DOD NAPA"</f>
        <v>000405853 - RICH FOODS-DOD NAPA</v>
      </c>
      <c r="C1906" t="s">
        <v>628</v>
      </c>
      <c r="D1906" s="1" t="str">
        <f t="shared" si="50"/>
        <v>PRG-1017597</v>
      </c>
      <c r="E1906" t="s">
        <v>12</v>
      </c>
      <c r="F1906" t="s">
        <v>4</v>
      </c>
      <c r="G1906" t="str">
        <f>""</f>
        <v/>
      </c>
    </row>
    <row r="1907" spans="1:7" x14ac:dyDescent="0.25">
      <c r="A1907" t="s">
        <v>8</v>
      </c>
      <c r="B1907" s="1" t="str">
        <f>"20108083"</f>
        <v>20108083</v>
      </c>
      <c r="C1907" t="s">
        <v>4084</v>
      </c>
      <c r="D1907" s="1" t="str">
        <f t="shared" si="50"/>
        <v>PRG-1017597</v>
      </c>
      <c r="E1907" t="s">
        <v>12</v>
      </c>
      <c r="F1907" t="s">
        <v>5</v>
      </c>
      <c r="G1907" t="str">
        <f>""</f>
        <v/>
      </c>
    </row>
    <row r="1908" spans="1:7" x14ac:dyDescent="0.25">
      <c r="A1908" t="s">
        <v>8</v>
      </c>
      <c r="B1908" s="1" t="str">
        <f>"20108860"</f>
        <v>20108860</v>
      </c>
      <c r="C1908" t="s">
        <v>4090</v>
      </c>
      <c r="D1908" s="1" t="str">
        <f t="shared" si="50"/>
        <v>PRG-1017597</v>
      </c>
      <c r="E1908" t="s">
        <v>12</v>
      </c>
      <c r="F1908" t="s">
        <v>5</v>
      </c>
      <c r="G1908" t="str">
        <f>""</f>
        <v/>
      </c>
    </row>
    <row r="1909" spans="1:7" x14ac:dyDescent="0.25">
      <c r="A1909" t="s">
        <v>8</v>
      </c>
      <c r="B1909" s="1" t="str">
        <f>"20108870"</f>
        <v>20108870</v>
      </c>
      <c r="C1909" t="s">
        <v>4091</v>
      </c>
      <c r="D1909" s="1" t="str">
        <f t="shared" si="50"/>
        <v>PRG-1017597</v>
      </c>
      <c r="E1909" t="s">
        <v>12</v>
      </c>
      <c r="F1909" t="s">
        <v>5</v>
      </c>
      <c r="G1909" t="str">
        <f>""</f>
        <v/>
      </c>
    </row>
    <row r="1910" spans="1:7" x14ac:dyDescent="0.25">
      <c r="A1910" t="s">
        <v>8</v>
      </c>
      <c r="B1910" s="1" t="str">
        <f>"22207579"</f>
        <v>22207579</v>
      </c>
      <c r="C1910" t="s">
        <v>4241</v>
      </c>
      <c r="D1910" s="1" t="str">
        <f t="shared" si="50"/>
        <v>PRG-1017597</v>
      </c>
      <c r="E1910" t="s">
        <v>12</v>
      </c>
      <c r="F1910" t="s">
        <v>5</v>
      </c>
      <c r="G1910" t="str">
        <f>""</f>
        <v/>
      </c>
    </row>
    <row r="1911" spans="1:7" x14ac:dyDescent="0.25">
      <c r="A1911" t="s">
        <v>8</v>
      </c>
      <c r="B1911" s="1" t="str">
        <f>"22602933"</f>
        <v>22602933</v>
      </c>
      <c r="C1911" t="s">
        <v>4379</v>
      </c>
      <c r="D1911" s="1" t="str">
        <f t="shared" si="50"/>
        <v>PRG-1017597</v>
      </c>
      <c r="E1911" t="s">
        <v>12</v>
      </c>
      <c r="F1911" t="s">
        <v>5</v>
      </c>
      <c r="G1911" t="str">
        <f>""</f>
        <v/>
      </c>
    </row>
    <row r="1912" spans="1:7" x14ac:dyDescent="0.25">
      <c r="A1912" t="s">
        <v>8</v>
      </c>
      <c r="B1912" s="1" t="str">
        <f>"22604934"</f>
        <v>22604934</v>
      </c>
      <c r="C1912" t="s">
        <v>4424</v>
      </c>
      <c r="D1912" s="1" t="str">
        <f t="shared" si="50"/>
        <v>PRG-1017597</v>
      </c>
      <c r="E1912" t="s">
        <v>12</v>
      </c>
      <c r="F1912" t="s">
        <v>5</v>
      </c>
      <c r="G1912" t="str">
        <f>""</f>
        <v/>
      </c>
    </row>
    <row r="1913" spans="1:7" x14ac:dyDescent="0.25">
      <c r="A1913" t="s">
        <v>8</v>
      </c>
      <c r="B1913" s="1" t="str">
        <f>"23405591"</f>
        <v>23405591</v>
      </c>
      <c r="C1913" t="s">
        <v>4494</v>
      </c>
      <c r="D1913" s="1" t="str">
        <f t="shared" si="50"/>
        <v>PRG-1017597</v>
      </c>
      <c r="E1913" t="s">
        <v>12</v>
      </c>
      <c r="F1913" t="s">
        <v>5</v>
      </c>
      <c r="G1913" t="str">
        <f>""</f>
        <v/>
      </c>
    </row>
    <row r="1914" spans="1:7" x14ac:dyDescent="0.25">
      <c r="A1914" t="s">
        <v>8</v>
      </c>
      <c r="B1914" s="1" t="str">
        <f>"32106540"</f>
        <v>32106540</v>
      </c>
      <c r="C1914" t="s">
        <v>4803</v>
      </c>
      <c r="D1914" s="1" t="str">
        <f t="shared" ref="D1914:D1923" si="51">"PRG-1017597"</f>
        <v>PRG-1017597</v>
      </c>
      <c r="E1914" t="s">
        <v>12</v>
      </c>
      <c r="F1914" t="s">
        <v>5</v>
      </c>
      <c r="G1914" t="str">
        <f>""</f>
        <v/>
      </c>
    </row>
    <row r="1915" spans="1:7" x14ac:dyDescent="0.25">
      <c r="A1915" t="s">
        <v>8</v>
      </c>
      <c r="B1915" s="1" t="str">
        <f>"32303950"</f>
        <v>32303950</v>
      </c>
      <c r="C1915" t="s">
        <v>4869</v>
      </c>
      <c r="D1915" s="1" t="str">
        <f t="shared" si="51"/>
        <v>PRG-1017597</v>
      </c>
      <c r="E1915" t="s">
        <v>12</v>
      </c>
      <c r="F1915" t="s">
        <v>5</v>
      </c>
      <c r="G1915" t="str">
        <f>""</f>
        <v/>
      </c>
    </row>
    <row r="1916" spans="1:7" x14ac:dyDescent="0.25">
      <c r="A1916" t="s">
        <v>8</v>
      </c>
      <c r="B1916" s="1" t="str">
        <f>"41002046"</f>
        <v>41002046</v>
      </c>
      <c r="C1916" t="s">
        <v>4933</v>
      </c>
      <c r="D1916" s="1" t="str">
        <f t="shared" si="51"/>
        <v>PRG-1017597</v>
      </c>
      <c r="E1916" t="s">
        <v>12</v>
      </c>
      <c r="F1916" t="s">
        <v>5</v>
      </c>
      <c r="G1916" t="str">
        <f>""</f>
        <v/>
      </c>
    </row>
    <row r="1917" spans="1:7" x14ac:dyDescent="0.25">
      <c r="A1917" t="s">
        <v>8</v>
      </c>
      <c r="B1917" s="1" t="str">
        <f>"4100J139"</f>
        <v>4100J139</v>
      </c>
      <c r="C1917" t="s">
        <v>4958</v>
      </c>
      <c r="D1917" s="1" t="str">
        <f t="shared" si="51"/>
        <v>PRG-1017597</v>
      </c>
      <c r="E1917" t="s">
        <v>12</v>
      </c>
      <c r="F1917" t="s">
        <v>5</v>
      </c>
      <c r="G1917" t="str">
        <f>""</f>
        <v/>
      </c>
    </row>
    <row r="1918" spans="1:7" x14ac:dyDescent="0.25">
      <c r="A1918" t="s">
        <v>8</v>
      </c>
      <c r="B1918" s="1" t="str">
        <f>"4120C749"</f>
        <v>4120C749</v>
      </c>
      <c r="C1918" t="s">
        <v>4986</v>
      </c>
      <c r="D1918" s="1" t="str">
        <f t="shared" si="51"/>
        <v>PRG-1017597</v>
      </c>
      <c r="E1918" t="s">
        <v>12</v>
      </c>
      <c r="F1918" t="s">
        <v>5</v>
      </c>
      <c r="G1918" t="str">
        <f>""</f>
        <v/>
      </c>
    </row>
    <row r="1919" spans="1:7" x14ac:dyDescent="0.25">
      <c r="A1919" t="s">
        <v>8</v>
      </c>
      <c r="B1919" s="1" t="str">
        <f>"4120D482"</f>
        <v>4120D482</v>
      </c>
      <c r="C1919" t="s">
        <v>4989</v>
      </c>
      <c r="D1919" s="1" t="str">
        <f t="shared" si="51"/>
        <v>PRG-1017597</v>
      </c>
      <c r="E1919" t="s">
        <v>12</v>
      </c>
      <c r="F1919" t="s">
        <v>5</v>
      </c>
      <c r="G1919" t="str">
        <f>""</f>
        <v/>
      </c>
    </row>
    <row r="1920" spans="1:7" x14ac:dyDescent="0.25">
      <c r="A1920" t="s">
        <v>8</v>
      </c>
      <c r="B1920" s="1" t="str">
        <f>"4120D483"</f>
        <v>4120D483</v>
      </c>
      <c r="C1920" t="s">
        <v>4989</v>
      </c>
      <c r="D1920" s="1" t="str">
        <f t="shared" si="51"/>
        <v>PRG-1017597</v>
      </c>
      <c r="E1920" t="s">
        <v>12</v>
      </c>
      <c r="F1920" t="s">
        <v>5</v>
      </c>
      <c r="G1920" t="str">
        <f>""</f>
        <v/>
      </c>
    </row>
    <row r="1921" spans="1:7" x14ac:dyDescent="0.25">
      <c r="A1921" t="s">
        <v>8</v>
      </c>
      <c r="B1921" s="1" t="str">
        <f>"4120E475"</f>
        <v>4120E475</v>
      </c>
      <c r="C1921" t="s">
        <v>4990</v>
      </c>
      <c r="D1921" s="1" t="str">
        <f t="shared" si="51"/>
        <v>PRG-1017597</v>
      </c>
      <c r="E1921" t="s">
        <v>12</v>
      </c>
      <c r="F1921" t="s">
        <v>5</v>
      </c>
      <c r="G1921" t="str">
        <f>""</f>
        <v/>
      </c>
    </row>
    <row r="1922" spans="1:7" x14ac:dyDescent="0.25">
      <c r="A1922" t="s">
        <v>8</v>
      </c>
      <c r="B1922" s="1" t="str">
        <f>"T3J00008"</f>
        <v>T3J00008</v>
      </c>
      <c r="C1922" t="s">
        <v>6404</v>
      </c>
      <c r="D1922" s="1" t="str">
        <f t="shared" si="51"/>
        <v>PRG-1017597</v>
      </c>
      <c r="E1922" t="s">
        <v>12</v>
      </c>
      <c r="F1922" t="s">
        <v>5</v>
      </c>
      <c r="G1922" t="str">
        <f>""</f>
        <v/>
      </c>
    </row>
    <row r="1923" spans="1:7" x14ac:dyDescent="0.25">
      <c r="A1923" t="s">
        <v>8</v>
      </c>
      <c r="B1923" s="1" t="str">
        <f>"T3J0001M"</f>
        <v>T3J0001M</v>
      </c>
      <c r="C1923" t="s">
        <v>6405</v>
      </c>
      <c r="D1923" s="1" t="str">
        <f t="shared" si="51"/>
        <v>PRG-1017597</v>
      </c>
      <c r="E1923" t="s">
        <v>12</v>
      </c>
      <c r="F1923" t="s">
        <v>5</v>
      </c>
      <c r="G1923" t="str">
        <f>""</f>
        <v/>
      </c>
    </row>
    <row r="1924" spans="1:7" x14ac:dyDescent="0.25">
      <c r="A1924" t="s">
        <v>8</v>
      </c>
      <c r="B1924" s="1" t="str">
        <f>"3170BQ33"</f>
        <v>3170BQ33</v>
      </c>
      <c r="C1924" t="s">
        <v>4705</v>
      </c>
      <c r="D1924" s="1" t="str">
        <f t="shared" ref="D1924:D1931" si="52">"PRG-1017602"</f>
        <v>PRG-1017602</v>
      </c>
      <c r="E1924" t="s">
        <v>4706</v>
      </c>
      <c r="F1924" t="s">
        <v>5</v>
      </c>
      <c r="G1924" t="str">
        <f>""</f>
        <v/>
      </c>
    </row>
    <row r="1925" spans="1:7" x14ac:dyDescent="0.25">
      <c r="A1925" t="s">
        <v>8</v>
      </c>
      <c r="B1925" s="1" t="str">
        <f>"3170K461"</f>
        <v>3170K461</v>
      </c>
      <c r="C1925" t="s">
        <v>4749</v>
      </c>
      <c r="D1925" s="1" t="str">
        <f t="shared" si="52"/>
        <v>PRG-1017602</v>
      </c>
      <c r="E1925" t="s">
        <v>4706</v>
      </c>
      <c r="F1925" t="s">
        <v>5</v>
      </c>
      <c r="G1925" t="str">
        <f>""</f>
        <v/>
      </c>
    </row>
    <row r="1926" spans="1:7" x14ac:dyDescent="0.25">
      <c r="A1926" t="s">
        <v>8</v>
      </c>
      <c r="B1926" s="1" t="str">
        <f>"3170R337"</f>
        <v>3170R337</v>
      </c>
      <c r="C1926" t="s">
        <v>4765</v>
      </c>
      <c r="D1926" s="1" t="str">
        <f t="shared" si="52"/>
        <v>PRG-1017602</v>
      </c>
      <c r="E1926" t="s">
        <v>4706</v>
      </c>
      <c r="F1926" t="s">
        <v>5</v>
      </c>
      <c r="G1926" t="str">
        <f>""</f>
        <v/>
      </c>
    </row>
    <row r="1927" spans="1:7" x14ac:dyDescent="0.25">
      <c r="A1927" t="s">
        <v>8</v>
      </c>
      <c r="B1927" s="1" t="str">
        <f>"3170U417"</f>
        <v>3170U417</v>
      </c>
      <c r="C1927" t="s">
        <v>4776</v>
      </c>
      <c r="D1927" s="1" t="str">
        <f t="shared" si="52"/>
        <v>PRG-1017602</v>
      </c>
      <c r="E1927" t="s">
        <v>4706</v>
      </c>
      <c r="F1927" t="s">
        <v>5</v>
      </c>
      <c r="G1927" t="str">
        <f>""</f>
        <v/>
      </c>
    </row>
    <row r="1928" spans="1:7" x14ac:dyDescent="0.25">
      <c r="A1928" t="s">
        <v>8</v>
      </c>
      <c r="B1928" s="1" t="str">
        <f>"3170V649"</f>
        <v>3170V649</v>
      </c>
      <c r="C1928" t="s">
        <v>4778</v>
      </c>
      <c r="D1928" s="1" t="str">
        <f t="shared" si="52"/>
        <v>PRG-1017602</v>
      </c>
      <c r="E1928" t="s">
        <v>4706</v>
      </c>
      <c r="F1928" t="s">
        <v>5</v>
      </c>
      <c r="G1928" t="str">
        <f>""</f>
        <v/>
      </c>
    </row>
    <row r="1929" spans="1:7" x14ac:dyDescent="0.25">
      <c r="A1929" t="s">
        <v>8</v>
      </c>
      <c r="B1929" s="1" t="str">
        <f>"3170V926"</f>
        <v>3170V926</v>
      </c>
      <c r="C1929" t="s">
        <v>4783</v>
      </c>
      <c r="D1929" s="1" t="str">
        <f t="shared" si="52"/>
        <v>PRG-1017602</v>
      </c>
      <c r="E1929" t="s">
        <v>4706</v>
      </c>
      <c r="F1929" t="s">
        <v>5</v>
      </c>
      <c r="G1929" t="str">
        <f>""</f>
        <v/>
      </c>
    </row>
    <row r="1930" spans="1:7" x14ac:dyDescent="0.25">
      <c r="A1930" t="s">
        <v>8</v>
      </c>
      <c r="B1930" s="1" t="str">
        <f>"3170X194"</f>
        <v>3170X194</v>
      </c>
      <c r="C1930" t="s">
        <v>4788</v>
      </c>
      <c r="D1930" s="1" t="str">
        <f t="shared" si="52"/>
        <v>PRG-1017602</v>
      </c>
      <c r="E1930" t="s">
        <v>4706</v>
      </c>
      <c r="F1930" t="s">
        <v>5</v>
      </c>
      <c r="G1930" t="str">
        <f>""</f>
        <v/>
      </c>
    </row>
    <row r="1931" spans="1:7" x14ac:dyDescent="0.25">
      <c r="A1931" t="s">
        <v>8</v>
      </c>
      <c r="B1931" s="1" t="str">
        <f>"3170Y811"</f>
        <v>3170Y811</v>
      </c>
      <c r="C1931" t="s">
        <v>4791</v>
      </c>
      <c r="D1931" s="1" t="str">
        <f t="shared" si="52"/>
        <v>PRG-1017602</v>
      </c>
      <c r="E1931" t="s">
        <v>4706</v>
      </c>
      <c r="F1931" t="s">
        <v>5</v>
      </c>
      <c r="G1931" t="str">
        <f>""</f>
        <v/>
      </c>
    </row>
    <row r="1932" spans="1:7" x14ac:dyDescent="0.25">
      <c r="A1932" t="s">
        <v>8</v>
      </c>
      <c r="B1932" s="1" t="str">
        <f>"3A04DL01"</f>
        <v>3A04DL01</v>
      </c>
      <c r="C1932" t="s">
        <v>4918</v>
      </c>
      <c r="D1932" s="1" t="str">
        <f t="shared" ref="D1932:D1937" si="53">"PRG-1017723"</f>
        <v>PRG-1017723</v>
      </c>
      <c r="E1932" t="s">
        <v>4919</v>
      </c>
      <c r="F1932" t="s">
        <v>5</v>
      </c>
      <c r="G1932" t="str">
        <f>""</f>
        <v/>
      </c>
    </row>
    <row r="1933" spans="1:7" x14ac:dyDescent="0.25">
      <c r="A1933" t="s">
        <v>8</v>
      </c>
      <c r="B1933" s="1" t="str">
        <f>"3A04DL02"</f>
        <v>3A04DL02</v>
      </c>
      <c r="C1933" t="s">
        <v>4918</v>
      </c>
      <c r="D1933" s="1" t="str">
        <f t="shared" si="53"/>
        <v>PRG-1017723</v>
      </c>
      <c r="E1933" t="s">
        <v>4919</v>
      </c>
      <c r="F1933" t="s">
        <v>5</v>
      </c>
      <c r="G1933" t="str">
        <f>""</f>
        <v/>
      </c>
    </row>
    <row r="1934" spans="1:7" x14ac:dyDescent="0.25">
      <c r="A1934" t="s">
        <v>8</v>
      </c>
      <c r="B1934" s="1" t="str">
        <f>"3A04W101"</f>
        <v>3A04W101</v>
      </c>
      <c r="C1934" t="s">
        <v>4918</v>
      </c>
      <c r="D1934" s="1" t="str">
        <f t="shared" si="53"/>
        <v>PRG-1017723</v>
      </c>
      <c r="E1934" t="s">
        <v>4919</v>
      </c>
      <c r="F1934" t="s">
        <v>5</v>
      </c>
      <c r="G1934" t="str">
        <f>""</f>
        <v/>
      </c>
    </row>
    <row r="1935" spans="1:7" x14ac:dyDescent="0.25">
      <c r="A1935" t="s">
        <v>8</v>
      </c>
      <c r="B1935" s="1" t="str">
        <f>"3A04W102"</f>
        <v>3A04W102</v>
      </c>
      <c r="C1935" t="s">
        <v>4918</v>
      </c>
      <c r="D1935" s="1" t="str">
        <f t="shared" si="53"/>
        <v>PRG-1017723</v>
      </c>
      <c r="E1935" t="s">
        <v>4919</v>
      </c>
      <c r="F1935" t="s">
        <v>5</v>
      </c>
      <c r="G1935" t="str">
        <f>""</f>
        <v/>
      </c>
    </row>
    <row r="1936" spans="1:7" x14ac:dyDescent="0.25">
      <c r="A1936" t="s">
        <v>8</v>
      </c>
      <c r="B1936" s="1" t="str">
        <f>"3A05O801"</f>
        <v>3A05O801</v>
      </c>
      <c r="C1936" t="s">
        <v>4918</v>
      </c>
      <c r="D1936" s="1" t="str">
        <f t="shared" si="53"/>
        <v>PRG-1017723</v>
      </c>
      <c r="E1936" t="s">
        <v>4919</v>
      </c>
      <c r="F1936" t="s">
        <v>5</v>
      </c>
      <c r="G1936" t="str">
        <f>""</f>
        <v/>
      </c>
    </row>
    <row r="1937" spans="1:7" x14ac:dyDescent="0.25">
      <c r="A1937" t="s">
        <v>8</v>
      </c>
      <c r="B1937" s="1" t="str">
        <f>"3A05O802"</f>
        <v>3A05O802</v>
      </c>
      <c r="C1937" t="s">
        <v>4918</v>
      </c>
      <c r="D1937" s="1" t="str">
        <f t="shared" si="53"/>
        <v>PRG-1017723</v>
      </c>
      <c r="E1937" t="s">
        <v>4919</v>
      </c>
      <c r="F1937" t="s">
        <v>5</v>
      </c>
      <c r="G1937" t="str">
        <f>""</f>
        <v/>
      </c>
    </row>
    <row r="1938" spans="1:7" x14ac:dyDescent="0.25">
      <c r="A1938" t="s">
        <v>8</v>
      </c>
      <c r="B1938" s="1" t="str">
        <f>"000197448 - RICHS FOOD PRODUCTS-HOLLAND"</f>
        <v>000197448 - RICHS FOOD PRODUCTS-HOLLAND</v>
      </c>
      <c r="C1938" t="s">
        <v>1274</v>
      </c>
      <c r="D1938" s="1" t="str">
        <f>"PRG-1017755"</f>
        <v>PRG-1017755</v>
      </c>
      <c r="E1938" t="s">
        <v>1275</v>
      </c>
      <c r="F1938" t="s">
        <v>4</v>
      </c>
      <c r="G1938" t="str">
        <f>""</f>
        <v/>
      </c>
    </row>
    <row r="1939" spans="1:7" x14ac:dyDescent="0.25">
      <c r="A1939" t="s">
        <v>8</v>
      </c>
      <c r="B1939" s="1" t="str">
        <f>"000297030 - CARNIVAL RICH PRODUCTS"</f>
        <v>000297030 - CARNIVAL RICH PRODUCTS</v>
      </c>
      <c r="C1939" t="s">
        <v>2919</v>
      </c>
      <c r="D1939" s="1" t="str">
        <f>"PRG-1017755"</f>
        <v>PRG-1017755</v>
      </c>
      <c r="E1939" t="s">
        <v>1275</v>
      </c>
      <c r="F1939" t="s">
        <v>4</v>
      </c>
      <c r="G1939" t="str">
        <f>""</f>
        <v/>
      </c>
    </row>
    <row r="1940" spans="1:7" x14ac:dyDescent="0.25">
      <c r="A1940" t="s">
        <v>8</v>
      </c>
      <c r="B1940" s="1" t="str">
        <f>"000297233 - HOLLAND RICHS"</f>
        <v>000297233 - HOLLAND RICHS</v>
      </c>
      <c r="C1940" t="s">
        <v>2921</v>
      </c>
      <c r="D1940" s="1" t="str">
        <f>"PRG-1017755"</f>
        <v>PRG-1017755</v>
      </c>
      <c r="E1940" t="s">
        <v>1275</v>
      </c>
      <c r="F1940" t="s">
        <v>4</v>
      </c>
      <c r="G1940" t="str">
        <f>""</f>
        <v/>
      </c>
    </row>
    <row r="1941" spans="1:7" x14ac:dyDescent="0.25">
      <c r="A1941" t="s">
        <v>8</v>
      </c>
      <c r="B1941" s="1" t="str">
        <f>"000325559 - RICH'S  CARNIVAL HOLLAND"</f>
        <v>000325559 - RICH'S  CARNIVAL HOLLAND</v>
      </c>
      <c r="C1941" t="s">
        <v>3287</v>
      </c>
      <c r="D1941" s="1" t="str">
        <f>"PRG-1017755"</f>
        <v>PRG-1017755</v>
      </c>
      <c r="E1941" t="s">
        <v>1275</v>
      </c>
      <c r="F1941" t="s">
        <v>4</v>
      </c>
      <c r="G1941" t="str">
        <f>""</f>
        <v/>
      </c>
    </row>
    <row r="1942" spans="1:7" x14ac:dyDescent="0.25">
      <c r="A1942" t="s">
        <v>8</v>
      </c>
      <c r="B1942" s="1" t="str">
        <f>"000325800 - RICH'S HOLLAND"</f>
        <v>000325800 - RICH'S HOLLAND</v>
      </c>
      <c r="C1942" t="s">
        <v>3291</v>
      </c>
      <c r="D1942" s="1" t="str">
        <f>"PRG-1017755"</f>
        <v>PRG-1017755</v>
      </c>
      <c r="E1942" t="s">
        <v>1275</v>
      </c>
      <c r="F1942" t="s">
        <v>4</v>
      </c>
      <c r="G1942" t="str">
        <f>""</f>
        <v/>
      </c>
    </row>
    <row r="1943" spans="1:7" x14ac:dyDescent="0.25">
      <c r="A1943" t="s">
        <v>8</v>
      </c>
      <c r="B1943" s="1" t="str">
        <f>"RECAP NOI RICHS PRODUCTS"</f>
        <v>RECAP NOI RICHS PRODUCTS</v>
      </c>
      <c r="C1943" t="s">
        <v>5326</v>
      </c>
      <c r="D1943" s="1" t="str">
        <f>"PRG-1017808"</f>
        <v>PRG-1017808</v>
      </c>
      <c r="E1943" t="s">
        <v>5327</v>
      </c>
      <c r="F1943" t="s">
        <v>5</v>
      </c>
      <c r="G1943" t="str">
        <f>""</f>
        <v/>
      </c>
    </row>
    <row r="1944" spans="1:7" x14ac:dyDescent="0.25">
      <c r="A1944" t="s">
        <v>8</v>
      </c>
      <c r="B1944" s="1" t="str">
        <f>"000279536 - RICH PIZZA DEPOT"</f>
        <v>000279536 - RICH PIZZA DEPOT</v>
      </c>
      <c r="C1944" t="s">
        <v>2626</v>
      </c>
      <c r="D1944" s="1" t="str">
        <f>"PRG-1017813"</f>
        <v>PRG-1017813</v>
      </c>
      <c r="E1944" t="s">
        <v>2627</v>
      </c>
      <c r="F1944" t="s">
        <v>4</v>
      </c>
      <c r="G1944" t="str">
        <f>""</f>
        <v/>
      </c>
    </row>
    <row r="1945" spans="1:7" x14ac:dyDescent="0.25">
      <c r="A1945" t="s">
        <v>8</v>
      </c>
      <c r="B1945" s="1" t="str">
        <f>"000134355 - RICH'S LINCOLN COLLEGE"</f>
        <v>000134355 - RICH'S LINCOLN COLLEGE</v>
      </c>
      <c r="C1945" t="s">
        <v>947</v>
      </c>
      <c r="D1945" s="1" t="str">
        <f>"PRG-1017876"</f>
        <v>PRG-1017876</v>
      </c>
      <c r="E1945" t="s">
        <v>948</v>
      </c>
      <c r="F1945" t="s">
        <v>4</v>
      </c>
      <c r="G1945" t="str">
        <f>""</f>
        <v/>
      </c>
    </row>
    <row r="1946" spans="1:7" x14ac:dyDescent="0.25">
      <c r="A1946" t="s">
        <v>8</v>
      </c>
      <c r="B1946" s="1" t="str">
        <f>"4146C157"</f>
        <v>4146C157</v>
      </c>
      <c r="C1946" t="s">
        <v>5000</v>
      </c>
      <c r="D1946" s="1" t="str">
        <f>"PRG-1017929"</f>
        <v>PRG-1017929</v>
      </c>
      <c r="E1946" t="s">
        <v>5001</v>
      </c>
      <c r="F1946" t="s">
        <v>5</v>
      </c>
      <c r="G1946" t="str">
        <f>""</f>
        <v/>
      </c>
    </row>
    <row r="1947" spans="1:7" x14ac:dyDescent="0.25">
      <c r="A1947" t="s">
        <v>8</v>
      </c>
      <c r="B1947" s="1" t="str">
        <f>"000164306 - RICH PROD-AVI"</f>
        <v>000164306 - RICH PROD-AVI</v>
      </c>
      <c r="C1947" t="s">
        <v>1051</v>
      </c>
      <c r="D1947" s="1" t="str">
        <f t="shared" ref="D1947:D1978" si="54">"PRG-1017970"</f>
        <v>PRG-1017970</v>
      </c>
      <c r="E1947" t="s">
        <v>1052</v>
      </c>
      <c r="F1947" t="s">
        <v>4</v>
      </c>
      <c r="G1947" t="str">
        <f>""</f>
        <v/>
      </c>
    </row>
    <row r="1948" spans="1:7" x14ac:dyDescent="0.25">
      <c r="A1948" t="s">
        <v>8</v>
      </c>
      <c r="B1948" s="1" t="str">
        <f>"000174811 - RICH PROD-AVI"</f>
        <v>000174811 - RICH PROD-AVI</v>
      </c>
      <c r="C1948" t="s">
        <v>1051</v>
      </c>
      <c r="D1948" s="1" t="str">
        <f t="shared" si="54"/>
        <v>PRG-1017970</v>
      </c>
      <c r="E1948" t="s">
        <v>1052</v>
      </c>
      <c r="F1948" t="s">
        <v>4</v>
      </c>
      <c r="G1948" t="str">
        <f>""</f>
        <v/>
      </c>
    </row>
    <row r="1949" spans="1:7" x14ac:dyDescent="0.25">
      <c r="A1949" t="s">
        <v>8</v>
      </c>
      <c r="B1949" s="1" t="str">
        <f>"000179985 - RICH PROD-AVI"</f>
        <v>000179985 - RICH PROD-AVI</v>
      </c>
      <c r="C1949" t="s">
        <v>1051</v>
      </c>
      <c r="D1949" s="1" t="str">
        <f t="shared" si="54"/>
        <v>PRG-1017970</v>
      </c>
      <c r="E1949" t="s">
        <v>1052</v>
      </c>
      <c r="F1949" t="s">
        <v>4</v>
      </c>
      <c r="G1949" t="str">
        <f>""</f>
        <v/>
      </c>
    </row>
    <row r="1950" spans="1:7" x14ac:dyDescent="0.25">
      <c r="A1950" t="s">
        <v>8</v>
      </c>
      <c r="B1950" s="1" t="str">
        <f>"000188100 - RICH PROD-AVI"</f>
        <v>000188100 - RICH PROD-AVI</v>
      </c>
      <c r="C1950" t="s">
        <v>1051</v>
      </c>
      <c r="D1950" s="1" t="str">
        <f t="shared" si="54"/>
        <v>PRG-1017970</v>
      </c>
      <c r="E1950" t="s">
        <v>1052</v>
      </c>
      <c r="F1950" t="s">
        <v>4</v>
      </c>
      <c r="G1950" t="str">
        <f>""</f>
        <v/>
      </c>
    </row>
    <row r="1951" spans="1:7" x14ac:dyDescent="0.25">
      <c r="A1951" t="s">
        <v>8</v>
      </c>
      <c r="B1951" s="1" t="str">
        <f>"000190561 - RICH PROD-AVI"</f>
        <v>000190561 - RICH PROD-AVI</v>
      </c>
      <c r="C1951" t="s">
        <v>1051</v>
      </c>
      <c r="D1951" s="1" t="str">
        <f t="shared" si="54"/>
        <v>PRG-1017970</v>
      </c>
      <c r="E1951" t="s">
        <v>1052</v>
      </c>
      <c r="F1951" t="s">
        <v>4</v>
      </c>
      <c r="G1951" t="str">
        <f>""</f>
        <v/>
      </c>
    </row>
    <row r="1952" spans="1:7" x14ac:dyDescent="0.25">
      <c r="A1952" t="s">
        <v>8</v>
      </c>
      <c r="B1952" s="1" t="str">
        <f>"000191592 - RICH PROD-AVI"</f>
        <v>000191592 - RICH PROD-AVI</v>
      </c>
      <c r="C1952" t="s">
        <v>1051</v>
      </c>
      <c r="D1952" s="1" t="str">
        <f t="shared" si="54"/>
        <v>PRG-1017970</v>
      </c>
      <c r="E1952" t="s">
        <v>1052</v>
      </c>
      <c r="F1952" t="s">
        <v>4</v>
      </c>
      <c r="G1952" t="str">
        <f>""</f>
        <v/>
      </c>
    </row>
    <row r="1953" spans="1:7" x14ac:dyDescent="0.25">
      <c r="A1953" t="s">
        <v>8</v>
      </c>
      <c r="B1953" s="1" t="str">
        <f>"000194035 - RICH PROD-AVI"</f>
        <v>000194035 - RICH PROD-AVI</v>
      </c>
      <c r="C1953" t="s">
        <v>1051</v>
      </c>
      <c r="D1953" s="1" t="str">
        <f t="shared" si="54"/>
        <v>PRG-1017970</v>
      </c>
      <c r="E1953" t="s">
        <v>1052</v>
      </c>
      <c r="F1953" t="s">
        <v>4</v>
      </c>
      <c r="G1953" t="str">
        <f>""</f>
        <v/>
      </c>
    </row>
    <row r="1954" spans="1:7" x14ac:dyDescent="0.25">
      <c r="A1954" t="s">
        <v>8</v>
      </c>
      <c r="B1954" s="1" t="str">
        <f>"000198793 - RICH PROD-AVI"</f>
        <v>000198793 - RICH PROD-AVI</v>
      </c>
      <c r="C1954" t="s">
        <v>1051</v>
      </c>
      <c r="D1954" s="1" t="str">
        <f t="shared" si="54"/>
        <v>PRG-1017970</v>
      </c>
      <c r="E1954" t="s">
        <v>1052</v>
      </c>
      <c r="F1954" t="s">
        <v>4</v>
      </c>
      <c r="G1954" t="str">
        <f>""</f>
        <v/>
      </c>
    </row>
    <row r="1955" spans="1:7" x14ac:dyDescent="0.25">
      <c r="A1955" t="s">
        <v>8</v>
      </c>
      <c r="B1955" s="1" t="str">
        <f>"000199736 - RICH PROD-AVI"</f>
        <v>000199736 - RICH PROD-AVI</v>
      </c>
      <c r="C1955" t="s">
        <v>1051</v>
      </c>
      <c r="D1955" s="1" t="str">
        <f t="shared" si="54"/>
        <v>PRG-1017970</v>
      </c>
      <c r="E1955" t="s">
        <v>1052</v>
      </c>
      <c r="F1955" t="s">
        <v>4</v>
      </c>
      <c r="G1955" t="str">
        <f>""</f>
        <v/>
      </c>
    </row>
    <row r="1956" spans="1:7" x14ac:dyDescent="0.25">
      <c r="A1956" t="s">
        <v>8</v>
      </c>
      <c r="B1956" s="1" t="str">
        <f>"000204872 - RICH PROD-AVI"</f>
        <v>000204872 - RICH PROD-AVI</v>
      </c>
      <c r="C1956" t="s">
        <v>1051</v>
      </c>
      <c r="D1956" s="1" t="str">
        <f t="shared" si="54"/>
        <v>PRG-1017970</v>
      </c>
      <c r="E1956" t="s">
        <v>1052</v>
      </c>
      <c r="F1956" t="s">
        <v>4</v>
      </c>
      <c r="G1956" t="str">
        <f>""</f>
        <v/>
      </c>
    </row>
    <row r="1957" spans="1:7" x14ac:dyDescent="0.25">
      <c r="A1957" t="s">
        <v>8</v>
      </c>
      <c r="B1957" s="1" t="str">
        <f>"000206711 - RICH PROD-AVI"</f>
        <v>000206711 - RICH PROD-AVI</v>
      </c>
      <c r="C1957" t="s">
        <v>1051</v>
      </c>
      <c r="D1957" s="1" t="str">
        <f t="shared" si="54"/>
        <v>PRG-1017970</v>
      </c>
      <c r="E1957" t="s">
        <v>1052</v>
      </c>
      <c r="F1957" t="s">
        <v>4</v>
      </c>
      <c r="G1957" t="str">
        <f>""</f>
        <v/>
      </c>
    </row>
    <row r="1958" spans="1:7" x14ac:dyDescent="0.25">
      <c r="A1958" t="s">
        <v>8</v>
      </c>
      <c r="B1958" s="1" t="str">
        <f>"000207789 - RICH PROD-AVI"</f>
        <v>000207789 - RICH PROD-AVI</v>
      </c>
      <c r="C1958" t="s">
        <v>1051</v>
      </c>
      <c r="D1958" s="1" t="str">
        <f t="shared" si="54"/>
        <v>PRG-1017970</v>
      </c>
      <c r="E1958" t="s">
        <v>1052</v>
      </c>
      <c r="F1958" t="s">
        <v>4</v>
      </c>
      <c r="G1958" t="str">
        <f>""</f>
        <v/>
      </c>
    </row>
    <row r="1959" spans="1:7" x14ac:dyDescent="0.25">
      <c r="A1959" t="s">
        <v>8</v>
      </c>
      <c r="B1959" s="1" t="str">
        <f>"000212650 - RICH PROD-AVI"</f>
        <v>000212650 - RICH PROD-AVI</v>
      </c>
      <c r="C1959" t="s">
        <v>1051</v>
      </c>
      <c r="D1959" s="1" t="str">
        <f t="shared" si="54"/>
        <v>PRG-1017970</v>
      </c>
      <c r="E1959" t="s">
        <v>1052</v>
      </c>
      <c r="F1959" t="s">
        <v>4</v>
      </c>
      <c r="G1959" t="str">
        <f>""</f>
        <v/>
      </c>
    </row>
    <row r="1960" spans="1:7" x14ac:dyDescent="0.25">
      <c r="A1960" t="s">
        <v>8</v>
      </c>
      <c r="B1960" s="1" t="str">
        <f>"000213427 - RICH PROD-AVI"</f>
        <v>000213427 - RICH PROD-AVI</v>
      </c>
      <c r="C1960" t="s">
        <v>1051</v>
      </c>
      <c r="D1960" s="1" t="str">
        <f t="shared" si="54"/>
        <v>PRG-1017970</v>
      </c>
      <c r="E1960" t="s">
        <v>1052</v>
      </c>
      <c r="F1960" t="s">
        <v>4</v>
      </c>
      <c r="G1960" t="str">
        <f>""</f>
        <v/>
      </c>
    </row>
    <row r="1961" spans="1:7" x14ac:dyDescent="0.25">
      <c r="A1961" t="s">
        <v>8</v>
      </c>
      <c r="B1961" s="1" t="str">
        <f>"000215918 - RICH PROD-AVI"</f>
        <v>000215918 - RICH PROD-AVI</v>
      </c>
      <c r="C1961" t="s">
        <v>1051</v>
      </c>
      <c r="D1961" s="1" t="str">
        <f t="shared" si="54"/>
        <v>PRG-1017970</v>
      </c>
      <c r="E1961" t="s">
        <v>1052</v>
      </c>
      <c r="F1961" t="s">
        <v>4</v>
      </c>
      <c r="G1961" t="str">
        <f>""</f>
        <v/>
      </c>
    </row>
    <row r="1962" spans="1:7" x14ac:dyDescent="0.25">
      <c r="A1962" t="s">
        <v>8</v>
      </c>
      <c r="B1962" s="1" t="str">
        <f>"000217816 - RICH PROD-AVI"</f>
        <v>000217816 - RICH PROD-AVI</v>
      </c>
      <c r="C1962" t="s">
        <v>1051</v>
      </c>
      <c r="D1962" s="1" t="str">
        <f t="shared" si="54"/>
        <v>PRG-1017970</v>
      </c>
      <c r="E1962" t="s">
        <v>1052</v>
      </c>
      <c r="F1962" t="s">
        <v>4</v>
      </c>
      <c r="G1962" t="str">
        <f>""</f>
        <v/>
      </c>
    </row>
    <row r="1963" spans="1:7" x14ac:dyDescent="0.25">
      <c r="A1963" t="s">
        <v>8</v>
      </c>
      <c r="B1963" s="1" t="str">
        <f>"000218582 - RICH PROD-AVI"</f>
        <v>000218582 - RICH PROD-AVI</v>
      </c>
      <c r="C1963" t="s">
        <v>1051</v>
      </c>
      <c r="D1963" s="1" t="str">
        <f t="shared" si="54"/>
        <v>PRG-1017970</v>
      </c>
      <c r="E1963" t="s">
        <v>1052</v>
      </c>
      <c r="F1963" t="s">
        <v>4</v>
      </c>
      <c r="G1963" t="str">
        <f>""</f>
        <v/>
      </c>
    </row>
    <row r="1964" spans="1:7" x14ac:dyDescent="0.25">
      <c r="A1964" t="s">
        <v>8</v>
      </c>
      <c r="B1964" s="1" t="str">
        <f>"000223271 - RICH PROD-AVI"</f>
        <v>000223271 - RICH PROD-AVI</v>
      </c>
      <c r="C1964" t="s">
        <v>1051</v>
      </c>
      <c r="D1964" s="1" t="str">
        <f t="shared" si="54"/>
        <v>PRG-1017970</v>
      </c>
      <c r="E1964" t="s">
        <v>1052</v>
      </c>
      <c r="F1964" t="s">
        <v>4</v>
      </c>
      <c r="G1964" t="str">
        <f>""</f>
        <v/>
      </c>
    </row>
    <row r="1965" spans="1:7" x14ac:dyDescent="0.25">
      <c r="A1965" t="s">
        <v>8</v>
      </c>
      <c r="B1965" s="1" t="str">
        <f>"000229323 - RICH PROD-AVI"</f>
        <v>000229323 - RICH PROD-AVI</v>
      </c>
      <c r="C1965" t="s">
        <v>1051</v>
      </c>
      <c r="D1965" s="1" t="str">
        <f t="shared" si="54"/>
        <v>PRG-1017970</v>
      </c>
      <c r="E1965" t="s">
        <v>1052</v>
      </c>
      <c r="F1965" t="s">
        <v>4</v>
      </c>
      <c r="G1965" t="str">
        <f>""</f>
        <v/>
      </c>
    </row>
    <row r="1966" spans="1:7" x14ac:dyDescent="0.25">
      <c r="A1966" t="s">
        <v>8</v>
      </c>
      <c r="B1966" s="1" t="str">
        <f>"000231341 - RICH PROD-AVI"</f>
        <v>000231341 - RICH PROD-AVI</v>
      </c>
      <c r="C1966" t="s">
        <v>1051</v>
      </c>
      <c r="D1966" s="1" t="str">
        <f t="shared" si="54"/>
        <v>PRG-1017970</v>
      </c>
      <c r="E1966" t="s">
        <v>1052</v>
      </c>
      <c r="F1966" t="s">
        <v>4</v>
      </c>
      <c r="G1966" t="str">
        <f>""</f>
        <v/>
      </c>
    </row>
    <row r="1967" spans="1:7" x14ac:dyDescent="0.25">
      <c r="A1967" t="s">
        <v>8</v>
      </c>
      <c r="B1967" s="1" t="str">
        <f>"000236730 - RICH PROD-AVI"</f>
        <v>000236730 - RICH PROD-AVI</v>
      </c>
      <c r="C1967" t="s">
        <v>1051</v>
      </c>
      <c r="D1967" s="1" t="str">
        <f t="shared" si="54"/>
        <v>PRG-1017970</v>
      </c>
      <c r="E1967" t="s">
        <v>1052</v>
      </c>
      <c r="F1967" t="s">
        <v>4</v>
      </c>
      <c r="G1967" t="str">
        <f>""</f>
        <v/>
      </c>
    </row>
    <row r="1968" spans="1:7" x14ac:dyDescent="0.25">
      <c r="A1968" t="s">
        <v>8</v>
      </c>
      <c r="B1968" s="1" t="str">
        <f>"000247928 - RICH PROD-AVI"</f>
        <v>000247928 - RICH PROD-AVI</v>
      </c>
      <c r="C1968" t="s">
        <v>1051</v>
      </c>
      <c r="D1968" s="1" t="str">
        <f t="shared" si="54"/>
        <v>PRG-1017970</v>
      </c>
      <c r="E1968" t="s">
        <v>1052</v>
      </c>
      <c r="F1968" t="s">
        <v>4</v>
      </c>
      <c r="G1968" t="str">
        <f>""</f>
        <v/>
      </c>
    </row>
    <row r="1969" spans="1:7" x14ac:dyDescent="0.25">
      <c r="A1969" t="s">
        <v>8</v>
      </c>
      <c r="B1969" s="1" t="str">
        <f>"000252672 - RICH PROD-AVI"</f>
        <v>000252672 - RICH PROD-AVI</v>
      </c>
      <c r="C1969" t="s">
        <v>1051</v>
      </c>
      <c r="D1969" s="1" t="str">
        <f t="shared" si="54"/>
        <v>PRG-1017970</v>
      </c>
      <c r="E1969" t="s">
        <v>1052</v>
      </c>
      <c r="F1969" t="s">
        <v>4</v>
      </c>
      <c r="G1969" t="str">
        <f>""</f>
        <v/>
      </c>
    </row>
    <row r="1970" spans="1:7" x14ac:dyDescent="0.25">
      <c r="A1970" t="s">
        <v>8</v>
      </c>
      <c r="B1970" s="1" t="str">
        <f>"000269018 - RICH PROD-AVI"</f>
        <v>000269018 - RICH PROD-AVI</v>
      </c>
      <c r="C1970" t="s">
        <v>1051</v>
      </c>
      <c r="D1970" s="1" t="str">
        <f t="shared" si="54"/>
        <v>PRG-1017970</v>
      </c>
      <c r="E1970" t="s">
        <v>1052</v>
      </c>
      <c r="F1970" t="s">
        <v>4</v>
      </c>
      <c r="G1970" t="str">
        <f>""</f>
        <v/>
      </c>
    </row>
    <row r="1971" spans="1:7" x14ac:dyDescent="0.25">
      <c r="A1971" t="s">
        <v>8</v>
      </c>
      <c r="B1971" s="1" t="str">
        <f>"000269343 - RICH PROD-AVI"</f>
        <v>000269343 - RICH PROD-AVI</v>
      </c>
      <c r="C1971" t="s">
        <v>1051</v>
      </c>
      <c r="D1971" s="1" t="str">
        <f t="shared" si="54"/>
        <v>PRG-1017970</v>
      </c>
      <c r="E1971" t="s">
        <v>1052</v>
      </c>
      <c r="F1971" t="s">
        <v>4</v>
      </c>
      <c r="G1971" t="str">
        <f>""</f>
        <v/>
      </c>
    </row>
    <row r="1972" spans="1:7" x14ac:dyDescent="0.25">
      <c r="A1972" t="s">
        <v>8</v>
      </c>
      <c r="B1972" s="1" t="str">
        <f>"000269586 - RICH PROD-AVI"</f>
        <v>000269586 - RICH PROD-AVI</v>
      </c>
      <c r="C1972" t="s">
        <v>1051</v>
      </c>
      <c r="D1972" s="1" t="str">
        <f t="shared" si="54"/>
        <v>PRG-1017970</v>
      </c>
      <c r="E1972" t="s">
        <v>1052</v>
      </c>
      <c r="F1972" t="s">
        <v>4</v>
      </c>
      <c r="G1972" t="str">
        <f>""</f>
        <v/>
      </c>
    </row>
    <row r="1973" spans="1:7" x14ac:dyDescent="0.25">
      <c r="A1973" t="s">
        <v>8</v>
      </c>
      <c r="B1973" s="1" t="str">
        <f>"000277420 - RICH PROD-AVI"</f>
        <v>000277420 - RICH PROD-AVI</v>
      </c>
      <c r="C1973" t="s">
        <v>1051</v>
      </c>
      <c r="D1973" s="1" t="str">
        <f t="shared" si="54"/>
        <v>PRG-1017970</v>
      </c>
      <c r="E1973" t="s">
        <v>1052</v>
      </c>
      <c r="F1973" t="s">
        <v>4</v>
      </c>
      <c r="G1973" t="str">
        <f>""</f>
        <v/>
      </c>
    </row>
    <row r="1974" spans="1:7" x14ac:dyDescent="0.25">
      <c r="A1974" t="s">
        <v>8</v>
      </c>
      <c r="B1974" s="1" t="str">
        <f>"000288315 - RICH PROD-AVI"</f>
        <v>000288315 - RICH PROD-AVI</v>
      </c>
      <c r="C1974" t="s">
        <v>1051</v>
      </c>
      <c r="D1974" s="1" t="str">
        <f t="shared" si="54"/>
        <v>PRG-1017970</v>
      </c>
      <c r="E1974" t="s">
        <v>1052</v>
      </c>
      <c r="F1974" t="s">
        <v>4</v>
      </c>
      <c r="G1974" t="str">
        <f>""</f>
        <v/>
      </c>
    </row>
    <row r="1975" spans="1:7" x14ac:dyDescent="0.25">
      <c r="A1975" t="s">
        <v>8</v>
      </c>
      <c r="B1975" s="1" t="str">
        <f>"000290496 - RICH PROD-AVI"</f>
        <v>000290496 - RICH PROD-AVI</v>
      </c>
      <c r="C1975" t="s">
        <v>1051</v>
      </c>
      <c r="D1975" s="1" t="str">
        <f t="shared" si="54"/>
        <v>PRG-1017970</v>
      </c>
      <c r="E1975" t="s">
        <v>1052</v>
      </c>
      <c r="F1975" t="s">
        <v>4</v>
      </c>
      <c r="G1975" t="str">
        <f>""</f>
        <v/>
      </c>
    </row>
    <row r="1976" spans="1:7" x14ac:dyDescent="0.25">
      <c r="A1976" t="s">
        <v>8</v>
      </c>
      <c r="B1976" s="1" t="str">
        <f>"000300864 - RICH PROD-AVI"</f>
        <v>000300864 - RICH PROD-AVI</v>
      </c>
      <c r="C1976" t="s">
        <v>1051</v>
      </c>
      <c r="D1976" s="1" t="str">
        <f t="shared" si="54"/>
        <v>PRG-1017970</v>
      </c>
      <c r="E1976" t="s">
        <v>1052</v>
      </c>
      <c r="F1976" t="s">
        <v>4</v>
      </c>
      <c r="G1976" t="str">
        <f>""</f>
        <v/>
      </c>
    </row>
    <row r="1977" spans="1:7" x14ac:dyDescent="0.25">
      <c r="A1977" t="s">
        <v>8</v>
      </c>
      <c r="B1977" s="1" t="str">
        <f>"2000188151 - RICH FOODS-AVI"</f>
        <v>2000188151 - RICH FOODS-AVI</v>
      </c>
      <c r="C1977" t="s">
        <v>713</v>
      </c>
      <c r="D1977" s="1" t="str">
        <f t="shared" si="54"/>
        <v>PRG-1017970</v>
      </c>
      <c r="E1977" t="s">
        <v>1052</v>
      </c>
      <c r="F1977" t="s">
        <v>4</v>
      </c>
      <c r="G1977" t="str">
        <f>""</f>
        <v/>
      </c>
    </row>
    <row r="1978" spans="1:7" x14ac:dyDescent="0.25">
      <c r="A1978" t="s">
        <v>8</v>
      </c>
      <c r="B1978" s="1" t="str">
        <f>"2000226724 - RICH FOODS-AVI"</f>
        <v>2000226724 - RICH FOODS-AVI</v>
      </c>
      <c r="C1978" t="s">
        <v>713</v>
      </c>
      <c r="D1978" s="1" t="str">
        <f t="shared" si="54"/>
        <v>PRG-1017970</v>
      </c>
      <c r="E1978" t="s">
        <v>1052</v>
      </c>
      <c r="F1978" t="s">
        <v>4</v>
      </c>
      <c r="G1978" t="str">
        <f>""</f>
        <v/>
      </c>
    </row>
    <row r="1979" spans="1:7" x14ac:dyDescent="0.25">
      <c r="A1979" t="s">
        <v>8</v>
      </c>
      <c r="B1979" s="1" t="str">
        <f>"000239494 - 100 MONTADITOS(DO)-RICH FOODS"</f>
        <v>000239494 - 100 MONTADITOS(DO)-RICH FOODS</v>
      </c>
      <c r="C1979" t="s">
        <v>1899</v>
      </c>
      <c r="D1979" s="1" t="str">
        <f>"PRG-1018073"</f>
        <v>PRG-1018073</v>
      </c>
      <c r="E1979" t="s">
        <v>1900</v>
      </c>
      <c r="F1979" t="s">
        <v>4</v>
      </c>
      <c r="G1979" t="str">
        <f>""</f>
        <v/>
      </c>
    </row>
    <row r="1980" spans="1:7" x14ac:dyDescent="0.25">
      <c r="A1980" t="s">
        <v>8</v>
      </c>
      <c r="B1980" s="1" t="str">
        <f>"000290460 - RICH-DER DUTCHMAN"</f>
        <v>000290460 - RICH-DER DUTCHMAN</v>
      </c>
      <c r="C1980" t="s">
        <v>2828</v>
      </c>
      <c r="D1980" s="1" t="str">
        <f>"PRG-1018089"</f>
        <v>PRG-1018089</v>
      </c>
      <c r="E1980" t="s">
        <v>2829</v>
      </c>
      <c r="F1980" t="s">
        <v>4</v>
      </c>
      <c r="G1980" t="str">
        <f>""</f>
        <v/>
      </c>
    </row>
    <row r="1981" spans="1:7" x14ac:dyDescent="0.25">
      <c r="A1981" t="s">
        <v>8</v>
      </c>
      <c r="B1981" s="1" t="str">
        <f>"2220M861"</f>
        <v>2220M861</v>
      </c>
      <c r="C1981" t="s">
        <v>4300</v>
      </c>
      <c r="D1981" s="1" t="str">
        <f>"PRG-1018151"</f>
        <v>PRG-1018151</v>
      </c>
      <c r="E1981" t="s">
        <v>4300</v>
      </c>
      <c r="F1981" t="s">
        <v>5</v>
      </c>
      <c r="G1981" t="str">
        <f>""</f>
        <v/>
      </c>
    </row>
    <row r="1982" spans="1:7" x14ac:dyDescent="0.25">
      <c r="A1982" t="s">
        <v>8</v>
      </c>
      <c r="B1982" s="1" t="str">
        <f>"000119095 - RICH CWU"</f>
        <v>000119095 - RICH CWU</v>
      </c>
      <c r="C1982" t="s">
        <v>879</v>
      </c>
      <c r="D1982" s="1" t="str">
        <f>"PRG-1018302"</f>
        <v>PRG-1018302</v>
      </c>
      <c r="E1982" t="s">
        <v>880</v>
      </c>
      <c r="F1982" t="s">
        <v>4</v>
      </c>
      <c r="G1982" t="str">
        <f>""</f>
        <v/>
      </c>
    </row>
    <row r="1983" spans="1:7" x14ac:dyDescent="0.25">
      <c r="A1983" t="s">
        <v>8</v>
      </c>
      <c r="B1983" s="1" t="str">
        <f>"000138961 - "</f>
        <v xml:space="preserve">000138961 - </v>
      </c>
      <c r="D1983" s="1" t="str">
        <f>"PRG-1018445"</f>
        <v>PRG-1018445</v>
      </c>
      <c r="E1983" t="s">
        <v>974</v>
      </c>
      <c r="F1983" t="s">
        <v>4</v>
      </c>
      <c r="G1983" t="str">
        <f>""</f>
        <v/>
      </c>
    </row>
    <row r="1984" spans="1:7" x14ac:dyDescent="0.25">
      <c r="A1984" t="s">
        <v>8</v>
      </c>
      <c r="B1984" s="1" t="str">
        <f>"000247397 - CINNABON RICH PRODUCTS"</f>
        <v>000247397 - CINNABON RICH PRODUCTS</v>
      </c>
      <c r="C1984" t="s">
        <v>2033</v>
      </c>
      <c r="D1984" s="1" t="str">
        <f>"PRG-1018445"</f>
        <v>PRG-1018445</v>
      </c>
      <c r="E1984" t="s">
        <v>974</v>
      </c>
      <c r="F1984" t="s">
        <v>4</v>
      </c>
      <c r="G1984" t="str">
        <f>""</f>
        <v/>
      </c>
    </row>
    <row r="1985" spans="1:7" x14ac:dyDescent="0.25">
      <c r="A1985" t="s">
        <v>8</v>
      </c>
      <c r="B1985" s="1" t="str">
        <f>"000258856 - CINNABON RICH PRODUCTS"</f>
        <v>000258856 - CINNABON RICH PRODUCTS</v>
      </c>
      <c r="C1985" t="s">
        <v>2033</v>
      </c>
      <c r="D1985" s="1" t="str">
        <f>"PRG-1018445"</f>
        <v>PRG-1018445</v>
      </c>
      <c r="E1985" t="s">
        <v>974</v>
      </c>
      <c r="F1985" t="s">
        <v>4</v>
      </c>
      <c r="G1985" t="str">
        <f>""</f>
        <v/>
      </c>
    </row>
    <row r="1986" spans="1:7" x14ac:dyDescent="0.25">
      <c r="A1986" t="s">
        <v>8</v>
      </c>
      <c r="B1986" s="1" t="str">
        <f>"000270581 - "</f>
        <v xml:space="preserve">000270581 - </v>
      </c>
      <c r="D1986" s="1" t="str">
        <f>"PRG-1018445"</f>
        <v>PRG-1018445</v>
      </c>
      <c r="E1986" t="s">
        <v>974</v>
      </c>
      <c r="F1986" t="s">
        <v>4</v>
      </c>
      <c r="G1986" t="str">
        <f>""</f>
        <v/>
      </c>
    </row>
    <row r="1987" spans="1:7" x14ac:dyDescent="0.25">
      <c r="A1987" t="s">
        <v>8</v>
      </c>
      <c r="B1987" s="1" t="str">
        <f>"000282017 - "</f>
        <v xml:space="preserve">000282017 - </v>
      </c>
      <c r="D1987" s="1" t="str">
        <f>"PRG-1018445"</f>
        <v>PRG-1018445</v>
      </c>
      <c r="E1987" t="s">
        <v>974</v>
      </c>
      <c r="F1987" t="s">
        <v>4</v>
      </c>
      <c r="G1987" t="str">
        <f>""</f>
        <v/>
      </c>
    </row>
    <row r="1988" spans="1:7" x14ac:dyDescent="0.25">
      <c r="A1988" t="s">
        <v>8</v>
      </c>
      <c r="B1988" s="1" t="str">
        <f>"000324097 - RICH SOUTHPAW SOCIAL CLUB"</f>
        <v>000324097 - RICH SOUTHPAW SOCIAL CLUB</v>
      </c>
      <c r="C1988" t="s">
        <v>3278</v>
      </c>
      <c r="D1988" s="1" t="str">
        <f>"PRG-1018471"</f>
        <v>PRG-1018471</v>
      </c>
      <c r="E1988" t="s">
        <v>3279</v>
      </c>
      <c r="F1988" t="s">
        <v>4</v>
      </c>
      <c r="G1988" t="str">
        <f>""</f>
        <v/>
      </c>
    </row>
    <row r="1989" spans="1:7" x14ac:dyDescent="0.25">
      <c r="A1989" t="s">
        <v>8</v>
      </c>
      <c r="B1989" s="1" t="str">
        <f>"22603799"</f>
        <v>22603799</v>
      </c>
      <c r="C1989" t="s">
        <v>4390</v>
      </c>
      <c r="D1989" s="1" t="str">
        <f t="shared" ref="D1989:D1994" si="55">"PRG-1018481"</f>
        <v>PRG-1018481</v>
      </c>
      <c r="E1989" t="s">
        <v>4391</v>
      </c>
      <c r="F1989" t="s">
        <v>5</v>
      </c>
      <c r="G1989" t="str">
        <f>""</f>
        <v/>
      </c>
    </row>
    <row r="1990" spans="1:7" x14ac:dyDescent="0.25">
      <c r="A1990" t="s">
        <v>8</v>
      </c>
      <c r="B1990" s="1" t="str">
        <f>"22603806"</f>
        <v>22603806</v>
      </c>
      <c r="C1990" t="s">
        <v>4398</v>
      </c>
      <c r="D1990" s="1" t="str">
        <f t="shared" si="55"/>
        <v>PRG-1018481</v>
      </c>
      <c r="E1990" t="s">
        <v>4391</v>
      </c>
      <c r="F1990" t="s">
        <v>5</v>
      </c>
      <c r="G1990" t="str">
        <f>""</f>
        <v/>
      </c>
    </row>
    <row r="1991" spans="1:7" x14ac:dyDescent="0.25">
      <c r="A1991" t="s">
        <v>8</v>
      </c>
      <c r="B1991" s="1" t="str">
        <f>"22603810"</f>
        <v>22603810</v>
      </c>
      <c r="C1991" t="s">
        <v>4401</v>
      </c>
      <c r="D1991" s="1" t="str">
        <f t="shared" si="55"/>
        <v>PRG-1018481</v>
      </c>
      <c r="E1991" t="s">
        <v>4391</v>
      </c>
      <c r="F1991" t="s">
        <v>5</v>
      </c>
      <c r="G1991" t="str">
        <f>""</f>
        <v/>
      </c>
    </row>
    <row r="1992" spans="1:7" x14ac:dyDescent="0.25">
      <c r="A1992" t="s">
        <v>8</v>
      </c>
      <c r="B1992" s="1" t="str">
        <f>"22603814"</f>
        <v>22603814</v>
      </c>
      <c r="C1992" t="s">
        <v>4403</v>
      </c>
      <c r="D1992" s="1" t="str">
        <f t="shared" si="55"/>
        <v>PRG-1018481</v>
      </c>
      <c r="E1992" t="s">
        <v>4391</v>
      </c>
      <c r="F1992" t="s">
        <v>5</v>
      </c>
      <c r="G1992" t="str">
        <f>""</f>
        <v/>
      </c>
    </row>
    <row r="1993" spans="1:7" x14ac:dyDescent="0.25">
      <c r="A1993" t="s">
        <v>8</v>
      </c>
      <c r="B1993" s="1" t="str">
        <f>"22603832"</f>
        <v>22603832</v>
      </c>
      <c r="C1993" t="s">
        <v>4413</v>
      </c>
      <c r="D1993" s="1" t="str">
        <f t="shared" si="55"/>
        <v>PRG-1018481</v>
      </c>
      <c r="E1993" t="s">
        <v>4391</v>
      </c>
      <c r="F1993" t="s">
        <v>5</v>
      </c>
      <c r="G1993" t="str">
        <f>""</f>
        <v/>
      </c>
    </row>
    <row r="1994" spans="1:7" x14ac:dyDescent="0.25">
      <c r="A1994" t="s">
        <v>8</v>
      </c>
      <c r="B1994" s="1" t="str">
        <f>"22603838"</f>
        <v>22603838</v>
      </c>
      <c r="C1994" t="s">
        <v>4417</v>
      </c>
      <c r="D1994" s="1" t="str">
        <f t="shared" si="55"/>
        <v>PRG-1018481</v>
      </c>
      <c r="E1994" t="s">
        <v>4391</v>
      </c>
      <c r="F1994" t="s">
        <v>5</v>
      </c>
      <c r="G1994" t="str">
        <f>""</f>
        <v/>
      </c>
    </row>
    <row r="1995" spans="1:7" x14ac:dyDescent="0.25">
      <c r="A1995" t="s">
        <v>8</v>
      </c>
      <c r="B1995" s="1" t="str">
        <f>"2000215719 - RICH DEN-COPPER MOUNTAIN"</f>
        <v>2000215719 - RICH DEN-COPPER MOUNTAIN</v>
      </c>
      <c r="C1995" t="s">
        <v>3957</v>
      </c>
      <c r="D1995" s="1" t="str">
        <f>"PRG-1018557"</f>
        <v>PRG-1018557</v>
      </c>
      <c r="E1995" t="s">
        <v>3958</v>
      </c>
      <c r="F1995" t="s">
        <v>4</v>
      </c>
      <c r="G1995" t="str">
        <f>""</f>
        <v/>
      </c>
    </row>
    <row r="1996" spans="1:7" x14ac:dyDescent="0.25">
      <c r="A1996" t="s">
        <v>8</v>
      </c>
      <c r="B1996" s="1" t="str">
        <f>"000184014 - CKI RICH"</f>
        <v>000184014 - CKI RICH</v>
      </c>
      <c r="C1996" t="s">
        <v>1162</v>
      </c>
      <c r="D1996" s="1" t="str">
        <f t="shared" ref="D1996:D2002" si="56">"PRG-1018568"</f>
        <v>PRG-1018568</v>
      </c>
      <c r="E1996" t="s">
        <v>1163</v>
      </c>
      <c r="F1996" t="s">
        <v>4</v>
      </c>
      <c r="G1996" t="str">
        <f>""</f>
        <v/>
      </c>
    </row>
    <row r="1997" spans="1:7" x14ac:dyDescent="0.25">
      <c r="A1997" t="s">
        <v>8</v>
      </c>
      <c r="B1997" s="1" t="str">
        <f>"000192795 - RICH PRODUCTS COUNTRY KITCHEN"</f>
        <v>000192795 - RICH PRODUCTS COUNTRY KITCHEN</v>
      </c>
      <c r="C1997" t="s">
        <v>1227</v>
      </c>
      <c r="D1997" s="1" t="str">
        <f t="shared" si="56"/>
        <v>PRG-1018568</v>
      </c>
      <c r="E1997" t="s">
        <v>1163</v>
      </c>
      <c r="F1997" t="s">
        <v>4</v>
      </c>
      <c r="G1997" t="str">
        <f>""</f>
        <v/>
      </c>
    </row>
    <row r="1998" spans="1:7" x14ac:dyDescent="0.25">
      <c r="A1998" t="s">
        <v>8</v>
      </c>
      <c r="B1998" s="1" t="str">
        <f>"000205691 - RICH FOODS COUNTRY KITCHEN"</f>
        <v>000205691 - RICH FOODS COUNTRY KITCHEN</v>
      </c>
      <c r="C1998" t="s">
        <v>1362</v>
      </c>
      <c r="D1998" s="1" t="str">
        <f t="shared" si="56"/>
        <v>PRG-1018568</v>
      </c>
      <c r="E1998" t="s">
        <v>1163</v>
      </c>
      <c r="F1998" t="s">
        <v>4</v>
      </c>
      <c r="G1998" t="str">
        <f>""</f>
        <v/>
      </c>
    </row>
    <row r="1999" spans="1:7" x14ac:dyDescent="0.25">
      <c r="A1999" t="s">
        <v>8</v>
      </c>
      <c r="B1999" s="1" t="str">
        <f>"000213803 - RICH FOODS-CKI"</f>
        <v>000213803 - RICH FOODS-CKI</v>
      </c>
      <c r="C1999" t="s">
        <v>1482</v>
      </c>
      <c r="D1999" s="1" t="str">
        <f t="shared" si="56"/>
        <v>PRG-1018568</v>
      </c>
      <c r="E1999" t="s">
        <v>1163</v>
      </c>
      <c r="F1999" t="s">
        <v>4</v>
      </c>
      <c r="G1999" t="str">
        <f>""</f>
        <v/>
      </c>
    </row>
    <row r="2000" spans="1:7" x14ac:dyDescent="0.25">
      <c r="A2000" t="s">
        <v>8</v>
      </c>
      <c r="B2000" s="1" t="str">
        <f>"000244717 - RICH FOOD-CNTRY KIT"</f>
        <v>000244717 - RICH FOOD-CNTRY KIT</v>
      </c>
      <c r="C2000" t="s">
        <v>1989</v>
      </c>
      <c r="D2000" s="1" t="str">
        <f t="shared" si="56"/>
        <v>PRG-1018568</v>
      </c>
      <c r="E2000" t="s">
        <v>1163</v>
      </c>
      <c r="F2000" t="s">
        <v>4</v>
      </c>
      <c r="G2000" t="str">
        <f>""</f>
        <v/>
      </c>
    </row>
    <row r="2001" spans="1:7" x14ac:dyDescent="0.25">
      <c r="A2001" t="s">
        <v>8</v>
      </c>
      <c r="B2001" s="1" t="str">
        <f>"000261639 - RICH-COUNTRY KITCHEN"</f>
        <v>000261639 - RICH-COUNTRY KITCHEN</v>
      </c>
      <c r="C2001" t="s">
        <v>2291</v>
      </c>
      <c r="D2001" s="1" t="str">
        <f t="shared" si="56"/>
        <v>PRG-1018568</v>
      </c>
      <c r="E2001" t="s">
        <v>1163</v>
      </c>
      <c r="F2001" t="s">
        <v>4</v>
      </c>
      <c r="G2001" t="str">
        <f>""</f>
        <v/>
      </c>
    </row>
    <row r="2002" spans="1:7" x14ac:dyDescent="0.25">
      <c r="A2002" t="s">
        <v>8</v>
      </c>
      <c r="B2002" s="1" t="str">
        <f>"000264527 - RICH'S COUNTRY KITCHEN"</f>
        <v>000264527 - RICH'S COUNTRY KITCHEN</v>
      </c>
      <c r="C2002" t="s">
        <v>958</v>
      </c>
      <c r="D2002" s="1" t="str">
        <f t="shared" si="56"/>
        <v>PRG-1018568</v>
      </c>
      <c r="E2002" t="s">
        <v>1163</v>
      </c>
      <c r="F2002" t="s">
        <v>4</v>
      </c>
      <c r="G2002" t="str">
        <f>""</f>
        <v/>
      </c>
    </row>
    <row r="2003" spans="1:7" x14ac:dyDescent="0.25">
      <c r="A2003" t="s">
        <v>8</v>
      </c>
      <c r="B2003" s="1" t="str">
        <f>"2370H145"</f>
        <v>2370H145</v>
      </c>
      <c r="C2003" t="s">
        <v>4567</v>
      </c>
      <c r="D2003" s="1" t="str">
        <f>"PRG-1018604"</f>
        <v>PRG-1018604</v>
      </c>
      <c r="E2003" t="s">
        <v>4567</v>
      </c>
      <c r="F2003" t="s">
        <v>5</v>
      </c>
      <c r="G2003" t="str">
        <f>""</f>
        <v/>
      </c>
    </row>
    <row r="2004" spans="1:7" x14ac:dyDescent="0.25">
      <c r="A2004" t="s">
        <v>8</v>
      </c>
      <c r="B2004" s="1" t="str">
        <f>"000264303 - RICH'S WEAVERS"</f>
        <v>000264303 - RICH'S WEAVERS</v>
      </c>
      <c r="C2004" t="s">
        <v>2358</v>
      </c>
      <c r="D2004" s="1" t="str">
        <f>"PRG-1018698"</f>
        <v>PRG-1018698</v>
      </c>
      <c r="E2004" t="s">
        <v>2359</v>
      </c>
      <c r="F2004" t="s">
        <v>4</v>
      </c>
      <c r="G2004" t="str">
        <f>""</f>
        <v/>
      </c>
    </row>
    <row r="2005" spans="1:7" x14ac:dyDescent="0.25">
      <c r="A2005" t="s">
        <v>8</v>
      </c>
      <c r="B2005" s="1" t="str">
        <f>"2330A733"</f>
        <v>2330A733</v>
      </c>
      <c r="C2005" t="s">
        <v>4489</v>
      </c>
      <c r="D2005" s="1" t="str">
        <f>"PRG-1018804"</f>
        <v>PRG-1018804</v>
      </c>
      <c r="E2005" t="s">
        <v>4490</v>
      </c>
      <c r="F2005" t="s">
        <v>5</v>
      </c>
      <c r="G2005" t="str">
        <f>""</f>
        <v/>
      </c>
    </row>
    <row r="2006" spans="1:7" x14ac:dyDescent="0.25">
      <c r="A2006" t="s">
        <v>8</v>
      </c>
      <c r="B2006" s="1" t="str">
        <f>"000117700 - RICHS - RUTH CHRIS"</f>
        <v>000117700 - RICHS - RUTH CHRIS</v>
      </c>
      <c r="C2006" t="s">
        <v>871</v>
      </c>
      <c r="D2006" s="1" t="str">
        <f t="shared" ref="D2006:D2011" si="57">"PRG-1018826"</f>
        <v>PRG-1018826</v>
      </c>
      <c r="E2006" t="s">
        <v>872</v>
      </c>
      <c r="F2006" t="s">
        <v>4</v>
      </c>
      <c r="G2006" t="str">
        <f>""</f>
        <v/>
      </c>
    </row>
    <row r="2007" spans="1:7" x14ac:dyDescent="0.25">
      <c r="A2007" t="s">
        <v>8</v>
      </c>
      <c r="B2007" s="1" t="str">
        <f>"000239244 - RICH RUTH'S CHRIS"</f>
        <v>000239244 - RICH RUTH'S CHRIS</v>
      </c>
      <c r="C2007" t="s">
        <v>1891</v>
      </c>
      <c r="D2007" s="1" t="str">
        <f t="shared" si="57"/>
        <v>PRG-1018826</v>
      </c>
      <c r="E2007" t="s">
        <v>872</v>
      </c>
      <c r="F2007" t="s">
        <v>4</v>
      </c>
      <c r="G2007" t="str">
        <f>""</f>
        <v/>
      </c>
    </row>
    <row r="2008" spans="1:7" x14ac:dyDescent="0.25">
      <c r="A2008" t="s">
        <v>8</v>
      </c>
      <c r="B2008" s="1" t="str">
        <f>"000248398 - RUTH CHRIS  RICH FOODS RICH PR"</f>
        <v>000248398 - RUTH CHRIS  RICH FOODS RICH PR</v>
      </c>
      <c r="C2008" t="s">
        <v>2045</v>
      </c>
      <c r="D2008" s="1" t="str">
        <f t="shared" si="57"/>
        <v>PRG-1018826</v>
      </c>
      <c r="E2008" t="s">
        <v>872</v>
      </c>
      <c r="F2008" t="s">
        <v>4</v>
      </c>
      <c r="G2008" t="str">
        <f>""</f>
        <v/>
      </c>
    </row>
    <row r="2009" spans="1:7" x14ac:dyDescent="0.25">
      <c r="A2009" t="s">
        <v>8</v>
      </c>
      <c r="B2009" s="1" t="str">
        <f>"000304847 - RUTH CHRIS RICHS"</f>
        <v>000304847 - RUTH CHRIS RICHS</v>
      </c>
      <c r="C2009" t="s">
        <v>3030</v>
      </c>
      <c r="D2009" s="1" t="str">
        <f t="shared" si="57"/>
        <v>PRG-1018826</v>
      </c>
      <c r="E2009" t="s">
        <v>872</v>
      </c>
      <c r="F2009" t="s">
        <v>4</v>
      </c>
      <c r="G2009" t="str">
        <f>""</f>
        <v/>
      </c>
    </row>
    <row r="2010" spans="1:7" x14ac:dyDescent="0.25">
      <c r="A2010" t="s">
        <v>8</v>
      </c>
      <c r="B2010" s="1" t="str">
        <f>"000306764 - RICH FOODS-RUTH CHRIS"</f>
        <v>000306764 - RICH FOODS-RUTH CHRIS</v>
      </c>
      <c r="C2010" t="s">
        <v>3049</v>
      </c>
      <c r="D2010" s="1" t="str">
        <f t="shared" si="57"/>
        <v>PRG-1018826</v>
      </c>
      <c r="E2010" t="s">
        <v>872</v>
      </c>
      <c r="F2010" t="s">
        <v>4</v>
      </c>
      <c r="G2010" t="str">
        <f>""</f>
        <v/>
      </c>
    </row>
    <row r="2011" spans="1:7" x14ac:dyDescent="0.25">
      <c r="A2011" t="s">
        <v>8</v>
      </c>
      <c r="B2011" s="1" t="str">
        <f>"000310320 - RUTH CHRIS RICHS NON CORE"</f>
        <v>000310320 - RUTH CHRIS RICHS NON CORE</v>
      </c>
      <c r="C2011" t="s">
        <v>3105</v>
      </c>
      <c r="D2011" s="1" t="str">
        <f t="shared" si="57"/>
        <v>PRG-1018826</v>
      </c>
      <c r="E2011" t="s">
        <v>872</v>
      </c>
      <c r="F2011" t="s">
        <v>4</v>
      </c>
      <c r="G2011" t="str">
        <f>""</f>
        <v/>
      </c>
    </row>
    <row r="2012" spans="1:7" x14ac:dyDescent="0.25">
      <c r="A2012" t="s">
        <v>8</v>
      </c>
      <c r="B2012" s="1" t="str">
        <f>"000024038 - RICH FOODS GLACIER"</f>
        <v>000024038 - RICH FOODS GLACIER</v>
      </c>
      <c r="C2012" t="s">
        <v>433</v>
      </c>
      <c r="D2012" s="1" t="str">
        <f t="shared" ref="D2012:D2059" si="58">"PRG-1018891"</f>
        <v>PRG-1018891</v>
      </c>
      <c r="E2012" t="s">
        <v>434</v>
      </c>
      <c r="F2012" t="s">
        <v>4</v>
      </c>
      <c r="G2012" t="str">
        <f>""</f>
        <v/>
      </c>
    </row>
    <row r="2013" spans="1:7" x14ac:dyDescent="0.25">
      <c r="A2013" t="s">
        <v>8</v>
      </c>
      <c r="B2013" s="1" t="str">
        <f>"000038180 - RICH FOODS GLACIER"</f>
        <v>000038180 - RICH FOODS GLACIER</v>
      </c>
      <c r="C2013" t="s">
        <v>433</v>
      </c>
      <c r="D2013" s="1" t="str">
        <f t="shared" si="58"/>
        <v>PRG-1018891</v>
      </c>
      <c r="E2013" t="s">
        <v>434</v>
      </c>
      <c r="F2013" t="s">
        <v>4</v>
      </c>
      <c r="G2013" t="str">
        <f>""</f>
        <v/>
      </c>
    </row>
    <row r="2014" spans="1:7" x14ac:dyDescent="0.25">
      <c r="A2014" t="s">
        <v>8</v>
      </c>
      <c r="B2014" s="1" t="str">
        <f>"000114656 - RICH PRODUCTS GLACIER"</f>
        <v>000114656 - RICH PRODUCTS GLACIER</v>
      </c>
      <c r="C2014" t="s">
        <v>856</v>
      </c>
      <c r="D2014" s="1" t="str">
        <f t="shared" si="58"/>
        <v>PRG-1018891</v>
      </c>
      <c r="E2014" t="s">
        <v>434</v>
      </c>
      <c r="F2014" t="s">
        <v>4</v>
      </c>
      <c r="G2014" t="str">
        <f>""</f>
        <v/>
      </c>
    </row>
    <row r="2015" spans="1:7" x14ac:dyDescent="0.25">
      <c r="A2015" t="s">
        <v>8</v>
      </c>
      <c r="B2015" s="1" t="str">
        <f>"000138130 - RICH PRODUCTS GLACIER"</f>
        <v>000138130 - RICH PRODUCTS GLACIER</v>
      </c>
      <c r="C2015" t="s">
        <v>856</v>
      </c>
      <c r="D2015" s="1" t="str">
        <f t="shared" si="58"/>
        <v>PRG-1018891</v>
      </c>
      <c r="E2015" t="s">
        <v>434</v>
      </c>
      <c r="F2015" t="s">
        <v>4</v>
      </c>
      <c r="G2015" t="str">
        <f>""</f>
        <v/>
      </c>
    </row>
    <row r="2016" spans="1:7" x14ac:dyDescent="0.25">
      <c r="A2016" t="s">
        <v>8</v>
      </c>
      <c r="B2016" s="1" t="str">
        <f>"000139287 - "</f>
        <v xml:space="preserve">000139287 - </v>
      </c>
      <c r="D2016" s="1" t="str">
        <f t="shared" si="58"/>
        <v>PRG-1018891</v>
      </c>
      <c r="E2016" t="s">
        <v>434</v>
      </c>
      <c r="F2016" t="s">
        <v>4</v>
      </c>
      <c r="G2016" t="str">
        <f>""</f>
        <v/>
      </c>
    </row>
    <row r="2017" spans="1:7" x14ac:dyDescent="0.25">
      <c r="A2017" t="s">
        <v>8</v>
      </c>
      <c r="B2017" s="1" t="str">
        <f>"000146190 - "</f>
        <v xml:space="preserve">000146190 - </v>
      </c>
      <c r="D2017" s="1" t="str">
        <f t="shared" si="58"/>
        <v>PRG-1018891</v>
      </c>
      <c r="E2017" t="s">
        <v>434</v>
      </c>
      <c r="F2017" t="s">
        <v>4</v>
      </c>
      <c r="G2017" t="str">
        <f>""</f>
        <v/>
      </c>
    </row>
    <row r="2018" spans="1:7" x14ac:dyDescent="0.25">
      <c r="A2018" t="s">
        <v>8</v>
      </c>
      <c r="B2018" s="1" t="str">
        <f>"000150690 - "</f>
        <v xml:space="preserve">000150690 - </v>
      </c>
      <c r="D2018" s="1" t="str">
        <f t="shared" si="58"/>
        <v>PRG-1018891</v>
      </c>
      <c r="E2018" t="s">
        <v>434</v>
      </c>
      <c r="F2018" t="s">
        <v>4</v>
      </c>
      <c r="G2018" t="str">
        <f>""</f>
        <v/>
      </c>
    </row>
    <row r="2019" spans="1:7" x14ac:dyDescent="0.25">
      <c r="A2019" t="s">
        <v>8</v>
      </c>
      <c r="B2019" s="1" t="str">
        <f>"000153715 - "</f>
        <v xml:space="preserve">000153715 - </v>
      </c>
      <c r="D2019" s="1" t="str">
        <f t="shared" si="58"/>
        <v>PRG-1018891</v>
      </c>
      <c r="E2019" t="s">
        <v>434</v>
      </c>
      <c r="F2019" t="s">
        <v>4</v>
      </c>
      <c r="G2019" t="str">
        <f>""</f>
        <v/>
      </c>
    </row>
    <row r="2020" spans="1:7" x14ac:dyDescent="0.25">
      <c r="A2020" t="s">
        <v>8</v>
      </c>
      <c r="B2020" s="1" t="str">
        <f>"000155440 - "</f>
        <v xml:space="preserve">000155440 - </v>
      </c>
      <c r="D2020" s="1" t="str">
        <f t="shared" si="58"/>
        <v>PRG-1018891</v>
      </c>
      <c r="E2020" t="s">
        <v>434</v>
      </c>
      <c r="F2020" t="s">
        <v>4</v>
      </c>
      <c r="G2020" t="str">
        <f>""</f>
        <v/>
      </c>
    </row>
    <row r="2021" spans="1:7" x14ac:dyDescent="0.25">
      <c r="A2021" t="s">
        <v>8</v>
      </c>
      <c r="B2021" s="1" t="str">
        <f>"000155508 - "</f>
        <v xml:space="preserve">000155508 - </v>
      </c>
      <c r="D2021" s="1" t="str">
        <f t="shared" si="58"/>
        <v>PRG-1018891</v>
      </c>
      <c r="E2021" t="s">
        <v>434</v>
      </c>
      <c r="F2021" t="s">
        <v>4</v>
      </c>
      <c r="G2021" t="str">
        <f>""</f>
        <v/>
      </c>
    </row>
    <row r="2022" spans="1:7" x14ac:dyDescent="0.25">
      <c r="A2022" t="s">
        <v>8</v>
      </c>
      <c r="B2022" s="1" t="str">
        <f>"000157343 - "</f>
        <v xml:space="preserve">000157343 - </v>
      </c>
      <c r="D2022" s="1" t="str">
        <f t="shared" si="58"/>
        <v>PRG-1018891</v>
      </c>
      <c r="E2022" t="s">
        <v>434</v>
      </c>
      <c r="F2022" t="s">
        <v>4</v>
      </c>
      <c r="G2022" t="str">
        <f>""</f>
        <v/>
      </c>
    </row>
    <row r="2023" spans="1:7" x14ac:dyDescent="0.25">
      <c r="A2023" t="s">
        <v>8</v>
      </c>
      <c r="B2023" s="1" t="str">
        <f>"000160559 - "</f>
        <v xml:space="preserve">000160559 - </v>
      </c>
      <c r="D2023" s="1" t="str">
        <f t="shared" si="58"/>
        <v>PRG-1018891</v>
      </c>
      <c r="E2023" t="s">
        <v>434</v>
      </c>
      <c r="F2023" t="s">
        <v>4</v>
      </c>
      <c r="G2023" t="str">
        <f>""</f>
        <v/>
      </c>
    </row>
    <row r="2024" spans="1:7" x14ac:dyDescent="0.25">
      <c r="A2024" t="s">
        <v>8</v>
      </c>
      <c r="B2024" s="1" t="str">
        <f>"000160835 - "</f>
        <v xml:space="preserve">000160835 - </v>
      </c>
      <c r="D2024" s="1" t="str">
        <f t="shared" si="58"/>
        <v>PRG-1018891</v>
      </c>
      <c r="E2024" t="s">
        <v>434</v>
      </c>
      <c r="F2024" t="s">
        <v>4</v>
      </c>
      <c r="G2024" t="str">
        <f>""</f>
        <v/>
      </c>
    </row>
    <row r="2025" spans="1:7" x14ac:dyDescent="0.25">
      <c r="A2025" t="s">
        <v>8</v>
      </c>
      <c r="B2025" s="1" t="str">
        <f>"000175090 - RICH FOODS GLACIER"</f>
        <v>000175090 - RICH FOODS GLACIER</v>
      </c>
      <c r="C2025" t="s">
        <v>433</v>
      </c>
      <c r="D2025" s="1" t="str">
        <f t="shared" si="58"/>
        <v>PRG-1018891</v>
      </c>
      <c r="E2025" t="s">
        <v>434</v>
      </c>
      <c r="F2025" t="s">
        <v>4</v>
      </c>
      <c r="G2025" t="str">
        <f>""</f>
        <v/>
      </c>
    </row>
    <row r="2026" spans="1:7" x14ac:dyDescent="0.25">
      <c r="A2026" t="s">
        <v>8</v>
      </c>
      <c r="B2026" s="1" t="str">
        <f>"000211361 - RICH PROD GLACIER RST GRP"</f>
        <v>000211361 - RICH PROD GLACIER RST GRP</v>
      </c>
      <c r="C2026" t="s">
        <v>1448</v>
      </c>
      <c r="D2026" s="1" t="str">
        <f t="shared" si="58"/>
        <v>PRG-1018891</v>
      </c>
      <c r="E2026" t="s">
        <v>434</v>
      </c>
      <c r="F2026" t="s">
        <v>4</v>
      </c>
      <c r="G2026" t="str">
        <f>""</f>
        <v/>
      </c>
    </row>
    <row r="2027" spans="1:7" x14ac:dyDescent="0.25">
      <c r="A2027" t="s">
        <v>8</v>
      </c>
      <c r="B2027" s="1" t="str">
        <f>"000233727 - RICH FOODS GLACIER"</f>
        <v>000233727 - RICH FOODS GLACIER</v>
      </c>
      <c r="C2027" t="s">
        <v>433</v>
      </c>
      <c r="D2027" s="1" t="str">
        <f t="shared" si="58"/>
        <v>PRG-1018891</v>
      </c>
      <c r="E2027" t="s">
        <v>434</v>
      </c>
      <c r="F2027" t="s">
        <v>4</v>
      </c>
      <c r="G2027" t="str">
        <f>""</f>
        <v/>
      </c>
    </row>
    <row r="2028" spans="1:7" x14ac:dyDescent="0.25">
      <c r="A2028" t="s">
        <v>8</v>
      </c>
      <c r="B2028" s="1" t="str">
        <f>"000234166 - BB GLACIER FOB RICHS"</f>
        <v>000234166 - BB GLACIER FOB RICHS</v>
      </c>
      <c r="C2028" t="s">
        <v>1818</v>
      </c>
      <c r="D2028" s="1" t="str">
        <f t="shared" si="58"/>
        <v>PRG-1018891</v>
      </c>
      <c r="E2028" t="s">
        <v>434</v>
      </c>
      <c r="F2028" t="s">
        <v>4</v>
      </c>
      <c r="G2028" t="str">
        <f>""</f>
        <v/>
      </c>
    </row>
    <row r="2029" spans="1:7" x14ac:dyDescent="0.25">
      <c r="A2029" t="s">
        <v>8</v>
      </c>
      <c r="B2029" s="1" t="str">
        <f>"000236565 - CASA DIBERTACCHI-MAIN ARAMARK"</f>
        <v>000236565 - CASA DIBERTACCHI-MAIN ARAMARK</v>
      </c>
      <c r="C2029" t="s">
        <v>148</v>
      </c>
      <c r="D2029" s="1" t="str">
        <f t="shared" si="58"/>
        <v>PRG-1018891</v>
      </c>
      <c r="E2029" t="s">
        <v>434</v>
      </c>
      <c r="F2029" t="s">
        <v>4</v>
      </c>
      <c r="G2029" t="str">
        <f>""</f>
        <v/>
      </c>
    </row>
    <row r="2030" spans="1:7" x14ac:dyDescent="0.25">
      <c r="A2030" t="s">
        <v>8</v>
      </c>
      <c r="B2030" s="1" t="str">
        <f>"000239643 - RICH PROD GLACIER RST GRP"</f>
        <v>000239643 - RICH PROD GLACIER RST GRP</v>
      </c>
      <c r="C2030" t="s">
        <v>1448</v>
      </c>
      <c r="D2030" s="1" t="str">
        <f t="shared" si="58"/>
        <v>PRG-1018891</v>
      </c>
      <c r="E2030" t="s">
        <v>434</v>
      </c>
      <c r="F2030" t="s">
        <v>4</v>
      </c>
      <c r="G2030" t="str">
        <f>""</f>
        <v/>
      </c>
    </row>
    <row r="2031" spans="1:7" x14ac:dyDescent="0.25">
      <c r="A2031" t="s">
        <v>8</v>
      </c>
      <c r="B2031" s="1" t="str">
        <f>"000240146 - RICH FOODS GLACIER"</f>
        <v>000240146 - RICH FOODS GLACIER</v>
      </c>
      <c r="C2031" t="s">
        <v>433</v>
      </c>
      <c r="D2031" s="1" t="str">
        <f t="shared" si="58"/>
        <v>PRG-1018891</v>
      </c>
      <c r="E2031" t="s">
        <v>434</v>
      </c>
      <c r="F2031" t="s">
        <v>4</v>
      </c>
      <c r="G2031" t="str">
        <f>""</f>
        <v/>
      </c>
    </row>
    <row r="2032" spans="1:7" x14ac:dyDescent="0.25">
      <c r="A2032" t="s">
        <v>8</v>
      </c>
      <c r="B2032" s="1" t="str">
        <f>"000243101 - RICH FOODS GLACIER"</f>
        <v>000243101 - RICH FOODS GLACIER</v>
      </c>
      <c r="C2032" t="s">
        <v>433</v>
      </c>
      <c r="D2032" s="1" t="str">
        <f t="shared" si="58"/>
        <v>PRG-1018891</v>
      </c>
      <c r="E2032" t="s">
        <v>434</v>
      </c>
      <c r="F2032" t="s">
        <v>4</v>
      </c>
      <c r="G2032" t="str">
        <f>""</f>
        <v/>
      </c>
    </row>
    <row r="2033" spans="1:7" x14ac:dyDescent="0.25">
      <c r="A2033" t="s">
        <v>8</v>
      </c>
      <c r="B2033" s="1" t="str">
        <f>"000243748 - RICH FOODS GLACIER"</f>
        <v>000243748 - RICH FOODS GLACIER</v>
      </c>
      <c r="C2033" t="s">
        <v>433</v>
      </c>
      <c r="D2033" s="1" t="str">
        <f t="shared" si="58"/>
        <v>PRG-1018891</v>
      </c>
      <c r="E2033" t="s">
        <v>434</v>
      </c>
      <c r="F2033" t="s">
        <v>4</v>
      </c>
      <c r="G2033" t="str">
        <f>""</f>
        <v/>
      </c>
    </row>
    <row r="2034" spans="1:7" x14ac:dyDescent="0.25">
      <c r="A2034" t="s">
        <v>8</v>
      </c>
      <c r="B2034" s="1" t="str">
        <f>"000243776 - GLACIER DPM RICHS"</f>
        <v>000243776 - GLACIER DPM RICHS</v>
      </c>
      <c r="C2034" t="s">
        <v>1960</v>
      </c>
      <c r="D2034" s="1" t="str">
        <f t="shared" si="58"/>
        <v>PRG-1018891</v>
      </c>
      <c r="E2034" t="s">
        <v>434</v>
      </c>
      <c r="F2034" t="s">
        <v>4</v>
      </c>
      <c r="G2034" t="str">
        <f>""</f>
        <v/>
      </c>
    </row>
    <row r="2035" spans="1:7" x14ac:dyDescent="0.25">
      <c r="A2035" t="s">
        <v>8</v>
      </c>
      <c r="B2035" s="1" t="str">
        <f>"000245387 - RICH FOODS GLACIER"</f>
        <v>000245387 - RICH FOODS GLACIER</v>
      </c>
      <c r="C2035" t="s">
        <v>433</v>
      </c>
      <c r="D2035" s="1" t="str">
        <f t="shared" si="58"/>
        <v>PRG-1018891</v>
      </c>
      <c r="E2035" t="s">
        <v>434</v>
      </c>
      <c r="F2035" t="s">
        <v>4</v>
      </c>
      <c r="G2035" t="str">
        <f>""</f>
        <v/>
      </c>
    </row>
    <row r="2036" spans="1:7" x14ac:dyDescent="0.25">
      <c r="A2036" t="s">
        <v>8</v>
      </c>
      <c r="B2036" s="1" t="str">
        <f>"000247658 - RICH FOODS GLACIER"</f>
        <v>000247658 - RICH FOODS GLACIER</v>
      </c>
      <c r="C2036" t="s">
        <v>433</v>
      </c>
      <c r="D2036" s="1" t="str">
        <f t="shared" si="58"/>
        <v>PRG-1018891</v>
      </c>
      <c r="E2036" t="s">
        <v>434</v>
      </c>
      <c r="F2036" t="s">
        <v>4</v>
      </c>
      <c r="G2036" t="str">
        <f>""</f>
        <v/>
      </c>
    </row>
    <row r="2037" spans="1:7" x14ac:dyDescent="0.25">
      <c r="A2037" t="s">
        <v>8</v>
      </c>
      <c r="B2037" s="1" t="str">
        <f>"000249550 - "</f>
        <v xml:space="preserve">000249550 - </v>
      </c>
      <c r="D2037" s="1" t="str">
        <f t="shared" si="58"/>
        <v>PRG-1018891</v>
      </c>
      <c r="E2037" t="s">
        <v>434</v>
      </c>
      <c r="F2037" t="s">
        <v>4</v>
      </c>
      <c r="G2037" t="str">
        <f>""</f>
        <v/>
      </c>
    </row>
    <row r="2038" spans="1:7" x14ac:dyDescent="0.25">
      <c r="A2038" t="s">
        <v>8</v>
      </c>
      <c r="B2038" s="1" t="str">
        <f>"000251931 - RICH FOODS GLACIER"</f>
        <v>000251931 - RICH FOODS GLACIER</v>
      </c>
      <c r="C2038" t="s">
        <v>433</v>
      </c>
      <c r="D2038" s="1" t="str">
        <f t="shared" si="58"/>
        <v>PRG-1018891</v>
      </c>
      <c r="E2038" t="s">
        <v>434</v>
      </c>
      <c r="F2038" t="s">
        <v>4</v>
      </c>
      <c r="G2038" t="str">
        <f>""</f>
        <v/>
      </c>
    </row>
    <row r="2039" spans="1:7" x14ac:dyDescent="0.25">
      <c r="A2039" t="s">
        <v>8</v>
      </c>
      <c r="B2039" s="1" t="str">
        <f>"000259583 - "</f>
        <v xml:space="preserve">000259583 - </v>
      </c>
      <c r="D2039" s="1" t="str">
        <f t="shared" si="58"/>
        <v>PRG-1018891</v>
      </c>
      <c r="E2039" t="s">
        <v>434</v>
      </c>
      <c r="F2039" t="s">
        <v>4</v>
      </c>
      <c r="G2039" t="str">
        <f>""</f>
        <v/>
      </c>
    </row>
    <row r="2040" spans="1:7" x14ac:dyDescent="0.25">
      <c r="A2040" t="s">
        <v>8</v>
      </c>
      <c r="B2040" s="1" t="str">
        <f>"000261966 - "</f>
        <v xml:space="preserve">000261966 - </v>
      </c>
      <c r="D2040" s="1" t="str">
        <f t="shared" si="58"/>
        <v>PRG-1018891</v>
      </c>
      <c r="E2040" t="s">
        <v>434</v>
      </c>
      <c r="F2040" t="s">
        <v>4</v>
      </c>
      <c r="G2040" t="str">
        <f>""</f>
        <v/>
      </c>
    </row>
    <row r="2041" spans="1:7" x14ac:dyDescent="0.25">
      <c r="A2041" t="s">
        <v>8</v>
      </c>
      <c r="B2041" s="1" t="str">
        <f>"000264171 - "</f>
        <v xml:space="preserve">000264171 - </v>
      </c>
      <c r="D2041" s="1" t="str">
        <f t="shared" si="58"/>
        <v>PRG-1018891</v>
      </c>
      <c r="E2041" t="s">
        <v>434</v>
      </c>
      <c r="F2041" t="s">
        <v>4</v>
      </c>
      <c r="G2041" t="str">
        <f>""</f>
        <v/>
      </c>
    </row>
    <row r="2042" spans="1:7" x14ac:dyDescent="0.25">
      <c r="A2042" t="s">
        <v>8</v>
      </c>
      <c r="B2042" s="1" t="str">
        <f>"000264636 - RICH FOODS GLACIER"</f>
        <v>000264636 - RICH FOODS GLACIER</v>
      </c>
      <c r="C2042" t="s">
        <v>433</v>
      </c>
      <c r="D2042" s="1" t="str">
        <f t="shared" si="58"/>
        <v>PRG-1018891</v>
      </c>
      <c r="E2042" t="s">
        <v>434</v>
      </c>
      <c r="F2042" t="s">
        <v>4</v>
      </c>
      <c r="G2042" t="str">
        <f>""</f>
        <v/>
      </c>
    </row>
    <row r="2043" spans="1:7" x14ac:dyDescent="0.25">
      <c r="A2043" t="s">
        <v>8</v>
      </c>
      <c r="B2043" s="1" t="str">
        <f>"000265043 - "</f>
        <v xml:space="preserve">000265043 - </v>
      </c>
      <c r="D2043" s="1" t="str">
        <f t="shared" si="58"/>
        <v>PRG-1018891</v>
      </c>
      <c r="E2043" t="s">
        <v>434</v>
      </c>
      <c r="F2043" t="s">
        <v>4</v>
      </c>
      <c r="G2043" t="str">
        <f>""</f>
        <v/>
      </c>
    </row>
    <row r="2044" spans="1:7" x14ac:dyDescent="0.25">
      <c r="A2044" t="s">
        <v>8</v>
      </c>
      <c r="B2044" s="1" t="str">
        <f>"000265070 - RICH FOODS GLACIER"</f>
        <v>000265070 - RICH FOODS GLACIER</v>
      </c>
      <c r="C2044" t="s">
        <v>433</v>
      </c>
      <c r="D2044" s="1" t="str">
        <f t="shared" si="58"/>
        <v>PRG-1018891</v>
      </c>
      <c r="E2044" t="s">
        <v>434</v>
      </c>
      <c r="F2044" t="s">
        <v>4</v>
      </c>
      <c r="G2044" t="str">
        <f>""</f>
        <v/>
      </c>
    </row>
    <row r="2045" spans="1:7" x14ac:dyDescent="0.25">
      <c r="A2045" t="s">
        <v>8</v>
      </c>
      <c r="B2045" s="1" t="str">
        <f>"000267660 - RICH FOODS GLACIER"</f>
        <v>000267660 - RICH FOODS GLACIER</v>
      </c>
      <c r="C2045" t="s">
        <v>433</v>
      </c>
      <c r="D2045" s="1" t="str">
        <f t="shared" si="58"/>
        <v>PRG-1018891</v>
      </c>
      <c r="E2045" t="s">
        <v>434</v>
      </c>
      <c r="F2045" t="s">
        <v>4</v>
      </c>
      <c r="G2045" t="str">
        <f>""</f>
        <v/>
      </c>
    </row>
    <row r="2046" spans="1:7" x14ac:dyDescent="0.25">
      <c r="A2046" t="s">
        <v>8</v>
      </c>
      <c r="B2046" s="1" t="str">
        <f>"000268315 - RICH FOODS GLACIER"</f>
        <v>000268315 - RICH FOODS GLACIER</v>
      </c>
      <c r="C2046" t="s">
        <v>433</v>
      </c>
      <c r="D2046" s="1" t="str">
        <f t="shared" si="58"/>
        <v>PRG-1018891</v>
      </c>
      <c r="E2046" t="s">
        <v>434</v>
      </c>
      <c r="F2046" t="s">
        <v>4</v>
      </c>
      <c r="G2046" t="str">
        <f>""</f>
        <v/>
      </c>
    </row>
    <row r="2047" spans="1:7" x14ac:dyDescent="0.25">
      <c r="A2047" t="s">
        <v>8</v>
      </c>
      <c r="B2047" s="1" t="str">
        <f>"000268387 - "</f>
        <v xml:space="preserve">000268387 - </v>
      </c>
      <c r="D2047" s="1" t="str">
        <f t="shared" si="58"/>
        <v>PRG-1018891</v>
      </c>
      <c r="E2047" t="s">
        <v>434</v>
      </c>
      <c r="F2047" t="s">
        <v>4</v>
      </c>
      <c r="G2047" t="str">
        <f>""</f>
        <v/>
      </c>
    </row>
    <row r="2048" spans="1:7" x14ac:dyDescent="0.25">
      <c r="A2048" t="s">
        <v>8</v>
      </c>
      <c r="B2048" s="1" t="str">
        <f>"000268554 - "</f>
        <v xml:space="preserve">000268554 - </v>
      </c>
      <c r="D2048" s="1" t="str">
        <f t="shared" si="58"/>
        <v>PRG-1018891</v>
      </c>
      <c r="E2048" t="s">
        <v>434</v>
      </c>
      <c r="F2048" t="s">
        <v>4</v>
      </c>
      <c r="G2048" t="str">
        <f>""</f>
        <v/>
      </c>
    </row>
    <row r="2049" spans="1:7" x14ac:dyDescent="0.25">
      <c r="A2049" t="s">
        <v>8</v>
      </c>
      <c r="B2049" s="1" t="str">
        <f>"000270148 - RICH FOODS GLACIER"</f>
        <v>000270148 - RICH FOODS GLACIER</v>
      </c>
      <c r="C2049" t="s">
        <v>433</v>
      </c>
      <c r="D2049" s="1" t="str">
        <f t="shared" si="58"/>
        <v>PRG-1018891</v>
      </c>
      <c r="E2049" t="s">
        <v>434</v>
      </c>
      <c r="F2049" t="s">
        <v>4</v>
      </c>
      <c r="G2049" t="str">
        <f>""</f>
        <v/>
      </c>
    </row>
    <row r="2050" spans="1:7" x14ac:dyDescent="0.25">
      <c r="A2050" t="s">
        <v>8</v>
      </c>
      <c r="B2050" s="1" t="str">
        <f>"000271437 - RICH FOODS GLACIER"</f>
        <v>000271437 - RICH FOODS GLACIER</v>
      </c>
      <c r="C2050" t="s">
        <v>433</v>
      </c>
      <c r="D2050" s="1" t="str">
        <f t="shared" si="58"/>
        <v>PRG-1018891</v>
      </c>
      <c r="E2050" t="s">
        <v>434</v>
      </c>
      <c r="F2050" t="s">
        <v>4</v>
      </c>
      <c r="G2050" t="str">
        <f>""</f>
        <v/>
      </c>
    </row>
    <row r="2051" spans="1:7" x14ac:dyDescent="0.25">
      <c r="A2051" t="s">
        <v>8</v>
      </c>
      <c r="B2051" s="1" t="str">
        <f>"000273208 - "</f>
        <v xml:space="preserve">000273208 - </v>
      </c>
      <c r="D2051" s="1" t="str">
        <f t="shared" si="58"/>
        <v>PRG-1018891</v>
      </c>
      <c r="E2051" t="s">
        <v>434</v>
      </c>
      <c r="F2051" t="s">
        <v>4</v>
      </c>
      <c r="G2051" t="str">
        <f>""</f>
        <v/>
      </c>
    </row>
    <row r="2052" spans="1:7" x14ac:dyDescent="0.25">
      <c r="A2052" t="s">
        <v>8</v>
      </c>
      <c r="B2052" s="1" t="str">
        <f>"000275057 - RICH FOODS GLACIER"</f>
        <v>000275057 - RICH FOODS GLACIER</v>
      </c>
      <c r="C2052" t="s">
        <v>433</v>
      </c>
      <c r="D2052" s="1" t="str">
        <f t="shared" si="58"/>
        <v>PRG-1018891</v>
      </c>
      <c r="E2052" t="s">
        <v>434</v>
      </c>
      <c r="F2052" t="s">
        <v>4</v>
      </c>
      <c r="G2052" t="str">
        <f>""</f>
        <v/>
      </c>
    </row>
    <row r="2053" spans="1:7" x14ac:dyDescent="0.25">
      <c r="A2053" t="s">
        <v>8</v>
      </c>
      <c r="B2053" s="1" t="str">
        <f>"000284388 - "</f>
        <v xml:space="preserve">000284388 - </v>
      </c>
      <c r="D2053" s="1" t="str">
        <f t="shared" si="58"/>
        <v>PRG-1018891</v>
      </c>
      <c r="E2053" t="s">
        <v>434</v>
      </c>
      <c r="F2053" t="s">
        <v>4</v>
      </c>
      <c r="G2053" t="str">
        <f>""</f>
        <v/>
      </c>
    </row>
    <row r="2054" spans="1:7" x14ac:dyDescent="0.25">
      <c r="A2054" t="s">
        <v>8</v>
      </c>
      <c r="B2054" s="1" t="str">
        <f>"000287810 - RICH FOODS GLACIER"</f>
        <v>000287810 - RICH FOODS GLACIER</v>
      </c>
      <c r="C2054" t="s">
        <v>433</v>
      </c>
      <c r="D2054" s="1" t="str">
        <f t="shared" si="58"/>
        <v>PRG-1018891</v>
      </c>
      <c r="E2054" t="s">
        <v>434</v>
      </c>
      <c r="F2054" t="s">
        <v>4</v>
      </c>
      <c r="G2054" t="str">
        <f>""</f>
        <v/>
      </c>
    </row>
    <row r="2055" spans="1:7" x14ac:dyDescent="0.25">
      <c r="A2055" t="s">
        <v>8</v>
      </c>
      <c r="B2055" s="1" t="str">
        <f>"000287941 - "</f>
        <v xml:space="preserve">000287941 - </v>
      </c>
      <c r="D2055" s="1" t="str">
        <f t="shared" si="58"/>
        <v>PRG-1018891</v>
      </c>
      <c r="E2055" t="s">
        <v>434</v>
      </c>
      <c r="F2055" t="s">
        <v>4</v>
      </c>
      <c r="G2055" t="str">
        <f>""</f>
        <v/>
      </c>
    </row>
    <row r="2056" spans="1:7" x14ac:dyDescent="0.25">
      <c r="A2056" t="s">
        <v>8</v>
      </c>
      <c r="B2056" s="1" t="str">
        <f>"000290582 - "</f>
        <v xml:space="preserve">000290582 - </v>
      </c>
      <c r="D2056" s="1" t="str">
        <f t="shared" si="58"/>
        <v>PRG-1018891</v>
      </c>
      <c r="E2056" t="s">
        <v>434</v>
      </c>
      <c r="F2056" t="s">
        <v>4</v>
      </c>
      <c r="G2056" t="str">
        <f>""</f>
        <v/>
      </c>
    </row>
    <row r="2057" spans="1:7" x14ac:dyDescent="0.25">
      <c r="A2057" t="s">
        <v>8</v>
      </c>
      <c r="B2057" s="1" t="str">
        <f>"000295186 - "</f>
        <v xml:space="preserve">000295186 - </v>
      </c>
      <c r="D2057" s="1" t="str">
        <f t="shared" si="58"/>
        <v>PRG-1018891</v>
      </c>
      <c r="E2057" t="s">
        <v>434</v>
      </c>
      <c r="F2057" t="s">
        <v>4</v>
      </c>
      <c r="G2057" t="str">
        <f>""</f>
        <v/>
      </c>
    </row>
    <row r="2058" spans="1:7" x14ac:dyDescent="0.25">
      <c r="A2058" t="s">
        <v>8</v>
      </c>
      <c r="B2058" s="1" t="str">
        <f>"000295581 - "</f>
        <v xml:space="preserve">000295581 - </v>
      </c>
      <c r="D2058" s="1" t="str">
        <f t="shared" si="58"/>
        <v>PRG-1018891</v>
      </c>
      <c r="E2058" t="s">
        <v>434</v>
      </c>
      <c r="F2058" t="s">
        <v>4</v>
      </c>
      <c r="G2058" t="str">
        <f>""</f>
        <v/>
      </c>
    </row>
    <row r="2059" spans="1:7" x14ac:dyDescent="0.25">
      <c r="A2059" t="s">
        <v>8</v>
      </c>
      <c r="B2059" s="1" t="str">
        <f>"000316727 - RICH FOODS GLACIER"</f>
        <v>000316727 - RICH FOODS GLACIER</v>
      </c>
      <c r="C2059" t="s">
        <v>433</v>
      </c>
      <c r="D2059" s="1" t="str">
        <f t="shared" si="58"/>
        <v>PRG-1018891</v>
      </c>
      <c r="E2059" t="s">
        <v>434</v>
      </c>
      <c r="F2059" t="s">
        <v>4</v>
      </c>
      <c r="G2059" t="str">
        <f>""</f>
        <v/>
      </c>
    </row>
    <row r="2060" spans="1:7" x14ac:dyDescent="0.25">
      <c r="A2060" t="s">
        <v>8</v>
      </c>
      <c r="B2060" s="1" t="str">
        <f>"000228818 - IHOP RICH'S"</f>
        <v>000228818 - IHOP RICH'S</v>
      </c>
      <c r="C2060" t="s">
        <v>1729</v>
      </c>
      <c r="D2060" s="1" t="str">
        <f>"PRG-1018907"</f>
        <v>PRG-1018907</v>
      </c>
      <c r="E2060" t="s">
        <v>1730</v>
      </c>
      <c r="F2060" t="s">
        <v>4</v>
      </c>
      <c r="G2060" t="str">
        <f>""</f>
        <v/>
      </c>
    </row>
    <row r="2061" spans="1:7" x14ac:dyDescent="0.25">
      <c r="A2061" t="s">
        <v>8</v>
      </c>
      <c r="B2061" s="1" t="str">
        <f>"31356084"</f>
        <v>31356084</v>
      </c>
      <c r="C2061" t="s">
        <v>4639</v>
      </c>
      <c r="D2061" s="1" t="str">
        <f>"PRG-1018940"</f>
        <v>PRG-1018940</v>
      </c>
      <c r="E2061" t="s">
        <v>4640</v>
      </c>
      <c r="F2061" t="s">
        <v>5</v>
      </c>
      <c r="G2061" t="str">
        <f>""</f>
        <v/>
      </c>
    </row>
    <row r="2062" spans="1:7" x14ac:dyDescent="0.25">
      <c r="A2062" t="s">
        <v>8</v>
      </c>
      <c r="B2062" s="1" t="str">
        <f>"000166831 - RICH PRODUCTS CORP NAPA"</f>
        <v>000166831 - RICH PRODUCTS CORP NAPA</v>
      </c>
      <c r="C2062" t="s">
        <v>1020</v>
      </c>
      <c r="D2062" s="1" t="str">
        <f t="shared" ref="D2062:D2070" si="59">"PRG-1019067"</f>
        <v>PRG-1019067</v>
      </c>
      <c r="E2062" t="s">
        <v>1078</v>
      </c>
      <c r="F2062" t="s">
        <v>4</v>
      </c>
      <c r="G2062" t="str">
        <f>""</f>
        <v/>
      </c>
    </row>
    <row r="2063" spans="1:7" x14ac:dyDescent="0.25">
      <c r="A2063" t="s">
        <v>8</v>
      </c>
      <c r="B2063" s="1" t="str">
        <f>"000181641 - RICH PRODUCTS CORP NAPA"</f>
        <v>000181641 - RICH PRODUCTS CORP NAPA</v>
      </c>
      <c r="C2063" t="s">
        <v>1020</v>
      </c>
      <c r="D2063" s="1" t="str">
        <f t="shared" si="59"/>
        <v>PRG-1019067</v>
      </c>
      <c r="E2063" t="s">
        <v>1078</v>
      </c>
      <c r="F2063" t="s">
        <v>4</v>
      </c>
      <c r="G2063" t="str">
        <f>""</f>
        <v/>
      </c>
    </row>
    <row r="2064" spans="1:7" x14ac:dyDescent="0.25">
      <c r="A2064" t="s">
        <v>8</v>
      </c>
      <c r="B2064" s="1" t="str">
        <f>"000182859 - RICH PRODUCTS CORP NAPA"</f>
        <v>000182859 - RICH PRODUCTS CORP NAPA</v>
      </c>
      <c r="C2064" t="s">
        <v>1020</v>
      </c>
      <c r="D2064" s="1" t="str">
        <f t="shared" si="59"/>
        <v>PRG-1019067</v>
      </c>
      <c r="E2064" t="s">
        <v>1078</v>
      </c>
      <c r="F2064" t="s">
        <v>4</v>
      </c>
      <c r="G2064" t="str">
        <f>""</f>
        <v/>
      </c>
    </row>
    <row r="2065" spans="1:7" x14ac:dyDescent="0.25">
      <c r="A2065" t="s">
        <v>8</v>
      </c>
      <c r="B2065" s="1" t="str">
        <f>"000183934 - RICH PRODUCTS CORP NAPA"</f>
        <v>000183934 - RICH PRODUCTS CORP NAPA</v>
      </c>
      <c r="C2065" t="s">
        <v>1020</v>
      </c>
      <c r="D2065" s="1" t="str">
        <f t="shared" si="59"/>
        <v>PRG-1019067</v>
      </c>
      <c r="E2065" t="s">
        <v>1078</v>
      </c>
      <c r="F2065" t="s">
        <v>4</v>
      </c>
      <c r="G2065" t="str">
        <f>""</f>
        <v/>
      </c>
    </row>
    <row r="2066" spans="1:7" x14ac:dyDescent="0.25">
      <c r="A2066" t="s">
        <v>8</v>
      </c>
      <c r="B2066" s="1" t="str">
        <f>"000187027 - RICH PRODUCTS CORP NAPA"</f>
        <v>000187027 - RICH PRODUCTS CORP NAPA</v>
      </c>
      <c r="C2066" t="s">
        <v>1020</v>
      </c>
      <c r="D2066" s="1" t="str">
        <f t="shared" si="59"/>
        <v>PRG-1019067</v>
      </c>
      <c r="E2066" t="s">
        <v>1078</v>
      </c>
      <c r="F2066" t="s">
        <v>4</v>
      </c>
      <c r="G2066" t="str">
        <f>""</f>
        <v/>
      </c>
    </row>
    <row r="2067" spans="1:7" x14ac:dyDescent="0.25">
      <c r="A2067" t="s">
        <v>8</v>
      </c>
      <c r="B2067" s="1" t="str">
        <f>"000198859 - RICH PRODUCTS CORP NAPA"</f>
        <v>000198859 - RICH PRODUCTS CORP NAPA</v>
      </c>
      <c r="C2067" t="s">
        <v>1020</v>
      </c>
      <c r="D2067" s="1" t="str">
        <f t="shared" si="59"/>
        <v>PRG-1019067</v>
      </c>
      <c r="E2067" t="s">
        <v>1078</v>
      </c>
      <c r="F2067" t="s">
        <v>4</v>
      </c>
      <c r="G2067" t="str">
        <f>""</f>
        <v/>
      </c>
    </row>
    <row r="2068" spans="1:7" x14ac:dyDescent="0.25">
      <c r="A2068" t="s">
        <v>8</v>
      </c>
      <c r="B2068" s="1" t="str">
        <f>"000203918 - RICH PRODUCTS CORP NAPA"</f>
        <v>000203918 - RICH PRODUCTS CORP NAPA</v>
      </c>
      <c r="C2068" t="s">
        <v>1020</v>
      </c>
      <c r="D2068" s="1" t="str">
        <f t="shared" si="59"/>
        <v>PRG-1019067</v>
      </c>
      <c r="E2068" t="s">
        <v>1078</v>
      </c>
      <c r="F2068" t="s">
        <v>4</v>
      </c>
      <c r="G2068" t="str">
        <f>""</f>
        <v/>
      </c>
    </row>
    <row r="2069" spans="1:7" x14ac:dyDescent="0.25">
      <c r="A2069" t="s">
        <v>8</v>
      </c>
      <c r="B2069" s="1" t="str">
        <f>"000205215 - RICH PRODUCTS CORP NAPA"</f>
        <v>000205215 - RICH PRODUCTS CORP NAPA</v>
      </c>
      <c r="C2069" t="s">
        <v>1020</v>
      </c>
      <c r="D2069" s="1" t="str">
        <f t="shared" si="59"/>
        <v>PRG-1019067</v>
      </c>
      <c r="E2069" t="s">
        <v>1078</v>
      </c>
      <c r="F2069" t="s">
        <v>4</v>
      </c>
      <c r="G2069" t="str">
        <f>""</f>
        <v/>
      </c>
    </row>
    <row r="2070" spans="1:7" x14ac:dyDescent="0.25">
      <c r="A2070" t="s">
        <v>8</v>
      </c>
      <c r="B2070" s="1" t="str">
        <f>"000205792 - RICH PRODUCTS CORP NAPA"</f>
        <v>000205792 - RICH PRODUCTS CORP NAPA</v>
      </c>
      <c r="C2070" t="s">
        <v>1020</v>
      </c>
      <c r="D2070" s="1" t="str">
        <f t="shared" si="59"/>
        <v>PRG-1019067</v>
      </c>
      <c r="E2070" t="s">
        <v>1078</v>
      </c>
      <c r="F2070" t="s">
        <v>4</v>
      </c>
      <c r="G2070" t="str">
        <f>""</f>
        <v/>
      </c>
    </row>
    <row r="2071" spans="1:7" x14ac:dyDescent="0.25">
      <c r="A2071" t="s">
        <v>8</v>
      </c>
      <c r="B2071" s="1" t="str">
        <f>"3160D896"</f>
        <v>3160D896</v>
      </c>
      <c r="C2071" t="s">
        <v>4689</v>
      </c>
      <c r="D2071" s="1" t="str">
        <f>"PRG-1019083"</f>
        <v>PRG-1019083</v>
      </c>
      <c r="E2071" t="s">
        <v>4690</v>
      </c>
      <c r="F2071" t="s">
        <v>5</v>
      </c>
      <c r="G2071" t="str">
        <f>""</f>
        <v/>
      </c>
    </row>
    <row r="2072" spans="1:7" x14ac:dyDescent="0.25">
      <c r="A2072" t="s">
        <v>8</v>
      </c>
      <c r="B2072" s="1" t="str">
        <f>"000091112 - RICH BARTONVILLER DINER"</f>
        <v>000091112 - RICH BARTONVILLER DINER</v>
      </c>
      <c r="C2072" t="s">
        <v>773</v>
      </c>
      <c r="D2072" s="1" t="str">
        <f>"PRG-1019096"</f>
        <v>PRG-1019096</v>
      </c>
      <c r="E2072" t="s">
        <v>774</v>
      </c>
      <c r="F2072" t="s">
        <v>4</v>
      </c>
      <c r="G2072" t="str">
        <f>""</f>
        <v/>
      </c>
    </row>
    <row r="2073" spans="1:7" x14ac:dyDescent="0.25">
      <c r="A2073" t="s">
        <v>8</v>
      </c>
      <c r="B2073" s="1" t="str">
        <f>"000134346 - RICH'S BARTONVILLE DINER"</f>
        <v>000134346 - RICH'S BARTONVILLE DINER</v>
      </c>
      <c r="C2073" t="s">
        <v>946</v>
      </c>
      <c r="D2073" s="1" t="str">
        <f>"PRG-1019096"</f>
        <v>PRG-1019096</v>
      </c>
      <c r="E2073" t="s">
        <v>774</v>
      </c>
      <c r="F2073" t="s">
        <v>4</v>
      </c>
      <c r="G2073" t="str">
        <f>""</f>
        <v/>
      </c>
    </row>
    <row r="2074" spans="1:7" x14ac:dyDescent="0.25">
      <c r="A2074" t="s">
        <v>8</v>
      </c>
      <c r="B2074" s="1" t="str">
        <f>"000190332 - CAESARS--RICH PROD"</f>
        <v>000190332 - CAESARS--RICH PROD</v>
      </c>
      <c r="C2074" t="s">
        <v>1202</v>
      </c>
      <c r="D2074" s="1" t="str">
        <f t="shared" ref="D2074:D2084" si="60">"PRG-1019098"</f>
        <v>PRG-1019098</v>
      </c>
      <c r="E2074" t="s">
        <v>702</v>
      </c>
      <c r="F2074" t="s">
        <v>4</v>
      </c>
      <c r="G2074" t="str">
        <f>""</f>
        <v/>
      </c>
    </row>
    <row r="2075" spans="1:7" x14ac:dyDescent="0.25">
      <c r="A2075" t="s">
        <v>8</v>
      </c>
      <c r="B2075" s="1" t="str">
        <f>"000198666 - CAESARS--RICH PROD"</f>
        <v>000198666 - CAESARS--RICH PROD</v>
      </c>
      <c r="C2075" t="s">
        <v>1202</v>
      </c>
      <c r="D2075" s="1" t="str">
        <f t="shared" si="60"/>
        <v>PRG-1019098</v>
      </c>
      <c r="E2075" t="s">
        <v>702</v>
      </c>
      <c r="F2075" t="s">
        <v>4</v>
      </c>
      <c r="G2075" t="str">
        <f>""</f>
        <v/>
      </c>
    </row>
    <row r="2076" spans="1:7" x14ac:dyDescent="0.25">
      <c r="A2076" t="s">
        <v>8</v>
      </c>
      <c r="B2076" s="1" t="str">
        <f>"000206002 - CAESARS--RICH PROD"</f>
        <v>000206002 - CAESARS--RICH PROD</v>
      </c>
      <c r="C2076" t="s">
        <v>1365</v>
      </c>
      <c r="D2076" s="1" t="str">
        <f t="shared" si="60"/>
        <v>PRG-1019098</v>
      </c>
      <c r="E2076" t="s">
        <v>702</v>
      </c>
      <c r="F2076" t="s">
        <v>4</v>
      </c>
      <c r="G2076" t="str">
        <f>""</f>
        <v/>
      </c>
    </row>
    <row r="2077" spans="1:7" x14ac:dyDescent="0.25">
      <c r="A2077" t="s">
        <v>8</v>
      </c>
      <c r="B2077" s="1" t="str">
        <f>"000210036 - CAESARS--RICH PROD"</f>
        <v>000210036 - CAESARS--RICH PROD</v>
      </c>
      <c r="C2077" t="s">
        <v>1202</v>
      </c>
      <c r="D2077" s="1" t="str">
        <f t="shared" si="60"/>
        <v>PRG-1019098</v>
      </c>
      <c r="E2077" t="s">
        <v>702</v>
      </c>
      <c r="F2077" t="s">
        <v>4</v>
      </c>
      <c r="G2077" t="str">
        <f>""</f>
        <v/>
      </c>
    </row>
    <row r="2078" spans="1:7" x14ac:dyDescent="0.25">
      <c r="A2078" t="s">
        <v>8</v>
      </c>
      <c r="B2078" s="1" t="str">
        <f>"000212880 - RICH FOODS  HARRAH CAESAR"</f>
        <v>000212880 - RICH FOODS  HARRAH CAESAR</v>
      </c>
      <c r="C2078" t="s">
        <v>1470</v>
      </c>
      <c r="D2078" s="1" t="str">
        <f t="shared" si="60"/>
        <v>PRG-1019098</v>
      </c>
      <c r="E2078" t="s">
        <v>702</v>
      </c>
      <c r="F2078" t="s">
        <v>4</v>
      </c>
      <c r="G2078" t="str">
        <f>""</f>
        <v/>
      </c>
    </row>
    <row r="2079" spans="1:7" x14ac:dyDescent="0.25">
      <c r="A2079" t="s">
        <v>8</v>
      </c>
      <c r="B2079" s="1" t="str">
        <f>"000238172 - RICH FOODS  HARRAH CAESAR"</f>
        <v>000238172 - RICH FOODS  HARRAH CAESAR</v>
      </c>
      <c r="C2079" t="s">
        <v>1470</v>
      </c>
      <c r="D2079" s="1" t="str">
        <f t="shared" si="60"/>
        <v>PRG-1019098</v>
      </c>
      <c r="E2079" t="s">
        <v>702</v>
      </c>
      <c r="F2079" t="s">
        <v>4</v>
      </c>
      <c r="G2079" t="str">
        <f>""</f>
        <v/>
      </c>
    </row>
    <row r="2080" spans="1:7" x14ac:dyDescent="0.25">
      <c r="A2080" t="s">
        <v>8</v>
      </c>
      <c r="B2080" s="1" t="str">
        <f>"000251182 - RICH FOODS  HARRAH CAESAR"</f>
        <v>000251182 - RICH FOODS  HARRAH CAESAR</v>
      </c>
      <c r="C2080" t="s">
        <v>1470</v>
      </c>
      <c r="D2080" s="1" t="str">
        <f t="shared" si="60"/>
        <v>PRG-1019098</v>
      </c>
      <c r="E2080" t="s">
        <v>702</v>
      </c>
      <c r="F2080" t="s">
        <v>4</v>
      </c>
      <c r="G2080" t="str">
        <f>""</f>
        <v/>
      </c>
    </row>
    <row r="2081" spans="1:7" x14ac:dyDescent="0.25">
      <c r="A2081" t="s">
        <v>8</v>
      </c>
      <c r="B2081" s="1" t="str">
        <f>"2000284030 - RICHS-HARRAH'S"</f>
        <v>2000284030 - RICHS-HARRAH'S</v>
      </c>
      <c r="C2081" t="s">
        <v>32</v>
      </c>
      <c r="D2081" s="1" t="str">
        <f t="shared" si="60"/>
        <v>PRG-1019098</v>
      </c>
      <c r="E2081" t="s">
        <v>702</v>
      </c>
      <c r="F2081" t="s">
        <v>4</v>
      </c>
      <c r="G2081" t="str">
        <f>""</f>
        <v/>
      </c>
    </row>
    <row r="2082" spans="1:7" x14ac:dyDescent="0.25">
      <c r="A2082" t="s">
        <v>8</v>
      </c>
      <c r="B2082" s="1" t="str">
        <f>"2000327862 - RICHS-HARRAH'S"</f>
        <v>2000327862 - RICHS-HARRAH'S</v>
      </c>
      <c r="C2082" t="s">
        <v>32</v>
      </c>
      <c r="D2082" s="1" t="str">
        <f t="shared" si="60"/>
        <v>PRG-1019098</v>
      </c>
      <c r="E2082" t="s">
        <v>702</v>
      </c>
      <c r="F2082" t="s">
        <v>4</v>
      </c>
      <c r="G2082" t="str">
        <f>""</f>
        <v/>
      </c>
    </row>
    <row r="2083" spans="1:7" x14ac:dyDescent="0.25">
      <c r="A2083" t="s">
        <v>8</v>
      </c>
      <c r="B2083" s="1" t="str">
        <f>"60310761"</f>
        <v>60310761</v>
      </c>
      <c r="C2083" t="s">
        <v>5271</v>
      </c>
      <c r="D2083" s="1" t="str">
        <f t="shared" si="60"/>
        <v>PRG-1019098</v>
      </c>
      <c r="E2083" t="s">
        <v>702</v>
      </c>
      <c r="F2083" t="s">
        <v>5</v>
      </c>
      <c r="G2083" t="str">
        <f>""</f>
        <v/>
      </c>
    </row>
    <row r="2084" spans="1:7" x14ac:dyDescent="0.25">
      <c r="A2084" t="s">
        <v>8</v>
      </c>
      <c r="B2084" s="1" t="str">
        <f>"60314699"</f>
        <v>60314699</v>
      </c>
      <c r="C2084" t="s">
        <v>5283</v>
      </c>
      <c r="D2084" s="1" t="str">
        <f t="shared" si="60"/>
        <v>PRG-1019098</v>
      </c>
      <c r="E2084" t="s">
        <v>702</v>
      </c>
      <c r="F2084" t="s">
        <v>5</v>
      </c>
      <c r="G2084" t="str">
        <f>""</f>
        <v/>
      </c>
    </row>
    <row r="2085" spans="1:7" x14ac:dyDescent="0.25">
      <c r="A2085" t="s">
        <v>8</v>
      </c>
      <c r="B2085" s="1" t="str">
        <f>"000228324 - VILLAGE TAVERN-RICHS"</f>
        <v>000228324 - VILLAGE TAVERN-RICHS</v>
      </c>
      <c r="C2085" t="s">
        <v>1725</v>
      </c>
      <c r="D2085" s="1" t="str">
        <f t="shared" ref="D2085:D2095" si="61">"PRG-1019174"</f>
        <v>PRG-1019174</v>
      </c>
      <c r="E2085" t="s">
        <v>377</v>
      </c>
      <c r="F2085" t="s">
        <v>4</v>
      </c>
      <c r="G2085" t="str">
        <f>""</f>
        <v/>
      </c>
    </row>
    <row r="2086" spans="1:7" x14ac:dyDescent="0.25">
      <c r="A2086" t="s">
        <v>8</v>
      </c>
      <c r="B2086" s="1" t="str">
        <f>"000283351 - RICH VILLAGE TAVERN"</f>
        <v>000283351 - RICH VILLAGE TAVERN</v>
      </c>
      <c r="C2086" t="s">
        <v>2607</v>
      </c>
      <c r="D2086" s="1" t="str">
        <f t="shared" si="61"/>
        <v>PRG-1019174</v>
      </c>
      <c r="E2086" t="s">
        <v>377</v>
      </c>
      <c r="F2086" t="s">
        <v>4</v>
      </c>
      <c r="G2086" t="str">
        <f>""</f>
        <v/>
      </c>
    </row>
    <row r="2087" spans="1:7" x14ac:dyDescent="0.25">
      <c r="A2087" t="s">
        <v>8</v>
      </c>
      <c r="B2087" s="1" t="str">
        <f>"000283352 - RICH RETRO VILLAGE TAVERN"</f>
        <v>000283352 - RICH RETRO VILLAGE TAVERN</v>
      </c>
      <c r="C2087" t="s">
        <v>2683</v>
      </c>
      <c r="D2087" s="1" t="str">
        <f t="shared" si="61"/>
        <v>PRG-1019174</v>
      </c>
      <c r="E2087" t="s">
        <v>377</v>
      </c>
      <c r="F2087" t="s">
        <v>4</v>
      </c>
      <c r="G2087" t="str">
        <f>""</f>
        <v/>
      </c>
    </row>
    <row r="2088" spans="1:7" x14ac:dyDescent="0.25">
      <c r="A2088" t="s">
        <v>8</v>
      </c>
      <c r="B2088" s="1" t="str">
        <f>"000297912 - RICH VILLAGE TAVERN"</f>
        <v>000297912 - RICH VILLAGE TAVERN</v>
      </c>
      <c r="C2088" t="s">
        <v>2607</v>
      </c>
      <c r="D2088" s="1" t="str">
        <f t="shared" si="61"/>
        <v>PRG-1019174</v>
      </c>
      <c r="E2088" t="s">
        <v>377</v>
      </c>
      <c r="F2088" t="s">
        <v>4</v>
      </c>
      <c r="G2088" t="str">
        <f>""</f>
        <v/>
      </c>
    </row>
    <row r="2089" spans="1:7" x14ac:dyDescent="0.25">
      <c r="A2089" t="s">
        <v>8</v>
      </c>
      <c r="B2089" s="1" t="str">
        <f>"000302374 - "</f>
        <v xml:space="preserve">000302374 - </v>
      </c>
      <c r="D2089" s="1" t="str">
        <f t="shared" si="61"/>
        <v>PRG-1019174</v>
      </c>
      <c r="E2089" t="s">
        <v>377</v>
      </c>
      <c r="F2089" t="s">
        <v>4</v>
      </c>
      <c r="G2089" t="str">
        <f>""</f>
        <v/>
      </c>
    </row>
    <row r="2090" spans="1:7" x14ac:dyDescent="0.25">
      <c r="A2090" t="s">
        <v>8</v>
      </c>
      <c r="B2090" s="1" t="str">
        <f>"000305923 - RICH PRODUCTS VILLAGE TAVERN"</f>
        <v>000305923 - RICH PRODUCTS VILLAGE TAVERN</v>
      </c>
      <c r="C2090" t="s">
        <v>3036</v>
      </c>
      <c r="D2090" s="1" t="str">
        <f t="shared" si="61"/>
        <v>PRG-1019174</v>
      </c>
      <c r="E2090" t="s">
        <v>377</v>
      </c>
      <c r="F2090" t="s">
        <v>4</v>
      </c>
      <c r="G2090" t="str">
        <f>""</f>
        <v/>
      </c>
    </row>
    <row r="2091" spans="1:7" x14ac:dyDescent="0.25">
      <c r="A2091" t="s">
        <v>8</v>
      </c>
      <c r="B2091" s="1" t="str">
        <f>"2000236654 - RICHS - VILLAGE TAVERN"</f>
        <v>2000236654 - RICHS - VILLAGE TAVERN</v>
      </c>
      <c r="C2091" t="s">
        <v>16</v>
      </c>
      <c r="D2091" s="1" t="str">
        <f t="shared" si="61"/>
        <v>PRG-1019174</v>
      </c>
      <c r="E2091" t="s">
        <v>377</v>
      </c>
      <c r="F2091" t="s">
        <v>4</v>
      </c>
      <c r="G2091" t="str">
        <f>""</f>
        <v/>
      </c>
    </row>
    <row r="2092" spans="1:7" x14ac:dyDescent="0.25">
      <c r="A2092" t="s">
        <v>8</v>
      </c>
      <c r="B2092" s="1" t="str">
        <f>"2000420465 - RICH PRODUCTS-VILLAGE INN"</f>
        <v>2000420465 - RICH PRODUCTS-VILLAGE INN</v>
      </c>
      <c r="C2092" t="s">
        <v>4073</v>
      </c>
      <c r="D2092" s="1" t="str">
        <f t="shared" si="61"/>
        <v>PRG-1019174</v>
      </c>
      <c r="E2092" t="s">
        <v>377</v>
      </c>
      <c r="F2092" t="s">
        <v>4</v>
      </c>
      <c r="G2092" t="str">
        <f>""</f>
        <v/>
      </c>
    </row>
    <row r="2093" spans="1:7" x14ac:dyDescent="0.25">
      <c r="A2093" t="s">
        <v>8</v>
      </c>
      <c r="B2093" s="1" t="str">
        <f>"2220L126"</f>
        <v>2220L126</v>
      </c>
      <c r="C2093" t="s">
        <v>4286</v>
      </c>
      <c r="D2093" s="1" t="str">
        <f t="shared" si="61"/>
        <v>PRG-1019174</v>
      </c>
      <c r="E2093" t="s">
        <v>377</v>
      </c>
      <c r="F2093" t="s">
        <v>5</v>
      </c>
      <c r="G2093" t="str">
        <f>""</f>
        <v/>
      </c>
    </row>
    <row r="2094" spans="1:7" x14ac:dyDescent="0.25">
      <c r="A2094" t="s">
        <v>8</v>
      </c>
      <c r="B2094" s="1" t="str">
        <f>"3135C833"</f>
        <v>3135C833</v>
      </c>
      <c r="C2094" t="s">
        <v>4644</v>
      </c>
      <c r="D2094" s="1" t="str">
        <f t="shared" si="61"/>
        <v>PRG-1019174</v>
      </c>
      <c r="E2094" t="s">
        <v>377</v>
      </c>
      <c r="F2094" t="s">
        <v>5</v>
      </c>
      <c r="G2094" t="str">
        <f>""</f>
        <v/>
      </c>
    </row>
    <row r="2095" spans="1:7" x14ac:dyDescent="0.25">
      <c r="A2095" t="s">
        <v>8</v>
      </c>
      <c r="B2095" s="1" t="str">
        <f>"3160D986"</f>
        <v>3160D986</v>
      </c>
      <c r="C2095" t="s">
        <v>4691</v>
      </c>
      <c r="D2095" s="1" t="str">
        <f t="shared" si="61"/>
        <v>PRG-1019174</v>
      </c>
      <c r="E2095" t="s">
        <v>377</v>
      </c>
      <c r="F2095" t="s">
        <v>5</v>
      </c>
      <c r="G2095" t="str">
        <f>""</f>
        <v/>
      </c>
    </row>
    <row r="2096" spans="1:7" x14ac:dyDescent="0.25">
      <c r="A2096" t="s">
        <v>8</v>
      </c>
      <c r="B2096" s="1" t="str">
        <f>"000074407 - RICH PROD GANDOLFOS DELI"</f>
        <v>000074407 - RICH PROD GANDOLFOS DELI</v>
      </c>
      <c r="C2096" t="s">
        <v>742</v>
      </c>
      <c r="D2096" s="1" t="str">
        <f t="shared" ref="D2096:D2103" si="62">"PRG-1019179"</f>
        <v>PRG-1019179</v>
      </c>
      <c r="E2096" t="s">
        <v>743</v>
      </c>
      <c r="F2096" t="s">
        <v>4</v>
      </c>
      <c r="G2096" t="str">
        <f>""</f>
        <v/>
      </c>
    </row>
    <row r="2097" spans="1:7" x14ac:dyDescent="0.25">
      <c r="A2097" t="s">
        <v>8</v>
      </c>
      <c r="B2097" s="1" t="str">
        <f>"000130255 - "</f>
        <v xml:space="preserve">000130255 - </v>
      </c>
      <c r="D2097" s="1" t="str">
        <f t="shared" si="62"/>
        <v>PRG-1019179</v>
      </c>
      <c r="E2097" t="s">
        <v>743</v>
      </c>
      <c r="F2097" t="s">
        <v>4</v>
      </c>
      <c r="G2097" t="str">
        <f>""</f>
        <v/>
      </c>
    </row>
    <row r="2098" spans="1:7" x14ac:dyDescent="0.25">
      <c r="A2098" t="s">
        <v>8</v>
      </c>
      <c r="B2098" s="1" t="str">
        <f>"000288418 - RICHS ALLOW GANDOLFO'S"</f>
        <v>000288418 - RICHS ALLOW GANDOLFO'S</v>
      </c>
      <c r="C2098" t="s">
        <v>2779</v>
      </c>
      <c r="D2098" s="1" t="str">
        <f t="shared" si="62"/>
        <v>PRG-1019179</v>
      </c>
      <c r="E2098" t="s">
        <v>743</v>
      </c>
      <c r="F2098" t="s">
        <v>4</v>
      </c>
      <c r="G2098" t="str">
        <f>""</f>
        <v/>
      </c>
    </row>
    <row r="2099" spans="1:7" x14ac:dyDescent="0.25">
      <c r="A2099" t="s">
        <v>8</v>
      </c>
      <c r="B2099" s="1" t="str">
        <f>"000311989 - RICHS ALLOW GANDOLFO'S"</f>
        <v>000311989 - RICHS ALLOW GANDOLFO'S</v>
      </c>
      <c r="C2099" t="s">
        <v>2779</v>
      </c>
      <c r="D2099" s="1" t="str">
        <f t="shared" si="62"/>
        <v>PRG-1019179</v>
      </c>
      <c r="E2099" t="s">
        <v>743</v>
      </c>
      <c r="F2099" t="s">
        <v>4</v>
      </c>
      <c r="G2099" t="str">
        <f>""</f>
        <v/>
      </c>
    </row>
    <row r="2100" spans="1:7" x14ac:dyDescent="0.25">
      <c r="A2100" t="s">
        <v>8</v>
      </c>
      <c r="B2100" s="1" t="str">
        <f>"000333226 - "</f>
        <v xml:space="preserve">000333226 - </v>
      </c>
      <c r="D2100" s="1" t="str">
        <f t="shared" si="62"/>
        <v>PRG-1019179</v>
      </c>
      <c r="E2100" t="s">
        <v>743</v>
      </c>
      <c r="F2100" t="s">
        <v>4</v>
      </c>
      <c r="G2100" t="str">
        <f>""</f>
        <v/>
      </c>
    </row>
    <row r="2101" spans="1:7" x14ac:dyDescent="0.25">
      <c r="A2101" t="s">
        <v>8</v>
      </c>
      <c r="B2101" s="1" t="str">
        <f>"000341337 - "</f>
        <v xml:space="preserve">000341337 - </v>
      </c>
      <c r="D2101" s="1" t="str">
        <f t="shared" si="62"/>
        <v>PRG-1019179</v>
      </c>
      <c r="E2101" t="s">
        <v>743</v>
      </c>
      <c r="F2101" t="s">
        <v>4</v>
      </c>
      <c r="G2101" t="str">
        <f>""</f>
        <v/>
      </c>
    </row>
    <row r="2102" spans="1:7" x14ac:dyDescent="0.25">
      <c r="A2102" t="s">
        <v>8</v>
      </c>
      <c r="B2102" s="1" t="str">
        <f>"2000141221 - RICH-GANDOLFO'S DELI"</f>
        <v>2000141221 - RICH-GANDOLFO'S DELI</v>
      </c>
      <c r="C2102" t="s">
        <v>3862</v>
      </c>
      <c r="D2102" s="1" t="str">
        <f t="shared" si="62"/>
        <v>PRG-1019179</v>
      </c>
      <c r="E2102" t="s">
        <v>743</v>
      </c>
      <c r="F2102" t="s">
        <v>4</v>
      </c>
      <c r="G2102" t="str">
        <f>""</f>
        <v/>
      </c>
    </row>
    <row r="2103" spans="1:7" x14ac:dyDescent="0.25">
      <c r="A2103" t="s">
        <v>8</v>
      </c>
      <c r="B2103" s="1" t="str">
        <f>"2000235628 - RICH-GANDOLFO'S DELI"</f>
        <v>2000235628 - RICH-GANDOLFO'S DELI</v>
      </c>
      <c r="C2103" t="s">
        <v>3862</v>
      </c>
      <c r="D2103" s="1" t="str">
        <f t="shared" si="62"/>
        <v>PRG-1019179</v>
      </c>
      <c r="E2103" t="s">
        <v>743</v>
      </c>
      <c r="F2103" t="s">
        <v>4</v>
      </c>
      <c r="G2103" t="str">
        <f>""</f>
        <v/>
      </c>
    </row>
    <row r="2104" spans="1:7" x14ac:dyDescent="0.25">
      <c r="A2104" t="s">
        <v>8</v>
      </c>
      <c r="B2104" s="1" t="str">
        <f>"000264212 - RICHS SANTIKOS"</f>
        <v>000264212 - RICHS SANTIKOS</v>
      </c>
      <c r="C2104" t="s">
        <v>2349</v>
      </c>
      <c r="D2104" s="1" t="str">
        <f>"PRG-1019349"</f>
        <v>PRG-1019349</v>
      </c>
      <c r="E2104" t="s">
        <v>2350</v>
      </c>
      <c r="F2104" t="s">
        <v>4</v>
      </c>
      <c r="G2104" t="str">
        <f>""</f>
        <v/>
      </c>
    </row>
    <row r="2105" spans="1:7" x14ac:dyDescent="0.25">
      <c r="A2105" t="s">
        <v>8</v>
      </c>
      <c r="B2105" s="1" t="str">
        <f>"000003300 - RICH FOODS-ROMANO'S MACARONI"</f>
        <v>000003300 - RICH FOODS-ROMANO'S MACARONI</v>
      </c>
      <c r="C2105" t="s">
        <v>153</v>
      </c>
      <c r="D2105" s="1" t="str">
        <f t="shared" ref="D2105:D2136" si="63">"PRG-1019355"</f>
        <v>PRG-1019355</v>
      </c>
      <c r="E2105" t="s">
        <v>154</v>
      </c>
      <c r="F2105" t="s">
        <v>4</v>
      </c>
      <c r="G2105" t="str">
        <f>""</f>
        <v/>
      </c>
    </row>
    <row r="2106" spans="1:7" x14ac:dyDescent="0.25">
      <c r="A2106" t="s">
        <v>8</v>
      </c>
      <c r="B2106" s="1" t="str">
        <f>"000003832 - "</f>
        <v xml:space="preserve">000003832 - </v>
      </c>
      <c r="D2106" s="1" t="str">
        <f t="shared" si="63"/>
        <v>PRG-1019355</v>
      </c>
      <c r="E2106" t="s">
        <v>154</v>
      </c>
      <c r="F2106" t="s">
        <v>4</v>
      </c>
      <c r="G2106" t="str">
        <f>""</f>
        <v/>
      </c>
    </row>
    <row r="2107" spans="1:7" x14ac:dyDescent="0.25">
      <c r="A2107" t="s">
        <v>8</v>
      </c>
      <c r="B2107" s="1" t="str">
        <f>"000008712 - RICH FOODS EXCL CHI-ROMANOS"</f>
        <v>000008712 - RICH FOODS EXCL CHI-ROMANOS</v>
      </c>
      <c r="C2107" t="s">
        <v>284</v>
      </c>
      <c r="D2107" s="1" t="str">
        <f t="shared" si="63"/>
        <v>PRG-1019355</v>
      </c>
      <c r="E2107" t="s">
        <v>154</v>
      </c>
      <c r="F2107" t="s">
        <v>4</v>
      </c>
      <c r="G2107" t="str">
        <f>""</f>
        <v/>
      </c>
    </row>
    <row r="2108" spans="1:7" x14ac:dyDescent="0.25">
      <c r="A2108" t="s">
        <v>8</v>
      </c>
      <c r="B2108" s="1" t="str">
        <f>"000010151 - RICH FOODS EXCL CHI-ROMANOS"</f>
        <v>000010151 - RICH FOODS EXCL CHI-ROMANOS</v>
      </c>
      <c r="C2108" t="s">
        <v>284</v>
      </c>
      <c r="D2108" s="1" t="str">
        <f t="shared" si="63"/>
        <v>PRG-1019355</v>
      </c>
      <c r="E2108" t="s">
        <v>154</v>
      </c>
      <c r="F2108" t="s">
        <v>4</v>
      </c>
      <c r="G2108" t="str">
        <f>""</f>
        <v/>
      </c>
    </row>
    <row r="2109" spans="1:7" x14ac:dyDescent="0.25">
      <c r="A2109" t="s">
        <v>8</v>
      </c>
      <c r="B2109" s="1" t="str">
        <f>"000011811 - "</f>
        <v xml:space="preserve">000011811 - </v>
      </c>
      <c r="D2109" s="1" t="str">
        <f t="shared" si="63"/>
        <v>PRG-1019355</v>
      </c>
      <c r="E2109" t="s">
        <v>154</v>
      </c>
      <c r="F2109" t="s">
        <v>4</v>
      </c>
      <c r="G2109" t="str">
        <f>""</f>
        <v/>
      </c>
    </row>
    <row r="2110" spans="1:7" x14ac:dyDescent="0.25">
      <c r="A2110" t="s">
        <v>8</v>
      </c>
      <c r="B2110" s="1" t="str">
        <f>"000011880 - RICH FOODS EXCL CHI-ROMANOS"</f>
        <v>000011880 - RICH FOODS EXCL CHI-ROMANOS</v>
      </c>
      <c r="C2110" t="s">
        <v>284</v>
      </c>
      <c r="D2110" s="1" t="str">
        <f t="shared" si="63"/>
        <v>PRG-1019355</v>
      </c>
      <c r="E2110" t="s">
        <v>154</v>
      </c>
      <c r="F2110" t="s">
        <v>4</v>
      </c>
      <c r="G2110" t="str">
        <f>""</f>
        <v/>
      </c>
    </row>
    <row r="2111" spans="1:7" x14ac:dyDescent="0.25">
      <c r="A2111" t="s">
        <v>8</v>
      </c>
      <c r="B2111" s="1" t="str">
        <f>"000018652 - "</f>
        <v xml:space="preserve">000018652 - </v>
      </c>
      <c r="D2111" s="1" t="str">
        <f t="shared" si="63"/>
        <v>PRG-1019355</v>
      </c>
      <c r="E2111" t="s">
        <v>154</v>
      </c>
      <c r="F2111" t="s">
        <v>4</v>
      </c>
      <c r="G2111" t="str">
        <f>""</f>
        <v/>
      </c>
    </row>
    <row r="2112" spans="1:7" x14ac:dyDescent="0.25">
      <c r="A2112" t="s">
        <v>8</v>
      </c>
      <c r="B2112" s="1" t="str">
        <f>"000065451 - RICH FOODS-ROMANO'S MACARONI"</f>
        <v>000065451 - RICH FOODS-ROMANO'S MACARONI</v>
      </c>
      <c r="C2112" t="s">
        <v>153</v>
      </c>
      <c r="D2112" s="1" t="str">
        <f t="shared" si="63"/>
        <v>PRG-1019355</v>
      </c>
      <c r="E2112" t="s">
        <v>154</v>
      </c>
      <c r="F2112" t="s">
        <v>4</v>
      </c>
      <c r="G2112" t="str">
        <f>""</f>
        <v/>
      </c>
    </row>
    <row r="2113" spans="1:7" x14ac:dyDescent="0.25">
      <c r="A2113" t="s">
        <v>8</v>
      </c>
      <c r="B2113" s="1" t="str">
        <f>"000071923 - RICH FOODS-ROMANO'S MACARONI"</f>
        <v>000071923 - RICH FOODS-ROMANO'S MACARONI</v>
      </c>
      <c r="C2113" t="s">
        <v>153</v>
      </c>
      <c r="D2113" s="1" t="str">
        <f t="shared" si="63"/>
        <v>PRG-1019355</v>
      </c>
      <c r="E2113" t="s">
        <v>154</v>
      </c>
      <c r="F2113" t="s">
        <v>4</v>
      </c>
      <c r="G2113" t="str">
        <f>""</f>
        <v/>
      </c>
    </row>
    <row r="2114" spans="1:7" x14ac:dyDescent="0.25">
      <c r="A2114" t="s">
        <v>8</v>
      </c>
      <c r="B2114" s="1" t="str">
        <f>"000078470 - RICH FOODS EXCL CHI-ROMANOS"</f>
        <v>000078470 - RICH FOODS EXCL CHI-ROMANOS</v>
      </c>
      <c r="C2114" t="s">
        <v>284</v>
      </c>
      <c r="D2114" s="1" t="str">
        <f t="shared" si="63"/>
        <v>PRG-1019355</v>
      </c>
      <c r="E2114" t="s">
        <v>154</v>
      </c>
      <c r="F2114" t="s">
        <v>4</v>
      </c>
      <c r="G2114" t="str">
        <f>""</f>
        <v/>
      </c>
    </row>
    <row r="2115" spans="1:7" x14ac:dyDescent="0.25">
      <c r="A2115" t="s">
        <v>8</v>
      </c>
      <c r="B2115" s="1" t="str">
        <f>"000152904 - RICH FOODS-ROMANO'S MACARONI"</f>
        <v>000152904 - RICH FOODS-ROMANO'S MACARONI</v>
      </c>
      <c r="C2115" t="s">
        <v>153</v>
      </c>
      <c r="D2115" s="1" t="str">
        <f t="shared" si="63"/>
        <v>PRG-1019355</v>
      </c>
      <c r="E2115" t="s">
        <v>154</v>
      </c>
      <c r="F2115" t="s">
        <v>4</v>
      </c>
      <c r="G2115" t="str">
        <f>""</f>
        <v/>
      </c>
    </row>
    <row r="2116" spans="1:7" x14ac:dyDescent="0.25">
      <c r="A2116" t="s">
        <v>8</v>
      </c>
      <c r="B2116" s="1" t="str">
        <f>"000158246 - RICH FOODS-ROMANO'S MACARONI"</f>
        <v>000158246 - RICH FOODS-ROMANO'S MACARONI</v>
      </c>
      <c r="C2116" t="s">
        <v>153</v>
      </c>
      <c r="D2116" s="1" t="str">
        <f t="shared" si="63"/>
        <v>PRG-1019355</v>
      </c>
      <c r="E2116" t="s">
        <v>154</v>
      </c>
      <c r="F2116" t="s">
        <v>4</v>
      </c>
      <c r="G2116" t="str">
        <f>""</f>
        <v/>
      </c>
    </row>
    <row r="2117" spans="1:7" x14ac:dyDescent="0.25">
      <c r="A2117" t="s">
        <v>8</v>
      </c>
      <c r="B2117" s="1" t="str">
        <f>"000164127 - RICH FOODS EXCL CHI-ROMANOS"</f>
        <v>000164127 - RICH FOODS EXCL CHI-ROMANOS</v>
      </c>
      <c r="C2117" t="s">
        <v>284</v>
      </c>
      <c r="D2117" s="1" t="str">
        <f t="shared" si="63"/>
        <v>PRG-1019355</v>
      </c>
      <c r="E2117" t="s">
        <v>154</v>
      </c>
      <c r="F2117" t="s">
        <v>4</v>
      </c>
      <c r="G2117" t="str">
        <f>""</f>
        <v/>
      </c>
    </row>
    <row r="2118" spans="1:7" x14ac:dyDescent="0.25">
      <c r="A2118" t="s">
        <v>8</v>
      </c>
      <c r="B2118" s="1" t="str">
        <f>"000195291 - RICH FOODS-ROMANO'S MACARONI"</f>
        <v>000195291 - RICH FOODS-ROMANO'S MACARONI</v>
      </c>
      <c r="C2118" t="s">
        <v>153</v>
      </c>
      <c r="D2118" s="1" t="str">
        <f t="shared" si="63"/>
        <v>PRG-1019355</v>
      </c>
      <c r="E2118" t="s">
        <v>154</v>
      </c>
      <c r="F2118" t="s">
        <v>4</v>
      </c>
      <c r="G2118" t="str">
        <f>""</f>
        <v/>
      </c>
    </row>
    <row r="2119" spans="1:7" x14ac:dyDescent="0.25">
      <c r="A2119" t="s">
        <v>8</v>
      </c>
      <c r="B2119" s="1" t="str">
        <f>"000218904 - RICH FOODS-ROMANO'S MACARONI"</f>
        <v>000218904 - RICH FOODS-ROMANO'S MACARONI</v>
      </c>
      <c r="C2119" t="s">
        <v>153</v>
      </c>
      <c r="D2119" s="1" t="str">
        <f t="shared" si="63"/>
        <v>PRG-1019355</v>
      </c>
      <c r="E2119" t="s">
        <v>154</v>
      </c>
      <c r="F2119" t="s">
        <v>4</v>
      </c>
      <c r="G2119" t="str">
        <f>""</f>
        <v/>
      </c>
    </row>
    <row r="2120" spans="1:7" x14ac:dyDescent="0.25">
      <c r="A2120" t="s">
        <v>8</v>
      </c>
      <c r="B2120" s="1" t="str">
        <f>"000225103 - RICH FOODS-ROMANO'S MACARONI"</f>
        <v>000225103 - RICH FOODS-ROMANO'S MACARONI</v>
      </c>
      <c r="C2120" t="s">
        <v>153</v>
      </c>
      <c r="D2120" s="1" t="str">
        <f t="shared" si="63"/>
        <v>PRG-1019355</v>
      </c>
      <c r="E2120" t="s">
        <v>154</v>
      </c>
      <c r="F2120" t="s">
        <v>4</v>
      </c>
      <c r="G2120" t="str">
        <f>""</f>
        <v/>
      </c>
    </row>
    <row r="2121" spans="1:7" x14ac:dyDescent="0.25">
      <c r="A2121" t="s">
        <v>8</v>
      </c>
      <c r="B2121" s="1" t="str">
        <f>"000229537 - RICH FOODS-ROMANO'S MACARONI"</f>
        <v>000229537 - RICH FOODS-ROMANO'S MACARONI</v>
      </c>
      <c r="C2121" t="s">
        <v>153</v>
      </c>
      <c r="D2121" s="1" t="str">
        <f t="shared" si="63"/>
        <v>PRG-1019355</v>
      </c>
      <c r="E2121" t="s">
        <v>154</v>
      </c>
      <c r="F2121" t="s">
        <v>4</v>
      </c>
      <c r="G2121" t="str">
        <f>""</f>
        <v/>
      </c>
    </row>
    <row r="2122" spans="1:7" x14ac:dyDescent="0.25">
      <c r="A2122" t="s">
        <v>8</v>
      </c>
      <c r="B2122" s="1" t="str">
        <f>"000231773 - RICH FOODS EXCL CHI-ROMANOS"</f>
        <v>000231773 - RICH FOODS EXCL CHI-ROMANOS</v>
      </c>
      <c r="C2122" t="s">
        <v>284</v>
      </c>
      <c r="D2122" s="1" t="str">
        <f t="shared" si="63"/>
        <v>PRG-1019355</v>
      </c>
      <c r="E2122" t="s">
        <v>154</v>
      </c>
      <c r="F2122" t="s">
        <v>4</v>
      </c>
      <c r="G2122" t="str">
        <f>""</f>
        <v/>
      </c>
    </row>
    <row r="2123" spans="1:7" x14ac:dyDescent="0.25">
      <c r="A2123" t="s">
        <v>8</v>
      </c>
      <c r="B2123" s="1" t="str">
        <f>"000234511 - RICH FOODS-ROMANO'S MACARONI"</f>
        <v>000234511 - RICH FOODS-ROMANO'S MACARONI</v>
      </c>
      <c r="C2123" t="s">
        <v>153</v>
      </c>
      <c r="D2123" s="1" t="str">
        <f t="shared" si="63"/>
        <v>PRG-1019355</v>
      </c>
      <c r="E2123" t="s">
        <v>154</v>
      </c>
      <c r="F2123" t="s">
        <v>4</v>
      </c>
      <c r="G2123" t="str">
        <f>""</f>
        <v/>
      </c>
    </row>
    <row r="2124" spans="1:7" x14ac:dyDescent="0.25">
      <c r="A2124" t="s">
        <v>8</v>
      </c>
      <c r="B2124" s="1" t="str">
        <f>"000239429 - RICH FOODS EXCL CHI-ROMANOS"</f>
        <v>000239429 - RICH FOODS EXCL CHI-ROMANOS</v>
      </c>
      <c r="C2124" t="s">
        <v>284</v>
      </c>
      <c r="D2124" s="1" t="str">
        <f t="shared" si="63"/>
        <v>PRG-1019355</v>
      </c>
      <c r="E2124" t="s">
        <v>154</v>
      </c>
      <c r="F2124" t="s">
        <v>4</v>
      </c>
      <c r="G2124" t="str">
        <f>""</f>
        <v/>
      </c>
    </row>
    <row r="2125" spans="1:7" x14ac:dyDescent="0.25">
      <c r="A2125" t="s">
        <v>8</v>
      </c>
      <c r="B2125" s="1" t="str">
        <f>"000240687 - RICH FOODS-ROMANO'S MACARONI"</f>
        <v>000240687 - RICH FOODS-ROMANO'S MACARONI</v>
      </c>
      <c r="C2125" t="s">
        <v>153</v>
      </c>
      <c r="D2125" s="1" t="str">
        <f t="shared" si="63"/>
        <v>PRG-1019355</v>
      </c>
      <c r="E2125" t="s">
        <v>154</v>
      </c>
      <c r="F2125" t="s">
        <v>4</v>
      </c>
      <c r="G2125" t="str">
        <f>""</f>
        <v/>
      </c>
    </row>
    <row r="2126" spans="1:7" x14ac:dyDescent="0.25">
      <c r="A2126" t="s">
        <v>8</v>
      </c>
      <c r="B2126" s="1" t="str">
        <f>"000244784 - RICH FOODS-ROMANO'S MACARONI"</f>
        <v>000244784 - RICH FOODS-ROMANO'S MACARONI</v>
      </c>
      <c r="C2126" t="s">
        <v>153</v>
      </c>
      <c r="D2126" s="1" t="str">
        <f t="shared" si="63"/>
        <v>PRG-1019355</v>
      </c>
      <c r="E2126" t="s">
        <v>154</v>
      </c>
      <c r="F2126" t="s">
        <v>4</v>
      </c>
      <c r="G2126" t="str">
        <f>""</f>
        <v/>
      </c>
    </row>
    <row r="2127" spans="1:7" x14ac:dyDescent="0.25">
      <c r="A2127" t="s">
        <v>8</v>
      </c>
      <c r="B2127" s="1" t="str">
        <f>"000247037 - RICH FOODS-ROMANO'S MACARONI"</f>
        <v>000247037 - RICH FOODS-ROMANO'S MACARONI</v>
      </c>
      <c r="C2127" t="s">
        <v>153</v>
      </c>
      <c r="D2127" s="1" t="str">
        <f t="shared" si="63"/>
        <v>PRG-1019355</v>
      </c>
      <c r="E2127" t="s">
        <v>154</v>
      </c>
      <c r="F2127" t="s">
        <v>4</v>
      </c>
      <c r="G2127" t="str">
        <f>""</f>
        <v/>
      </c>
    </row>
    <row r="2128" spans="1:7" x14ac:dyDescent="0.25">
      <c r="A2128" t="s">
        <v>8</v>
      </c>
      <c r="B2128" s="1" t="str">
        <f>"000251156 - RICH FOODS-ROMANO'S MACARONI"</f>
        <v>000251156 - RICH FOODS-ROMANO'S MACARONI</v>
      </c>
      <c r="C2128" t="s">
        <v>153</v>
      </c>
      <c r="D2128" s="1" t="str">
        <f t="shared" si="63"/>
        <v>PRG-1019355</v>
      </c>
      <c r="E2128" t="s">
        <v>154</v>
      </c>
      <c r="F2128" t="s">
        <v>4</v>
      </c>
      <c r="G2128" t="str">
        <f>""</f>
        <v/>
      </c>
    </row>
    <row r="2129" spans="1:7" x14ac:dyDescent="0.25">
      <c r="A2129" t="s">
        <v>8</v>
      </c>
      <c r="B2129" s="1" t="str">
        <f>"000253624 - RICH FOODS-ROMANO'S MACARONI"</f>
        <v>000253624 - RICH FOODS-ROMANO'S MACARONI</v>
      </c>
      <c r="C2129" t="s">
        <v>153</v>
      </c>
      <c r="D2129" s="1" t="str">
        <f t="shared" si="63"/>
        <v>PRG-1019355</v>
      </c>
      <c r="E2129" t="s">
        <v>154</v>
      </c>
      <c r="F2129" t="s">
        <v>4</v>
      </c>
      <c r="G2129" t="str">
        <f>""</f>
        <v/>
      </c>
    </row>
    <row r="2130" spans="1:7" x14ac:dyDescent="0.25">
      <c r="A2130" t="s">
        <v>8</v>
      </c>
      <c r="B2130" s="1" t="str">
        <f>"000254040 - RICH FOODS EXCL CHI-ROMANOS"</f>
        <v>000254040 - RICH FOODS EXCL CHI-ROMANOS</v>
      </c>
      <c r="C2130" t="s">
        <v>284</v>
      </c>
      <c r="D2130" s="1" t="str">
        <f t="shared" si="63"/>
        <v>PRG-1019355</v>
      </c>
      <c r="E2130" t="s">
        <v>154</v>
      </c>
      <c r="F2130" t="s">
        <v>4</v>
      </c>
      <c r="G2130" t="str">
        <f>""</f>
        <v/>
      </c>
    </row>
    <row r="2131" spans="1:7" x14ac:dyDescent="0.25">
      <c r="A2131" t="s">
        <v>8</v>
      </c>
      <c r="B2131" s="1" t="str">
        <f>"000258362 - RICH FOODS EXCL CHI-ROMANOS"</f>
        <v>000258362 - RICH FOODS EXCL CHI-ROMANOS</v>
      </c>
      <c r="C2131" t="s">
        <v>284</v>
      </c>
      <c r="D2131" s="1" t="str">
        <f t="shared" si="63"/>
        <v>PRG-1019355</v>
      </c>
      <c r="E2131" t="s">
        <v>154</v>
      </c>
      <c r="F2131" t="s">
        <v>4</v>
      </c>
      <c r="G2131" t="str">
        <f>""</f>
        <v/>
      </c>
    </row>
    <row r="2132" spans="1:7" x14ac:dyDescent="0.25">
      <c r="A2132" t="s">
        <v>8</v>
      </c>
      <c r="B2132" s="1" t="str">
        <f>"000258843 - RICH FOODS-ROMANO'S MACARONI"</f>
        <v>000258843 - RICH FOODS-ROMANO'S MACARONI</v>
      </c>
      <c r="C2132" t="s">
        <v>153</v>
      </c>
      <c r="D2132" s="1" t="str">
        <f t="shared" si="63"/>
        <v>PRG-1019355</v>
      </c>
      <c r="E2132" t="s">
        <v>154</v>
      </c>
      <c r="F2132" t="s">
        <v>4</v>
      </c>
      <c r="G2132" t="str">
        <f>""</f>
        <v/>
      </c>
    </row>
    <row r="2133" spans="1:7" x14ac:dyDescent="0.25">
      <c r="A2133" t="s">
        <v>8</v>
      </c>
      <c r="B2133" s="1" t="str">
        <f>"000262118 - RICH FOODS-ROMANO'S MACARONI"</f>
        <v>000262118 - RICH FOODS-ROMANO'S MACARONI</v>
      </c>
      <c r="C2133" t="s">
        <v>153</v>
      </c>
      <c r="D2133" s="1" t="str">
        <f t="shared" si="63"/>
        <v>PRG-1019355</v>
      </c>
      <c r="E2133" t="s">
        <v>154</v>
      </c>
      <c r="F2133" t="s">
        <v>4</v>
      </c>
      <c r="G2133" t="str">
        <f>""</f>
        <v/>
      </c>
    </row>
    <row r="2134" spans="1:7" x14ac:dyDescent="0.25">
      <c r="A2134" t="s">
        <v>8</v>
      </c>
      <c r="B2134" s="1" t="str">
        <f>"000262474 - RICH FOODS EXCL CHI-ROMANOS"</f>
        <v>000262474 - RICH FOODS EXCL CHI-ROMANOS</v>
      </c>
      <c r="C2134" t="s">
        <v>284</v>
      </c>
      <c r="D2134" s="1" t="str">
        <f t="shared" si="63"/>
        <v>PRG-1019355</v>
      </c>
      <c r="E2134" t="s">
        <v>154</v>
      </c>
      <c r="F2134" t="s">
        <v>4</v>
      </c>
      <c r="G2134" t="str">
        <f>""</f>
        <v/>
      </c>
    </row>
    <row r="2135" spans="1:7" x14ac:dyDescent="0.25">
      <c r="A2135" t="s">
        <v>8</v>
      </c>
      <c r="B2135" s="1" t="str">
        <f>"000264359 - RICH FOODS EXCL CHI-ROMANOS"</f>
        <v>000264359 - RICH FOODS EXCL CHI-ROMANOS</v>
      </c>
      <c r="C2135" t="s">
        <v>284</v>
      </c>
      <c r="D2135" s="1" t="str">
        <f t="shared" si="63"/>
        <v>PRG-1019355</v>
      </c>
      <c r="E2135" t="s">
        <v>154</v>
      </c>
      <c r="F2135" t="s">
        <v>4</v>
      </c>
      <c r="G2135" t="str">
        <f>""</f>
        <v/>
      </c>
    </row>
    <row r="2136" spans="1:7" x14ac:dyDescent="0.25">
      <c r="A2136" t="s">
        <v>8</v>
      </c>
      <c r="B2136" s="1" t="str">
        <f>"000267959 - RICH FOODS-ROMANO'S MACARONI"</f>
        <v>000267959 - RICH FOODS-ROMANO'S MACARONI</v>
      </c>
      <c r="C2136" t="s">
        <v>153</v>
      </c>
      <c r="D2136" s="1" t="str">
        <f t="shared" si="63"/>
        <v>PRG-1019355</v>
      </c>
      <c r="E2136" t="s">
        <v>154</v>
      </c>
      <c r="F2136" t="s">
        <v>4</v>
      </c>
      <c r="G2136" t="str">
        <f>""</f>
        <v/>
      </c>
    </row>
    <row r="2137" spans="1:7" x14ac:dyDescent="0.25">
      <c r="A2137" t="s">
        <v>8</v>
      </c>
      <c r="B2137" s="1" t="str">
        <f>"000273395 - RICH FOODS-ROMANO'S MACARONI"</f>
        <v>000273395 - RICH FOODS-ROMANO'S MACARONI</v>
      </c>
      <c r="C2137" t="s">
        <v>153</v>
      </c>
      <c r="D2137" s="1" t="str">
        <f t="shared" ref="D2137:D2168" si="64">"PRG-1019355"</f>
        <v>PRG-1019355</v>
      </c>
      <c r="E2137" t="s">
        <v>154</v>
      </c>
      <c r="F2137" t="s">
        <v>4</v>
      </c>
      <c r="G2137" t="str">
        <f>""</f>
        <v/>
      </c>
    </row>
    <row r="2138" spans="1:7" x14ac:dyDescent="0.25">
      <c r="A2138" t="s">
        <v>8</v>
      </c>
      <c r="B2138" s="1" t="str">
        <f>"000274296 - RICH FOODS-ROMANO'S MACARONI"</f>
        <v>000274296 - RICH FOODS-ROMANO'S MACARONI</v>
      </c>
      <c r="C2138" t="s">
        <v>153</v>
      </c>
      <c r="D2138" s="1" t="str">
        <f t="shared" si="64"/>
        <v>PRG-1019355</v>
      </c>
      <c r="E2138" t="s">
        <v>154</v>
      </c>
      <c r="F2138" t="s">
        <v>4</v>
      </c>
      <c r="G2138" t="str">
        <f>""</f>
        <v/>
      </c>
    </row>
    <row r="2139" spans="1:7" x14ac:dyDescent="0.25">
      <c r="A2139" t="s">
        <v>8</v>
      </c>
      <c r="B2139" s="1" t="str">
        <f>"000274805 - RICH FOODS-ROMANO'S MACARONI"</f>
        <v>000274805 - RICH FOODS-ROMANO'S MACARONI</v>
      </c>
      <c r="C2139" t="s">
        <v>153</v>
      </c>
      <c r="D2139" s="1" t="str">
        <f t="shared" si="64"/>
        <v>PRG-1019355</v>
      </c>
      <c r="E2139" t="s">
        <v>154</v>
      </c>
      <c r="F2139" t="s">
        <v>4</v>
      </c>
      <c r="G2139" t="str">
        <f>""</f>
        <v/>
      </c>
    </row>
    <row r="2140" spans="1:7" x14ac:dyDescent="0.25">
      <c r="A2140" t="s">
        <v>8</v>
      </c>
      <c r="B2140" s="1" t="str">
        <f>"000276948 - RICH FOODS EXCL CHI-ROMANOS"</f>
        <v>000276948 - RICH FOODS EXCL CHI-ROMANOS</v>
      </c>
      <c r="C2140" t="s">
        <v>284</v>
      </c>
      <c r="D2140" s="1" t="str">
        <f t="shared" si="64"/>
        <v>PRG-1019355</v>
      </c>
      <c r="E2140" t="s">
        <v>154</v>
      </c>
      <c r="F2140" t="s">
        <v>4</v>
      </c>
      <c r="G2140" t="str">
        <f>""</f>
        <v/>
      </c>
    </row>
    <row r="2141" spans="1:7" x14ac:dyDescent="0.25">
      <c r="A2141" t="s">
        <v>8</v>
      </c>
      <c r="B2141" s="1" t="str">
        <f>"000279268 - RICH FOODS-ROMANO'S MACARONI"</f>
        <v>000279268 - RICH FOODS-ROMANO'S MACARONI</v>
      </c>
      <c r="C2141" t="s">
        <v>153</v>
      </c>
      <c r="D2141" s="1" t="str">
        <f t="shared" si="64"/>
        <v>PRG-1019355</v>
      </c>
      <c r="E2141" t="s">
        <v>154</v>
      </c>
      <c r="F2141" t="s">
        <v>4</v>
      </c>
      <c r="G2141" t="str">
        <f>""</f>
        <v/>
      </c>
    </row>
    <row r="2142" spans="1:7" x14ac:dyDescent="0.25">
      <c r="A2142" t="s">
        <v>8</v>
      </c>
      <c r="B2142" s="1" t="str">
        <f>"000280919 - RICH FOODS-ROMANO'S MACARONI"</f>
        <v>000280919 - RICH FOODS-ROMANO'S MACARONI</v>
      </c>
      <c r="C2142" t="s">
        <v>153</v>
      </c>
      <c r="D2142" s="1" t="str">
        <f t="shared" si="64"/>
        <v>PRG-1019355</v>
      </c>
      <c r="E2142" t="s">
        <v>154</v>
      </c>
      <c r="F2142" t="s">
        <v>4</v>
      </c>
      <c r="G2142" t="str">
        <f>""</f>
        <v/>
      </c>
    </row>
    <row r="2143" spans="1:7" x14ac:dyDescent="0.25">
      <c r="A2143" t="s">
        <v>8</v>
      </c>
      <c r="B2143" s="1" t="str">
        <f>"000281836 - RICH FOODS EXCL CHI-ROMANOS"</f>
        <v>000281836 - RICH FOODS EXCL CHI-ROMANOS</v>
      </c>
      <c r="C2143" t="s">
        <v>284</v>
      </c>
      <c r="D2143" s="1" t="str">
        <f t="shared" si="64"/>
        <v>PRG-1019355</v>
      </c>
      <c r="E2143" t="s">
        <v>154</v>
      </c>
      <c r="F2143" t="s">
        <v>4</v>
      </c>
      <c r="G2143" t="str">
        <f>""</f>
        <v/>
      </c>
    </row>
    <row r="2144" spans="1:7" x14ac:dyDescent="0.25">
      <c r="A2144" t="s">
        <v>8</v>
      </c>
      <c r="B2144" s="1" t="str">
        <f>"000285323 - RICH FOODS EXCL CHI-ROMANOS"</f>
        <v>000285323 - RICH FOODS EXCL CHI-ROMANOS</v>
      </c>
      <c r="C2144" t="s">
        <v>284</v>
      </c>
      <c r="D2144" s="1" t="str">
        <f t="shared" si="64"/>
        <v>PRG-1019355</v>
      </c>
      <c r="E2144" t="s">
        <v>154</v>
      </c>
      <c r="F2144" t="s">
        <v>4</v>
      </c>
      <c r="G2144" t="str">
        <f>""</f>
        <v/>
      </c>
    </row>
    <row r="2145" spans="1:7" x14ac:dyDescent="0.25">
      <c r="A2145" t="s">
        <v>8</v>
      </c>
      <c r="B2145" s="1" t="str">
        <f>"000287769 - RICH FOODS EXCL CHI-ROMANOS"</f>
        <v>000287769 - RICH FOODS EXCL CHI-ROMANOS</v>
      </c>
      <c r="C2145" t="s">
        <v>284</v>
      </c>
      <c r="D2145" s="1" t="str">
        <f t="shared" si="64"/>
        <v>PRG-1019355</v>
      </c>
      <c r="E2145" t="s">
        <v>154</v>
      </c>
      <c r="F2145" t="s">
        <v>4</v>
      </c>
      <c r="G2145" t="str">
        <f>""</f>
        <v/>
      </c>
    </row>
    <row r="2146" spans="1:7" x14ac:dyDescent="0.25">
      <c r="A2146" t="s">
        <v>8</v>
      </c>
      <c r="B2146" s="1" t="str">
        <f>"000295885 - RICH FOODS-ROMANO'S MACARONI"</f>
        <v>000295885 - RICH FOODS-ROMANO'S MACARONI</v>
      </c>
      <c r="C2146" t="s">
        <v>153</v>
      </c>
      <c r="D2146" s="1" t="str">
        <f t="shared" si="64"/>
        <v>PRG-1019355</v>
      </c>
      <c r="E2146" t="s">
        <v>154</v>
      </c>
      <c r="F2146" t="s">
        <v>4</v>
      </c>
      <c r="G2146" t="str">
        <f>""</f>
        <v/>
      </c>
    </row>
    <row r="2147" spans="1:7" x14ac:dyDescent="0.25">
      <c r="A2147" t="s">
        <v>8</v>
      </c>
      <c r="B2147" s="1" t="str">
        <f>"000296572 - RICH FOODS-ROMANO'S MACARONI"</f>
        <v>000296572 - RICH FOODS-ROMANO'S MACARONI</v>
      </c>
      <c r="C2147" t="s">
        <v>153</v>
      </c>
      <c r="D2147" s="1" t="str">
        <f t="shared" si="64"/>
        <v>PRG-1019355</v>
      </c>
      <c r="E2147" t="s">
        <v>154</v>
      </c>
      <c r="F2147" t="s">
        <v>4</v>
      </c>
      <c r="G2147" t="str">
        <f>""</f>
        <v/>
      </c>
    </row>
    <row r="2148" spans="1:7" x14ac:dyDescent="0.25">
      <c r="A2148" t="s">
        <v>8</v>
      </c>
      <c r="B2148" s="1" t="str">
        <f>"000302293 - RICH FOODS-ROMANO'S MACARONI"</f>
        <v>000302293 - RICH FOODS-ROMANO'S MACARONI</v>
      </c>
      <c r="C2148" t="s">
        <v>153</v>
      </c>
      <c r="D2148" s="1" t="str">
        <f t="shared" si="64"/>
        <v>PRG-1019355</v>
      </c>
      <c r="E2148" t="s">
        <v>154</v>
      </c>
      <c r="F2148" t="s">
        <v>4</v>
      </c>
      <c r="G2148" t="str">
        <f>""</f>
        <v/>
      </c>
    </row>
    <row r="2149" spans="1:7" x14ac:dyDescent="0.25">
      <c r="A2149" t="s">
        <v>8</v>
      </c>
      <c r="B2149" s="1" t="str">
        <f>"000304530 - RICH FOODS-ROMANO'S MACARONI"</f>
        <v>000304530 - RICH FOODS-ROMANO'S MACARONI</v>
      </c>
      <c r="C2149" t="s">
        <v>153</v>
      </c>
      <c r="D2149" s="1" t="str">
        <f t="shared" si="64"/>
        <v>PRG-1019355</v>
      </c>
      <c r="E2149" t="s">
        <v>154</v>
      </c>
      <c r="F2149" t="s">
        <v>4</v>
      </c>
      <c r="G2149" t="str">
        <f>""</f>
        <v/>
      </c>
    </row>
    <row r="2150" spans="1:7" x14ac:dyDescent="0.25">
      <c r="A2150" t="s">
        <v>8</v>
      </c>
      <c r="B2150" s="1" t="str">
        <f>"000309206 - RICH FOODS EXCL CHI-ROMANOS"</f>
        <v>000309206 - RICH FOODS EXCL CHI-ROMANOS</v>
      </c>
      <c r="C2150" t="s">
        <v>284</v>
      </c>
      <c r="D2150" s="1" t="str">
        <f t="shared" si="64"/>
        <v>PRG-1019355</v>
      </c>
      <c r="E2150" t="s">
        <v>154</v>
      </c>
      <c r="F2150" t="s">
        <v>4</v>
      </c>
      <c r="G2150" t="str">
        <f>""</f>
        <v/>
      </c>
    </row>
    <row r="2151" spans="1:7" x14ac:dyDescent="0.25">
      <c r="A2151" t="s">
        <v>8</v>
      </c>
      <c r="B2151" s="1" t="str">
        <f>"000312903 - RICH FOODS EXCL CHI-ROMANOS"</f>
        <v>000312903 - RICH FOODS EXCL CHI-ROMANOS</v>
      </c>
      <c r="C2151" t="s">
        <v>284</v>
      </c>
      <c r="D2151" s="1" t="str">
        <f t="shared" si="64"/>
        <v>PRG-1019355</v>
      </c>
      <c r="E2151" t="s">
        <v>154</v>
      </c>
      <c r="F2151" t="s">
        <v>4</v>
      </c>
      <c r="G2151" t="str">
        <f>""</f>
        <v/>
      </c>
    </row>
    <row r="2152" spans="1:7" x14ac:dyDescent="0.25">
      <c r="A2152" t="s">
        <v>8</v>
      </c>
      <c r="B2152" s="1" t="str">
        <f>"000316800 - RICH FOODS-ROMANO'S MACARONI"</f>
        <v>000316800 - RICH FOODS-ROMANO'S MACARONI</v>
      </c>
      <c r="C2152" t="s">
        <v>153</v>
      </c>
      <c r="D2152" s="1" t="str">
        <f t="shared" si="64"/>
        <v>PRG-1019355</v>
      </c>
      <c r="E2152" t="s">
        <v>154</v>
      </c>
      <c r="F2152" t="s">
        <v>4</v>
      </c>
      <c r="G2152" t="str">
        <f>""</f>
        <v/>
      </c>
    </row>
    <row r="2153" spans="1:7" x14ac:dyDescent="0.25">
      <c r="A2153" t="s">
        <v>8</v>
      </c>
      <c r="B2153" s="1" t="str">
        <f>"000326204 - RICH FOODS-ROMANO'S MACARONI"</f>
        <v>000326204 - RICH FOODS-ROMANO'S MACARONI</v>
      </c>
      <c r="C2153" t="s">
        <v>153</v>
      </c>
      <c r="D2153" s="1" t="str">
        <f t="shared" si="64"/>
        <v>PRG-1019355</v>
      </c>
      <c r="E2153" t="s">
        <v>154</v>
      </c>
      <c r="F2153" t="s">
        <v>4</v>
      </c>
      <c r="G2153" t="str">
        <f>""</f>
        <v/>
      </c>
    </row>
    <row r="2154" spans="1:7" x14ac:dyDescent="0.25">
      <c r="A2154" t="s">
        <v>8</v>
      </c>
      <c r="B2154" s="1" t="str">
        <f>"000328275 - RICH FOODS-ROMANO'S MACARONI"</f>
        <v>000328275 - RICH FOODS-ROMANO'S MACARONI</v>
      </c>
      <c r="C2154" t="s">
        <v>153</v>
      </c>
      <c r="D2154" s="1" t="str">
        <f t="shared" si="64"/>
        <v>PRG-1019355</v>
      </c>
      <c r="E2154" t="s">
        <v>154</v>
      </c>
      <c r="F2154" t="s">
        <v>4</v>
      </c>
      <c r="G2154" t="str">
        <f>""</f>
        <v/>
      </c>
    </row>
    <row r="2155" spans="1:7" x14ac:dyDescent="0.25">
      <c r="A2155" t="s">
        <v>8</v>
      </c>
      <c r="B2155" s="1" t="str">
        <f>"000329242 - RICH FOODS-ROMANO'S MACARONI"</f>
        <v>000329242 - RICH FOODS-ROMANO'S MACARONI</v>
      </c>
      <c r="C2155" t="s">
        <v>153</v>
      </c>
      <c r="D2155" s="1" t="str">
        <f t="shared" si="64"/>
        <v>PRG-1019355</v>
      </c>
      <c r="E2155" t="s">
        <v>154</v>
      </c>
      <c r="F2155" t="s">
        <v>4</v>
      </c>
      <c r="G2155" t="str">
        <f>""</f>
        <v/>
      </c>
    </row>
    <row r="2156" spans="1:7" x14ac:dyDescent="0.25">
      <c r="A2156" t="s">
        <v>8</v>
      </c>
      <c r="B2156" s="1" t="str">
        <f>"000334864 - RICH FOODS-ROMANO'S MACARONI"</f>
        <v>000334864 - RICH FOODS-ROMANO'S MACARONI</v>
      </c>
      <c r="C2156" t="s">
        <v>153</v>
      </c>
      <c r="D2156" s="1" t="str">
        <f t="shared" si="64"/>
        <v>PRG-1019355</v>
      </c>
      <c r="E2156" t="s">
        <v>154</v>
      </c>
      <c r="F2156" t="s">
        <v>4</v>
      </c>
      <c r="G2156" t="str">
        <f>""</f>
        <v/>
      </c>
    </row>
    <row r="2157" spans="1:7" x14ac:dyDescent="0.25">
      <c r="A2157" t="s">
        <v>8</v>
      </c>
      <c r="B2157" s="1" t="str">
        <f>"000334913 - RICH FOODS-ROMANO'S MACARONI"</f>
        <v>000334913 - RICH FOODS-ROMANO'S MACARONI</v>
      </c>
      <c r="C2157" t="s">
        <v>153</v>
      </c>
      <c r="D2157" s="1" t="str">
        <f t="shared" si="64"/>
        <v>PRG-1019355</v>
      </c>
      <c r="E2157" t="s">
        <v>154</v>
      </c>
      <c r="F2157" t="s">
        <v>4</v>
      </c>
      <c r="G2157" t="str">
        <f>""</f>
        <v/>
      </c>
    </row>
    <row r="2158" spans="1:7" x14ac:dyDescent="0.25">
      <c r="A2158" t="s">
        <v>8</v>
      </c>
      <c r="B2158" s="1" t="str">
        <f>"000335879 - RICH FOODS EXCL CHI-ROMANOS"</f>
        <v>000335879 - RICH FOODS EXCL CHI-ROMANOS</v>
      </c>
      <c r="C2158" t="s">
        <v>284</v>
      </c>
      <c r="D2158" s="1" t="str">
        <f t="shared" si="64"/>
        <v>PRG-1019355</v>
      </c>
      <c r="E2158" t="s">
        <v>154</v>
      </c>
      <c r="F2158" t="s">
        <v>4</v>
      </c>
      <c r="G2158" t="str">
        <f>""</f>
        <v/>
      </c>
    </row>
    <row r="2159" spans="1:7" x14ac:dyDescent="0.25">
      <c r="A2159" t="s">
        <v>8</v>
      </c>
      <c r="B2159" s="1" t="str">
        <f>"000337968 - RICH FOODS-ROMANO'S MACARONI"</f>
        <v>000337968 - RICH FOODS-ROMANO'S MACARONI</v>
      </c>
      <c r="C2159" t="s">
        <v>153</v>
      </c>
      <c r="D2159" s="1" t="str">
        <f t="shared" si="64"/>
        <v>PRG-1019355</v>
      </c>
      <c r="E2159" t="s">
        <v>154</v>
      </c>
      <c r="F2159" t="s">
        <v>4</v>
      </c>
      <c r="G2159" t="str">
        <f>""</f>
        <v/>
      </c>
    </row>
    <row r="2160" spans="1:7" x14ac:dyDescent="0.25">
      <c r="A2160" t="s">
        <v>8</v>
      </c>
      <c r="B2160" s="1" t="str">
        <f>"000338166 - RICH FOODS-ROMANO'S MACARONI"</f>
        <v>000338166 - RICH FOODS-ROMANO'S MACARONI</v>
      </c>
      <c r="C2160" t="s">
        <v>153</v>
      </c>
      <c r="D2160" s="1" t="str">
        <f t="shared" si="64"/>
        <v>PRG-1019355</v>
      </c>
      <c r="E2160" t="s">
        <v>154</v>
      </c>
      <c r="F2160" t="s">
        <v>4</v>
      </c>
      <c r="G2160" t="str">
        <f>""</f>
        <v/>
      </c>
    </row>
    <row r="2161" spans="1:7" x14ac:dyDescent="0.25">
      <c r="A2161" t="s">
        <v>8</v>
      </c>
      <c r="B2161" s="1" t="str">
        <f>"000341051 - RICH FOODS EXCL CHI-ROMANOS"</f>
        <v>000341051 - RICH FOODS EXCL CHI-ROMANOS</v>
      </c>
      <c r="C2161" t="s">
        <v>284</v>
      </c>
      <c r="D2161" s="1" t="str">
        <f t="shared" si="64"/>
        <v>PRG-1019355</v>
      </c>
      <c r="E2161" t="s">
        <v>154</v>
      </c>
      <c r="F2161" t="s">
        <v>4</v>
      </c>
      <c r="G2161" t="str">
        <f>""</f>
        <v/>
      </c>
    </row>
    <row r="2162" spans="1:7" x14ac:dyDescent="0.25">
      <c r="A2162" t="s">
        <v>8</v>
      </c>
      <c r="B2162" s="1" t="str">
        <f>"000342203 - "</f>
        <v xml:space="preserve">000342203 - </v>
      </c>
      <c r="D2162" s="1" t="str">
        <f t="shared" si="64"/>
        <v>PRG-1019355</v>
      </c>
      <c r="E2162" t="s">
        <v>154</v>
      </c>
      <c r="F2162" t="s">
        <v>4</v>
      </c>
      <c r="G2162" t="str">
        <f>""</f>
        <v/>
      </c>
    </row>
    <row r="2163" spans="1:7" x14ac:dyDescent="0.25">
      <c r="A2163" t="s">
        <v>8</v>
      </c>
      <c r="B2163" s="1" t="str">
        <f>"000342392 - RICH FOODS-ROMANO'S MACARONI"</f>
        <v>000342392 - RICH FOODS-ROMANO'S MACARONI</v>
      </c>
      <c r="C2163" t="s">
        <v>153</v>
      </c>
      <c r="D2163" s="1" t="str">
        <f t="shared" si="64"/>
        <v>PRG-1019355</v>
      </c>
      <c r="E2163" t="s">
        <v>154</v>
      </c>
      <c r="F2163" t="s">
        <v>4</v>
      </c>
      <c r="G2163" t="str">
        <f>""</f>
        <v/>
      </c>
    </row>
    <row r="2164" spans="1:7" x14ac:dyDescent="0.25">
      <c r="A2164" t="s">
        <v>8</v>
      </c>
      <c r="B2164" s="1" t="str">
        <f>"000347422 - RICH FDS CHICAGO ONLY-ROMANOS"</f>
        <v>000347422 - RICH FDS CHICAGO ONLY-ROMANOS</v>
      </c>
      <c r="C2164" t="s">
        <v>3477</v>
      </c>
      <c r="D2164" s="1" t="str">
        <f t="shared" si="64"/>
        <v>PRG-1019355</v>
      </c>
      <c r="E2164" t="s">
        <v>154</v>
      </c>
      <c r="F2164" t="s">
        <v>4</v>
      </c>
      <c r="G2164" t="str">
        <f>""</f>
        <v/>
      </c>
    </row>
    <row r="2165" spans="1:7" x14ac:dyDescent="0.25">
      <c r="A2165" t="s">
        <v>8</v>
      </c>
      <c r="B2165" s="1" t="str">
        <f>"000347791 - RICH FOODS-ROMANO'S MACARONI"</f>
        <v>000347791 - RICH FOODS-ROMANO'S MACARONI</v>
      </c>
      <c r="C2165" t="s">
        <v>153</v>
      </c>
      <c r="D2165" s="1" t="str">
        <f t="shared" si="64"/>
        <v>PRG-1019355</v>
      </c>
      <c r="E2165" t="s">
        <v>154</v>
      </c>
      <c r="F2165" t="s">
        <v>4</v>
      </c>
      <c r="G2165" t="str">
        <f>""</f>
        <v/>
      </c>
    </row>
    <row r="2166" spans="1:7" x14ac:dyDescent="0.25">
      <c r="A2166" t="s">
        <v>8</v>
      </c>
      <c r="B2166" s="1" t="str">
        <f>"000347912 - RICH FOODS-ROMANO'S MACARONI"</f>
        <v>000347912 - RICH FOODS-ROMANO'S MACARONI</v>
      </c>
      <c r="C2166" t="s">
        <v>153</v>
      </c>
      <c r="D2166" s="1" t="str">
        <f t="shared" si="64"/>
        <v>PRG-1019355</v>
      </c>
      <c r="E2166" t="s">
        <v>154</v>
      </c>
      <c r="F2166" t="s">
        <v>4</v>
      </c>
      <c r="G2166" t="str">
        <f>""</f>
        <v/>
      </c>
    </row>
    <row r="2167" spans="1:7" x14ac:dyDescent="0.25">
      <c r="A2167" t="s">
        <v>8</v>
      </c>
      <c r="B2167" s="1" t="str">
        <f>"000350030 - "</f>
        <v xml:space="preserve">000350030 - </v>
      </c>
      <c r="D2167" s="1" t="str">
        <f t="shared" si="64"/>
        <v>PRG-1019355</v>
      </c>
      <c r="E2167" t="s">
        <v>154</v>
      </c>
      <c r="F2167" t="s">
        <v>4</v>
      </c>
      <c r="G2167" t="str">
        <f>""</f>
        <v/>
      </c>
    </row>
    <row r="2168" spans="1:7" x14ac:dyDescent="0.25">
      <c r="A2168" t="s">
        <v>8</v>
      </c>
      <c r="B2168" s="1" t="str">
        <f>"000350247 - RICH FOODS EXCL CHI-ROMANOS"</f>
        <v>000350247 - RICH FOODS EXCL CHI-ROMANOS</v>
      </c>
      <c r="C2168" t="s">
        <v>284</v>
      </c>
      <c r="D2168" s="1" t="str">
        <f t="shared" si="64"/>
        <v>PRG-1019355</v>
      </c>
      <c r="E2168" t="s">
        <v>154</v>
      </c>
      <c r="F2168" t="s">
        <v>4</v>
      </c>
      <c r="G2168" t="str">
        <f>""</f>
        <v/>
      </c>
    </row>
    <row r="2169" spans="1:7" x14ac:dyDescent="0.25">
      <c r="A2169" t="s">
        <v>8</v>
      </c>
      <c r="B2169" s="1" t="str">
        <f>"000354785 - "</f>
        <v xml:space="preserve">000354785 - </v>
      </c>
      <c r="D2169" s="1" t="str">
        <f t="shared" ref="D2169:D2177" si="65">"PRG-1019355"</f>
        <v>PRG-1019355</v>
      </c>
      <c r="E2169" t="s">
        <v>154</v>
      </c>
      <c r="F2169" t="s">
        <v>4</v>
      </c>
      <c r="G2169" t="str">
        <f>""</f>
        <v/>
      </c>
    </row>
    <row r="2170" spans="1:7" x14ac:dyDescent="0.25">
      <c r="A2170" t="s">
        <v>8</v>
      </c>
      <c r="B2170" s="1" t="str">
        <f>"000356096 - RICH FOODS-ROMANO'S MACARONI"</f>
        <v>000356096 - RICH FOODS-ROMANO'S MACARONI</v>
      </c>
      <c r="C2170" t="s">
        <v>153</v>
      </c>
      <c r="D2170" s="1" t="str">
        <f t="shared" si="65"/>
        <v>PRG-1019355</v>
      </c>
      <c r="E2170" t="s">
        <v>154</v>
      </c>
      <c r="F2170" t="s">
        <v>4</v>
      </c>
      <c r="G2170" t="str">
        <f>""</f>
        <v/>
      </c>
    </row>
    <row r="2171" spans="1:7" x14ac:dyDescent="0.25">
      <c r="A2171" t="s">
        <v>8</v>
      </c>
      <c r="B2171" s="1" t="str">
        <f>"000356166 - "</f>
        <v xml:space="preserve">000356166 - </v>
      </c>
      <c r="D2171" s="1" t="str">
        <f t="shared" si="65"/>
        <v>PRG-1019355</v>
      </c>
      <c r="E2171" t="s">
        <v>154</v>
      </c>
      <c r="F2171" t="s">
        <v>4</v>
      </c>
      <c r="G2171" t="str">
        <f>""</f>
        <v/>
      </c>
    </row>
    <row r="2172" spans="1:7" x14ac:dyDescent="0.25">
      <c r="A2172" t="s">
        <v>8</v>
      </c>
      <c r="B2172" s="1" t="str">
        <f>"000362402 - "</f>
        <v xml:space="preserve">000362402 - </v>
      </c>
      <c r="D2172" s="1" t="str">
        <f t="shared" si="65"/>
        <v>PRG-1019355</v>
      </c>
      <c r="E2172" t="s">
        <v>154</v>
      </c>
      <c r="F2172" t="s">
        <v>4</v>
      </c>
      <c r="G2172" t="str">
        <f>""</f>
        <v/>
      </c>
    </row>
    <row r="2173" spans="1:7" x14ac:dyDescent="0.25">
      <c r="A2173" t="s">
        <v>8</v>
      </c>
      <c r="B2173" s="1" t="str">
        <f>"000364799 - RICH FOODS EXCL CHI-ROMANOS"</f>
        <v>000364799 - RICH FOODS EXCL CHI-ROMANOS</v>
      </c>
      <c r="C2173" t="s">
        <v>284</v>
      </c>
      <c r="D2173" s="1" t="str">
        <f t="shared" si="65"/>
        <v>PRG-1019355</v>
      </c>
      <c r="E2173" t="s">
        <v>154</v>
      </c>
      <c r="F2173" t="s">
        <v>4</v>
      </c>
      <c r="G2173" t="str">
        <f>""</f>
        <v/>
      </c>
    </row>
    <row r="2174" spans="1:7" x14ac:dyDescent="0.25">
      <c r="A2174" t="s">
        <v>8</v>
      </c>
      <c r="B2174" s="1" t="str">
        <f>"2000396544 - RICH FOODS - MACARONI GRILL"</f>
        <v>2000396544 - RICH FOODS - MACARONI GRILL</v>
      </c>
      <c r="C2174" t="s">
        <v>4069</v>
      </c>
      <c r="D2174" s="1" t="str">
        <f t="shared" si="65"/>
        <v>PRG-1019355</v>
      </c>
      <c r="E2174" t="s">
        <v>154</v>
      </c>
      <c r="F2174" t="s">
        <v>4</v>
      </c>
      <c r="G2174" t="str">
        <f>""</f>
        <v/>
      </c>
    </row>
    <row r="2175" spans="1:7" x14ac:dyDescent="0.25">
      <c r="A2175" t="s">
        <v>8</v>
      </c>
      <c r="B2175" s="1" t="str">
        <f>"2000428016 - RICH FOODS-ROMANO'S MACARONI GRILL"</f>
        <v>2000428016 - RICH FOODS-ROMANO'S MACARONI GRILL</v>
      </c>
      <c r="C2175" t="s">
        <v>4074</v>
      </c>
      <c r="D2175" s="1" t="str">
        <f t="shared" si="65"/>
        <v>PRG-1019355</v>
      </c>
      <c r="E2175" t="s">
        <v>154</v>
      </c>
      <c r="F2175" t="s">
        <v>4</v>
      </c>
      <c r="G2175" t="str">
        <f>""</f>
        <v/>
      </c>
    </row>
    <row r="2176" spans="1:7" x14ac:dyDescent="0.25">
      <c r="A2176" t="s">
        <v>8</v>
      </c>
      <c r="B2176" s="1" t="str">
        <f>"2000450509 - RICH FOODS-ROMANO'S MACARONI GRILL"</f>
        <v>2000450509 - RICH FOODS-ROMANO'S MACARONI GRILL</v>
      </c>
      <c r="C2176" t="s">
        <v>4074</v>
      </c>
      <c r="D2176" s="1" t="str">
        <f t="shared" si="65"/>
        <v>PRG-1019355</v>
      </c>
      <c r="E2176" t="s">
        <v>154</v>
      </c>
      <c r="F2176" t="s">
        <v>4</v>
      </c>
      <c r="G2176" t="str">
        <f>""</f>
        <v/>
      </c>
    </row>
    <row r="2177" spans="1:7" x14ac:dyDescent="0.25">
      <c r="A2177" t="s">
        <v>8</v>
      </c>
      <c r="B2177" s="1" t="str">
        <f>"365479 - "</f>
        <v xml:space="preserve">365479 - </v>
      </c>
      <c r="D2177" s="1" t="str">
        <f t="shared" si="65"/>
        <v>PRG-1019355</v>
      </c>
      <c r="E2177" t="s">
        <v>154</v>
      </c>
      <c r="F2177" t="s">
        <v>4</v>
      </c>
      <c r="G2177" t="str">
        <f>""</f>
        <v/>
      </c>
    </row>
    <row r="2178" spans="1:7" x14ac:dyDescent="0.25">
      <c r="A2178" t="s">
        <v>8</v>
      </c>
      <c r="B2178" s="1" t="str">
        <f>"3230D961"</f>
        <v>3230D961</v>
      </c>
      <c r="C2178" t="s">
        <v>4899</v>
      </c>
      <c r="D2178" s="1" t="str">
        <f>"PRG-1019421"</f>
        <v>PRG-1019421</v>
      </c>
      <c r="E2178" t="s">
        <v>4900</v>
      </c>
      <c r="F2178" t="s">
        <v>5</v>
      </c>
      <c r="G2178" t="str">
        <f>""</f>
        <v/>
      </c>
    </row>
    <row r="2179" spans="1:7" x14ac:dyDescent="0.25">
      <c r="A2179" t="s">
        <v>8</v>
      </c>
      <c r="B2179" s="1" t="str">
        <f>"000218486 - RICH H&amp;H CAMPS 2014"</f>
        <v>000218486 - RICH H&amp;H CAMPS 2014</v>
      </c>
      <c r="C2179" t="s">
        <v>1564</v>
      </c>
      <c r="D2179" s="1" t="str">
        <f>"PRG-1019435"</f>
        <v>PRG-1019435</v>
      </c>
      <c r="E2179" t="s">
        <v>1565</v>
      </c>
      <c r="F2179" t="s">
        <v>4</v>
      </c>
      <c r="G2179" t="str">
        <f>""</f>
        <v/>
      </c>
    </row>
    <row r="2180" spans="1:7" x14ac:dyDescent="0.25">
      <c r="A2180" t="s">
        <v>8</v>
      </c>
      <c r="B2180" s="1" t="str">
        <f>"000208946 - RICH'S ADVENTURELAND"</f>
        <v>000208946 - RICH'S ADVENTURELAND</v>
      </c>
      <c r="C2180" t="s">
        <v>1417</v>
      </c>
      <c r="D2180" s="1" t="str">
        <f>"PRG-1019508"</f>
        <v>PRG-1019508</v>
      </c>
      <c r="E2180" t="s">
        <v>1418</v>
      </c>
      <c r="F2180" t="s">
        <v>4</v>
      </c>
      <c r="G2180" t="str">
        <f>""</f>
        <v/>
      </c>
    </row>
    <row r="2181" spans="1:7" x14ac:dyDescent="0.25">
      <c r="A2181" t="s">
        <v>8</v>
      </c>
      <c r="B2181" s="1" t="str">
        <f>"000240239 - "</f>
        <v xml:space="preserve">000240239 - </v>
      </c>
      <c r="D2181" s="1" t="str">
        <f>"PRG-1019508"</f>
        <v>PRG-1019508</v>
      </c>
      <c r="E2181" t="s">
        <v>1418</v>
      </c>
      <c r="F2181" t="s">
        <v>4</v>
      </c>
      <c r="G2181" t="str">
        <f>""</f>
        <v/>
      </c>
    </row>
    <row r="2182" spans="1:7" x14ac:dyDescent="0.25">
      <c r="A2182" t="s">
        <v>8</v>
      </c>
      <c r="B2182" s="1" t="str">
        <f>"000258788 - "</f>
        <v xml:space="preserve">000258788 - </v>
      </c>
      <c r="D2182" s="1" t="str">
        <f>"PRG-1019508"</f>
        <v>PRG-1019508</v>
      </c>
      <c r="E2182" t="s">
        <v>1418</v>
      </c>
      <c r="F2182" t="s">
        <v>4</v>
      </c>
      <c r="G2182" t="str">
        <f>""</f>
        <v/>
      </c>
    </row>
    <row r="2183" spans="1:7" x14ac:dyDescent="0.25">
      <c r="A2183" t="s">
        <v>8</v>
      </c>
      <c r="B2183" s="1" t="str">
        <f>"000003544 - MCMILLAN'S RICH'S PRODUCTS REB"</f>
        <v>000003544 - MCMILLAN'S RICH'S PRODUCTS REB</v>
      </c>
      <c r="C2183" t="s">
        <v>163</v>
      </c>
      <c r="D2183" s="1" t="str">
        <f>"PRG-1019517"</f>
        <v>PRG-1019517</v>
      </c>
      <c r="E2183" t="s">
        <v>164</v>
      </c>
      <c r="F2183" t="s">
        <v>4</v>
      </c>
      <c r="G2183" t="str">
        <f>""</f>
        <v/>
      </c>
    </row>
    <row r="2184" spans="1:7" x14ac:dyDescent="0.25">
      <c r="A2184" t="s">
        <v>8</v>
      </c>
      <c r="B2184" s="1" t="str">
        <f>"000108524 - RICH-DC PAPPAS PIZZA"</f>
        <v>000108524 - RICH-DC PAPPAS PIZZA</v>
      </c>
      <c r="C2184" t="s">
        <v>825</v>
      </c>
      <c r="D2184" s="1" t="str">
        <f>"PRG-1019519"</f>
        <v>PRG-1019519</v>
      </c>
      <c r="E2184" t="s">
        <v>826</v>
      </c>
      <c r="F2184" t="s">
        <v>4</v>
      </c>
      <c r="G2184" t="str">
        <f>""</f>
        <v/>
      </c>
    </row>
    <row r="2185" spans="1:7" x14ac:dyDescent="0.25">
      <c r="A2185" t="s">
        <v>8</v>
      </c>
      <c r="B2185" s="1" t="str">
        <f>"000231226 - PAPPAS PIZZA RICH PRODUCTS"</f>
        <v>000231226 - PAPPAS PIZZA RICH PRODUCTS</v>
      </c>
      <c r="C2185" t="s">
        <v>1767</v>
      </c>
      <c r="D2185" s="1" t="str">
        <f>"PRG-1019519"</f>
        <v>PRG-1019519</v>
      </c>
      <c r="E2185" t="s">
        <v>826</v>
      </c>
      <c r="F2185" t="s">
        <v>4</v>
      </c>
      <c r="G2185" t="str">
        <f>""</f>
        <v/>
      </c>
    </row>
    <row r="2186" spans="1:7" x14ac:dyDescent="0.25">
      <c r="A2186" t="s">
        <v>8</v>
      </c>
      <c r="B2186" s="1" t="str">
        <f>"000264306 - RICH'S COMPETITIVE BB"</f>
        <v>000264306 - RICH'S COMPETITIVE BB</v>
      </c>
      <c r="C2186" t="s">
        <v>2361</v>
      </c>
      <c r="D2186" s="1" t="str">
        <f>"PRG-1019540"</f>
        <v>PRG-1019540</v>
      </c>
      <c r="E2186" t="s">
        <v>2362</v>
      </c>
      <c r="F2186" t="s">
        <v>4</v>
      </c>
      <c r="G2186" t="str">
        <f>""</f>
        <v/>
      </c>
    </row>
    <row r="2187" spans="1:7" x14ac:dyDescent="0.25">
      <c r="A2187" t="s">
        <v>8</v>
      </c>
      <c r="B2187" s="1" t="str">
        <f>"000316536 - RICH FDS CORE BB-MAIN ARAMARK"</f>
        <v>000316536 - RICH FDS CORE BB-MAIN ARAMARK</v>
      </c>
      <c r="C2187" t="s">
        <v>196</v>
      </c>
      <c r="D2187" s="1" t="str">
        <f>"PRG-1019540"</f>
        <v>PRG-1019540</v>
      </c>
      <c r="E2187" t="s">
        <v>2362</v>
      </c>
      <c r="F2187" t="s">
        <v>4</v>
      </c>
      <c r="G2187" t="str">
        <f>""</f>
        <v/>
      </c>
    </row>
    <row r="2188" spans="1:7" x14ac:dyDescent="0.25">
      <c r="A2188" t="s">
        <v>8</v>
      </c>
      <c r="B2188" s="1" t="str">
        <f>"000318777 - RICHS MILLER &amp; SONS"</f>
        <v>000318777 - RICHS MILLER &amp; SONS</v>
      </c>
      <c r="C2188" t="s">
        <v>3220</v>
      </c>
      <c r="D2188" s="1" t="str">
        <f>"PRG-1019540"</f>
        <v>PRG-1019540</v>
      </c>
      <c r="E2188" t="s">
        <v>2362</v>
      </c>
      <c r="F2188" t="s">
        <v>4</v>
      </c>
      <c r="G2188" t="str">
        <f>""</f>
        <v/>
      </c>
    </row>
    <row r="2189" spans="1:7" x14ac:dyDescent="0.25">
      <c r="A2189" t="s">
        <v>8</v>
      </c>
      <c r="B2189" s="1" t="str">
        <f>"2270RH06"</f>
        <v>2270RH06</v>
      </c>
      <c r="C2189" t="s">
        <v>4482</v>
      </c>
      <c r="D2189" s="1" t="str">
        <f>"PRG-1019558"</f>
        <v>PRG-1019558</v>
      </c>
      <c r="E2189" t="s">
        <v>4483</v>
      </c>
      <c r="F2189" t="s">
        <v>5</v>
      </c>
      <c r="G2189" t="str">
        <f>""</f>
        <v/>
      </c>
    </row>
    <row r="2190" spans="1:7" x14ac:dyDescent="0.25">
      <c r="A2190" t="s">
        <v>8</v>
      </c>
      <c r="B2190" s="1" t="str">
        <f>"000083553 - RICH BLACKHORSE"</f>
        <v>000083553 - RICH BLACKHORSE</v>
      </c>
      <c r="C2190" t="s">
        <v>758</v>
      </c>
      <c r="D2190" s="1" t="str">
        <f>"PRG-1019559"</f>
        <v>PRG-1019559</v>
      </c>
      <c r="E2190" t="s">
        <v>759</v>
      </c>
      <c r="F2190" t="s">
        <v>4</v>
      </c>
      <c r="G2190" t="str">
        <f>""</f>
        <v/>
      </c>
    </row>
    <row r="2191" spans="1:7" x14ac:dyDescent="0.25">
      <c r="A2191" t="s">
        <v>8</v>
      </c>
      <c r="B2191" s="1" t="str">
        <f>"000246124 - RICHS  BLACK HORSE RESTAURANT"</f>
        <v>000246124 - RICHS  BLACK HORSE RESTAURANT</v>
      </c>
      <c r="C2191" t="s">
        <v>2018</v>
      </c>
      <c r="D2191" s="1" t="str">
        <f>"PRG-1019559"</f>
        <v>PRG-1019559</v>
      </c>
      <c r="E2191" t="s">
        <v>759</v>
      </c>
      <c r="F2191" t="s">
        <v>4</v>
      </c>
      <c r="G2191" t="str">
        <f>""</f>
        <v/>
      </c>
    </row>
    <row r="2192" spans="1:7" x14ac:dyDescent="0.25">
      <c r="A2192" t="s">
        <v>8</v>
      </c>
      <c r="B2192" s="1" t="str">
        <f>"000180085 - 1019561 SAMSTOWN RICH"</f>
        <v>000180085 - 1019561 SAMSTOWN RICH</v>
      </c>
      <c r="C2192" t="s">
        <v>1137</v>
      </c>
      <c r="D2192" s="1" t="str">
        <f>"PRG-1019561"</f>
        <v>PRG-1019561</v>
      </c>
      <c r="E2192" t="s">
        <v>1138</v>
      </c>
      <c r="F2192" t="s">
        <v>4</v>
      </c>
      <c r="G2192" t="str">
        <f>""</f>
        <v/>
      </c>
    </row>
    <row r="2193" spans="1:7" x14ac:dyDescent="0.25">
      <c r="A2193" t="s">
        <v>8</v>
      </c>
      <c r="B2193" s="1" t="str">
        <f>"000198527 - 1019561 SAMSTOWN RICH"</f>
        <v>000198527 - 1019561 SAMSTOWN RICH</v>
      </c>
      <c r="C2193" t="s">
        <v>1137</v>
      </c>
      <c r="D2193" s="1" t="str">
        <f>"PRG-1019561"</f>
        <v>PRG-1019561</v>
      </c>
      <c r="E2193" t="s">
        <v>1138</v>
      </c>
      <c r="F2193" t="s">
        <v>4</v>
      </c>
      <c r="G2193" t="str">
        <f>""</f>
        <v/>
      </c>
    </row>
    <row r="2194" spans="1:7" x14ac:dyDescent="0.25">
      <c r="A2194" t="s">
        <v>8</v>
      </c>
      <c r="B2194" s="1" t="str">
        <f>"000220127 - 1019561 SAMSTOWN(RICH-245072)"</f>
        <v>000220127 - 1019561 SAMSTOWN(RICH-245072)</v>
      </c>
      <c r="C2194" t="s">
        <v>1579</v>
      </c>
      <c r="D2194" s="1" t="str">
        <f>"PRG-1019561"</f>
        <v>PRG-1019561</v>
      </c>
      <c r="E2194" t="s">
        <v>1138</v>
      </c>
      <c r="F2194" t="s">
        <v>4</v>
      </c>
      <c r="G2194" t="str">
        <f>""</f>
        <v/>
      </c>
    </row>
    <row r="2195" spans="1:7" x14ac:dyDescent="0.25">
      <c r="A2195" t="s">
        <v>8</v>
      </c>
      <c r="B2195" s="1" t="str">
        <f>"2190B384"</f>
        <v>2190B384</v>
      </c>
      <c r="C2195" t="s">
        <v>4225</v>
      </c>
      <c r="D2195" s="1" t="str">
        <f>"PRG-1019644"</f>
        <v>PRG-1019644</v>
      </c>
      <c r="E2195" t="s">
        <v>4226</v>
      </c>
      <c r="F2195" t="s">
        <v>5</v>
      </c>
      <c r="G2195" t="str">
        <f>""</f>
        <v/>
      </c>
    </row>
    <row r="2196" spans="1:7" x14ac:dyDescent="0.25">
      <c r="A2196" t="s">
        <v>8</v>
      </c>
      <c r="B2196" s="1" t="str">
        <f>"000000708 - RICH'S-BAHAMA BUCK'S"</f>
        <v>000000708 - RICH'S-BAHAMA BUCK'S</v>
      </c>
      <c r="C2196" t="s">
        <v>66</v>
      </c>
      <c r="D2196" s="1" t="str">
        <f t="shared" ref="D2196:D2204" si="66">"PRG-1019652"</f>
        <v>PRG-1019652</v>
      </c>
      <c r="E2196" t="s">
        <v>67</v>
      </c>
      <c r="F2196" t="s">
        <v>4</v>
      </c>
      <c r="G2196" t="str">
        <f>""</f>
        <v/>
      </c>
    </row>
    <row r="2197" spans="1:7" x14ac:dyDescent="0.25">
      <c r="A2197" t="s">
        <v>8</v>
      </c>
      <c r="B2197" s="1" t="str">
        <f>"000069623 - RICH BAHAMA BUCKS"</f>
        <v>000069623 - RICH BAHAMA BUCKS</v>
      </c>
      <c r="C2197" t="s">
        <v>727</v>
      </c>
      <c r="D2197" s="1" t="str">
        <f t="shared" si="66"/>
        <v>PRG-1019652</v>
      </c>
      <c r="E2197" t="s">
        <v>67</v>
      </c>
      <c r="F2197" t="s">
        <v>4</v>
      </c>
      <c r="G2197" t="str">
        <f>""</f>
        <v/>
      </c>
    </row>
    <row r="2198" spans="1:7" x14ac:dyDescent="0.25">
      <c r="A2198" t="s">
        <v>8</v>
      </c>
      <c r="B2198" s="1" t="str">
        <f>"000249658 - BAHAMA BUCKS RICHS"</f>
        <v>000249658 - BAHAMA BUCKS RICHS</v>
      </c>
      <c r="C2198" t="s">
        <v>2076</v>
      </c>
      <c r="D2198" s="1" t="str">
        <f t="shared" si="66"/>
        <v>PRG-1019652</v>
      </c>
      <c r="E2198" t="s">
        <v>67</v>
      </c>
      <c r="F2198" t="s">
        <v>4</v>
      </c>
      <c r="G2198" t="str">
        <f>""</f>
        <v/>
      </c>
    </row>
    <row r="2199" spans="1:7" x14ac:dyDescent="0.25">
      <c r="A2199" t="s">
        <v>8</v>
      </c>
      <c r="B2199" s="1" t="str">
        <f>"000264166 - RICHS  BAHAMA BUCK'S"</f>
        <v>000264166 - RICHS  BAHAMA BUCK'S</v>
      </c>
      <c r="C2199" t="s">
        <v>2348</v>
      </c>
      <c r="D2199" s="1" t="str">
        <f t="shared" si="66"/>
        <v>PRG-1019652</v>
      </c>
      <c r="E2199" t="s">
        <v>67</v>
      </c>
      <c r="F2199" t="s">
        <v>4</v>
      </c>
      <c r="G2199" t="str">
        <f>""</f>
        <v/>
      </c>
    </row>
    <row r="2200" spans="1:7" x14ac:dyDescent="0.25">
      <c r="A2200" t="s">
        <v>8</v>
      </c>
      <c r="B2200" s="1" t="str">
        <f>"000298227 - BAHAMA BUCK - RICH PRODUCTS"</f>
        <v>000298227 - BAHAMA BUCK - RICH PRODUCTS</v>
      </c>
      <c r="C2200" t="s">
        <v>2932</v>
      </c>
      <c r="D2200" s="1" t="str">
        <f t="shared" si="66"/>
        <v>PRG-1019652</v>
      </c>
      <c r="E2200" t="s">
        <v>67</v>
      </c>
      <c r="F2200" t="s">
        <v>4</v>
      </c>
      <c r="G2200" t="str">
        <f>""</f>
        <v/>
      </c>
    </row>
    <row r="2201" spans="1:7" x14ac:dyDescent="0.25">
      <c r="A2201" t="s">
        <v>8</v>
      </c>
      <c r="B2201" s="1" t="str">
        <f>"2000214657 - RICH PRODUCTS NTX-BAHAMA BUCK'S"</f>
        <v>2000214657 - RICH PRODUCTS NTX-BAHAMA BUCK'S</v>
      </c>
      <c r="C2201" t="s">
        <v>3955</v>
      </c>
      <c r="D2201" s="1" t="str">
        <f t="shared" si="66"/>
        <v>PRG-1019652</v>
      </c>
      <c r="E2201" t="s">
        <v>67</v>
      </c>
      <c r="F2201" t="s">
        <v>4</v>
      </c>
      <c r="G2201" t="str">
        <f>""</f>
        <v/>
      </c>
    </row>
    <row r="2202" spans="1:7" x14ac:dyDescent="0.25">
      <c r="A2202" t="s">
        <v>8</v>
      </c>
      <c r="B2202" s="1" t="str">
        <f>"2000240866 - RICH'S-BAHAMA BUCKS"</f>
        <v>2000240866 - RICH'S-BAHAMA BUCKS</v>
      </c>
      <c r="C2202" t="s">
        <v>3633</v>
      </c>
      <c r="D2202" s="1" t="str">
        <f t="shared" si="66"/>
        <v>PRG-1019652</v>
      </c>
      <c r="E2202" t="s">
        <v>67</v>
      </c>
      <c r="F2202" t="s">
        <v>4</v>
      </c>
      <c r="G2202" t="str">
        <f>""</f>
        <v/>
      </c>
    </row>
    <row r="2203" spans="1:7" x14ac:dyDescent="0.25">
      <c r="A2203" t="s">
        <v>8</v>
      </c>
      <c r="B2203" s="1" t="str">
        <f>"2000406856 - RICH'S-BAHAMA BUCK'S"</f>
        <v>2000406856 - RICH'S-BAHAMA BUCK'S</v>
      </c>
      <c r="C2203" t="s">
        <v>66</v>
      </c>
      <c r="D2203" s="1" t="str">
        <f t="shared" si="66"/>
        <v>PRG-1019652</v>
      </c>
      <c r="E2203" t="s">
        <v>67</v>
      </c>
      <c r="F2203" t="s">
        <v>4</v>
      </c>
      <c r="G2203" t="str">
        <f>""</f>
        <v/>
      </c>
    </row>
    <row r="2204" spans="1:7" x14ac:dyDescent="0.25">
      <c r="A2204" t="s">
        <v>8</v>
      </c>
      <c r="B2204" s="1" t="str">
        <f>"2000430065 - RICH'S - BAHAMA BUCKS"</f>
        <v>2000430065 - RICH'S - BAHAMA BUCKS</v>
      </c>
      <c r="C2204" t="s">
        <v>4075</v>
      </c>
      <c r="D2204" s="1" t="str">
        <f t="shared" si="66"/>
        <v>PRG-1019652</v>
      </c>
      <c r="E2204" t="s">
        <v>67</v>
      </c>
      <c r="F2204" t="s">
        <v>4</v>
      </c>
      <c r="G2204" t="str">
        <f>""</f>
        <v/>
      </c>
    </row>
    <row r="2205" spans="1:7" x14ac:dyDescent="0.25">
      <c r="A2205" t="s">
        <v>8</v>
      </c>
      <c r="B2205" s="1" t="str">
        <f>"000208590 - RICHS CENTRAL COLLEGE"</f>
        <v>000208590 - RICHS CENTRAL COLLEGE</v>
      </c>
      <c r="C2205" t="s">
        <v>1406</v>
      </c>
      <c r="D2205" s="1" t="str">
        <f>"PRG-1019658"</f>
        <v>PRG-1019658</v>
      </c>
      <c r="E2205" t="s">
        <v>1407</v>
      </c>
      <c r="F2205" t="s">
        <v>4</v>
      </c>
      <c r="G2205" t="str">
        <f>""</f>
        <v/>
      </c>
    </row>
    <row r="2206" spans="1:7" x14ac:dyDescent="0.25">
      <c r="A2206" t="s">
        <v>8</v>
      </c>
      <c r="B2206" s="1" t="str">
        <f>"000219884 - RICHS CENTRAL COLLEGE"</f>
        <v>000219884 - RICHS CENTRAL COLLEGE</v>
      </c>
      <c r="C2206" t="s">
        <v>1406</v>
      </c>
      <c r="D2206" s="1" t="str">
        <f>"PRG-1019658"</f>
        <v>PRG-1019658</v>
      </c>
      <c r="E2206" t="s">
        <v>1407</v>
      </c>
      <c r="F2206" t="s">
        <v>4</v>
      </c>
      <c r="G2206" t="str">
        <f>""</f>
        <v/>
      </c>
    </row>
    <row r="2207" spans="1:7" x14ac:dyDescent="0.25">
      <c r="A2207" t="s">
        <v>8</v>
      </c>
      <c r="B2207" s="1" t="str">
        <f>"000244953 - "</f>
        <v xml:space="preserve">000244953 - </v>
      </c>
      <c r="D2207" s="1" t="str">
        <f>"PRG-1019658"</f>
        <v>PRG-1019658</v>
      </c>
      <c r="E2207" t="s">
        <v>1407</v>
      </c>
      <c r="F2207" t="s">
        <v>4</v>
      </c>
      <c r="G2207" t="str">
        <f>""</f>
        <v/>
      </c>
    </row>
    <row r="2208" spans="1:7" x14ac:dyDescent="0.25">
      <c r="A2208" t="s">
        <v>8</v>
      </c>
      <c r="B2208" s="1" t="str">
        <f>"2010B352"</f>
        <v>2010B352</v>
      </c>
      <c r="C2208" t="s">
        <v>4092</v>
      </c>
      <c r="D2208" s="1" t="str">
        <f>"PRG-1019749"</f>
        <v>PRG-1019749</v>
      </c>
      <c r="E2208" t="s">
        <v>4092</v>
      </c>
      <c r="F2208" t="s">
        <v>5</v>
      </c>
      <c r="G2208" t="str">
        <f>""</f>
        <v/>
      </c>
    </row>
    <row r="2209" spans="1:7" x14ac:dyDescent="0.25">
      <c r="A2209" t="s">
        <v>8</v>
      </c>
      <c r="B2209" s="1" t="str">
        <f>"6026ST51"</f>
        <v>6026ST51</v>
      </c>
      <c r="C2209" t="s">
        <v>5154</v>
      </c>
      <c r="D2209" s="1" t="str">
        <f>"PRG-1019758"</f>
        <v>PRG-1019758</v>
      </c>
      <c r="E2209" t="s">
        <v>5155</v>
      </c>
      <c r="F2209" t="s">
        <v>5</v>
      </c>
      <c r="G2209" t="str">
        <f>""</f>
        <v/>
      </c>
    </row>
    <row r="2210" spans="1:7" x14ac:dyDescent="0.25">
      <c r="A2210" t="s">
        <v>8</v>
      </c>
      <c r="B2210" s="1" t="str">
        <f>"2000182953 - RICHS SALS"</f>
        <v>2000182953 - RICHS SALS</v>
      </c>
      <c r="C2210" t="s">
        <v>3904</v>
      </c>
      <c r="D2210" s="1" t="str">
        <f>"PRG-1019803"</f>
        <v>PRG-1019803</v>
      </c>
      <c r="E2210" t="s">
        <v>3905</v>
      </c>
      <c r="F2210" t="s">
        <v>4</v>
      </c>
      <c r="G2210" t="str">
        <f>""</f>
        <v/>
      </c>
    </row>
    <row r="2211" spans="1:7" x14ac:dyDescent="0.25">
      <c r="A2211" t="s">
        <v>8</v>
      </c>
      <c r="B2211" s="1" t="str">
        <f>"000204482 - PEARL RIVER RESORT RICH"</f>
        <v>000204482 - PEARL RIVER RESORT RICH</v>
      </c>
      <c r="C2211" t="s">
        <v>1352</v>
      </c>
      <c r="D2211" s="1" t="str">
        <f>"PRG-1019843"</f>
        <v>PRG-1019843</v>
      </c>
      <c r="E2211" t="s">
        <v>1353</v>
      </c>
      <c r="F2211" t="s">
        <v>4</v>
      </c>
      <c r="G2211" t="str">
        <f>""</f>
        <v/>
      </c>
    </row>
    <row r="2212" spans="1:7" x14ac:dyDescent="0.25">
      <c r="A2212" t="s">
        <v>8</v>
      </c>
      <c r="B2212" s="1" t="str">
        <f>"000214922 - PEARL RIVER RESORT RICH"</f>
        <v>000214922 - PEARL RIVER RESORT RICH</v>
      </c>
      <c r="C2212" t="s">
        <v>1352</v>
      </c>
      <c r="D2212" s="1" t="str">
        <f>"PRG-1019843"</f>
        <v>PRG-1019843</v>
      </c>
      <c r="E2212" t="s">
        <v>1353</v>
      </c>
      <c r="F2212" t="s">
        <v>4</v>
      </c>
      <c r="G2212" t="str">
        <f>""</f>
        <v/>
      </c>
    </row>
    <row r="2213" spans="1:7" x14ac:dyDescent="0.25">
      <c r="A2213" t="s">
        <v>8</v>
      </c>
      <c r="B2213" s="1" t="str">
        <f>"000223391 - PEARL RIVER RESORT PAR WAY"</f>
        <v>000223391 - PEARL RIVER RESORT PAR WAY</v>
      </c>
      <c r="C2213" t="s">
        <v>1646</v>
      </c>
      <c r="D2213" s="1" t="str">
        <f>"PRG-1019843"</f>
        <v>PRG-1019843</v>
      </c>
      <c r="E2213" t="s">
        <v>1353</v>
      </c>
      <c r="F2213" t="s">
        <v>4</v>
      </c>
      <c r="G2213" t="str">
        <f>""</f>
        <v/>
      </c>
    </row>
    <row r="2214" spans="1:7" x14ac:dyDescent="0.25">
      <c r="A2214" t="s">
        <v>8</v>
      </c>
      <c r="B2214" s="1" t="str">
        <f>"000231241 - PEARL RIVER RESORT RICH"</f>
        <v>000231241 - PEARL RIVER RESORT RICH</v>
      </c>
      <c r="C2214" t="s">
        <v>1352</v>
      </c>
      <c r="D2214" s="1" t="str">
        <f>"PRG-1019843"</f>
        <v>PRG-1019843</v>
      </c>
      <c r="E2214" t="s">
        <v>1353</v>
      </c>
      <c r="F2214" t="s">
        <v>4</v>
      </c>
      <c r="G2214" t="str">
        <f>""</f>
        <v/>
      </c>
    </row>
    <row r="2215" spans="1:7" x14ac:dyDescent="0.25">
      <c r="A2215" t="s">
        <v>8</v>
      </c>
      <c r="B2215" s="1" t="str">
        <f>"000246494 - PEARL RIVER RESORT RICH"</f>
        <v>000246494 - PEARL RIVER RESORT RICH</v>
      </c>
      <c r="C2215" t="s">
        <v>1352</v>
      </c>
      <c r="D2215" s="1" t="str">
        <f>"PRG-1019843"</f>
        <v>PRG-1019843</v>
      </c>
      <c r="E2215" t="s">
        <v>1353</v>
      </c>
      <c r="F2215" t="s">
        <v>4</v>
      </c>
      <c r="G2215" t="str">
        <f>""</f>
        <v/>
      </c>
    </row>
    <row r="2216" spans="1:7" x14ac:dyDescent="0.25">
      <c r="A2216" t="s">
        <v>8</v>
      </c>
      <c r="B2216" s="1" t="str">
        <f>"1054A816"</f>
        <v>1054A816</v>
      </c>
      <c r="C2216" t="s">
        <v>3775</v>
      </c>
      <c r="D2216" s="1" t="str">
        <f>"PRG-1019872"</f>
        <v>PRG-1019872</v>
      </c>
      <c r="E2216" t="s">
        <v>3776</v>
      </c>
      <c r="F2216" t="s">
        <v>5</v>
      </c>
      <c r="G2216" t="str">
        <f>""</f>
        <v/>
      </c>
    </row>
    <row r="2217" spans="1:7" x14ac:dyDescent="0.25">
      <c r="A2217" t="s">
        <v>8</v>
      </c>
      <c r="B2217" s="1" t="str">
        <f>"22207727"</f>
        <v>22207727</v>
      </c>
      <c r="C2217" t="s">
        <v>3776</v>
      </c>
      <c r="D2217" s="1" t="str">
        <f>"PRG-1019872"</f>
        <v>PRG-1019872</v>
      </c>
      <c r="E2217" t="s">
        <v>3776</v>
      </c>
      <c r="F2217" t="s">
        <v>5</v>
      </c>
      <c r="G2217" t="str">
        <f>""</f>
        <v/>
      </c>
    </row>
    <row r="2218" spans="1:7" x14ac:dyDescent="0.25">
      <c r="A2218" t="s">
        <v>8</v>
      </c>
      <c r="B2218" s="1" t="str">
        <f>"2230A687"</f>
        <v>2230A687</v>
      </c>
      <c r="C2218" t="s">
        <v>4307</v>
      </c>
      <c r="D2218" s="1" t="str">
        <f>"PRG-1019872"</f>
        <v>PRG-1019872</v>
      </c>
      <c r="E2218" t="s">
        <v>3776</v>
      </c>
      <c r="F2218" t="s">
        <v>5</v>
      </c>
      <c r="G2218" t="str">
        <f>""</f>
        <v/>
      </c>
    </row>
    <row r="2219" spans="1:7" x14ac:dyDescent="0.25">
      <c r="A2219" t="s">
        <v>8</v>
      </c>
      <c r="B2219" s="1" t="str">
        <f>"3210A639"</f>
        <v>3210A639</v>
      </c>
      <c r="C2219" t="s">
        <v>4809</v>
      </c>
      <c r="D2219" s="1" t="str">
        <f>"PRG-1019892"</f>
        <v>PRG-1019892</v>
      </c>
      <c r="E2219" t="s">
        <v>4810</v>
      </c>
      <c r="F2219" t="s">
        <v>5</v>
      </c>
      <c r="G2219" t="str">
        <f>""</f>
        <v/>
      </c>
    </row>
    <row r="2220" spans="1:7" x14ac:dyDescent="0.25">
      <c r="A2220" t="s">
        <v>8</v>
      </c>
      <c r="B2220" s="1" t="str">
        <f>"2000132819 - RICH'S WILDFLOWER BREAD"</f>
        <v>2000132819 - RICH'S WILDFLOWER BREAD</v>
      </c>
      <c r="C2220" t="s">
        <v>3849</v>
      </c>
      <c r="D2220" s="1" t="str">
        <f>"PRG-1019920"</f>
        <v>PRG-1019920</v>
      </c>
      <c r="E2220" t="s">
        <v>2709</v>
      </c>
      <c r="F2220" t="s">
        <v>4</v>
      </c>
      <c r="G2220" t="str">
        <f>""</f>
        <v/>
      </c>
    </row>
    <row r="2221" spans="1:7" x14ac:dyDescent="0.25">
      <c r="A2221" t="s">
        <v>8</v>
      </c>
      <c r="B2221" s="1" t="str">
        <f>"2000338388 - RICH-WILDFLOWER BREAD COMPANY"</f>
        <v>2000338388 - RICH-WILDFLOWER BREAD COMPANY</v>
      </c>
      <c r="C2221" t="s">
        <v>34</v>
      </c>
      <c r="D2221" s="1" t="str">
        <f>"PRG-1019920"</f>
        <v>PRG-1019920</v>
      </c>
      <c r="E2221" t="s">
        <v>2709</v>
      </c>
      <c r="F2221" t="s">
        <v>4</v>
      </c>
      <c r="G2221" t="str">
        <f>""</f>
        <v/>
      </c>
    </row>
    <row r="2222" spans="1:7" x14ac:dyDescent="0.25">
      <c r="A2222" t="s">
        <v>8</v>
      </c>
      <c r="B2222" s="1" t="str">
        <f>"3126A650"</f>
        <v>3126A650</v>
      </c>
      <c r="C2222" t="s">
        <v>4616</v>
      </c>
      <c r="D2222" s="1" t="str">
        <f>"PRG-1019949"</f>
        <v>PRG-1019949</v>
      </c>
      <c r="E2222" t="s">
        <v>4617</v>
      </c>
      <c r="F2222" t="s">
        <v>5</v>
      </c>
      <c r="G2222" t="str">
        <f>""</f>
        <v/>
      </c>
    </row>
    <row r="2223" spans="1:7" x14ac:dyDescent="0.25">
      <c r="A2223" t="s">
        <v>8</v>
      </c>
      <c r="B2223" s="1" t="str">
        <f>"3160D083"</f>
        <v>3160D083</v>
      </c>
      <c r="C2223" t="s">
        <v>4688</v>
      </c>
      <c r="D2223" s="1" t="str">
        <f>"PRG-1019949"</f>
        <v>PRG-1019949</v>
      </c>
      <c r="E2223" t="s">
        <v>4617</v>
      </c>
      <c r="F2223" t="s">
        <v>5</v>
      </c>
      <c r="G2223" t="str">
        <f>""</f>
        <v/>
      </c>
    </row>
    <row r="2224" spans="1:7" x14ac:dyDescent="0.25">
      <c r="A2224" t="s">
        <v>8</v>
      </c>
      <c r="B2224" s="1" t="str">
        <f>"000004815 - METROMEDIA GROUP RICH'S PRODUC"</f>
        <v>000004815 - METROMEDIA GROUP RICH'S PRODUC</v>
      </c>
      <c r="C2224" t="s">
        <v>208</v>
      </c>
      <c r="D2224" s="1" t="str">
        <f>"PRG-1019972"</f>
        <v>PRG-1019972</v>
      </c>
      <c r="E2224" t="s">
        <v>207</v>
      </c>
      <c r="F2224" t="s">
        <v>4</v>
      </c>
      <c r="G2224" t="str">
        <f>""</f>
        <v/>
      </c>
    </row>
    <row r="2225" spans="1:7" x14ac:dyDescent="0.25">
      <c r="A2225" t="s">
        <v>8</v>
      </c>
      <c r="B2225" s="1" t="str">
        <f>"3126A749"</f>
        <v>3126A749</v>
      </c>
      <c r="C2225" t="s">
        <v>4619</v>
      </c>
      <c r="D2225" s="1" t="str">
        <f>"PRG-1020013"</f>
        <v>PRG-1020013</v>
      </c>
      <c r="E2225" t="s">
        <v>4620</v>
      </c>
      <c r="F2225" t="s">
        <v>5</v>
      </c>
      <c r="G2225" t="str">
        <f>""</f>
        <v/>
      </c>
    </row>
    <row r="2226" spans="1:7" x14ac:dyDescent="0.25">
      <c r="A2226" t="s">
        <v>8</v>
      </c>
      <c r="B2226" s="1" t="str">
        <f>"4117B923"</f>
        <v>4117B923</v>
      </c>
      <c r="C2226" t="s">
        <v>4964</v>
      </c>
      <c r="D2226" s="1" t="str">
        <f>"PRG-1020036"</f>
        <v>PRG-1020036</v>
      </c>
      <c r="E2226" t="s">
        <v>4965</v>
      </c>
      <c r="F2226" t="s">
        <v>5</v>
      </c>
      <c r="G2226" t="str">
        <f>""</f>
        <v/>
      </c>
    </row>
    <row r="2227" spans="1:7" x14ac:dyDescent="0.25">
      <c r="A2227" t="s">
        <v>8</v>
      </c>
      <c r="B2227" s="1" t="str">
        <f>"000200714 - RICHS MOVIE TAVERN"</f>
        <v>000200714 - RICHS MOVIE TAVERN</v>
      </c>
      <c r="C2227" t="s">
        <v>1304</v>
      </c>
      <c r="D2227" s="1" t="str">
        <f t="shared" ref="D2227:D2241" si="67">"PRG-1020063"</f>
        <v>PRG-1020063</v>
      </c>
      <c r="E2227" t="s">
        <v>1305</v>
      </c>
      <c r="F2227" t="s">
        <v>4</v>
      </c>
      <c r="G2227" t="str">
        <f>""</f>
        <v/>
      </c>
    </row>
    <row r="2228" spans="1:7" x14ac:dyDescent="0.25">
      <c r="A2228" t="s">
        <v>8</v>
      </c>
      <c r="B2228" s="1" t="str">
        <f>"000211647 - RICHS MOVIE TAVERN(CC)"</f>
        <v>000211647 - RICHS MOVIE TAVERN(CC)</v>
      </c>
      <c r="C2228" t="s">
        <v>1454</v>
      </c>
      <c r="D2228" s="1" t="str">
        <f t="shared" si="67"/>
        <v>PRG-1020063</v>
      </c>
      <c r="E2228" t="s">
        <v>1305</v>
      </c>
      <c r="F2228" t="s">
        <v>4</v>
      </c>
      <c r="G2228" t="str">
        <f>""</f>
        <v/>
      </c>
    </row>
    <row r="2229" spans="1:7" x14ac:dyDescent="0.25">
      <c r="A2229" t="s">
        <v>8</v>
      </c>
      <c r="B2229" s="1" t="str">
        <f>"000215074 - RICHS MOVIE TAVERN"</f>
        <v>000215074 - RICHS MOVIE TAVERN</v>
      </c>
      <c r="C2229" t="s">
        <v>1304</v>
      </c>
      <c r="D2229" s="1" t="str">
        <f t="shared" si="67"/>
        <v>PRG-1020063</v>
      </c>
      <c r="E2229" t="s">
        <v>1305</v>
      </c>
      <c r="F2229" t="s">
        <v>4</v>
      </c>
      <c r="G2229" t="str">
        <f>""</f>
        <v/>
      </c>
    </row>
    <row r="2230" spans="1:7" x14ac:dyDescent="0.25">
      <c r="A2230" t="s">
        <v>8</v>
      </c>
      <c r="B2230" s="1" t="str">
        <f>"000224271 - MOVIE TAVERN-RICH"</f>
        <v>000224271 - MOVIE TAVERN-RICH</v>
      </c>
      <c r="C2230" t="s">
        <v>1661</v>
      </c>
      <c r="D2230" s="1" t="str">
        <f t="shared" si="67"/>
        <v>PRG-1020063</v>
      </c>
      <c r="E2230" t="s">
        <v>1305</v>
      </c>
      <c r="F2230" t="s">
        <v>4</v>
      </c>
      <c r="G2230" t="str">
        <f>""</f>
        <v/>
      </c>
    </row>
    <row r="2231" spans="1:7" x14ac:dyDescent="0.25">
      <c r="A2231" t="s">
        <v>8</v>
      </c>
      <c r="B2231" s="1" t="str">
        <f>"000236571 - CC-RICHS MOVIE TAVERN"</f>
        <v>000236571 - CC-RICHS MOVIE TAVERN</v>
      </c>
      <c r="C2231" t="s">
        <v>1851</v>
      </c>
      <c r="D2231" s="1" t="str">
        <f t="shared" si="67"/>
        <v>PRG-1020063</v>
      </c>
      <c r="E2231" t="s">
        <v>1305</v>
      </c>
      <c r="F2231" t="s">
        <v>4</v>
      </c>
      <c r="G2231" t="str">
        <f>""</f>
        <v/>
      </c>
    </row>
    <row r="2232" spans="1:7" x14ac:dyDescent="0.25">
      <c r="A2232" t="s">
        <v>8</v>
      </c>
      <c r="B2232" s="1" t="str">
        <f>"000243498 - MOVIE TAVERN-RICHS"</f>
        <v>000243498 - MOVIE TAVERN-RICHS</v>
      </c>
      <c r="C2232" t="s">
        <v>1955</v>
      </c>
      <c r="D2232" s="1" t="str">
        <f t="shared" si="67"/>
        <v>PRG-1020063</v>
      </c>
      <c r="E2232" t="s">
        <v>1305</v>
      </c>
      <c r="F2232" t="s">
        <v>4</v>
      </c>
      <c r="G2232" t="str">
        <f>""</f>
        <v/>
      </c>
    </row>
    <row r="2233" spans="1:7" x14ac:dyDescent="0.25">
      <c r="A2233" t="s">
        <v>8</v>
      </c>
      <c r="B2233" s="1" t="str">
        <f>"000246257 - CC-RICHS MOVIE TAVERN"</f>
        <v>000246257 - CC-RICHS MOVIE TAVERN</v>
      </c>
      <c r="C2233" t="s">
        <v>1851</v>
      </c>
      <c r="D2233" s="1" t="str">
        <f t="shared" si="67"/>
        <v>PRG-1020063</v>
      </c>
      <c r="E2233" t="s">
        <v>1305</v>
      </c>
      <c r="F2233" t="s">
        <v>4</v>
      </c>
      <c r="G2233" t="str">
        <f>""</f>
        <v/>
      </c>
    </row>
    <row r="2234" spans="1:7" x14ac:dyDescent="0.25">
      <c r="A2234" t="s">
        <v>8</v>
      </c>
      <c r="B2234" s="1" t="str">
        <f>"000251411 - MVTN-RICH'S-BB CC-1020063"</f>
        <v>000251411 - MVTN-RICH'S-BB CC-1020063</v>
      </c>
      <c r="C2234" t="s">
        <v>2113</v>
      </c>
      <c r="D2234" s="1" t="str">
        <f t="shared" si="67"/>
        <v>PRG-1020063</v>
      </c>
      <c r="E2234" t="s">
        <v>1305</v>
      </c>
      <c r="F2234" t="s">
        <v>4</v>
      </c>
      <c r="G2234" t="str">
        <f>""</f>
        <v/>
      </c>
    </row>
    <row r="2235" spans="1:7" x14ac:dyDescent="0.25">
      <c r="A2235" t="s">
        <v>8</v>
      </c>
      <c r="B2235" s="1" t="str">
        <f>"000293777 - RICH PRODUCTS MOVIE TAVERN"</f>
        <v>000293777 - RICH PRODUCTS MOVIE TAVERN</v>
      </c>
      <c r="C2235" t="s">
        <v>2878</v>
      </c>
      <c r="D2235" s="1" t="str">
        <f t="shared" si="67"/>
        <v>PRG-1020063</v>
      </c>
      <c r="E2235" t="s">
        <v>1305</v>
      </c>
      <c r="F2235" t="s">
        <v>4</v>
      </c>
      <c r="G2235" t="str">
        <f>""</f>
        <v/>
      </c>
    </row>
    <row r="2236" spans="1:7" x14ac:dyDescent="0.25">
      <c r="A2236" t="s">
        <v>8</v>
      </c>
      <c r="B2236" s="1" t="str">
        <f>"000297499 - RICH'S MOVIE TAVERN SPIN"</f>
        <v>000297499 - RICH'S MOVIE TAVERN SPIN</v>
      </c>
      <c r="C2236" t="s">
        <v>2925</v>
      </c>
      <c r="D2236" s="1" t="str">
        <f t="shared" si="67"/>
        <v>PRG-1020063</v>
      </c>
      <c r="E2236" t="s">
        <v>1305</v>
      </c>
      <c r="F2236" t="s">
        <v>4</v>
      </c>
      <c r="G2236" t="str">
        <f>""</f>
        <v/>
      </c>
    </row>
    <row r="2237" spans="1:7" x14ac:dyDescent="0.25">
      <c r="A2237" t="s">
        <v>8</v>
      </c>
      <c r="B2237" s="1" t="str">
        <f>"000308306 - RICH'S MOVIE TAVERN SPIN"</f>
        <v>000308306 - RICH'S MOVIE TAVERN SPIN</v>
      </c>
      <c r="C2237" t="s">
        <v>2925</v>
      </c>
      <c r="D2237" s="1" t="str">
        <f t="shared" si="67"/>
        <v>PRG-1020063</v>
      </c>
      <c r="E2237" t="s">
        <v>1305</v>
      </c>
      <c r="F2237" t="s">
        <v>4</v>
      </c>
      <c r="G2237" t="str">
        <f>""</f>
        <v/>
      </c>
    </row>
    <row r="2238" spans="1:7" x14ac:dyDescent="0.25">
      <c r="A2238" t="s">
        <v>8</v>
      </c>
      <c r="B2238" s="1" t="str">
        <f>"2000198055 - RICHS DEN-MOVIE TAVERN"</f>
        <v>2000198055 - RICHS DEN-MOVIE TAVERN</v>
      </c>
      <c r="C2238" t="s">
        <v>3941</v>
      </c>
      <c r="D2238" s="1" t="str">
        <f t="shared" si="67"/>
        <v>PRG-1020063</v>
      </c>
      <c r="E2238" t="s">
        <v>1305</v>
      </c>
      <c r="F2238" t="s">
        <v>4</v>
      </c>
      <c r="G2238" t="str">
        <f>""</f>
        <v/>
      </c>
    </row>
    <row r="2239" spans="1:7" x14ac:dyDescent="0.25">
      <c r="A2239" t="s">
        <v>8</v>
      </c>
      <c r="B2239" s="1" t="str">
        <f>"2000293436 - RICH FOODS-MOVIE TAVERN"</f>
        <v>2000293436 - RICH FOODS-MOVIE TAVERN</v>
      </c>
      <c r="C2239" t="s">
        <v>4025</v>
      </c>
      <c r="D2239" s="1" t="str">
        <f t="shared" si="67"/>
        <v>PRG-1020063</v>
      </c>
      <c r="E2239" t="s">
        <v>1305</v>
      </c>
      <c r="F2239" t="s">
        <v>4</v>
      </c>
      <c r="G2239" t="str">
        <f>""</f>
        <v/>
      </c>
    </row>
    <row r="2240" spans="1:7" x14ac:dyDescent="0.25">
      <c r="A2240" t="s">
        <v>8</v>
      </c>
      <c r="B2240" s="1" t="str">
        <f>"2000330899 - RICH FOODS-MOVIE TAVERN"</f>
        <v>2000330899 - RICH FOODS-MOVIE TAVERN</v>
      </c>
      <c r="C2240" t="s">
        <v>4025</v>
      </c>
      <c r="D2240" s="1" t="str">
        <f t="shared" si="67"/>
        <v>PRG-1020063</v>
      </c>
      <c r="E2240" t="s">
        <v>1305</v>
      </c>
      <c r="F2240" t="s">
        <v>4</v>
      </c>
      <c r="G2240" t="str">
        <f>""</f>
        <v/>
      </c>
    </row>
    <row r="2241" spans="1:7" x14ac:dyDescent="0.25">
      <c r="A2241" t="s">
        <v>8</v>
      </c>
      <c r="B2241" s="1" t="str">
        <f>"S1Z0P260"</f>
        <v>S1Z0P260</v>
      </c>
      <c r="C2241" t="s">
        <v>5429</v>
      </c>
      <c r="D2241" s="1" t="str">
        <f t="shared" si="67"/>
        <v>PRG-1020063</v>
      </c>
      <c r="E2241" t="s">
        <v>1305</v>
      </c>
      <c r="F2241" t="s">
        <v>5</v>
      </c>
      <c r="G2241" t="str">
        <f>""</f>
        <v/>
      </c>
    </row>
    <row r="2242" spans="1:7" x14ac:dyDescent="0.25">
      <c r="A2242" t="s">
        <v>8</v>
      </c>
      <c r="B2242" s="1" t="str">
        <f>"000248736 - RICH FOODS-LA MADELEINE"</f>
        <v>000248736 - RICH FOODS-LA MADELEINE</v>
      </c>
      <c r="C2242" t="s">
        <v>130</v>
      </c>
      <c r="D2242" s="1" t="str">
        <f>"PRG-1020152"</f>
        <v>PRG-1020152</v>
      </c>
      <c r="E2242" t="s">
        <v>2050</v>
      </c>
      <c r="F2242" t="s">
        <v>4</v>
      </c>
      <c r="G2242" t="str">
        <f>""</f>
        <v/>
      </c>
    </row>
    <row r="2243" spans="1:7" x14ac:dyDescent="0.25">
      <c r="A2243" t="s">
        <v>8</v>
      </c>
      <c r="B2243" s="1" t="str">
        <f>"000248945 - RICH FOODS-LA MADELEINE"</f>
        <v>000248945 - RICH FOODS-LA MADELEINE</v>
      </c>
      <c r="C2243" t="s">
        <v>130</v>
      </c>
      <c r="D2243" s="1" t="str">
        <f>"PRG-1020152"</f>
        <v>PRG-1020152</v>
      </c>
      <c r="E2243" t="s">
        <v>2050</v>
      </c>
      <c r="F2243" t="s">
        <v>4</v>
      </c>
      <c r="G2243" t="str">
        <f>""</f>
        <v/>
      </c>
    </row>
    <row r="2244" spans="1:7" x14ac:dyDescent="0.25">
      <c r="A2244" t="s">
        <v>8</v>
      </c>
      <c r="B2244" s="1" t="str">
        <f>"000274704 - RICH FOODS-LA MADELEINE"</f>
        <v>000274704 - RICH FOODS-LA MADELEINE</v>
      </c>
      <c r="C2244" t="s">
        <v>130</v>
      </c>
      <c r="D2244" s="1" t="str">
        <f>"PRG-1020152"</f>
        <v>PRG-1020152</v>
      </c>
      <c r="E2244" t="s">
        <v>2050</v>
      </c>
      <c r="F2244" t="s">
        <v>4</v>
      </c>
      <c r="G2244" t="str">
        <f>""</f>
        <v/>
      </c>
    </row>
    <row r="2245" spans="1:7" x14ac:dyDescent="0.25">
      <c r="A2245" t="s">
        <v>8</v>
      </c>
      <c r="B2245" s="1" t="str">
        <f>"000278357 - RICH FOODS-LA MADELEINE"</f>
        <v>000278357 - RICH FOODS-LA MADELEINE</v>
      </c>
      <c r="C2245" t="s">
        <v>130</v>
      </c>
      <c r="D2245" s="1" t="str">
        <f>"PRG-1020152"</f>
        <v>PRG-1020152</v>
      </c>
      <c r="E2245" t="s">
        <v>2050</v>
      </c>
      <c r="F2245" t="s">
        <v>4</v>
      </c>
      <c r="G2245" t="str">
        <f>""</f>
        <v/>
      </c>
    </row>
    <row r="2246" spans="1:7" x14ac:dyDescent="0.25">
      <c r="A2246" t="s">
        <v>8</v>
      </c>
      <c r="B2246" s="1" t="str">
        <f>"2000126554 - RICH FOODS-LA MADELEINE"</f>
        <v>2000126554 - RICH FOODS-LA MADELEINE</v>
      </c>
      <c r="C2246" t="s">
        <v>130</v>
      </c>
      <c r="D2246" s="1" t="str">
        <f>"PRG-1020152"</f>
        <v>PRG-1020152</v>
      </c>
      <c r="E2246" t="s">
        <v>2050</v>
      </c>
      <c r="F2246" t="s">
        <v>4</v>
      </c>
      <c r="G2246" t="str">
        <f>""</f>
        <v/>
      </c>
    </row>
    <row r="2247" spans="1:7" x14ac:dyDescent="0.25">
      <c r="A2247" t="s">
        <v>8</v>
      </c>
      <c r="B2247" s="1" t="str">
        <f>"000093140 - RICH JACKS CAFE"</f>
        <v>000093140 - RICH JACKS CAFE</v>
      </c>
      <c r="C2247" t="s">
        <v>775</v>
      </c>
      <c r="D2247" s="1" t="str">
        <f>"PRG-1020184"</f>
        <v>PRG-1020184</v>
      </c>
      <c r="E2247" t="s">
        <v>776</v>
      </c>
      <c r="F2247" t="s">
        <v>4</v>
      </c>
      <c r="G2247" t="str">
        <f>""</f>
        <v/>
      </c>
    </row>
    <row r="2248" spans="1:7" x14ac:dyDescent="0.25">
      <c r="A2248" t="s">
        <v>8</v>
      </c>
      <c r="B2248" s="1" t="str">
        <f>"000164969 - RICH CC FATZ CAFE"</f>
        <v>000164969 - RICH CC FATZ CAFE</v>
      </c>
      <c r="C2248" t="s">
        <v>1072</v>
      </c>
      <c r="D2248" s="1" t="str">
        <f>"PRG-1020224"</f>
        <v>PRG-1020224</v>
      </c>
      <c r="E2248" t="s">
        <v>1073</v>
      </c>
      <c r="F2248" t="s">
        <v>4</v>
      </c>
      <c r="G2248" t="str">
        <f>""</f>
        <v/>
      </c>
    </row>
    <row r="2249" spans="1:7" x14ac:dyDescent="0.25">
      <c r="A2249" t="s">
        <v>8</v>
      </c>
      <c r="B2249" s="1" t="str">
        <f>"000201984 - Fatz - Rich Products"</f>
        <v>000201984 - Fatz - Rich Products</v>
      </c>
      <c r="C2249" t="s">
        <v>1320</v>
      </c>
      <c r="D2249" s="1" t="str">
        <f>"PRG-1020224"</f>
        <v>PRG-1020224</v>
      </c>
      <c r="E2249" t="s">
        <v>1073</v>
      </c>
      <c r="F2249" t="s">
        <v>4</v>
      </c>
      <c r="G2249" t="str">
        <f>""</f>
        <v/>
      </c>
    </row>
    <row r="2250" spans="1:7" x14ac:dyDescent="0.25">
      <c r="A2250" t="s">
        <v>8</v>
      </c>
      <c r="B2250" s="1" t="str">
        <f>"000245989 - FATZ - RICH PRODUCTS"</f>
        <v>000245989 - FATZ - RICH PRODUCTS</v>
      </c>
      <c r="C2250" t="s">
        <v>2014</v>
      </c>
      <c r="D2250" s="1" t="str">
        <f>"PRG-1020224"</f>
        <v>PRG-1020224</v>
      </c>
      <c r="E2250" t="s">
        <v>1073</v>
      </c>
      <c r="F2250" t="s">
        <v>4</v>
      </c>
      <c r="G2250" t="str">
        <f>""</f>
        <v/>
      </c>
    </row>
    <row r="2251" spans="1:7" x14ac:dyDescent="0.25">
      <c r="A2251" t="s">
        <v>8</v>
      </c>
      <c r="B2251" s="1" t="str">
        <f>"000252434 - RICH PRODUCTS-FATZ (SPENDIFF)"</f>
        <v>000252434 - RICH PRODUCTS-FATZ (SPENDIFF)</v>
      </c>
      <c r="C2251" t="s">
        <v>2129</v>
      </c>
      <c r="D2251" s="1" t="str">
        <f>"PRG-1020224"</f>
        <v>PRG-1020224</v>
      </c>
      <c r="E2251" t="s">
        <v>1073</v>
      </c>
      <c r="F2251" t="s">
        <v>4</v>
      </c>
      <c r="G2251" t="str">
        <f>""</f>
        <v/>
      </c>
    </row>
    <row r="2252" spans="1:7" x14ac:dyDescent="0.25">
      <c r="A2252" t="s">
        <v>8</v>
      </c>
      <c r="B2252" s="1" t="str">
        <f>"60319012"</f>
        <v>60319012</v>
      </c>
      <c r="C2252" t="s">
        <v>5286</v>
      </c>
      <c r="D2252" s="1" t="str">
        <f>"PRG-1020228"</f>
        <v>PRG-1020228</v>
      </c>
      <c r="E2252" t="s">
        <v>5287</v>
      </c>
      <c r="F2252" t="s">
        <v>5</v>
      </c>
      <c r="G2252" t="str">
        <f>""</f>
        <v/>
      </c>
    </row>
    <row r="2253" spans="1:7" x14ac:dyDescent="0.25">
      <c r="A2253" t="s">
        <v>8</v>
      </c>
      <c r="B2253" s="1" t="str">
        <f>"60319013"</f>
        <v>60319013</v>
      </c>
      <c r="C2253" t="s">
        <v>5288</v>
      </c>
      <c r="D2253" s="1" t="str">
        <f>"PRG-1020228"</f>
        <v>PRG-1020228</v>
      </c>
      <c r="E2253" t="s">
        <v>5287</v>
      </c>
      <c r="F2253" t="s">
        <v>5</v>
      </c>
      <c r="G2253" t="str">
        <f>""</f>
        <v/>
      </c>
    </row>
    <row r="2254" spans="1:7" x14ac:dyDescent="0.25">
      <c r="A2254" t="s">
        <v>8</v>
      </c>
      <c r="B2254" s="1" t="str">
        <f>"000183324 - RICH'S TOPPINGS-SODEXO"</f>
        <v>000183324 - RICH'S TOPPINGS-SODEXO</v>
      </c>
      <c r="C2254" t="s">
        <v>142</v>
      </c>
      <c r="D2254" s="1" t="str">
        <f>"PRG-1020235"</f>
        <v>PRG-1020235</v>
      </c>
      <c r="E2254" t="s">
        <v>79</v>
      </c>
      <c r="F2254" t="s">
        <v>4</v>
      </c>
      <c r="G2254" t="str">
        <f>""</f>
        <v/>
      </c>
    </row>
    <row r="2255" spans="1:7" x14ac:dyDescent="0.25">
      <c r="A2255" t="s">
        <v>8</v>
      </c>
      <c r="B2255" s="1" t="str">
        <f>"000194307 - BB SODEXO FOB TOPPING RICH"</f>
        <v>000194307 - BB SODEXO FOB TOPPING RICH</v>
      </c>
      <c r="C2255" t="s">
        <v>1242</v>
      </c>
      <c r="D2255" s="1" t="str">
        <f>"PRG-1020235"</f>
        <v>PRG-1020235</v>
      </c>
      <c r="E2255" t="s">
        <v>79</v>
      </c>
      <c r="F2255" t="s">
        <v>4</v>
      </c>
      <c r="G2255" t="str">
        <f>""</f>
        <v/>
      </c>
    </row>
    <row r="2256" spans="1:7" x14ac:dyDescent="0.25">
      <c r="A2256" t="s">
        <v>8</v>
      </c>
      <c r="B2256" s="1" t="str">
        <f>"000196823 - BB SODEXO RICH FOB TOPPINGS"</f>
        <v>000196823 - BB SODEXO RICH FOB TOPPINGS</v>
      </c>
      <c r="C2256" t="s">
        <v>1266</v>
      </c>
      <c r="D2256" s="1" t="str">
        <f>"PRG-1020235"</f>
        <v>PRG-1020235</v>
      </c>
      <c r="E2256" t="s">
        <v>79</v>
      </c>
      <c r="F2256" t="s">
        <v>4</v>
      </c>
      <c r="G2256" t="str">
        <f>""</f>
        <v/>
      </c>
    </row>
    <row r="2257" spans="1:7" x14ac:dyDescent="0.25">
      <c r="A2257" t="s">
        <v>8</v>
      </c>
      <c r="B2257" s="1" t="str">
        <f>"000197960 - BB SODEXO FOB RICHS TOPPINGS"</f>
        <v>000197960 - BB SODEXO FOB RICHS TOPPINGS</v>
      </c>
      <c r="C2257" t="s">
        <v>1278</v>
      </c>
      <c r="D2257" s="1" t="str">
        <f>"PRG-1020235"</f>
        <v>PRG-1020235</v>
      </c>
      <c r="E2257" t="s">
        <v>79</v>
      </c>
      <c r="F2257" t="s">
        <v>4</v>
      </c>
      <c r="G2257" t="str">
        <f>""</f>
        <v/>
      </c>
    </row>
    <row r="2258" spans="1:7" x14ac:dyDescent="0.25">
      <c r="A2258" t="s">
        <v>8</v>
      </c>
      <c r="B2258" s="1" t="str">
        <f>"000211735 - RICH FOODS-AVENDRA"</f>
        <v>000211735 - RICH FOODS-AVENDRA</v>
      </c>
      <c r="C2258" t="s">
        <v>1456</v>
      </c>
      <c r="D2258" s="1" t="str">
        <f>"PRG-1020241"</f>
        <v>PRG-1020241</v>
      </c>
      <c r="E2258" t="s">
        <v>1457</v>
      </c>
      <c r="F2258" t="s">
        <v>4</v>
      </c>
      <c r="G2258" t="str">
        <f>""</f>
        <v/>
      </c>
    </row>
    <row r="2259" spans="1:7" x14ac:dyDescent="0.25">
      <c r="A2259" t="s">
        <v>8</v>
      </c>
      <c r="B2259" s="1" t="str">
        <f>"000287090 - RICH FOODS-AVENDRA"</f>
        <v>000287090 - RICH FOODS-AVENDRA</v>
      </c>
      <c r="C2259" t="s">
        <v>1456</v>
      </c>
      <c r="D2259" s="1" t="str">
        <f>"PRG-1020241"</f>
        <v>PRG-1020241</v>
      </c>
      <c r="E2259" t="s">
        <v>1457</v>
      </c>
      <c r="F2259" t="s">
        <v>4</v>
      </c>
      <c r="G2259" t="str">
        <f>""</f>
        <v/>
      </c>
    </row>
    <row r="2260" spans="1:7" x14ac:dyDescent="0.25">
      <c r="A2260" t="s">
        <v>8</v>
      </c>
      <c r="B2260" s="1" t="str">
        <f>"000288042 - RICHS MAIN STREET"</f>
        <v>000288042 - RICHS MAIN STREET</v>
      </c>
      <c r="C2260" t="s">
        <v>2775</v>
      </c>
      <c r="D2260" s="1" t="str">
        <f>"PRG-1020243"</f>
        <v>PRG-1020243</v>
      </c>
      <c r="E2260" t="s">
        <v>2776</v>
      </c>
      <c r="F2260" t="s">
        <v>4</v>
      </c>
      <c r="G2260" t="str">
        <f>""</f>
        <v/>
      </c>
    </row>
    <row r="2261" spans="1:7" x14ac:dyDescent="0.25">
      <c r="A2261" t="s">
        <v>8</v>
      </c>
      <c r="B2261" s="1" t="str">
        <f>"000287153 - RICH FOODS MRS.WINNERS"</f>
        <v>000287153 - RICH FOODS MRS.WINNERS</v>
      </c>
      <c r="C2261" t="s">
        <v>2754</v>
      </c>
      <c r="D2261" s="1" t="str">
        <f>"PRG-1020246"</f>
        <v>PRG-1020246</v>
      </c>
      <c r="E2261" t="s">
        <v>2755</v>
      </c>
      <c r="F2261" t="s">
        <v>4</v>
      </c>
      <c r="G2261" t="str">
        <f>""</f>
        <v/>
      </c>
    </row>
    <row r="2262" spans="1:7" x14ac:dyDescent="0.25">
      <c r="A2262" t="s">
        <v>8</v>
      </c>
      <c r="B2262" s="1" t="str">
        <f>"000304612 - RICH FOODS MRS.WINNERS"</f>
        <v>000304612 - RICH FOODS MRS.WINNERS</v>
      </c>
      <c r="C2262" t="s">
        <v>2754</v>
      </c>
      <c r="D2262" s="1" t="str">
        <f>"PRG-1020246"</f>
        <v>PRG-1020246</v>
      </c>
      <c r="E2262" t="s">
        <v>2755</v>
      </c>
      <c r="F2262" t="s">
        <v>4</v>
      </c>
      <c r="G2262" t="str">
        <f>""</f>
        <v/>
      </c>
    </row>
    <row r="2263" spans="1:7" x14ac:dyDescent="0.25">
      <c r="A2263" t="s">
        <v>8</v>
      </c>
      <c r="B2263" s="1" t="str">
        <f>"000356743 - RICH FOODS MRS.WINNERS"</f>
        <v>000356743 - RICH FOODS MRS.WINNERS</v>
      </c>
      <c r="C2263" t="s">
        <v>2754</v>
      </c>
      <c r="D2263" s="1" t="str">
        <f>"PRG-1020246"</f>
        <v>PRG-1020246</v>
      </c>
      <c r="E2263" t="s">
        <v>2755</v>
      </c>
      <c r="F2263" t="s">
        <v>4</v>
      </c>
      <c r="G2263" t="str">
        <f>""</f>
        <v/>
      </c>
    </row>
    <row r="2264" spans="1:7" x14ac:dyDescent="0.25">
      <c r="A2264" t="s">
        <v>8</v>
      </c>
      <c r="B2264" s="1" t="str">
        <f>"4100G712"</f>
        <v>4100G712</v>
      </c>
      <c r="C2264" t="s">
        <v>4950</v>
      </c>
      <c r="D2264" s="1" t="str">
        <f>"PRG-1020249"</f>
        <v>PRG-1020249</v>
      </c>
      <c r="E2264" t="s">
        <v>4951</v>
      </c>
      <c r="F2264" t="s">
        <v>5</v>
      </c>
      <c r="G2264" t="str">
        <f>""</f>
        <v/>
      </c>
    </row>
    <row r="2265" spans="1:7" x14ac:dyDescent="0.25">
      <c r="A2265" t="s">
        <v>8</v>
      </c>
      <c r="B2265" s="1" t="str">
        <f>"60282839"</f>
        <v>60282839</v>
      </c>
      <c r="C2265" t="s">
        <v>5212</v>
      </c>
      <c r="D2265" s="1" t="str">
        <f>"PRG-1020250"</f>
        <v>PRG-1020250</v>
      </c>
      <c r="E2265" t="s">
        <v>5213</v>
      </c>
      <c r="F2265" t="s">
        <v>5</v>
      </c>
      <c r="G2265" t="str">
        <f>""</f>
        <v/>
      </c>
    </row>
    <row r="2266" spans="1:7" x14ac:dyDescent="0.25">
      <c r="A2266" t="s">
        <v>8</v>
      </c>
      <c r="B2266" s="1" t="str">
        <f>"60282840"</f>
        <v>60282840</v>
      </c>
      <c r="C2266" t="s">
        <v>5214</v>
      </c>
      <c r="D2266" s="1" t="str">
        <f>"PRG-1020250"</f>
        <v>PRG-1020250</v>
      </c>
      <c r="E2266" t="s">
        <v>5213</v>
      </c>
      <c r="F2266" t="s">
        <v>5</v>
      </c>
      <c r="G2266" t="str">
        <f>""</f>
        <v/>
      </c>
    </row>
    <row r="2267" spans="1:7" x14ac:dyDescent="0.25">
      <c r="A2267" t="s">
        <v>8</v>
      </c>
      <c r="B2267" s="1" t="str">
        <f>"000017692 - RICH SWEET DOUGH-SODEXO"</f>
        <v>000017692 - RICH SWEET DOUGH-SODEXO</v>
      </c>
      <c r="C2267" t="s">
        <v>384</v>
      </c>
      <c r="D2267" s="1" t="str">
        <f t="shared" ref="D2267:D2298" si="68">"PRG-1020253"</f>
        <v>PRG-1020253</v>
      </c>
      <c r="E2267" t="s">
        <v>77</v>
      </c>
      <c r="F2267" t="s">
        <v>4</v>
      </c>
      <c r="G2267" t="str">
        <f>""</f>
        <v/>
      </c>
    </row>
    <row r="2268" spans="1:7" x14ac:dyDescent="0.25">
      <c r="A2268" t="s">
        <v>8</v>
      </c>
      <c r="B2268" s="1" t="str">
        <f>"000019397 - RICH SWEET DOUGH-SODEXO"</f>
        <v>000019397 - RICH SWEET DOUGH-SODEXO</v>
      </c>
      <c r="C2268" t="s">
        <v>384</v>
      </c>
      <c r="D2268" s="1" t="str">
        <f t="shared" si="68"/>
        <v>PRG-1020253</v>
      </c>
      <c r="E2268" t="s">
        <v>77</v>
      </c>
      <c r="F2268" t="s">
        <v>4</v>
      </c>
      <c r="G2268" t="str">
        <f>""</f>
        <v/>
      </c>
    </row>
    <row r="2269" spans="1:7" x14ac:dyDescent="0.25">
      <c r="A2269" t="s">
        <v>8</v>
      </c>
      <c r="B2269" s="1" t="str">
        <f>"000078987 - RICH SWEET DOUGH-SODEXO"</f>
        <v>000078987 - RICH SWEET DOUGH-SODEXO</v>
      </c>
      <c r="C2269" t="s">
        <v>384</v>
      </c>
      <c r="D2269" s="1" t="str">
        <f t="shared" si="68"/>
        <v>PRG-1020253</v>
      </c>
      <c r="E2269" t="s">
        <v>77</v>
      </c>
      <c r="F2269" t="s">
        <v>4</v>
      </c>
      <c r="G2269" t="str">
        <f>""</f>
        <v/>
      </c>
    </row>
    <row r="2270" spans="1:7" x14ac:dyDescent="0.25">
      <c r="A2270" t="s">
        <v>8</v>
      </c>
      <c r="B2270" s="1" t="str">
        <f>"000093106 - RICH SWEET DOUGH-SODEXO"</f>
        <v>000093106 - RICH SWEET DOUGH-SODEXO</v>
      </c>
      <c r="C2270" t="s">
        <v>384</v>
      </c>
      <c r="D2270" s="1" t="str">
        <f t="shared" si="68"/>
        <v>PRG-1020253</v>
      </c>
      <c r="E2270" t="s">
        <v>77</v>
      </c>
      <c r="F2270" t="s">
        <v>4</v>
      </c>
      <c r="G2270" t="str">
        <f>""</f>
        <v/>
      </c>
    </row>
    <row r="2271" spans="1:7" x14ac:dyDescent="0.25">
      <c r="A2271" t="s">
        <v>8</v>
      </c>
      <c r="B2271" s="1" t="str">
        <f>"000101611 - RICH SWEET DOUGH-SODEXO"</f>
        <v>000101611 - RICH SWEET DOUGH-SODEXO</v>
      </c>
      <c r="C2271" t="s">
        <v>384</v>
      </c>
      <c r="D2271" s="1" t="str">
        <f t="shared" si="68"/>
        <v>PRG-1020253</v>
      </c>
      <c r="E2271" t="s">
        <v>77</v>
      </c>
      <c r="F2271" t="s">
        <v>4</v>
      </c>
      <c r="G2271" t="str">
        <f>""</f>
        <v/>
      </c>
    </row>
    <row r="2272" spans="1:7" x14ac:dyDescent="0.25">
      <c r="A2272" t="s">
        <v>8</v>
      </c>
      <c r="B2272" s="1" t="str">
        <f>"000109962 - RICH SWEET DOUGH-SODEXO"</f>
        <v>000109962 - RICH SWEET DOUGH-SODEXO</v>
      </c>
      <c r="C2272" t="s">
        <v>384</v>
      </c>
      <c r="D2272" s="1" t="str">
        <f t="shared" si="68"/>
        <v>PRG-1020253</v>
      </c>
      <c r="E2272" t="s">
        <v>77</v>
      </c>
      <c r="F2272" t="s">
        <v>4</v>
      </c>
      <c r="G2272" t="str">
        <f>""</f>
        <v/>
      </c>
    </row>
    <row r="2273" spans="1:7" x14ac:dyDescent="0.25">
      <c r="A2273" t="s">
        <v>8</v>
      </c>
      <c r="B2273" s="1" t="str">
        <f>"000115144 - RICH SWEET DOUGH-SODEXO"</f>
        <v>000115144 - RICH SWEET DOUGH-SODEXO</v>
      </c>
      <c r="C2273" t="s">
        <v>384</v>
      </c>
      <c r="D2273" s="1" t="str">
        <f t="shared" si="68"/>
        <v>PRG-1020253</v>
      </c>
      <c r="E2273" t="s">
        <v>77</v>
      </c>
      <c r="F2273" t="s">
        <v>4</v>
      </c>
      <c r="G2273" t="str">
        <f>""</f>
        <v/>
      </c>
    </row>
    <row r="2274" spans="1:7" x14ac:dyDescent="0.25">
      <c r="A2274" t="s">
        <v>8</v>
      </c>
      <c r="B2274" s="1" t="str">
        <f>"000117255 - RICH SWEET DOUGH-SODEXO"</f>
        <v>000117255 - RICH SWEET DOUGH-SODEXO</v>
      </c>
      <c r="C2274" t="s">
        <v>384</v>
      </c>
      <c r="D2274" s="1" t="str">
        <f t="shared" si="68"/>
        <v>PRG-1020253</v>
      </c>
      <c r="E2274" t="s">
        <v>77</v>
      </c>
      <c r="F2274" t="s">
        <v>4</v>
      </c>
      <c r="G2274" t="str">
        <f>""</f>
        <v/>
      </c>
    </row>
    <row r="2275" spans="1:7" x14ac:dyDescent="0.25">
      <c r="A2275" t="s">
        <v>8</v>
      </c>
      <c r="B2275" s="1" t="str">
        <f>"000125965 - RICHS SWEET DOUGH-SODEXO"</f>
        <v>000125965 - RICHS SWEET DOUGH-SODEXO</v>
      </c>
      <c r="C2275" t="s">
        <v>137</v>
      </c>
      <c r="D2275" s="1" t="str">
        <f t="shared" si="68"/>
        <v>PRG-1020253</v>
      </c>
      <c r="E2275" t="s">
        <v>77</v>
      </c>
      <c r="F2275" t="s">
        <v>4</v>
      </c>
      <c r="G2275" t="str">
        <f>""</f>
        <v/>
      </c>
    </row>
    <row r="2276" spans="1:7" x14ac:dyDescent="0.25">
      <c r="A2276" t="s">
        <v>8</v>
      </c>
      <c r="B2276" s="1" t="str">
        <f>"000127966 - RICH SWEET DOUGH-SODEXO"</f>
        <v>000127966 - RICH SWEET DOUGH-SODEXO</v>
      </c>
      <c r="C2276" t="s">
        <v>384</v>
      </c>
      <c r="D2276" s="1" t="str">
        <f t="shared" si="68"/>
        <v>PRG-1020253</v>
      </c>
      <c r="E2276" t="s">
        <v>77</v>
      </c>
      <c r="F2276" t="s">
        <v>4</v>
      </c>
      <c r="G2276" t="str">
        <f>""</f>
        <v/>
      </c>
    </row>
    <row r="2277" spans="1:7" x14ac:dyDescent="0.25">
      <c r="A2277" t="s">
        <v>8</v>
      </c>
      <c r="B2277" s="1" t="str">
        <f>"000155514 - RICH SWEET DOUGH-SODEXO"</f>
        <v>000155514 - RICH SWEET DOUGH-SODEXO</v>
      </c>
      <c r="C2277" t="s">
        <v>384</v>
      </c>
      <c r="D2277" s="1" t="str">
        <f t="shared" si="68"/>
        <v>PRG-1020253</v>
      </c>
      <c r="E2277" t="s">
        <v>77</v>
      </c>
      <c r="F2277" t="s">
        <v>4</v>
      </c>
      <c r="G2277" t="str">
        <f>""</f>
        <v/>
      </c>
    </row>
    <row r="2278" spans="1:7" x14ac:dyDescent="0.25">
      <c r="A2278" t="s">
        <v>8</v>
      </c>
      <c r="B2278" s="1" t="str">
        <f>"000183328 - BB SODEXO FOB RICH SWEET DOUGH"</f>
        <v>000183328 - BB SODEXO FOB RICH SWEET DOUGH</v>
      </c>
      <c r="C2278" t="s">
        <v>1159</v>
      </c>
      <c r="D2278" s="1" t="str">
        <f t="shared" si="68"/>
        <v>PRG-1020253</v>
      </c>
      <c r="E2278" t="s">
        <v>77</v>
      </c>
      <c r="F2278" t="s">
        <v>4</v>
      </c>
      <c r="G2278" t="str">
        <f>""</f>
        <v/>
      </c>
    </row>
    <row r="2279" spans="1:7" x14ac:dyDescent="0.25">
      <c r="A2279" t="s">
        <v>8</v>
      </c>
      <c r="B2279" s="1" t="str">
        <f>"000191099 - RICH SWEET DOUGH-SODEXO"</f>
        <v>000191099 - RICH SWEET DOUGH-SODEXO</v>
      </c>
      <c r="C2279" t="s">
        <v>384</v>
      </c>
      <c r="D2279" s="1" t="str">
        <f t="shared" si="68"/>
        <v>PRG-1020253</v>
      </c>
      <c r="E2279" t="s">
        <v>77</v>
      </c>
      <c r="F2279" t="s">
        <v>4</v>
      </c>
      <c r="G2279" t="str">
        <f>""</f>
        <v/>
      </c>
    </row>
    <row r="2280" spans="1:7" x14ac:dyDescent="0.25">
      <c r="A2280" t="s">
        <v>8</v>
      </c>
      <c r="B2280" s="1" t="str">
        <f>"000192002 - RICH SWEET DOUGH-SODEXO"</f>
        <v>000192002 - RICH SWEET DOUGH-SODEXO</v>
      </c>
      <c r="C2280" t="s">
        <v>384</v>
      </c>
      <c r="D2280" s="1" t="str">
        <f t="shared" si="68"/>
        <v>PRG-1020253</v>
      </c>
      <c r="E2280" t="s">
        <v>77</v>
      </c>
      <c r="F2280" t="s">
        <v>4</v>
      </c>
      <c r="G2280" t="str">
        <f>""</f>
        <v/>
      </c>
    </row>
    <row r="2281" spans="1:7" x14ac:dyDescent="0.25">
      <c r="A2281" t="s">
        <v>8</v>
      </c>
      <c r="B2281" s="1" t="str">
        <f>"000192094 - RICH SWEET DOUGH-SODEXO"</f>
        <v>000192094 - RICH SWEET DOUGH-SODEXO</v>
      </c>
      <c r="C2281" t="s">
        <v>384</v>
      </c>
      <c r="D2281" s="1" t="str">
        <f t="shared" si="68"/>
        <v>PRG-1020253</v>
      </c>
      <c r="E2281" t="s">
        <v>77</v>
      </c>
      <c r="F2281" t="s">
        <v>4</v>
      </c>
      <c r="G2281" t="str">
        <f>""</f>
        <v/>
      </c>
    </row>
    <row r="2282" spans="1:7" x14ac:dyDescent="0.25">
      <c r="A2282" t="s">
        <v>8</v>
      </c>
      <c r="B2282" s="1" t="str">
        <f>"000193219 - RICH SWEET DOUGH-SODEXO"</f>
        <v>000193219 - RICH SWEET DOUGH-SODEXO</v>
      </c>
      <c r="C2282" t="s">
        <v>384</v>
      </c>
      <c r="D2282" s="1" t="str">
        <f t="shared" si="68"/>
        <v>PRG-1020253</v>
      </c>
      <c r="E2282" t="s">
        <v>77</v>
      </c>
      <c r="F2282" t="s">
        <v>4</v>
      </c>
      <c r="G2282" t="str">
        <f>""</f>
        <v/>
      </c>
    </row>
    <row r="2283" spans="1:7" x14ac:dyDescent="0.25">
      <c r="A2283" t="s">
        <v>8</v>
      </c>
      <c r="B2283" s="1" t="str">
        <f>"000195568 - BB SODEXO FOB SW DOUGH RICHS"</f>
        <v>000195568 - BB SODEXO FOB SW DOUGH RICHS</v>
      </c>
      <c r="C2283" t="s">
        <v>1256</v>
      </c>
      <c r="D2283" s="1" t="str">
        <f t="shared" si="68"/>
        <v>PRG-1020253</v>
      </c>
      <c r="E2283" t="s">
        <v>77</v>
      </c>
      <c r="F2283" t="s">
        <v>4</v>
      </c>
      <c r="G2283" t="str">
        <f>""</f>
        <v/>
      </c>
    </row>
    <row r="2284" spans="1:7" x14ac:dyDescent="0.25">
      <c r="A2284" t="s">
        <v>8</v>
      </c>
      <c r="B2284" s="1" t="str">
        <f>"000199509 - RICH SWEET DOUGH-SODEXO"</f>
        <v>000199509 - RICH SWEET DOUGH-SODEXO</v>
      </c>
      <c r="C2284" t="s">
        <v>384</v>
      </c>
      <c r="D2284" s="1" t="str">
        <f t="shared" si="68"/>
        <v>PRG-1020253</v>
      </c>
      <c r="E2284" t="s">
        <v>77</v>
      </c>
      <c r="F2284" t="s">
        <v>4</v>
      </c>
      <c r="G2284" t="str">
        <f>""</f>
        <v/>
      </c>
    </row>
    <row r="2285" spans="1:7" x14ac:dyDescent="0.25">
      <c r="A2285" t="s">
        <v>8</v>
      </c>
      <c r="B2285" s="1" t="str">
        <f>"000200181 - RICH SWEET DOUGH-SODEXO"</f>
        <v>000200181 - RICH SWEET DOUGH-SODEXO</v>
      </c>
      <c r="C2285" t="s">
        <v>384</v>
      </c>
      <c r="D2285" s="1" t="str">
        <f t="shared" si="68"/>
        <v>PRG-1020253</v>
      </c>
      <c r="E2285" t="s">
        <v>77</v>
      </c>
      <c r="F2285" t="s">
        <v>4</v>
      </c>
      <c r="G2285" t="str">
        <f>""</f>
        <v/>
      </c>
    </row>
    <row r="2286" spans="1:7" x14ac:dyDescent="0.25">
      <c r="A2286" t="s">
        <v>8</v>
      </c>
      <c r="B2286" s="1" t="str">
        <f>"000203899 - RICH SWEET DOUGH-SODEXO"</f>
        <v>000203899 - RICH SWEET DOUGH-SODEXO</v>
      </c>
      <c r="C2286" t="s">
        <v>384</v>
      </c>
      <c r="D2286" s="1" t="str">
        <f t="shared" si="68"/>
        <v>PRG-1020253</v>
      </c>
      <c r="E2286" t="s">
        <v>77</v>
      </c>
      <c r="F2286" t="s">
        <v>4</v>
      </c>
      <c r="G2286" t="str">
        <f>""</f>
        <v/>
      </c>
    </row>
    <row r="2287" spans="1:7" x14ac:dyDescent="0.25">
      <c r="A2287" t="s">
        <v>8</v>
      </c>
      <c r="B2287" s="1" t="str">
        <f>"000204133 - RICH SWEET DOUGH-SODEXO"</f>
        <v>000204133 - RICH SWEET DOUGH-SODEXO</v>
      </c>
      <c r="C2287" t="s">
        <v>384</v>
      </c>
      <c r="D2287" s="1" t="str">
        <f t="shared" si="68"/>
        <v>PRG-1020253</v>
      </c>
      <c r="E2287" t="s">
        <v>77</v>
      </c>
      <c r="F2287" t="s">
        <v>4</v>
      </c>
      <c r="G2287" t="str">
        <f>""</f>
        <v/>
      </c>
    </row>
    <row r="2288" spans="1:7" x14ac:dyDescent="0.25">
      <c r="A2288" t="s">
        <v>8</v>
      </c>
      <c r="B2288" s="1" t="str">
        <f>"000204573 - RICH SWEET DOUGH-SODEXO"</f>
        <v>000204573 - RICH SWEET DOUGH-SODEXO</v>
      </c>
      <c r="C2288" t="s">
        <v>384</v>
      </c>
      <c r="D2288" s="1" t="str">
        <f t="shared" si="68"/>
        <v>PRG-1020253</v>
      </c>
      <c r="E2288" t="s">
        <v>77</v>
      </c>
      <c r="F2288" t="s">
        <v>4</v>
      </c>
      <c r="G2288" t="str">
        <f>""</f>
        <v/>
      </c>
    </row>
    <row r="2289" spans="1:7" x14ac:dyDescent="0.25">
      <c r="A2289" t="s">
        <v>8</v>
      </c>
      <c r="B2289" s="1" t="str">
        <f>"000205146 - RICH SWEET DOUGH-SODEXO"</f>
        <v>000205146 - RICH SWEET DOUGH-SODEXO</v>
      </c>
      <c r="C2289" t="s">
        <v>384</v>
      </c>
      <c r="D2289" s="1" t="str">
        <f t="shared" si="68"/>
        <v>PRG-1020253</v>
      </c>
      <c r="E2289" t="s">
        <v>77</v>
      </c>
      <c r="F2289" t="s">
        <v>4</v>
      </c>
      <c r="G2289" t="str">
        <f>""</f>
        <v/>
      </c>
    </row>
    <row r="2290" spans="1:7" x14ac:dyDescent="0.25">
      <c r="A2290" t="s">
        <v>8</v>
      </c>
      <c r="B2290" s="1" t="str">
        <f>"000209115 - RICH SWEET DOUGH-SODEXO"</f>
        <v>000209115 - RICH SWEET DOUGH-SODEXO</v>
      </c>
      <c r="C2290" t="s">
        <v>384</v>
      </c>
      <c r="D2290" s="1" t="str">
        <f t="shared" si="68"/>
        <v>PRG-1020253</v>
      </c>
      <c r="E2290" t="s">
        <v>77</v>
      </c>
      <c r="F2290" t="s">
        <v>4</v>
      </c>
      <c r="G2290" t="str">
        <f>""</f>
        <v/>
      </c>
    </row>
    <row r="2291" spans="1:7" x14ac:dyDescent="0.25">
      <c r="A2291" t="s">
        <v>8</v>
      </c>
      <c r="B2291" s="1" t="str">
        <f>"000213178 - RICH SWEET DOUGH-SODEXO"</f>
        <v>000213178 - RICH SWEET DOUGH-SODEXO</v>
      </c>
      <c r="C2291" t="s">
        <v>384</v>
      </c>
      <c r="D2291" s="1" t="str">
        <f t="shared" si="68"/>
        <v>PRG-1020253</v>
      </c>
      <c r="E2291" t="s">
        <v>77</v>
      </c>
      <c r="F2291" t="s">
        <v>4</v>
      </c>
      <c r="G2291" t="str">
        <f>""</f>
        <v/>
      </c>
    </row>
    <row r="2292" spans="1:7" x14ac:dyDescent="0.25">
      <c r="A2292" t="s">
        <v>8</v>
      </c>
      <c r="B2292" s="1" t="str">
        <f>"000213530 - RICH SWEET DOUGH-SODEXO"</f>
        <v>000213530 - RICH SWEET DOUGH-SODEXO</v>
      </c>
      <c r="C2292" t="s">
        <v>384</v>
      </c>
      <c r="D2292" s="1" t="str">
        <f t="shared" si="68"/>
        <v>PRG-1020253</v>
      </c>
      <c r="E2292" t="s">
        <v>77</v>
      </c>
      <c r="F2292" t="s">
        <v>4</v>
      </c>
      <c r="G2292" t="str">
        <f>""</f>
        <v/>
      </c>
    </row>
    <row r="2293" spans="1:7" x14ac:dyDescent="0.25">
      <c r="A2293" t="s">
        <v>8</v>
      </c>
      <c r="B2293" s="1" t="str">
        <f>"000214499 - RICH SWEET DOUGH-SODEXO"</f>
        <v>000214499 - RICH SWEET DOUGH-SODEXO</v>
      </c>
      <c r="C2293" t="s">
        <v>384</v>
      </c>
      <c r="D2293" s="1" t="str">
        <f t="shared" si="68"/>
        <v>PRG-1020253</v>
      </c>
      <c r="E2293" t="s">
        <v>77</v>
      </c>
      <c r="F2293" t="s">
        <v>4</v>
      </c>
      <c r="G2293" t="str">
        <f>""</f>
        <v/>
      </c>
    </row>
    <row r="2294" spans="1:7" x14ac:dyDescent="0.25">
      <c r="A2294" t="s">
        <v>8</v>
      </c>
      <c r="B2294" s="1" t="str">
        <f>"000216383 - RICH SWEET DOUGH-SODEXO"</f>
        <v>000216383 - RICH SWEET DOUGH-SODEXO</v>
      </c>
      <c r="C2294" t="s">
        <v>384</v>
      </c>
      <c r="D2294" s="1" t="str">
        <f t="shared" si="68"/>
        <v>PRG-1020253</v>
      </c>
      <c r="E2294" t="s">
        <v>77</v>
      </c>
      <c r="F2294" t="s">
        <v>4</v>
      </c>
      <c r="G2294" t="str">
        <f>""</f>
        <v/>
      </c>
    </row>
    <row r="2295" spans="1:7" x14ac:dyDescent="0.25">
      <c r="A2295" t="s">
        <v>8</v>
      </c>
      <c r="B2295" s="1" t="str">
        <f>"000217640 - RICH SWEET DOUGH-SODEXO"</f>
        <v>000217640 - RICH SWEET DOUGH-SODEXO</v>
      </c>
      <c r="C2295" t="s">
        <v>384</v>
      </c>
      <c r="D2295" s="1" t="str">
        <f t="shared" si="68"/>
        <v>PRG-1020253</v>
      </c>
      <c r="E2295" t="s">
        <v>77</v>
      </c>
      <c r="F2295" t="s">
        <v>4</v>
      </c>
      <c r="G2295" t="str">
        <f>""</f>
        <v/>
      </c>
    </row>
    <row r="2296" spans="1:7" x14ac:dyDescent="0.25">
      <c r="A2296" t="s">
        <v>8</v>
      </c>
      <c r="B2296" s="1" t="str">
        <f>"000219106 - RICH SWEET DOUGH-SODEXO"</f>
        <v>000219106 - RICH SWEET DOUGH-SODEXO</v>
      </c>
      <c r="C2296" t="s">
        <v>384</v>
      </c>
      <c r="D2296" s="1" t="str">
        <f t="shared" si="68"/>
        <v>PRG-1020253</v>
      </c>
      <c r="E2296" t="s">
        <v>77</v>
      </c>
      <c r="F2296" t="s">
        <v>4</v>
      </c>
      <c r="G2296" t="str">
        <f>""</f>
        <v/>
      </c>
    </row>
    <row r="2297" spans="1:7" x14ac:dyDescent="0.25">
      <c r="A2297" t="s">
        <v>8</v>
      </c>
      <c r="B2297" s="1" t="str">
        <f>"000220914 - RICH SWEET DOUGH-SODEXO"</f>
        <v>000220914 - RICH SWEET DOUGH-SODEXO</v>
      </c>
      <c r="C2297" t="s">
        <v>384</v>
      </c>
      <c r="D2297" s="1" t="str">
        <f t="shared" si="68"/>
        <v>PRG-1020253</v>
      </c>
      <c r="E2297" t="s">
        <v>77</v>
      </c>
      <c r="F2297" t="s">
        <v>4</v>
      </c>
      <c r="G2297" t="str">
        <f>""</f>
        <v/>
      </c>
    </row>
    <row r="2298" spans="1:7" x14ac:dyDescent="0.25">
      <c r="A2298" t="s">
        <v>8</v>
      </c>
      <c r="B2298" s="1" t="str">
        <f>"000222248 - RICH SWEET DOUGH-SODEXO"</f>
        <v>000222248 - RICH SWEET DOUGH-SODEXO</v>
      </c>
      <c r="C2298" t="s">
        <v>384</v>
      </c>
      <c r="D2298" s="1" t="str">
        <f t="shared" si="68"/>
        <v>PRG-1020253</v>
      </c>
      <c r="E2298" t="s">
        <v>77</v>
      </c>
      <c r="F2298" t="s">
        <v>4</v>
      </c>
      <c r="G2298" t="str">
        <f>""</f>
        <v/>
      </c>
    </row>
    <row r="2299" spans="1:7" x14ac:dyDescent="0.25">
      <c r="A2299" t="s">
        <v>8</v>
      </c>
      <c r="B2299" s="1" t="str">
        <f>"000223345 - RICH SWEET DOUGH-SODEXO"</f>
        <v>000223345 - RICH SWEET DOUGH-SODEXO</v>
      </c>
      <c r="C2299" t="s">
        <v>384</v>
      </c>
      <c r="D2299" s="1" t="str">
        <f t="shared" ref="D2299:D2320" si="69">"PRG-1020253"</f>
        <v>PRG-1020253</v>
      </c>
      <c r="E2299" t="s">
        <v>77</v>
      </c>
      <c r="F2299" t="s">
        <v>4</v>
      </c>
      <c r="G2299" t="str">
        <f>""</f>
        <v/>
      </c>
    </row>
    <row r="2300" spans="1:7" x14ac:dyDescent="0.25">
      <c r="A2300" t="s">
        <v>8</v>
      </c>
      <c r="B2300" s="1" t="str">
        <f>"000223697 - RICH SWEET DOUGH-SODEXO"</f>
        <v>000223697 - RICH SWEET DOUGH-SODEXO</v>
      </c>
      <c r="C2300" t="s">
        <v>384</v>
      </c>
      <c r="D2300" s="1" t="str">
        <f t="shared" si="69"/>
        <v>PRG-1020253</v>
      </c>
      <c r="E2300" t="s">
        <v>77</v>
      </c>
      <c r="F2300" t="s">
        <v>4</v>
      </c>
      <c r="G2300" t="str">
        <f>""</f>
        <v/>
      </c>
    </row>
    <row r="2301" spans="1:7" x14ac:dyDescent="0.25">
      <c r="A2301" t="s">
        <v>8</v>
      </c>
      <c r="B2301" s="1" t="str">
        <f>"000230355 - RICH SWEET DOUGH-SODEXO"</f>
        <v>000230355 - RICH SWEET DOUGH-SODEXO</v>
      </c>
      <c r="C2301" t="s">
        <v>384</v>
      </c>
      <c r="D2301" s="1" t="str">
        <f t="shared" si="69"/>
        <v>PRG-1020253</v>
      </c>
      <c r="E2301" t="s">
        <v>77</v>
      </c>
      <c r="F2301" t="s">
        <v>4</v>
      </c>
      <c r="G2301" t="str">
        <f>""</f>
        <v/>
      </c>
    </row>
    <row r="2302" spans="1:7" x14ac:dyDescent="0.25">
      <c r="A2302" t="s">
        <v>8</v>
      </c>
      <c r="B2302" s="1" t="str">
        <f>"000233549 - RICH SWEET DOUGH-SODEXO"</f>
        <v>000233549 - RICH SWEET DOUGH-SODEXO</v>
      </c>
      <c r="C2302" t="s">
        <v>384</v>
      </c>
      <c r="D2302" s="1" t="str">
        <f t="shared" si="69"/>
        <v>PRG-1020253</v>
      </c>
      <c r="E2302" t="s">
        <v>77</v>
      </c>
      <c r="F2302" t="s">
        <v>4</v>
      </c>
      <c r="G2302" t="str">
        <f>""</f>
        <v/>
      </c>
    </row>
    <row r="2303" spans="1:7" x14ac:dyDescent="0.25">
      <c r="A2303" t="s">
        <v>8</v>
      </c>
      <c r="B2303" s="1" t="str">
        <f>"000243913 - RICH SWEET DOUGH-SODEXO"</f>
        <v>000243913 - RICH SWEET DOUGH-SODEXO</v>
      </c>
      <c r="C2303" t="s">
        <v>384</v>
      </c>
      <c r="D2303" s="1" t="str">
        <f t="shared" si="69"/>
        <v>PRG-1020253</v>
      </c>
      <c r="E2303" t="s">
        <v>77</v>
      </c>
      <c r="F2303" t="s">
        <v>4</v>
      </c>
      <c r="G2303" t="str">
        <f>""</f>
        <v/>
      </c>
    </row>
    <row r="2304" spans="1:7" x14ac:dyDescent="0.25">
      <c r="A2304" t="s">
        <v>8</v>
      </c>
      <c r="B2304" s="1" t="str">
        <f>"000248826 - RICH SWEET DOUGH-SODEXO"</f>
        <v>000248826 - RICH SWEET DOUGH-SODEXO</v>
      </c>
      <c r="C2304" t="s">
        <v>384</v>
      </c>
      <c r="D2304" s="1" t="str">
        <f t="shared" si="69"/>
        <v>PRG-1020253</v>
      </c>
      <c r="E2304" t="s">
        <v>77</v>
      </c>
      <c r="F2304" t="s">
        <v>4</v>
      </c>
      <c r="G2304" t="str">
        <f>""</f>
        <v/>
      </c>
    </row>
    <row r="2305" spans="1:7" x14ac:dyDescent="0.25">
      <c r="A2305" t="s">
        <v>8</v>
      </c>
      <c r="B2305" s="1" t="str">
        <f>"000251623 - RICH SWEET DOUGH-SODEXO"</f>
        <v>000251623 - RICH SWEET DOUGH-SODEXO</v>
      </c>
      <c r="C2305" t="s">
        <v>384</v>
      </c>
      <c r="D2305" s="1" t="str">
        <f t="shared" si="69"/>
        <v>PRG-1020253</v>
      </c>
      <c r="E2305" t="s">
        <v>77</v>
      </c>
      <c r="F2305" t="s">
        <v>4</v>
      </c>
      <c r="G2305" t="str">
        <f>""</f>
        <v/>
      </c>
    </row>
    <row r="2306" spans="1:7" x14ac:dyDescent="0.25">
      <c r="A2306" t="s">
        <v>8</v>
      </c>
      <c r="B2306" s="1" t="str">
        <f>"000261001 - RICH SWEET DOUGH-SODEXO"</f>
        <v>000261001 - RICH SWEET DOUGH-SODEXO</v>
      </c>
      <c r="C2306" t="s">
        <v>384</v>
      </c>
      <c r="D2306" s="1" t="str">
        <f t="shared" si="69"/>
        <v>PRG-1020253</v>
      </c>
      <c r="E2306" t="s">
        <v>77</v>
      </c>
      <c r="F2306" t="s">
        <v>4</v>
      </c>
      <c r="G2306" t="str">
        <f>""</f>
        <v/>
      </c>
    </row>
    <row r="2307" spans="1:7" x14ac:dyDescent="0.25">
      <c r="A2307" t="s">
        <v>8</v>
      </c>
      <c r="B2307" s="1" t="str">
        <f>"000269567 - RICH SWEET DOUGH-SODEXO"</f>
        <v>000269567 - RICH SWEET DOUGH-SODEXO</v>
      </c>
      <c r="C2307" t="s">
        <v>384</v>
      </c>
      <c r="D2307" s="1" t="str">
        <f t="shared" si="69"/>
        <v>PRG-1020253</v>
      </c>
      <c r="E2307" t="s">
        <v>77</v>
      </c>
      <c r="F2307" t="s">
        <v>4</v>
      </c>
      <c r="G2307" t="str">
        <f>""</f>
        <v/>
      </c>
    </row>
    <row r="2308" spans="1:7" x14ac:dyDescent="0.25">
      <c r="A2308" t="s">
        <v>8</v>
      </c>
      <c r="B2308" s="1" t="str">
        <f>"000269764 - RICH SWEET DOUGH-SODEXO"</f>
        <v>000269764 - RICH SWEET DOUGH-SODEXO</v>
      </c>
      <c r="C2308" t="s">
        <v>384</v>
      </c>
      <c r="D2308" s="1" t="str">
        <f t="shared" si="69"/>
        <v>PRG-1020253</v>
      </c>
      <c r="E2308" t="s">
        <v>77</v>
      </c>
      <c r="F2308" t="s">
        <v>4</v>
      </c>
      <c r="G2308" t="str">
        <f>""</f>
        <v/>
      </c>
    </row>
    <row r="2309" spans="1:7" x14ac:dyDescent="0.25">
      <c r="A2309" t="s">
        <v>8</v>
      </c>
      <c r="B2309" s="1" t="str">
        <f>"000274522 - RICH SWEET DOUGH-SODEXO"</f>
        <v>000274522 - RICH SWEET DOUGH-SODEXO</v>
      </c>
      <c r="C2309" t="s">
        <v>384</v>
      </c>
      <c r="D2309" s="1" t="str">
        <f t="shared" si="69"/>
        <v>PRG-1020253</v>
      </c>
      <c r="E2309" t="s">
        <v>77</v>
      </c>
      <c r="F2309" t="s">
        <v>4</v>
      </c>
      <c r="G2309" t="str">
        <f>""</f>
        <v/>
      </c>
    </row>
    <row r="2310" spans="1:7" x14ac:dyDescent="0.25">
      <c r="A2310" t="s">
        <v>8</v>
      </c>
      <c r="B2310" s="1" t="str">
        <f>"000274807 - RICHS SWEET DOUGH-SODEXO"</f>
        <v>000274807 - RICHS SWEET DOUGH-SODEXO</v>
      </c>
      <c r="C2310" t="s">
        <v>137</v>
      </c>
      <c r="D2310" s="1" t="str">
        <f t="shared" si="69"/>
        <v>PRG-1020253</v>
      </c>
      <c r="E2310" t="s">
        <v>77</v>
      </c>
      <c r="F2310" t="s">
        <v>4</v>
      </c>
      <c r="G2310" t="str">
        <f>""</f>
        <v/>
      </c>
    </row>
    <row r="2311" spans="1:7" x14ac:dyDescent="0.25">
      <c r="A2311" t="s">
        <v>8</v>
      </c>
      <c r="B2311" s="1" t="str">
        <f>"000275254 - RICHS SWEET DOUGH-SODEXO"</f>
        <v>000275254 - RICHS SWEET DOUGH-SODEXO</v>
      </c>
      <c r="C2311" t="s">
        <v>137</v>
      </c>
      <c r="D2311" s="1" t="str">
        <f t="shared" si="69"/>
        <v>PRG-1020253</v>
      </c>
      <c r="E2311" t="s">
        <v>77</v>
      </c>
      <c r="F2311" t="s">
        <v>4</v>
      </c>
      <c r="G2311" t="str">
        <f>""</f>
        <v/>
      </c>
    </row>
    <row r="2312" spans="1:7" x14ac:dyDescent="0.25">
      <c r="A2312" t="s">
        <v>8</v>
      </c>
      <c r="B2312" s="1" t="str">
        <f>"000278034 - RICH SWEET DOUGH-SODEXO"</f>
        <v>000278034 - RICH SWEET DOUGH-SODEXO</v>
      </c>
      <c r="C2312" t="s">
        <v>384</v>
      </c>
      <c r="D2312" s="1" t="str">
        <f t="shared" si="69"/>
        <v>PRG-1020253</v>
      </c>
      <c r="E2312" t="s">
        <v>77</v>
      </c>
      <c r="F2312" t="s">
        <v>4</v>
      </c>
      <c r="G2312" t="str">
        <f>""</f>
        <v/>
      </c>
    </row>
    <row r="2313" spans="1:7" x14ac:dyDescent="0.25">
      <c r="A2313" t="s">
        <v>8</v>
      </c>
      <c r="B2313" s="1" t="str">
        <f>"000280392 - RICH SWEET DOUGH-SODEXO"</f>
        <v>000280392 - RICH SWEET DOUGH-SODEXO</v>
      </c>
      <c r="C2313" t="s">
        <v>384</v>
      </c>
      <c r="D2313" s="1" t="str">
        <f t="shared" si="69"/>
        <v>PRG-1020253</v>
      </c>
      <c r="E2313" t="s">
        <v>77</v>
      </c>
      <c r="F2313" t="s">
        <v>4</v>
      </c>
      <c r="G2313" t="str">
        <f>""</f>
        <v/>
      </c>
    </row>
    <row r="2314" spans="1:7" x14ac:dyDescent="0.25">
      <c r="A2314" t="s">
        <v>8</v>
      </c>
      <c r="B2314" s="1" t="str">
        <f>"000283704 - RICHS SWEET DOUGH-SODEXO"</f>
        <v>000283704 - RICHS SWEET DOUGH-SODEXO</v>
      </c>
      <c r="C2314" t="s">
        <v>137</v>
      </c>
      <c r="D2314" s="1" t="str">
        <f t="shared" si="69"/>
        <v>PRG-1020253</v>
      </c>
      <c r="E2314" t="s">
        <v>77</v>
      </c>
      <c r="F2314" t="s">
        <v>4</v>
      </c>
      <c r="G2314" t="str">
        <f>""</f>
        <v/>
      </c>
    </row>
    <row r="2315" spans="1:7" x14ac:dyDescent="0.25">
      <c r="A2315" t="s">
        <v>8</v>
      </c>
      <c r="B2315" s="1" t="str">
        <f>"000289243 - RICH SWEET DOUGH-SODEXO"</f>
        <v>000289243 - RICH SWEET DOUGH-SODEXO</v>
      </c>
      <c r="C2315" t="s">
        <v>384</v>
      </c>
      <c r="D2315" s="1" t="str">
        <f t="shared" si="69"/>
        <v>PRG-1020253</v>
      </c>
      <c r="E2315" t="s">
        <v>77</v>
      </c>
      <c r="F2315" t="s">
        <v>4</v>
      </c>
      <c r="G2315" t="str">
        <f>""</f>
        <v/>
      </c>
    </row>
    <row r="2316" spans="1:7" x14ac:dyDescent="0.25">
      <c r="A2316" t="s">
        <v>8</v>
      </c>
      <c r="B2316" s="1" t="str">
        <f>"000300138 - RICH SWEET DOUGH-SODEXO"</f>
        <v>000300138 - RICH SWEET DOUGH-SODEXO</v>
      </c>
      <c r="C2316" t="s">
        <v>384</v>
      </c>
      <c r="D2316" s="1" t="str">
        <f t="shared" si="69"/>
        <v>PRG-1020253</v>
      </c>
      <c r="E2316" t="s">
        <v>77</v>
      </c>
      <c r="F2316" t="s">
        <v>4</v>
      </c>
      <c r="G2316" t="str">
        <f>""</f>
        <v/>
      </c>
    </row>
    <row r="2317" spans="1:7" x14ac:dyDescent="0.25">
      <c r="A2317" t="s">
        <v>8</v>
      </c>
      <c r="B2317" s="1" t="str">
        <f>"000304715 - RICHS SWEET DOUGH-SODEXO"</f>
        <v>000304715 - RICHS SWEET DOUGH-SODEXO</v>
      </c>
      <c r="C2317" t="s">
        <v>137</v>
      </c>
      <c r="D2317" s="1" t="str">
        <f t="shared" si="69"/>
        <v>PRG-1020253</v>
      </c>
      <c r="E2317" t="s">
        <v>77</v>
      </c>
      <c r="F2317" t="s">
        <v>4</v>
      </c>
      <c r="G2317" t="str">
        <f>""</f>
        <v/>
      </c>
    </row>
    <row r="2318" spans="1:7" x14ac:dyDescent="0.25">
      <c r="A2318" t="s">
        <v>8</v>
      </c>
      <c r="B2318" s="1" t="str">
        <f>"000314517 - RICH SWEET DOUGH-SODEXO"</f>
        <v>000314517 - RICH SWEET DOUGH-SODEXO</v>
      </c>
      <c r="C2318" t="s">
        <v>384</v>
      </c>
      <c r="D2318" s="1" t="str">
        <f t="shared" si="69"/>
        <v>PRG-1020253</v>
      </c>
      <c r="E2318" t="s">
        <v>77</v>
      </c>
      <c r="F2318" t="s">
        <v>4</v>
      </c>
      <c r="G2318" t="str">
        <f>""</f>
        <v/>
      </c>
    </row>
    <row r="2319" spans="1:7" x14ac:dyDescent="0.25">
      <c r="A2319" t="s">
        <v>8</v>
      </c>
      <c r="B2319" s="1" t="str">
        <f>"000327875 - RICH SWEET DOUGH-SODEXO"</f>
        <v>000327875 - RICH SWEET DOUGH-SODEXO</v>
      </c>
      <c r="C2319" t="s">
        <v>384</v>
      </c>
      <c r="D2319" s="1" t="str">
        <f t="shared" si="69"/>
        <v>PRG-1020253</v>
      </c>
      <c r="E2319" t="s">
        <v>77</v>
      </c>
      <c r="F2319" t="s">
        <v>4</v>
      </c>
      <c r="G2319" t="str">
        <f>""</f>
        <v/>
      </c>
    </row>
    <row r="2320" spans="1:7" x14ac:dyDescent="0.25">
      <c r="A2320" t="s">
        <v>8</v>
      </c>
      <c r="B2320" s="1" t="str">
        <f>"2000126748 - RICHS SWEET-SODEXO"</f>
        <v>2000126748 - RICHS SWEET-SODEXO</v>
      </c>
      <c r="C2320" t="s">
        <v>3826</v>
      </c>
      <c r="D2320" s="1" t="str">
        <f t="shared" si="69"/>
        <v>PRG-1020253</v>
      </c>
      <c r="E2320" t="s">
        <v>77</v>
      </c>
      <c r="F2320" t="s">
        <v>4</v>
      </c>
      <c r="G2320" t="str">
        <f>""</f>
        <v/>
      </c>
    </row>
    <row r="2321" spans="1:7" x14ac:dyDescent="0.25">
      <c r="A2321" t="s">
        <v>8</v>
      </c>
      <c r="B2321" s="1" t="str">
        <f>"000024593 - RICH PIZZA&amp;ICING-SODEXO"</f>
        <v>000024593 - RICH PIZZA&amp;ICING-SODEXO</v>
      </c>
      <c r="C2321" t="s">
        <v>436</v>
      </c>
      <c r="D2321" s="1" t="str">
        <f t="shared" ref="D2321:D2352" si="70">"PRG-1020257"</f>
        <v>PRG-1020257</v>
      </c>
      <c r="E2321" t="s">
        <v>48</v>
      </c>
      <c r="F2321" t="s">
        <v>4</v>
      </c>
      <c r="G2321" t="str">
        <f>""</f>
        <v/>
      </c>
    </row>
    <row r="2322" spans="1:7" x14ac:dyDescent="0.25">
      <c r="A2322" t="s">
        <v>8</v>
      </c>
      <c r="B2322" s="1" t="str">
        <f>"000026546 - RICH PIZZA&amp;ICING-SODEXO"</f>
        <v>000026546 - RICH PIZZA&amp;ICING-SODEXO</v>
      </c>
      <c r="C2322" t="s">
        <v>436</v>
      </c>
      <c r="D2322" s="1" t="str">
        <f t="shared" si="70"/>
        <v>PRG-1020257</v>
      </c>
      <c r="E2322" t="s">
        <v>48</v>
      </c>
      <c r="F2322" t="s">
        <v>4</v>
      </c>
      <c r="G2322" t="str">
        <f>""</f>
        <v/>
      </c>
    </row>
    <row r="2323" spans="1:7" x14ac:dyDescent="0.25">
      <c r="A2323" t="s">
        <v>8</v>
      </c>
      <c r="B2323" s="1" t="str">
        <f>"000026681 - RICHS PIZZA DOUGH&amp;ICING-SODEXO"</f>
        <v>000026681 - RICHS PIZZA DOUGH&amp;ICING-SODEXO</v>
      </c>
      <c r="C2323" t="s">
        <v>288</v>
      </c>
      <c r="D2323" s="1" t="str">
        <f t="shared" si="70"/>
        <v>PRG-1020257</v>
      </c>
      <c r="E2323" t="s">
        <v>48</v>
      </c>
      <c r="F2323" t="s">
        <v>4</v>
      </c>
      <c r="G2323" t="str">
        <f>""</f>
        <v/>
      </c>
    </row>
    <row r="2324" spans="1:7" x14ac:dyDescent="0.25">
      <c r="A2324" t="s">
        <v>8</v>
      </c>
      <c r="B2324" s="1" t="str">
        <f>"000029161 - RICHS PIZZA DOUGH&amp;ICING-SODEXO"</f>
        <v>000029161 - RICHS PIZZA DOUGH&amp;ICING-SODEXO</v>
      </c>
      <c r="C2324" t="s">
        <v>288</v>
      </c>
      <c r="D2324" s="1" t="str">
        <f t="shared" si="70"/>
        <v>PRG-1020257</v>
      </c>
      <c r="E2324" t="s">
        <v>48</v>
      </c>
      <c r="F2324" t="s">
        <v>4</v>
      </c>
      <c r="G2324" t="str">
        <f>""</f>
        <v/>
      </c>
    </row>
    <row r="2325" spans="1:7" x14ac:dyDescent="0.25">
      <c r="A2325" t="s">
        <v>8</v>
      </c>
      <c r="B2325" s="1" t="str">
        <f>"000086772 - RICH PIZZA&amp;ICING-SODEXO"</f>
        <v>000086772 - RICH PIZZA&amp;ICING-SODEXO</v>
      </c>
      <c r="C2325" t="s">
        <v>436</v>
      </c>
      <c r="D2325" s="1" t="str">
        <f t="shared" si="70"/>
        <v>PRG-1020257</v>
      </c>
      <c r="E2325" t="s">
        <v>48</v>
      </c>
      <c r="F2325" t="s">
        <v>4</v>
      </c>
      <c r="G2325" t="str">
        <f>""</f>
        <v/>
      </c>
    </row>
    <row r="2326" spans="1:7" x14ac:dyDescent="0.25">
      <c r="A2326" t="s">
        <v>8</v>
      </c>
      <c r="B2326" s="1" t="str">
        <f>"000089134 - RICHS PIZZA DOUGH&amp;ICING-SODEXO"</f>
        <v>000089134 - RICHS PIZZA DOUGH&amp;ICING-SODEXO</v>
      </c>
      <c r="C2326" t="s">
        <v>288</v>
      </c>
      <c r="D2326" s="1" t="str">
        <f t="shared" si="70"/>
        <v>PRG-1020257</v>
      </c>
      <c r="E2326" t="s">
        <v>48</v>
      </c>
      <c r="F2326" t="s">
        <v>4</v>
      </c>
      <c r="G2326" t="str">
        <f>""</f>
        <v/>
      </c>
    </row>
    <row r="2327" spans="1:7" x14ac:dyDescent="0.25">
      <c r="A2327" t="s">
        <v>8</v>
      </c>
      <c r="B2327" s="1" t="str">
        <f>"000099283 - RICH PIZZA&amp;ICING-SODEXO"</f>
        <v>000099283 - RICH PIZZA&amp;ICING-SODEXO</v>
      </c>
      <c r="C2327" t="s">
        <v>436</v>
      </c>
      <c r="D2327" s="1" t="str">
        <f t="shared" si="70"/>
        <v>PRG-1020257</v>
      </c>
      <c r="E2327" t="s">
        <v>48</v>
      </c>
      <c r="F2327" t="s">
        <v>4</v>
      </c>
      <c r="G2327" t="str">
        <f>""</f>
        <v/>
      </c>
    </row>
    <row r="2328" spans="1:7" x14ac:dyDescent="0.25">
      <c r="A2328" t="s">
        <v>8</v>
      </c>
      <c r="B2328" s="1" t="str">
        <f>"000101592 - RICHS PIZZA DOUGH&amp;ICING-SODEXO"</f>
        <v>000101592 - RICHS PIZZA DOUGH&amp;ICING-SODEXO</v>
      </c>
      <c r="C2328" t="s">
        <v>288</v>
      </c>
      <c r="D2328" s="1" t="str">
        <f t="shared" si="70"/>
        <v>PRG-1020257</v>
      </c>
      <c r="E2328" t="s">
        <v>48</v>
      </c>
      <c r="F2328" t="s">
        <v>4</v>
      </c>
      <c r="G2328" t="str">
        <f>""</f>
        <v/>
      </c>
    </row>
    <row r="2329" spans="1:7" x14ac:dyDescent="0.25">
      <c r="A2329" t="s">
        <v>8</v>
      </c>
      <c r="B2329" s="1" t="str">
        <f>"000109643 - RICH PIZZA&amp;ICING-SODEXO"</f>
        <v>000109643 - RICH PIZZA&amp;ICING-SODEXO</v>
      </c>
      <c r="C2329" t="s">
        <v>436</v>
      </c>
      <c r="D2329" s="1" t="str">
        <f t="shared" si="70"/>
        <v>PRG-1020257</v>
      </c>
      <c r="E2329" t="s">
        <v>48</v>
      </c>
      <c r="F2329" t="s">
        <v>4</v>
      </c>
      <c r="G2329" t="str">
        <f>""</f>
        <v/>
      </c>
    </row>
    <row r="2330" spans="1:7" x14ac:dyDescent="0.25">
      <c r="A2330" t="s">
        <v>8</v>
      </c>
      <c r="B2330" s="1" t="str">
        <f>"000112176 - RICHS PIZZA DOUGH&amp;ICING-SODEXO"</f>
        <v>000112176 - RICHS PIZZA DOUGH&amp;ICING-SODEXO</v>
      </c>
      <c r="C2330" t="s">
        <v>288</v>
      </c>
      <c r="D2330" s="1" t="str">
        <f t="shared" si="70"/>
        <v>PRG-1020257</v>
      </c>
      <c r="E2330" t="s">
        <v>48</v>
      </c>
      <c r="F2330" t="s">
        <v>4</v>
      </c>
      <c r="G2330" t="str">
        <f>""</f>
        <v/>
      </c>
    </row>
    <row r="2331" spans="1:7" x14ac:dyDescent="0.25">
      <c r="A2331" t="s">
        <v>8</v>
      </c>
      <c r="B2331" s="1" t="str">
        <f>"000118118 - RICH PIZZA&amp;ICING-SODEXO"</f>
        <v>000118118 - RICH PIZZA&amp;ICING-SODEXO</v>
      </c>
      <c r="C2331" t="s">
        <v>436</v>
      </c>
      <c r="D2331" s="1" t="str">
        <f t="shared" si="70"/>
        <v>PRG-1020257</v>
      </c>
      <c r="E2331" t="s">
        <v>48</v>
      </c>
      <c r="F2331" t="s">
        <v>4</v>
      </c>
      <c r="G2331" t="str">
        <f>""</f>
        <v/>
      </c>
    </row>
    <row r="2332" spans="1:7" x14ac:dyDescent="0.25">
      <c r="A2332" t="s">
        <v>8</v>
      </c>
      <c r="B2332" s="1" t="str">
        <f>"000120602 - RICHS PIZZA DOUGH&amp;ICING-SODEXO"</f>
        <v>000120602 - RICHS PIZZA DOUGH&amp;ICING-SODEXO</v>
      </c>
      <c r="C2332" t="s">
        <v>288</v>
      </c>
      <c r="D2332" s="1" t="str">
        <f t="shared" si="70"/>
        <v>PRG-1020257</v>
      </c>
      <c r="E2332" t="s">
        <v>48</v>
      </c>
      <c r="F2332" t="s">
        <v>4</v>
      </c>
      <c r="G2332" t="str">
        <f>""</f>
        <v/>
      </c>
    </row>
    <row r="2333" spans="1:7" x14ac:dyDescent="0.25">
      <c r="A2333" t="s">
        <v>8</v>
      </c>
      <c r="B2333" s="1" t="str">
        <f>"000121449 - RICH PIZZA&amp;ICING-SODEXO"</f>
        <v>000121449 - RICH PIZZA&amp;ICING-SODEXO</v>
      </c>
      <c r="C2333" t="s">
        <v>436</v>
      </c>
      <c r="D2333" s="1" t="str">
        <f t="shared" si="70"/>
        <v>PRG-1020257</v>
      </c>
      <c r="E2333" t="s">
        <v>48</v>
      </c>
      <c r="F2333" t="s">
        <v>4</v>
      </c>
      <c r="G2333" t="str">
        <f>""</f>
        <v/>
      </c>
    </row>
    <row r="2334" spans="1:7" x14ac:dyDescent="0.25">
      <c r="A2334" t="s">
        <v>8</v>
      </c>
      <c r="B2334" s="1" t="str">
        <f>"000123397 - RICHS PIZZA DOUGH&amp;ICING-SODEXO"</f>
        <v>000123397 - RICHS PIZZA DOUGH&amp;ICING-SODEXO</v>
      </c>
      <c r="C2334" t="s">
        <v>288</v>
      </c>
      <c r="D2334" s="1" t="str">
        <f t="shared" si="70"/>
        <v>PRG-1020257</v>
      </c>
      <c r="E2334" t="s">
        <v>48</v>
      </c>
      <c r="F2334" t="s">
        <v>4</v>
      </c>
      <c r="G2334" t="str">
        <f>""</f>
        <v/>
      </c>
    </row>
    <row r="2335" spans="1:7" x14ac:dyDescent="0.25">
      <c r="A2335" t="s">
        <v>8</v>
      </c>
      <c r="B2335" s="1" t="str">
        <f>"000124128 - RICH PIZZA&amp;ICING-SODEXO"</f>
        <v>000124128 - RICH PIZZA&amp;ICING-SODEXO</v>
      </c>
      <c r="C2335" t="s">
        <v>436</v>
      </c>
      <c r="D2335" s="1" t="str">
        <f t="shared" si="70"/>
        <v>PRG-1020257</v>
      </c>
      <c r="E2335" t="s">
        <v>48</v>
      </c>
      <c r="F2335" t="s">
        <v>4</v>
      </c>
      <c r="G2335" t="str">
        <f>""</f>
        <v/>
      </c>
    </row>
    <row r="2336" spans="1:7" x14ac:dyDescent="0.25">
      <c r="A2336" t="s">
        <v>8</v>
      </c>
      <c r="B2336" s="1" t="str">
        <f>"000126123 - RICHS PIZZA DOUGH&amp;ICING-SODEXO"</f>
        <v>000126123 - RICHS PIZZA DOUGH&amp;ICING-SODEXO</v>
      </c>
      <c r="C2336" t="s">
        <v>288</v>
      </c>
      <c r="D2336" s="1" t="str">
        <f t="shared" si="70"/>
        <v>PRG-1020257</v>
      </c>
      <c r="E2336" t="s">
        <v>48</v>
      </c>
      <c r="F2336" t="s">
        <v>4</v>
      </c>
      <c r="G2336" t="str">
        <f>""</f>
        <v/>
      </c>
    </row>
    <row r="2337" spans="1:7" x14ac:dyDescent="0.25">
      <c r="A2337" t="s">
        <v>8</v>
      </c>
      <c r="B2337" s="1" t="str">
        <f>"000135498 - RICH PIZZA&amp;ICING-SODEXO"</f>
        <v>000135498 - RICH PIZZA&amp;ICING-SODEXO</v>
      </c>
      <c r="C2337" t="s">
        <v>436</v>
      </c>
      <c r="D2337" s="1" t="str">
        <f t="shared" si="70"/>
        <v>PRG-1020257</v>
      </c>
      <c r="E2337" t="s">
        <v>48</v>
      </c>
      <c r="F2337" t="s">
        <v>4</v>
      </c>
      <c r="G2337" t="str">
        <f>""</f>
        <v/>
      </c>
    </row>
    <row r="2338" spans="1:7" x14ac:dyDescent="0.25">
      <c r="A2338" t="s">
        <v>8</v>
      </c>
      <c r="B2338" s="1" t="str">
        <f>"000137969 - RICHS PIZZA DOUGH&amp;ICING-SODEXO"</f>
        <v>000137969 - RICHS PIZZA DOUGH&amp;ICING-SODEXO</v>
      </c>
      <c r="C2338" t="s">
        <v>288</v>
      </c>
      <c r="D2338" s="1" t="str">
        <f t="shared" si="70"/>
        <v>PRG-1020257</v>
      </c>
      <c r="E2338" t="s">
        <v>48</v>
      </c>
      <c r="F2338" t="s">
        <v>4</v>
      </c>
      <c r="G2338" t="str">
        <f>""</f>
        <v/>
      </c>
    </row>
    <row r="2339" spans="1:7" x14ac:dyDescent="0.25">
      <c r="A2339" t="s">
        <v>8</v>
      </c>
      <c r="B2339" s="1" t="str">
        <f>"000163313 - RICH PIZZA&amp;ICING-SODEXO"</f>
        <v>000163313 - RICH PIZZA&amp;ICING-SODEXO</v>
      </c>
      <c r="C2339" t="s">
        <v>436</v>
      </c>
      <c r="D2339" s="1" t="str">
        <f t="shared" si="70"/>
        <v>PRG-1020257</v>
      </c>
      <c r="E2339" t="s">
        <v>48</v>
      </c>
      <c r="F2339" t="s">
        <v>4</v>
      </c>
      <c r="G2339" t="str">
        <f>""</f>
        <v/>
      </c>
    </row>
    <row r="2340" spans="1:7" x14ac:dyDescent="0.25">
      <c r="A2340" t="s">
        <v>8</v>
      </c>
      <c r="B2340" s="1" t="str">
        <f>"000173408 - RICH PIZZA&amp;ICING-SODEXO"</f>
        <v>000173408 - RICH PIZZA&amp;ICING-SODEXO</v>
      </c>
      <c r="C2340" t="s">
        <v>436</v>
      </c>
      <c r="D2340" s="1" t="str">
        <f t="shared" si="70"/>
        <v>PRG-1020257</v>
      </c>
      <c r="E2340" t="s">
        <v>48</v>
      </c>
      <c r="F2340" t="s">
        <v>4</v>
      </c>
      <c r="G2340" t="str">
        <f>""</f>
        <v/>
      </c>
    </row>
    <row r="2341" spans="1:7" x14ac:dyDescent="0.25">
      <c r="A2341" t="s">
        <v>8</v>
      </c>
      <c r="B2341" s="1" t="str">
        <f>"000182663 - RICH PIZZA&amp;ICING-SODEXO"</f>
        <v>000182663 - RICH PIZZA&amp;ICING-SODEXO</v>
      </c>
      <c r="C2341" t="s">
        <v>436</v>
      </c>
      <c r="D2341" s="1" t="str">
        <f t="shared" si="70"/>
        <v>PRG-1020257</v>
      </c>
      <c r="E2341" t="s">
        <v>48</v>
      </c>
      <c r="F2341" t="s">
        <v>4</v>
      </c>
      <c r="G2341" t="str">
        <f>""</f>
        <v/>
      </c>
    </row>
    <row r="2342" spans="1:7" x14ac:dyDescent="0.25">
      <c r="A2342" t="s">
        <v>8</v>
      </c>
      <c r="B2342" s="1" t="str">
        <f>"000185273 - RICHS PIZZA DOUGH&amp;ICING-SODEXO"</f>
        <v>000185273 - RICHS PIZZA DOUGH&amp;ICING-SODEXO</v>
      </c>
      <c r="C2342" t="s">
        <v>288</v>
      </c>
      <c r="D2342" s="1" t="str">
        <f t="shared" si="70"/>
        <v>PRG-1020257</v>
      </c>
      <c r="E2342" t="s">
        <v>48</v>
      </c>
      <c r="F2342" t="s">
        <v>4</v>
      </c>
      <c r="G2342" t="str">
        <f>""</f>
        <v/>
      </c>
    </row>
    <row r="2343" spans="1:7" x14ac:dyDescent="0.25">
      <c r="A2343" t="s">
        <v>8</v>
      </c>
      <c r="B2343" s="1" t="str">
        <f>"000194306 - BB SODEXO FOB PIZZA&amp;ICING RICH"</f>
        <v>000194306 - BB SODEXO FOB PIZZA&amp;ICING RICH</v>
      </c>
      <c r="C2343" t="s">
        <v>1241</v>
      </c>
      <c r="D2343" s="1" t="str">
        <f t="shared" si="70"/>
        <v>PRG-1020257</v>
      </c>
      <c r="E2343" t="s">
        <v>48</v>
      </c>
      <c r="F2343" t="s">
        <v>4</v>
      </c>
      <c r="G2343" t="str">
        <f>""</f>
        <v/>
      </c>
    </row>
    <row r="2344" spans="1:7" x14ac:dyDescent="0.25">
      <c r="A2344" t="s">
        <v>8</v>
      </c>
      <c r="B2344" s="1" t="str">
        <f>"000195730 - BB SODEXHO FOB RICH PZ DOUG-IC"</f>
        <v>000195730 - BB SODEXHO FOB RICH PZ DOUG-IC</v>
      </c>
      <c r="C2344" t="s">
        <v>1257</v>
      </c>
      <c r="D2344" s="1" t="str">
        <f t="shared" si="70"/>
        <v>PRG-1020257</v>
      </c>
      <c r="E2344" t="s">
        <v>48</v>
      </c>
      <c r="F2344" t="s">
        <v>4</v>
      </c>
      <c r="G2344" t="str">
        <f>""</f>
        <v/>
      </c>
    </row>
    <row r="2345" spans="1:7" x14ac:dyDescent="0.25">
      <c r="A2345" t="s">
        <v>8</v>
      </c>
      <c r="B2345" s="1" t="str">
        <f>"000199798 - RICH PIZZA&amp;ICING-SODEXO"</f>
        <v>000199798 - RICH PIZZA&amp;ICING-SODEXO</v>
      </c>
      <c r="C2345" t="s">
        <v>436</v>
      </c>
      <c r="D2345" s="1" t="str">
        <f t="shared" si="70"/>
        <v>PRG-1020257</v>
      </c>
      <c r="E2345" t="s">
        <v>48</v>
      </c>
      <c r="F2345" t="s">
        <v>4</v>
      </c>
      <c r="G2345" t="str">
        <f>""</f>
        <v/>
      </c>
    </row>
    <row r="2346" spans="1:7" x14ac:dyDescent="0.25">
      <c r="A2346" t="s">
        <v>8</v>
      </c>
      <c r="B2346" s="1" t="str">
        <f>"000200420 - RICH PIZZA&amp;ICING-SODEXO"</f>
        <v>000200420 - RICH PIZZA&amp;ICING-SODEXO</v>
      </c>
      <c r="C2346" t="s">
        <v>436</v>
      </c>
      <c r="D2346" s="1" t="str">
        <f t="shared" si="70"/>
        <v>PRG-1020257</v>
      </c>
      <c r="E2346" t="s">
        <v>48</v>
      </c>
      <c r="F2346" t="s">
        <v>4</v>
      </c>
      <c r="G2346" t="str">
        <f>""</f>
        <v/>
      </c>
    </row>
    <row r="2347" spans="1:7" x14ac:dyDescent="0.25">
      <c r="A2347" t="s">
        <v>8</v>
      </c>
      <c r="B2347" s="1" t="str">
        <f>"000200574 - RICH PIZZA&amp;ICING-SODEXO"</f>
        <v>000200574 - RICH PIZZA&amp;ICING-SODEXO</v>
      </c>
      <c r="C2347" t="s">
        <v>436</v>
      </c>
      <c r="D2347" s="1" t="str">
        <f t="shared" si="70"/>
        <v>PRG-1020257</v>
      </c>
      <c r="E2347" t="s">
        <v>48</v>
      </c>
      <c r="F2347" t="s">
        <v>4</v>
      </c>
      <c r="G2347" t="str">
        <f>""</f>
        <v/>
      </c>
    </row>
    <row r="2348" spans="1:7" x14ac:dyDescent="0.25">
      <c r="A2348" t="s">
        <v>8</v>
      </c>
      <c r="B2348" s="1" t="str">
        <f>"000200694 - RICH PIZZA&amp;ICING-SODEXO"</f>
        <v>000200694 - RICH PIZZA&amp;ICING-SODEXO</v>
      </c>
      <c r="C2348" t="s">
        <v>436</v>
      </c>
      <c r="D2348" s="1" t="str">
        <f t="shared" si="70"/>
        <v>PRG-1020257</v>
      </c>
      <c r="E2348" t="s">
        <v>48</v>
      </c>
      <c r="F2348" t="s">
        <v>4</v>
      </c>
      <c r="G2348" t="str">
        <f>""</f>
        <v/>
      </c>
    </row>
    <row r="2349" spans="1:7" x14ac:dyDescent="0.25">
      <c r="A2349" t="s">
        <v>8</v>
      </c>
      <c r="B2349" s="1" t="str">
        <f>"000202523 - RICHS PIZZA DOUGH&amp;ICING-SODEXO"</f>
        <v>000202523 - RICHS PIZZA DOUGH&amp;ICING-SODEXO</v>
      </c>
      <c r="C2349" t="s">
        <v>288</v>
      </c>
      <c r="D2349" s="1" t="str">
        <f t="shared" si="70"/>
        <v>PRG-1020257</v>
      </c>
      <c r="E2349" t="s">
        <v>48</v>
      </c>
      <c r="F2349" t="s">
        <v>4</v>
      </c>
      <c r="G2349" t="str">
        <f>""</f>
        <v/>
      </c>
    </row>
    <row r="2350" spans="1:7" x14ac:dyDescent="0.25">
      <c r="A2350" t="s">
        <v>8</v>
      </c>
      <c r="B2350" s="1" t="str">
        <f>"000203218 - RICHS PIZZA DOUGH&amp;ICING-SODEXO"</f>
        <v>000203218 - RICHS PIZZA DOUGH&amp;ICING-SODEXO</v>
      </c>
      <c r="C2350" t="s">
        <v>288</v>
      </c>
      <c r="D2350" s="1" t="str">
        <f t="shared" si="70"/>
        <v>PRG-1020257</v>
      </c>
      <c r="E2350" t="s">
        <v>48</v>
      </c>
      <c r="F2350" t="s">
        <v>4</v>
      </c>
      <c r="G2350" t="str">
        <f>""</f>
        <v/>
      </c>
    </row>
    <row r="2351" spans="1:7" x14ac:dyDescent="0.25">
      <c r="A2351" t="s">
        <v>8</v>
      </c>
      <c r="B2351" s="1" t="str">
        <f>"000203441 - RICHS PIZZA DOUGH&amp;ICING-SODEXO"</f>
        <v>000203441 - RICHS PIZZA DOUGH&amp;ICING-SODEXO</v>
      </c>
      <c r="C2351" t="s">
        <v>288</v>
      </c>
      <c r="D2351" s="1" t="str">
        <f t="shared" si="70"/>
        <v>PRG-1020257</v>
      </c>
      <c r="E2351" t="s">
        <v>48</v>
      </c>
      <c r="F2351" t="s">
        <v>4</v>
      </c>
      <c r="G2351" t="str">
        <f>""</f>
        <v/>
      </c>
    </row>
    <row r="2352" spans="1:7" x14ac:dyDescent="0.25">
      <c r="A2352" t="s">
        <v>8</v>
      </c>
      <c r="B2352" s="1" t="str">
        <f>"000207143 - RICH PIZZA&amp;ICING-SODEXO(207142"</f>
        <v>000207143 - RICH PIZZA&amp;ICING-SODEXO(207142</v>
      </c>
      <c r="C2352" t="s">
        <v>1377</v>
      </c>
      <c r="D2352" s="1" t="str">
        <f t="shared" si="70"/>
        <v>PRG-1020257</v>
      </c>
      <c r="E2352" t="s">
        <v>48</v>
      </c>
      <c r="F2352" t="s">
        <v>4</v>
      </c>
      <c r="G2352" t="str">
        <f>""</f>
        <v/>
      </c>
    </row>
    <row r="2353" spans="1:7" x14ac:dyDescent="0.25">
      <c r="A2353" t="s">
        <v>8</v>
      </c>
      <c r="B2353" s="1" t="str">
        <f>"000207610 - RICH PIZZA&amp;ICING-SODEXO"</f>
        <v>000207610 - RICH PIZZA&amp;ICING-SODEXO</v>
      </c>
      <c r="C2353" t="s">
        <v>436</v>
      </c>
      <c r="D2353" s="1" t="str">
        <f t="shared" ref="D2353:D2384" si="71">"PRG-1020257"</f>
        <v>PRG-1020257</v>
      </c>
      <c r="E2353" t="s">
        <v>48</v>
      </c>
      <c r="F2353" t="s">
        <v>4</v>
      </c>
      <c r="G2353" t="str">
        <f>""</f>
        <v/>
      </c>
    </row>
    <row r="2354" spans="1:7" x14ac:dyDescent="0.25">
      <c r="A2354" t="s">
        <v>8</v>
      </c>
      <c r="B2354" s="1" t="str">
        <f>"000210078 - RICHS PIZZA DOUGH&amp;ICING-SODEXO"</f>
        <v>000210078 - RICHS PIZZA DOUGH&amp;ICING-SODEXO</v>
      </c>
      <c r="C2354" t="s">
        <v>288</v>
      </c>
      <c r="D2354" s="1" t="str">
        <f t="shared" si="71"/>
        <v>PRG-1020257</v>
      </c>
      <c r="E2354" t="s">
        <v>48</v>
      </c>
      <c r="F2354" t="s">
        <v>4</v>
      </c>
      <c r="G2354" t="str">
        <f>""</f>
        <v/>
      </c>
    </row>
    <row r="2355" spans="1:7" x14ac:dyDescent="0.25">
      <c r="A2355" t="s">
        <v>8</v>
      </c>
      <c r="B2355" s="1" t="str">
        <f>"000210240 - RICH PIZZA&amp;ICING-SODEXO"</f>
        <v>000210240 - RICH PIZZA&amp;ICING-SODEXO</v>
      </c>
      <c r="C2355" t="s">
        <v>436</v>
      </c>
      <c r="D2355" s="1" t="str">
        <f t="shared" si="71"/>
        <v>PRG-1020257</v>
      </c>
      <c r="E2355" t="s">
        <v>48</v>
      </c>
      <c r="F2355" t="s">
        <v>4</v>
      </c>
      <c r="G2355" t="str">
        <f>""</f>
        <v/>
      </c>
    </row>
    <row r="2356" spans="1:7" x14ac:dyDescent="0.25">
      <c r="A2356" t="s">
        <v>8</v>
      </c>
      <c r="B2356" s="1" t="str">
        <f>"000210728 - RICH PIZZA&amp;ICING-SODEXO"</f>
        <v>000210728 - RICH PIZZA&amp;ICING-SODEXO</v>
      </c>
      <c r="C2356" t="s">
        <v>436</v>
      </c>
      <c r="D2356" s="1" t="str">
        <f t="shared" si="71"/>
        <v>PRG-1020257</v>
      </c>
      <c r="E2356" t="s">
        <v>48</v>
      </c>
      <c r="F2356" t="s">
        <v>4</v>
      </c>
      <c r="G2356" t="str">
        <f>""</f>
        <v/>
      </c>
    </row>
    <row r="2357" spans="1:7" x14ac:dyDescent="0.25">
      <c r="A2357" t="s">
        <v>8</v>
      </c>
      <c r="B2357" s="1" t="str">
        <f>"000211010 - RICH PIZZA&amp;ICING-SODEXO"</f>
        <v>000211010 - RICH PIZZA&amp;ICING-SODEXO</v>
      </c>
      <c r="C2357" t="s">
        <v>436</v>
      </c>
      <c r="D2357" s="1" t="str">
        <f t="shared" si="71"/>
        <v>PRG-1020257</v>
      </c>
      <c r="E2357" t="s">
        <v>48</v>
      </c>
      <c r="F2357" t="s">
        <v>4</v>
      </c>
      <c r="G2357" t="str">
        <f>""</f>
        <v/>
      </c>
    </row>
    <row r="2358" spans="1:7" x14ac:dyDescent="0.25">
      <c r="A2358" t="s">
        <v>8</v>
      </c>
      <c r="B2358" s="1" t="str">
        <f>"000212661 - RICHS PIZZA DOUGH&amp;ICING-SODEXO"</f>
        <v>000212661 - RICHS PIZZA DOUGH&amp;ICING-SODEXO</v>
      </c>
      <c r="C2358" t="s">
        <v>288</v>
      </c>
      <c r="D2358" s="1" t="str">
        <f t="shared" si="71"/>
        <v>PRG-1020257</v>
      </c>
      <c r="E2358" t="s">
        <v>48</v>
      </c>
      <c r="F2358" t="s">
        <v>4</v>
      </c>
      <c r="G2358" t="str">
        <f>""</f>
        <v/>
      </c>
    </row>
    <row r="2359" spans="1:7" x14ac:dyDescent="0.25">
      <c r="A2359" t="s">
        <v>8</v>
      </c>
      <c r="B2359" s="1" t="str">
        <f>"000213070 - RICH PIZZA&amp;ICING-SODEXO"</f>
        <v>000213070 - RICH PIZZA&amp;ICING-SODEXO</v>
      </c>
      <c r="C2359" t="s">
        <v>436</v>
      </c>
      <c r="D2359" s="1" t="str">
        <f t="shared" si="71"/>
        <v>PRG-1020257</v>
      </c>
      <c r="E2359" t="s">
        <v>48</v>
      </c>
      <c r="F2359" t="s">
        <v>4</v>
      </c>
      <c r="G2359" t="str">
        <f>""</f>
        <v/>
      </c>
    </row>
    <row r="2360" spans="1:7" x14ac:dyDescent="0.25">
      <c r="A2360" t="s">
        <v>8</v>
      </c>
      <c r="B2360" s="1" t="str">
        <f>"000213904 - RICHS PIZZA DOUGH&amp;ICING-SODEXO"</f>
        <v>000213904 - RICHS PIZZA DOUGH&amp;ICING-SODEXO</v>
      </c>
      <c r="C2360" t="s">
        <v>288</v>
      </c>
      <c r="D2360" s="1" t="str">
        <f t="shared" si="71"/>
        <v>PRG-1020257</v>
      </c>
      <c r="E2360" t="s">
        <v>48</v>
      </c>
      <c r="F2360" t="s">
        <v>4</v>
      </c>
      <c r="G2360" t="str">
        <f>""</f>
        <v/>
      </c>
    </row>
    <row r="2361" spans="1:7" x14ac:dyDescent="0.25">
      <c r="A2361" t="s">
        <v>8</v>
      </c>
      <c r="B2361" s="1" t="str">
        <f>"000214098 - RICHS PIZZA DOUGH&amp;ICING-SODEXO"</f>
        <v>000214098 - RICHS PIZZA DOUGH&amp;ICING-SODEXO</v>
      </c>
      <c r="C2361" t="s">
        <v>288</v>
      </c>
      <c r="D2361" s="1" t="str">
        <f t="shared" si="71"/>
        <v>PRG-1020257</v>
      </c>
      <c r="E2361" t="s">
        <v>48</v>
      </c>
      <c r="F2361" t="s">
        <v>4</v>
      </c>
      <c r="G2361" t="str">
        <f>""</f>
        <v/>
      </c>
    </row>
    <row r="2362" spans="1:7" x14ac:dyDescent="0.25">
      <c r="A2362" t="s">
        <v>8</v>
      </c>
      <c r="B2362" s="1" t="str">
        <f>"000215259 - RICHS PIZZA DOUGH&amp;ICING-SODEXO"</f>
        <v>000215259 - RICHS PIZZA DOUGH&amp;ICING-SODEXO</v>
      </c>
      <c r="C2362" t="s">
        <v>288</v>
      </c>
      <c r="D2362" s="1" t="str">
        <f t="shared" si="71"/>
        <v>PRG-1020257</v>
      </c>
      <c r="E2362" t="s">
        <v>48</v>
      </c>
      <c r="F2362" t="s">
        <v>4</v>
      </c>
      <c r="G2362" t="str">
        <f>""</f>
        <v/>
      </c>
    </row>
    <row r="2363" spans="1:7" x14ac:dyDescent="0.25">
      <c r="A2363" t="s">
        <v>8</v>
      </c>
      <c r="B2363" s="1" t="str">
        <f>"000215494 - RICHS PIZZA DOUGH&amp;ICING-SODEXO"</f>
        <v>000215494 - RICHS PIZZA DOUGH&amp;ICING-SODEXO</v>
      </c>
      <c r="C2363" t="s">
        <v>288</v>
      </c>
      <c r="D2363" s="1" t="str">
        <f t="shared" si="71"/>
        <v>PRG-1020257</v>
      </c>
      <c r="E2363" t="s">
        <v>48</v>
      </c>
      <c r="F2363" t="s">
        <v>4</v>
      </c>
      <c r="G2363" t="str">
        <f>""</f>
        <v/>
      </c>
    </row>
    <row r="2364" spans="1:7" x14ac:dyDescent="0.25">
      <c r="A2364" t="s">
        <v>8</v>
      </c>
      <c r="B2364" s="1" t="str">
        <f>"000217881 - RICH PIZZA&amp;ICING-SODEXO"</f>
        <v>000217881 - RICH PIZZA&amp;ICING-SODEXO</v>
      </c>
      <c r="C2364" t="s">
        <v>436</v>
      </c>
      <c r="D2364" s="1" t="str">
        <f t="shared" si="71"/>
        <v>PRG-1020257</v>
      </c>
      <c r="E2364" t="s">
        <v>48</v>
      </c>
      <c r="F2364" t="s">
        <v>4</v>
      </c>
      <c r="G2364" t="str">
        <f>""</f>
        <v/>
      </c>
    </row>
    <row r="2365" spans="1:7" x14ac:dyDescent="0.25">
      <c r="A2365" t="s">
        <v>8</v>
      </c>
      <c r="B2365" s="1" t="str">
        <f>"000220220 - RICHS PIZZA DOUGH&amp;ICING-SODEXO"</f>
        <v>000220220 - RICHS PIZZA DOUGH&amp;ICING-SODEXO</v>
      </c>
      <c r="C2365" t="s">
        <v>288</v>
      </c>
      <c r="D2365" s="1" t="str">
        <f t="shared" si="71"/>
        <v>PRG-1020257</v>
      </c>
      <c r="E2365" t="s">
        <v>48</v>
      </c>
      <c r="F2365" t="s">
        <v>4</v>
      </c>
      <c r="G2365" t="str">
        <f>""</f>
        <v/>
      </c>
    </row>
    <row r="2366" spans="1:7" x14ac:dyDescent="0.25">
      <c r="A2366" t="s">
        <v>8</v>
      </c>
      <c r="B2366" s="1" t="str">
        <f>"000222412 - RICH PIZZA&amp;ICING-SODEXO"</f>
        <v>000222412 - RICH PIZZA&amp;ICING-SODEXO</v>
      </c>
      <c r="C2366" t="s">
        <v>436</v>
      </c>
      <c r="D2366" s="1" t="str">
        <f t="shared" si="71"/>
        <v>PRG-1020257</v>
      </c>
      <c r="E2366" t="s">
        <v>48</v>
      </c>
      <c r="F2366" t="s">
        <v>4</v>
      </c>
      <c r="G2366" t="str">
        <f>""</f>
        <v/>
      </c>
    </row>
    <row r="2367" spans="1:7" x14ac:dyDescent="0.25">
      <c r="A2367" t="s">
        <v>8</v>
      </c>
      <c r="B2367" s="1" t="str">
        <f>"000222693 - RICH PIZZA&amp;ICING-SODEXO"</f>
        <v>000222693 - RICH PIZZA&amp;ICING-SODEXO</v>
      </c>
      <c r="C2367" t="s">
        <v>436</v>
      </c>
      <c r="D2367" s="1" t="str">
        <f t="shared" si="71"/>
        <v>PRG-1020257</v>
      </c>
      <c r="E2367" t="s">
        <v>48</v>
      </c>
      <c r="F2367" t="s">
        <v>4</v>
      </c>
      <c r="G2367" t="str">
        <f>""</f>
        <v/>
      </c>
    </row>
    <row r="2368" spans="1:7" x14ac:dyDescent="0.25">
      <c r="A2368" t="s">
        <v>8</v>
      </c>
      <c r="B2368" s="1" t="str">
        <f>"000223325 - RICH PIZZA&amp;ICING-SODEXO"</f>
        <v>000223325 - RICH PIZZA&amp;ICING-SODEXO</v>
      </c>
      <c r="C2368" t="s">
        <v>436</v>
      </c>
      <c r="D2368" s="1" t="str">
        <f t="shared" si="71"/>
        <v>PRG-1020257</v>
      </c>
      <c r="E2368" t="s">
        <v>48</v>
      </c>
      <c r="F2368" t="s">
        <v>4</v>
      </c>
      <c r="G2368" t="str">
        <f>""</f>
        <v/>
      </c>
    </row>
    <row r="2369" spans="1:7" x14ac:dyDescent="0.25">
      <c r="A2369" t="s">
        <v>8</v>
      </c>
      <c r="B2369" s="1" t="str">
        <f>"000225061 - RICH PIZZA&amp;ICING-SODEXO"</f>
        <v>000225061 - RICH PIZZA&amp;ICING-SODEXO</v>
      </c>
      <c r="C2369" t="s">
        <v>436</v>
      </c>
      <c r="D2369" s="1" t="str">
        <f t="shared" si="71"/>
        <v>PRG-1020257</v>
      </c>
      <c r="E2369" t="s">
        <v>48</v>
      </c>
      <c r="F2369" t="s">
        <v>4</v>
      </c>
      <c r="G2369" t="str">
        <f>""</f>
        <v/>
      </c>
    </row>
    <row r="2370" spans="1:7" x14ac:dyDescent="0.25">
      <c r="A2370" t="s">
        <v>8</v>
      </c>
      <c r="B2370" s="1" t="str">
        <f>"000225184 - RICHS PIZZA DOUGH&amp;ICING-SODEXO"</f>
        <v>000225184 - RICHS PIZZA DOUGH&amp;ICING-SODEXO</v>
      </c>
      <c r="C2370" t="s">
        <v>288</v>
      </c>
      <c r="D2370" s="1" t="str">
        <f t="shared" si="71"/>
        <v>PRG-1020257</v>
      </c>
      <c r="E2370" t="s">
        <v>48</v>
      </c>
      <c r="F2370" t="s">
        <v>4</v>
      </c>
      <c r="G2370" t="str">
        <f>""</f>
        <v/>
      </c>
    </row>
    <row r="2371" spans="1:7" x14ac:dyDescent="0.25">
      <c r="A2371" t="s">
        <v>8</v>
      </c>
      <c r="B2371" s="1" t="str">
        <f>"000225625 - RICH PIZZA&amp;ICING-SODEXO"</f>
        <v>000225625 - RICH PIZZA&amp;ICING-SODEXO</v>
      </c>
      <c r="C2371" t="s">
        <v>436</v>
      </c>
      <c r="D2371" s="1" t="str">
        <f t="shared" si="71"/>
        <v>PRG-1020257</v>
      </c>
      <c r="E2371" t="s">
        <v>48</v>
      </c>
      <c r="F2371" t="s">
        <v>4</v>
      </c>
      <c r="G2371" t="str">
        <f>""</f>
        <v/>
      </c>
    </row>
    <row r="2372" spans="1:7" x14ac:dyDescent="0.25">
      <c r="A2372" t="s">
        <v>8</v>
      </c>
      <c r="B2372" s="1" t="str">
        <f>"000225695 - RICHS PIZZA DOUGH&amp;ICING-SODEXO"</f>
        <v>000225695 - RICHS PIZZA DOUGH&amp;ICING-SODEXO</v>
      </c>
      <c r="C2372" t="s">
        <v>288</v>
      </c>
      <c r="D2372" s="1" t="str">
        <f t="shared" si="71"/>
        <v>PRG-1020257</v>
      </c>
      <c r="E2372" t="s">
        <v>48</v>
      </c>
      <c r="F2372" t="s">
        <v>4</v>
      </c>
      <c r="G2372" t="str">
        <f>""</f>
        <v/>
      </c>
    </row>
    <row r="2373" spans="1:7" x14ac:dyDescent="0.25">
      <c r="A2373" t="s">
        <v>8</v>
      </c>
      <c r="B2373" s="1" t="str">
        <f>"000227011 - RICHS PIZZA DOUGH&amp;ICING-SODEXO"</f>
        <v>000227011 - RICHS PIZZA DOUGH&amp;ICING-SODEXO</v>
      </c>
      <c r="C2373" t="s">
        <v>288</v>
      </c>
      <c r="D2373" s="1" t="str">
        <f t="shared" si="71"/>
        <v>PRG-1020257</v>
      </c>
      <c r="E2373" t="s">
        <v>48</v>
      </c>
      <c r="F2373" t="s">
        <v>4</v>
      </c>
      <c r="G2373" t="str">
        <f>""</f>
        <v/>
      </c>
    </row>
    <row r="2374" spans="1:7" x14ac:dyDescent="0.25">
      <c r="A2374" t="s">
        <v>8</v>
      </c>
      <c r="B2374" s="1" t="str">
        <f>"000227751 - RICHS PIZZA DOUGH&amp;ICING-SODEXO"</f>
        <v>000227751 - RICHS PIZZA DOUGH&amp;ICING-SODEXO</v>
      </c>
      <c r="C2374" t="s">
        <v>288</v>
      </c>
      <c r="D2374" s="1" t="str">
        <f t="shared" si="71"/>
        <v>PRG-1020257</v>
      </c>
      <c r="E2374" t="s">
        <v>48</v>
      </c>
      <c r="F2374" t="s">
        <v>4</v>
      </c>
      <c r="G2374" t="str">
        <f>""</f>
        <v/>
      </c>
    </row>
    <row r="2375" spans="1:7" x14ac:dyDescent="0.25">
      <c r="A2375" t="s">
        <v>8</v>
      </c>
      <c r="B2375" s="1" t="str">
        <f>"000228674 - RICHS PIZZA DOUGH&amp;ICING-SODEXO"</f>
        <v>000228674 - RICHS PIZZA DOUGH&amp;ICING-SODEXO</v>
      </c>
      <c r="C2375" t="s">
        <v>288</v>
      </c>
      <c r="D2375" s="1" t="str">
        <f t="shared" si="71"/>
        <v>PRG-1020257</v>
      </c>
      <c r="E2375" t="s">
        <v>48</v>
      </c>
      <c r="F2375" t="s">
        <v>4</v>
      </c>
      <c r="G2375" t="str">
        <f>""</f>
        <v/>
      </c>
    </row>
    <row r="2376" spans="1:7" x14ac:dyDescent="0.25">
      <c r="A2376" t="s">
        <v>8</v>
      </c>
      <c r="B2376" s="1" t="str">
        <f>"000230553 - RICH PIZZA&amp;ICING-SODEXO"</f>
        <v>000230553 - RICH PIZZA&amp;ICING-SODEXO</v>
      </c>
      <c r="C2376" t="s">
        <v>436</v>
      </c>
      <c r="D2376" s="1" t="str">
        <f t="shared" si="71"/>
        <v>PRG-1020257</v>
      </c>
      <c r="E2376" t="s">
        <v>48</v>
      </c>
      <c r="F2376" t="s">
        <v>4</v>
      </c>
      <c r="G2376" t="str">
        <f>""</f>
        <v/>
      </c>
    </row>
    <row r="2377" spans="1:7" x14ac:dyDescent="0.25">
      <c r="A2377" t="s">
        <v>8</v>
      </c>
      <c r="B2377" s="1" t="str">
        <f>"000230738 - RICH PIZZA&amp;ICING-SODEXO"</f>
        <v>000230738 - RICH PIZZA&amp;ICING-SODEXO</v>
      </c>
      <c r="C2377" t="s">
        <v>436</v>
      </c>
      <c r="D2377" s="1" t="str">
        <f t="shared" si="71"/>
        <v>PRG-1020257</v>
      </c>
      <c r="E2377" t="s">
        <v>48</v>
      </c>
      <c r="F2377" t="s">
        <v>4</v>
      </c>
      <c r="G2377" t="str">
        <f>""</f>
        <v/>
      </c>
    </row>
    <row r="2378" spans="1:7" x14ac:dyDescent="0.25">
      <c r="A2378" t="s">
        <v>8</v>
      </c>
      <c r="B2378" s="1" t="str">
        <f>"000231807 - RICH PIZZA&amp;ICING-SODEXO"</f>
        <v>000231807 - RICH PIZZA&amp;ICING-SODEXO</v>
      </c>
      <c r="C2378" t="s">
        <v>436</v>
      </c>
      <c r="D2378" s="1" t="str">
        <f t="shared" si="71"/>
        <v>PRG-1020257</v>
      </c>
      <c r="E2378" t="s">
        <v>48</v>
      </c>
      <c r="F2378" t="s">
        <v>4</v>
      </c>
      <c r="G2378" t="str">
        <f>""</f>
        <v/>
      </c>
    </row>
    <row r="2379" spans="1:7" x14ac:dyDescent="0.25">
      <c r="A2379" t="s">
        <v>8</v>
      </c>
      <c r="B2379" s="1" t="str">
        <f>"000231946 - RICH PIZZA&amp;ICING-SODEXO"</f>
        <v>000231946 - RICH PIZZA&amp;ICING-SODEXO</v>
      </c>
      <c r="C2379" t="s">
        <v>436</v>
      </c>
      <c r="D2379" s="1" t="str">
        <f t="shared" si="71"/>
        <v>PRG-1020257</v>
      </c>
      <c r="E2379" t="s">
        <v>48</v>
      </c>
      <c r="F2379" t="s">
        <v>4</v>
      </c>
      <c r="G2379" t="str">
        <f>""</f>
        <v/>
      </c>
    </row>
    <row r="2380" spans="1:7" x14ac:dyDescent="0.25">
      <c r="A2380" t="s">
        <v>8</v>
      </c>
      <c r="B2380" s="1" t="str">
        <f>"000233186 - RICHS PIZZA DOUGH&amp;ICING-SODEXO"</f>
        <v>000233186 - RICHS PIZZA DOUGH&amp;ICING-SODEXO</v>
      </c>
      <c r="C2380" t="s">
        <v>288</v>
      </c>
      <c r="D2380" s="1" t="str">
        <f t="shared" si="71"/>
        <v>PRG-1020257</v>
      </c>
      <c r="E2380" t="s">
        <v>48</v>
      </c>
      <c r="F2380" t="s">
        <v>4</v>
      </c>
      <c r="G2380" t="str">
        <f>""</f>
        <v/>
      </c>
    </row>
    <row r="2381" spans="1:7" x14ac:dyDescent="0.25">
      <c r="A2381" t="s">
        <v>8</v>
      </c>
      <c r="B2381" s="1" t="str">
        <f>"000233830 - RICHS PIZZA DOUGH&amp;ICING-SODEXO"</f>
        <v>000233830 - RICHS PIZZA DOUGH&amp;ICING-SODEXO</v>
      </c>
      <c r="C2381" t="s">
        <v>288</v>
      </c>
      <c r="D2381" s="1" t="str">
        <f t="shared" si="71"/>
        <v>PRG-1020257</v>
      </c>
      <c r="E2381" t="s">
        <v>48</v>
      </c>
      <c r="F2381" t="s">
        <v>4</v>
      </c>
      <c r="G2381" t="str">
        <f>""</f>
        <v/>
      </c>
    </row>
    <row r="2382" spans="1:7" x14ac:dyDescent="0.25">
      <c r="A2382" t="s">
        <v>8</v>
      </c>
      <c r="B2382" s="1" t="str">
        <f>"000234941 - RICHS PIZZA DOUGH&amp;ICING-SODEXO"</f>
        <v>000234941 - RICHS PIZZA DOUGH&amp;ICING-SODEXO</v>
      </c>
      <c r="C2382" t="s">
        <v>288</v>
      </c>
      <c r="D2382" s="1" t="str">
        <f t="shared" si="71"/>
        <v>PRG-1020257</v>
      </c>
      <c r="E2382" t="s">
        <v>48</v>
      </c>
      <c r="F2382" t="s">
        <v>4</v>
      </c>
      <c r="G2382" t="str">
        <f>""</f>
        <v/>
      </c>
    </row>
    <row r="2383" spans="1:7" x14ac:dyDescent="0.25">
      <c r="A2383" t="s">
        <v>8</v>
      </c>
      <c r="B2383" s="1" t="str">
        <f>"000239585 - RICH PIZZA&amp;ICING-SODEXO"</f>
        <v>000239585 - RICH PIZZA&amp;ICING-SODEXO</v>
      </c>
      <c r="C2383" t="s">
        <v>436</v>
      </c>
      <c r="D2383" s="1" t="str">
        <f t="shared" si="71"/>
        <v>PRG-1020257</v>
      </c>
      <c r="E2383" t="s">
        <v>48</v>
      </c>
      <c r="F2383" t="s">
        <v>4</v>
      </c>
      <c r="G2383" t="str">
        <f>""</f>
        <v/>
      </c>
    </row>
    <row r="2384" spans="1:7" x14ac:dyDescent="0.25">
      <c r="A2384" t="s">
        <v>8</v>
      </c>
      <c r="B2384" s="1" t="str">
        <f>"000240148 - RICH PIZZA&amp;ICING-SODEXO"</f>
        <v>000240148 - RICH PIZZA&amp;ICING-SODEXO</v>
      </c>
      <c r="C2384" t="s">
        <v>436</v>
      </c>
      <c r="D2384" s="1" t="str">
        <f t="shared" si="71"/>
        <v>PRG-1020257</v>
      </c>
      <c r="E2384" t="s">
        <v>48</v>
      </c>
      <c r="F2384" t="s">
        <v>4</v>
      </c>
      <c r="G2384" t="str">
        <f>""</f>
        <v/>
      </c>
    </row>
    <row r="2385" spans="1:7" x14ac:dyDescent="0.25">
      <c r="A2385" t="s">
        <v>8</v>
      </c>
      <c r="B2385" s="1" t="str">
        <f>"000241770 - RICHS PIZZA DOUGH&amp;ICING-SODEXO"</f>
        <v>000241770 - RICHS PIZZA DOUGH&amp;ICING-SODEXO</v>
      </c>
      <c r="C2385" t="s">
        <v>288</v>
      </c>
      <c r="D2385" s="1" t="str">
        <f t="shared" ref="D2385:D2416" si="72">"PRG-1020257"</f>
        <v>PRG-1020257</v>
      </c>
      <c r="E2385" t="s">
        <v>48</v>
      </c>
      <c r="F2385" t="s">
        <v>4</v>
      </c>
      <c r="G2385" t="str">
        <f>""</f>
        <v/>
      </c>
    </row>
    <row r="2386" spans="1:7" x14ac:dyDescent="0.25">
      <c r="A2386" t="s">
        <v>8</v>
      </c>
      <c r="B2386" s="1" t="str">
        <f>"000243383 - RICHS PIZZA DOUGH&amp;ICING-SODEXO"</f>
        <v>000243383 - RICHS PIZZA DOUGH&amp;ICING-SODEXO</v>
      </c>
      <c r="C2386" t="s">
        <v>288</v>
      </c>
      <c r="D2386" s="1" t="str">
        <f t="shared" si="72"/>
        <v>PRG-1020257</v>
      </c>
      <c r="E2386" t="s">
        <v>48</v>
      </c>
      <c r="F2386" t="s">
        <v>4</v>
      </c>
      <c r="G2386" t="str">
        <f>""</f>
        <v/>
      </c>
    </row>
    <row r="2387" spans="1:7" x14ac:dyDescent="0.25">
      <c r="A2387" t="s">
        <v>8</v>
      </c>
      <c r="B2387" s="1" t="str">
        <f>"000243903 - RICH PIZZA&amp;ICING-SODEXO"</f>
        <v>000243903 - RICH PIZZA&amp;ICING-SODEXO</v>
      </c>
      <c r="C2387" t="s">
        <v>436</v>
      </c>
      <c r="D2387" s="1" t="str">
        <f t="shared" si="72"/>
        <v>PRG-1020257</v>
      </c>
      <c r="E2387" t="s">
        <v>48</v>
      </c>
      <c r="F2387" t="s">
        <v>4</v>
      </c>
      <c r="G2387" t="str">
        <f>""</f>
        <v/>
      </c>
    </row>
    <row r="2388" spans="1:7" x14ac:dyDescent="0.25">
      <c r="A2388" t="s">
        <v>8</v>
      </c>
      <c r="B2388" s="1" t="str">
        <f>"000248280 - RICHS PIZZA DOUGH&amp;ICING-SODEXO"</f>
        <v>000248280 - RICHS PIZZA DOUGH&amp;ICING-SODEXO</v>
      </c>
      <c r="C2388" t="s">
        <v>288</v>
      </c>
      <c r="D2388" s="1" t="str">
        <f t="shared" si="72"/>
        <v>PRG-1020257</v>
      </c>
      <c r="E2388" t="s">
        <v>48</v>
      </c>
      <c r="F2388" t="s">
        <v>4</v>
      </c>
      <c r="G2388" t="str">
        <f>""</f>
        <v/>
      </c>
    </row>
    <row r="2389" spans="1:7" x14ac:dyDescent="0.25">
      <c r="A2389" t="s">
        <v>8</v>
      </c>
      <c r="B2389" s="1" t="str">
        <f>"000252655 - RICH PIZZA&amp;ICING-SODEXO"</f>
        <v>000252655 - RICH PIZZA&amp;ICING-SODEXO</v>
      </c>
      <c r="C2389" t="s">
        <v>436</v>
      </c>
      <c r="D2389" s="1" t="str">
        <f t="shared" si="72"/>
        <v>PRG-1020257</v>
      </c>
      <c r="E2389" t="s">
        <v>48</v>
      </c>
      <c r="F2389" t="s">
        <v>4</v>
      </c>
      <c r="G2389" t="str">
        <f>""</f>
        <v/>
      </c>
    </row>
    <row r="2390" spans="1:7" x14ac:dyDescent="0.25">
      <c r="A2390" t="s">
        <v>8</v>
      </c>
      <c r="B2390" s="1" t="str">
        <f>"000253865 - RICHS PIZZA DOUGH&amp;ICING-522037"</f>
        <v>000253865 - RICHS PIZZA DOUGH&amp;ICING-522037</v>
      </c>
      <c r="C2390" t="s">
        <v>2146</v>
      </c>
      <c r="D2390" s="1" t="str">
        <f t="shared" si="72"/>
        <v>PRG-1020257</v>
      </c>
      <c r="E2390" t="s">
        <v>48</v>
      </c>
      <c r="F2390" t="s">
        <v>4</v>
      </c>
      <c r="G2390" t="str">
        <f>""</f>
        <v/>
      </c>
    </row>
    <row r="2391" spans="1:7" x14ac:dyDescent="0.25">
      <c r="A2391" t="s">
        <v>8</v>
      </c>
      <c r="B2391" s="1" t="str">
        <f>"000256071 - RICHS PIZZA DOUGH&amp;ICING-SODEXO"</f>
        <v>000256071 - RICHS PIZZA DOUGH&amp;ICING-SODEXO</v>
      </c>
      <c r="C2391" t="s">
        <v>288</v>
      </c>
      <c r="D2391" s="1" t="str">
        <f t="shared" si="72"/>
        <v>PRG-1020257</v>
      </c>
      <c r="E2391" t="s">
        <v>48</v>
      </c>
      <c r="F2391" t="s">
        <v>4</v>
      </c>
      <c r="G2391" t="str">
        <f>""</f>
        <v/>
      </c>
    </row>
    <row r="2392" spans="1:7" x14ac:dyDescent="0.25">
      <c r="A2392" t="s">
        <v>8</v>
      </c>
      <c r="B2392" s="1" t="str">
        <f>"000261153 - RICH PIZZA&amp;ICING-SODEXO"</f>
        <v>000261153 - RICH PIZZA&amp;ICING-SODEXO</v>
      </c>
      <c r="C2392" t="s">
        <v>436</v>
      </c>
      <c r="D2392" s="1" t="str">
        <f t="shared" si="72"/>
        <v>PRG-1020257</v>
      </c>
      <c r="E2392" t="s">
        <v>48</v>
      </c>
      <c r="F2392" t="s">
        <v>4</v>
      </c>
      <c r="G2392" t="str">
        <f>""</f>
        <v/>
      </c>
    </row>
    <row r="2393" spans="1:7" x14ac:dyDescent="0.25">
      <c r="A2393" t="s">
        <v>8</v>
      </c>
      <c r="B2393" s="1" t="str">
        <f>"000262353 - RICH PIZZA&amp;ICING-SODEXO"</f>
        <v>000262353 - RICH PIZZA&amp;ICING-SODEXO</v>
      </c>
      <c r="C2393" t="s">
        <v>436</v>
      </c>
      <c r="D2393" s="1" t="str">
        <f t="shared" si="72"/>
        <v>PRG-1020257</v>
      </c>
      <c r="E2393" t="s">
        <v>48</v>
      </c>
      <c r="F2393" t="s">
        <v>4</v>
      </c>
      <c r="G2393" t="str">
        <f>""</f>
        <v/>
      </c>
    </row>
    <row r="2394" spans="1:7" x14ac:dyDescent="0.25">
      <c r="A2394" t="s">
        <v>8</v>
      </c>
      <c r="B2394" s="1" t="str">
        <f>"000262366 - RICH PIZZA&amp;ICING-SODEXO"</f>
        <v>000262366 - RICH PIZZA&amp;ICING-SODEXO</v>
      </c>
      <c r="C2394" t="s">
        <v>436</v>
      </c>
      <c r="D2394" s="1" t="str">
        <f t="shared" si="72"/>
        <v>PRG-1020257</v>
      </c>
      <c r="E2394" t="s">
        <v>48</v>
      </c>
      <c r="F2394" t="s">
        <v>4</v>
      </c>
      <c r="G2394" t="str">
        <f>""</f>
        <v/>
      </c>
    </row>
    <row r="2395" spans="1:7" x14ac:dyDescent="0.25">
      <c r="A2395" t="s">
        <v>8</v>
      </c>
      <c r="B2395" s="1" t="str">
        <f>"000264827 - RICHS PIZZA DOUGH&amp;ICING-SODEXO"</f>
        <v>000264827 - RICHS PIZZA DOUGH&amp;ICING-SODEXO</v>
      </c>
      <c r="C2395" t="s">
        <v>288</v>
      </c>
      <c r="D2395" s="1" t="str">
        <f t="shared" si="72"/>
        <v>PRG-1020257</v>
      </c>
      <c r="E2395" t="s">
        <v>48</v>
      </c>
      <c r="F2395" t="s">
        <v>4</v>
      </c>
      <c r="G2395" t="str">
        <f>""</f>
        <v/>
      </c>
    </row>
    <row r="2396" spans="1:7" x14ac:dyDescent="0.25">
      <c r="A2396" t="s">
        <v>8</v>
      </c>
      <c r="B2396" s="1" t="str">
        <f>"000266400 - RICHS PIZZA DOUGH&amp;ICING-SODEXO"</f>
        <v>000266400 - RICHS PIZZA DOUGH&amp;ICING-SODEXO</v>
      </c>
      <c r="C2396" t="s">
        <v>288</v>
      </c>
      <c r="D2396" s="1" t="str">
        <f t="shared" si="72"/>
        <v>PRG-1020257</v>
      </c>
      <c r="E2396" t="s">
        <v>48</v>
      </c>
      <c r="F2396" t="s">
        <v>4</v>
      </c>
      <c r="G2396" t="str">
        <f>""</f>
        <v/>
      </c>
    </row>
    <row r="2397" spans="1:7" x14ac:dyDescent="0.25">
      <c r="A2397" t="s">
        <v>8</v>
      </c>
      <c r="B2397" s="1" t="str">
        <f>"000267124 - RICHS PIZZA DOUGH&amp;ICING-SODEXO"</f>
        <v>000267124 - RICHS PIZZA DOUGH&amp;ICING-SODEXO</v>
      </c>
      <c r="C2397" t="s">
        <v>288</v>
      </c>
      <c r="D2397" s="1" t="str">
        <f t="shared" si="72"/>
        <v>PRG-1020257</v>
      </c>
      <c r="E2397" t="s">
        <v>48</v>
      </c>
      <c r="F2397" t="s">
        <v>4</v>
      </c>
      <c r="G2397" t="str">
        <f>""</f>
        <v/>
      </c>
    </row>
    <row r="2398" spans="1:7" x14ac:dyDescent="0.25">
      <c r="A2398" t="s">
        <v>8</v>
      </c>
      <c r="B2398" s="1" t="str">
        <f>"000271566 - RICH PIZZA&amp;ICING-SODEXO"</f>
        <v>000271566 - RICH PIZZA&amp;ICING-SODEXO</v>
      </c>
      <c r="C2398" t="s">
        <v>436</v>
      </c>
      <c r="D2398" s="1" t="str">
        <f t="shared" si="72"/>
        <v>PRG-1020257</v>
      </c>
      <c r="E2398" t="s">
        <v>48</v>
      </c>
      <c r="F2398" t="s">
        <v>4</v>
      </c>
      <c r="G2398" t="str">
        <f>""</f>
        <v/>
      </c>
    </row>
    <row r="2399" spans="1:7" x14ac:dyDescent="0.25">
      <c r="A2399" t="s">
        <v>8</v>
      </c>
      <c r="B2399" s="1" t="str">
        <f>"000271995 - RICH PIZZA&amp;ICING-SODEXO"</f>
        <v>000271995 - RICH PIZZA&amp;ICING-SODEXO</v>
      </c>
      <c r="C2399" t="s">
        <v>436</v>
      </c>
      <c r="D2399" s="1" t="str">
        <f t="shared" si="72"/>
        <v>PRG-1020257</v>
      </c>
      <c r="E2399" t="s">
        <v>48</v>
      </c>
      <c r="F2399" t="s">
        <v>4</v>
      </c>
      <c r="G2399" t="str">
        <f>""</f>
        <v/>
      </c>
    </row>
    <row r="2400" spans="1:7" x14ac:dyDescent="0.25">
      <c r="A2400" t="s">
        <v>8</v>
      </c>
      <c r="B2400" s="1" t="str">
        <f>"000273566 - RICH PIZZA&amp;ICING-SODEXO"</f>
        <v>000273566 - RICH PIZZA&amp;ICING-SODEXO</v>
      </c>
      <c r="C2400" t="s">
        <v>436</v>
      </c>
      <c r="D2400" s="1" t="str">
        <f t="shared" si="72"/>
        <v>PRG-1020257</v>
      </c>
      <c r="E2400" t="s">
        <v>48</v>
      </c>
      <c r="F2400" t="s">
        <v>4</v>
      </c>
      <c r="G2400" t="str">
        <f>""</f>
        <v/>
      </c>
    </row>
    <row r="2401" spans="1:7" x14ac:dyDescent="0.25">
      <c r="A2401" t="s">
        <v>8</v>
      </c>
      <c r="B2401" s="1" t="str">
        <f>"000274983 - RICHS PIZZA DOUGH&amp;ICING-SODEXO"</f>
        <v>000274983 - RICHS PIZZA DOUGH&amp;ICING-SODEXO</v>
      </c>
      <c r="C2401" t="s">
        <v>288</v>
      </c>
      <c r="D2401" s="1" t="str">
        <f t="shared" si="72"/>
        <v>PRG-1020257</v>
      </c>
      <c r="E2401" t="s">
        <v>48</v>
      </c>
      <c r="F2401" t="s">
        <v>4</v>
      </c>
      <c r="G2401" t="str">
        <f>""</f>
        <v/>
      </c>
    </row>
    <row r="2402" spans="1:7" x14ac:dyDescent="0.25">
      <c r="A2402" t="s">
        <v>8</v>
      </c>
      <c r="B2402" s="1" t="str">
        <f>"000275317 - RICHS PIZZA DOUGH&amp;ICING-SODEXO"</f>
        <v>000275317 - RICHS PIZZA DOUGH&amp;ICING-SODEXO</v>
      </c>
      <c r="C2402" t="s">
        <v>288</v>
      </c>
      <c r="D2402" s="1" t="str">
        <f t="shared" si="72"/>
        <v>PRG-1020257</v>
      </c>
      <c r="E2402" t="s">
        <v>48</v>
      </c>
      <c r="F2402" t="s">
        <v>4</v>
      </c>
      <c r="G2402" t="str">
        <f>""</f>
        <v/>
      </c>
    </row>
    <row r="2403" spans="1:7" x14ac:dyDescent="0.25">
      <c r="A2403" t="s">
        <v>8</v>
      </c>
      <c r="B2403" s="1" t="str">
        <f>"000275452 - RICHS PIZZA DOUGH&amp;ICING-SODEXO"</f>
        <v>000275452 - RICHS PIZZA DOUGH&amp;ICING-SODEXO</v>
      </c>
      <c r="C2403" t="s">
        <v>288</v>
      </c>
      <c r="D2403" s="1" t="str">
        <f t="shared" si="72"/>
        <v>PRG-1020257</v>
      </c>
      <c r="E2403" t="s">
        <v>48</v>
      </c>
      <c r="F2403" t="s">
        <v>4</v>
      </c>
      <c r="G2403" t="str">
        <f>""</f>
        <v/>
      </c>
    </row>
    <row r="2404" spans="1:7" x14ac:dyDescent="0.25">
      <c r="A2404" t="s">
        <v>8</v>
      </c>
      <c r="B2404" s="1" t="str">
        <f>"000277150 - RICHS PIZZA DOUGH&amp;ICING-SODEXO"</f>
        <v>000277150 - RICHS PIZZA DOUGH&amp;ICING-SODEXO</v>
      </c>
      <c r="C2404" t="s">
        <v>288</v>
      </c>
      <c r="D2404" s="1" t="str">
        <f t="shared" si="72"/>
        <v>PRG-1020257</v>
      </c>
      <c r="E2404" t="s">
        <v>48</v>
      </c>
      <c r="F2404" t="s">
        <v>4</v>
      </c>
      <c r="G2404" t="str">
        <f>""</f>
        <v/>
      </c>
    </row>
    <row r="2405" spans="1:7" x14ac:dyDescent="0.25">
      <c r="A2405" t="s">
        <v>8</v>
      </c>
      <c r="B2405" s="1" t="str">
        <f>"000280916 - RICH PIZZA&amp;ICING-SODEXO"</f>
        <v>000280916 - RICH PIZZA&amp;ICING-SODEXO</v>
      </c>
      <c r="C2405" t="s">
        <v>436</v>
      </c>
      <c r="D2405" s="1" t="str">
        <f t="shared" si="72"/>
        <v>PRG-1020257</v>
      </c>
      <c r="E2405" t="s">
        <v>48</v>
      </c>
      <c r="F2405" t="s">
        <v>4</v>
      </c>
      <c r="G2405" t="str">
        <f>""</f>
        <v/>
      </c>
    </row>
    <row r="2406" spans="1:7" x14ac:dyDescent="0.25">
      <c r="A2406" t="s">
        <v>8</v>
      </c>
      <c r="B2406" s="1" t="str">
        <f>"000281896 - RICH PIZZA&amp;ICING-SODEXO"</f>
        <v>000281896 - RICH PIZZA&amp;ICING-SODEXO</v>
      </c>
      <c r="C2406" t="s">
        <v>436</v>
      </c>
      <c r="D2406" s="1" t="str">
        <f t="shared" si="72"/>
        <v>PRG-1020257</v>
      </c>
      <c r="E2406" t="s">
        <v>48</v>
      </c>
      <c r="F2406" t="s">
        <v>4</v>
      </c>
      <c r="G2406" t="str">
        <f>""</f>
        <v/>
      </c>
    </row>
    <row r="2407" spans="1:7" x14ac:dyDescent="0.25">
      <c r="A2407" t="s">
        <v>8</v>
      </c>
      <c r="B2407" s="1" t="str">
        <f>"000283915 - RICHS PIZZA DOUGH&amp;ICING-SODEXO"</f>
        <v>000283915 - RICHS PIZZA DOUGH&amp;ICING-SODEXO</v>
      </c>
      <c r="C2407" t="s">
        <v>288</v>
      </c>
      <c r="D2407" s="1" t="str">
        <f t="shared" si="72"/>
        <v>PRG-1020257</v>
      </c>
      <c r="E2407" t="s">
        <v>48</v>
      </c>
      <c r="F2407" t="s">
        <v>4</v>
      </c>
      <c r="G2407" t="str">
        <f>""</f>
        <v/>
      </c>
    </row>
    <row r="2408" spans="1:7" x14ac:dyDescent="0.25">
      <c r="A2408" t="s">
        <v>8</v>
      </c>
      <c r="B2408" s="1" t="str">
        <f>"000289445 - RICHS PIZZA DOUGH&amp;ICING-SODEXO"</f>
        <v>000289445 - RICHS PIZZA DOUGH&amp;ICING-SODEXO</v>
      </c>
      <c r="C2408" t="s">
        <v>288</v>
      </c>
      <c r="D2408" s="1" t="str">
        <f t="shared" si="72"/>
        <v>PRG-1020257</v>
      </c>
      <c r="E2408" t="s">
        <v>48</v>
      </c>
      <c r="F2408" t="s">
        <v>4</v>
      </c>
      <c r="G2408" t="str">
        <f>""</f>
        <v/>
      </c>
    </row>
    <row r="2409" spans="1:7" x14ac:dyDescent="0.25">
      <c r="A2409" t="s">
        <v>8</v>
      </c>
      <c r="B2409" s="1" t="str">
        <f>"000289463 - RICH PIZZA&amp;ICING-SODEXO"</f>
        <v>000289463 - RICH PIZZA&amp;ICING-SODEXO</v>
      </c>
      <c r="C2409" t="s">
        <v>436</v>
      </c>
      <c r="D2409" s="1" t="str">
        <f t="shared" si="72"/>
        <v>PRG-1020257</v>
      </c>
      <c r="E2409" t="s">
        <v>48</v>
      </c>
      <c r="F2409" t="s">
        <v>4</v>
      </c>
      <c r="G2409" t="str">
        <f>""</f>
        <v/>
      </c>
    </row>
    <row r="2410" spans="1:7" x14ac:dyDescent="0.25">
      <c r="A2410" t="s">
        <v>8</v>
      </c>
      <c r="B2410" s="1" t="str">
        <f>"000291692 - RICH PIZZA&amp;ICING-SODEXO"</f>
        <v>000291692 - RICH PIZZA&amp;ICING-SODEXO</v>
      </c>
      <c r="C2410" t="s">
        <v>436</v>
      </c>
      <c r="D2410" s="1" t="str">
        <f t="shared" si="72"/>
        <v>PRG-1020257</v>
      </c>
      <c r="E2410" t="s">
        <v>48</v>
      </c>
      <c r="F2410" t="s">
        <v>4</v>
      </c>
      <c r="G2410" t="str">
        <f>""</f>
        <v/>
      </c>
    </row>
    <row r="2411" spans="1:7" x14ac:dyDescent="0.25">
      <c r="A2411" t="s">
        <v>8</v>
      </c>
      <c r="B2411" s="1" t="str">
        <f>"000292591 - RICHS PIZZA DOUGH&amp;ICING-SODEXO"</f>
        <v>000292591 - RICHS PIZZA DOUGH&amp;ICING-SODEXO</v>
      </c>
      <c r="C2411" t="s">
        <v>288</v>
      </c>
      <c r="D2411" s="1" t="str">
        <f t="shared" si="72"/>
        <v>PRG-1020257</v>
      </c>
      <c r="E2411" t="s">
        <v>48</v>
      </c>
      <c r="F2411" t="s">
        <v>4</v>
      </c>
      <c r="G2411" t="str">
        <f>""</f>
        <v/>
      </c>
    </row>
    <row r="2412" spans="1:7" x14ac:dyDescent="0.25">
      <c r="A2412" t="s">
        <v>8</v>
      </c>
      <c r="B2412" s="1" t="str">
        <f>"000295742 - RICHS PIZZA DOUGH&amp;ICING-SODEXO"</f>
        <v>000295742 - RICHS PIZZA DOUGH&amp;ICING-SODEXO</v>
      </c>
      <c r="C2412" t="s">
        <v>288</v>
      </c>
      <c r="D2412" s="1" t="str">
        <f t="shared" si="72"/>
        <v>PRG-1020257</v>
      </c>
      <c r="E2412" t="s">
        <v>48</v>
      </c>
      <c r="F2412" t="s">
        <v>4</v>
      </c>
      <c r="G2412" t="str">
        <f>""</f>
        <v/>
      </c>
    </row>
    <row r="2413" spans="1:7" x14ac:dyDescent="0.25">
      <c r="A2413" t="s">
        <v>8</v>
      </c>
      <c r="B2413" s="1" t="str">
        <f>"000299157 - RICH PIZZA&amp;ICING-SODEXO"</f>
        <v>000299157 - RICH PIZZA&amp;ICING-SODEXO</v>
      </c>
      <c r="C2413" t="s">
        <v>436</v>
      </c>
      <c r="D2413" s="1" t="str">
        <f t="shared" si="72"/>
        <v>PRG-1020257</v>
      </c>
      <c r="E2413" t="s">
        <v>48</v>
      </c>
      <c r="F2413" t="s">
        <v>4</v>
      </c>
      <c r="G2413" t="str">
        <f>""</f>
        <v/>
      </c>
    </row>
    <row r="2414" spans="1:7" x14ac:dyDescent="0.25">
      <c r="A2414" t="s">
        <v>8</v>
      </c>
      <c r="B2414" s="1" t="str">
        <f>"000301701 - RICH PIZZA&amp;ICING-SODEXO"</f>
        <v>000301701 - RICH PIZZA&amp;ICING-SODEXO</v>
      </c>
      <c r="C2414" t="s">
        <v>436</v>
      </c>
      <c r="D2414" s="1" t="str">
        <f t="shared" si="72"/>
        <v>PRG-1020257</v>
      </c>
      <c r="E2414" t="s">
        <v>48</v>
      </c>
      <c r="F2414" t="s">
        <v>4</v>
      </c>
      <c r="G2414" t="str">
        <f>""</f>
        <v/>
      </c>
    </row>
    <row r="2415" spans="1:7" x14ac:dyDescent="0.25">
      <c r="A2415" t="s">
        <v>8</v>
      </c>
      <c r="B2415" s="1" t="str">
        <f>"000302901 - RICHS PIZZA DOUGH&amp;ICING-SODEXO"</f>
        <v>000302901 - RICHS PIZZA DOUGH&amp;ICING-SODEXO</v>
      </c>
      <c r="C2415" t="s">
        <v>288</v>
      </c>
      <c r="D2415" s="1" t="str">
        <f t="shared" si="72"/>
        <v>PRG-1020257</v>
      </c>
      <c r="E2415" t="s">
        <v>48</v>
      </c>
      <c r="F2415" t="s">
        <v>4</v>
      </c>
      <c r="G2415" t="str">
        <f>""</f>
        <v/>
      </c>
    </row>
    <row r="2416" spans="1:7" x14ac:dyDescent="0.25">
      <c r="A2416" t="s">
        <v>8</v>
      </c>
      <c r="B2416" s="1" t="str">
        <f>"000304921 - RICHS PIZZA DOUGH&amp;ICING-SODEXO"</f>
        <v>000304921 - RICHS PIZZA DOUGH&amp;ICING-SODEXO</v>
      </c>
      <c r="C2416" t="s">
        <v>288</v>
      </c>
      <c r="D2416" s="1" t="str">
        <f t="shared" si="72"/>
        <v>PRG-1020257</v>
      </c>
      <c r="E2416" t="s">
        <v>48</v>
      </c>
      <c r="F2416" t="s">
        <v>4</v>
      </c>
      <c r="G2416" t="str">
        <f>""</f>
        <v/>
      </c>
    </row>
    <row r="2417" spans="1:7" x14ac:dyDescent="0.25">
      <c r="A2417" t="s">
        <v>8</v>
      </c>
      <c r="B2417" s="1" t="str">
        <f>"000311486 - RICH PIZZA&amp;ICING-SODEXO"</f>
        <v>000311486 - RICH PIZZA&amp;ICING-SODEXO</v>
      </c>
      <c r="C2417" t="s">
        <v>436</v>
      </c>
      <c r="D2417" s="1" t="str">
        <f t="shared" ref="D2417:D2423" si="73">"PRG-1020257"</f>
        <v>PRG-1020257</v>
      </c>
      <c r="E2417" t="s">
        <v>48</v>
      </c>
      <c r="F2417" t="s">
        <v>4</v>
      </c>
      <c r="G2417" t="str">
        <f>""</f>
        <v/>
      </c>
    </row>
    <row r="2418" spans="1:7" x14ac:dyDescent="0.25">
      <c r="A2418" t="s">
        <v>8</v>
      </c>
      <c r="B2418" s="1" t="str">
        <f>"000315148 - RICHS PIZZA DOUGH&amp;ICING-SODEXO"</f>
        <v>000315148 - RICHS PIZZA DOUGH&amp;ICING-SODEXO</v>
      </c>
      <c r="C2418" t="s">
        <v>288</v>
      </c>
      <c r="D2418" s="1" t="str">
        <f t="shared" si="73"/>
        <v>PRG-1020257</v>
      </c>
      <c r="E2418" t="s">
        <v>48</v>
      </c>
      <c r="F2418" t="s">
        <v>4</v>
      </c>
      <c r="G2418" t="str">
        <f>""</f>
        <v/>
      </c>
    </row>
    <row r="2419" spans="1:7" x14ac:dyDescent="0.25">
      <c r="A2419" t="s">
        <v>8</v>
      </c>
      <c r="B2419" s="1" t="str">
        <f>"000326366 - RICH PIZZA&amp;ICING-SODEXO"</f>
        <v>000326366 - RICH PIZZA&amp;ICING-SODEXO</v>
      </c>
      <c r="C2419" t="s">
        <v>436</v>
      </c>
      <c r="D2419" s="1" t="str">
        <f t="shared" si="73"/>
        <v>PRG-1020257</v>
      </c>
      <c r="E2419" t="s">
        <v>48</v>
      </c>
      <c r="F2419" t="s">
        <v>4</v>
      </c>
      <c r="G2419" t="str">
        <f>""</f>
        <v/>
      </c>
    </row>
    <row r="2420" spans="1:7" x14ac:dyDescent="0.25">
      <c r="A2420" t="s">
        <v>8</v>
      </c>
      <c r="B2420" s="1" t="str">
        <f>"000329880 - RICHS PIZZA DOUGH&amp;ICING-SODEXO"</f>
        <v>000329880 - RICHS PIZZA DOUGH&amp;ICING-SODEXO</v>
      </c>
      <c r="C2420" t="s">
        <v>288</v>
      </c>
      <c r="D2420" s="1" t="str">
        <f t="shared" si="73"/>
        <v>PRG-1020257</v>
      </c>
      <c r="E2420" t="s">
        <v>48</v>
      </c>
      <c r="F2420" t="s">
        <v>4</v>
      </c>
      <c r="G2420" t="str">
        <f>""</f>
        <v/>
      </c>
    </row>
    <row r="2421" spans="1:7" x14ac:dyDescent="0.25">
      <c r="A2421" t="s">
        <v>8</v>
      </c>
      <c r="B2421" s="1" t="str">
        <f>"000335940 - RICH PIZZA&amp;ICING-SODEXO"</f>
        <v>000335940 - RICH PIZZA&amp;ICING-SODEXO</v>
      </c>
      <c r="C2421" t="s">
        <v>436</v>
      </c>
      <c r="D2421" s="1" t="str">
        <f t="shared" si="73"/>
        <v>PRG-1020257</v>
      </c>
      <c r="E2421" t="s">
        <v>48</v>
      </c>
      <c r="F2421" t="s">
        <v>4</v>
      </c>
      <c r="G2421" t="str">
        <f>""</f>
        <v/>
      </c>
    </row>
    <row r="2422" spans="1:7" x14ac:dyDescent="0.25">
      <c r="A2422" t="s">
        <v>8</v>
      </c>
      <c r="B2422" s="1" t="str">
        <f>"000338431 - RICHS PIZZA DOUGH&amp;ICING-SODEXO"</f>
        <v>000338431 - RICHS PIZZA DOUGH&amp;ICING-SODEXO</v>
      </c>
      <c r="C2422" t="s">
        <v>288</v>
      </c>
      <c r="D2422" s="1" t="str">
        <f t="shared" si="73"/>
        <v>PRG-1020257</v>
      </c>
      <c r="E2422" t="s">
        <v>48</v>
      </c>
      <c r="F2422" t="s">
        <v>4</v>
      </c>
      <c r="G2422" t="str">
        <f>""</f>
        <v/>
      </c>
    </row>
    <row r="2423" spans="1:7" x14ac:dyDescent="0.25">
      <c r="A2423" t="s">
        <v>8</v>
      </c>
      <c r="B2423" s="1" t="str">
        <f>"2000188428 - RICHS PIZZA-SODEXO"</f>
        <v>2000188428 - RICHS PIZZA-SODEXO</v>
      </c>
      <c r="C2423" t="s">
        <v>3828</v>
      </c>
      <c r="D2423" s="1" t="str">
        <f t="shared" si="73"/>
        <v>PRG-1020257</v>
      </c>
      <c r="E2423" t="s">
        <v>48</v>
      </c>
      <c r="F2423" t="s">
        <v>4</v>
      </c>
      <c r="G2423" t="str">
        <f>""</f>
        <v/>
      </c>
    </row>
    <row r="2424" spans="1:7" x14ac:dyDescent="0.25">
      <c r="A2424" t="s">
        <v>8</v>
      </c>
      <c r="B2424" s="1" t="str">
        <f>"000024612 - RICH BREAD &amp; ROLLS-SODEXO"</f>
        <v>000024612 - RICH BREAD &amp; ROLLS-SODEXO</v>
      </c>
      <c r="C2424" t="s">
        <v>141</v>
      </c>
      <c r="D2424" s="1" t="str">
        <f t="shared" ref="D2424:D2455" si="74">"PRG-1020258"</f>
        <v>PRG-1020258</v>
      </c>
      <c r="E2424" t="s">
        <v>437</v>
      </c>
      <c r="F2424" t="s">
        <v>4</v>
      </c>
      <c r="G2424" t="str">
        <f>""</f>
        <v/>
      </c>
    </row>
    <row r="2425" spans="1:7" x14ac:dyDescent="0.25">
      <c r="A2425" t="s">
        <v>8</v>
      </c>
      <c r="B2425" s="1" t="str">
        <f>"000026659 - RICH BREAD &amp; ROLLS-SODEXO"</f>
        <v>000026659 - RICH BREAD &amp; ROLLS-SODEXO</v>
      </c>
      <c r="C2425" t="s">
        <v>141</v>
      </c>
      <c r="D2425" s="1" t="str">
        <f t="shared" si="74"/>
        <v>PRG-1020258</v>
      </c>
      <c r="E2425" t="s">
        <v>437</v>
      </c>
      <c r="F2425" t="s">
        <v>4</v>
      </c>
      <c r="G2425" t="str">
        <f>""</f>
        <v/>
      </c>
    </row>
    <row r="2426" spans="1:7" x14ac:dyDescent="0.25">
      <c r="A2426" t="s">
        <v>8</v>
      </c>
      <c r="B2426" s="1" t="str">
        <f>"000086787 - RICH BREAD &amp; ROLLS-SODEXO"</f>
        <v>000086787 - RICH BREAD &amp; ROLLS-SODEXO</v>
      </c>
      <c r="C2426" t="s">
        <v>141</v>
      </c>
      <c r="D2426" s="1" t="str">
        <f t="shared" si="74"/>
        <v>PRG-1020258</v>
      </c>
      <c r="E2426" t="s">
        <v>437</v>
      </c>
      <c r="F2426" t="s">
        <v>4</v>
      </c>
      <c r="G2426" t="str">
        <f>""</f>
        <v/>
      </c>
    </row>
    <row r="2427" spans="1:7" x14ac:dyDescent="0.25">
      <c r="A2427" t="s">
        <v>8</v>
      </c>
      <c r="B2427" s="1" t="str">
        <f>"000099378 - RICH BREAD &amp; ROLLS-SODEXO"</f>
        <v>000099378 - RICH BREAD &amp; ROLLS-SODEXO</v>
      </c>
      <c r="C2427" t="s">
        <v>141</v>
      </c>
      <c r="D2427" s="1" t="str">
        <f t="shared" si="74"/>
        <v>PRG-1020258</v>
      </c>
      <c r="E2427" t="s">
        <v>437</v>
      </c>
      <c r="F2427" t="s">
        <v>4</v>
      </c>
      <c r="G2427" t="str">
        <f>""</f>
        <v/>
      </c>
    </row>
    <row r="2428" spans="1:7" x14ac:dyDescent="0.25">
      <c r="A2428" t="s">
        <v>8</v>
      </c>
      <c r="B2428" s="1" t="str">
        <f>"000109748 - RICH BREAD &amp; ROLLS-SODEXO"</f>
        <v>000109748 - RICH BREAD &amp; ROLLS-SODEXO</v>
      </c>
      <c r="C2428" t="s">
        <v>141</v>
      </c>
      <c r="D2428" s="1" t="str">
        <f t="shared" si="74"/>
        <v>PRG-1020258</v>
      </c>
      <c r="E2428" t="s">
        <v>437</v>
      </c>
      <c r="F2428" t="s">
        <v>4</v>
      </c>
      <c r="G2428" t="str">
        <f>""</f>
        <v/>
      </c>
    </row>
    <row r="2429" spans="1:7" x14ac:dyDescent="0.25">
      <c r="A2429" t="s">
        <v>8</v>
      </c>
      <c r="B2429" s="1" t="str">
        <f>"000116931 - CASA DI BERTACCHI-SODEXO"</f>
        <v>000116931 - CASA DI BERTACCHI-SODEXO</v>
      </c>
      <c r="C2429" t="s">
        <v>378</v>
      </c>
      <c r="D2429" s="1" t="str">
        <f t="shared" si="74"/>
        <v>PRG-1020258</v>
      </c>
      <c r="E2429" t="s">
        <v>437</v>
      </c>
      <c r="F2429" t="s">
        <v>4</v>
      </c>
      <c r="G2429" t="str">
        <f>""</f>
        <v/>
      </c>
    </row>
    <row r="2430" spans="1:7" x14ac:dyDescent="0.25">
      <c r="A2430" t="s">
        <v>8</v>
      </c>
      <c r="B2430" s="1" t="str">
        <f>"000118142 - RICH BREAD &amp; ROLLS-SODEXO"</f>
        <v>000118142 - RICH BREAD &amp; ROLLS-SODEXO</v>
      </c>
      <c r="C2430" t="s">
        <v>141</v>
      </c>
      <c r="D2430" s="1" t="str">
        <f t="shared" si="74"/>
        <v>PRG-1020258</v>
      </c>
      <c r="E2430" t="s">
        <v>437</v>
      </c>
      <c r="F2430" t="s">
        <v>4</v>
      </c>
      <c r="G2430" t="str">
        <f>""</f>
        <v/>
      </c>
    </row>
    <row r="2431" spans="1:7" x14ac:dyDescent="0.25">
      <c r="A2431" t="s">
        <v>8</v>
      </c>
      <c r="B2431" s="1" t="str">
        <f>"000121557 - RICH BREAD &amp; ROLLS-SODEXO"</f>
        <v>000121557 - RICH BREAD &amp; ROLLS-SODEXO</v>
      </c>
      <c r="C2431" t="s">
        <v>141</v>
      </c>
      <c r="D2431" s="1" t="str">
        <f t="shared" si="74"/>
        <v>PRG-1020258</v>
      </c>
      <c r="E2431" t="s">
        <v>437</v>
      </c>
      <c r="F2431" t="s">
        <v>4</v>
      </c>
      <c r="G2431" t="str">
        <f>""</f>
        <v/>
      </c>
    </row>
    <row r="2432" spans="1:7" x14ac:dyDescent="0.25">
      <c r="A2432" t="s">
        <v>8</v>
      </c>
      <c r="B2432" s="1" t="str">
        <f>"000124210 - RICH BREAD &amp; ROLLS-SODEXO"</f>
        <v>000124210 - RICH BREAD &amp; ROLLS-SODEXO</v>
      </c>
      <c r="C2432" t="s">
        <v>141</v>
      </c>
      <c r="D2432" s="1" t="str">
        <f t="shared" si="74"/>
        <v>PRG-1020258</v>
      </c>
      <c r="E2432" t="s">
        <v>437</v>
      </c>
      <c r="F2432" t="s">
        <v>4</v>
      </c>
      <c r="G2432" t="str">
        <f>""</f>
        <v/>
      </c>
    </row>
    <row r="2433" spans="1:7" x14ac:dyDescent="0.25">
      <c r="A2433" t="s">
        <v>8</v>
      </c>
      <c r="B2433" s="1" t="str">
        <f>"000135631 - RICH BREAD &amp; ROLLS-SODEXO"</f>
        <v>000135631 - RICH BREAD &amp; ROLLS-SODEXO</v>
      </c>
      <c r="C2433" t="s">
        <v>141</v>
      </c>
      <c r="D2433" s="1" t="str">
        <f t="shared" si="74"/>
        <v>PRG-1020258</v>
      </c>
      <c r="E2433" t="s">
        <v>437</v>
      </c>
      <c r="F2433" t="s">
        <v>4</v>
      </c>
      <c r="G2433" t="str">
        <f>""</f>
        <v/>
      </c>
    </row>
    <row r="2434" spans="1:7" x14ac:dyDescent="0.25">
      <c r="A2434" t="s">
        <v>8</v>
      </c>
      <c r="B2434" s="1" t="str">
        <f>"000163413 - RICH BREAD &amp; ROLLS-SODEXO"</f>
        <v>000163413 - RICH BREAD &amp; ROLLS-SODEXO</v>
      </c>
      <c r="C2434" t="s">
        <v>141</v>
      </c>
      <c r="D2434" s="1" t="str">
        <f t="shared" si="74"/>
        <v>PRG-1020258</v>
      </c>
      <c r="E2434" t="s">
        <v>437</v>
      </c>
      <c r="F2434" t="s">
        <v>4</v>
      </c>
      <c r="G2434" t="str">
        <f>""</f>
        <v/>
      </c>
    </row>
    <row r="2435" spans="1:7" x14ac:dyDescent="0.25">
      <c r="A2435" t="s">
        <v>8</v>
      </c>
      <c r="B2435" s="1" t="str">
        <f>"000173422 - RICH BREAD &amp; ROLLS-SODEXO"</f>
        <v>000173422 - RICH BREAD &amp; ROLLS-SODEXO</v>
      </c>
      <c r="C2435" t="s">
        <v>141</v>
      </c>
      <c r="D2435" s="1" t="str">
        <f t="shared" si="74"/>
        <v>PRG-1020258</v>
      </c>
      <c r="E2435" t="s">
        <v>437</v>
      </c>
      <c r="F2435" t="s">
        <v>4</v>
      </c>
      <c r="G2435" t="str">
        <f>""</f>
        <v/>
      </c>
    </row>
    <row r="2436" spans="1:7" x14ac:dyDescent="0.25">
      <c r="A2436" t="s">
        <v>8</v>
      </c>
      <c r="B2436" s="1" t="str">
        <f>"000174916 - (L)RICH BREAD&amp;ROLLS-SODEXO(OR)"</f>
        <v>000174916 - (L)RICH BREAD&amp;ROLLS-SODEXO(OR)</v>
      </c>
      <c r="C2436" t="s">
        <v>1114</v>
      </c>
      <c r="D2436" s="1" t="str">
        <f t="shared" si="74"/>
        <v>PRG-1020258</v>
      </c>
      <c r="E2436" t="s">
        <v>437</v>
      </c>
      <c r="F2436" t="s">
        <v>4</v>
      </c>
      <c r="G2436" t="str">
        <f>""</f>
        <v/>
      </c>
    </row>
    <row r="2437" spans="1:7" x14ac:dyDescent="0.25">
      <c r="A2437" t="s">
        <v>8</v>
      </c>
      <c r="B2437" s="1" t="str">
        <f>"000182777 - RICH BREAD &amp; ROLLS-SODEXO"</f>
        <v>000182777 - RICH BREAD &amp; ROLLS-SODEXO</v>
      </c>
      <c r="C2437" t="s">
        <v>141</v>
      </c>
      <c r="D2437" s="1" t="str">
        <f t="shared" si="74"/>
        <v>PRG-1020258</v>
      </c>
      <c r="E2437" t="s">
        <v>437</v>
      </c>
      <c r="F2437" t="s">
        <v>4</v>
      </c>
      <c r="G2437" t="str">
        <f>""</f>
        <v/>
      </c>
    </row>
    <row r="2438" spans="1:7" x14ac:dyDescent="0.25">
      <c r="A2438" t="s">
        <v>8</v>
      </c>
      <c r="B2438" s="1" t="str">
        <f>"000194308 - BB SODEXO FOB BREAD&amp;ROLLS RICH"</f>
        <v>000194308 - BB SODEXO FOB BREAD&amp;ROLLS RICH</v>
      </c>
      <c r="C2438" t="s">
        <v>1243</v>
      </c>
      <c r="D2438" s="1" t="str">
        <f t="shared" si="74"/>
        <v>PRG-1020258</v>
      </c>
      <c r="E2438" t="s">
        <v>437</v>
      </c>
      <c r="F2438" t="s">
        <v>4</v>
      </c>
      <c r="G2438" t="str">
        <f>""</f>
        <v/>
      </c>
    </row>
    <row r="2439" spans="1:7" x14ac:dyDescent="0.25">
      <c r="A2439" t="s">
        <v>8</v>
      </c>
      <c r="B2439" s="1" t="str">
        <f>"000195497 - BB SODEXO FOB BREAD&amp;ROLLS RICH"</f>
        <v>000195497 - BB SODEXO FOB BREAD&amp;ROLLS RICH</v>
      </c>
      <c r="C2439" t="s">
        <v>1243</v>
      </c>
      <c r="D2439" s="1" t="str">
        <f t="shared" si="74"/>
        <v>PRG-1020258</v>
      </c>
      <c r="E2439" t="s">
        <v>437</v>
      </c>
      <c r="F2439" t="s">
        <v>4</v>
      </c>
      <c r="G2439" t="str">
        <f>""</f>
        <v/>
      </c>
    </row>
    <row r="2440" spans="1:7" x14ac:dyDescent="0.25">
      <c r="A2440" t="s">
        <v>8</v>
      </c>
      <c r="B2440" s="1" t="str">
        <f>"000196822 - BB SODEXO RICH FOB BREAD&amp;ROLLS"</f>
        <v>000196822 - BB SODEXO RICH FOB BREAD&amp;ROLLS</v>
      </c>
      <c r="C2440" t="s">
        <v>1265</v>
      </c>
      <c r="D2440" s="1" t="str">
        <f t="shared" si="74"/>
        <v>PRG-1020258</v>
      </c>
      <c r="E2440" t="s">
        <v>437</v>
      </c>
      <c r="F2440" t="s">
        <v>4</v>
      </c>
      <c r="G2440" t="str">
        <f>""</f>
        <v/>
      </c>
    </row>
    <row r="2441" spans="1:7" x14ac:dyDescent="0.25">
      <c r="A2441" t="s">
        <v>8</v>
      </c>
      <c r="B2441" s="1" t="str">
        <f>"000199896 - RICH BREAD &amp; ROLLS-SODEXO"</f>
        <v>000199896 - RICH BREAD &amp; ROLLS-SODEXO</v>
      </c>
      <c r="C2441" t="s">
        <v>141</v>
      </c>
      <c r="D2441" s="1" t="str">
        <f t="shared" si="74"/>
        <v>PRG-1020258</v>
      </c>
      <c r="E2441" t="s">
        <v>437</v>
      </c>
      <c r="F2441" t="s">
        <v>4</v>
      </c>
      <c r="G2441" t="str">
        <f>""</f>
        <v/>
      </c>
    </row>
    <row r="2442" spans="1:7" x14ac:dyDescent="0.25">
      <c r="A2442" t="s">
        <v>8</v>
      </c>
      <c r="B2442" s="1" t="str">
        <f>"000200541 - RICH BREAD &amp; ROLLS-SODEXO"</f>
        <v>000200541 - RICH BREAD &amp; ROLLS-SODEXO</v>
      </c>
      <c r="C2442" t="s">
        <v>141</v>
      </c>
      <c r="D2442" s="1" t="str">
        <f t="shared" si="74"/>
        <v>PRG-1020258</v>
      </c>
      <c r="E2442" t="s">
        <v>437</v>
      </c>
      <c r="F2442" t="s">
        <v>4</v>
      </c>
      <c r="G2442" t="str">
        <f>""</f>
        <v/>
      </c>
    </row>
    <row r="2443" spans="1:7" x14ac:dyDescent="0.25">
      <c r="A2443" t="s">
        <v>8</v>
      </c>
      <c r="B2443" s="1" t="str">
        <f>"000200692 - RICH BREAD &amp; ROLLS-SODEXO"</f>
        <v>000200692 - RICH BREAD &amp; ROLLS-SODEXO</v>
      </c>
      <c r="C2443" t="s">
        <v>141</v>
      </c>
      <c r="D2443" s="1" t="str">
        <f t="shared" si="74"/>
        <v>PRG-1020258</v>
      </c>
      <c r="E2443" t="s">
        <v>437</v>
      </c>
      <c r="F2443" t="s">
        <v>4</v>
      </c>
      <c r="G2443" t="str">
        <f>""</f>
        <v/>
      </c>
    </row>
    <row r="2444" spans="1:7" x14ac:dyDescent="0.25">
      <c r="A2444" t="s">
        <v>8</v>
      </c>
      <c r="B2444" s="1" t="str">
        <f>"000200784 - RICH BREAD &amp; ROLLS-SODEXO"</f>
        <v>000200784 - RICH BREAD &amp; ROLLS-SODEXO</v>
      </c>
      <c r="C2444" t="s">
        <v>141</v>
      </c>
      <c r="D2444" s="1" t="str">
        <f t="shared" si="74"/>
        <v>PRG-1020258</v>
      </c>
      <c r="E2444" t="s">
        <v>437</v>
      </c>
      <c r="F2444" t="s">
        <v>4</v>
      </c>
      <c r="G2444" t="str">
        <f>""</f>
        <v/>
      </c>
    </row>
    <row r="2445" spans="1:7" x14ac:dyDescent="0.25">
      <c r="A2445" t="s">
        <v>8</v>
      </c>
      <c r="B2445" s="1" t="str">
        <f>"000207246 - RICH BREAD &amp; ROLLS-SODEXO"</f>
        <v>000207246 - RICH BREAD &amp; ROLLS-SODEXO</v>
      </c>
      <c r="C2445" t="s">
        <v>141</v>
      </c>
      <c r="D2445" s="1" t="str">
        <f t="shared" si="74"/>
        <v>PRG-1020258</v>
      </c>
      <c r="E2445" t="s">
        <v>437</v>
      </c>
      <c r="F2445" t="s">
        <v>4</v>
      </c>
      <c r="G2445" t="str">
        <f>""</f>
        <v/>
      </c>
    </row>
    <row r="2446" spans="1:7" x14ac:dyDescent="0.25">
      <c r="A2446" t="s">
        <v>8</v>
      </c>
      <c r="B2446" s="1" t="str">
        <f>"000207313 - RICH BREAD ROLL-SODEXO 207246"</f>
        <v>000207313 - RICH BREAD ROLL-SODEXO 207246</v>
      </c>
      <c r="C2446" t="s">
        <v>1381</v>
      </c>
      <c r="D2446" s="1" t="str">
        <f t="shared" si="74"/>
        <v>PRG-1020258</v>
      </c>
      <c r="E2446" t="s">
        <v>437</v>
      </c>
      <c r="F2446" t="s">
        <v>4</v>
      </c>
      <c r="G2446" t="str">
        <f>""</f>
        <v/>
      </c>
    </row>
    <row r="2447" spans="1:7" x14ac:dyDescent="0.25">
      <c r="A2447" t="s">
        <v>8</v>
      </c>
      <c r="B2447" s="1" t="str">
        <f>"000207713 - RICH BREAD &amp; ROLLS-SODEXO"</f>
        <v>000207713 - RICH BREAD &amp; ROLLS-SODEXO</v>
      </c>
      <c r="C2447" t="s">
        <v>141</v>
      </c>
      <c r="D2447" s="1" t="str">
        <f t="shared" si="74"/>
        <v>PRG-1020258</v>
      </c>
      <c r="E2447" t="s">
        <v>437</v>
      </c>
      <c r="F2447" t="s">
        <v>4</v>
      </c>
      <c r="G2447" t="str">
        <f>""</f>
        <v/>
      </c>
    </row>
    <row r="2448" spans="1:7" x14ac:dyDescent="0.25">
      <c r="A2448" t="s">
        <v>8</v>
      </c>
      <c r="B2448" s="1" t="str">
        <f>"000209575 - RICH BREAD &amp; ROLLS-SODEXO"</f>
        <v>000209575 - RICH BREAD &amp; ROLLS-SODEXO</v>
      </c>
      <c r="C2448" t="s">
        <v>141</v>
      </c>
      <c r="D2448" s="1" t="str">
        <f t="shared" si="74"/>
        <v>PRG-1020258</v>
      </c>
      <c r="E2448" t="s">
        <v>437</v>
      </c>
      <c r="F2448" t="s">
        <v>4</v>
      </c>
      <c r="G2448" t="str">
        <f>""</f>
        <v/>
      </c>
    </row>
    <row r="2449" spans="1:7" x14ac:dyDescent="0.25">
      <c r="A2449" t="s">
        <v>8</v>
      </c>
      <c r="B2449" s="1" t="str">
        <f>"000210323 - RICH BREAD &amp; ROLLS-SODEXO"</f>
        <v>000210323 - RICH BREAD &amp; ROLLS-SODEXO</v>
      </c>
      <c r="C2449" t="s">
        <v>141</v>
      </c>
      <c r="D2449" s="1" t="str">
        <f t="shared" si="74"/>
        <v>PRG-1020258</v>
      </c>
      <c r="E2449" t="s">
        <v>437</v>
      </c>
      <c r="F2449" t="s">
        <v>4</v>
      </c>
      <c r="G2449" t="str">
        <f>""</f>
        <v/>
      </c>
    </row>
    <row r="2450" spans="1:7" x14ac:dyDescent="0.25">
      <c r="A2450" t="s">
        <v>8</v>
      </c>
      <c r="B2450" s="1" t="str">
        <f>"000210876 - RICH BREAD &amp; ROLLS-SODEXO"</f>
        <v>000210876 - RICH BREAD &amp; ROLLS-SODEXO</v>
      </c>
      <c r="C2450" t="s">
        <v>141</v>
      </c>
      <c r="D2450" s="1" t="str">
        <f t="shared" si="74"/>
        <v>PRG-1020258</v>
      </c>
      <c r="E2450" t="s">
        <v>437</v>
      </c>
      <c r="F2450" t="s">
        <v>4</v>
      </c>
      <c r="G2450" t="str">
        <f>""</f>
        <v/>
      </c>
    </row>
    <row r="2451" spans="1:7" x14ac:dyDescent="0.25">
      <c r="A2451" t="s">
        <v>8</v>
      </c>
      <c r="B2451" s="1" t="str">
        <f>"000211140 - RICH BREAD &amp; ROLLS-SODEXO"</f>
        <v>000211140 - RICH BREAD &amp; ROLLS-SODEXO</v>
      </c>
      <c r="C2451" t="s">
        <v>141</v>
      </c>
      <c r="D2451" s="1" t="str">
        <f t="shared" si="74"/>
        <v>PRG-1020258</v>
      </c>
      <c r="E2451" t="s">
        <v>437</v>
      </c>
      <c r="F2451" t="s">
        <v>4</v>
      </c>
      <c r="G2451" t="str">
        <f>""</f>
        <v/>
      </c>
    </row>
    <row r="2452" spans="1:7" x14ac:dyDescent="0.25">
      <c r="A2452" t="s">
        <v>8</v>
      </c>
      <c r="B2452" s="1" t="str">
        <f>"000213119 - RICH BREAD &amp; ROLLS-SODEXO"</f>
        <v>000213119 - RICH BREAD &amp; ROLLS-SODEXO</v>
      </c>
      <c r="C2452" t="s">
        <v>141</v>
      </c>
      <c r="D2452" s="1" t="str">
        <f t="shared" si="74"/>
        <v>PRG-1020258</v>
      </c>
      <c r="E2452" t="s">
        <v>437</v>
      </c>
      <c r="F2452" t="s">
        <v>4</v>
      </c>
      <c r="G2452" t="str">
        <f>""</f>
        <v/>
      </c>
    </row>
    <row r="2453" spans="1:7" x14ac:dyDescent="0.25">
      <c r="A2453" t="s">
        <v>8</v>
      </c>
      <c r="B2453" s="1" t="str">
        <f>"000217989 - RICH BREAD &amp; ROLLS-SODEXO"</f>
        <v>000217989 - RICH BREAD &amp; ROLLS-SODEXO</v>
      </c>
      <c r="C2453" t="s">
        <v>141</v>
      </c>
      <c r="D2453" s="1" t="str">
        <f t="shared" si="74"/>
        <v>PRG-1020258</v>
      </c>
      <c r="E2453" t="s">
        <v>437</v>
      </c>
      <c r="F2453" t="s">
        <v>4</v>
      </c>
      <c r="G2453" t="str">
        <f>""</f>
        <v/>
      </c>
    </row>
    <row r="2454" spans="1:7" x14ac:dyDescent="0.25">
      <c r="A2454" t="s">
        <v>8</v>
      </c>
      <c r="B2454" s="1" t="str">
        <f>"000222504 - RICH BREAD &amp; ROLLS-SODEXO"</f>
        <v>000222504 - RICH BREAD &amp; ROLLS-SODEXO</v>
      </c>
      <c r="C2454" t="s">
        <v>141</v>
      </c>
      <c r="D2454" s="1" t="str">
        <f t="shared" si="74"/>
        <v>PRG-1020258</v>
      </c>
      <c r="E2454" t="s">
        <v>437</v>
      </c>
      <c r="F2454" t="s">
        <v>4</v>
      </c>
      <c r="G2454" t="str">
        <f>""</f>
        <v/>
      </c>
    </row>
    <row r="2455" spans="1:7" x14ac:dyDescent="0.25">
      <c r="A2455" t="s">
        <v>8</v>
      </c>
      <c r="B2455" s="1" t="str">
        <f>"000222804 - RICH BREAD &amp; ROLLS-SODEXO"</f>
        <v>000222804 - RICH BREAD &amp; ROLLS-SODEXO</v>
      </c>
      <c r="C2455" t="s">
        <v>141</v>
      </c>
      <c r="D2455" s="1" t="str">
        <f t="shared" si="74"/>
        <v>PRG-1020258</v>
      </c>
      <c r="E2455" t="s">
        <v>437</v>
      </c>
      <c r="F2455" t="s">
        <v>4</v>
      </c>
      <c r="G2455" t="str">
        <f>""</f>
        <v/>
      </c>
    </row>
    <row r="2456" spans="1:7" x14ac:dyDescent="0.25">
      <c r="A2456" t="s">
        <v>8</v>
      </c>
      <c r="B2456" s="1" t="str">
        <f>"000225190 - RICH BREAD &amp; ROLLS-SODEXO"</f>
        <v>000225190 - RICH BREAD &amp; ROLLS-SODEXO</v>
      </c>
      <c r="C2456" t="s">
        <v>141</v>
      </c>
      <c r="D2456" s="1" t="str">
        <f t="shared" ref="D2456:D2482" si="75">"PRG-1020258"</f>
        <v>PRG-1020258</v>
      </c>
      <c r="E2456" t="s">
        <v>437</v>
      </c>
      <c r="F2456" t="s">
        <v>4</v>
      </c>
      <c r="G2456" t="str">
        <f>""</f>
        <v/>
      </c>
    </row>
    <row r="2457" spans="1:7" x14ac:dyDescent="0.25">
      <c r="A2457" t="s">
        <v>8</v>
      </c>
      <c r="B2457" s="1" t="str">
        <f>"000225748 - RICH BREAD &amp; ROLLS-SODEXO"</f>
        <v>000225748 - RICH BREAD &amp; ROLLS-SODEXO</v>
      </c>
      <c r="C2457" t="s">
        <v>141</v>
      </c>
      <c r="D2457" s="1" t="str">
        <f t="shared" si="75"/>
        <v>PRG-1020258</v>
      </c>
      <c r="E2457" t="s">
        <v>437</v>
      </c>
      <c r="F2457" t="s">
        <v>4</v>
      </c>
      <c r="G2457" t="str">
        <f>""</f>
        <v/>
      </c>
    </row>
    <row r="2458" spans="1:7" x14ac:dyDescent="0.25">
      <c r="A2458" t="s">
        <v>8</v>
      </c>
      <c r="B2458" s="1" t="str">
        <f>"000230393 - RICH BREAD &amp; ROLLS-SODEXO"</f>
        <v>000230393 - RICH BREAD &amp; ROLLS-SODEXO</v>
      </c>
      <c r="C2458" t="s">
        <v>141</v>
      </c>
      <c r="D2458" s="1" t="str">
        <f t="shared" si="75"/>
        <v>PRG-1020258</v>
      </c>
      <c r="E2458" t="s">
        <v>437</v>
      </c>
      <c r="F2458" t="s">
        <v>4</v>
      </c>
      <c r="G2458" t="str">
        <f>""</f>
        <v/>
      </c>
    </row>
    <row r="2459" spans="1:7" x14ac:dyDescent="0.25">
      <c r="A2459" t="s">
        <v>8</v>
      </c>
      <c r="B2459" s="1" t="str">
        <f>"000230701 - RICH BREAD &amp; ROLLS-SODEXO"</f>
        <v>000230701 - RICH BREAD &amp; ROLLS-SODEXO</v>
      </c>
      <c r="C2459" t="s">
        <v>141</v>
      </c>
      <c r="D2459" s="1" t="str">
        <f t="shared" si="75"/>
        <v>PRG-1020258</v>
      </c>
      <c r="E2459" t="s">
        <v>437</v>
      </c>
      <c r="F2459" t="s">
        <v>4</v>
      </c>
      <c r="G2459" t="str">
        <f>""</f>
        <v/>
      </c>
    </row>
    <row r="2460" spans="1:7" x14ac:dyDescent="0.25">
      <c r="A2460" t="s">
        <v>8</v>
      </c>
      <c r="B2460" s="1" t="str">
        <f>"000230845 - RICH BREAD &amp; ROLLS-SODEXO"</f>
        <v>000230845 - RICH BREAD &amp; ROLLS-SODEXO</v>
      </c>
      <c r="C2460" t="s">
        <v>141</v>
      </c>
      <c r="D2460" s="1" t="str">
        <f t="shared" si="75"/>
        <v>PRG-1020258</v>
      </c>
      <c r="E2460" t="s">
        <v>437</v>
      </c>
      <c r="F2460" t="s">
        <v>4</v>
      </c>
      <c r="G2460" t="str">
        <f>""</f>
        <v/>
      </c>
    </row>
    <row r="2461" spans="1:7" x14ac:dyDescent="0.25">
      <c r="A2461" t="s">
        <v>8</v>
      </c>
      <c r="B2461" s="1" t="str">
        <f>"000231920 - RICH BREAD &amp; ROLLS-SODEXO"</f>
        <v>000231920 - RICH BREAD &amp; ROLLS-SODEXO</v>
      </c>
      <c r="C2461" t="s">
        <v>141</v>
      </c>
      <c r="D2461" s="1" t="str">
        <f t="shared" si="75"/>
        <v>PRG-1020258</v>
      </c>
      <c r="E2461" t="s">
        <v>437</v>
      </c>
      <c r="F2461" t="s">
        <v>4</v>
      </c>
      <c r="G2461" t="str">
        <f>""</f>
        <v/>
      </c>
    </row>
    <row r="2462" spans="1:7" x14ac:dyDescent="0.25">
      <c r="A2462" t="s">
        <v>8</v>
      </c>
      <c r="B2462" s="1" t="str">
        <f>"000232053 - RICH BREAD &amp; ROLLS-SODEXO"</f>
        <v>000232053 - RICH BREAD &amp; ROLLS-SODEXO</v>
      </c>
      <c r="C2462" t="s">
        <v>141</v>
      </c>
      <c r="D2462" s="1" t="str">
        <f t="shared" si="75"/>
        <v>PRG-1020258</v>
      </c>
      <c r="E2462" t="s">
        <v>437</v>
      </c>
      <c r="F2462" t="s">
        <v>4</v>
      </c>
      <c r="G2462" t="str">
        <f>""</f>
        <v/>
      </c>
    </row>
    <row r="2463" spans="1:7" x14ac:dyDescent="0.25">
      <c r="A2463" t="s">
        <v>8</v>
      </c>
      <c r="B2463" s="1" t="str">
        <f>"000239692 - RICH BREAD &amp; ROLLS-SODEXO"</f>
        <v>000239692 - RICH BREAD &amp; ROLLS-SODEXO</v>
      </c>
      <c r="C2463" t="s">
        <v>141</v>
      </c>
      <c r="D2463" s="1" t="str">
        <f t="shared" si="75"/>
        <v>PRG-1020258</v>
      </c>
      <c r="E2463" t="s">
        <v>437</v>
      </c>
      <c r="F2463" t="s">
        <v>4</v>
      </c>
      <c r="G2463" t="str">
        <f>""</f>
        <v/>
      </c>
    </row>
    <row r="2464" spans="1:7" x14ac:dyDescent="0.25">
      <c r="A2464" t="s">
        <v>8</v>
      </c>
      <c r="B2464" s="1" t="str">
        <f>"000240266 - RICH BREAD &amp; ROLLS-SODEXO"</f>
        <v>000240266 - RICH BREAD &amp; ROLLS-SODEXO</v>
      </c>
      <c r="C2464" t="s">
        <v>141</v>
      </c>
      <c r="D2464" s="1" t="str">
        <f t="shared" si="75"/>
        <v>PRG-1020258</v>
      </c>
      <c r="E2464" t="s">
        <v>437</v>
      </c>
      <c r="F2464" t="s">
        <v>4</v>
      </c>
      <c r="G2464" t="str">
        <f>""</f>
        <v/>
      </c>
    </row>
    <row r="2465" spans="1:7" x14ac:dyDescent="0.25">
      <c r="A2465" t="s">
        <v>8</v>
      </c>
      <c r="B2465" s="1" t="str">
        <f>"000244111 - RICH BREAD &amp; ROLLS-SODEXO"</f>
        <v>000244111 - RICH BREAD &amp; ROLLS-SODEXO</v>
      </c>
      <c r="C2465" t="s">
        <v>141</v>
      </c>
      <c r="D2465" s="1" t="str">
        <f t="shared" si="75"/>
        <v>PRG-1020258</v>
      </c>
      <c r="E2465" t="s">
        <v>437</v>
      </c>
      <c r="F2465" t="s">
        <v>4</v>
      </c>
      <c r="G2465" t="str">
        <f>""</f>
        <v/>
      </c>
    </row>
    <row r="2466" spans="1:7" x14ac:dyDescent="0.25">
      <c r="A2466" t="s">
        <v>8</v>
      </c>
      <c r="B2466" s="1" t="str">
        <f>"000252784 - RICH BREAD &amp; ROLLS-SODEXO"</f>
        <v>000252784 - RICH BREAD &amp; ROLLS-SODEXO</v>
      </c>
      <c r="C2466" t="s">
        <v>141</v>
      </c>
      <c r="D2466" s="1" t="str">
        <f t="shared" si="75"/>
        <v>PRG-1020258</v>
      </c>
      <c r="E2466" t="s">
        <v>437</v>
      </c>
      <c r="F2466" t="s">
        <v>4</v>
      </c>
      <c r="G2466" t="str">
        <f>""</f>
        <v/>
      </c>
    </row>
    <row r="2467" spans="1:7" x14ac:dyDescent="0.25">
      <c r="A2467" t="s">
        <v>8</v>
      </c>
      <c r="B2467" s="1" t="str">
        <f>"000261337 - RICH BREAD &amp; ROLLS-SODEXO"</f>
        <v>000261337 - RICH BREAD &amp; ROLLS-SODEXO</v>
      </c>
      <c r="C2467" t="s">
        <v>141</v>
      </c>
      <c r="D2467" s="1" t="str">
        <f t="shared" si="75"/>
        <v>PRG-1020258</v>
      </c>
      <c r="E2467" t="s">
        <v>437</v>
      </c>
      <c r="F2467" t="s">
        <v>4</v>
      </c>
      <c r="G2467" t="str">
        <f>""</f>
        <v/>
      </c>
    </row>
    <row r="2468" spans="1:7" x14ac:dyDescent="0.25">
      <c r="A2468" t="s">
        <v>8</v>
      </c>
      <c r="B2468" s="1" t="str">
        <f>"000262439 - RICH BREAD &amp; ROLLS-SODEXO"</f>
        <v>000262439 - RICH BREAD &amp; ROLLS-SODEXO</v>
      </c>
      <c r="C2468" t="s">
        <v>141</v>
      </c>
      <c r="D2468" s="1" t="str">
        <f t="shared" si="75"/>
        <v>PRG-1020258</v>
      </c>
      <c r="E2468" t="s">
        <v>437</v>
      </c>
      <c r="F2468" t="s">
        <v>4</v>
      </c>
      <c r="G2468" t="str">
        <f>""</f>
        <v/>
      </c>
    </row>
    <row r="2469" spans="1:7" x14ac:dyDescent="0.25">
      <c r="A2469" t="s">
        <v>8</v>
      </c>
      <c r="B2469" s="1" t="str">
        <f>"000262518 - RICH BREAD &amp; ROLLS-SODEXO"</f>
        <v>000262518 - RICH BREAD &amp; ROLLS-SODEXO</v>
      </c>
      <c r="C2469" t="s">
        <v>141</v>
      </c>
      <c r="D2469" s="1" t="str">
        <f t="shared" si="75"/>
        <v>PRG-1020258</v>
      </c>
      <c r="E2469" t="s">
        <v>437</v>
      </c>
      <c r="F2469" t="s">
        <v>4</v>
      </c>
      <c r="G2469" t="str">
        <f>""</f>
        <v/>
      </c>
    </row>
    <row r="2470" spans="1:7" x14ac:dyDescent="0.25">
      <c r="A2470" t="s">
        <v>8</v>
      </c>
      <c r="B2470" s="1" t="str">
        <f>"000271702 - RICH BREAD &amp; ROLLS-SODEXO"</f>
        <v>000271702 - RICH BREAD &amp; ROLLS-SODEXO</v>
      </c>
      <c r="C2470" t="s">
        <v>141</v>
      </c>
      <c r="D2470" s="1" t="str">
        <f t="shared" si="75"/>
        <v>PRG-1020258</v>
      </c>
      <c r="E2470" t="s">
        <v>437</v>
      </c>
      <c r="F2470" t="s">
        <v>4</v>
      </c>
      <c r="G2470" t="str">
        <f>""</f>
        <v/>
      </c>
    </row>
    <row r="2471" spans="1:7" x14ac:dyDescent="0.25">
      <c r="A2471" t="s">
        <v>8</v>
      </c>
      <c r="B2471" s="1" t="str">
        <f>"000272123 - RICH BREAD &amp; ROLLS-SODEXO"</f>
        <v>000272123 - RICH BREAD &amp; ROLLS-SODEXO</v>
      </c>
      <c r="C2471" t="s">
        <v>141</v>
      </c>
      <c r="D2471" s="1" t="str">
        <f t="shared" si="75"/>
        <v>PRG-1020258</v>
      </c>
      <c r="E2471" t="s">
        <v>437</v>
      </c>
      <c r="F2471" t="s">
        <v>4</v>
      </c>
      <c r="G2471" t="str">
        <f>""</f>
        <v/>
      </c>
    </row>
    <row r="2472" spans="1:7" x14ac:dyDescent="0.25">
      <c r="A2472" t="s">
        <v>8</v>
      </c>
      <c r="B2472" s="1" t="str">
        <f>"000272566 - RICH BREAD &amp; ROLLS-SODEXO"</f>
        <v>000272566 - RICH BREAD &amp; ROLLS-SODEXO</v>
      </c>
      <c r="C2472" t="s">
        <v>141</v>
      </c>
      <c r="D2472" s="1" t="str">
        <f t="shared" si="75"/>
        <v>PRG-1020258</v>
      </c>
      <c r="E2472" t="s">
        <v>437</v>
      </c>
      <c r="F2472" t="s">
        <v>4</v>
      </c>
      <c r="G2472" t="str">
        <f>""</f>
        <v/>
      </c>
    </row>
    <row r="2473" spans="1:7" x14ac:dyDescent="0.25">
      <c r="A2473" t="s">
        <v>8</v>
      </c>
      <c r="B2473" s="1" t="str">
        <f>"000273709 - RICH BREAD &amp; ROLLS-SODEXO"</f>
        <v>000273709 - RICH BREAD &amp; ROLLS-SODEXO</v>
      </c>
      <c r="C2473" t="s">
        <v>141</v>
      </c>
      <c r="D2473" s="1" t="str">
        <f t="shared" si="75"/>
        <v>PRG-1020258</v>
      </c>
      <c r="E2473" t="s">
        <v>437</v>
      </c>
      <c r="F2473" t="s">
        <v>4</v>
      </c>
      <c r="G2473" t="str">
        <f>""</f>
        <v/>
      </c>
    </row>
    <row r="2474" spans="1:7" x14ac:dyDescent="0.25">
      <c r="A2474" t="s">
        <v>8</v>
      </c>
      <c r="B2474" s="1" t="str">
        <f>"000281040 - RICH BREAD &amp; ROLLS-SODEXO"</f>
        <v>000281040 - RICH BREAD &amp; ROLLS-SODEXO</v>
      </c>
      <c r="C2474" t="s">
        <v>141</v>
      </c>
      <c r="D2474" s="1" t="str">
        <f t="shared" si="75"/>
        <v>PRG-1020258</v>
      </c>
      <c r="E2474" t="s">
        <v>437</v>
      </c>
      <c r="F2474" t="s">
        <v>4</v>
      </c>
      <c r="G2474" t="str">
        <f>""</f>
        <v/>
      </c>
    </row>
    <row r="2475" spans="1:7" x14ac:dyDescent="0.25">
      <c r="A2475" t="s">
        <v>8</v>
      </c>
      <c r="B2475" s="1" t="str">
        <f>"000282043 - RICH BREAD &amp; ROLLS-SODEXO"</f>
        <v>000282043 - RICH BREAD &amp; ROLLS-SODEXO</v>
      </c>
      <c r="C2475" t="s">
        <v>141</v>
      </c>
      <c r="D2475" s="1" t="str">
        <f t="shared" si="75"/>
        <v>PRG-1020258</v>
      </c>
      <c r="E2475" t="s">
        <v>437</v>
      </c>
      <c r="F2475" t="s">
        <v>4</v>
      </c>
      <c r="G2475" t="str">
        <f>""</f>
        <v/>
      </c>
    </row>
    <row r="2476" spans="1:7" x14ac:dyDescent="0.25">
      <c r="A2476" t="s">
        <v>8</v>
      </c>
      <c r="B2476" s="1" t="str">
        <f>"000286179 - RICH BREAD &amp; ROLLS-SODEXO"</f>
        <v>000286179 - RICH BREAD &amp; ROLLS-SODEXO</v>
      </c>
      <c r="C2476" t="s">
        <v>141</v>
      </c>
      <c r="D2476" s="1" t="str">
        <f t="shared" si="75"/>
        <v>PRG-1020258</v>
      </c>
      <c r="E2476" t="s">
        <v>437</v>
      </c>
      <c r="F2476" t="s">
        <v>4</v>
      </c>
      <c r="G2476" t="str">
        <f>""</f>
        <v/>
      </c>
    </row>
    <row r="2477" spans="1:7" x14ac:dyDescent="0.25">
      <c r="A2477" t="s">
        <v>8</v>
      </c>
      <c r="B2477" s="1" t="str">
        <f>"000289621 - RICH BREAD &amp; ROLLS-SODEXO"</f>
        <v>000289621 - RICH BREAD &amp; ROLLS-SODEXO</v>
      </c>
      <c r="C2477" t="s">
        <v>141</v>
      </c>
      <c r="D2477" s="1" t="str">
        <f t="shared" si="75"/>
        <v>PRG-1020258</v>
      </c>
      <c r="E2477" t="s">
        <v>437</v>
      </c>
      <c r="F2477" t="s">
        <v>4</v>
      </c>
      <c r="G2477" t="str">
        <f>""</f>
        <v/>
      </c>
    </row>
    <row r="2478" spans="1:7" x14ac:dyDescent="0.25">
      <c r="A2478" t="s">
        <v>8</v>
      </c>
      <c r="B2478" s="1" t="str">
        <f>"000291851 - RICH BREAD &amp; ROLLS-SODEXO"</f>
        <v>000291851 - RICH BREAD &amp; ROLLS-SODEXO</v>
      </c>
      <c r="C2478" t="s">
        <v>141</v>
      </c>
      <c r="D2478" s="1" t="str">
        <f t="shared" si="75"/>
        <v>PRG-1020258</v>
      </c>
      <c r="E2478" t="s">
        <v>437</v>
      </c>
      <c r="F2478" t="s">
        <v>4</v>
      </c>
      <c r="G2478" t="str">
        <f>""</f>
        <v/>
      </c>
    </row>
    <row r="2479" spans="1:7" x14ac:dyDescent="0.25">
      <c r="A2479" t="s">
        <v>8</v>
      </c>
      <c r="B2479" s="1" t="str">
        <f>"000299299 - RICH BREAD &amp; ROLLS-SODEXO"</f>
        <v>000299299 - RICH BREAD &amp; ROLLS-SODEXO</v>
      </c>
      <c r="C2479" t="s">
        <v>141</v>
      </c>
      <c r="D2479" s="1" t="str">
        <f t="shared" si="75"/>
        <v>PRG-1020258</v>
      </c>
      <c r="E2479" t="s">
        <v>437</v>
      </c>
      <c r="F2479" t="s">
        <v>4</v>
      </c>
      <c r="G2479" t="str">
        <f>""</f>
        <v/>
      </c>
    </row>
    <row r="2480" spans="1:7" x14ac:dyDescent="0.25">
      <c r="A2480" t="s">
        <v>8</v>
      </c>
      <c r="B2480" s="1" t="str">
        <f>"000301834 - RICH BREAD &amp; ROLLS-SODEXO"</f>
        <v>000301834 - RICH BREAD &amp; ROLLS-SODEXO</v>
      </c>
      <c r="C2480" t="s">
        <v>141</v>
      </c>
      <c r="D2480" s="1" t="str">
        <f t="shared" si="75"/>
        <v>PRG-1020258</v>
      </c>
      <c r="E2480" t="s">
        <v>437</v>
      </c>
      <c r="F2480" t="s">
        <v>4</v>
      </c>
      <c r="G2480" t="str">
        <f>""</f>
        <v/>
      </c>
    </row>
    <row r="2481" spans="1:7" x14ac:dyDescent="0.25">
      <c r="A2481" t="s">
        <v>8</v>
      </c>
      <c r="B2481" s="1" t="str">
        <f>"000326530 - RICH BREAD &amp; ROLLS-SODEXO"</f>
        <v>000326530 - RICH BREAD &amp; ROLLS-SODEXO</v>
      </c>
      <c r="C2481" t="s">
        <v>141</v>
      </c>
      <c r="D2481" s="1" t="str">
        <f t="shared" si="75"/>
        <v>PRG-1020258</v>
      </c>
      <c r="E2481" t="s">
        <v>437</v>
      </c>
      <c r="F2481" t="s">
        <v>4</v>
      </c>
      <c r="G2481" t="str">
        <f>""</f>
        <v/>
      </c>
    </row>
    <row r="2482" spans="1:7" x14ac:dyDescent="0.25">
      <c r="A2482" t="s">
        <v>8</v>
      </c>
      <c r="B2482" s="1" t="str">
        <f>"000336071 - RICH BREAD &amp; ROLLS-SODEXO"</f>
        <v>000336071 - RICH BREAD &amp; ROLLS-SODEXO</v>
      </c>
      <c r="C2482" t="s">
        <v>141</v>
      </c>
      <c r="D2482" s="1" t="str">
        <f t="shared" si="75"/>
        <v>PRG-1020258</v>
      </c>
      <c r="E2482" t="s">
        <v>437</v>
      </c>
      <c r="F2482" t="s">
        <v>4</v>
      </c>
      <c r="G2482" t="str">
        <f>""</f>
        <v/>
      </c>
    </row>
    <row r="2483" spans="1:7" x14ac:dyDescent="0.25">
      <c r="A2483" t="s">
        <v>8</v>
      </c>
      <c r="B2483" s="1" t="str">
        <f>"000127546 - RICH PROD TEXAS ROADHOUSE"</f>
        <v>000127546 - RICH PROD TEXAS ROADHOUSE</v>
      </c>
      <c r="C2483" t="s">
        <v>920</v>
      </c>
      <c r="D2483" s="1" t="str">
        <f>"PRG-1020365"</f>
        <v>PRG-1020365</v>
      </c>
      <c r="E2483" t="s">
        <v>921</v>
      </c>
      <c r="F2483" t="s">
        <v>4</v>
      </c>
      <c r="G2483" t="str">
        <f>""</f>
        <v/>
      </c>
    </row>
    <row r="2484" spans="1:7" x14ac:dyDescent="0.25">
      <c r="A2484" t="s">
        <v>8</v>
      </c>
      <c r="B2484" s="1" t="str">
        <f>"000132589 - "</f>
        <v xml:space="preserve">000132589 - </v>
      </c>
      <c r="D2484" s="1" t="str">
        <f>"PRG-1020365"</f>
        <v>PRG-1020365</v>
      </c>
      <c r="E2484" t="s">
        <v>921</v>
      </c>
      <c r="F2484" t="s">
        <v>4</v>
      </c>
      <c r="G2484" t="str">
        <f>""</f>
        <v/>
      </c>
    </row>
    <row r="2485" spans="1:7" x14ac:dyDescent="0.25">
      <c r="A2485" t="s">
        <v>8</v>
      </c>
      <c r="B2485" s="1" t="str">
        <f>"000139930 - "</f>
        <v xml:space="preserve">000139930 - </v>
      </c>
      <c r="D2485" s="1" t="str">
        <f>"PRG-1020365"</f>
        <v>PRG-1020365</v>
      </c>
      <c r="E2485" t="s">
        <v>921</v>
      </c>
      <c r="F2485" t="s">
        <v>4</v>
      </c>
      <c r="G2485" t="str">
        <f>""</f>
        <v/>
      </c>
    </row>
    <row r="2486" spans="1:7" x14ac:dyDescent="0.25">
      <c r="A2486" t="s">
        <v>8</v>
      </c>
      <c r="B2486" s="1" t="str">
        <f>"000193804 - RICHS WESTERN SIZZLIN"</f>
        <v>000193804 - RICHS WESTERN SIZZLIN</v>
      </c>
      <c r="C2486" t="s">
        <v>239</v>
      </c>
      <c r="D2486" s="1" t="str">
        <f>"PRG-1020381"</f>
        <v>PRG-1020381</v>
      </c>
      <c r="E2486" t="s">
        <v>1236</v>
      </c>
      <c r="F2486" t="s">
        <v>4</v>
      </c>
      <c r="G2486" t="str">
        <f>""</f>
        <v/>
      </c>
    </row>
    <row r="2487" spans="1:7" x14ac:dyDescent="0.25">
      <c r="A2487" t="s">
        <v>8</v>
      </c>
      <c r="B2487" s="1" t="str">
        <f>"31470693"</f>
        <v>31470693</v>
      </c>
      <c r="C2487" t="s">
        <v>4649</v>
      </c>
      <c r="D2487" s="1" t="str">
        <f>"PRG-1020382"</f>
        <v>PRG-1020382</v>
      </c>
      <c r="E2487" t="s">
        <v>4650</v>
      </c>
      <c r="F2487" t="s">
        <v>5</v>
      </c>
      <c r="G2487" t="str">
        <f>""</f>
        <v/>
      </c>
    </row>
    <row r="2488" spans="1:7" x14ac:dyDescent="0.25">
      <c r="A2488" t="s">
        <v>8</v>
      </c>
      <c r="B2488" s="1" t="str">
        <f>"2000131100 - RICHS FOODS ID-O'ROURKE"</f>
        <v>2000131100 - RICHS FOODS ID-O'ROURKE</v>
      </c>
      <c r="C2488" t="s">
        <v>3846</v>
      </c>
      <c r="D2488" s="1" t="str">
        <f>"PRG-1020401"</f>
        <v>PRG-1020401</v>
      </c>
      <c r="E2488" t="s">
        <v>3847</v>
      </c>
      <c r="F2488" t="s">
        <v>4</v>
      </c>
      <c r="G2488" t="str">
        <f>""</f>
        <v/>
      </c>
    </row>
    <row r="2489" spans="1:7" x14ac:dyDescent="0.25">
      <c r="A2489" t="s">
        <v>8</v>
      </c>
      <c r="B2489" s="1" t="str">
        <f>"31475703"</f>
        <v>31475703</v>
      </c>
      <c r="C2489" t="s">
        <v>4651</v>
      </c>
      <c r="D2489" s="1" t="str">
        <f>"PRG-1020407"</f>
        <v>PRG-1020407</v>
      </c>
      <c r="E2489" t="s">
        <v>4652</v>
      </c>
      <c r="F2489" t="s">
        <v>5</v>
      </c>
      <c r="G2489" t="str">
        <f>""</f>
        <v/>
      </c>
    </row>
    <row r="2490" spans="1:7" x14ac:dyDescent="0.25">
      <c r="A2490" t="s">
        <v>8</v>
      </c>
      <c r="B2490" s="1" t="str">
        <f>"000232910 - RICHS QUIGLEY'S             EB"</f>
        <v>000232910 - RICHS QUIGLEY'S             EB</v>
      </c>
      <c r="C2490" t="s">
        <v>1797</v>
      </c>
      <c r="D2490" s="1" t="str">
        <f>"PRG-1020422"</f>
        <v>PRG-1020422</v>
      </c>
      <c r="E2490" t="s">
        <v>1798</v>
      </c>
      <c r="F2490" t="s">
        <v>4</v>
      </c>
      <c r="G2490" t="str">
        <f>""</f>
        <v/>
      </c>
    </row>
    <row r="2491" spans="1:7" x14ac:dyDescent="0.25">
      <c r="A2491" t="s">
        <v>8</v>
      </c>
      <c r="B2491" s="1" t="str">
        <f>"000260562 - RICHS QUIGLEY'S             EB"</f>
        <v>000260562 - RICHS QUIGLEY'S             EB</v>
      </c>
      <c r="C2491" t="s">
        <v>1797</v>
      </c>
      <c r="D2491" s="1" t="str">
        <f>"PRG-1020422"</f>
        <v>PRG-1020422</v>
      </c>
      <c r="E2491" t="s">
        <v>1798</v>
      </c>
      <c r="F2491" t="s">
        <v>4</v>
      </c>
      <c r="G2491" t="str">
        <f>""</f>
        <v/>
      </c>
    </row>
    <row r="2492" spans="1:7" x14ac:dyDescent="0.25">
      <c r="A2492" t="s">
        <v>8</v>
      </c>
      <c r="B2492" s="1" t="str">
        <f>"000271881 - RICH'S QUIGLEY'S GENERAL"</f>
        <v>000271881 - RICH'S QUIGLEY'S GENERAL</v>
      </c>
      <c r="C2492" t="s">
        <v>2495</v>
      </c>
      <c r="D2492" s="1" t="str">
        <f>"PRG-1020422"</f>
        <v>PRG-1020422</v>
      </c>
      <c r="E2492" t="s">
        <v>1798</v>
      </c>
      <c r="F2492" t="s">
        <v>4</v>
      </c>
      <c r="G2492" t="str">
        <f>""</f>
        <v/>
      </c>
    </row>
    <row r="2493" spans="1:7" x14ac:dyDescent="0.25">
      <c r="A2493" t="s">
        <v>8</v>
      </c>
      <c r="B2493" s="1" t="str">
        <f>"000232906 - RICHS HASTI-MART            EB"</f>
        <v>000232906 - RICHS HASTI-MART            EB</v>
      </c>
      <c r="C2493" t="s">
        <v>1795</v>
      </c>
      <c r="D2493" s="1" t="str">
        <f>"PRG-1020423"</f>
        <v>PRG-1020423</v>
      </c>
      <c r="E2493" t="s">
        <v>1796</v>
      </c>
      <c r="F2493" t="s">
        <v>4</v>
      </c>
      <c r="G2493" t="str">
        <f>""</f>
        <v/>
      </c>
    </row>
    <row r="2494" spans="1:7" x14ac:dyDescent="0.25">
      <c r="A2494" t="s">
        <v>8</v>
      </c>
      <c r="B2494" s="1" t="str">
        <f>"000260561 - RICHS HASTI-MART            EB"</f>
        <v>000260561 - RICHS HASTI-MART            EB</v>
      </c>
      <c r="C2494" t="s">
        <v>1795</v>
      </c>
      <c r="D2494" s="1" t="str">
        <f>"PRG-1020423"</f>
        <v>PRG-1020423</v>
      </c>
      <c r="E2494" t="s">
        <v>1796</v>
      </c>
      <c r="F2494" t="s">
        <v>4</v>
      </c>
      <c r="G2494" t="str">
        <f>""</f>
        <v/>
      </c>
    </row>
    <row r="2495" spans="1:7" x14ac:dyDescent="0.25">
      <c r="A2495" t="s">
        <v>8</v>
      </c>
      <c r="B2495" s="1" t="str">
        <f>"000114833 - RICH FOODS NORTL-COLD STONE"</f>
        <v>000114833 - RICH FOODS NORTL-COLD STONE</v>
      </c>
      <c r="C2495" t="s">
        <v>110</v>
      </c>
      <c r="D2495" s="1" t="str">
        <f t="shared" ref="D2495:D2504" si="76">"PRG-1020432"</f>
        <v>PRG-1020432</v>
      </c>
      <c r="E2495" t="s">
        <v>859</v>
      </c>
      <c r="F2495" t="s">
        <v>4</v>
      </c>
      <c r="G2495" t="str">
        <f>""</f>
        <v/>
      </c>
    </row>
    <row r="2496" spans="1:7" x14ac:dyDescent="0.25">
      <c r="A2496" t="s">
        <v>8</v>
      </c>
      <c r="B2496" s="1" t="str">
        <f>"000182868 - BB COLDSTONE FOB RICH"</f>
        <v>000182868 - BB COLDSTONE FOB RICH</v>
      </c>
      <c r="C2496" t="s">
        <v>1156</v>
      </c>
      <c r="D2496" s="1" t="str">
        <f t="shared" si="76"/>
        <v>PRG-1020432</v>
      </c>
      <c r="E2496" t="s">
        <v>859</v>
      </c>
      <c r="F2496" t="s">
        <v>4</v>
      </c>
      <c r="G2496" t="str">
        <f>""</f>
        <v/>
      </c>
    </row>
    <row r="2497" spans="1:7" x14ac:dyDescent="0.25">
      <c r="A2497" t="s">
        <v>8</v>
      </c>
      <c r="B2497" s="1" t="str">
        <f>"000204710 - RICH FOODS NORTL-COLD STONE"</f>
        <v>000204710 - RICH FOODS NORTL-COLD STONE</v>
      </c>
      <c r="C2497" t="s">
        <v>110</v>
      </c>
      <c r="D2497" s="1" t="str">
        <f t="shared" si="76"/>
        <v>PRG-1020432</v>
      </c>
      <c r="E2497" t="s">
        <v>859</v>
      </c>
      <c r="F2497" t="s">
        <v>4</v>
      </c>
      <c r="G2497" t="str">
        <f>""</f>
        <v/>
      </c>
    </row>
    <row r="2498" spans="1:7" x14ac:dyDescent="0.25">
      <c r="A2498" t="s">
        <v>8</v>
      </c>
      <c r="B2498" s="1" t="str">
        <f>"000214135 - RICH FOODS NORTL-COLD STONE"</f>
        <v>000214135 - RICH FOODS NORTL-COLD STONE</v>
      </c>
      <c r="C2498" t="s">
        <v>110</v>
      </c>
      <c r="D2498" s="1" t="str">
        <f t="shared" si="76"/>
        <v>PRG-1020432</v>
      </c>
      <c r="E2498" t="s">
        <v>859</v>
      </c>
      <c r="F2498" t="s">
        <v>4</v>
      </c>
      <c r="G2498" t="str">
        <f>""</f>
        <v/>
      </c>
    </row>
    <row r="2499" spans="1:7" x14ac:dyDescent="0.25">
      <c r="A2499" t="s">
        <v>8</v>
      </c>
      <c r="B2499" s="1" t="str">
        <f>"000218634 - RICH FOODS NORTL-COLD STONE"</f>
        <v>000218634 - RICH FOODS NORTL-COLD STONE</v>
      </c>
      <c r="C2499" t="s">
        <v>110</v>
      </c>
      <c r="D2499" s="1" t="str">
        <f t="shared" si="76"/>
        <v>PRG-1020432</v>
      </c>
      <c r="E2499" t="s">
        <v>859</v>
      </c>
      <c r="F2499" t="s">
        <v>4</v>
      </c>
      <c r="G2499" t="str">
        <f>""</f>
        <v/>
      </c>
    </row>
    <row r="2500" spans="1:7" x14ac:dyDescent="0.25">
      <c r="A2500" t="s">
        <v>8</v>
      </c>
      <c r="B2500" s="1" t="str">
        <f>"000229879 - RICH FOODS NORTL-COLD STONE"</f>
        <v>000229879 - RICH FOODS NORTL-COLD STONE</v>
      </c>
      <c r="C2500" t="s">
        <v>110</v>
      </c>
      <c r="D2500" s="1" t="str">
        <f t="shared" si="76"/>
        <v>PRG-1020432</v>
      </c>
      <c r="E2500" t="s">
        <v>859</v>
      </c>
      <c r="F2500" t="s">
        <v>4</v>
      </c>
      <c r="G2500" t="str">
        <f>""</f>
        <v/>
      </c>
    </row>
    <row r="2501" spans="1:7" x14ac:dyDescent="0.25">
      <c r="A2501" t="s">
        <v>8</v>
      </c>
      <c r="B2501" s="1" t="str">
        <f>"000261365 - RICH FOODS NORTL-COLD STONE"</f>
        <v>000261365 - RICH FOODS NORTL-COLD STONE</v>
      </c>
      <c r="C2501" t="s">
        <v>110</v>
      </c>
      <c r="D2501" s="1" t="str">
        <f t="shared" si="76"/>
        <v>PRG-1020432</v>
      </c>
      <c r="E2501" t="s">
        <v>859</v>
      </c>
      <c r="F2501" t="s">
        <v>4</v>
      </c>
      <c r="G2501" t="str">
        <f>""</f>
        <v/>
      </c>
    </row>
    <row r="2502" spans="1:7" x14ac:dyDescent="0.25">
      <c r="A2502" t="s">
        <v>8</v>
      </c>
      <c r="B2502" s="1" t="str">
        <f>"000279927 - RICH FOODS NORTL-COLD STONE"</f>
        <v>000279927 - RICH FOODS NORTL-COLD STONE</v>
      </c>
      <c r="C2502" t="s">
        <v>110</v>
      </c>
      <c r="D2502" s="1" t="str">
        <f t="shared" si="76"/>
        <v>PRG-1020432</v>
      </c>
      <c r="E2502" t="s">
        <v>859</v>
      </c>
      <c r="F2502" t="s">
        <v>4</v>
      </c>
      <c r="G2502" t="str">
        <f>""</f>
        <v/>
      </c>
    </row>
    <row r="2503" spans="1:7" x14ac:dyDescent="0.25">
      <c r="A2503" t="s">
        <v>8</v>
      </c>
      <c r="B2503" s="1" t="str">
        <f>"000290381 - RICH FOODS NORTL-COLD STONE"</f>
        <v>000290381 - RICH FOODS NORTL-COLD STONE</v>
      </c>
      <c r="C2503" t="s">
        <v>110</v>
      </c>
      <c r="D2503" s="1" t="str">
        <f t="shared" si="76"/>
        <v>PRG-1020432</v>
      </c>
      <c r="E2503" t="s">
        <v>859</v>
      </c>
      <c r="F2503" t="s">
        <v>4</v>
      </c>
      <c r="G2503" t="str">
        <f>""</f>
        <v/>
      </c>
    </row>
    <row r="2504" spans="1:7" x14ac:dyDescent="0.25">
      <c r="A2504" t="s">
        <v>8</v>
      </c>
      <c r="B2504" s="1" t="str">
        <f>"000327472 - RICH FOODS NORTL-COLD STONE"</f>
        <v>000327472 - RICH FOODS NORTL-COLD STONE</v>
      </c>
      <c r="C2504" t="s">
        <v>110</v>
      </c>
      <c r="D2504" s="1" t="str">
        <f t="shared" si="76"/>
        <v>PRG-1020432</v>
      </c>
      <c r="E2504" t="s">
        <v>859</v>
      </c>
      <c r="F2504" t="s">
        <v>4</v>
      </c>
      <c r="G2504" t="str">
        <f>""</f>
        <v/>
      </c>
    </row>
    <row r="2505" spans="1:7" x14ac:dyDescent="0.25">
      <c r="A2505" t="s">
        <v>8</v>
      </c>
      <c r="B2505" s="1" t="str">
        <f>"000114843 - CASA DI BERTACCHI-SODEXO"</f>
        <v>000114843 - CASA DI BERTACCHI-SODEXO</v>
      </c>
      <c r="C2505" t="s">
        <v>378</v>
      </c>
      <c r="D2505" s="1" t="str">
        <f t="shared" ref="D2505:D2511" si="77">"PRG-1020434"</f>
        <v>PRG-1020434</v>
      </c>
      <c r="E2505" t="s">
        <v>36</v>
      </c>
      <c r="F2505" t="s">
        <v>4</v>
      </c>
      <c r="G2505" t="str">
        <f>""</f>
        <v/>
      </c>
    </row>
    <row r="2506" spans="1:7" x14ac:dyDescent="0.25">
      <c r="A2506" t="s">
        <v>8</v>
      </c>
      <c r="B2506" s="1" t="str">
        <f>"000199781 - CASA DI BERTACCHI-SODEXO"</f>
        <v>000199781 - CASA DI BERTACCHI-SODEXO</v>
      </c>
      <c r="C2506" t="s">
        <v>378</v>
      </c>
      <c r="D2506" s="1" t="str">
        <f t="shared" si="77"/>
        <v>PRG-1020434</v>
      </c>
      <c r="E2506" t="s">
        <v>36</v>
      </c>
      <c r="F2506" t="s">
        <v>4</v>
      </c>
      <c r="G2506" t="str">
        <f>""</f>
        <v/>
      </c>
    </row>
    <row r="2507" spans="1:7" x14ac:dyDescent="0.25">
      <c r="A2507" t="s">
        <v>8</v>
      </c>
      <c r="B2507" s="1" t="str">
        <f>"000204723 - CASA DI BERTACCHI-SODEXO"</f>
        <v>000204723 - CASA DI BERTACCHI-SODEXO</v>
      </c>
      <c r="C2507" t="s">
        <v>378</v>
      </c>
      <c r="D2507" s="1" t="str">
        <f t="shared" si="77"/>
        <v>PRG-1020434</v>
      </c>
      <c r="E2507" t="s">
        <v>36</v>
      </c>
      <c r="F2507" t="s">
        <v>4</v>
      </c>
      <c r="G2507" t="str">
        <f>""</f>
        <v/>
      </c>
    </row>
    <row r="2508" spans="1:7" x14ac:dyDescent="0.25">
      <c r="A2508" t="s">
        <v>8</v>
      </c>
      <c r="B2508" s="1" t="str">
        <f>"000214146 - CASA DI BERTACCHI-SODEXO"</f>
        <v>000214146 - CASA DI BERTACCHI-SODEXO</v>
      </c>
      <c r="C2508" t="s">
        <v>378</v>
      </c>
      <c r="D2508" s="1" t="str">
        <f t="shared" si="77"/>
        <v>PRG-1020434</v>
      </c>
      <c r="E2508" t="s">
        <v>36</v>
      </c>
      <c r="F2508" t="s">
        <v>4</v>
      </c>
      <c r="G2508" t="str">
        <f>""</f>
        <v/>
      </c>
    </row>
    <row r="2509" spans="1:7" x14ac:dyDescent="0.25">
      <c r="A2509" t="s">
        <v>8</v>
      </c>
      <c r="B2509" s="1" t="str">
        <f>"000260630 - CASA DI BERTACCHI-SODEXO"</f>
        <v>000260630 - CASA DI BERTACCHI-SODEXO</v>
      </c>
      <c r="C2509" t="s">
        <v>378</v>
      </c>
      <c r="D2509" s="1" t="str">
        <f t="shared" si="77"/>
        <v>PRG-1020434</v>
      </c>
      <c r="E2509" t="s">
        <v>36</v>
      </c>
      <c r="F2509" t="s">
        <v>4</v>
      </c>
      <c r="G2509" t="str">
        <f>""</f>
        <v/>
      </c>
    </row>
    <row r="2510" spans="1:7" x14ac:dyDescent="0.25">
      <c r="A2510" t="s">
        <v>8</v>
      </c>
      <c r="B2510" s="1" t="str">
        <f>"000269081 - CASA DI BERTACCHI-SODEXO"</f>
        <v>000269081 - CASA DI BERTACCHI-SODEXO</v>
      </c>
      <c r="C2510" t="s">
        <v>378</v>
      </c>
      <c r="D2510" s="1" t="str">
        <f t="shared" si="77"/>
        <v>PRG-1020434</v>
      </c>
      <c r="E2510" t="s">
        <v>36</v>
      </c>
      <c r="F2510" t="s">
        <v>4</v>
      </c>
      <c r="G2510" t="str">
        <f>""</f>
        <v/>
      </c>
    </row>
    <row r="2511" spans="1:7" x14ac:dyDescent="0.25">
      <c r="A2511" t="s">
        <v>8</v>
      </c>
      <c r="B2511" s="1" t="str">
        <f>"000269390 - CASA DI BERTACCHI-SODEXO"</f>
        <v>000269390 - CASA DI BERTACCHI-SODEXO</v>
      </c>
      <c r="C2511" t="s">
        <v>378</v>
      </c>
      <c r="D2511" s="1" t="str">
        <f t="shared" si="77"/>
        <v>PRG-1020434</v>
      </c>
      <c r="E2511" t="s">
        <v>36</v>
      </c>
      <c r="F2511" t="s">
        <v>4</v>
      </c>
      <c r="G2511" t="str">
        <f>""</f>
        <v/>
      </c>
    </row>
    <row r="2512" spans="1:7" x14ac:dyDescent="0.25">
      <c r="A2512" t="s">
        <v>8</v>
      </c>
      <c r="B2512" s="1" t="str">
        <f>"2370F587"</f>
        <v>2370F587</v>
      </c>
      <c r="C2512" t="s">
        <v>4562</v>
      </c>
      <c r="D2512" s="1" t="str">
        <f>"PRG-1020440"</f>
        <v>PRG-1020440</v>
      </c>
      <c r="E2512" t="s">
        <v>4563</v>
      </c>
      <c r="F2512" t="s">
        <v>5</v>
      </c>
      <c r="G2512" t="str">
        <f>""</f>
        <v/>
      </c>
    </row>
    <row r="2513" spans="1:7" x14ac:dyDescent="0.25">
      <c r="A2513" t="s">
        <v>8</v>
      </c>
      <c r="B2513" s="1" t="str">
        <f>"3150A255"</f>
        <v>3150A255</v>
      </c>
      <c r="C2513" t="s">
        <v>4662</v>
      </c>
      <c r="D2513" s="1" t="str">
        <f>"PRG-1020440"</f>
        <v>PRG-1020440</v>
      </c>
      <c r="E2513" t="s">
        <v>4563</v>
      </c>
      <c r="F2513" t="s">
        <v>5</v>
      </c>
      <c r="G2513" t="str">
        <f>""</f>
        <v/>
      </c>
    </row>
    <row r="2514" spans="1:7" x14ac:dyDescent="0.25">
      <c r="A2514" t="s">
        <v>8</v>
      </c>
      <c r="B2514" s="1" t="str">
        <f>"31705026"</f>
        <v>31705026</v>
      </c>
      <c r="C2514" t="s">
        <v>4702</v>
      </c>
      <c r="D2514" s="1" t="str">
        <f>"PRG-1020440"</f>
        <v>PRG-1020440</v>
      </c>
      <c r="E2514" t="s">
        <v>4563</v>
      </c>
      <c r="F2514" t="s">
        <v>5</v>
      </c>
      <c r="G2514" t="str">
        <f>""</f>
        <v/>
      </c>
    </row>
    <row r="2515" spans="1:7" x14ac:dyDescent="0.25">
      <c r="A2515" t="s">
        <v>8</v>
      </c>
      <c r="B2515" s="1" t="str">
        <f>"32304918"</f>
        <v>32304918</v>
      </c>
      <c r="C2515" t="s">
        <v>4662</v>
      </c>
      <c r="D2515" s="1" t="str">
        <f>"PRG-1020440"</f>
        <v>PRG-1020440</v>
      </c>
      <c r="E2515" t="s">
        <v>4563</v>
      </c>
      <c r="F2515" t="s">
        <v>5</v>
      </c>
      <c r="G2515" t="str">
        <f>""</f>
        <v/>
      </c>
    </row>
    <row r="2516" spans="1:7" x14ac:dyDescent="0.25">
      <c r="A2516" t="s">
        <v>8</v>
      </c>
      <c r="B2516" s="1" t="str">
        <f>"3126A996"</f>
        <v>3126A996</v>
      </c>
      <c r="C2516" t="s">
        <v>4622</v>
      </c>
      <c r="D2516" s="1" t="str">
        <f>"PRG-1020441"</f>
        <v>PRG-1020441</v>
      </c>
      <c r="E2516" t="s">
        <v>4623</v>
      </c>
      <c r="F2516" t="s">
        <v>5</v>
      </c>
      <c r="G2516" t="str">
        <f>""</f>
        <v/>
      </c>
    </row>
    <row r="2517" spans="1:7" x14ac:dyDescent="0.25">
      <c r="A2517" t="s">
        <v>8</v>
      </c>
      <c r="B2517" s="1" t="str">
        <f>"000270585 - RICH-AFM MELS DINER"</f>
        <v>000270585 - RICH-AFM MELS DINER</v>
      </c>
      <c r="C2517" t="s">
        <v>2470</v>
      </c>
      <c r="D2517" s="1" t="str">
        <f>"PRG-1020447"</f>
        <v>PRG-1020447</v>
      </c>
      <c r="E2517" t="s">
        <v>2471</v>
      </c>
      <c r="F2517" t="s">
        <v>4</v>
      </c>
      <c r="G2517" t="str">
        <f>""</f>
        <v/>
      </c>
    </row>
    <row r="2518" spans="1:7" x14ac:dyDescent="0.25">
      <c r="A2518" t="s">
        <v>8</v>
      </c>
      <c r="B2518" s="1" t="str">
        <f>"000192760 - RICH'S - HOULIHAN'S"</f>
        <v>000192760 - RICH'S - HOULIHAN'S</v>
      </c>
      <c r="C2518" t="s">
        <v>1224</v>
      </c>
      <c r="D2518" s="1" t="str">
        <f>"PRG-1020485"</f>
        <v>PRG-1020485</v>
      </c>
      <c r="E2518" t="s">
        <v>1225</v>
      </c>
      <c r="F2518" t="s">
        <v>4</v>
      </c>
      <c r="G2518" t="str">
        <f>""</f>
        <v/>
      </c>
    </row>
    <row r="2519" spans="1:7" x14ac:dyDescent="0.25">
      <c r="A2519" t="s">
        <v>8</v>
      </c>
      <c r="B2519" s="1" t="str">
        <f>"000284546 - RICH HOULIHAN'S"</f>
        <v>000284546 - RICH HOULIHAN'S</v>
      </c>
      <c r="C2519" t="s">
        <v>2707</v>
      </c>
      <c r="D2519" s="1" t="str">
        <f>"PRG-1020485"</f>
        <v>PRG-1020485</v>
      </c>
      <c r="E2519" t="s">
        <v>1225</v>
      </c>
      <c r="F2519" t="s">
        <v>4</v>
      </c>
      <c r="G2519" t="str">
        <f>""</f>
        <v/>
      </c>
    </row>
    <row r="2520" spans="1:7" x14ac:dyDescent="0.25">
      <c r="A2520" t="s">
        <v>8</v>
      </c>
      <c r="B2520" s="1" t="str">
        <f>"000271236 - RICH PRODUCTS SPRING FOOD"</f>
        <v>000271236 - RICH PRODUCTS SPRING FOOD</v>
      </c>
      <c r="C2520" t="s">
        <v>2486</v>
      </c>
      <c r="D2520" s="1" t="str">
        <f>"PRG-1020492"</f>
        <v>PRG-1020492</v>
      </c>
      <c r="E2520" t="s">
        <v>2487</v>
      </c>
      <c r="F2520" t="s">
        <v>4</v>
      </c>
      <c r="G2520" t="str">
        <f>""</f>
        <v/>
      </c>
    </row>
    <row r="2521" spans="1:7" x14ac:dyDescent="0.25">
      <c r="A2521" t="s">
        <v>8</v>
      </c>
      <c r="B2521" s="1" t="str">
        <f>"000293402 - "</f>
        <v xml:space="preserve">000293402 - </v>
      </c>
      <c r="D2521" s="1" t="str">
        <f>"PRG-1020492"</f>
        <v>PRG-1020492</v>
      </c>
      <c r="E2521" t="s">
        <v>2487</v>
      </c>
      <c r="F2521" t="s">
        <v>4</v>
      </c>
      <c r="G2521" t="str">
        <f>""</f>
        <v/>
      </c>
    </row>
    <row r="2522" spans="1:7" x14ac:dyDescent="0.25">
      <c r="A2522" t="s">
        <v>8</v>
      </c>
      <c r="B2522" s="1" t="str">
        <f>"3055B734"</f>
        <v>3055B734</v>
      </c>
      <c r="C2522" t="s">
        <v>4587</v>
      </c>
      <c r="D2522" s="1" t="str">
        <f>"PRG-1020492"</f>
        <v>PRG-1020492</v>
      </c>
      <c r="E2522" t="s">
        <v>2487</v>
      </c>
      <c r="F2522" t="s">
        <v>5</v>
      </c>
      <c r="G2522" t="str">
        <f>""</f>
        <v/>
      </c>
    </row>
    <row r="2523" spans="1:7" x14ac:dyDescent="0.25">
      <c r="A2523" t="s">
        <v>8</v>
      </c>
      <c r="B2523" s="1" t="str">
        <f>"000079656 - RICH PAPAS PIZZA"</f>
        <v>000079656 - RICH PAPAS PIZZA</v>
      </c>
      <c r="C2523" t="s">
        <v>754</v>
      </c>
      <c r="D2523" s="1" t="str">
        <f>"PRG-1020533"</f>
        <v>PRG-1020533</v>
      </c>
      <c r="E2523" t="s">
        <v>755</v>
      </c>
      <c r="F2523" t="s">
        <v>4</v>
      </c>
      <c r="G2523" t="str">
        <f>""</f>
        <v/>
      </c>
    </row>
    <row r="2524" spans="1:7" x14ac:dyDescent="0.25">
      <c r="A2524" t="s">
        <v>8</v>
      </c>
      <c r="B2524" s="1" t="str">
        <f>"000097516 - RICH PAPAS PIZZA"</f>
        <v>000097516 - RICH PAPAS PIZZA</v>
      </c>
      <c r="C2524" t="s">
        <v>754</v>
      </c>
      <c r="D2524" s="1" t="str">
        <f>"PRG-1020533"</f>
        <v>PRG-1020533</v>
      </c>
      <c r="E2524" t="s">
        <v>755</v>
      </c>
      <c r="F2524" t="s">
        <v>4</v>
      </c>
      <c r="G2524" t="str">
        <f>""</f>
        <v/>
      </c>
    </row>
    <row r="2525" spans="1:7" x14ac:dyDescent="0.25">
      <c r="A2525" t="s">
        <v>8</v>
      </c>
      <c r="B2525" s="1" t="str">
        <f>"000128178 - RICH'S   PAPA'S PIZZA DC"</f>
        <v>000128178 - RICH'S   PAPA'S PIZZA DC</v>
      </c>
      <c r="C2525" t="s">
        <v>927</v>
      </c>
      <c r="D2525" s="1" t="str">
        <f>"PRG-1020533"</f>
        <v>PRG-1020533</v>
      </c>
      <c r="E2525" t="s">
        <v>755</v>
      </c>
      <c r="F2525" t="s">
        <v>4</v>
      </c>
      <c r="G2525" t="str">
        <f>""</f>
        <v/>
      </c>
    </row>
    <row r="2526" spans="1:7" x14ac:dyDescent="0.25">
      <c r="A2526" t="s">
        <v>8</v>
      </c>
      <c r="B2526" s="1" t="str">
        <f>"000130084 - RICHS   PAPA'S PIZZA DC"</f>
        <v>000130084 - RICHS   PAPA'S PIZZA DC</v>
      </c>
      <c r="C2526" t="s">
        <v>935</v>
      </c>
      <c r="D2526" s="1" t="str">
        <f>"PRG-1020533"</f>
        <v>PRG-1020533</v>
      </c>
      <c r="E2526" t="s">
        <v>755</v>
      </c>
      <c r="F2526" t="s">
        <v>4</v>
      </c>
      <c r="G2526" t="str">
        <f>""</f>
        <v/>
      </c>
    </row>
    <row r="2527" spans="1:7" x14ac:dyDescent="0.25">
      <c r="A2527" t="s">
        <v>8</v>
      </c>
      <c r="B2527" s="1" t="str">
        <f>"000315156 - RICH CALIFORNIA'S GREAT AMERIC"</f>
        <v>000315156 - RICH CALIFORNIA'S GREAT AMERIC</v>
      </c>
      <c r="C2527" t="s">
        <v>3167</v>
      </c>
      <c r="D2527" s="1" t="str">
        <f>"PRG-1020646"</f>
        <v>PRG-1020646</v>
      </c>
      <c r="E2527" t="s">
        <v>3168</v>
      </c>
      <c r="F2527" t="s">
        <v>4</v>
      </c>
      <c r="G2527" t="str">
        <f>""</f>
        <v/>
      </c>
    </row>
    <row r="2528" spans="1:7" x14ac:dyDescent="0.25">
      <c r="A2528" t="s">
        <v>8</v>
      </c>
      <c r="B2528" s="1" t="str">
        <f>"4117A562"</f>
        <v>4117A562</v>
      </c>
      <c r="C2528" t="s">
        <v>4961</v>
      </c>
      <c r="D2528" s="1" t="str">
        <f>"PRG-1020646"</f>
        <v>PRG-1020646</v>
      </c>
      <c r="E2528" t="s">
        <v>3168</v>
      </c>
      <c r="F2528" t="s">
        <v>5</v>
      </c>
      <c r="G2528" t="str">
        <f>""</f>
        <v/>
      </c>
    </row>
    <row r="2529" spans="1:7" x14ac:dyDescent="0.25">
      <c r="A2529" t="s">
        <v>8</v>
      </c>
      <c r="B2529" s="1" t="str">
        <f>"000321622 - RICH PROD BUFFALO CAFE"</f>
        <v>000321622 - RICH PROD BUFFALO CAFE</v>
      </c>
      <c r="C2529" t="s">
        <v>3247</v>
      </c>
      <c r="D2529" s="1" t="str">
        <f>"PRG-1020656"</f>
        <v>PRG-1020656</v>
      </c>
      <c r="E2529" t="s">
        <v>3248</v>
      </c>
      <c r="F2529" t="s">
        <v>4</v>
      </c>
      <c r="G2529" t="str">
        <f>""</f>
        <v/>
      </c>
    </row>
    <row r="2530" spans="1:7" x14ac:dyDescent="0.25">
      <c r="A2530" t="s">
        <v>8</v>
      </c>
      <c r="B2530" s="1" t="str">
        <f>"000336648 - RICH PROD BUFFALO CAFE"</f>
        <v>000336648 - RICH PROD BUFFALO CAFE</v>
      </c>
      <c r="C2530" t="s">
        <v>3247</v>
      </c>
      <c r="D2530" s="1" t="str">
        <f>"PRG-1020656"</f>
        <v>PRG-1020656</v>
      </c>
      <c r="E2530" t="s">
        <v>3248</v>
      </c>
      <c r="F2530" t="s">
        <v>4</v>
      </c>
      <c r="G2530" t="str">
        <f>""</f>
        <v/>
      </c>
    </row>
    <row r="2531" spans="1:7" x14ac:dyDescent="0.25">
      <c r="A2531" t="s">
        <v>8</v>
      </c>
      <c r="B2531" s="1" t="str">
        <f>"000350898 - "</f>
        <v xml:space="preserve">000350898 - </v>
      </c>
      <c r="D2531" s="1" t="str">
        <f>"PRG-1020656"</f>
        <v>PRG-1020656</v>
      </c>
      <c r="E2531" t="s">
        <v>3248</v>
      </c>
      <c r="F2531" t="s">
        <v>4</v>
      </c>
      <c r="G2531" t="str">
        <f>""</f>
        <v/>
      </c>
    </row>
    <row r="2532" spans="1:7" x14ac:dyDescent="0.25">
      <c r="A2532" t="s">
        <v>8</v>
      </c>
      <c r="B2532" s="1" t="str">
        <f>"000377966 - RICH PROD FATBURGER-BUFFALO"</f>
        <v>000377966 - RICH PROD FATBURGER-BUFFALO</v>
      </c>
      <c r="C2532" t="s">
        <v>3648</v>
      </c>
      <c r="D2532" s="1" t="str">
        <f>"PRG-1020656"</f>
        <v>PRG-1020656</v>
      </c>
      <c r="E2532" t="s">
        <v>3248</v>
      </c>
      <c r="F2532" t="s">
        <v>4</v>
      </c>
      <c r="G2532" t="str">
        <f>""</f>
        <v/>
      </c>
    </row>
    <row r="2533" spans="1:7" x14ac:dyDescent="0.25">
      <c r="A2533" t="s">
        <v>8</v>
      </c>
      <c r="B2533" s="1" t="str">
        <f>"000264384 - RICHS AAFED AAFESSEA"</f>
        <v>000264384 - RICHS AAFED AAFESSEA</v>
      </c>
      <c r="C2533" t="s">
        <v>2365</v>
      </c>
      <c r="D2533" s="1" t="str">
        <f>"PRG-1020697"</f>
        <v>PRG-1020697</v>
      </c>
      <c r="E2533" t="s">
        <v>2366</v>
      </c>
      <c r="F2533" t="s">
        <v>4</v>
      </c>
      <c r="G2533" t="str">
        <f>""</f>
        <v/>
      </c>
    </row>
    <row r="2534" spans="1:7" x14ac:dyDescent="0.25">
      <c r="A2534" t="s">
        <v>8</v>
      </c>
      <c r="B2534" s="1" t="str">
        <f>"000118694 - RICH PRODUCTS-DOD NAPA"</f>
        <v>000118694 - RICH PRODUCTS-DOD NAPA</v>
      </c>
      <c r="C2534" t="s">
        <v>11</v>
      </c>
      <c r="D2534" s="1" t="str">
        <f>"PRG-1020698"</f>
        <v>PRG-1020698</v>
      </c>
      <c r="E2534" t="s">
        <v>876</v>
      </c>
      <c r="F2534" t="s">
        <v>4</v>
      </c>
      <c r="G2534" t="str">
        <f>""</f>
        <v/>
      </c>
    </row>
    <row r="2535" spans="1:7" x14ac:dyDescent="0.25">
      <c r="A2535" t="s">
        <v>8</v>
      </c>
      <c r="B2535" s="1" t="str">
        <f>"000224901 - 0262 RICH NAPA"</f>
        <v>000224901 - 0262 RICH NAPA</v>
      </c>
      <c r="C2535" t="s">
        <v>1665</v>
      </c>
      <c r="D2535" s="1" t="str">
        <f>"PRG-1020698"</f>
        <v>PRG-1020698</v>
      </c>
      <c r="E2535" t="s">
        <v>876</v>
      </c>
      <c r="F2535" t="s">
        <v>4</v>
      </c>
      <c r="G2535" t="str">
        <f>""</f>
        <v/>
      </c>
    </row>
    <row r="2536" spans="1:7" x14ac:dyDescent="0.25">
      <c r="A2536" t="s">
        <v>8</v>
      </c>
      <c r="B2536" s="1" t="str">
        <f>"000266692 - RICH DOD NAPA 0262"</f>
        <v>000266692 - RICH DOD NAPA 0262</v>
      </c>
      <c r="C2536" t="s">
        <v>2413</v>
      </c>
      <c r="D2536" s="1" t="str">
        <f>"PRG-1020698"</f>
        <v>PRG-1020698</v>
      </c>
      <c r="E2536" t="s">
        <v>876</v>
      </c>
      <c r="F2536" t="s">
        <v>4</v>
      </c>
      <c r="G2536" t="str">
        <f>""</f>
        <v/>
      </c>
    </row>
    <row r="2537" spans="1:7" x14ac:dyDescent="0.25">
      <c r="A2537" t="s">
        <v>8</v>
      </c>
      <c r="B2537" s="1" t="str">
        <f>"2340A514"</f>
        <v>2340A514</v>
      </c>
      <c r="C2537" t="s">
        <v>4495</v>
      </c>
      <c r="D2537" s="1" t="str">
        <f>"PRG-1020782"</f>
        <v>PRG-1020782</v>
      </c>
      <c r="E2537" t="s">
        <v>4496</v>
      </c>
      <c r="F2537" t="s">
        <v>5</v>
      </c>
      <c r="G2537" t="str">
        <f>""</f>
        <v/>
      </c>
    </row>
    <row r="2538" spans="1:7" x14ac:dyDescent="0.25">
      <c r="A2538" t="s">
        <v>8</v>
      </c>
      <c r="B2538" s="1" t="str">
        <f>"2350G392"</f>
        <v>2350G392</v>
      </c>
      <c r="C2538" t="s">
        <v>4535</v>
      </c>
      <c r="D2538" s="1" t="str">
        <f>"PRG-1020782"</f>
        <v>PRG-1020782</v>
      </c>
      <c r="E2538" t="s">
        <v>4496</v>
      </c>
      <c r="F2538" t="s">
        <v>5</v>
      </c>
      <c r="G2538" t="str">
        <f>""</f>
        <v/>
      </c>
    </row>
    <row r="2539" spans="1:7" x14ac:dyDescent="0.25">
      <c r="A2539" t="s">
        <v>8</v>
      </c>
      <c r="B2539" s="1" t="str">
        <f>"3147B369"</f>
        <v>3147B369</v>
      </c>
      <c r="C2539" t="s">
        <v>4656</v>
      </c>
      <c r="D2539" s="1" t="str">
        <f>"PRG-1020782"</f>
        <v>PRG-1020782</v>
      </c>
      <c r="E2539" t="s">
        <v>4496</v>
      </c>
      <c r="F2539" t="s">
        <v>5</v>
      </c>
      <c r="G2539" t="str">
        <f>""</f>
        <v/>
      </c>
    </row>
    <row r="2540" spans="1:7" x14ac:dyDescent="0.25">
      <c r="A2540" t="s">
        <v>8</v>
      </c>
      <c r="B2540" s="1" t="str">
        <f>"4147B537"</f>
        <v>4147B537</v>
      </c>
      <c r="C2540" t="s">
        <v>5007</v>
      </c>
      <c r="D2540" s="1" t="str">
        <f>"PRG-1020782"</f>
        <v>PRG-1020782</v>
      </c>
      <c r="E2540" t="s">
        <v>4496</v>
      </c>
      <c r="F2540" t="s">
        <v>5</v>
      </c>
      <c r="G2540" t="str">
        <f>""</f>
        <v/>
      </c>
    </row>
    <row r="2541" spans="1:7" x14ac:dyDescent="0.25">
      <c r="A2541" t="s">
        <v>8</v>
      </c>
      <c r="B2541" s="1" t="str">
        <f>"000129306 - RICH PROD. SANTORO"</f>
        <v>000129306 - RICH PROD. SANTORO</v>
      </c>
      <c r="C2541" t="s">
        <v>930</v>
      </c>
      <c r="D2541" s="1" t="str">
        <f>"PRG-1020807"</f>
        <v>PRG-1020807</v>
      </c>
      <c r="E2541" t="s">
        <v>931</v>
      </c>
      <c r="F2541" t="s">
        <v>4</v>
      </c>
      <c r="G2541" t="str">
        <f>""</f>
        <v/>
      </c>
    </row>
    <row r="2542" spans="1:7" x14ac:dyDescent="0.25">
      <c r="A2542" t="s">
        <v>8</v>
      </c>
      <c r="B2542" s="1" t="str">
        <f>"2330A777"</f>
        <v>2330A777</v>
      </c>
      <c r="C2542" t="s">
        <v>4491</v>
      </c>
      <c r="D2542" s="1" t="str">
        <f>"PRG-1020811"</f>
        <v>PRG-1020811</v>
      </c>
      <c r="E2542" t="s">
        <v>4492</v>
      </c>
      <c r="F2542" t="s">
        <v>5</v>
      </c>
      <c r="G2542" t="str">
        <f>""</f>
        <v/>
      </c>
    </row>
    <row r="2543" spans="1:7" x14ac:dyDescent="0.25">
      <c r="A2543" t="s">
        <v>8</v>
      </c>
      <c r="B2543" s="1" t="str">
        <f>"000194993 - RICHS D'EGG DINER"</f>
        <v>000194993 - RICHS D'EGG DINER</v>
      </c>
      <c r="C2543" t="s">
        <v>1249</v>
      </c>
      <c r="D2543" s="1" t="str">
        <f>"PRG-1020835"</f>
        <v>PRG-1020835</v>
      </c>
      <c r="E2543" t="s">
        <v>1250</v>
      </c>
      <c r="F2543" t="s">
        <v>4</v>
      </c>
      <c r="G2543" t="str">
        <f>""</f>
        <v/>
      </c>
    </row>
    <row r="2544" spans="1:7" x14ac:dyDescent="0.25">
      <c r="A2544" t="s">
        <v>8</v>
      </c>
      <c r="B2544" s="1" t="str">
        <f>"000317515 - MATCHBOX   RICH'S"</f>
        <v>000317515 - MATCHBOX   RICH'S</v>
      </c>
      <c r="C2544" t="s">
        <v>3203</v>
      </c>
      <c r="D2544" s="1" t="str">
        <f>"PRG-1020848"</f>
        <v>PRG-1020848</v>
      </c>
      <c r="E2544" t="s">
        <v>3204</v>
      </c>
      <c r="F2544" t="s">
        <v>4</v>
      </c>
      <c r="G2544" t="str">
        <f>""</f>
        <v/>
      </c>
    </row>
    <row r="2545" spans="1:7" x14ac:dyDescent="0.25">
      <c r="A2545" t="s">
        <v>8</v>
      </c>
      <c r="B2545" s="1" t="str">
        <f>"000343943 - MATCHBOX RICH'S"</f>
        <v>000343943 - MATCHBOX RICH'S</v>
      </c>
      <c r="C2545" t="s">
        <v>3447</v>
      </c>
      <c r="D2545" s="1" t="str">
        <f>"PRG-1020848"</f>
        <v>PRG-1020848</v>
      </c>
      <c r="E2545" t="s">
        <v>3204</v>
      </c>
      <c r="F2545" t="s">
        <v>4</v>
      </c>
      <c r="G2545" t="str">
        <f>""</f>
        <v/>
      </c>
    </row>
    <row r="2546" spans="1:7" x14ac:dyDescent="0.25">
      <c r="A2546" t="s">
        <v>8</v>
      </c>
      <c r="B2546" s="1" t="str">
        <f>"000351518 - MATCHBOX RICH FOODS-FB"</f>
        <v>000351518 - MATCHBOX RICH FOODS-FB</v>
      </c>
      <c r="C2546" t="s">
        <v>3514</v>
      </c>
      <c r="D2546" s="1" t="str">
        <f>"PRG-1020848"</f>
        <v>PRG-1020848</v>
      </c>
      <c r="E2546" t="s">
        <v>3204</v>
      </c>
      <c r="F2546" t="s">
        <v>4</v>
      </c>
      <c r="G2546" t="str">
        <f>""</f>
        <v/>
      </c>
    </row>
    <row r="2547" spans="1:7" x14ac:dyDescent="0.25">
      <c r="A2547" t="s">
        <v>8</v>
      </c>
      <c r="B2547" s="1" t="str">
        <f>"000275731 - RICH PREFERRED MCO GRP"</f>
        <v>000275731 - RICH PREFERRED MCO GRP</v>
      </c>
      <c r="C2547" t="s">
        <v>2561</v>
      </c>
      <c r="D2547" s="1" t="str">
        <f>"PRG-1020856"</f>
        <v>PRG-1020856</v>
      </c>
      <c r="E2547" t="s">
        <v>2562</v>
      </c>
      <c r="F2547" t="s">
        <v>4</v>
      </c>
      <c r="G2547" t="str">
        <f>""</f>
        <v/>
      </c>
    </row>
    <row r="2548" spans="1:7" x14ac:dyDescent="0.25">
      <c r="A2548" t="s">
        <v>8</v>
      </c>
      <c r="B2548" s="1" t="str">
        <f>"2000138458 - RICH NTX-THE STRING BEAN"</f>
        <v>2000138458 - RICH NTX-THE STRING BEAN</v>
      </c>
      <c r="C2548" t="s">
        <v>3860</v>
      </c>
      <c r="D2548" s="1" t="str">
        <f>"PRG-1020861"</f>
        <v>PRG-1020861</v>
      </c>
      <c r="E2548" t="s">
        <v>3861</v>
      </c>
      <c r="F2548" t="s">
        <v>4</v>
      </c>
      <c r="G2548" t="str">
        <f>""</f>
        <v/>
      </c>
    </row>
    <row r="2549" spans="1:7" x14ac:dyDescent="0.25">
      <c r="A2549" t="s">
        <v>8</v>
      </c>
      <c r="B2549" s="1" t="str">
        <f>"000292142 - RICHS CIMAROLIS"</f>
        <v>000292142 - RICHS CIMAROLIS</v>
      </c>
      <c r="C2549" t="s">
        <v>2856</v>
      </c>
      <c r="D2549" s="1" t="str">
        <f>"PRG-1020875"</f>
        <v>PRG-1020875</v>
      </c>
      <c r="E2549" t="s">
        <v>2857</v>
      </c>
      <c r="F2549" t="s">
        <v>4</v>
      </c>
      <c r="G2549" t="str">
        <f>""</f>
        <v/>
      </c>
    </row>
    <row r="2550" spans="1:7" x14ac:dyDescent="0.25">
      <c r="A2550" t="s">
        <v>8</v>
      </c>
      <c r="B2550" s="1" t="str">
        <f>"000234754 - VILLAGE INN RICH'S"</f>
        <v>000234754 - VILLAGE INN RICH'S</v>
      </c>
      <c r="C2550" t="s">
        <v>1834</v>
      </c>
      <c r="D2550" s="1" t="str">
        <f>"PRG-1020899"</f>
        <v>PRG-1020899</v>
      </c>
      <c r="E2550" t="s">
        <v>1835</v>
      </c>
      <c r="F2550" t="s">
        <v>4</v>
      </c>
      <c r="G2550" t="str">
        <f>""</f>
        <v/>
      </c>
    </row>
    <row r="2551" spans="1:7" x14ac:dyDescent="0.25">
      <c r="A2551" t="s">
        <v>8</v>
      </c>
      <c r="B2551" s="1" t="str">
        <f>"000103268 - RICHS - FIREWURST GROUP"</f>
        <v>000103268 - RICHS - FIREWURST GROUP</v>
      </c>
      <c r="C2551" t="s">
        <v>809</v>
      </c>
      <c r="D2551" s="1" t="str">
        <f>"PRG-1020914"</f>
        <v>PRG-1020914</v>
      </c>
      <c r="E2551" t="s">
        <v>810</v>
      </c>
      <c r="F2551" t="s">
        <v>4</v>
      </c>
      <c r="G2551" t="str">
        <f>""</f>
        <v/>
      </c>
    </row>
    <row r="2552" spans="1:7" x14ac:dyDescent="0.25">
      <c r="A2552" t="s">
        <v>8</v>
      </c>
      <c r="B2552" s="1" t="str">
        <f>"000002491 - FOODBUY AK  RICH'S"</f>
        <v>000002491 - FOODBUY AK  RICH'S</v>
      </c>
      <c r="C2552" t="s">
        <v>119</v>
      </c>
      <c r="D2552" s="1" t="str">
        <f t="shared" ref="D2552:D2615" si="78">"PRG-1020917"</f>
        <v>PRG-1020917</v>
      </c>
      <c r="E2552" t="s">
        <v>120</v>
      </c>
      <c r="F2552" t="s">
        <v>4</v>
      </c>
      <c r="G2552" t="str">
        <f>""</f>
        <v/>
      </c>
    </row>
    <row r="2553" spans="1:7" x14ac:dyDescent="0.25">
      <c r="A2553" t="s">
        <v>8</v>
      </c>
      <c r="B2553" s="1" t="str">
        <f>"000003204 - FOODBUY AK  RICH'S BB"</f>
        <v>000003204 - FOODBUY AK  RICH'S BB</v>
      </c>
      <c r="C2553" t="s">
        <v>145</v>
      </c>
      <c r="D2553" s="1" t="str">
        <f t="shared" si="78"/>
        <v>PRG-1020917</v>
      </c>
      <c r="E2553" t="s">
        <v>120</v>
      </c>
      <c r="F2553" t="s">
        <v>4</v>
      </c>
      <c r="G2553" t="str">
        <f>""</f>
        <v/>
      </c>
    </row>
    <row r="2554" spans="1:7" x14ac:dyDescent="0.25">
      <c r="A2554" t="s">
        <v>8</v>
      </c>
      <c r="B2554" s="1" t="str">
        <f>"000006192 - RICH FOODS-FOODBUY"</f>
        <v>000006192 - RICH FOODS-FOODBUY</v>
      </c>
      <c r="C2554" t="s">
        <v>237</v>
      </c>
      <c r="D2554" s="1" t="str">
        <f t="shared" si="78"/>
        <v>PRG-1020917</v>
      </c>
      <c r="E2554" t="s">
        <v>120</v>
      </c>
      <c r="F2554" t="s">
        <v>4</v>
      </c>
      <c r="G2554" t="str">
        <f>""</f>
        <v/>
      </c>
    </row>
    <row r="2555" spans="1:7" x14ac:dyDescent="0.25">
      <c r="A2555" t="s">
        <v>8</v>
      </c>
      <c r="B2555" s="1" t="str">
        <f>"000008849 - RICH FOODS-FOODBUY"</f>
        <v>000008849 - RICH FOODS-FOODBUY</v>
      </c>
      <c r="C2555" t="s">
        <v>237</v>
      </c>
      <c r="D2555" s="1" t="str">
        <f t="shared" si="78"/>
        <v>PRG-1020917</v>
      </c>
      <c r="E2555" t="s">
        <v>120</v>
      </c>
      <c r="F2555" t="s">
        <v>4</v>
      </c>
      <c r="G2555" t="str">
        <f>""</f>
        <v/>
      </c>
    </row>
    <row r="2556" spans="1:7" x14ac:dyDescent="0.25">
      <c r="A2556" t="s">
        <v>8</v>
      </c>
      <c r="B2556" s="1" t="str">
        <f>"000010987 - RICH FOODS-FOODBUY"</f>
        <v>000010987 - RICH FOODS-FOODBUY</v>
      </c>
      <c r="C2556" t="s">
        <v>237</v>
      </c>
      <c r="D2556" s="1" t="str">
        <f t="shared" si="78"/>
        <v>PRG-1020917</v>
      </c>
      <c r="E2556" t="s">
        <v>120</v>
      </c>
      <c r="F2556" t="s">
        <v>4</v>
      </c>
      <c r="G2556" t="str">
        <f>""</f>
        <v/>
      </c>
    </row>
    <row r="2557" spans="1:7" x14ac:dyDescent="0.25">
      <c r="A2557" t="s">
        <v>8</v>
      </c>
      <c r="B2557" s="1" t="str">
        <f>"000012007 - RICH FOODS-FOODBUY"</f>
        <v>000012007 - RICH FOODS-FOODBUY</v>
      </c>
      <c r="C2557" t="s">
        <v>237</v>
      </c>
      <c r="D2557" s="1" t="str">
        <f t="shared" si="78"/>
        <v>PRG-1020917</v>
      </c>
      <c r="E2557" t="s">
        <v>120</v>
      </c>
      <c r="F2557" t="s">
        <v>4</v>
      </c>
      <c r="G2557" t="str">
        <f>""</f>
        <v/>
      </c>
    </row>
    <row r="2558" spans="1:7" x14ac:dyDescent="0.25">
      <c r="A2558" t="s">
        <v>8</v>
      </c>
      <c r="B2558" s="1" t="str">
        <f>"000013129 - RICH PRODUCTS-FOODBUY"</f>
        <v>000013129 - RICH PRODUCTS-FOODBUY</v>
      </c>
      <c r="C2558" t="s">
        <v>342</v>
      </c>
      <c r="D2558" s="1" t="str">
        <f t="shared" si="78"/>
        <v>PRG-1020917</v>
      </c>
      <c r="E2558" t="s">
        <v>120</v>
      </c>
      <c r="F2558" t="s">
        <v>4</v>
      </c>
      <c r="G2558" t="str">
        <f>""</f>
        <v/>
      </c>
    </row>
    <row r="2559" spans="1:7" x14ac:dyDescent="0.25">
      <c r="A2559" t="s">
        <v>8</v>
      </c>
      <c r="B2559" s="1" t="str">
        <f>"000013924 - RICH PRODUCTS-FOODBUY"</f>
        <v>000013924 - RICH PRODUCTS-FOODBUY</v>
      </c>
      <c r="C2559" t="s">
        <v>342</v>
      </c>
      <c r="D2559" s="1" t="str">
        <f t="shared" si="78"/>
        <v>PRG-1020917</v>
      </c>
      <c r="E2559" t="s">
        <v>120</v>
      </c>
      <c r="F2559" t="s">
        <v>4</v>
      </c>
      <c r="G2559" t="str">
        <f>""</f>
        <v/>
      </c>
    </row>
    <row r="2560" spans="1:7" x14ac:dyDescent="0.25">
      <c r="A2560" t="s">
        <v>8</v>
      </c>
      <c r="B2560" s="1" t="str">
        <f>"000014558 - RICH FOODS BB-FOODBUY"</f>
        <v>000014558 - RICH FOODS BB-FOODBUY</v>
      </c>
      <c r="C2560" t="s">
        <v>209</v>
      </c>
      <c r="D2560" s="1" t="str">
        <f t="shared" si="78"/>
        <v>PRG-1020917</v>
      </c>
      <c r="E2560" t="s">
        <v>120</v>
      </c>
      <c r="F2560" t="s">
        <v>4</v>
      </c>
      <c r="G2560" t="str">
        <f>""</f>
        <v/>
      </c>
    </row>
    <row r="2561" spans="1:7" x14ac:dyDescent="0.25">
      <c r="A2561" t="s">
        <v>8</v>
      </c>
      <c r="B2561" s="1" t="str">
        <f>"000015162 - RICH FOODS BB-FOODBUY"</f>
        <v>000015162 - RICH FOODS BB-FOODBUY</v>
      </c>
      <c r="C2561" t="s">
        <v>209</v>
      </c>
      <c r="D2561" s="1" t="str">
        <f t="shared" si="78"/>
        <v>PRG-1020917</v>
      </c>
      <c r="E2561" t="s">
        <v>120</v>
      </c>
      <c r="F2561" t="s">
        <v>4</v>
      </c>
      <c r="G2561" t="str">
        <f>""</f>
        <v/>
      </c>
    </row>
    <row r="2562" spans="1:7" x14ac:dyDescent="0.25">
      <c r="A2562" t="s">
        <v>8</v>
      </c>
      <c r="B2562" s="1" t="str">
        <f>"000030537 - RICH FOODS-FOODBUY"</f>
        <v>000030537 - RICH FOODS-FOODBUY</v>
      </c>
      <c r="C2562" t="s">
        <v>237</v>
      </c>
      <c r="D2562" s="1" t="str">
        <f t="shared" si="78"/>
        <v>PRG-1020917</v>
      </c>
      <c r="E2562" t="s">
        <v>120</v>
      </c>
      <c r="F2562" t="s">
        <v>4</v>
      </c>
      <c r="G2562" t="str">
        <f>""</f>
        <v/>
      </c>
    </row>
    <row r="2563" spans="1:7" x14ac:dyDescent="0.25">
      <c r="A2563" t="s">
        <v>8</v>
      </c>
      <c r="B2563" s="1" t="str">
        <f>"000032205 - RICH PRODUCTS-FOODBUY"</f>
        <v>000032205 - RICH PRODUCTS-FOODBUY</v>
      </c>
      <c r="C2563" t="s">
        <v>342</v>
      </c>
      <c r="D2563" s="1" t="str">
        <f t="shared" si="78"/>
        <v>PRG-1020917</v>
      </c>
      <c r="E2563" t="s">
        <v>120</v>
      </c>
      <c r="F2563" t="s">
        <v>4</v>
      </c>
      <c r="G2563" t="str">
        <f>""</f>
        <v/>
      </c>
    </row>
    <row r="2564" spans="1:7" x14ac:dyDescent="0.25">
      <c r="A2564" t="s">
        <v>8</v>
      </c>
      <c r="B2564" s="1" t="str">
        <f>"000033481 - RICH PRODUCTS-FOODBUY"</f>
        <v>000033481 - RICH PRODUCTS-FOODBUY</v>
      </c>
      <c r="C2564" t="s">
        <v>342</v>
      </c>
      <c r="D2564" s="1" t="str">
        <f t="shared" si="78"/>
        <v>PRG-1020917</v>
      </c>
      <c r="E2564" t="s">
        <v>120</v>
      </c>
      <c r="F2564" t="s">
        <v>4</v>
      </c>
      <c r="G2564" t="str">
        <f>""</f>
        <v/>
      </c>
    </row>
    <row r="2565" spans="1:7" x14ac:dyDescent="0.25">
      <c r="A2565" t="s">
        <v>8</v>
      </c>
      <c r="B2565" s="1" t="str">
        <f>"000033947 - RICH FOODS BB-FOODBUY"</f>
        <v>000033947 - RICH FOODS BB-FOODBUY</v>
      </c>
      <c r="C2565" t="s">
        <v>209</v>
      </c>
      <c r="D2565" s="1" t="str">
        <f t="shared" si="78"/>
        <v>PRG-1020917</v>
      </c>
      <c r="E2565" t="s">
        <v>120</v>
      </c>
      <c r="F2565" t="s">
        <v>4</v>
      </c>
      <c r="G2565" t="str">
        <f>""</f>
        <v/>
      </c>
    </row>
    <row r="2566" spans="1:7" x14ac:dyDescent="0.25">
      <c r="A2566" t="s">
        <v>8</v>
      </c>
      <c r="B2566" s="1" t="str">
        <f>"000034366 - RICH FOODS BB-FOODBUY"</f>
        <v>000034366 - RICH FOODS BB-FOODBUY</v>
      </c>
      <c r="C2566" t="s">
        <v>209</v>
      </c>
      <c r="D2566" s="1" t="str">
        <f t="shared" si="78"/>
        <v>PRG-1020917</v>
      </c>
      <c r="E2566" t="s">
        <v>120</v>
      </c>
      <c r="F2566" t="s">
        <v>4</v>
      </c>
      <c r="G2566" t="str">
        <f>""</f>
        <v/>
      </c>
    </row>
    <row r="2567" spans="1:7" x14ac:dyDescent="0.25">
      <c r="A2567" t="s">
        <v>8</v>
      </c>
      <c r="B2567" s="1" t="str">
        <f>"000034405 - RICH FOODS BB FOODBUY"</f>
        <v>000034405 - RICH FOODS BB FOODBUY</v>
      </c>
      <c r="C2567" t="s">
        <v>228</v>
      </c>
      <c r="D2567" s="1" t="str">
        <f t="shared" si="78"/>
        <v>PRG-1020917</v>
      </c>
      <c r="E2567" t="s">
        <v>120</v>
      </c>
      <c r="F2567" t="s">
        <v>4</v>
      </c>
      <c r="G2567" t="str">
        <f>""</f>
        <v/>
      </c>
    </row>
    <row r="2568" spans="1:7" x14ac:dyDescent="0.25">
      <c r="A2568" t="s">
        <v>8</v>
      </c>
      <c r="B2568" s="1" t="str">
        <f>"000034653 - RICH FOODS-FOODBUY"</f>
        <v>000034653 - RICH FOODS-FOODBUY</v>
      </c>
      <c r="C2568" t="s">
        <v>237</v>
      </c>
      <c r="D2568" s="1" t="str">
        <f t="shared" si="78"/>
        <v>PRG-1020917</v>
      </c>
      <c r="E2568" t="s">
        <v>120</v>
      </c>
      <c r="F2568" t="s">
        <v>4</v>
      </c>
      <c r="G2568" t="str">
        <f>""</f>
        <v/>
      </c>
    </row>
    <row r="2569" spans="1:7" x14ac:dyDescent="0.25">
      <c r="A2569" t="s">
        <v>8</v>
      </c>
      <c r="B2569" s="1" t="str">
        <f>"000037278 - RICH PRODUCTS-FOODBUY"</f>
        <v>000037278 - RICH PRODUCTS-FOODBUY</v>
      </c>
      <c r="C2569" t="s">
        <v>342</v>
      </c>
      <c r="D2569" s="1" t="str">
        <f t="shared" si="78"/>
        <v>PRG-1020917</v>
      </c>
      <c r="E2569" t="s">
        <v>120</v>
      </c>
      <c r="F2569" t="s">
        <v>4</v>
      </c>
      <c r="G2569" t="str">
        <f>""</f>
        <v/>
      </c>
    </row>
    <row r="2570" spans="1:7" x14ac:dyDescent="0.25">
      <c r="A2570" t="s">
        <v>8</v>
      </c>
      <c r="B2570" s="1" t="str">
        <f>"000038952 - RICH PRODUCTS-FOODBUY"</f>
        <v>000038952 - RICH PRODUCTS-FOODBUY</v>
      </c>
      <c r="C2570" t="s">
        <v>342</v>
      </c>
      <c r="D2570" s="1" t="str">
        <f t="shared" si="78"/>
        <v>PRG-1020917</v>
      </c>
      <c r="E2570" t="s">
        <v>120</v>
      </c>
      <c r="F2570" t="s">
        <v>4</v>
      </c>
      <c r="G2570" t="str">
        <f>""</f>
        <v/>
      </c>
    </row>
    <row r="2571" spans="1:7" x14ac:dyDescent="0.25">
      <c r="A2571" t="s">
        <v>8</v>
      </c>
      <c r="B2571" s="1" t="str">
        <f>"000039641 - RICH FOODS BB-FOODBUY"</f>
        <v>000039641 - RICH FOODS BB-FOODBUY</v>
      </c>
      <c r="C2571" t="s">
        <v>209</v>
      </c>
      <c r="D2571" s="1" t="str">
        <f t="shared" si="78"/>
        <v>PRG-1020917</v>
      </c>
      <c r="E2571" t="s">
        <v>120</v>
      </c>
      <c r="F2571" t="s">
        <v>4</v>
      </c>
      <c r="G2571" t="str">
        <f>""</f>
        <v/>
      </c>
    </row>
    <row r="2572" spans="1:7" x14ac:dyDescent="0.25">
      <c r="A2572" t="s">
        <v>8</v>
      </c>
      <c r="B2572" s="1" t="str">
        <f>"000040337 - RICH FOODS BB-FOODBUY"</f>
        <v>000040337 - RICH FOODS BB-FOODBUY</v>
      </c>
      <c r="C2572" t="s">
        <v>209</v>
      </c>
      <c r="D2572" s="1" t="str">
        <f t="shared" si="78"/>
        <v>PRG-1020917</v>
      </c>
      <c r="E2572" t="s">
        <v>120</v>
      </c>
      <c r="F2572" t="s">
        <v>4</v>
      </c>
      <c r="G2572" t="str">
        <f>""</f>
        <v/>
      </c>
    </row>
    <row r="2573" spans="1:7" x14ac:dyDescent="0.25">
      <c r="A2573" t="s">
        <v>8</v>
      </c>
      <c r="B2573" s="1" t="str">
        <f>"000041045 - RICH FOODS BB-BOWLING CENTERS"</f>
        <v>000041045 - RICH FOODS BB-BOWLING CENTERS</v>
      </c>
      <c r="C2573" t="s">
        <v>586</v>
      </c>
      <c r="D2573" s="1" t="str">
        <f t="shared" si="78"/>
        <v>PRG-1020917</v>
      </c>
      <c r="E2573" t="s">
        <v>120</v>
      </c>
      <c r="F2573" t="s">
        <v>4</v>
      </c>
      <c r="G2573" t="str">
        <f>""</f>
        <v/>
      </c>
    </row>
    <row r="2574" spans="1:7" x14ac:dyDescent="0.25">
      <c r="A2574" t="s">
        <v>8</v>
      </c>
      <c r="B2574" s="1" t="str">
        <f>"000047146 - RICHS FOODS BB FOODBUY"</f>
        <v>000047146 - RICHS FOODS BB FOODBUY</v>
      </c>
      <c r="C2574" t="s">
        <v>562</v>
      </c>
      <c r="D2574" s="1" t="str">
        <f t="shared" si="78"/>
        <v>PRG-1020917</v>
      </c>
      <c r="E2574" t="s">
        <v>120</v>
      </c>
      <c r="F2574" t="s">
        <v>4</v>
      </c>
      <c r="G2574" t="str">
        <f>""</f>
        <v/>
      </c>
    </row>
    <row r="2575" spans="1:7" x14ac:dyDescent="0.25">
      <c r="A2575" t="s">
        <v>8</v>
      </c>
      <c r="B2575" s="1" t="str">
        <f>"000066627 - rich foods-foodbuy"</f>
        <v>000066627 - rich foods-foodbuy</v>
      </c>
      <c r="C2575" t="s">
        <v>717</v>
      </c>
      <c r="D2575" s="1" t="str">
        <f t="shared" si="78"/>
        <v>PRG-1020917</v>
      </c>
      <c r="E2575" t="s">
        <v>120</v>
      </c>
      <c r="F2575" t="s">
        <v>4</v>
      </c>
      <c r="G2575" t="str">
        <f>""</f>
        <v/>
      </c>
    </row>
    <row r="2576" spans="1:7" x14ac:dyDescent="0.25">
      <c r="A2576" t="s">
        <v>8</v>
      </c>
      <c r="B2576" s="1" t="str">
        <f>"000081935 - Rich Foods-Foodbuy"</f>
        <v>000081935 - Rich Foods-Foodbuy</v>
      </c>
      <c r="C2576" t="s">
        <v>757</v>
      </c>
      <c r="D2576" s="1" t="str">
        <f t="shared" si="78"/>
        <v>PRG-1020917</v>
      </c>
      <c r="E2576" t="s">
        <v>120</v>
      </c>
      <c r="F2576" t="s">
        <v>4</v>
      </c>
      <c r="G2576" t="str">
        <f>""</f>
        <v/>
      </c>
    </row>
    <row r="2577" spans="1:7" x14ac:dyDescent="0.25">
      <c r="A2577" t="s">
        <v>8</v>
      </c>
      <c r="B2577" s="1" t="str">
        <f>"000086696 - Rich Foods-Foodbuy"</f>
        <v>000086696 - Rich Foods-Foodbuy</v>
      </c>
      <c r="C2577" t="s">
        <v>757</v>
      </c>
      <c r="D2577" s="1" t="str">
        <f t="shared" si="78"/>
        <v>PRG-1020917</v>
      </c>
      <c r="E2577" t="s">
        <v>120</v>
      </c>
      <c r="F2577" t="s">
        <v>4</v>
      </c>
      <c r="G2577" t="str">
        <f>""</f>
        <v/>
      </c>
    </row>
    <row r="2578" spans="1:7" x14ac:dyDescent="0.25">
      <c r="A2578" t="s">
        <v>8</v>
      </c>
      <c r="B2578" s="1" t="str">
        <f>"000094558 - RICH FOODS-FOODBUY"</f>
        <v>000094558 - RICH FOODS-FOODBUY</v>
      </c>
      <c r="C2578" t="s">
        <v>237</v>
      </c>
      <c r="D2578" s="1" t="str">
        <f t="shared" si="78"/>
        <v>PRG-1020917</v>
      </c>
      <c r="E2578" t="s">
        <v>120</v>
      </c>
      <c r="F2578" t="s">
        <v>4</v>
      </c>
      <c r="G2578" t="str">
        <f>""</f>
        <v/>
      </c>
    </row>
    <row r="2579" spans="1:7" x14ac:dyDescent="0.25">
      <c r="A2579" t="s">
        <v>8</v>
      </c>
      <c r="B2579" s="1" t="str">
        <f>"000096870 - RICH PRODUCTS-FOODBUY"</f>
        <v>000096870 - RICH PRODUCTS-FOODBUY</v>
      </c>
      <c r="C2579" t="s">
        <v>342</v>
      </c>
      <c r="D2579" s="1" t="str">
        <f t="shared" si="78"/>
        <v>PRG-1020917</v>
      </c>
      <c r="E2579" t="s">
        <v>120</v>
      </c>
      <c r="F2579" t="s">
        <v>4</v>
      </c>
      <c r="G2579" t="str">
        <f>""</f>
        <v/>
      </c>
    </row>
    <row r="2580" spans="1:7" x14ac:dyDescent="0.25">
      <c r="A2580" t="s">
        <v>8</v>
      </c>
      <c r="B2580" s="1" t="str">
        <f>"000096923 - Rich Foods-Foodbuy"</f>
        <v>000096923 - Rich Foods-Foodbuy</v>
      </c>
      <c r="C2580" t="s">
        <v>757</v>
      </c>
      <c r="D2580" s="1" t="str">
        <f t="shared" si="78"/>
        <v>PRG-1020917</v>
      </c>
      <c r="E2580" t="s">
        <v>120</v>
      </c>
      <c r="F2580" t="s">
        <v>4</v>
      </c>
      <c r="G2580" t="str">
        <f>""</f>
        <v/>
      </c>
    </row>
    <row r="2581" spans="1:7" x14ac:dyDescent="0.25">
      <c r="A2581" t="s">
        <v>8</v>
      </c>
      <c r="B2581" s="1" t="str">
        <f>"000098518 - RICH PRODUCTS-FOODBUY"</f>
        <v>000098518 - RICH PRODUCTS-FOODBUY</v>
      </c>
      <c r="C2581" t="s">
        <v>342</v>
      </c>
      <c r="D2581" s="1" t="str">
        <f t="shared" si="78"/>
        <v>PRG-1020917</v>
      </c>
      <c r="E2581" t="s">
        <v>120</v>
      </c>
      <c r="F2581" t="s">
        <v>4</v>
      </c>
      <c r="G2581" t="str">
        <f>""</f>
        <v/>
      </c>
    </row>
    <row r="2582" spans="1:7" x14ac:dyDescent="0.25">
      <c r="A2582" t="s">
        <v>8</v>
      </c>
      <c r="B2582" s="1" t="str">
        <f>"000099105 - RICH FOODS BB-FOODBUY"</f>
        <v>000099105 - RICH FOODS BB-FOODBUY</v>
      </c>
      <c r="C2582" t="s">
        <v>209</v>
      </c>
      <c r="D2582" s="1" t="str">
        <f t="shared" si="78"/>
        <v>PRG-1020917</v>
      </c>
      <c r="E2582" t="s">
        <v>120</v>
      </c>
      <c r="F2582" t="s">
        <v>4</v>
      </c>
      <c r="G2582" t="str">
        <f>""</f>
        <v/>
      </c>
    </row>
    <row r="2583" spans="1:7" x14ac:dyDescent="0.25">
      <c r="A2583" t="s">
        <v>8</v>
      </c>
      <c r="B2583" s="1" t="str">
        <f>"000099117 - RICH FDBY BB Z"</f>
        <v>000099117 - RICH FDBY BB Z</v>
      </c>
      <c r="C2583" t="s">
        <v>795</v>
      </c>
      <c r="D2583" s="1" t="str">
        <f t="shared" si="78"/>
        <v>PRG-1020917</v>
      </c>
      <c r="E2583" t="s">
        <v>120</v>
      </c>
      <c r="F2583" t="s">
        <v>4</v>
      </c>
      <c r="G2583" t="str">
        <f>""</f>
        <v/>
      </c>
    </row>
    <row r="2584" spans="1:7" x14ac:dyDescent="0.25">
      <c r="A2584" t="s">
        <v>8</v>
      </c>
      <c r="B2584" s="1" t="str">
        <f>"000099222 - RICH FOODS BB-FOODBUY"</f>
        <v>000099222 - RICH FOODS BB-FOODBUY</v>
      </c>
      <c r="C2584" t="s">
        <v>209</v>
      </c>
      <c r="D2584" s="1" t="str">
        <f t="shared" si="78"/>
        <v>PRG-1020917</v>
      </c>
      <c r="E2584" t="s">
        <v>120</v>
      </c>
      <c r="F2584" t="s">
        <v>4</v>
      </c>
      <c r="G2584" t="str">
        <f>""</f>
        <v/>
      </c>
    </row>
    <row r="2585" spans="1:7" x14ac:dyDescent="0.25">
      <c r="A2585" t="s">
        <v>8</v>
      </c>
      <c r="B2585" s="1" t="str">
        <f>"000099621 - RICH FOODS BB-FOODBUY"</f>
        <v>000099621 - RICH FOODS BB-FOODBUY</v>
      </c>
      <c r="C2585" t="s">
        <v>209</v>
      </c>
      <c r="D2585" s="1" t="str">
        <f t="shared" si="78"/>
        <v>PRG-1020917</v>
      </c>
      <c r="E2585" t="s">
        <v>120</v>
      </c>
      <c r="F2585" t="s">
        <v>4</v>
      </c>
      <c r="G2585" t="str">
        <f>""</f>
        <v/>
      </c>
    </row>
    <row r="2586" spans="1:7" x14ac:dyDescent="0.25">
      <c r="A2586" t="s">
        <v>8</v>
      </c>
      <c r="B2586" s="1" t="str">
        <f>"000099712 - RICH FDBY BB Z"</f>
        <v>000099712 - RICH FDBY BB Z</v>
      </c>
      <c r="C2586" t="s">
        <v>795</v>
      </c>
      <c r="D2586" s="1" t="str">
        <f t="shared" si="78"/>
        <v>PRG-1020917</v>
      </c>
      <c r="E2586" t="s">
        <v>120</v>
      </c>
      <c r="F2586" t="s">
        <v>4</v>
      </c>
      <c r="G2586" t="str">
        <f>""</f>
        <v/>
      </c>
    </row>
    <row r="2587" spans="1:7" x14ac:dyDescent="0.25">
      <c r="A2587" t="s">
        <v>8</v>
      </c>
      <c r="B2587" s="1" t="str">
        <f>"000099716 - RICH FDBY (CC) BB Z"</f>
        <v>000099716 - RICH FDBY (CC) BB Z</v>
      </c>
      <c r="C2587" t="s">
        <v>798</v>
      </c>
      <c r="D2587" s="1" t="str">
        <f t="shared" si="78"/>
        <v>PRG-1020917</v>
      </c>
      <c r="E2587" t="s">
        <v>120</v>
      </c>
      <c r="F2587" t="s">
        <v>4</v>
      </c>
      <c r="G2587" t="str">
        <f>""</f>
        <v/>
      </c>
    </row>
    <row r="2588" spans="1:7" x14ac:dyDescent="0.25">
      <c r="A2588" t="s">
        <v>8</v>
      </c>
      <c r="B2588" s="1" t="str">
        <f>"000105980 - RICH FOODS-FOODBUY"</f>
        <v>000105980 - RICH FOODS-FOODBUY</v>
      </c>
      <c r="C2588" t="s">
        <v>237</v>
      </c>
      <c r="D2588" s="1" t="str">
        <f t="shared" si="78"/>
        <v>PRG-1020917</v>
      </c>
      <c r="E2588" t="s">
        <v>120</v>
      </c>
      <c r="F2588" t="s">
        <v>4</v>
      </c>
      <c r="G2588" t="str">
        <f>""</f>
        <v/>
      </c>
    </row>
    <row r="2589" spans="1:7" x14ac:dyDescent="0.25">
      <c r="A2589" t="s">
        <v>8</v>
      </c>
      <c r="B2589" s="1" t="str">
        <f>"000107909 - RICH PRODUCTS-FOODBUY"</f>
        <v>000107909 - RICH PRODUCTS-FOODBUY</v>
      </c>
      <c r="C2589" t="s">
        <v>342</v>
      </c>
      <c r="D2589" s="1" t="str">
        <f t="shared" si="78"/>
        <v>PRG-1020917</v>
      </c>
      <c r="E2589" t="s">
        <v>120</v>
      </c>
      <c r="F2589" t="s">
        <v>4</v>
      </c>
      <c r="G2589" t="str">
        <f>""</f>
        <v/>
      </c>
    </row>
    <row r="2590" spans="1:7" x14ac:dyDescent="0.25">
      <c r="A2590" t="s">
        <v>8</v>
      </c>
      <c r="B2590" s="1" t="str">
        <f>"000109126 - RICH PRODUCTS-FOODBUY"</f>
        <v>000109126 - RICH PRODUCTS-FOODBUY</v>
      </c>
      <c r="C2590" t="s">
        <v>342</v>
      </c>
      <c r="D2590" s="1" t="str">
        <f t="shared" si="78"/>
        <v>PRG-1020917</v>
      </c>
      <c r="E2590" t="s">
        <v>120</v>
      </c>
      <c r="F2590" t="s">
        <v>4</v>
      </c>
      <c r="G2590" t="str">
        <f>""</f>
        <v/>
      </c>
    </row>
    <row r="2591" spans="1:7" x14ac:dyDescent="0.25">
      <c r="A2591" t="s">
        <v>8</v>
      </c>
      <c r="B2591" s="1" t="str">
        <f>"000109568 - RICH FOODS BB-FOODBUY"</f>
        <v>000109568 - RICH FOODS BB-FOODBUY</v>
      </c>
      <c r="C2591" t="s">
        <v>209</v>
      </c>
      <c r="D2591" s="1" t="str">
        <f t="shared" si="78"/>
        <v>PRG-1020917</v>
      </c>
      <c r="E2591" t="s">
        <v>120</v>
      </c>
      <c r="F2591" t="s">
        <v>4</v>
      </c>
      <c r="G2591" t="str">
        <f>""</f>
        <v/>
      </c>
    </row>
    <row r="2592" spans="1:7" x14ac:dyDescent="0.25">
      <c r="A2592" t="s">
        <v>8</v>
      </c>
      <c r="B2592" s="1" t="str">
        <f>"000109571 - RICH FOODS CORE - HILTON VOID"</f>
        <v>000109571 - RICH FOODS CORE - HILTON VOID</v>
      </c>
      <c r="C2592" t="s">
        <v>794</v>
      </c>
      <c r="D2592" s="1" t="str">
        <f t="shared" si="78"/>
        <v>PRG-1020917</v>
      </c>
      <c r="E2592" t="s">
        <v>120</v>
      </c>
      <c r="F2592" t="s">
        <v>4</v>
      </c>
      <c r="G2592" t="str">
        <f>""</f>
        <v/>
      </c>
    </row>
    <row r="2593" spans="1:7" x14ac:dyDescent="0.25">
      <c r="A2593" t="s">
        <v>8</v>
      </c>
      <c r="B2593" s="1" t="str">
        <f>"000109997 - RICH FOODS BB-FOODBUY"</f>
        <v>000109997 - RICH FOODS BB-FOODBUY</v>
      </c>
      <c r="C2593" t="s">
        <v>209</v>
      </c>
      <c r="D2593" s="1" t="str">
        <f t="shared" si="78"/>
        <v>PRG-1020917</v>
      </c>
      <c r="E2593" t="s">
        <v>120</v>
      </c>
      <c r="F2593" t="s">
        <v>4</v>
      </c>
      <c r="G2593" t="str">
        <f>""</f>
        <v/>
      </c>
    </row>
    <row r="2594" spans="1:7" x14ac:dyDescent="0.25">
      <c r="A2594" t="s">
        <v>8</v>
      </c>
      <c r="B2594" s="1" t="str">
        <f>"000114682 - Rich Foods-Foodbuy"</f>
        <v>000114682 - Rich Foods-Foodbuy</v>
      </c>
      <c r="C2594" t="s">
        <v>757</v>
      </c>
      <c r="D2594" s="1" t="str">
        <f t="shared" si="78"/>
        <v>PRG-1020917</v>
      </c>
      <c r="E2594" t="s">
        <v>120</v>
      </c>
      <c r="F2594" t="s">
        <v>4</v>
      </c>
      <c r="G2594" t="str">
        <f>""</f>
        <v/>
      </c>
    </row>
    <row r="2595" spans="1:7" x14ac:dyDescent="0.25">
      <c r="A2595" t="s">
        <v>8</v>
      </c>
      <c r="B2595" s="1" t="str">
        <f>"000117165 - RICH FOODS-FOODBUY"</f>
        <v>000117165 - RICH FOODS-FOODBUY</v>
      </c>
      <c r="C2595" t="s">
        <v>237</v>
      </c>
      <c r="D2595" s="1" t="str">
        <f t="shared" si="78"/>
        <v>PRG-1020917</v>
      </c>
      <c r="E2595" t="s">
        <v>120</v>
      </c>
      <c r="F2595" t="s">
        <v>4</v>
      </c>
      <c r="G2595" t="str">
        <f>""</f>
        <v/>
      </c>
    </row>
    <row r="2596" spans="1:7" x14ac:dyDescent="0.25">
      <c r="A2596" t="s">
        <v>8</v>
      </c>
      <c r="B2596" s="1" t="str">
        <f>"000119208 - RICH PRODUCTS-FOODBUY"</f>
        <v>000119208 - RICH PRODUCTS-FOODBUY</v>
      </c>
      <c r="C2596" t="s">
        <v>342</v>
      </c>
      <c r="D2596" s="1" t="str">
        <f t="shared" si="78"/>
        <v>PRG-1020917</v>
      </c>
      <c r="E2596" t="s">
        <v>120</v>
      </c>
      <c r="F2596" t="s">
        <v>4</v>
      </c>
      <c r="G2596" t="str">
        <f>""</f>
        <v/>
      </c>
    </row>
    <row r="2597" spans="1:7" x14ac:dyDescent="0.25">
      <c r="A2597" t="s">
        <v>8</v>
      </c>
      <c r="B2597" s="1" t="str">
        <f>"000120521 - RICH FOODS AMERICAN CRUISE LIN"</f>
        <v>000120521 - RICH FOODS AMERICAN CRUISE LIN</v>
      </c>
      <c r="C2597" t="s">
        <v>887</v>
      </c>
      <c r="D2597" s="1" t="str">
        <f t="shared" si="78"/>
        <v>PRG-1020917</v>
      </c>
      <c r="E2597" t="s">
        <v>120</v>
      </c>
      <c r="F2597" t="s">
        <v>4</v>
      </c>
      <c r="G2597" t="str">
        <f>""</f>
        <v/>
      </c>
    </row>
    <row r="2598" spans="1:7" x14ac:dyDescent="0.25">
      <c r="A2598" t="s">
        <v>8</v>
      </c>
      <c r="B2598" s="1" t="str">
        <f>"000120653 - RICH PRODUCTS-FOODBUY"</f>
        <v>000120653 - RICH PRODUCTS-FOODBUY</v>
      </c>
      <c r="C2598" t="s">
        <v>342</v>
      </c>
      <c r="D2598" s="1" t="str">
        <f t="shared" si="78"/>
        <v>PRG-1020917</v>
      </c>
      <c r="E2598" t="s">
        <v>120</v>
      </c>
      <c r="F2598" t="s">
        <v>4</v>
      </c>
      <c r="G2598" t="str">
        <f>""</f>
        <v/>
      </c>
    </row>
    <row r="2599" spans="1:7" x14ac:dyDescent="0.25">
      <c r="A2599" t="s">
        <v>8</v>
      </c>
      <c r="B2599" s="1" t="str">
        <f>"000121478 - RICH FOODS BB-FOODBUY"</f>
        <v>000121478 - RICH FOODS BB-FOODBUY</v>
      </c>
      <c r="C2599" t="s">
        <v>209</v>
      </c>
      <c r="D2599" s="1" t="str">
        <f t="shared" si="78"/>
        <v>PRG-1020917</v>
      </c>
      <c r="E2599" t="s">
        <v>120</v>
      </c>
      <c r="F2599" t="s">
        <v>4</v>
      </c>
      <c r="G2599" t="str">
        <f>""</f>
        <v/>
      </c>
    </row>
    <row r="2600" spans="1:7" x14ac:dyDescent="0.25">
      <c r="A2600" t="s">
        <v>8</v>
      </c>
      <c r="B2600" s="1" t="str">
        <f>"000121481 - RICH FOODS NON CORE HILTONVOID"</f>
        <v>000121481 - RICH FOODS NON CORE HILTONVOID</v>
      </c>
      <c r="C2600" t="s">
        <v>513</v>
      </c>
      <c r="D2600" s="1" t="str">
        <f t="shared" si="78"/>
        <v>PRG-1020917</v>
      </c>
      <c r="E2600" t="s">
        <v>120</v>
      </c>
      <c r="F2600" t="s">
        <v>4</v>
      </c>
      <c r="G2600" t="str">
        <f>""</f>
        <v/>
      </c>
    </row>
    <row r="2601" spans="1:7" x14ac:dyDescent="0.25">
      <c r="A2601" t="s">
        <v>8</v>
      </c>
      <c r="B2601" s="1" t="str">
        <f>"000121482 - RICH FOODS CORE - HILTON VOID"</f>
        <v>000121482 - RICH FOODS CORE - HILTON VOID</v>
      </c>
      <c r="C2601" t="s">
        <v>794</v>
      </c>
      <c r="D2601" s="1" t="str">
        <f t="shared" si="78"/>
        <v>PRG-1020917</v>
      </c>
      <c r="E2601" t="s">
        <v>120</v>
      </c>
      <c r="F2601" t="s">
        <v>4</v>
      </c>
      <c r="G2601" t="str">
        <f>""</f>
        <v/>
      </c>
    </row>
    <row r="2602" spans="1:7" x14ac:dyDescent="0.25">
      <c r="A2602" t="s">
        <v>8</v>
      </c>
      <c r="B2602" s="1" t="str">
        <f>"000121693 - RICH FOODS BB-FOODBUY"</f>
        <v>000121693 - RICH FOODS BB-FOODBUY</v>
      </c>
      <c r="C2602" t="s">
        <v>209</v>
      </c>
      <c r="D2602" s="1" t="str">
        <f t="shared" si="78"/>
        <v>PRG-1020917</v>
      </c>
      <c r="E2602" t="s">
        <v>120</v>
      </c>
      <c r="F2602" t="s">
        <v>4</v>
      </c>
      <c r="G2602" t="str">
        <f>""</f>
        <v/>
      </c>
    </row>
    <row r="2603" spans="1:7" x14ac:dyDescent="0.25">
      <c r="A2603" t="s">
        <v>8</v>
      </c>
      <c r="B2603" s="1" t="str">
        <f>"000121999 - RICH FOODS BB-FOODBUY"</f>
        <v>000121999 - RICH FOODS BB-FOODBUY</v>
      </c>
      <c r="C2603" t="s">
        <v>209</v>
      </c>
      <c r="D2603" s="1" t="str">
        <f t="shared" si="78"/>
        <v>PRG-1020917</v>
      </c>
      <c r="E2603" t="s">
        <v>120</v>
      </c>
      <c r="F2603" t="s">
        <v>4</v>
      </c>
      <c r="G2603" t="str">
        <f>""</f>
        <v/>
      </c>
    </row>
    <row r="2604" spans="1:7" x14ac:dyDescent="0.25">
      <c r="A2604" t="s">
        <v>8</v>
      </c>
      <c r="B2604" s="1" t="str">
        <f>"000125540 - RICH FOODS-FOODBUY"</f>
        <v>000125540 - RICH FOODS-FOODBUY</v>
      </c>
      <c r="C2604" t="s">
        <v>237</v>
      </c>
      <c r="D2604" s="1" t="str">
        <f t="shared" si="78"/>
        <v>PRG-1020917</v>
      </c>
      <c r="E2604" t="s">
        <v>120</v>
      </c>
      <c r="F2604" t="s">
        <v>4</v>
      </c>
      <c r="G2604" t="str">
        <f>""</f>
        <v/>
      </c>
    </row>
    <row r="2605" spans="1:7" x14ac:dyDescent="0.25">
      <c r="A2605" t="s">
        <v>8</v>
      </c>
      <c r="B2605" s="1" t="str">
        <f>"000127152 - RICH FOODS-FOODBUY"</f>
        <v>000127152 - RICH FOODS-FOODBUY</v>
      </c>
      <c r="C2605" t="s">
        <v>237</v>
      </c>
      <c r="D2605" s="1" t="str">
        <f t="shared" si="78"/>
        <v>PRG-1020917</v>
      </c>
      <c r="E2605" t="s">
        <v>120</v>
      </c>
      <c r="F2605" t="s">
        <v>4</v>
      </c>
      <c r="G2605" t="str">
        <f>""</f>
        <v/>
      </c>
    </row>
    <row r="2606" spans="1:7" x14ac:dyDescent="0.25">
      <c r="A2606" t="s">
        <v>8</v>
      </c>
      <c r="B2606" s="1" t="str">
        <f>"000128235 - RICH FOODS-FOODBUY"</f>
        <v>000128235 - RICH FOODS-FOODBUY</v>
      </c>
      <c r="C2606" t="s">
        <v>237</v>
      </c>
      <c r="D2606" s="1" t="str">
        <f t="shared" si="78"/>
        <v>PRG-1020917</v>
      </c>
      <c r="E2606" t="s">
        <v>120</v>
      </c>
      <c r="F2606" t="s">
        <v>4</v>
      </c>
      <c r="G2606" t="str">
        <f>""</f>
        <v/>
      </c>
    </row>
    <row r="2607" spans="1:7" x14ac:dyDescent="0.25">
      <c r="A2607" t="s">
        <v>8</v>
      </c>
      <c r="B2607" s="1" t="str">
        <f>"000128358 - RICH PRODUCTS-FOODBUY"</f>
        <v>000128358 - RICH PRODUCTS-FOODBUY</v>
      </c>
      <c r="C2607" t="s">
        <v>342</v>
      </c>
      <c r="D2607" s="1" t="str">
        <f t="shared" si="78"/>
        <v>PRG-1020917</v>
      </c>
      <c r="E2607" t="s">
        <v>120</v>
      </c>
      <c r="F2607" t="s">
        <v>4</v>
      </c>
      <c r="G2607" t="str">
        <f>""</f>
        <v/>
      </c>
    </row>
    <row r="2608" spans="1:7" x14ac:dyDescent="0.25">
      <c r="A2608" t="s">
        <v>8</v>
      </c>
      <c r="B2608" s="1" t="str">
        <f>"000129147 - RICH PRODUCTS-FOODBUY"</f>
        <v>000129147 - RICH PRODUCTS-FOODBUY</v>
      </c>
      <c r="C2608" t="s">
        <v>342</v>
      </c>
      <c r="D2608" s="1" t="str">
        <f t="shared" si="78"/>
        <v>PRG-1020917</v>
      </c>
      <c r="E2608" t="s">
        <v>120</v>
      </c>
      <c r="F2608" t="s">
        <v>4</v>
      </c>
      <c r="G2608" t="str">
        <f>""</f>
        <v/>
      </c>
    </row>
    <row r="2609" spans="1:7" x14ac:dyDescent="0.25">
      <c r="A2609" t="s">
        <v>8</v>
      </c>
      <c r="B2609" s="1" t="str">
        <f>"000129822 - RICH PRODUCTS-FOODBUY"</f>
        <v>000129822 - RICH PRODUCTS-FOODBUY</v>
      </c>
      <c r="C2609" t="s">
        <v>342</v>
      </c>
      <c r="D2609" s="1" t="str">
        <f t="shared" si="78"/>
        <v>PRG-1020917</v>
      </c>
      <c r="E2609" t="s">
        <v>120</v>
      </c>
      <c r="F2609" t="s">
        <v>4</v>
      </c>
      <c r="G2609" t="str">
        <f>""</f>
        <v/>
      </c>
    </row>
    <row r="2610" spans="1:7" x14ac:dyDescent="0.25">
      <c r="A2610" t="s">
        <v>8</v>
      </c>
      <c r="B2610" s="1" t="str">
        <f>"000130291 - RICH PRODUCTS-FOODBUY"</f>
        <v>000130291 - RICH PRODUCTS-FOODBUY</v>
      </c>
      <c r="C2610" t="s">
        <v>342</v>
      </c>
      <c r="D2610" s="1" t="str">
        <f t="shared" si="78"/>
        <v>PRG-1020917</v>
      </c>
      <c r="E2610" t="s">
        <v>120</v>
      </c>
      <c r="F2610" t="s">
        <v>4</v>
      </c>
      <c r="G2610" t="str">
        <f>""</f>
        <v/>
      </c>
    </row>
    <row r="2611" spans="1:7" x14ac:dyDescent="0.25">
      <c r="A2611" t="s">
        <v>8</v>
      </c>
      <c r="B2611" s="1" t="str">
        <f>"000130395 - RICH FOODS-FOODBUY"</f>
        <v>000130395 - RICH FOODS-FOODBUY</v>
      </c>
      <c r="C2611" t="s">
        <v>237</v>
      </c>
      <c r="D2611" s="1" t="str">
        <f t="shared" si="78"/>
        <v>PRG-1020917</v>
      </c>
      <c r="E2611" t="s">
        <v>120</v>
      </c>
      <c r="F2611" t="s">
        <v>4</v>
      </c>
      <c r="G2611" t="str">
        <f>""</f>
        <v/>
      </c>
    </row>
    <row r="2612" spans="1:7" x14ac:dyDescent="0.25">
      <c r="A2612" t="s">
        <v>8</v>
      </c>
      <c r="B2612" s="1" t="str">
        <f>"000130400 - RICH FOODS BB-FOODBUY"</f>
        <v>000130400 - RICH FOODS BB-FOODBUY</v>
      </c>
      <c r="C2612" t="s">
        <v>209</v>
      </c>
      <c r="D2612" s="1" t="str">
        <f t="shared" si="78"/>
        <v>PRG-1020917</v>
      </c>
      <c r="E2612" t="s">
        <v>120</v>
      </c>
      <c r="F2612" t="s">
        <v>4</v>
      </c>
      <c r="G2612" t="str">
        <f>""</f>
        <v/>
      </c>
    </row>
    <row r="2613" spans="1:7" x14ac:dyDescent="0.25">
      <c r="A2613" t="s">
        <v>8</v>
      </c>
      <c r="B2613" s="1" t="str">
        <f>"000130404 - RICH FOODS CORE - HILTON VOID"</f>
        <v>000130404 - RICH FOODS CORE - HILTON VOID</v>
      </c>
      <c r="C2613" t="s">
        <v>794</v>
      </c>
      <c r="D2613" s="1" t="str">
        <f t="shared" si="78"/>
        <v>PRG-1020917</v>
      </c>
      <c r="E2613" t="s">
        <v>120</v>
      </c>
      <c r="F2613" t="s">
        <v>4</v>
      </c>
      <c r="G2613" t="str">
        <f>""</f>
        <v/>
      </c>
    </row>
    <row r="2614" spans="1:7" x14ac:dyDescent="0.25">
      <c r="A2614" t="s">
        <v>8</v>
      </c>
      <c r="B2614" s="1" t="str">
        <f>"000130717 - RICH FOODS BB-FOODBUY"</f>
        <v>000130717 - RICH FOODS BB-FOODBUY</v>
      </c>
      <c r="C2614" t="s">
        <v>209</v>
      </c>
      <c r="D2614" s="1" t="str">
        <f t="shared" si="78"/>
        <v>PRG-1020917</v>
      </c>
      <c r="E2614" t="s">
        <v>120</v>
      </c>
      <c r="F2614" t="s">
        <v>4</v>
      </c>
      <c r="G2614" t="str">
        <f>""</f>
        <v/>
      </c>
    </row>
    <row r="2615" spans="1:7" x14ac:dyDescent="0.25">
      <c r="A2615" t="s">
        <v>8</v>
      </c>
      <c r="B2615" s="1" t="str">
        <f>"000130874 - RICH FOODS BB-FOODBUY"</f>
        <v>000130874 - RICH FOODS BB-FOODBUY</v>
      </c>
      <c r="C2615" t="s">
        <v>209</v>
      </c>
      <c r="D2615" s="1" t="str">
        <f t="shared" si="78"/>
        <v>PRG-1020917</v>
      </c>
      <c r="E2615" t="s">
        <v>120</v>
      </c>
      <c r="F2615" t="s">
        <v>4</v>
      </c>
      <c r="G2615" t="str">
        <f>""</f>
        <v/>
      </c>
    </row>
    <row r="2616" spans="1:7" x14ac:dyDescent="0.25">
      <c r="A2616" t="s">
        <v>8</v>
      </c>
      <c r="B2616" s="1" t="str">
        <f>"000130897 - RICH FOODS-FOODBUY"</f>
        <v>000130897 - RICH FOODS-FOODBUY</v>
      </c>
      <c r="C2616" t="s">
        <v>237</v>
      </c>
      <c r="D2616" s="1" t="str">
        <f t="shared" ref="D2616:D2679" si="79">"PRG-1020917"</f>
        <v>PRG-1020917</v>
      </c>
      <c r="E2616" t="s">
        <v>120</v>
      </c>
      <c r="F2616" t="s">
        <v>4</v>
      </c>
      <c r="G2616" t="str">
        <f>""</f>
        <v/>
      </c>
    </row>
    <row r="2617" spans="1:7" x14ac:dyDescent="0.25">
      <c r="A2617" t="s">
        <v>8</v>
      </c>
      <c r="B2617" s="1" t="str">
        <f>"000131360 - RICH FOODS BB-FOODBUY"</f>
        <v>000131360 - RICH FOODS BB-FOODBUY</v>
      </c>
      <c r="C2617" t="s">
        <v>209</v>
      </c>
      <c r="D2617" s="1" t="str">
        <f t="shared" si="79"/>
        <v>PRG-1020917</v>
      </c>
      <c r="E2617" t="s">
        <v>120</v>
      </c>
      <c r="F2617" t="s">
        <v>4</v>
      </c>
      <c r="G2617" t="str">
        <f>""</f>
        <v/>
      </c>
    </row>
    <row r="2618" spans="1:7" x14ac:dyDescent="0.25">
      <c r="A2618" t="s">
        <v>8</v>
      </c>
      <c r="B2618" s="1" t="str">
        <f>"000131722 - RICH FDS BB(DPMRETRO)-FOODBUY"</f>
        <v>000131722 - RICH FDS BB(DPMRETRO)-FOODBUY</v>
      </c>
      <c r="C2618" t="s">
        <v>939</v>
      </c>
      <c r="D2618" s="1" t="str">
        <f t="shared" si="79"/>
        <v>PRG-1020917</v>
      </c>
      <c r="E2618" t="s">
        <v>120</v>
      </c>
      <c r="F2618" t="s">
        <v>4</v>
      </c>
      <c r="G2618" t="str">
        <f>""</f>
        <v/>
      </c>
    </row>
    <row r="2619" spans="1:7" x14ac:dyDescent="0.25">
      <c r="A2619" t="s">
        <v>8</v>
      </c>
      <c r="B2619" s="1" t="str">
        <f>"000132456 - RICH PRODUCTS-FOODBUY"</f>
        <v>000132456 - RICH PRODUCTS-FOODBUY</v>
      </c>
      <c r="C2619" t="s">
        <v>342</v>
      </c>
      <c r="D2619" s="1" t="str">
        <f t="shared" si="79"/>
        <v>PRG-1020917</v>
      </c>
      <c r="E2619" t="s">
        <v>120</v>
      </c>
      <c r="F2619" t="s">
        <v>4</v>
      </c>
      <c r="G2619" t="str">
        <f>""</f>
        <v/>
      </c>
    </row>
    <row r="2620" spans="1:7" x14ac:dyDescent="0.25">
      <c r="A2620" t="s">
        <v>8</v>
      </c>
      <c r="B2620" s="1" t="str">
        <f>"000133068 - RICH PRODUCTS-HAGADONE"</f>
        <v>000133068 - RICH PRODUCTS-HAGADONE</v>
      </c>
      <c r="C2620" t="s">
        <v>940</v>
      </c>
      <c r="D2620" s="1" t="str">
        <f t="shared" si="79"/>
        <v>PRG-1020917</v>
      </c>
      <c r="E2620" t="s">
        <v>120</v>
      </c>
      <c r="F2620" t="s">
        <v>4</v>
      </c>
      <c r="G2620" t="str">
        <f>""</f>
        <v/>
      </c>
    </row>
    <row r="2621" spans="1:7" x14ac:dyDescent="0.25">
      <c r="A2621" t="s">
        <v>8</v>
      </c>
      <c r="B2621" s="1" t="str">
        <f>"000133741 - RICH PRODUCTS-FOODBUY"</f>
        <v>000133741 - RICH PRODUCTS-FOODBUY</v>
      </c>
      <c r="C2621" t="s">
        <v>342</v>
      </c>
      <c r="D2621" s="1" t="str">
        <f t="shared" si="79"/>
        <v>PRG-1020917</v>
      </c>
      <c r="E2621" t="s">
        <v>120</v>
      </c>
      <c r="F2621" t="s">
        <v>4</v>
      </c>
      <c r="G2621" t="str">
        <f>""</f>
        <v/>
      </c>
    </row>
    <row r="2622" spans="1:7" x14ac:dyDescent="0.25">
      <c r="A2622" t="s">
        <v>8</v>
      </c>
      <c r="B2622" s="1" t="str">
        <f>"000134243 - RICH FOODS BB-FOODBUY"</f>
        <v>000134243 - RICH FOODS BB-FOODBUY</v>
      </c>
      <c r="C2622" t="s">
        <v>209</v>
      </c>
      <c r="D2622" s="1" t="str">
        <f t="shared" si="79"/>
        <v>PRG-1020917</v>
      </c>
      <c r="E2622" t="s">
        <v>120</v>
      </c>
      <c r="F2622" t="s">
        <v>4</v>
      </c>
      <c r="G2622" t="str">
        <f>""</f>
        <v/>
      </c>
    </row>
    <row r="2623" spans="1:7" x14ac:dyDescent="0.25">
      <c r="A2623" t="s">
        <v>8</v>
      </c>
      <c r="B2623" s="1" t="str">
        <f>"000134678 - RICH FOODS BB-FOODBUY"</f>
        <v>000134678 - RICH FOODS BB-FOODBUY</v>
      </c>
      <c r="C2623" t="s">
        <v>209</v>
      </c>
      <c r="D2623" s="1" t="str">
        <f t="shared" si="79"/>
        <v>PRG-1020917</v>
      </c>
      <c r="E2623" t="s">
        <v>120</v>
      </c>
      <c r="F2623" t="s">
        <v>4</v>
      </c>
      <c r="G2623" t="str">
        <f>""</f>
        <v/>
      </c>
    </row>
    <row r="2624" spans="1:7" x14ac:dyDescent="0.25">
      <c r="A2624" t="s">
        <v>8</v>
      </c>
      <c r="B2624" s="1" t="str">
        <f>"000143223 - RICH FOODS-FOODBUY"</f>
        <v>000143223 - RICH FOODS-FOODBUY</v>
      </c>
      <c r="C2624" t="s">
        <v>237</v>
      </c>
      <c r="D2624" s="1" t="str">
        <f t="shared" si="79"/>
        <v>PRG-1020917</v>
      </c>
      <c r="E2624" t="s">
        <v>120</v>
      </c>
      <c r="F2624" t="s">
        <v>4</v>
      </c>
      <c r="G2624" t="str">
        <f>""</f>
        <v/>
      </c>
    </row>
    <row r="2625" spans="1:7" x14ac:dyDescent="0.25">
      <c r="A2625" t="s">
        <v>8</v>
      </c>
      <c r="B2625" s="1" t="str">
        <f>"000145523 - RICH PRODUCTS-FOODBUY"</f>
        <v>000145523 - RICH PRODUCTS-FOODBUY</v>
      </c>
      <c r="C2625" t="s">
        <v>342</v>
      </c>
      <c r="D2625" s="1" t="str">
        <f t="shared" si="79"/>
        <v>PRG-1020917</v>
      </c>
      <c r="E2625" t="s">
        <v>120</v>
      </c>
      <c r="F2625" t="s">
        <v>4</v>
      </c>
      <c r="G2625" t="str">
        <f>""</f>
        <v/>
      </c>
    </row>
    <row r="2626" spans="1:7" x14ac:dyDescent="0.25">
      <c r="A2626" t="s">
        <v>8</v>
      </c>
      <c r="B2626" s="1" t="str">
        <f>"000147068 - RICH PRODUCTS-FOODBUY"</f>
        <v>000147068 - RICH PRODUCTS-FOODBUY</v>
      </c>
      <c r="C2626" t="s">
        <v>342</v>
      </c>
      <c r="D2626" s="1" t="str">
        <f t="shared" si="79"/>
        <v>PRG-1020917</v>
      </c>
      <c r="E2626" t="s">
        <v>120</v>
      </c>
      <c r="F2626" t="s">
        <v>4</v>
      </c>
      <c r="G2626" t="str">
        <f>""</f>
        <v/>
      </c>
    </row>
    <row r="2627" spans="1:7" x14ac:dyDescent="0.25">
      <c r="A2627" t="s">
        <v>8</v>
      </c>
      <c r="B2627" s="1" t="str">
        <f>"000147667 - RICH FOODS BB-FOODBUY"</f>
        <v>000147667 - RICH FOODS BB-FOODBUY</v>
      </c>
      <c r="C2627" t="s">
        <v>209</v>
      </c>
      <c r="D2627" s="1" t="str">
        <f t="shared" si="79"/>
        <v>PRG-1020917</v>
      </c>
      <c r="E2627" t="s">
        <v>120</v>
      </c>
      <c r="F2627" t="s">
        <v>4</v>
      </c>
      <c r="G2627" t="str">
        <f>""</f>
        <v/>
      </c>
    </row>
    <row r="2628" spans="1:7" x14ac:dyDescent="0.25">
      <c r="A2628" t="s">
        <v>8</v>
      </c>
      <c r="B2628" s="1" t="str">
        <f>"000148188 - RICH FOODS BB-FOODBUY"</f>
        <v>000148188 - RICH FOODS BB-FOODBUY</v>
      </c>
      <c r="C2628" t="s">
        <v>209</v>
      </c>
      <c r="D2628" s="1" t="str">
        <f t="shared" si="79"/>
        <v>PRG-1020917</v>
      </c>
      <c r="E2628" t="s">
        <v>120</v>
      </c>
      <c r="F2628" t="s">
        <v>4</v>
      </c>
      <c r="G2628" t="str">
        <f>""</f>
        <v/>
      </c>
    </row>
    <row r="2629" spans="1:7" x14ac:dyDescent="0.25">
      <c r="A2629" t="s">
        <v>8</v>
      </c>
      <c r="B2629" s="1" t="str">
        <f>"000149704 - RICH FDS FDBY-COMPASS BB"</f>
        <v>000149704 - RICH FDS FDBY-COMPASS BB</v>
      </c>
      <c r="C2629" t="s">
        <v>1007</v>
      </c>
      <c r="D2629" s="1" t="str">
        <f t="shared" si="79"/>
        <v>PRG-1020917</v>
      </c>
      <c r="E2629" t="s">
        <v>120</v>
      </c>
      <c r="F2629" t="s">
        <v>4</v>
      </c>
      <c r="G2629" t="str">
        <f>""</f>
        <v/>
      </c>
    </row>
    <row r="2630" spans="1:7" x14ac:dyDescent="0.25">
      <c r="A2630" t="s">
        <v>8</v>
      </c>
      <c r="B2630" s="1" t="str">
        <f>"000161631 - RICH FOODS-FOODBUY"</f>
        <v>000161631 - RICH FOODS-FOODBUY</v>
      </c>
      <c r="C2630" t="s">
        <v>237</v>
      </c>
      <c r="D2630" s="1" t="str">
        <f t="shared" si="79"/>
        <v>PRG-1020917</v>
      </c>
      <c r="E2630" t="s">
        <v>120</v>
      </c>
      <c r="F2630" t="s">
        <v>4</v>
      </c>
      <c r="G2630" t="str">
        <f>""</f>
        <v/>
      </c>
    </row>
    <row r="2631" spans="1:7" x14ac:dyDescent="0.25">
      <c r="A2631" t="s">
        <v>8</v>
      </c>
      <c r="B2631" s="1" t="str">
        <f>"000170501 - RICH FOODS-FOODBUY"</f>
        <v>000170501 - RICH FOODS-FOODBUY</v>
      </c>
      <c r="C2631" t="s">
        <v>237</v>
      </c>
      <c r="D2631" s="1" t="str">
        <f t="shared" si="79"/>
        <v>PRG-1020917</v>
      </c>
      <c r="E2631" t="s">
        <v>120</v>
      </c>
      <c r="F2631" t="s">
        <v>4</v>
      </c>
      <c r="G2631" t="str">
        <f>""</f>
        <v/>
      </c>
    </row>
    <row r="2632" spans="1:7" x14ac:dyDescent="0.25">
      <c r="A2632" t="s">
        <v>8</v>
      </c>
      <c r="B2632" s="1" t="str">
        <f>"000172018 - RICH FOODS-FOODBUY"</f>
        <v>000172018 - RICH FOODS-FOODBUY</v>
      </c>
      <c r="C2632" t="s">
        <v>237</v>
      </c>
      <c r="D2632" s="1" t="str">
        <f t="shared" si="79"/>
        <v>PRG-1020917</v>
      </c>
      <c r="E2632" t="s">
        <v>120</v>
      </c>
      <c r="F2632" t="s">
        <v>4</v>
      </c>
      <c r="G2632" t="str">
        <f>""</f>
        <v/>
      </c>
    </row>
    <row r="2633" spans="1:7" x14ac:dyDescent="0.25">
      <c r="A2633" t="s">
        <v>8</v>
      </c>
      <c r="B2633" s="1" t="str">
        <f>"000172663 - RICH PRODUCTS-FOODBUY"</f>
        <v>000172663 - RICH PRODUCTS-FOODBUY</v>
      </c>
      <c r="C2633" t="s">
        <v>342</v>
      </c>
      <c r="D2633" s="1" t="str">
        <f t="shared" si="79"/>
        <v>PRG-1020917</v>
      </c>
      <c r="E2633" t="s">
        <v>120</v>
      </c>
      <c r="F2633" t="s">
        <v>4</v>
      </c>
      <c r="G2633" t="str">
        <f>""</f>
        <v/>
      </c>
    </row>
    <row r="2634" spans="1:7" x14ac:dyDescent="0.25">
      <c r="A2634" t="s">
        <v>8</v>
      </c>
      <c r="B2634" s="1" t="str">
        <f>"000174112 - RICH PRODUCTS-FOODBUY"</f>
        <v>000174112 - RICH PRODUCTS-FOODBUY</v>
      </c>
      <c r="C2634" t="s">
        <v>342</v>
      </c>
      <c r="D2634" s="1" t="str">
        <f t="shared" si="79"/>
        <v>PRG-1020917</v>
      </c>
      <c r="E2634" t="s">
        <v>120</v>
      </c>
      <c r="F2634" t="s">
        <v>4</v>
      </c>
      <c r="G2634" t="str">
        <f>""</f>
        <v/>
      </c>
    </row>
    <row r="2635" spans="1:7" x14ac:dyDescent="0.25">
      <c r="A2635" t="s">
        <v>8</v>
      </c>
      <c r="B2635" s="1" t="str">
        <f>"000174505 - RICH FOODS-FOODBUY"</f>
        <v>000174505 - RICH FOODS-FOODBUY</v>
      </c>
      <c r="C2635" t="s">
        <v>237</v>
      </c>
      <c r="D2635" s="1" t="str">
        <f t="shared" si="79"/>
        <v>PRG-1020917</v>
      </c>
      <c r="E2635" t="s">
        <v>120</v>
      </c>
      <c r="F2635" t="s">
        <v>4</v>
      </c>
      <c r="G2635" t="str">
        <f>""</f>
        <v/>
      </c>
    </row>
    <row r="2636" spans="1:7" x14ac:dyDescent="0.25">
      <c r="A2636" t="s">
        <v>8</v>
      </c>
      <c r="B2636" s="1" t="str">
        <f>"000174853 - RICH FOODS BB-FOODBUY"</f>
        <v>000174853 - RICH FOODS BB-FOODBUY</v>
      </c>
      <c r="C2636" t="s">
        <v>209</v>
      </c>
      <c r="D2636" s="1" t="str">
        <f t="shared" si="79"/>
        <v>PRG-1020917</v>
      </c>
      <c r="E2636" t="s">
        <v>120</v>
      </c>
      <c r="F2636" t="s">
        <v>4</v>
      </c>
      <c r="G2636" t="str">
        <f>""</f>
        <v/>
      </c>
    </row>
    <row r="2637" spans="1:7" x14ac:dyDescent="0.25">
      <c r="A2637" t="s">
        <v>8</v>
      </c>
      <c r="B2637" s="1" t="str">
        <f>"000175575 - RICH FOODS BB-FOODBUY"</f>
        <v>000175575 - RICH FOODS BB-FOODBUY</v>
      </c>
      <c r="C2637" t="s">
        <v>209</v>
      </c>
      <c r="D2637" s="1" t="str">
        <f t="shared" si="79"/>
        <v>PRG-1020917</v>
      </c>
      <c r="E2637" t="s">
        <v>120</v>
      </c>
      <c r="F2637" t="s">
        <v>4</v>
      </c>
      <c r="G2637" t="str">
        <f>""</f>
        <v/>
      </c>
    </row>
    <row r="2638" spans="1:7" x14ac:dyDescent="0.25">
      <c r="A2638" t="s">
        <v>8</v>
      </c>
      <c r="B2638" s="1" t="str">
        <f>"000177746 - RICH FOODS-FOODBUY"</f>
        <v>000177746 - RICH FOODS-FOODBUY</v>
      </c>
      <c r="C2638" t="s">
        <v>237</v>
      </c>
      <c r="D2638" s="1" t="str">
        <f t="shared" si="79"/>
        <v>PRG-1020917</v>
      </c>
      <c r="E2638" t="s">
        <v>120</v>
      </c>
      <c r="F2638" t="s">
        <v>4</v>
      </c>
      <c r="G2638" t="str">
        <f>""</f>
        <v/>
      </c>
    </row>
    <row r="2639" spans="1:7" x14ac:dyDescent="0.25">
      <c r="A2639" t="s">
        <v>8</v>
      </c>
      <c r="B2639" s="1" t="str">
        <f>"000182308 - RICH FOODS-FOODBUY"</f>
        <v>000182308 - RICH FOODS-FOODBUY</v>
      </c>
      <c r="C2639" t="s">
        <v>237</v>
      </c>
      <c r="D2639" s="1" t="str">
        <f t="shared" si="79"/>
        <v>PRG-1020917</v>
      </c>
      <c r="E2639" t="s">
        <v>120</v>
      </c>
      <c r="F2639" t="s">
        <v>4</v>
      </c>
      <c r="G2639" t="str">
        <f>""</f>
        <v/>
      </c>
    </row>
    <row r="2640" spans="1:7" x14ac:dyDescent="0.25">
      <c r="A2640" t="s">
        <v>8</v>
      </c>
      <c r="B2640" s="1" t="str">
        <f>"000182980 - RICH FOODS-FOODBUY"</f>
        <v>000182980 - RICH FOODS-FOODBUY</v>
      </c>
      <c r="C2640" t="s">
        <v>237</v>
      </c>
      <c r="D2640" s="1" t="str">
        <f t="shared" si="79"/>
        <v>PRG-1020917</v>
      </c>
      <c r="E2640" t="s">
        <v>120</v>
      </c>
      <c r="F2640" t="s">
        <v>4</v>
      </c>
      <c r="G2640" t="str">
        <f>""</f>
        <v/>
      </c>
    </row>
    <row r="2641" spans="1:7" x14ac:dyDescent="0.25">
      <c r="A2641" t="s">
        <v>8</v>
      </c>
      <c r="B2641" s="1" t="str">
        <f>"000184891 - RICH FOODS-FOODBUY"</f>
        <v>000184891 - RICH FOODS-FOODBUY</v>
      </c>
      <c r="C2641" t="s">
        <v>237</v>
      </c>
      <c r="D2641" s="1" t="str">
        <f t="shared" si="79"/>
        <v>PRG-1020917</v>
      </c>
      <c r="E2641" t="s">
        <v>120</v>
      </c>
      <c r="F2641" t="s">
        <v>4</v>
      </c>
      <c r="G2641" t="str">
        <f>""</f>
        <v/>
      </c>
    </row>
    <row r="2642" spans="1:7" x14ac:dyDescent="0.25">
      <c r="A2642" t="s">
        <v>8</v>
      </c>
      <c r="B2642" s="1" t="str">
        <f>"000184993 - RICH FOODS-FOODBUY 182771"</f>
        <v>000184993 - RICH FOODS-FOODBUY 182771</v>
      </c>
      <c r="C2642" t="s">
        <v>1164</v>
      </c>
      <c r="D2642" s="1" t="str">
        <f t="shared" si="79"/>
        <v>PRG-1020917</v>
      </c>
      <c r="E2642" t="s">
        <v>120</v>
      </c>
      <c r="F2642" t="s">
        <v>4</v>
      </c>
      <c r="G2642" t="str">
        <f>""</f>
        <v/>
      </c>
    </row>
    <row r="2643" spans="1:7" x14ac:dyDescent="0.25">
      <c r="A2643" t="s">
        <v>8</v>
      </c>
      <c r="B2643" s="1" t="str">
        <f>"000185296 - (L)RICH PROD(FOODBUY-187012)"</f>
        <v>000185296 - (L)RICH PROD(FOODBUY-187012)</v>
      </c>
      <c r="C2643" t="s">
        <v>1169</v>
      </c>
      <c r="D2643" s="1" t="str">
        <f t="shared" si="79"/>
        <v>PRG-1020917</v>
      </c>
      <c r="E2643" t="s">
        <v>120</v>
      </c>
      <c r="F2643" t="s">
        <v>4</v>
      </c>
      <c r="G2643" t="str">
        <f>""</f>
        <v/>
      </c>
    </row>
    <row r="2644" spans="1:7" x14ac:dyDescent="0.25">
      <c r="A2644" t="s">
        <v>8</v>
      </c>
      <c r="B2644" s="1" t="str">
        <f>"000185346 - RICH PRODUCTS-FOODBUY"</f>
        <v>000185346 - RICH PRODUCTS-FOODBUY</v>
      </c>
      <c r="C2644" t="s">
        <v>342</v>
      </c>
      <c r="D2644" s="1" t="str">
        <f t="shared" si="79"/>
        <v>PRG-1020917</v>
      </c>
      <c r="E2644" t="s">
        <v>120</v>
      </c>
      <c r="F2644" t="s">
        <v>4</v>
      </c>
      <c r="G2644" t="str">
        <f>""</f>
        <v/>
      </c>
    </row>
    <row r="2645" spans="1:7" x14ac:dyDescent="0.25">
      <c r="A2645" t="s">
        <v>8</v>
      </c>
      <c r="B2645" s="1" t="str">
        <f>"000186345 - RICH FOODS-FOODBUY"</f>
        <v>000186345 - RICH FOODS-FOODBUY</v>
      </c>
      <c r="C2645" t="s">
        <v>237</v>
      </c>
      <c r="D2645" s="1" t="str">
        <f t="shared" si="79"/>
        <v>PRG-1020917</v>
      </c>
      <c r="E2645" t="s">
        <v>120</v>
      </c>
      <c r="F2645" t="s">
        <v>4</v>
      </c>
      <c r="G2645" t="str">
        <f>""</f>
        <v/>
      </c>
    </row>
    <row r="2646" spans="1:7" x14ac:dyDescent="0.25">
      <c r="A2646" t="s">
        <v>8</v>
      </c>
      <c r="B2646" s="1" t="str">
        <f>"000187140 - RICH PRODUCTS-FOODBUY"</f>
        <v>000187140 - RICH PRODUCTS-FOODBUY</v>
      </c>
      <c r="C2646" t="s">
        <v>342</v>
      </c>
      <c r="D2646" s="1" t="str">
        <f t="shared" si="79"/>
        <v>PRG-1020917</v>
      </c>
      <c r="E2646" t="s">
        <v>120</v>
      </c>
      <c r="F2646" t="s">
        <v>4</v>
      </c>
      <c r="G2646" t="str">
        <f>""</f>
        <v/>
      </c>
    </row>
    <row r="2647" spans="1:7" x14ac:dyDescent="0.25">
      <c r="A2647" t="s">
        <v>8</v>
      </c>
      <c r="B2647" s="1" t="str">
        <f>"000187572 - RICH FOODS BB-FOODBUY"</f>
        <v>000187572 - RICH FOODS BB-FOODBUY</v>
      </c>
      <c r="C2647" t="s">
        <v>209</v>
      </c>
      <c r="D2647" s="1" t="str">
        <f t="shared" si="79"/>
        <v>PRG-1020917</v>
      </c>
      <c r="E2647" t="s">
        <v>120</v>
      </c>
      <c r="F2647" t="s">
        <v>4</v>
      </c>
      <c r="G2647" t="str">
        <f>""</f>
        <v/>
      </c>
    </row>
    <row r="2648" spans="1:7" x14ac:dyDescent="0.25">
      <c r="A2648" t="s">
        <v>8</v>
      </c>
      <c r="B2648" s="1" t="str">
        <f>"000187770 - RICH FOODS BB-FOODBUY"</f>
        <v>000187770 - RICH FOODS BB-FOODBUY</v>
      </c>
      <c r="C2648" t="s">
        <v>209</v>
      </c>
      <c r="D2648" s="1" t="str">
        <f t="shared" si="79"/>
        <v>PRG-1020917</v>
      </c>
      <c r="E2648" t="s">
        <v>120</v>
      </c>
      <c r="F2648" t="s">
        <v>4</v>
      </c>
      <c r="G2648" t="str">
        <f>""</f>
        <v/>
      </c>
    </row>
    <row r="2649" spans="1:7" x14ac:dyDescent="0.25">
      <c r="A2649" t="s">
        <v>8</v>
      </c>
      <c r="B2649" s="1" t="str">
        <f>"000187998 - RICH FOODS BB FOODBUY"</f>
        <v>000187998 - RICH FOODS BB FOODBUY</v>
      </c>
      <c r="C2649" t="s">
        <v>228</v>
      </c>
      <c r="D2649" s="1" t="str">
        <f t="shared" si="79"/>
        <v>PRG-1020917</v>
      </c>
      <c r="E2649" t="s">
        <v>120</v>
      </c>
      <c r="F2649" t="s">
        <v>4</v>
      </c>
      <c r="G2649" t="str">
        <f>""</f>
        <v/>
      </c>
    </row>
    <row r="2650" spans="1:7" x14ac:dyDescent="0.25">
      <c r="A2650" t="s">
        <v>8</v>
      </c>
      <c r="B2650" s="1" t="str">
        <f>"000188136 - RICH FOODS BB-FOODBUY"</f>
        <v>000188136 - RICH FOODS BB-FOODBUY</v>
      </c>
      <c r="C2650" t="s">
        <v>209</v>
      </c>
      <c r="D2650" s="1" t="str">
        <f t="shared" si="79"/>
        <v>PRG-1020917</v>
      </c>
      <c r="E2650" t="s">
        <v>120</v>
      </c>
      <c r="F2650" t="s">
        <v>4</v>
      </c>
      <c r="G2650" t="str">
        <f>""</f>
        <v/>
      </c>
    </row>
    <row r="2651" spans="1:7" x14ac:dyDescent="0.25">
      <c r="A2651" t="s">
        <v>8</v>
      </c>
      <c r="B2651" s="1" t="str">
        <f>"000188341 - RICH FOODS BB-FOODBUY"</f>
        <v>000188341 - RICH FOODS BB-FOODBUY</v>
      </c>
      <c r="C2651" t="s">
        <v>209</v>
      </c>
      <c r="D2651" s="1" t="str">
        <f t="shared" si="79"/>
        <v>PRG-1020917</v>
      </c>
      <c r="E2651" t="s">
        <v>120</v>
      </c>
      <c r="F2651" t="s">
        <v>4</v>
      </c>
      <c r="G2651" t="str">
        <f>""</f>
        <v/>
      </c>
    </row>
    <row r="2652" spans="1:7" x14ac:dyDescent="0.25">
      <c r="A2652" t="s">
        <v>8</v>
      </c>
      <c r="B2652" s="1" t="str">
        <f>"000188651 - RICH FOODS BB FOODBUY"</f>
        <v>000188651 - RICH FOODS BB FOODBUY</v>
      </c>
      <c r="C2652" t="s">
        <v>228</v>
      </c>
      <c r="D2652" s="1" t="str">
        <f t="shared" si="79"/>
        <v>PRG-1020917</v>
      </c>
      <c r="E2652" t="s">
        <v>120</v>
      </c>
      <c r="F2652" t="s">
        <v>4</v>
      </c>
      <c r="G2652" t="str">
        <f>""</f>
        <v/>
      </c>
    </row>
    <row r="2653" spans="1:7" x14ac:dyDescent="0.25">
      <c r="A2653" t="s">
        <v>8</v>
      </c>
      <c r="B2653" s="1" t="str">
        <f>"000189392 - rich foods-foodbuy"</f>
        <v>000189392 - rich foods-foodbuy</v>
      </c>
      <c r="C2653" t="s">
        <v>717</v>
      </c>
      <c r="D2653" s="1" t="str">
        <f t="shared" si="79"/>
        <v>PRG-1020917</v>
      </c>
      <c r="E2653" t="s">
        <v>120</v>
      </c>
      <c r="F2653" t="s">
        <v>4</v>
      </c>
      <c r="G2653" t="str">
        <f>""</f>
        <v/>
      </c>
    </row>
    <row r="2654" spans="1:7" x14ac:dyDescent="0.25">
      <c r="A2654" t="s">
        <v>8</v>
      </c>
      <c r="B2654" s="1" t="str">
        <f>"000190490 - RICH FOODS-FOODBUY"</f>
        <v>000190490 - RICH FOODS-FOODBUY</v>
      </c>
      <c r="C2654" t="s">
        <v>237</v>
      </c>
      <c r="D2654" s="1" t="str">
        <f t="shared" si="79"/>
        <v>PRG-1020917</v>
      </c>
      <c r="E2654" t="s">
        <v>120</v>
      </c>
      <c r="F2654" t="s">
        <v>4</v>
      </c>
      <c r="G2654" t="str">
        <f>""</f>
        <v/>
      </c>
    </row>
    <row r="2655" spans="1:7" x14ac:dyDescent="0.25">
      <c r="A2655" t="s">
        <v>8</v>
      </c>
      <c r="B2655" s="1" t="str">
        <f>"000191622 - USDA 100912 RICH PRODUCTS - IL"</f>
        <v>000191622 - USDA 100912 RICH PRODUCTS - IL</v>
      </c>
      <c r="C2655" t="s">
        <v>1213</v>
      </c>
      <c r="D2655" s="1" t="str">
        <f t="shared" si="79"/>
        <v>PRG-1020917</v>
      </c>
      <c r="E2655" t="s">
        <v>120</v>
      </c>
      <c r="F2655" t="s">
        <v>4</v>
      </c>
      <c r="G2655" t="str">
        <f>""</f>
        <v/>
      </c>
    </row>
    <row r="2656" spans="1:7" x14ac:dyDescent="0.25">
      <c r="A2656" t="s">
        <v>8</v>
      </c>
      <c r="B2656" s="1" t="str">
        <f>"000192114 - Rich Foods-Foodbuy"</f>
        <v>000192114 - Rich Foods-Foodbuy</v>
      </c>
      <c r="C2656" t="s">
        <v>757</v>
      </c>
      <c r="D2656" s="1" t="str">
        <f t="shared" si="79"/>
        <v>PRG-1020917</v>
      </c>
      <c r="E2656" t="s">
        <v>120</v>
      </c>
      <c r="F2656" t="s">
        <v>4</v>
      </c>
      <c r="G2656" t="str">
        <f>""</f>
        <v/>
      </c>
    </row>
    <row r="2657" spans="1:7" x14ac:dyDescent="0.25">
      <c r="A2657" t="s">
        <v>8</v>
      </c>
      <c r="B2657" s="1" t="str">
        <f>"000192736 - RICH PRODUCTS-FOODBUY"</f>
        <v>000192736 - RICH PRODUCTS-FOODBUY</v>
      </c>
      <c r="C2657" t="s">
        <v>342</v>
      </c>
      <c r="D2657" s="1" t="str">
        <f t="shared" si="79"/>
        <v>PRG-1020917</v>
      </c>
      <c r="E2657" t="s">
        <v>120</v>
      </c>
      <c r="F2657" t="s">
        <v>4</v>
      </c>
      <c r="G2657" t="str">
        <f>""</f>
        <v/>
      </c>
    </row>
    <row r="2658" spans="1:7" x14ac:dyDescent="0.25">
      <c r="A2658" t="s">
        <v>8</v>
      </c>
      <c r="B2658" s="1" t="str">
        <f>"000193007 - rich foods-foodbuy"</f>
        <v>000193007 - rich foods-foodbuy</v>
      </c>
      <c r="C2658" t="s">
        <v>717</v>
      </c>
      <c r="D2658" s="1" t="str">
        <f t="shared" si="79"/>
        <v>PRG-1020917</v>
      </c>
      <c r="E2658" t="s">
        <v>120</v>
      </c>
      <c r="F2658" t="s">
        <v>4</v>
      </c>
      <c r="G2658" t="str">
        <f>""</f>
        <v/>
      </c>
    </row>
    <row r="2659" spans="1:7" x14ac:dyDescent="0.25">
      <c r="A2659" t="s">
        <v>8</v>
      </c>
      <c r="B2659" s="1" t="str">
        <f>"000194124 - RICHS FOODS BB-FOODBUY"</f>
        <v>000194124 - RICHS FOODS BB-FOODBUY</v>
      </c>
      <c r="C2659" t="s">
        <v>393</v>
      </c>
      <c r="D2659" s="1" t="str">
        <f t="shared" si="79"/>
        <v>PRG-1020917</v>
      </c>
      <c r="E2659" t="s">
        <v>120</v>
      </c>
      <c r="F2659" t="s">
        <v>4</v>
      </c>
      <c r="G2659" t="str">
        <f>""</f>
        <v/>
      </c>
    </row>
    <row r="2660" spans="1:7" x14ac:dyDescent="0.25">
      <c r="A2660" t="s">
        <v>8</v>
      </c>
      <c r="B2660" s="1" t="str">
        <f>"000194264 - RICH PRODUCTS-FOODBUY"</f>
        <v>000194264 - RICH PRODUCTS-FOODBUY</v>
      </c>
      <c r="C2660" t="s">
        <v>342</v>
      </c>
      <c r="D2660" s="1" t="str">
        <f t="shared" si="79"/>
        <v>PRG-1020917</v>
      </c>
      <c r="E2660" t="s">
        <v>120</v>
      </c>
      <c r="F2660" t="s">
        <v>4</v>
      </c>
      <c r="G2660" t="str">
        <f>""</f>
        <v/>
      </c>
    </row>
    <row r="2661" spans="1:7" x14ac:dyDescent="0.25">
      <c r="A2661" t="s">
        <v>8</v>
      </c>
      <c r="B2661" s="1" t="str">
        <f>"000194700 - RICHS FOODS BB FOODBUY"</f>
        <v>000194700 - RICHS FOODS BB FOODBUY</v>
      </c>
      <c r="C2661" t="s">
        <v>562</v>
      </c>
      <c r="D2661" s="1" t="str">
        <f t="shared" si="79"/>
        <v>PRG-1020917</v>
      </c>
      <c r="E2661" t="s">
        <v>120</v>
      </c>
      <c r="F2661" t="s">
        <v>4</v>
      </c>
      <c r="G2661" t="str">
        <f>""</f>
        <v/>
      </c>
    </row>
    <row r="2662" spans="1:7" x14ac:dyDescent="0.25">
      <c r="A2662" t="s">
        <v>8</v>
      </c>
      <c r="B2662" s="1" t="str">
        <f>"000194832 - RICH FOODS BB-FOODBUY"</f>
        <v>000194832 - RICH FOODS BB-FOODBUY</v>
      </c>
      <c r="C2662" t="s">
        <v>209</v>
      </c>
      <c r="D2662" s="1" t="str">
        <f t="shared" si="79"/>
        <v>PRG-1020917</v>
      </c>
      <c r="E2662" t="s">
        <v>120</v>
      </c>
      <c r="F2662" t="s">
        <v>4</v>
      </c>
      <c r="G2662" t="str">
        <f>""</f>
        <v/>
      </c>
    </row>
    <row r="2663" spans="1:7" x14ac:dyDescent="0.25">
      <c r="A2663" t="s">
        <v>8</v>
      </c>
      <c r="B2663" s="1" t="str">
        <f>"000194936 - BB FDBY FOB RICH"</f>
        <v>000194936 - BB FDBY FOB RICH</v>
      </c>
      <c r="C2663" t="s">
        <v>1248</v>
      </c>
      <c r="D2663" s="1" t="str">
        <f t="shared" si="79"/>
        <v>PRG-1020917</v>
      </c>
      <c r="E2663" t="s">
        <v>120</v>
      </c>
      <c r="F2663" t="s">
        <v>4</v>
      </c>
      <c r="G2663" t="str">
        <f>""</f>
        <v/>
      </c>
    </row>
    <row r="2664" spans="1:7" x14ac:dyDescent="0.25">
      <c r="A2664" t="s">
        <v>8</v>
      </c>
      <c r="B2664" s="1" t="str">
        <f>"000195441 - RICH FOODS BB-FOODBUY"</f>
        <v>000195441 - RICH FOODS BB-FOODBUY</v>
      </c>
      <c r="C2664" t="s">
        <v>209</v>
      </c>
      <c r="D2664" s="1" t="str">
        <f t="shared" si="79"/>
        <v>PRG-1020917</v>
      </c>
      <c r="E2664" t="s">
        <v>120</v>
      </c>
      <c r="F2664" t="s">
        <v>4</v>
      </c>
      <c r="G2664" t="str">
        <f>""</f>
        <v/>
      </c>
    </row>
    <row r="2665" spans="1:7" x14ac:dyDescent="0.25">
      <c r="A2665" t="s">
        <v>8</v>
      </c>
      <c r="B2665" s="1" t="str">
        <f>"000197000 - Rich Foods-Foodbuy"</f>
        <v>000197000 - Rich Foods-Foodbuy</v>
      </c>
      <c r="C2665" t="s">
        <v>757</v>
      </c>
      <c r="D2665" s="1" t="str">
        <f t="shared" si="79"/>
        <v>PRG-1020917</v>
      </c>
      <c r="E2665" t="s">
        <v>120</v>
      </c>
      <c r="F2665" t="s">
        <v>4</v>
      </c>
      <c r="G2665" t="str">
        <f>""</f>
        <v/>
      </c>
    </row>
    <row r="2666" spans="1:7" x14ac:dyDescent="0.25">
      <c r="A2666" t="s">
        <v>8</v>
      </c>
      <c r="B2666" s="1" t="str">
        <f>"000197526 - FDBY FOB RICH"</f>
        <v>000197526 - FDBY FOB RICH</v>
      </c>
      <c r="C2666" t="s">
        <v>1276</v>
      </c>
      <c r="D2666" s="1" t="str">
        <f t="shared" si="79"/>
        <v>PRG-1020917</v>
      </c>
      <c r="E2666" t="s">
        <v>120</v>
      </c>
      <c r="F2666" t="s">
        <v>4</v>
      </c>
      <c r="G2666" t="str">
        <f>""</f>
        <v/>
      </c>
    </row>
    <row r="2667" spans="1:7" x14ac:dyDescent="0.25">
      <c r="A2667" t="s">
        <v>8</v>
      </c>
      <c r="B2667" s="1" t="str">
        <f>"000198210 - RICH FOODS FOODBUY (186345)"</f>
        <v>000198210 - RICH FOODS FOODBUY (186345)</v>
      </c>
      <c r="C2667" t="s">
        <v>1282</v>
      </c>
      <c r="D2667" s="1" t="str">
        <f t="shared" si="79"/>
        <v>PRG-1020917</v>
      </c>
      <c r="E2667" t="s">
        <v>120</v>
      </c>
      <c r="F2667" t="s">
        <v>4</v>
      </c>
      <c r="G2667" t="str">
        <f>""</f>
        <v/>
      </c>
    </row>
    <row r="2668" spans="1:7" x14ac:dyDescent="0.25">
      <c r="A2668" t="s">
        <v>8</v>
      </c>
      <c r="B2668" s="1" t="str">
        <f>"000198253 - FDBY FOB RICH"</f>
        <v>000198253 - FDBY FOB RICH</v>
      </c>
      <c r="C2668" t="s">
        <v>1276</v>
      </c>
      <c r="D2668" s="1" t="str">
        <f t="shared" si="79"/>
        <v>PRG-1020917</v>
      </c>
      <c r="E2668" t="s">
        <v>120</v>
      </c>
      <c r="F2668" t="s">
        <v>4</v>
      </c>
      <c r="G2668" t="str">
        <f>""</f>
        <v/>
      </c>
    </row>
    <row r="2669" spans="1:7" x14ac:dyDescent="0.25">
      <c r="A2669" t="s">
        <v>8</v>
      </c>
      <c r="B2669" s="1" t="str">
        <f>"000200834 - RICHS FOODBUY (PHR)"</f>
        <v>000200834 - RICHS FOODBUY (PHR)</v>
      </c>
      <c r="C2669" t="s">
        <v>1309</v>
      </c>
      <c r="D2669" s="1" t="str">
        <f t="shared" si="79"/>
        <v>PRG-1020917</v>
      </c>
      <c r="E2669" t="s">
        <v>120</v>
      </c>
      <c r="F2669" t="s">
        <v>4</v>
      </c>
      <c r="G2669" t="str">
        <f>""</f>
        <v/>
      </c>
    </row>
    <row r="2670" spans="1:7" x14ac:dyDescent="0.25">
      <c r="A2670" t="s">
        <v>8</v>
      </c>
      <c r="B2670" s="1" t="str">
        <f>"000202035 - RICH FOODS-FOODBUY"</f>
        <v>000202035 - RICH FOODS-FOODBUY</v>
      </c>
      <c r="C2670" t="s">
        <v>237</v>
      </c>
      <c r="D2670" s="1" t="str">
        <f t="shared" si="79"/>
        <v>PRG-1020917</v>
      </c>
      <c r="E2670" t="s">
        <v>120</v>
      </c>
      <c r="F2670" t="s">
        <v>4</v>
      </c>
      <c r="G2670" t="str">
        <f>""</f>
        <v/>
      </c>
    </row>
    <row r="2671" spans="1:7" x14ac:dyDescent="0.25">
      <c r="A2671" t="s">
        <v>8</v>
      </c>
      <c r="B2671" s="1" t="str">
        <f>"000202468 - BB FDBY FOB RICH"</f>
        <v>000202468 - BB FDBY FOB RICH</v>
      </c>
      <c r="C2671" t="s">
        <v>1248</v>
      </c>
      <c r="D2671" s="1" t="str">
        <f t="shared" si="79"/>
        <v>PRG-1020917</v>
      </c>
      <c r="E2671" t="s">
        <v>120</v>
      </c>
      <c r="F2671" t="s">
        <v>4</v>
      </c>
      <c r="G2671" t="str">
        <f>""</f>
        <v/>
      </c>
    </row>
    <row r="2672" spans="1:7" x14ac:dyDescent="0.25">
      <c r="A2672" t="s">
        <v>8</v>
      </c>
      <c r="B2672" s="1" t="str">
        <f>"000204662 - RICH PRODUCTS-FOODBUY"</f>
        <v>000204662 - RICH PRODUCTS-FOODBUY</v>
      </c>
      <c r="C2672" t="s">
        <v>342</v>
      </c>
      <c r="D2672" s="1" t="str">
        <f t="shared" si="79"/>
        <v>PRG-1020917</v>
      </c>
      <c r="E2672" t="s">
        <v>120</v>
      </c>
      <c r="F2672" t="s">
        <v>4</v>
      </c>
      <c r="G2672" t="str">
        <f>""</f>
        <v/>
      </c>
    </row>
    <row r="2673" spans="1:7" x14ac:dyDescent="0.25">
      <c r="A2673" t="s">
        <v>8</v>
      </c>
      <c r="B2673" s="1" t="str">
        <f>"000204665 - BB FDBY FOB RICH"</f>
        <v>000204665 - BB FDBY FOB RICH</v>
      </c>
      <c r="C2673" t="s">
        <v>1248</v>
      </c>
      <c r="D2673" s="1" t="str">
        <f t="shared" si="79"/>
        <v>PRG-1020917</v>
      </c>
      <c r="E2673" t="s">
        <v>120</v>
      </c>
      <c r="F2673" t="s">
        <v>4</v>
      </c>
      <c r="G2673" t="str">
        <f>""</f>
        <v/>
      </c>
    </row>
    <row r="2674" spans="1:7" x14ac:dyDescent="0.25">
      <c r="A2674" t="s">
        <v>8</v>
      </c>
      <c r="B2674" s="1" t="str">
        <f>"000206144 - RICH FOODS-FOODBUY"</f>
        <v>000206144 - RICH FOODS-FOODBUY</v>
      </c>
      <c r="C2674" t="s">
        <v>237</v>
      </c>
      <c r="D2674" s="1" t="str">
        <f t="shared" si="79"/>
        <v>PRG-1020917</v>
      </c>
      <c r="E2674" t="s">
        <v>120</v>
      </c>
      <c r="F2674" t="s">
        <v>4</v>
      </c>
      <c r="G2674" t="str">
        <f>""</f>
        <v/>
      </c>
    </row>
    <row r="2675" spans="1:7" x14ac:dyDescent="0.25">
      <c r="A2675" t="s">
        <v>8</v>
      </c>
      <c r="B2675" s="1" t="str">
        <f>"000206325 - BB FDBY FOB RICH"</f>
        <v>000206325 - BB FDBY FOB RICH</v>
      </c>
      <c r="C2675" t="s">
        <v>1248</v>
      </c>
      <c r="D2675" s="1" t="str">
        <f t="shared" si="79"/>
        <v>PRG-1020917</v>
      </c>
      <c r="E2675" t="s">
        <v>120</v>
      </c>
      <c r="F2675" t="s">
        <v>4</v>
      </c>
      <c r="G2675" t="str">
        <f>""</f>
        <v/>
      </c>
    </row>
    <row r="2676" spans="1:7" x14ac:dyDescent="0.25">
      <c r="A2676" t="s">
        <v>8</v>
      </c>
      <c r="B2676" s="1" t="str">
        <f>"000206612 - RICH FOODS-FOODBUY"</f>
        <v>000206612 - RICH FOODS-FOODBUY</v>
      </c>
      <c r="C2676" t="s">
        <v>237</v>
      </c>
      <c r="D2676" s="1" t="str">
        <f t="shared" si="79"/>
        <v>PRG-1020917</v>
      </c>
      <c r="E2676" t="s">
        <v>120</v>
      </c>
      <c r="F2676" t="s">
        <v>4</v>
      </c>
      <c r="G2676" t="str">
        <f>""</f>
        <v/>
      </c>
    </row>
    <row r="2677" spans="1:7" x14ac:dyDescent="0.25">
      <c r="A2677" t="s">
        <v>8</v>
      </c>
      <c r="B2677" s="1" t="str">
        <f>"000207014 - BB FDBY FOB RICH"</f>
        <v>000207014 - BB FDBY FOB RICH</v>
      </c>
      <c r="C2677" t="s">
        <v>1248</v>
      </c>
      <c r="D2677" s="1" t="str">
        <f t="shared" si="79"/>
        <v>PRG-1020917</v>
      </c>
      <c r="E2677" t="s">
        <v>120</v>
      </c>
      <c r="F2677" t="s">
        <v>4</v>
      </c>
      <c r="G2677" t="str">
        <f>""</f>
        <v/>
      </c>
    </row>
    <row r="2678" spans="1:7" x14ac:dyDescent="0.25">
      <c r="A2678" t="s">
        <v>8</v>
      </c>
      <c r="B2678" s="1" t="str">
        <f>"000207605 - RICH FOODS BB-FOODBUY"</f>
        <v>000207605 - RICH FOODS BB-FOODBUY</v>
      </c>
      <c r="C2678" t="s">
        <v>209</v>
      </c>
      <c r="D2678" s="1" t="str">
        <f t="shared" si="79"/>
        <v>PRG-1020917</v>
      </c>
      <c r="E2678" t="s">
        <v>120</v>
      </c>
      <c r="F2678" t="s">
        <v>4</v>
      </c>
      <c r="G2678" t="str">
        <f>""</f>
        <v/>
      </c>
    </row>
    <row r="2679" spans="1:7" x14ac:dyDescent="0.25">
      <c r="A2679" t="s">
        <v>8</v>
      </c>
      <c r="B2679" s="1" t="str">
        <f>"000208029 - BB FDBY DPM FIX RICH"</f>
        <v>000208029 - BB FDBY DPM FIX RICH</v>
      </c>
      <c r="C2679" t="s">
        <v>1385</v>
      </c>
      <c r="D2679" s="1" t="str">
        <f t="shared" si="79"/>
        <v>PRG-1020917</v>
      </c>
      <c r="E2679" t="s">
        <v>120</v>
      </c>
      <c r="F2679" t="s">
        <v>4</v>
      </c>
      <c r="G2679" t="str">
        <f>""</f>
        <v/>
      </c>
    </row>
    <row r="2680" spans="1:7" x14ac:dyDescent="0.25">
      <c r="A2680" t="s">
        <v>8</v>
      </c>
      <c r="B2680" s="1" t="str">
        <f>"000208030 - BB FDBY FOB RICH"</f>
        <v>000208030 - BB FDBY FOB RICH</v>
      </c>
      <c r="C2680" t="s">
        <v>1248</v>
      </c>
      <c r="D2680" s="1" t="str">
        <f t="shared" ref="D2680:D2743" si="80">"PRG-1020917"</f>
        <v>PRG-1020917</v>
      </c>
      <c r="E2680" t="s">
        <v>120</v>
      </c>
      <c r="F2680" t="s">
        <v>4</v>
      </c>
      <c r="G2680" t="str">
        <f>""</f>
        <v/>
      </c>
    </row>
    <row r="2681" spans="1:7" x14ac:dyDescent="0.25">
      <c r="A2681" t="s">
        <v>8</v>
      </c>
      <c r="B2681" s="1" t="str">
        <f>"000208064 - RICH PRODUCTS-FOODBUY"</f>
        <v>000208064 - RICH PRODUCTS-FOODBUY</v>
      </c>
      <c r="C2681" t="s">
        <v>342</v>
      </c>
      <c r="D2681" s="1" t="str">
        <f t="shared" si="80"/>
        <v>PRG-1020917</v>
      </c>
      <c r="E2681" t="s">
        <v>120</v>
      </c>
      <c r="F2681" t="s">
        <v>4</v>
      </c>
      <c r="G2681" t="str">
        <f>""</f>
        <v/>
      </c>
    </row>
    <row r="2682" spans="1:7" x14ac:dyDescent="0.25">
      <c r="A2682" t="s">
        <v>8</v>
      </c>
      <c r="B2682" s="1" t="str">
        <f>"000208400 - RICH'S-FB COMM BARMUDA"</f>
        <v>000208400 - RICH'S-FB COMM BARMUDA</v>
      </c>
      <c r="C2682" t="s">
        <v>1395</v>
      </c>
      <c r="D2682" s="1" t="str">
        <f t="shared" si="80"/>
        <v>PRG-1020917</v>
      </c>
      <c r="E2682" t="s">
        <v>120</v>
      </c>
      <c r="F2682" t="s">
        <v>4</v>
      </c>
      <c r="G2682" t="str">
        <f>""</f>
        <v/>
      </c>
    </row>
    <row r="2683" spans="1:7" x14ac:dyDescent="0.25">
      <c r="A2683" t="s">
        <v>8</v>
      </c>
      <c r="B2683" s="1" t="str">
        <f>"000208527 - RICH PRODUCTS-FOODBUY"</f>
        <v>000208527 - RICH PRODUCTS-FOODBUY</v>
      </c>
      <c r="C2683" t="s">
        <v>342</v>
      </c>
      <c r="D2683" s="1" t="str">
        <f t="shared" si="80"/>
        <v>PRG-1020917</v>
      </c>
      <c r="E2683" t="s">
        <v>120</v>
      </c>
      <c r="F2683" t="s">
        <v>4</v>
      </c>
      <c r="G2683" t="str">
        <f>""</f>
        <v/>
      </c>
    </row>
    <row r="2684" spans="1:7" x14ac:dyDescent="0.25">
      <c r="A2684" t="s">
        <v>8</v>
      </c>
      <c r="B2684" s="1" t="str">
        <f>"000209025 - RICH FOODS-FOODBUY"</f>
        <v>000209025 - RICH FOODS-FOODBUY</v>
      </c>
      <c r="C2684" t="s">
        <v>237</v>
      </c>
      <c r="D2684" s="1" t="str">
        <f t="shared" si="80"/>
        <v>PRG-1020917</v>
      </c>
      <c r="E2684" t="s">
        <v>120</v>
      </c>
      <c r="F2684" t="s">
        <v>4</v>
      </c>
      <c r="G2684" t="str">
        <f>""</f>
        <v/>
      </c>
    </row>
    <row r="2685" spans="1:7" x14ac:dyDescent="0.25">
      <c r="A2685" t="s">
        <v>8</v>
      </c>
      <c r="B2685" s="1" t="str">
        <f>"000209068 - RICH FOODS-FOODBUY"</f>
        <v>000209068 - RICH FOODS-FOODBUY</v>
      </c>
      <c r="C2685" t="s">
        <v>237</v>
      </c>
      <c r="D2685" s="1" t="str">
        <f t="shared" si="80"/>
        <v>PRG-1020917</v>
      </c>
      <c r="E2685" t="s">
        <v>120</v>
      </c>
      <c r="F2685" t="s">
        <v>4</v>
      </c>
      <c r="G2685" t="str">
        <f>""</f>
        <v/>
      </c>
    </row>
    <row r="2686" spans="1:7" x14ac:dyDescent="0.25">
      <c r="A2686" t="s">
        <v>8</v>
      </c>
      <c r="B2686" s="1" t="str">
        <f>"000209204 - Rich Foods-Foodbuy"</f>
        <v>000209204 - Rich Foods-Foodbuy</v>
      </c>
      <c r="C2686" t="s">
        <v>757</v>
      </c>
      <c r="D2686" s="1" t="str">
        <f t="shared" si="80"/>
        <v>PRG-1020917</v>
      </c>
      <c r="E2686" t="s">
        <v>120</v>
      </c>
      <c r="F2686" t="s">
        <v>4</v>
      </c>
      <c r="G2686" t="str">
        <f>""</f>
        <v/>
      </c>
    </row>
    <row r="2687" spans="1:7" x14ac:dyDescent="0.25">
      <c r="A2687" t="s">
        <v>8</v>
      </c>
      <c r="B2687" s="1" t="str">
        <f>"000209357 - RICH PRODUCTS-FOODBUY"</f>
        <v>000209357 - RICH PRODUCTS-FOODBUY</v>
      </c>
      <c r="C2687" t="s">
        <v>342</v>
      </c>
      <c r="D2687" s="1" t="str">
        <f t="shared" si="80"/>
        <v>PRG-1020917</v>
      </c>
      <c r="E2687" t="s">
        <v>120</v>
      </c>
      <c r="F2687" t="s">
        <v>4</v>
      </c>
      <c r="G2687" t="str">
        <f>""</f>
        <v/>
      </c>
    </row>
    <row r="2688" spans="1:7" x14ac:dyDescent="0.25">
      <c r="A2688" t="s">
        <v>8</v>
      </c>
      <c r="B2688" s="1" t="str">
        <f>"000209774 - RICH PRODUCTS-FOODBUY"</f>
        <v>000209774 - RICH PRODUCTS-FOODBUY</v>
      </c>
      <c r="C2688" t="s">
        <v>342</v>
      </c>
      <c r="D2688" s="1" t="str">
        <f t="shared" si="80"/>
        <v>PRG-1020917</v>
      </c>
      <c r="E2688" t="s">
        <v>120</v>
      </c>
      <c r="F2688" t="s">
        <v>4</v>
      </c>
      <c r="G2688" t="str">
        <f>""</f>
        <v/>
      </c>
    </row>
    <row r="2689" spans="1:7" x14ac:dyDescent="0.25">
      <c r="A2689" t="s">
        <v>8</v>
      </c>
      <c r="B2689" s="1" t="str">
        <f>"000209793 - RICH FOODS BB-FOODBUY"</f>
        <v>000209793 - RICH FOODS BB-FOODBUY</v>
      </c>
      <c r="C2689" t="s">
        <v>209</v>
      </c>
      <c r="D2689" s="1" t="str">
        <f t="shared" si="80"/>
        <v>PRG-1020917</v>
      </c>
      <c r="E2689" t="s">
        <v>120</v>
      </c>
      <c r="F2689" t="s">
        <v>4</v>
      </c>
      <c r="G2689" t="str">
        <f>""</f>
        <v/>
      </c>
    </row>
    <row r="2690" spans="1:7" x14ac:dyDescent="0.25">
      <c r="A2690" t="s">
        <v>8</v>
      </c>
      <c r="B2690" s="1" t="str">
        <f>"000210187 - RICH FOODS-FOODBUY"</f>
        <v>000210187 - RICH FOODS-FOODBUY</v>
      </c>
      <c r="C2690" t="s">
        <v>237</v>
      </c>
      <c r="D2690" s="1" t="str">
        <f t="shared" si="80"/>
        <v>PRG-1020917</v>
      </c>
      <c r="E2690" t="s">
        <v>120</v>
      </c>
      <c r="F2690" t="s">
        <v>4</v>
      </c>
      <c r="G2690" t="str">
        <f>""</f>
        <v/>
      </c>
    </row>
    <row r="2691" spans="1:7" x14ac:dyDescent="0.25">
      <c r="A2691" t="s">
        <v>8</v>
      </c>
      <c r="B2691" s="1" t="str">
        <f>"000210218 - RICH FOODS BB-FOODBUY"</f>
        <v>000210218 - RICH FOODS BB-FOODBUY</v>
      </c>
      <c r="C2691" t="s">
        <v>209</v>
      </c>
      <c r="D2691" s="1" t="str">
        <f t="shared" si="80"/>
        <v>PRG-1020917</v>
      </c>
      <c r="E2691" t="s">
        <v>120</v>
      </c>
      <c r="F2691" t="s">
        <v>4</v>
      </c>
      <c r="G2691" t="str">
        <f>""</f>
        <v/>
      </c>
    </row>
    <row r="2692" spans="1:7" x14ac:dyDescent="0.25">
      <c r="A2692" t="s">
        <v>8</v>
      </c>
      <c r="B2692" s="1" t="str">
        <f>"000210273 - RICH FOODS BB-FOODBUY"</f>
        <v>000210273 - RICH FOODS BB-FOODBUY</v>
      </c>
      <c r="C2692" t="s">
        <v>209</v>
      </c>
      <c r="D2692" s="1" t="str">
        <f t="shared" si="80"/>
        <v>PRG-1020917</v>
      </c>
      <c r="E2692" t="s">
        <v>120</v>
      </c>
      <c r="F2692" t="s">
        <v>4</v>
      </c>
      <c r="G2692" t="str">
        <f>""</f>
        <v/>
      </c>
    </row>
    <row r="2693" spans="1:7" x14ac:dyDescent="0.25">
      <c r="A2693" t="s">
        <v>8</v>
      </c>
      <c r="B2693" s="1" t="str">
        <f>"000210651 - RICH FOODS BB-FOODBUY"</f>
        <v>000210651 - RICH FOODS BB-FOODBUY</v>
      </c>
      <c r="C2693" t="s">
        <v>209</v>
      </c>
      <c r="D2693" s="1" t="str">
        <f t="shared" si="80"/>
        <v>PRG-1020917</v>
      </c>
      <c r="E2693" t="s">
        <v>120</v>
      </c>
      <c r="F2693" t="s">
        <v>4</v>
      </c>
      <c r="G2693" t="str">
        <f>""</f>
        <v/>
      </c>
    </row>
    <row r="2694" spans="1:7" x14ac:dyDescent="0.25">
      <c r="A2694" t="s">
        <v>8</v>
      </c>
      <c r="B2694" s="1" t="str">
        <f>"000211504 - RICH PRODUCTS-FOODBUY"</f>
        <v>000211504 - RICH PRODUCTS-FOODBUY</v>
      </c>
      <c r="C2694" t="s">
        <v>342</v>
      </c>
      <c r="D2694" s="1" t="str">
        <f t="shared" si="80"/>
        <v>PRG-1020917</v>
      </c>
      <c r="E2694" t="s">
        <v>120</v>
      </c>
      <c r="F2694" t="s">
        <v>4</v>
      </c>
      <c r="G2694" t="str">
        <f>""</f>
        <v/>
      </c>
    </row>
    <row r="2695" spans="1:7" x14ac:dyDescent="0.25">
      <c r="A2695" t="s">
        <v>8</v>
      </c>
      <c r="B2695" s="1" t="str">
        <f>"000212041 - RICH FOODS-DINING ALLIANCE"</f>
        <v>000212041 - RICH FOODS-DINING ALLIANCE</v>
      </c>
      <c r="C2695" t="s">
        <v>1459</v>
      </c>
      <c r="D2695" s="1" t="str">
        <f t="shared" si="80"/>
        <v>PRG-1020917</v>
      </c>
      <c r="E2695" t="s">
        <v>120</v>
      </c>
      <c r="F2695" t="s">
        <v>4</v>
      </c>
      <c r="G2695" t="str">
        <f>""</f>
        <v/>
      </c>
    </row>
    <row r="2696" spans="1:7" x14ac:dyDescent="0.25">
      <c r="A2696" t="s">
        <v>8</v>
      </c>
      <c r="B2696" s="1" t="str">
        <f>"000212221 - RICH FOODS WESLEY FDBY"</f>
        <v>000212221 - RICH FOODS WESLEY FDBY</v>
      </c>
      <c r="C2696" t="s">
        <v>1463</v>
      </c>
      <c r="D2696" s="1" t="str">
        <f t="shared" si="80"/>
        <v>PRG-1020917</v>
      </c>
      <c r="E2696" t="s">
        <v>120</v>
      </c>
      <c r="F2696" t="s">
        <v>4</v>
      </c>
      <c r="G2696" t="str">
        <f>""</f>
        <v/>
      </c>
    </row>
    <row r="2697" spans="1:7" x14ac:dyDescent="0.25">
      <c r="A2697" t="s">
        <v>8</v>
      </c>
      <c r="B2697" s="1" t="str">
        <f>"000213177 - RICH PRODUCTS-FOODBUY"</f>
        <v>000213177 - RICH PRODUCTS-FOODBUY</v>
      </c>
      <c r="C2697" t="s">
        <v>342</v>
      </c>
      <c r="D2697" s="1" t="str">
        <f t="shared" si="80"/>
        <v>PRG-1020917</v>
      </c>
      <c r="E2697" t="s">
        <v>120</v>
      </c>
      <c r="F2697" t="s">
        <v>4</v>
      </c>
      <c r="G2697" t="str">
        <f>""</f>
        <v/>
      </c>
    </row>
    <row r="2698" spans="1:7" x14ac:dyDescent="0.25">
      <c r="A2698" t="s">
        <v>8</v>
      </c>
      <c r="B2698" s="1" t="str">
        <f>"000213510 - RICH PRODUCTS-FOODBUY"</f>
        <v>000213510 - RICH PRODUCTS-FOODBUY</v>
      </c>
      <c r="C2698" t="s">
        <v>342</v>
      </c>
      <c r="D2698" s="1" t="str">
        <f t="shared" si="80"/>
        <v>PRG-1020917</v>
      </c>
      <c r="E2698" t="s">
        <v>120</v>
      </c>
      <c r="F2698" t="s">
        <v>4</v>
      </c>
      <c r="G2698" t="str">
        <f>""</f>
        <v/>
      </c>
    </row>
    <row r="2699" spans="1:7" x14ac:dyDescent="0.25">
      <c r="A2699" t="s">
        <v>8</v>
      </c>
      <c r="B2699" s="1" t="str">
        <f>"000213961 - RICH FOODS BB-FOODBUY"</f>
        <v>000213961 - RICH FOODS BB-FOODBUY</v>
      </c>
      <c r="C2699" t="s">
        <v>209</v>
      </c>
      <c r="D2699" s="1" t="str">
        <f t="shared" si="80"/>
        <v>PRG-1020917</v>
      </c>
      <c r="E2699" t="s">
        <v>120</v>
      </c>
      <c r="F2699" t="s">
        <v>4</v>
      </c>
      <c r="G2699" t="str">
        <f>""</f>
        <v/>
      </c>
    </row>
    <row r="2700" spans="1:7" x14ac:dyDescent="0.25">
      <c r="A2700" t="s">
        <v>8</v>
      </c>
      <c r="B2700" s="1" t="str">
        <f>"000214391 - RICH FOODS-FOODBUY"</f>
        <v>000214391 - RICH FOODS-FOODBUY</v>
      </c>
      <c r="C2700" t="s">
        <v>237</v>
      </c>
      <c r="D2700" s="1" t="str">
        <f t="shared" si="80"/>
        <v>PRG-1020917</v>
      </c>
      <c r="E2700" t="s">
        <v>120</v>
      </c>
      <c r="F2700" t="s">
        <v>4</v>
      </c>
      <c r="G2700" t="str">
        <f>""</f>
        <v/>
      </c>
    </row>
    <row r="2701" spans="1:7" x14ac:dyDescent="0.25">
      <c r="A2701" t="s">
        <v>8</v>
      </c>
      <c r="B2701" s="1" t="str">
        <f>"000214430 - RICH FOODS-FOODBUY(214428"</f>
        <v>000214430 - RICH FOODS-FOODBUY(214428</v>
      </c>
      <c r="C2701" t="s">
        <v>1495</v>
      </c>
      <c r="D2701" s="1" t="str">
        <f t="shared" si="80"/>
        <v>PRG-1020917</v>
      </c>
      <c r="E2701" t="s">
        <v>120</v>
      </c>
      <c r="F2701" t="s">
        <v>4</v>
      </c>
      <c r="G2701" t="str">
        <f>""</f>
        <v/>
      </c>
    </row>
    <row r="2702" spans="1:7" x14ac:dyDescent="0.25">
      <c r="A2702" t="s">
        <v>8</v>
      </c>
      <c r="B2702" s="1" t="str">
        <f>"000214787 - RICH FOODS BB-FOODBUY"</f>
        <v>000214787 - RICH FOODS BB-FOODBUY</v>
      </c>
      <c r="C2702" t="s">
        <v>209</v>
      </c>
      <c r="D2702" s="1" t="str">
        <f t="shared" si="80"/>
        <v>PRG-1020917</v>
      </c>
      <c r="E2702" t="s">
        <v>120</v>
      </c>
      <c r="F2702" t="s">
        <v>4</v>
      </c>
      <c r="G2702" t="str">
        <f>""</f>
        <v/>
      </c>
    </row>
    <row r="2703" spans="1:7" x14ac:dyDescent="0.25">
      <c r="A2703" t="s">
        <v>8</v>
      </c>
      <c r="B2703" s="1" t="str">
        <f>"000215495 - RICH FOODS-FOODBUY"</f>
        <v>000215495 - RICH FOODS-FOODBUY</v>
      </c>
      <c r="C2703" t="s">
        <v>237</v>
      </c>
      <c r="D2703" s="1" t="str">
        <f t="shared" si="80"/>
        <v>PRG-1020917</v>
      </c>
      <c r="E2703" t="s">
        <v>120</v>
      </c>
      <c r="F2703" t="s">
        <v>4</v>
      </c>
      <c r="G2703" t="str">
        <f>""</f>
        <v/>
      </c>
    </row>
    <row r="2704" spans="1:7" x14ac:dyDescent="0.25">
      <c r="A2704" t="s">
        <v>8</v>
      </c>
      <c r="B2704" s="1" t="str">
        <f>"000216150 - RICH FOODS BB-FOODBUY"</f>
        <v>000216150 - RICH FOODS BB-FOODBUY</v>
      </c>
      <c r="C2704" t="s">
        <v>209</v>
      </c>
      <c r="D2704" s="1" t="str">
        <f t="shared" si="80"/>
        <v>PRG-1020917</v>
      </c>
      <c r="E2704" t="s">
        <v>120</v>
      </c>
      <c r="F2704" t="s">
        <v>4</v>
      </c>
      <c r="G2704" t="str">
        <f>""</f>
        <v/>
      </c>
    </row>
    <row r="2705" spans="1:7" x14ac:dyDescent="0.25">
      <c r="A2705" t="s">
        <v>8</v>
      </c>
      <c r="B2705" s="1" t="str">
        <f>"000216765 - RICH PRODUCTS-FOODBUY"</f>
        <v>000216765 - RICH PRODUCTS-FOODBUY</v>
      </c>
      <c r="C2705" t="s">
        <v>342</v>
      </c>
      <c r="D2705" s="1" t="str">
        <f t="shared" si="80"/>
        <v>PRG-1020917</v>
      </c>
      <c r="E2705" t="s">
        <v>120</v>
      </c>
      <c r="F2705" t="s">
        <v>4</v>
      </c>
      <c r="G2705" t="str">
        <f>""</f>
        <v/>
      </c>
    </row>
    <row r="2706" spans="1:7" x14ac:dyDescent="0.25">
      <c r="A2706" t="s">
        <v>8</v>
      </c>
      <c r="B2706" s="1" t="str">
        <f>"000216772 - RICH PRODUCTS-FOODBUY(216765)"</f>
        <v>000216772 - RICH PRODUCTS-FOODBUY(216765)</v>
      </c>
      <c r="C2706" t="s">
        <v>1536</v>
      </c>
      <c r="D2706" s="1" t="str">
        <f t="shared" si="80"/>
        <v>PRG-1020917</v>
      </c>
      <c r="E2706" t="s">
        <v>120</v>
      </c>
      <c r="F2706" t="s">
        <v>4</v>
      </c>
      <c r="G2706" t="str">
        <f>""</f>
        <v/>
      </c>
    </row>
    <row r="2707" spans="1:7" x14ac:dyDescent="0.25">
      <c r="A2707" t="s">
        <v>8</v>
      </c>
      <c r="B2707" s="1" t="str">
        <f>"000216781 - RICH FOODS BB-FOODBUY"</f>
        <v>000216781 - RICH FOODS BB-FOODBUY</v>
      </c>
      <c r="C2707" t="s">
        <v>209</v>
      </c>
      <c r="D2707" s="1" t="str">
        <f t="shared" si="80"/>
        <v>PRG-1020917</v>
      </c>
      <c r="E2707" t="s">
        <v>120</v>
      </c>
      <c r="F2707" t="s">
        <v>4</v>
      </c>
      <c r="G2707" t="str">
        <f>""</f>
        <v/>
      </c>
    </row>
    <row r="2708" spans="1:7" x14ac:dyDescent="0.25">
      <c r="A2708" t="s">
        <v>8</v>
      </c>
      <c r="B2708" s="1" t="str">
        <f>"000217100 - RICH FOODS-FOODBUY"</f>
        <v>000217100 - RICH FOODS-FOODBUY</v>
      </c>
      <c r="C2708" t="s">
        <v>237</v>
      </c>
      <c r="D2708" s="1" t="str">
        <f t="shared" si="80"/>
        <v>PRG-1020917</v>
      </c>
      <c r="E2708" t="s">
        <v>120</v>
      </c>
      <c r="F2708" t="s">
        <v>4</v>
      </c>
      <c r="G2708" t="str">
        <f>""</f>
        <v/>
      </c>
    </row>
    <row r="2709" spans="1:7" x14ac:dyDescent="0.25">
      <c r="A2709" t="s">
        <v>8</v>
      </c>
      <c r="B2709" s="1" t="str">
        <f>"000217675 - RICH FOODS BB-FOODBUY"</f>
        <v>000217675 - RICH FOODS BB-FOODBUY</v>
      </c>
      <c r="C2709" t="s">
        <v>209</v>
      </c>
      <c r="D2709" s="1" t="str">
        <f t="shared" si="80"/>
        <v>PRG-1020917</v>
      </c>
      <c r="E2709" t="s">
        <v>120</v>
      </c>
      <c r="F2709" t="s">
        <v>4</v>
      </c>
      <c r="G2709" t="str">
        <f>""</f>
        <v/>
      </c>
    </row>
    <row r="2710" spans="1:7" x14ac:dyDescent="0.25">
      <c r="A2710" t="s">
        <v>8</v>
      </c>
      <c r="B2710" s="1" t="str">
        <f>"000217817 - RICH PRODUCTS-FOODBUY"</f>
        <v>000217817 - RICH PRODUCTS-FOODBUY</v>
      </c>
      <c r="C2710" t="s">
        <v>342</v>
      </c>
      <c r="D2710" s="1" t="str">
        <f t="shared" si="80"/>
        <v>PRG-1020917</v>
      </c>
      <c r="E2710" t="s">
        <v>120</v>
      </c>
      <c r="F2710" t="s">
        <v>4</v>
      </c>
      <c r="G2710" t="str">
        <f>""</f>
        <v/>
      </c>
    </row>
    <row r="2711" spans="1:7" x14ac:dyDescent="0.25">
      <c r="A2711" t="s">
        <v>8</v>
      </c>
      <c r="B2711" s="1" t="str">
        <f>"000218069 - RICH FOODS-FOODBUY"</f>
        <v>000218069 - RICH FOODS-FOODBUY</v>
      </c>
      <c r="C2711" t="s">
        <v>237</v>
      </c>
      <c r="D2711" s="1" t="str">
        <f t="shared" si="80"/>
        <v>PRG-1020917</v>
      </c>
      <c r="E2711" t="s">
        <v>120</v>
      </c>
      <c r="F2711" t="s">
        <v>4</v>
      </c>
      <c r="G2711" t="str">
        <f>""</f>
        <v/>
      </c>
    </row>
    <row r="2712" spans="1:7" x14ac:dyDescent="0.25">
      <c r="A2712" t="s">
        <v>8</v>
      </c>
      <c r="B2712" s="1" t="str">
        <f>"000218330 - RICH PRODUCTS-FOODBUY"</f>
        <v>000218330 - RICH PRODUCTS-FOODBUY</v>
      </c>
      <c r="C2712" t="s">
        <v>342</v>
      </c>
      <c r="D2712" s="1" t="str">
        <f t="shared" si="80"/>
        <v>PRG-1020917</v>
      </c>
      <c r="E2712" t="s">
        <v>120</v>
      </c>
      <c r="F2712" t="s">
        <v>4</v>
      </c>
      <c r="G2712" t="str">
        <f>""</f>
        <v/>
      </c>
    </row>
    <row r="2713" spans="1:7" x14ac:dyDescent="0.25">
      <c r="A2713" t="s">
        <v>8</v>
      </c>
      <c r="B2713" s="1" t="str">
        <f>"000218468 - RICH PRODUCTS-FOODBUY(218330)"</f>
        <v>000218468 - RICH PRODUCTS-FOODBUY(218330)</v>
      </c>
      <c r="C2713" t="s">
        <v>1563</v>
      </c>
      <c r="D2713" s="1" t="str">
        <f t="shared" si="80"/>
        <v>PRG-1020917</v>
      </c>
      <c r="E2713" t="s">
        <v>120</v>
      </c>
      <c r="F2713" t="s">
        <v>4</v>
      </c>
      <c r="G2713" t="str">
        <f>""</f>
        <v/>
      </c>
    </row>
    <row r="2714" spans="1:7" x14ac:dyDescent="0.25">
      <c r="A2714" t="s">
        <v>8</v>
      </c>
      <c r="B2714" s="1" t="str">
        <f>"000218657 - RICH FOODS-FOODBUY"</f>
        <v>000218657 - RICH FOODS-FOODBUY</v>
      </c>
      <c r="C2714" t="s">
        <v>237</v>
      </c>
      <c r="D2714" s="1" t="str">
        <f t="shared" si="80"/>
        <v>PRG-1020917</v>
      </c>
      <c r="E2714" t="s">
        <v>120</v>
      </c>
      <c r="F2714" t="s">
        <v>4</v>
      </c>
      <c r="G2714" t="str">
        <f>""</f>
        <v/>
      </c>
    </row>
    <row r="2715" spans="1:7" x14ac:dyDescent="0.25">
      <c r="A2715" t="s">
        <v>8</v>
      </c>
      <c r="B2715" s="1" t="str">
        <f>"000219051 - RICH FOODS FOODBUY (218954)"</f>
        <v>000219051 - RICH FOODS FOODBUY (218954)</v>
      </c>
      <c r="C2715" t="s">
        <v>1568</v>
      </c>
      <c r="D2715" s="1" t="str">
        <f t="shared" si="80"/>
        <v>PRG-1020917</v>
      </c>
      <c r="E2715" t="s">
        <v>120</v>
      </c>
      <c r="F2715" t="s">
        <v>4</v>
      </c>
      <c r="G2715" t="str">
        <f>""</f>
        <v/>
      </c>
    </row>
    <row r="2716" spans="1:7" x14ac:dyDescent="0.25">
      <c r="A2716" t="s">
        <v>8</v>
      </c>
      <c r="B2716" s="1" t="str">
        <f>"000219192 - RICH PRODUCTS-FOODBUY"</f>
        <v>000219192 - RICH PRODUCTS-FOODBUY</v>
      </c>
      <c r="C2716" t="s">
        <v>342</v>
      </c>
      <c r="D2716" s="1" t="str">
        <f t="shared" si="80"/>
        <v>PRG-1020917</v>
      </c>
      <c r="E2716" t="s">
        <v>120</v>
      </c>
      <c r="F2716" t="s">
        <v>4</v>
      </c>
      <c r="G2716" t="str">
        <f>""</f>
        <v/>
      </c>
    </row>
    <row r="2717" spans="1:7" x14ac:dyDescent="0.25">
      <c r="A2717" t="s">
        <v>8</v>
      </c>
      <c r="B2717" s="1" t="str">
        <f>"000219409 - RICH PRODUCTS-FOODBUY"</f>
        <v>000219409 - RICH PRODUCTS-FOODBUY</v>
      </c>
      <c r="C2717" t="s">
        <v>342</v>
      </c>
      <c r="D2717" s="1" t="str">
        <f t="shared" si="80"/>
        <v>PRG-1020917</v>
      </c>
      <c r="E2717" t="s">
        <v>120</v>
      </c>
      <c r="F2717" t="s">
        <v>4</v>
      </c>
      <c r="G2717" t="str">
        <f>""</f>
        <v/>
      </c>
    </row>
    <row r="2718" spans="1:7" x14ac:dyDescent="0.25">
      <c r="A2718" t="s">
        <v>8</v>
      </c>
      <c r="B2718" s="1" t="str">
        <f>"000219568 - RICH FOODS BB-FOODBUY"</f>
        <v>000219568 - RICH FOODS BB-FOODBUY</v>
      </c>
      <c r="C2718" t="s">
        <v>209</v>
      </c>
      <c r="D2718" s="1" t="str">
        <f t="shared" si="80"/>
        <v>PRG-1020917</v>
      </c>
      <c r="E2718" t="s">
        <v>120</v>
      </c>
      <c r="F2718" t="s">
        <v>4</v>
      </c>
      <c r="G2718" t="str">
        <f>""</f>
        <v/>
      </c>
    </row>
    <row r="2719" spans="1:7" x14ac:dyDescent="0.25">
      <c r="A2719" t="s">
        <v>8</v>
      </c>
      <c r="B2719" s="1" t="str">
        <f>"000220115 - RICH PRODUCTS-FOODBUY"</f>
        <v>000220115 - RICH PRODUCTS-FOODBUY</v>
      </c>
      <c r="C2719" t="s">
        <v>342</v>
      </c>
      <c r="D2719" s="1" t="str">
        <f t="shared" si="80"/>
        <v>PRG-1020917</v>
      </c>
      <c r="E2719" t="s">
        <v>120</v>
      </c>
      <c r="F2719" t="s">
        <v>4</v>
      </c>
      <c r="G2719" t="str">
        <f>""</f>
        <v/>
      </c>
    </row>
    <row r="2720" spans="1:7" x14ac:dyDescent="0.25">
      <c r="A2720" t="s">
        <v>8</v>
      </c>
      <c r="B2720" s="1" t="str">
        <f>"000220146 - RICH FOODS BB-FOODBUY(219568)"</f>
        <v>000220146 - RICH FOODS BB-FOODBUY(219568)</v>
      </c>
      <c r="C2720" t="s">
        <v>1581</v>
      </c>
      <c r="D2720" s="1" t="str">
        <f t="shared" si="80"/>
        <v>PRG-1020917</v>
      </c>
      <c r="E2720" t="s">
        <v>120</v>
      </c>
      <c r="F2720" t="s">
        <v>4</v>
      </c>
      <c r="G2720" t="str">
        <f>""</f>
        <v/>
      </c>
    </row>
    <row r="2721" spans="1:7" x14ac:dyDescent="0.25">
      <c r="A2721" t="s">
        <v>8</v>
      </c>
      <c r="B2721" s="1" t="str">
        <f>"000220500 - RICH FOODS BB-FOODBUY"</f>
        <v>000220500 - RICH FOODS BB-FOODBUY</v>
      </c>
      <c r="C2721" t="s">
        <v>209</v>
      </c>
      <c r="D2721" s="1" t="str">
        <f t="shared" si="80"/>
        <v>PRG-1020917</v>
      </c>
      <c r="E2721" t="s">
        <v>120</v>
      </c>
      <c r="F2721" t="s">
        <v>4</v>
      </c>
      <c r="G2721" t="str">
        <f>""</f>
        <v/>
      </c>
    </row>
    <row r="2722" spans="1:7" x14ac:dyDescent="0.25">
      <c r="A2722" t="s">
        <v>8</v>
      </c>
      <c r="B2722" s="1" t="str">
        <f>"000220531 - RICH FOODS-FOODBUY"</f>
        <v>000220531 - RICH FOODS-FOODBUY</v>
      </c>
      <c r="C2722" t="s">
        <v>237</v>
      </c>
      <c r="D2722" s="1" t="str">
        <f t="shared" si="80"/>
        <v>PRG-1020917</v>
      </c>
      <c r="E2722" t="s">
        <v>120</v>
      </c>
      <c r="F2722" t="s">
        <v>4</v>
      </c>
      <c r="G2722" t="str">
        <f>""</f>
        <v/>
      </c>
    </row>
    <row r="2723" spans="1:7" x14ac:dyDescent="0.25">
      <c r="A2723" t="s">
        <v>8</v>
      </c>
      <c r="B2723" s="1" t="str">
        <f>"000220544 - RICH PRODUCTS-FOODBUY"</f>
        <v>000220544 - RICH PRODUCTS-FOODBUY</v>
      </c>
      <c r="C2723" t="s">
        <v>342</v>
      </c>
      <c r="D2723" s="1" t="str">
        <f t="shared" si="80"/>
        <v>PRG-1020917</v>
      </c>
      <c r="E2723" t="s">
        <v>120</v>
      </c>
      <c r="F2723" t="s">
        <v>4</v>
      </c>
      <c r="G2723" t="str">
        <f>""</f>
        <v/>
      </c>
    </row>
    <row r="2724" spans="1:7" x14ac:dyDescent="0.25">
      <c r="A2724" t="s">
        <v>8</v>
      </c>
      <c r="B2724" s="1" t="str">
        <f>"000220573 - FOODBUY-RICH FOODS"</f>
        <v>000220573 - FOODBUY-RICH FOODS</v>
      </c>
      <c r="C2724" t="s">
        <v>1586</v>
      </c>
      <c r="D2724" s="1" t="str">
        <f t="shared" si="80"/>
        <v>PRG-1020917</v>
      </c>
      <c r="E2724" t="s">
        <v>120</v>
      </c>
      <c r="F2724" t="s">
        <v>4</v>
      </c>
      <c r="G2724" t="str">
        <f>""</f>
        <v/>
      </c>
    </row>
    <row r="2725" spans="1:7" x14ac:dyDescent="0.25">
      <c r="A2725" t="s">
        <v>8</v>
      </c>
      <c r="B2725" s="1" t="str">
        <f>"000220628 - RICH FOODS-FOODBUY"</f>
        <v>000220628 - RICH FOODS-FOODBUY</v>
      </c>
      <c r="C2725" t="s">
        <v>237</v>
      </c>
      <c r="D2725" s="1" t="str">
        <f t="shared" si="80"/>
        <v>PRG-1020917</v>
      </c>
      <c r="E2725" t="s">
        <v>120</v>
      </c>
      <c r="F2725" t="s">
        <v>4</v>
      </c>
      <c r="G2725" t="str">
        <f>""</f>
        <v/>
      </c>
    </row>
    <row r="2726" spans="1:7" x14ac:dyDescent="0.25">
      <c r="A2726" t="s">
        <v>8</v>
      </c>
      <c r="B2726" s="1" t="str">
        <f>"000221013 - RICH FOODS-FOODBUY"</f>
        <v>000221013 - RICH FOODS-FOODBUY</v>
      </c>
      <c r="C2726" t="s">
        <v>237</v>
      </c>
      <c r="D2726" s="1" t="str">
        <f t="shared" si="80"/>
        <v>PRG-1020917</v>
      </c>
      <c r="E2726" t="s">
        <v>120</v>
      </c>
      <c r="F2726" t="s">
        <v>4</v>
      </c>
      <c r="G2726" t="str">
        <f>""</f>
        <v/>
      </c>
    </row>
    <row r="2727" spans="1:7" x14ac:dyDescent="0.25">
      <c r="A2727" t="s">
        <v>8</v>
      </c>
      <c r="B2727" s="1" t="str">
        <f>"000221056 - RICHS FOODS BB-FOODBUY"</f>
        <v>000221056 - RICHS FOODS BB-FOODBUY</v>
      </c>
      <c r="C2727" t="s">
        <v>393</v>
      </c>
      <c r="D2727" s="1" t="str">
        <f t="shared" si="80"/>
        <v>PRG-1020917</v>
      </c>
      <c r="E2727" t="s">
        <v>120</v>
      </c>
      <c r="F2727" t="s">
        <v>4</v>
      </c>
      <c r="G2727" t="str">
        <f>""</f>
        <v/>
      </c>
    </row>
    <row r="2728" spans="1:7" x14ac:dyDescent="0.25">
      <c r="A2728" t="s">
        <v>8</v>
      </c>
      <c r="B2728" s="1" t="str">
        <f>"000221084 - RICH FOODS BB-FOODBUY"</f>
        <v>000221084 - RICH FOODS BB-FOODBUY</v>
      </c>
      <c r="C2728" t="s">
        <v>209</v>
      </c>
      <c r="D2728" s="1" t="str">
        <f t="shared" si="80"/>
        <v>PRG-1020917</v>
      </c>
      <c r="E2728" t="s">
        <v>120</v>
      </c>
      <c r="F2728" t="s">
        <v>4</v>
      </c>
      <c r="G2728" t="str">
        <f>""</f>
        <v/>
      </c>
    </row>
    <row r="2729" spans="1:7" x14ac:dyDescent="0.25">
      <c r="A2729" t="s">
        <v>8</v>
      </c>
      <c r="B2729" s="1" t="str">
        <f>"000221412 - RICH FOODS BB-MAX BRENNER"</f>
        <v>000221412 - RICH FOODS BB-MAX BRENNER</v>
      </c>
      <c r="C2729" t="s">
        <v>1602</v>
      </c>
      <c r="D2729" s="1" t="str">
        <f t="shared" si="80"/>
        <v>PRG-1020917</v>
      </c>
      <c r="E2729" t="s">
        <v>120</v>
      </c>
      <c r="F2729" t="s">
        <v>4</v>
      </c>
      <c r="G2729" t="str">
        <f>""</f>
        <v/>
      </c>
    </row>
    <row r="2730" spans="1:7" x14ac:dyDescent="0.25">
      <c r="A2730" t="s">
        <v>8</v>
      </c>
      <c r="B2730" s="1" t="str">
        <f>"000221503 - RICH FOODS BB-FOODBUY"</f>
        <v>000221503 - RICH FOODS BB-FOODBUY</v>
      </c>
      <c r="C2730" t="s">
        <v>209</v>
      </c>
      <c r="D2730" s="1" t="str">
        <f t="shared" si="80"/>
        <v>PRG-1020917</v>
      </c>
      <c r="E2730" t="s">
        <v>120</v>
      </c>
      <c r="F2730" t="s">
        <v>4</v>
      </c>
      <c r="G2730" t="str">
        <f>""</f>
        <v/>
      </c>
    </row>
    <row r="2731" spans="1:7" x14ac:dyDescent="0.25">
      <c r="A2731" t="s">
        <v>8</v>
      </c>
      <c r="B2731" s="1" t="str">
        <f>"000222097 - RICH FOODS BB-FOODBUY"</f>
        <v>000222097 - RICH FOODS BB-FOODBUY</v>
      </c>
      <c r="C2731" t="s">
        <v>209</v>
      </c>
      <c r="D2731" s="1" t="str">
        <f t="shared" si="80"/>
        <v>PRG-1020917</v>
      </c>
      <c r="E2731" t="s">
        <v>120</v>
      </c>
      <c r="F2731" t="s">
        <v>4</v>
      </c>
      <c r="G2731" t="str">
        <f>""</f>
        <v/>
      </c>
    </row>
    <row r="2732" spans="1:7" x14ac:dyDescent="0.25">
      <c r="A2732" t="s">
        <v>8</v>
      </c>
      <c r="B2732" s="1" t="str">
        <f>"000222124 - RICH FOODS BB-FOODBUY RETRO"</f>
        <v>000222124 - RICH FOODS BB-FOODBUY RETRO</v>
      </c>
      <c r="C2732" t="s">
        <v>1617</v>
      </c>
      <c r="D2732" s="1" t="str">
        <f t="shared" si="80"/>
        <v>PRG-1020917</v>
      </c>
      <c r="E2732" t="s">
        <v>120</v>
      </c>
      <c r="F2732" t="s">
        <v>4</v>
      </c>
      <c r="G2732" t="str">
        <f>""</f>
        <v/>
      </c>
    </row>
    <row r="2733" spans="1:7" x14ac:dyDescent="0.25">
      <c r="A2733" t="s">
        <v>8</v>
      </c>
      <c r="B2733" s="1" t="str">
        <f>"000222690 - RICH FOODS BB-FOODBUY"</f>
        <v>000222690 - RICH FOODS BB-FOODBUY</v>
      </c>
      <c r="C2733" t="s">
        <v>209</v>
      </c>
      <c r="D2733" s="1" t="str">
        <f t="shared" si="80"/>
        <v>PRG-1020917</v>
      </c>
      <c r="E2733" t="s">
        <v>120</v>
      </c>
      <c r="F2733" t="s">
        <v>4</v>
      </c>
      <c r="G2733" t="str">
        <f>""</f>
        <v/>
      </c>
    </row>
    <row r="2734" spans="1:7" x14ac:dyDescent="0.25">
      <c r="A2734" t="s">
        <v>8</v>
      </c>
      <c r="B2734" s="1" t="str">
        <f>"000222696 - RICH FOODS BB-FOODBUY  RETRO"</f>
        <v>000222696 - RICH FOODS BB-FOODBUY  RETRO</v>
      </c>
      <c r="C2734" t="s">
        <v>1633</v>
      </c>
      <c r="D2734" s="1" t="str">
        <f t="shared" si="80"/>
        <v>PRG-1020917</v>
      </c>
      <c r="E2734" t="s">
        <v>120</v>
      </c>
      <c r="F2734" t="s">
        <v>4</v>
      </c>
      <c r="G2734" t="str">
        <f>""</f>
        <v/>
      </c>
    </row>
    <row r="2735" spans="1:7" x14ac:dyDescent="0.25">
      <c r="A2735" t="s">
        <v>8</v>
      </c>
      <c r="B2735" s="1" t="str">
        <f>"000222833 - RICH FOODS-FOODBUY"</f>
        <v>000222833 - RICH FOODS-FOODBUY</v>
      </c>
      <c r="C2735" t="s">
        <v>237</v>
      </c>
      <c r="D2735" s="1" t="str">
        <f t="shared" si="80"/>
        <v>PRG-1020917</v>
      </c>
      <c r="E2735" t="s">
        <v>120</v>
      </c>
      <c r="F2735" t="s">
        <v>4</v>
      </c>
      <c r="G2735" t="str">
        <f>""</f>
        <v/>
      </c>
    </row>
    <row r="2736" spans="1:7" x14ac:dyDescent="0.25">
      <c r="A2736" t="s">
        <v>8</v>
      </c>
      <c r="B2736" s="1" t="str">
        <f>"000222856 - RICH PRODUCTS-FOODBUY"</f>
        <v>000222856 - RICH PRODUCTS-FOODBUY</v>
      </c>
      <c r="C2736" t="s">
        <v>342</v>
      </c>
      <c r="D2736" s="1" t="str">
        <f t="shared" si="80"/>
        <v>PRG-1020917</v>
      </c>
      <c r="E2736" t="s">
        <v>120</v>
      </c>
      <c r="F2736" t="s">
        <v>4</v>
      </c>
      <c r="G2736" t="str">
        <f>""</f>
        <v/>
      </c>
    </row>
    <row r="2737" spans="1:7" x14ac:dyDescent="0.25">
      <c r="A2737" t="s">
        <v>8</v>
      </c>
      <c r="B2737" s="1" t="str">
        <f>"000223571 - RICH PRODUCTS-FOODBUY"</f>
        <v>000223571 - RICH PRODUCTS-FOODBUY</v>
      </c>
      <c r="C2737" t="s">
        <v>342</v>
      </c>
      <c r="D2737" s="1" t="str">
        <f t="shared" si="80"/>
        <v>PRG-1020917</v>
      </c>
      <c r="E2737" t="s">
        <v>120</v>
      </c>
      <c r="F2737" t="s">
        <v>4</v>
      </c>
      <c r="G2737" t="str">
        <f>""</f>
        <v/>
      </c>
    </row>
    <row r="2738" spans="1:7" x14ac:dyDescent="0.25">
      <c r="A2738" t="s">
        <v>8</v>
      </c>
      <c r="B2738" s="1" t="str">
        <f>"000223634 - RICH'S FBY  BARMUDA"</f>
        <v>000223634 - RICH'S FBY  BARMUDA</v>
      </c>
      <c r="C2738" t="s">
        <v>1650</v>
      </c>
      <c r="D2738" s="1" t="str">
        <f t="shared" si="80"/>
        <v>PRG-1020917</v>
      </c>
      <c r="E2738" t="s">
        <v>120</v>
      </c>
      <c r="F2738" t="s">
        <v>4</v>
      </c>
      <c r="G2738" t="str">
        <f>""</f>
        <v/>
      </c>
    </row>
    <row r="2739" spans="1:7" x14ac:dyDescent="0.25">
      <c r="A2739" t="s">
        <v>8</v>
      </c>
      <c r="B2739" s="1" t="str">
        <f>"000223651 - RICHS FOODS BB-FOODBUY"</f>
        <v>000223651 - RICHS FOODS BB-FOODBUY</v>
      </c>
      <c r="C2739" t="s">
        <v>393</v>
      </c>
      <c r="D2739" s="1" t="str">
        <f t="shared" si="80"/>
        <v>PRG-1020917</v>
      </c>
      <c r="E2739" t="s">
        <v>120</v>
      </c>
      <c r="F2739" t="s">
        <v>4</v>
      </c>
      <c r="G2739" t="str">
        <f>""</f>
        <v/>
      </c>
    </row>
    <row r="2740" spans="1:7" x14ac:dyDescent="0.25">
      <c r="A2740" t="s">
        <v>8</v>
      </c>
      <c r="B2740" s="1" t="str">
        <f>"000223679 - RICHS FOODS BB-FOODBUY RETRO"</f>
        <v>000223679 - RICHS FOODS BB-FOODBUY RETRO</v>
      </c>
      <c r="C2740" t="s">
        <v>1651</v>
      </c>
      <c r="D2740" s="1" t="str">
        <f t="shared" si="80"/>
        <v>PRG-1020917</v>
      </c>
      <c r="E2740" t="s">
        <v>120</v>
      </c>
      <c r="F2740" t="s">
        <v>4</v>
      </c>
      <c r="G2740" t="str">
        <f>""</f>
        <v/>
      </c>
    </row>
    <row r="2741" spans="1:7" x14ac:dyDescent="0.25">
      <c r="A2741" t="s">
        <v>8</v>
      </c>
      <c r="B2741" s="1" t="str">
        <f>"000224399 - RICH PRODUCTS-FOODBUY"</f>
        <v>000224399 - RICH PRODUCTS-FOODBUY</v>
      </c>
      <c r="C2741" t="s">
        <v>342</v>
      </c>
      <c r="D2741" s="1" t="str">
        <f t="shared" si="80"/>
        <v>PRG-1020917</v>
      </c>
      <c r="E2741" t="s">
        <v>120</v>
      </c>
      <c r="F2741" t="s">
        <v>4</v>
      </c>
      <c r="G2741" t="str">
        <f>""</f>
        <v/>
      </c>
    </row>
    <row r="2742" spans="1:7" x14ac:dyDescent="0.25">
      <c r="A2742" t="s">
        <v>8</v>
      </c>
      <c r="B2742" s="1" t="str">
        <f>"000224787 - RICHS FOODS BB-FOODBUY"</f>
        <v>000224787 - RICHS FOODS BB-FOODBUY</v>
      </c>
      <c r="C2742" t="s">
        <v>393</v>
      </c>
      <c r="D2742" s="1" t="str">
        <f t="shared" si="80"/>
        <v>PRG-1020917</v>
      </c>
      <c r="E2742" t="s">
        <v>120</v>
      </c>
      <c r="F2742" t="s">
        <v>4</v>
      </c>
      <c r="G2742" t="str">
        <f>""</f>
        <v/>
      </c>
    </row>
    <row r="2743" spans="1:7" x14ac:dyDescent="0.25">
      <c r="A2743" t="s">
        <v>8</v>
      </c>
      <c r="B2743" s="1" t="str">
        <f>"000224981 - RICH FOODS BB-FOODBUY"</f>
        <v>000224981 - RICH FOODS BB-FOODBUY</v>
      </c>
      <c r="C2743" t="s">
        <v>209</v>
      </c>
      <c r="D2743" s="1" t="str">
        <f t="shared" si="80"/>
        <v>PRG-1020917</v>
      </c>
      <c r="E2743" t="s">
        <v>120</v>
      </c>
      <c r="F2743" t="s">
        <v>4</v>
      </c>
      <c r="G2743" t="str">
        <f>""</f>
        <v/>
      </c>
    </row>
    <row r="2744" spans="1:7" x14ac:dyDescent="0.25">
      <c r="A2744" t="s">
        <v>8</v>
      </c>
      <c r="B2744" s="1" t="str">
        <f>"000225047 - RICH PRODUCTS-FOODBUY"</f>
        <v>000225047 - RICH PRODUCTS-FOODBUY</v>
      </c>
      <c r="C2744" t="s">
        <v>342</v>
      </c>
      <c r="D2744" s="1" t="str">
        <f t="shared" ref="D2744:D2807" si="81">"PRG-1020917"</f>
        <v>PRG-1020917</v>
      </c>
      <c r="E2744" t="s">
        <v>120</v>
      </c>
      <c r="F2744" t="s">
        <v>4</v>
      </c>
      <c r="G2744" t="str">
        <f>""</f>
        <v/>
      </c>
    </row>
    <row r="2745" spans="1:7" x14ac:dyDescent="0.25">
      <c r="A2745" t="s">
        <v>8</v>
      </c>
      <c r="B2745" s="1" t="str">
        <f>"000225442 - RICH FOODS BB-FOODBUY"</f>
        <v>000225442 - RICH FOODS BB-FOODBUY</v>
      </c>
      <c r="C2745" t="s">
        <v>209</v>
      </c>
      <c r="D2745" s="1" t="str">
        <f t="shared" si="81"/>
        <v>PRG-1020917</v>
      </c>
      <c r="E2745" t="s">
        <v>120</v>
      </c>
      <c r="F2745" t="s">
        <v>4</v>
      </c>
      <c r="G2745" t="str">
        <f>""</f>
        <v/>
      </c>
    </row>
    <row r="2746" spans="1:7" x14ac:dyDescent="0.25">
      <c r="A2746" t="s">
        <v>8</v>
      </c>
      <c r="B2746" s="1" t="str">
        <f>"000225481 - RICH FOODS BB-FOODBUY"</f>
        <v>000225481 - RICH FOODS BB-FOODBUY</v>
      </c>
      <c r="C2746" t="s">
        <v>209</v>
      </c>
      <c r="D2746" s="1" t="str">
        <f t="shared" si="81"/>
        <v>PRG-1020917</v>
      </c>
      <c r="E2746" t="s">
        <v>120</v>
      </c>
      <c r="F2746" t="s">
        <v>4</v>
      </c>
      <c r="G2746" t="str">
        <f>""</f>
        <v/>
      </c>
    </row>
    <row r="2747" spans="1:7" x14ac:dyDescent="0.25">
      <c r="A2747" t="s">
        <v>8</v>
      </c>
      <c r="B2747" s="1" t="str">
        <f>"000225566 - RICH FOODS BB-FOODBUY"</f>
        <v>000225566 - RICH FOODS BB-FOODBUY</v>
      </c>
      <c r="C2747" t="s">
        <v>209</v>
      </c>
      <c r="D2747" s="1" t="str">
        <f t="shared" si="81"/>
        <v>PRG-1020917</v>
      </c>
      <c r="E2747" t="s">
        <v>120</v>
      </c>
      <c r="F2747" t="s">
        <v>4</v>
      </c>
      <c r="G2747" t="str">
        <f>""</f>
        <v/>
      </c>
    </row>
    <row r="2748" spans="1:7" x14ac:dyDescent="0.25">
      <c r="A2748" t="s">
        <v>8</v>
      </c>
      <c r="B2748" s="1" t="str">
        <f>"000225703 - RICH PRODUCTS-FOODBUY"</f>
        <v>000225703 - RICH PRODUCTS-FOODBUY</v>
      </c>
      <c r="C2748" t="s">
        <v>342</v>
      </c>
      <c r="D2748" s="1" t="str">
        <f t="shared" si="81"/>
        <v>PRG-1020917</v>
      </c>
      <c r="E2748" t="s">
        <v>120</v>
      </c>
      <c r="F2748" t="s">
        <v>4</v>
      </c>
      <c r="G2748" t="str">
        <f>""</f>
        <v/>
      </c>
    </row>
    <row r="2749" spans="1:7" x14ac:dyDescent="0.25">
      <c r="A2749" t="s">
        <v>8</v>
      </c>
      <c r="B2749" s="1" t="str">
        <f>"000225825 - RICH FOODS-FOODBUY"</f>
        <v>000225825 - RICH FOODS-FOODBUY</v>
      </c>
      <c r="C2749" t="s">
        <v>237</v>
      </c>
      <c r="D2749" s="1" t="str">
        <f t="shared" si="81"/>
        <v>PRG-1020917</v>
      </c>
      <c r="E2749" t="s">
        <v>120</v>
      </c>
      <c r="F2749" t="s">
        <v>4</v>
      </c>
      <c r="G2749" t="str">
        <f>""</f>
        <v/>
      </c>
    </row>
    <row r="2750" spans="1:7" x14ac:dyDescent="0.25">
      <c r="A2750" t="s">
        <v>8</v>
      </c>
      <c r="B2750" s="1" t="str">
        <f>"000226057 - RICH FOODS BB-FOODBUY"</f>
        <v>000226057 - RICH FOODS BB-FOODBUY</v>
      </c>
      <c r="C2750" t="s">
        <v>209</v>
      </c>
      <c r="D2750" s="1" t="str">
        <f t="shared" si="81"/>
        <v>PRG-1020917</v>
      </c>
      <c r="E2750" t="s">
        <v>120</v>
      </c>
      <c r="F2750" t="s">
        <v>4</v>
      </c>
      <c r="G2750" t="str">
        <f>""</f>
        <v/>
      </c>
    </row>
    <row r="2751" spans="1:7" x14ac:dyDescent="0.25">
      <c r="A2751" t="s">
        <v>8</v>
      </c>
      <c r="B2751" s="1" t="str">
        <f>"000226394 - RICH FOODS BB-FOODBUY"</f>
        <v>000226394 - RICH FOODS BB-FOODBUY</v>
      </c>
      <c r="C2751" t="s">
        <v>209</v>
      </c>
      <c r="D2751" s="1" t="str">
        <f t="shared" si="81"/>
        <v>PRG-1020917</v>
      </c>
      <c r="E2751" t="s">
        <v>120</v>
      </c>
      <c r="F2751" t="s">
        <v>4</v>
      </c>
      <c r="G2751" t="str">
        <f>""</f>
        <v/>
      </c>
    </row>
    <row r="2752" spans="1:7" x14ac:dyDescent="0.25">
      <c r="A2752" t="s">
        <v>8</v>
      </c>
      <c r="B2752" s="1" t="str">
        <f>"000226522 - RICH FOODS-FOODBUY"</f>
        <v>000226522 - RICH FOODS-FOODBUY</v>
      </c>
      <c r="C2752" t="s">
        <v>237</v>
      </c>
      <c r="D2752" s="1" t="str">
        <f t="shared" si="81"/>
        <v>PRG-1020917</v>
      </c>
      <c r="E2752" t="s">
        <v>120</v>
      </c>
      <c r="F2752" t="s">
        <v>4</v>
      </c>
      <c r="G2752" t="str">
        <f>""</f>
        <v/>
      </c>
    </row>
    <row r="2753" spans="1:7" x14ac:dyDescent="0.25">
      <c r="A2753" t="s">
        <v>8</v>
      </c>
      <c r="B2753" s="1" t="str">
        <f>"000226747 - RICH PRODUCTS-FOODBUY"</f>
        <v>000226747 - RICH PRODUCTS-FOODBUY</v>
      </c>
      <c r="C2753" t="s">
        <v>342</v>
      </c>
      <c r="D2753" s="1" t="str">
        <f t="shared" si="81"/>
        <v>PRG-1020917</v>
      </c>
      <c r="E2753" t="s">
        <v>120</v>
      </c>
      <c r="F2753" t="s">
        <v>4</v>
      </c>
      <c r="G2753" t="str">
        <f>""</f>
        <v/>
      </c>
    </row>
    <row r="2754" spans="1:7" x14ac:dyDescent="0.25">
      <c r="A2754" t="s">
        <v>8</v>
      </c>
      <c r="B2754" s="1" t="str">
        <f>"000227210 - RICH FOODS BB-FOODBUY"</f>
        <v>000227210 - RICH FOODS BB-FOODBUY</v>
      </c>
      <c r="C2754" t="s">
        <v>209</v>
      </c>
      <c r="D2754" s="1" t="str">
        <f t="shared" si="81"/>
        <v>PRG-1020917</v>
      </c>
      <c r="E2754" t="s">
        <v>120</v>
      </c>
      <c r="F2754" t="s">
        <v>4</v>
      </c>
      <c r="G2754" t="str">
        <f>""</f>
        <v/>
      </c>
    </row>
    <row r="2755" spans="1:7" x14ac:dyDescent="0.25">
      <c r="A2755" t="s">
        <v>8</v>
      </c>
      <c r="B2755" s="1" t="str">
        <f>"000227867 - RICH FOODS-FOODBUY"</f>
        <v>000227867 - RICH FOODS-FOODBUY</v>
      </c>
      <c r="C2755" t="s">
        <v>237</v>
      </c>
      <c r="D2755" s="1" t="str">
        <f t="shared" si="81"/>
        <v>PRG-1020917</v>
      </c>
      <c r="E2755" t="s">
        <v>120</v>
      </c>
      <c r="F2755" t="s">
        <v>4</v>
      </c>
      <c r="G2755" t="str">
        <f>""</f>
        <v/>
      </c>
    </row>
    <row r="2756" spans="1:7" x14ac:dyDescent="0.25">
      <c r="A2756" t="s">
        <v>8</v>
      </c>
      <c r="B2756" s="1" t="str">
        <f>"000228226 - RICH PRODUCTS-FOODBUY"</f>
        <v>000228226 - RICH PRODUCTS-FOODBUY</v>
      </c>
      <c r="C2756" t="s">
        <v>342</v>
      </c>
      <c r="D2756" s="1" t="str">
        <f t="shared" si="81"/>
        <v>PRG-1020917</v>
      </c>
      <c r="E2756" t="s">
        <v>120</v>
      </c>
      <c r="F2756" t="s">
        <v>4</v>
      </c>
      <c r="G2756" t="str">
        <f>""</f>
        <v/>
      </c>
    </row>
    <row r="2757" spans="1:7" x14ac:dyDescent="0.25">
      <c r="A2757" t="s">
        <v>8</v>
      </c>
      <c r="B2757" s="1" t="str">
        <f>"000228374 - RICH FOODS-FOODBUY"</f>
        <v>000228374 - RICH FOODS-FOODBUY</v>
      </c>
      <c r="C2757" t="s">
        <v>237</v>
      </c>
      <c r="D2757" s="1" t="str">
        <f t="shared" si="81"/>
        <v>PRG-1020917</v>
      </c>
      <c r="E2757" t="s">
        <v>120</v>
      </c>
      <c r="F2757" t="s">
        <v>4</v>
      </c>
      <c r="G2757" t="str">
        <f>""</f>
        <v/>
      </c>
    </row>
    <row r="2758" spans="1:7" x14ac:dyDescent="0.25">
      <c r="A2758" t="s">
        <v>8</v>
      </c>
      <c r="B2758" s="1" t="str">
        <f>"000229032 - RICH PRODUCTS-FOODBUY"</f>
        <v>000229032 - RICH PRODUCTS-FOODBUY</v>
      </c>
      <c r="C2758" t="s">
        <v>342</v>
      </c>
      <c r="D2758" s="1" t="str">
        <f t="shared" si="81"/>
        <v>PRG-1020917</v>
      </c>
      <c r="E2758" t="s">
        <v>120</v>
      </c>
      <c r="F2758" t="s">
        <v>4</v>
      </c>
      <c r="G2758" t="str">
        <f>""</f>
        <v/>
      </c>
    </row>
    <row r="2759" spans="1:7" x14ac:dyDescent="0.25">
      <c r="A2759" t="s">
        <v>8</v>
      </c>
      <c r="B2759" s="1" t="str">
        <f>"000229790 - RICH PRODUCTS-FOODBUY"</f>
        <v>000229790 - RICH PRODUCTS-FOODBUY</v>
      </c>
      <c r="C2759" t="s">
        <v>342</v>
      </c>
      <c r="D2759" s="1" t="str">
        <f t="shared" si="81"/>
        <v>PRG-1020917</v>
      </c>
      <c r="E2759" t="s">
        <v>120</v>
      </c>
      <c r="F2759" t="s">
        <v>4</v>
      </c>
      <c r="G2759" t="str">
        <f>""</f>
        <v/>
      </c>
    </row>
    <row r="2760" spans="1:7" x14ac:dyDescent="0.25">
      <c r="A2760" t="s">
        <v>8</v>
      </c>
      <c r="B2760" s="1" t="str">
        <f>"000229935 - RICH FOODS BB-FOODBUY"</f>
        <v>000229935 - RICH FOODS BB-FOODBUY</v>
      </c>
      <c r="C2760" t="s">
        <v>209</v>
      </c>
      <c r="D2760" s="1" t="str">
        <f t="shared" si="81"/>
        <v>PRG-1020917</v>
      </c>
      <c r="E2760" t="s">
        <v>120</v>
      </c>
      <c r="F2760" t="s">
        <v>4</v>
      </c>
      <c r="G2760" t="str">
        <f>""</f>
        <v/>
      </c>
    </row>
    <row r="2761" spans="1:7" x14ac:dyDescent="0.25">
      <c r="A2761" t="s">
        <v>8</v>
      </c>
      <c r="B2761" s="1" t="str">
        <f>"000230326 - RICH FOODS-FOODBUY"</f>
        <v>000230326 - RICH FOODS-FOODBUY</v>
      </c>
      <c r="C2761" t="s">
        <v>237</v>
      </c>
      <c r="D2761" s="1" t="str">
        <f t="shared" si="81"/>
        <v>PRG-1020917</v>
      </c>
      <c r="E2761" t="s">
        <v>120</v>
      </c>
      <c r="F2761" t="s">
        <v>4</v>
      </c>
      <c r="G2761" t="str">
        <f>""</f>
        <v/>
      </c>
    </row>
    <row r="2762" spans="1:7" x14ac:dyDescent="0.25">
      <c r="A2762" t="s">
        <v>8</v>
      </c>
      <c r="B2762" s="1" t="str">
        <f>"000230462 - RICH FOODS BB-FOODBUY"</f>
        <v>000230462 - RICH FOODS BB-FOODBUY</v>
      </c>
      <c r="C2762" t="s">
        <v>209</v>
      </c>
      <c r="D2762" s="1" t="str">
        <f t="shared" si="81"/>
        <v>PRG-1020917</v>
      </c>
      <c r="E2762" t="s">
        <v>120</v>
      </c>
      <c r="F2762" t="s">
        <v>4</v>
      </c>
      <c r="G2762" t="str">
        <f>""</f>
        <v/>
      </c>
    </row>
    <row r="2763" spans="1:7" x14ac:dyDescent="0.25">
      <c r="A2763" t="s">
        <v>8</v>
      </c>
      <c r="B2763" s="1" t="str">
        <f>"000230679 - RICH FOODS BB-FOODBUY"</f>
        <v>000230679 - RICH FOODS BB-FOODBUY</v>
      </c>
      <c r="C2763" t="s">
        <v>209</v>
      </c>
      <c r="D2763" s="1" t="str">
        <f t="shared" si="81"/>
        <v>PRG-1020917</v>
      </c>
      <c r="E2763" t="s">
        <v>120</v>
      </c>
      <c r="F2763" t="s">
        <v>4</v>
      </c>
      <c r="G2763" t="str">
        <f>""</f>
        <v/>
      </c>
    </row>
    <row r="2764" spans="1:7" x14ac:dyDescent="0.25">
      <c r="A2764" t="s">
        <v>8</v>
      </c>
      <c r="B2764" s="1" t="str">
        <f>"000231471 - RICH FOODS-CSM CNSLT-FDBY"</f>
        <v>000231471 - RICH FOODS-CSM CNSLT-FDBY</v>
      </c>
      <c r="C2764" t="s">
        <v>1771</v>
      </c>
      <c r="D2764" s="1" t="str">
        <f t="shared" si="81"/>
        <v>PRG-1020917</v>
      </c>
      <c r="E2764" t="s">
        <v>120</v>
      </c>
      <c r="F2764" t="s">
        <v>4</v>
      </c>
      <c r="G2764" t="str">
        <f>""</f>
        <v/>
      </c>
    </row>
    <row r="2765" spans="1:7" x14ac:dyDescent="0.25">
      <c r="A2765" t="s">
        <v>8</v>
      </c>
      <c r="B2765" s="1" t="str">
        <f>"000231746 - RICH FOODS-FOODBUY"</f>
        <v>000231746 - RICH FOODS-FOODBUY</v>
      </c>
      <c r="C2765" t="s">
        <v>237</v>
      </c>
      <c r="D2765" s="1" t="str">
        <f t="shared" si="81"/>
        <v>PRG-1020917</v>
      </c>
      <c r="E2765" t="s">
        <v>120</v>
      </c>
      <c r="F2765" t="s">
        <v>4</v>
      </c>
      <c r="G2765" t="str">
        <f>""</f>
        <v/>
      </c>
    </row>
    <row r="2766" spans="1:7" x14ac:dyDescent="0.25">
      <c r="A2766" t="s">
        <v>8</v>
      </c>
      <c r="B2766" s="1" t="str">
        <f>"000232811 - RICH PRODUCTS-FOODBUY"</f>
        <v>000232811 - RICH PRODUCTS-FOODBUY</v>
      </c>
      <c r="C2766" t="s">
        <v>342</v>
      </c>
      <c r="D2766" s="1" t="str">
        <f t="shared" si="81"/>
        <v>PRG-1020917</v>
      </c>
      <c r="E2766" t="s">
        <v>120</v>
      </c>
      <c r="F2766" t="s">
        <v>4</v>
      </c>
      <c r="G2766" t="str">
        <f>""</f>
        <v/>
      </c>
    </row>
    <row r="2767" spans="1:7" x14ac:dyDescent="0.25">
      <c r="A2767" t="s">
        <v>8</v>
      </c>
      <c r="B2767" s="1" t="str">
        <f>"000233871 - RICH FOODS-FOODBUY"</f>
        <v>000233871 - RICH FOODS-FOODBUY</v>
      </c>
      <c r="C2767" t="s">
        <v>237</v>
      </c>
      <c r="D2767" s="1" t="str">
        <f t="shared" si="81"/>
        <v>PRG-1020917</v>
      </c>
      <c r="E2767" t="s">
        <v>120</v>
      </c>
      <c r="F2767" t="s">
        <v>4</v>
      </c>
      <c r="G2767" t="str">
        <f>""</f>
        <v/>
      </c>
    </row>
    <row r="2768" spans="1:7" x14ac:dyDescent="0.25">
      <c r="A2768" t="s">
        <v>8</v>
      </c>
      <c r="B2768" s="1" t="str">
        <f>"000233909 - RICH FOODS-FOODBUY"</f>
        <v>000233909 - RICH FOODS-FOODBUY</v>
      </c>
      <c r="C2768" t="s">
        <v>237</v>
      </c>
      <c r="D2768" s="1" t="str">
        <f t="shared" si="81"/>
        <v>PRG-1020917</v>
      </c>
      <c r="E2768" t="s">
        <v>120</v>
      </c>
      <c r="F2768" t="s">
        <v>4</v>
      </c>
      <c r="G2768" t="str">
        <f>""</f>
        <v/>
      </c>
    </row>
    <row r="2769" spans="1:7" x14ac:dyDescent="0.25">
      <c r="A2769" t="s">
        <v>8</v>
      </c>
      <c r="B2769" s="1" t="str">
        <f>"000234424 - RICH PRODUCTS-FOODBUY"</f>
        <v>000234424 - RICH PRODUCTS-FOODBUY</v>
      </c>
      <c r="C2769" t="s">
        <v>342</v>
      </c>
      <c r="D2769" s="1" t="str">
        <f t="shared" si="81"/>
        <v>PRG-1020917</v>
      </c>
      <c r="E2769" t="s">
        <v>120</v>
      </c>
      <c r="F2769" t="s">
        <v>4</v>
      </c>
      <c r="G2769" t="str">
        <f>""</f>
        <v/>
      </c>
    </row>
    <row r="2770" spans="1:7" x14ac:dyDescent="0.25">
      <c r="A2770" t="s">
        <v>8</v>
      </c>
      <c r="B2770" s="1" t="str">
        <f>"000234486 - RICH PRODUCTS-FOODBUY"</f>
        <v>000234486 - RICH PRODUCTS-FOODBUY</v>
      </c>
      <c r="C2770" t="s">
        <v>342</v>
      </c>
      <c r="D2770" s="1" t="str">
        <f t="shared" si="81"/>
        <v>PRG-1020917</v>
      </c>
      <c r="E2770" t="s">
        <v>120</v>
      </c>
      <c r="F2770" t="s">
        <v>4</v>
      </c>
      <c r="G2770" t="str">
        <f>""</f>
        <v/>
      </c>
    </row>
    <row r="2771" spans="1:7" x14ac:dyDescent="0.25">
      <c r="A2771" t="s">
        <v>8</v>
      </c>
      <c r="B2771" s="1" t="str">
        <f>"000235312 - RICH FOODS BB-FOODBUY"</f>
        <v>000235312 - RICH FOODS BB-FOODBUY</v>
      </c>
      <c r="C2771" t="s">
        <v>209</v>
      </c>
      <c r="D2771" s="1" t="str">
        <f t="shared" si="81"/>
        <v>PRG-1020917</v>
      </c>
      <c r="E2771" t="s">
        <v>120</v>
      </c>
      <c r="F2771" t="s">
        <v>4</v>
      </c>
      <c r="G2771" t="str">
        <f>""</f>
        <v/>
      </c>
    </row>
    <row r="2772" spans="1:7" x14ac:dyDescent="0.25">
      <c r="A2772" t="s">
        <v>8</v>
      </c>
      <c r="B2772" s="1" t="str">
        <f>"000235883 - RICH FOODS BB-FOODBUY"</f>
        <v>000235883 - RICH FOODS BB-FOODBUY</v>
      </c>
      <c r="C2772" t="s">
        <v>209</v>
      </c>
      <c r="D2772" s="1" t="str">
        <f t="shared" si="81"/>
        <v>PRG-1020917</v>
      </c>
      <c r="E2772" t="s">
        <v>120</v>
      </c>
      <c r="F2772" t="s">
        <v>4</v>
      </c>
      <c r="G2772" t="str">
        <f>""</f>
        <v/>
      </c>
    </row>
    <row r="2773" spans="1:7" x14ac:dyDescent="0.25">
      <c r="A2773" t="s">
        <v>8</v>
      </c>
      <c r="B2773" s="1" t="str">
        <f>"000235934 - RICH FOODS BB-FOODBUY"</f>
        <v>000235934 - RICH FOODS BB-FOODBUY</v>
      </c>
      <c r="C2773" t="s">
        <v>209</v>
      </c>
      <c r="D2773" s="1" t="str">
        <f t="shared" si="81"/>
        <v>PRG-1020917</v>
      </c>
      <c r="E2773" t="s">
        <v>120</v>
      </c>
      <c r="F2773" t="s">
        <v>4</v>
      </c>
      <c r="G2773" t="str">
        <f>""</f>
        <v/>
      </c>
    </row>
    <row r="2774" spans="1:7" x14ac:dyDescent="0.25">
      <c r="A2774" t="s">
        <v>8</v>
      </c>
      <c r="B2774" s="1" t="str">
        <f>"000235997 - RICH PRODUCTS-FOODBUY"</f>
        <v>000235997 - RICH PRODUCTS-FOODBUY</v>
      </c>
      <c r="C2774" t="s">
        <v>342</v>
      </c>
      <c r="D2774" s="1" t="str">
        <f t="shared" si="81"/>
        <v>PRG-1020917</v>
      </c>
      <c r="E2774" t="s">
        <v>120</v>
      </c>
      <c r="F2774" t="s">
        <v>4</v>
      </c>
      <c r="G2774" t="str">
        <f>""</f>
        <v/>
      </c>
    </row>
    <row r="2775" spans="1:7" x14ac:dyDescent="0.25">
      <c r="A2775" t="s">
        <v>8</v>
      </c>
      <c r="B2775" s="1" t="str">
        <f>"000236238 - RICH PRODUCTS-FOODBUY"</f>
        <v>000236238 - RICH PRODUCTS-FOODBUY</v>
      </c>
      <c r="C2775" t="s">
        <v>342</v>
      </c>
      <c r="D2775" s="1" t="str">
        <f t="shared" si="81"/>
        <v>PRG-1020917</v>
      </c>
      <c r="E2775" t="s">
        <v>120</v>
      </c>
      <c r="F2775" t="s">
        <v>4</v>
      </c>
      <c r="G2775" t="str">
        <f>""</f>
        <v/>
      </c>
    </row>
    <row r="2776" spans="1:7" x14ac:dyDescent="0.25">
      <c r="A2776" t="s">
        <v>8</v>
      </c>
      <c r="B2776" s="1" t="str">
        <f>"000236612 - RICH PRODUCTS-FOODBUY"</f>
        <v>000236612 - RICH PRODUCTS-FOODBUY</v>
      </c>
      <c r="C2776" t="s">
        <v>342</v>
      </c>
      <c r="D2776" s="1" t="str">
        <f t="shared" si="81"/>
        <v>PRG-1020917</v>
      </c>
      <c r="E2776" t="s">
        <v>120</v>
      </c>
      <c r="F2776" t="s">
        <v>4</v>
      </c>
      <c r="G2776" t="str">
        <f>""</f>
        <v/>
      </c>
    </row>
    <row r="2777" spans="1:7" x14ac:dyDescent="0.25">
      <c r="A2777" t="s">
        <v>8</v>
      </c>
      <c r="B2777" s="1" t="str">
        <f>"000236902 - RICH FOODS BB-FOODBUY"</f>
        <v>000236902 - RICH FOODS BB-FOODBUY</v>
      </c>
      <c r="C2777" t="s">
        <v>209</v>
      </c>
      <c r="D2777" s="1" t="str">
        <f t="shared" si="81"/>
        <v>PRG-1020917</v>
      </c>
      <c r="E2777" t="s">
        <v>120</v>
      </c>
      <c r="F2777" t="s">
        <v>4</v>
      </c>
      <c r="G2777" t="str">
        <f>""</f>
        <v/>
      </c>
    </row>
    <row r="2778" spans="1:7" x14ac:dyDescent="0.25">
      <c r="A2778" t="s">
        <v>8</v>
      </c>
      <c r="B2778" s="1" t="str">
        <f>"000236937 - RETRO RICH FOODS BB FOODBUY"</f>
        <v>000236937 - RETRO RICH FOODS BB FOODBUY</v>
      </c>
      <c r="C2778" t="s">
        <v>1855</v>
      </c>
      <c r="D2778" s="1" t="str">
        <f t="shared" si="81"/>
        <v>PRG-1020917</v>
      </c>
      <c r="E2778" t="s">
        <v>120</v>
      </c>
      <c r="F2778" t="s">
        <v>4</v>
      </c>
      <c r="G2778" t="str">
        <f>""</f>
        <v/>
      </c>
    </row>
    <row r="2779" spans="1:7" x14ac:dyDescent="0.25">
      <c r="A2779" t="s">
        <v>8</v>
      </c>
      <c r="B2779" s="1" t="str">
        <f>"000237367 - RICH PRODUCTS-FOODBUY"</f>
        <v>000237367 - RICH PRODUCTS-FOODBUY</v>
      </c>
      <c r="C2779" t="s">
        <v>342</v>
      </c>
      <c r="D2779" s="1" t="str">
        <f t="shared" si="81"/>
        <v>PRG-1020917</v>
      </c>
      <c r="E2779" t="s">
        <v>120</v>
      </c>
      <c r="F2779" t="s">
        <v>4</v>
      </c>
      <c r="G2779" t="str">
        <f>""</f>
        <v/>
      </c>
    </row>
    <row r="2780" spans="1:7" x14ac:dyDescent="0.25">
      <c r="A2780" t="s">
        <v>8</v>
      </c>
      <c r="B2780" s="1" t="str">
        <f>"000237635 - RICH FOODS BB-FOODBUY"</f>
        <v>000237635 - RICH FOODS BB-FOODBUY</v>
      </c>
      <c r="C2780" t="s">
        <v>209</v>
      </c>
      <c r="D2780" s="1" t="str">
        <f t="shared" si="81"/>
        <v>PRG-1020917</v>
      </c>
      <c r="E2780" t="s">
        <v>120</v>
      </c>
      <c r="F2780" t="s">
        <v>4</v>
      </c>
      <c r="G2780" t="str">
        <f>""</f>
        <v/>
      </c>
    </row>
    <row r="2781" spans="1:7" x14ac:dyDescent="0.25">
      <c r="A2781" t="s">
        <v>8</v>
      </c>
      <c r="B2781" s="1" t="str">
        <f>"000237837 - RICH FOODS BB-FOODBUY"</f>
        <v>000237837 - RICH FOODS BB-FOODBUY</v>
      </c>
      <c r="C2781" t="s">
        <v>209</v>
      </c>
      <c r="D2781" s="1" t="str">
        <f t="shared" si="81"/>
        <v>PRG-1020917</v>
      </c>
      <c r="E2781" t="s">
        <v>120</v>
      </c>
      <c r="F2781" t="s">
        <v>4</v>
      </c>
      <c r="G2781" t="str">
        <f>""</f>
        <v/>
      </c>
    </row>
    <row r="2782" spans="1:7" x14ac:dyDescent="0.25">
      <c r="A2782" t="s">
        <v>8</v>
      </c>
      <c r="B2782" s="1" t="str">
        <f>"000238306 - RICHS FOODS BB-FOODBUY"</f>
        <v>000238306 - RICHS FOODS BB-FOODBUY</v>
      </c>
      <c r="C2782" t="s">
        <v>393</v>
      </c>
      <c r="D2782" s="1" t="str">
        <f t="shared" si="81"/>
        <v>PRG-1020917</v>
      </c>
      <c r="E2782" t="s">
        <v>120</v>
      </c>
      <c r="F2782" t="s">
        <v>4</v>
      </c>
      <c r="G2782" t="str">
        <f>""</f>
        <v/>
      </c>
    </row>
    <row r="2783" spans="1:7" x14ac:dyDescent="0.25">
      <c r="A2783" t="s">
        <v>8</v>
      </c>
      <c r="B2783" s="1" t="str">
        <f>"000238387 - RICH PRODUCTS-FOODBUY"</f>
        <v>000238387 - RICH PRODUCTS-FOODBUY</v>
      </c>
      <c r="C2783" t="s">
        <v>342</v>
      </c>
      <c r="D2783" s="1" t="str">
        <f t="shared" si="81"/>
        <v>PRG-1020917</v>
      </c>
      <c r="E2783" t="s">
        <v>120</v>
      </c>
      <c r="F2783" t="s">
        <v>4</v>
      </c>
      <c r="G2783" t="str">
        <f>""</f>
        <v/>
      </c>
    </row>
    <row r="2784" spans="1:7" x14ac:dyDescent="0.25">
      <c r="A2784" t="s">
        <v>8</v>
      </c>
      <c r="B2784" s="1" t="str">
        <f>"000238390 - RICH FOODS BB-FOODBUY"</f>
        <v>000238390 - RICH FOODS BB-FOODBUY</v>
      </c>
      <c r="C2784" t="s">
        <v>209</v>
      </c>
      <c r="D2784" s="1" t="str">
        <f t="shared" si="81"/>
        <v>PRG-1020917</v>
      </c>
      <c r="E2784" t="s">
        <v>120</v>
      </c>
      <c r="F2784" t="s">
        <v>4</v>
      </c>
      <c r="G2784" t="str">
        <f>""</f>
        <v/>
      </c>
    </row>
    <row r="2785" spans="1:7" x14ac:dyDescent="0.25">
      <c r="A2785" t="s">
        <v>8</v>
      </c>
      <c r="B2785" s="1" t="str">
        <f>"000238768 - RICH FOODS-FOODBUY"</f>
        <v>000238768 - RICH FOODS-FOODBUY</v>
      </c>
      <c r="C2785" t="s">
        <v>237</v>
      </c>
      <c r="D2785" s="1" t="str">
        <f t="shared" si="81"/>
        <v>PRG-1020917</v>
      </c>
      <c r="E2785" t="s">
        <v>120</v>
      </c>
      <c r="F2785" t="s">
        <v>4</v>
      </c>
      <c r="G2785" t="str">
        <f>""</f>
        <v/>
      </c>
    </row>
    <row r="2786" spans="1:7" x14ac:dyDescent="0.25">
      <c r="A2786" t="s">
        <v>8</v>
      </c>
      <c r="B2786" s="1" t="str">
        <f>"000238892 - RICH PRODUCTS-FOODBUY"</f>
        <v>000238892 - RICH PRODUCTS-FOODBUY</v>
      </c>
      <c r="C2786" t="s">
        <v>342</v>
      </c>
      <c r="D2786" s="1" t="str">
        <f t="shared" si="81"/>
        <v>PRG-1020917</v>
      </c>
      <c r="E2786" t="s">
        <v>120</v>
      </c>
      <c r="F2786" t="s">
        <v>4</v>
      </c>
      <c r="G2786" t="str">
        <f>""</f>
        <v/>
      </c>
    </row>
    <row r="2787" spans="1:7" x14ac:dyDescent="0.25">
      <c r="A2787" t="s">
        <v>8</v>
      </c>
      <c r="B2787" s="1" t="str">
        <f>"000239014 - RICH FOODS BB-FOODBUY"</f>
        <v>000239014 - RICH FOODS BB-FOODBUY</v>
      </c>
      <c r="C2787" t="s">
        <v>209</v>
      </c>
      <c r="D2787" s="1" t="str">
        <f t="shared" si="81"/>
        <v>PRG-1020917</v>
      </c>
      <c r="E2787" t="s">
        <v>120</v>
      </c>
      <c r="F2787" t="s">
        <v>4</v>
      </c>
      <c r="G2787" t="str">
        <f>""</f>
        <v/>
      </c>
    </row>
    <row r="2788" spans="1:7" x14ac:dyDescent="0.25">
      <c r="A2788" t="s">
        <v>8</v>
      </c>
      <c r="B2788" s="1" t="str">
        <f>"000239475 - RICH FOODS-FOODBUY"</f>
        <v>000239475 - RICH FOODS-FOODBUY</v>
      </c>
      <c r="C2788" t="s">
        <v>237</v>
      </c>
      <c r="D2788" s="1" t="str">
        <f t="shared" si="81"/>
        <v>PRG-1020917</v>
      </c>
      <c r="E2788" t="s">
        <v>120</v>
      </c>
      <c r="F2788" t="s">
        <v>4</v>
      </c>
      <c r="G2788" t="str">
        <f>""</f>
        <v/>
      </c>
    </row>
    <row r="2789" spans="1:7" x14ac:dyDescent="0.25">
      <c r="A2789" t="s">
        <v>8</v>
      </c>
      <c r="B2789" s="1" t="str">
        <f>"000239619 - RICH FOODS BB-FOODBUY"</f>
        <v>000239619 - RICH FOODS BB-FOODBUY</v>
      </c>
      <c r="C2789" t="s">
        <v>209</v>
      </c>
      <c r="D2789" s="1" t="str">
        <f t="shared" si="81"/>
        <v>PRG-1020917</v>
      </c>
      <c r="E2789" t="s">
        <v>120</v>
      </c>
      <c r="F2789" t="s">
        <v>4</v>
      </c>
      <c r="G2789" t="str">
        <f>""</f>
        <v/>
      </c>
    </row>
    <row r="2790" spans="1:7" x14ac:dyDescent="0.25">
      <c r="A2790" t="s">
        <v>8</v>
      </c>
      <c r="B2790" s="1" t="str">
        <f>"000239745 - RICH FOODS-FOODBUY"</f>
        <v>000239745 - RICH FOODS-FOODBUY</v>
      </c>
      <c r="C2790" t="s">
        <v>237</v>
      </c>
      <c r="D2790" s="1" t="str">
        <f t="shared" si="81"/>
        <v>PRG-1020917</v>
      </c>
      <c r="E2790" t="s">
        <v>120</v>
      </c>
      <c r="F2790" t="s">
        <v>4</v>
      </c>
      <c r="G2790" t="str">
        <f>""</f>
        <v/>
      </c>
    </row>
    <row r="2791" spans="1:7" x14ac:dyDescent="0.25">
      <c r="A2791" t="s">
        <v>8</v>
      </c>
      <c r="B2791" s="1" t="str">
        <f>"000239865 - RICH FOODS-FOODBUY"</f>
        <v>000239865 - RICH FOODS-FOODBUY</v>
      </c>
      <c r="C2791" t="s">
        <v>237</v>
      </c>
      <c r="D2791" s="1" t="str">
        <f t="shared" si="81"/>
        <v>PRG-1020917</v>
      </c>
      <c r="E2791" t="s">
        <v>120</v>
      </c>
      <c r="F2791" t="s">
        <v>4</v>
      </c>
      <c r="G2791" t="str">
        <f>""</f>
        <v/>
      </c>
    </row>
    <row r="2792" spans="1:7" x14ac:dyDescent="0.25">
      <c r="A2792" t="s">
        <v>8</v>
      </c>
      <c r="B2792" s="1" t="str">
        <f>"000240025 - RICH FOODS BB-FOODBUY"</f>
        <v>000240025 - RICH FOODS BB-FOODBUY</v>
      </c>
      <c r="C2792" t="s">
        <v>209</v>
      </c>
      <c r="D2792" s="1" t="str">
        <f t="shared" si="81"/>
        <v>PRG-1020917</v>
      </c>
      <c r="E2792" t="s">
        <v>120</v>
      </c>
      <c r="F2792" t="s">
        <v>4</v>
      </c>
      <c r="G2792" t="str">
        <f>""</f>
        <v/>
      </c>
    </row>
    <row r="2793" spans="1:7" x14ac:dyDescent="0.25">
      <c r="A2793" t="s">
        <v>8</v>
      </c>
      <c r="B2793" s="1" t="str">
        <f>"000240184 - RICH FOODS-BB-FOODBUY"</f>
        <v>000240184 - RICH FOODS-BB-FOODBUY</v>
      </c>
      <c r="C2793" t="s">
        <v>1904</v>
      </c>
      <c r="D2793" s="1" t="str">
        <f t="shared" si="81"/>
        <v>PRG-1020917</v>
      </c>
      <c r="E2793" t="s">
        <v>120</v>
      </c>
      <c r="F2793" t="s">
        <v>4</v>
      </c>
      <c r="G2793" t="str">
        <f>""</f>
        <v/>
      </c>
    </row>
    <row r="2794" spans="1:7" x14ac:dyDescent="0.25">
      <c r="A2794" t="s">
        <v>8</v>
      </c>
      <c r="B2794" s="1" t="str">
        <f>"000240352 - RICH FOODS BB-FOODBUY"</f>
        <v>000240352 - RICH FOODS BB-FOODBUY</v>
      </c>
      <c r="C2794" t="s">
        <v>209</v>
      </c>
      <c r="D2794" s="1" t="str">
        <f t="shared" si="81"/>
        <v>PRG-1020917</v>
      </c>
      <c r="E2794" t="s">
        <v>120</v>
      </c>
      <c r="F2794" t="s">
        <v>4</v>
      </c>
      <c r="G2794" t="str">
        <f>""</f>
        <v/>
      </c>
    </row>
    <row r="2795" spans="1:7" x14ac:dyDescent="0.25">
      <c r="A2795" t="s">
        <v>8</v>
      </c>
      <c r="B2795" s="1" t="str">
        <f>"000240875 - RICH FOODS-FOODBUY"</f>
        <v>000240875 - RICH FOODS-FOODBUY</v>
      </c>
      <c r="C2795" t="s">
        <v>237</v>
      </c>
      <c r="D2795" s="1" t="str">
        <f t="shared" si="81"/>
        <v>PRG-1020917</v>
      </c>
      <c r="E2795" t="s">
        <v>120</v>
      </c>
      <c r="F2795" t="s">
        <v>4</v>
      </c>
      <c r="G2795" t="str">
        <f>""</f>
        <v/>
      </c>
    </row>
    <row r="2796" spans="1:7" x14ac:dyDescent="0.25">
      <c r="A2796" t="s">
        <v>8</v>
      </c>
      <c r="B2796" s="1" t="str">
        <f>"000241158 - RICH PRODUCTS-FOODBUY"</f>
        <v>000241158 - RICH PRODUCTS-FOODBUY</v>
      </c>
      <c r="C2796" t="s">
        <v>342</v>
      </c>
      <c r="D2796" s="1" t="str">
        <f t="shared" si="81"/>
        <v>PRG-1020917</v>
      </c>
      <c r="E2796" t="s">
        <v>120</v>
      </c>
      <c r="F2796" t="s">
        <v>4</v>
      </c>
      <c r="G2796" t="str">
        <f>""</f>
        <v/>
      </c>
    </row>
    <row r="2797" spans="1:7" x14ac:dyDescent="0.25">
      <c r="A2797" t="s">
        <v>8</v>
      </c>
      <c r="B2797" s="1" t="str">
        <f>"000241907 - RICH FOODS FOODBUY CSM"</f>
        <v>000241907 - RICH FOODS FOODBUY CSM</v>
      </c>
      <c r="C2797" t="s">
        <v>1931</v>
      </c>
      <c r="D2797" s="1" t="str">
        <f t="shared" si="81"/>
        <v>PRG-1020917</v>
      </c>
      <c r="E2797" t="s">
        <v>120</v>
      </c>
      <c r="F2797" t="s">
        <v>4</v>
      </c>
      <c r="G2797" t="str">
        <f>""</f>
        <v/>
      </c>
    </row>
    <row r="2798" spans="1:7" x14ac:dyDescent="0.25">
      <c r="A2798" t="s">
        <v>8</v>
      </c>
      <c r="B2798" s="1" t="str">
        <f>"000241970 - RICH FOODS-FOODBUY"</f>
        <v>000241970 - RICH FOODS-FOODBUY</v>
      </c>
      <c r="C2798" t="s">
        <v>237</v>
      </c>
      <c r="D2798" s="1" t="str">
        <f t="shared" si="81"/>
        <v>PRG-1020917</v>
      </c>
      <c r="E2798" t="s">
        <v>120</v>
      </c>
      <c r="F2798" t="s">
        <v>4</v>
      </c>
      <c r="G2798" t="str">
        <f>""</f>
        <v/>
      </c>
    </row>
    <row r="2799" spans="1:7" x14ac:dyDescent="0.25">
      <c r="A2799" t="s">
        <v>8</v>
      </c>
      <c r="B2799" s="1" t="str">
        <f>"000242276 - RICH PRODUCTS-FOODBUY"</f>
        <v>000242276 - RICH PRODUCTS-FOODBUY</v>
      </c>
      <c r="C2799" t="s">
        <v>342</v>
      </c>
      <c r="D2799" s="1" t="str">
        <f t="shared" si="81"/>
        <v>PRG-1020917</v>
      </c>
      <c r="E2799" t="s">
        <v>120</v>
      </c>
      <c r="F2799" t="s">
        <v>4</v>
      </c>
      <c r="G2799" t="str">
        <f>""</f>
        <v/>
      </c>
    </row>
    <row r="2800" spans="1:7" x14ac:dyDescent="0.25">
      <c r="A2800" t="s">
        <v>8</v>
      </c>
      <c r="B2800" s="1" t="str">
        <f>"000242395 - RICH PRODUCTS-FOODBUY"</f>
        <v>000242395 - RICH PRODUCTS-FOODBUY</v>
      </c>
      <c r="C2800" t="s">
        <v>342</v>
      </c>
      <c r="D2800" s="1" t="str">
        <f t="shared" si="81"/>
        <v>PRG-1020917</v>
      </c>
      <c r="E2800" t="s">
        <v>120</v>
      </c>
      <c r="F2800" t="s">
        <v>4</v>
      </c>
      <c r="G2800" t="str">
        <f>""</f>
        <v/>
      </c>
    </row>
    <row r="2801" spans="1:7" x14ac:dyDescent="0.25">
      <c r="A2801" t="s">
        <v>8</v>
      </c>
      <c r="B2801" s="1" t="str">
        <f>"000242593 - RICH PRODUCTS-FOODBUY"</f>
        <v>000242593 - RICH PRODUCTS-FOODBUY</v>
      </c>
      <c r="C2801" t="s">
        <v>342</v>
      </c>
      <c r="D2801" s="1" t="str">
        <f t="shared" si="81"/>
        <v>PRG-1020917</v>
      </c>
      <c r="E2801" t="s">
        <v>120</v>
      </c>
      <c r="F2801" t="s">
        <v>4</v>
      </c>
      <c r="G2801" t="str">
        <f>""</f>
        <v/>
      </c>
    </row>
    <row r="2802" spans="1:7" x14ac:dyDescent="0.25">
      <c r="A2802" t="s">
        <v>8</v>
      </c>
      <c r="B2802" s="1" t="str">
        <f>"000242714 - RICH PRODUCTS-FOODBUY"</f>
        <v>000242714 - RICH PRODUCTS-FOODBUY</v>
      </c>
      <c r="C2802" t="s">
        <v>342</v>
      </c>
      <c r="D2802" s="1" t="str">
        <f t="shared" si="81"/>
        <v>PRG-1020917</v>
      </c>
      <c r="E2802" t="s">
        <v>120</v>
      </c>
      <c r="F2802" t="s">
        <v>4</v>
      </c>
      <c r="G2802" t="str">
        <f>""</f>
        <v/>
      </c>
    </row>
    <row r="2803" spans="1:7" x14ac:dyDescent="0.25">
      <c r="A2803" t="s">
        <v>8</v>
      </c>
      <c r="B2803" s="1" t="str">
        <f>"000243325 - RICH FOODS BB-FOODBUY"</f>
        <v>000243325 - RICH FOODS BB-FOODBUY</v>
      </c>
      <c r="C2803" t="s">
        <v>209</v>
      </c>
      <c r="D2803" s="1" t="str">
        <f t="shared" si="81"/>
        <v>PRG-1020917</v>
      </c>
      <c r="E2803" t="s">
        <v>120</v>
      </c>
      <c r="F2803" t="s">
        <v>4</v>
      </c>
      <c r="G2803" t="str">
        <f>""</f>
        <v/>
      </c>
    </row>
    <row r="2804" spans="1:7" x14ac:dyDescent="0.25">
      <c r="A2804" t="s">
        <v>8</v>
      </c>
      <c r="B2804" s="1" t="str">
        <f>"000243377 - RICH PRODUCTS-FOODBUY"</f>
        <v>000243377 - RICH PRODUCTS-FOODBUY</v>
      </c>
      <c r="C2804" t="s">
        <v>342</v>
      </c>
      <c r="D2804" s="1" t="str">
        <f t="shared" si="81"/>
        <v>PRG-1020917</v>
      </c>
      <c r="E2804" t="s">
        <v>120</v>
      </c>
      <c r="F2804" t="s">
        <v>4</v>
      </c>
      <c r="G2804" t="str">
        <f>""</f>
        <v/>
      </c>
    </row>
    <row r="2805" spans="1:7" x14ac:dyDescent="0.25">
      <c r="A2805" t="s">
        <v>8</v>
      </c>
      <c r="B2805" s="1" t="str">
        <f>"000243835 - RICH PRODUCTS-FOODBUY"</f>
        <v>000243835 - RICH PRODUCTS-FOODBUY</v>
      </c>
      <c r="C2805" t="s">
        <v>342</v>
      </c>
      <c r="D2805" s="1" t="str">
        <f t="shared" si="81"/>
        <v>PRG-1020917</v>
      </c>
      <c r="E2805" t="s">
        <v>120</v>
      </c>
      <c r="F2805" t="s">
        <v>4</v>
      </c>
      <c r="G2805" t="str">
        <f>""</f>
        <v/>
      </c>
    </row>
    <row r="2806" spans="1:7" x14ac:dyDescent="0.25">
      <c r="A2806" t="s">
        <v>8</v>
      </c>
      <c r="B2806" s="1" t="str">
        <f>"000243891 - RICH FOODS-FOODBUY"</f>
        <v>000243891 - RICH FOODS-FOODBUY</v>
      </c>
      <c r="C2806" t="s">
        <v>237</v>
      </c>
      <c r="D2806" s="1" t="str">
        <f t="shared" si="81"/>
        <v>PRG-1020917</v>
      </c>
      <c r="E2806" t="s">
        <v>120</v>
      </c>
      <c r="F2806" t="s">
        <v>4</v>
      </c>
      <c r="G2806" t="str">
        <f>""</f>
        <v/>
      </c>
    </row>
    <row r="2807" spans="1:7" x14ac:dyDescent="0.25">
      <c r="A2807" t="s">
        <v>8</v>
      </c>
      <c r="B2807" s="1" t="str">
        <f>"000243919 - RICH FOODS BB-FOODBUY"</f>
        <v>000243919 - RICH FOODS BB-FOODBUY</v>
      </c>
      <c r="C2807" t="s">
        <v>209</v>
      </c>
      <c r="D2807" s="1" t="str">
        <f t="shared" si="81"/>
        <v>PRG-1020917</v>
      </c>
      <c r="E2807" t="s">
        <v>120</v>
      </c>
      <c r="F2807" t="s">
        <v>4</v>
      </c>
      <c r="G2807" t="str">
        <f>""</f>
        <v/>
      </c>
    </row>
    <row r="2808" spans="1:7" x14ac:dyDescent="0.25">
      <c r="A2808" t="s">
        <v>8</v>
      </c>
      <c r="B2808" s="1" t="str">
        <f>"000244117 - RICH PRODUCTS-FDBY NEMACOLIN"</f>
        <v>000244117 - RICH PRODUCTS-FDBY NEMACOLIN</v>
      </c>
      <c r="C2808" t="s">
        <v>1968</v>
      </c>
      <c r="D2808" s="1" t="str">
        <f t="shared" ref="D2808:D2871" si="82">"PRG-1020917"</f>
        <v>PRG-1020917</v>
      </c>
      <c r="E2808" t="s">
        <v>120</v>
      </c>
      <c r="F2808" t="s">
        <v>4</v>
      </c>
      <c r="G2808" t="str">
        <f>""</f>
        <v/>
      </c>
    </row>
    <row r="2809" spans="1:7" x14ac:dyDescent="0.25">
      <c r="A2809" t="s">
        <v>8</v>
      </c>
      <c r="B2809" s="1" t="str">
        <f>"000244492 - RICH PRODUCTS-FOODBUY"</f>
        <v>000244492 - RICH PRODUCTS-FOODBUY</v>
      </c>
      <c r="C2809" t="s">
        <v>342</v>
      </c>
      <c r="D2809" s="1" t="str">
        <f t="shared" si="82"/>
        <v>PRG-1020917</v>
      </c>
      <c r="E2809" t="s">
        <v>120</v>
      </c>
      <c r="F2809" t="s">
        <v>4</v>
      </c>
      <c r="G2809" t="str">
        <f>""</f>
        <v/>
      </c>
    </row>
    <row r="2810" spans="1:7" x14ac:dyDescent="0.25">
      <c r="A2810" t="s">
        <v>8</v>
      </c>
      <c r="B2810" s="1" t="str">
        <f>"000244601 - RICH FOODS BB-FOODBUY"</f>
        <v>000244601 - RICH FOODS BB-FOODBUY</v>
      </c>
      <c r="C2810" t="s">
        <v>209</v>
      </c>
      <c r="D2810" s="1" t="str">
        <f t="shared" si="82"/>
        <v>PRG-1020917</v>
      </c>
      <c r="E2810" t="s">
        <v>120</v>
      </c>
      <c r="F2810" t="s">
        <v>4</v>
      </c>
      <c r="G2810" t="str">
        <f>""</f>
        <v/>
      </c>
    </row>
    <row r="2811" spans="1:7" x14ac:dyDescent="0.25">
      <c r="A2811" t="s">
        <v>8</v>
      </c>
      <c r="B2811" s="1" t="str">
        <f>"000244740 - RICHS FOODS BB-FOODBUY"</f>
        <v>000244740 - RICHS FOODS BB-FOODBUY</v>
      </c>
      <c r="C2811" t="s">
        <v>393</v>
      </c>
      <c r="D2811" s="1" t="str">
        <f t="shared" si="82"/>
        <v>PRG-1020917</v>
      </c>
      <c r="E2811" t="s">
        <v>120</v>
      </c>
      <c r="F2811" t="s">
        <v>4</v>
      </c>
      <c r="G2811" t="str">
        <f>""</f>
        <v/>
      </c>
    </row>
    <row r="2812" spans="1:7" x14ac:dyDescent="0.25">
      <c r="A2812" t="s">
        <v>8</v>
      </c>
      <c r="B2812" s="1" t="str">
        <f>"000244770 - RICH FOODS-STEFANI'S"</f>
        <v>000244770 - RICH FOODS-STEFANI'S</v>
      </c>
      <c r="C2812" t="s">
        <v>1990</v>
      </c>
      <c r="D2812" s="1" t="str">
        <f t="shared" si="82"/>
        <v>PRG-1020917</v>
      </c>
      <c r="E2812" t="s">
        <v>120</v>
      </c>
      <c r="F2812" t="s">
        <v>4</v>
      </c>
      <c r="G2812" t="str">
        <f>""</f>
        <v/>
      </c>
    </row>
    <row r="2813" spans="1:7" x14ac:dyDescent="0.25">
      <c r="A2813" t="s">
        <v>8</v>
      </c>
      <c r="B2813" s="1" t="str">
        <f>"000244850 - RICHS FOODS BB-FOODBUY"</f>
        <v>000244850 - RICHS FOODS BB-FOODBUY</v>
      </c>
      <c r="C2813" t="s">
        <v>393</v>
      </c>
      <c r="D2813" s="1" t="str">
        <f t="shared" si="82"/>
        <v>PRG-1020917</v>
      </c>
      <c r="E2813" t="s">
        <v>120</v>
      </c>
      <c r="F2813" t="s">
        <v>4</v>
      </c>
      <c r="G2813" t="str">
        <f>""</f>
        <v/>
      </c>
    </row>
    <row r="2814" spans="1:7" x14ac:dyDescent="0.25">
      <c r="A2814" t="s">
        <v>8</v>
      </c>
      <c r="B2814" s="1" t="str">
        <f>"000244911 - RICH FOODS BB-FDBY CUST.536425"</f>
        <v>000244911 - RICH FOODS BB-FDBY CUST.536425</v>
      </c>
      <c r="C2814" t="s">
        <v>1993</v>
      </c>
      <c r="D2814" s="1" t="str">
        <f t="shared" si="82"/>
        <v>PRG-1020917</v>
      </c>
      <c r="E2814" t="s">
        <v>120</v>
      </c>
      <c r="F2814" t="s">
        <v>4</v>
      </c>
      <c r="G2814" t="str">
        <f>""</f>
        <v/>
      </c>
    </row>
    <row r="2815" spans="1:7" x14ac:dyDescent="0.25">
      <c r="A2815" t="s">
        <v>8</v>
      </c>
      <c r="B2815" s="1" t="str">
        <f>"000245065 - RICH PRODUCTS-FOODBUY"</f>
        <v>000245065 - RICH PRODUCTS-FOODBUY</v>
      </c>
      <c r="C2815" t="s">
        <v>342</v>
      </c>
      <c r="D2815" s="1" t="str">
        <f t="shared" si="82"/>
        <v>PRG-1020917</v>
      </c>
      <c r="E2815" t="s">
        <v>120</v>
      </c>
      <c r="F2815" t="s">
        <v>4</v>
      </c>
      <c r="G2815" t="str">
        <f>""</f>
        <v/>
      </c>
    </row>
    <row r="2816" spans="1:7" x14ac:dyDescent="0.25">
      <c r="A2816" t="s">
        <v>8</v>
      </c>
      <c r="B2816" s="1" t="str">
        <f>"000245082 - RICH FOODS BB-FOODBUY"</f>
        <v>000245082 - RICH FOODS BB-FOODBUY</v>
      </c>
      <c r="C2816" t="s">
        <v>209</v>
      </c>
      <c r="D2816" s="1" t="str">
        <f t="shared" si="82"/>
        <v>PRG-1020917</v>
      </c>
      <c r="E2816" t="s">
        <v>120</v>
      </c>
      <c r="F2816" t="s">
        <v>4</v>
      </c>
      <c r="G2816" t="str">
        <f>""</f>
        <v/>
      </c>
    </row>
    <row r="2817" spans="1:7" x14ac:dyDescent="0.25">
      <c r="A2817" t="s">
        <v>8</v>
      </c>
      <c r="B2817" s="1" t="str">
        <f>"000245116 - RICH FOODS BB-FOODBUY"</f>
        <v>000245116 - RICH FOODS BB-FOODBUY</v>
      </c>
      <c r="C2817" t="s">
        <v>209</v>
      </c>
      <c r="D2817" s="1" t="str">
        <f t="shared" si="82"/>
        <v>PRG-1020917</v>
      </c>
      <c r="E2817" t="s">
        <v>120</v>
      </c>
      <c r="F2817" t="s">
        <v>4</v>
      </c>
      <c r="G2817" t="str">
        <f>""</f>
        <v/>
      </c>
    </row>
    <row r="2818" spans="1:7" x14ac:dyDescent="0.25">
      <c r="A2818" t="s">
        <v>8</v>
      </c>
      <c r="B2818" s="1" t="str">
        <f>"000245201 - RICH FOODS BB-FOODBUY"</f>
        <v>000245201 - RICH FOODS BB-FOODBUY</v>
      </c>
      <c r="C2818" t="s">
        <v>209</v>
      </c>
      <c r="D2818" s="1" t="str">
        <f t="shared" si="82"/>
        <v>PRG-1020917</v>
      </c>
      <c r="E2818" t="s">
        <v>120</v>
      </c>
      <c r="F2818" t="s">
        <v>4</v>
      </c>
      <c r="G2818" t="str">
        <f>""</f>
        <v/>
      </c>
    </row>
    <row r="2819" spans="1:7" x14ac:dyDescent="0.25">
      <c r="A2819" t="s">
        <v>8</v>
      </c>
      <c r="B2819" s="1" t="str">
        <f>"000245277 - RICH FOODS BB-FOODBUY"</f>
        <v>000245277 - RICH FOODS BB-FOODBUY</v>
      </c>
      <c r="C2819" t="s">
        <v>209</v>
      </c>
      <c r="D2819" s="1" t="str">
        <f t="shared" si="82"/>
        <v>PRG-1020917</v>
      </c>
      <c r="E2819" t="s">
        <v>120</v>
      </c>
      <c r="F2819" t="s">
        <v>4</v>
      </c>
      <c r="G2819" t="str">
        <f>""</f>
        <v/>
      </c>
    </row>
    <row r="2820" spans="1:7" x14ac:dyDescent="0.25">
      <c r="A2820" t="s">
        <v>8</v>
      </c>
      <c r="B2820" s="1" t="str">
        <f>"000245450 - RICH FOODS   FOODBUY DC"</f>
        <v>000245450 - RICH FOODS   FOODBUY DC</v>
      </c>
      <c r="C2820" t="s">
        <v>2004</v>
      </c>
      <c r="D2820" s="1" t="str">
        <f t="shared" si="82"/>
        <v>PRG-1020917</v>
      </c>
      <c r="E2820" t="s">
        <v>120</v>
      </c>
      <c r="F2820" t="s">
        <v>4</v>
      </c>
      <c r="G2820" t="str">
        <f>""</f>
        <v/>
      </c>
    </row>
    <row r="2821" spans="1:7" x14ac:dyDescent="0.25">
      <c r="A2821" t="s">
        <v>8</v>
      </c>
      <c r="B2821" s="1" t="str">
        <f>"000245860 - RICH FOODS BB-FOODBUY"</f>
        <v>000245860 - RICH FOODS BB-FOODBUY</v>
      </c>
      <c r="C2821" t="s">
        <v>209</v>
      </c>
      <c r="D2821" s="1" t="str">
        <f t="shared" si="82"/>
        <v>PRG-1020917</v>
      </c>
      <c r="E2821" t="s">
        <v>120</v>
      </c>
      <c r="F2821" t="s">
        <v>4</v>
      </c>
      <c r="G2821" t="str">
        <f>""</f>
        <v/>
      </c>
    </row>
    <row r="2822" spans="1:7" x14ac:dyDescent="0.25">
      <c r="A2822" t="s">
        <v>8</v>
      </c>
      <c r="B2822" s="1" t="str">
        <f>"000245922 - RICH FOODS BB-FOODBUY"</f>
        <v>000245922 - RICH FOODS BB-FOODBUY</v>
      </c>
      <c r="C2822" t="s">
        <v>209</v>
      </c>
      <c r="D2822" s="1" t="str">
        <f t="shared" si="82"/>
        <v>PRG-1020917</v>
      </c>
      <c r="E2822" t="s">
        <v>120</v>
      </c>
      <c r="F2822" t="s">
        <v>4</v>
      </c>
      <c r="G2822" t="str">
        <f>""</f>
        <v/>
      </c>
    </row>
    <row r="2823" spans="1:7" x14ac:dyDescent="0.25">
      <c r="A2823" t="s">
        <v>8</v>
      </c>
      <c r="B2823" s="1" t="str">
        <f>"000246144 - RICHS FOODS BB-FOODBUY"</f>
        <v>000246144 - RICHS FOODS BB-FOODBUY</v>
      </c>
      <c r="C2823" t="s">
        <v>393</v>
      </c>
      <c r="D2823" s="1" t="str">
        <f t="shared" si="82"/>
        <v>PRG-1020917</v>
      </c>
      <c r="E2823" t="s">
        <v>120</v>
      </c>
      <c r="F2823" t="s">
        <v>4</v>
      </c>
      <c r="G2823" t="str">
        <f>""</f>
        <v/>
      </c>
    </row>
    <row r="2824" spans="1:7" x14ac:dyDescent="0.25">
      <c r="A2824" t="s">
        <v>8</v>
      </c>
      <c r="B2824" s="1" t="str">
        <f>"000246248 - RICH FOODS   FOODBUY"</f>
        <v>000246248 - RICH FOODS   FOODBUY</v>
      </c>
      <c r="C2824" t="s">
        <v>2020</v>
      </c>
      <c r="D2824" s="1" t="str">
        <f t="shared" si="82"/>
        <v>PRG-1020917</v>
      </c>
      <c r="E2824" t="s">
        <v>120</v>
      </c>
      <c r="F2824" t="s">
        <v>4</v>
      </c>
      <c r="G2824" t="str">
        <f>""</f>
        <v/>
      </c>
    </row>
    <row r="2825" spans="1:7" x14ac:dyDescent="0.25">
      <c r="A2825" t="s">
        <v>8</v>
      </c>
      <c r="B2825" s="1" t="str">
        <f>"000246293 - RETRO RICHS BB - FOODBUY"</f>
        <v>000246293 - RETRO RICHS BB - FOODBUY</v>
      </c>
      <c r="C2825" t="s">
        <v>2022</v>
      </c>
      <c r="D2825" s="1" t="str">
        <f t="shared" si="82"/>
        <v>PRG-1020917</v>
      </c>
      <c r="E2825" t="s">
        <v>120</v>
      </c>
      <c r="F2825" t="s">
        <v>4</v>
      </c>
      <c r="G2825" t="str">
        <f>""</f>
        <v/>
      </c>
    </row>
    <row r="2826" spans="1:7" x14ac:dyDescent="0.25">
      <c r="A2826" t="s">
        <v>8</v>
      </c>
      <c r="B2826" s="1" t="str">
        <f>"000246595 - RICH FOODS-FOODBUY"</f>
        <v>000246595 - RICH FOODS-FOODBUY</v>
      </c>
      <c r="C2826" t="s">
        <v>237</v>
      </c>
      <c r="D2826" s="1" t="str">
        <f t="shared" si="82"/>
        <v>PRG-1020917</v>
      </c>
      <c r="E2826" t="s">
        <v>120</v>
      </c>
      <c r="F2826" t="s">
        <v>4</v>
      </c>
      <c r="G2826" t="str">
        <f>""</f>
        <v/>
      </c>
    </row>
    <row r="2827" spans="1:7" x14ac:dyDescent="0.25">
      <c r="A2827" t="s">
        <v>8</v>
      </c>
      <c r="B2827" s="1" t="str">
        <f>"000247048 - RICH FOODS BB-DINING ALLIANCE"</f>
        <v>000247048 - RICH FOODS BB-DINING ALLIANCE</v>
      </c>
      <c r="C2827" t="s">
        <v>2028</v>
      </c>
      <c r="D2827" s="1" t="str">
        <f t="shared" si="82"/>
        <v>PRG-1020917</v>
      </c>
      <c r="E2827" t="s">
        <v>120</v>
      </c>
      <c r="F2827" t="s">
        <v>4</v>
      </c>
      <c r="G2827" t="str">
        <f>""</f>
        <v/>
      </c>
    </row>
    <row r="2828" spans="1:7" x14ac:dyDescent="0.25">
      <c r="A2828" t="s">
        <v>8</v>
      </c>
      <c r="B2828" s="1" t="str">
        <f>"000248648 - RICH PRODUCTS-FOODBUY"</f>
        <v>000248648 - RICH PRODUCTS-FOODBUY</v>
      </c>
      <c r="C2828" t="s">
        <v>342</v>
      </c>
      <c r="D2828" s="1" t="str">
        <f t="shared" si="82"/>
        <v>PRG-1020917</v>
      </c>
      <c r="E2828" t="s">
        <v>120</v>
      </c>
      <c r="F2828" t="s">
        <v>4</v>
      </c>
      <c r="G2828" t="str">
        <f>""</f>
        <v/>
      </c>
    </row>
    <row r="2829" spans="1:7" x14ac:dyDescent="0.25">
      <c r="A2829" t="s">
        <v>8</v>
      </c>
      <c r="B2829" s="1" t="str">
        <f>"000249304 - RICHS FDBUY VANDERBILT"</f>
        <v>000249304 - RICHS FDBUY VANDERBILT</v>
      </c>
      <c r="C2829" t="s">
        <v>2064</v>
      </c>
      <c r="D2829" s="1" t="str">
        <f t="shared" si="82"/>
        <v>PRG-1020917</v>
      </c>
      <c r="E2829" t="s">
        <v>120</v>
      </c>
      <c r="F2829" t="s">
        <v>4</v>
      </c>
      <c r="G2829" t="str">
        <f>""</f>
        <v/>
      </c>
    </row>
    <row r="2830" spans="1:7" x14ac:dyDescent="0.25">
      <c r="A2830" t="s">
        <v>8</v>
      </c>
      <c r="B2830" s="1" t="str">
        <f>"000250062 - RICH FOODS-FOODBUY"</f>
        <v>000250062 - RICH FOODS-FOODBUY</v>
      </c>
      <c r="C2830" t="s">
        <v>237</v>
      </c>
      <c r="D2830" s="1" t="str">
        <f t="shared" si="82"/>
        <v>PRG-1020917</v>
      </c>
      <c r="E2830" t="s">
        <v>120</v>
      </c>
      <c r="F2830" t="s">
        <v>4</v>
      </c>
      <c r="G2830" t="str">
        <f>""</f>
        <v/>
      </c>
    </row>
    <row r="2831" spans="1:7" x14ac:dyDescent="0.25">
      <c r="A2831" t="s">
        <v>8</v>
      </c>
      <c r="B2831" s="1" t="str">
        <f>"000250114 - RICH PRODUCTS-FOODBUY"</f>
        <v>000250114 - RICH PRODUCTS-FOODBUY</v>
      </c>
      <c r="C2831" t="s">
        <v>342</v>
      </c>
      <c r="D2831" s="1" t="str">
        <f t="shared" si="82"/>
        <v>PRG-1020917</v>
      </c>
      <c r="E2831" t="s">
        <v>120</v>
      </c>
      <c r="F2831" t="s">
        <v>4</v>
      </c>
      <c r="G2831" t="str">
        <f>""</f>
        <v/>
      </c>
    </row>
    <row r="2832" spans="1:7" x14ac:dyDescent="0.25">
      <c r="A2832" t="s">
        <v>8</v>
      </c>
      <c r="B2832" s="1" t="str">
        <f>"000250662 - RICH FOODS BB-FOODBUY"</f>
        <v>000250662 - RICH FOODS BB-FOODBUY</v>
      </c>
      <c r="C2832" t="s">
        <v>209</v>
      </c>
      <c r="D2832" s="1" t="str">
        <f t="shared" si="82"/>
        <v>PRG-1020917</v>
      </c>
      <c r="E2832" t="s">
        <v>120</v>
      </c>
      <c r="F2832" t="s">
        <v>4</v>
      </c>
      <c r="G2832" t="str">
        <f>""</f>
        <v/>
      </c>
    </row>
    <row r="2833" spans="1:7" x14ac:dyDescent="0.25">
      <c r="A2833" t="s">
        <v>8</v>
      </c>
      <c r="B2833" s="1" t="str">
        <f>"000250787 - RICHS FOODS BB-FOODBUY"</f>
        <v>000250787 - RICHS FOODS BB-FOODBUY</v>
      </c>
      <c r="C2833" t="s">
        <v>393</v>
      </c>
      <c r="D2833" s="1" t="str">
        <f t="shared" si="82"/>
        <v>PRG-1020917</v>
      </c>
      <c r="E2833" t="s">
        <v>120</v>
      </c>
      <c r="F2833" t="s">
        <v>4</v>
      </c>
      <c r="G2833" t="str">
        <f>""</f>
        <v/>
      </c>
    </row>
    <row r="2834" spans="1:7" x14ac:dyDescent="0.25">
      <c r="A2834" t="s">
        <v>8</v>
      </c>
      <c r="B2834" s="1" t="str">
        <f>"000251196 - RICH FOODS BB-FOODBUY"</f>
        <v>000251196 - RICH FOODS BB-FOODBUY</v>
      </c>
      <c r="C2834" t="s">
        <v>209</v>
      </c>
      <c r="D2834" s="1" t="str">
        <f t="shared" si="82"/>
        <v>PRG-1020917</v>
      </c>
      <c r="E2834" t="s">
        <v>120</v>
      </c>
      <c r="F2834" t="s">
        <v>4</v>
      </c>
      <c r="G2834" t="str">
        <f>""</f>
        <v/>
      </c>
    </row>
    <row r="2835" spans="1:7" x14ac:dyDescent="0.25">
      <c r="A2835" t="s">
        <v>8</v>
      </c>
      <c r="B2835" s="1" t="str">
        <f>"000252739 - RICHS FOODS   FOODBUY"</f>
        <v>000252739 - RICHS FOODS   FOODBUY</v>
      </c>
      <c r="C2835" t="s">
        <v>2132</v>
      </c>
      <c r="D2835" s="1" t="str">
        <f t="shared" si="82"/>
        <v>PRG-1020917</v>
      </c>
      <c r="E2835" t="s">
        <v>120</v>
      </c>
      <c r="F2835" t="s">
        <v>4</v>
      </c>
      <c r="G2835" t="str">
        <f>""</f>
        <v/>
      </c>
    </row>
    <row r="2836" spans="1:7" x14ac:dyDescent="0.25">
      <c r="A2836" t="s">
        <v>8</v>
      </c>
      <c r="B2836" s="1" t="str">
        <f>"000253016 - RICH PRODUCTS-FOODBUY"</f>
        <v>000253016 - RICH PRODUCTS-FOODBUY</v>
      </c>
      <c r="C2836" t="s">
        <v>342</v>
      </c>
      <c r="D2836" s="1" t="str">
        <f t="shared" si="82"/>
        <v>PRG-1020917</v>
      </c>
      <c r="E2836" t="s">
        <v>120</v>
      </c>
      <c r="F2836" t="s">
        <v>4</v>
      </c>
      <c r="G2836" t="str">
        <f>""</f>
        <v/>
      </c>
    </row>
    <row r="2837" spans="1:7" x14ac:dyDescent="0.25">
      <c r="A2837" t="s">
        <v>8</v>
      </c>
      <c r="B2837" s="1" t="str">
        <f>"000253043 - RICHS FOODS BB-FOODBUY"</f>
        <v>000253043 - RICHS FOODS BB-FOODBUY</v>
      </c>
      <c r="C2837" t="s">
        <v>393</v>
      </c>
      <c r="D2837" s="1" t="str">
        <f t="shared" si="82"/>
        <v>PRG-1020917</v>
      </c>
      <c r="E2837" t="s">
        <v>120</v>
      </c>
      <c r="F2837" t="s">
        <v>4</v>
      </c>
      <c r="G2837" t="str">
        <f>""</f>
        <v/>
      </c>
    </row>
    <row r="2838" spans="1:7" x14ac:dyDescent="0.25">
      <c r="A2838" t="s">
        <v>8</v>
      </c>
      <c r="B2838" s="1" t="str">
        <f>"000254052 - FOODBUY(CSM) RICHS"</f>
        <v>000254052 - FOODBUY(CSM) RICHS</v>
      </c>
      <c r="C2838" t="s">
        <v>2149</v>
      </c>
      <c r="D2838" s="1" t="str">
        <f t="shared" si="82"/>
        <v>PRG-1020917</v>
      </c>
      <c r="E2838" t="s">
        <v>120</v>
      </c>
      <c r="F2838" t="s">
        <v>4</v>
      </c>
      <c r="G2838" t="str">
        <f>""</f>
        <v/>
      </c>
    </row>
    <row r="2839" spans="1:7" x14ac:dyDescent="0.25">
      <c r="A2839" t="s">
        <v>8</v>
      </c>
      <c r="B2839" s="1" t="str">
        <f>"000254172 - RICH FOODS-FOODBUY"</f>
        <v>000254172 - RICH FOODS-FOODBUY</v>
      </c>
      <c r="C2839" t="s">
        <v>237</v>
      </c>
      <c r="D2839" s="1" t="str">
        <f t="shared" si="82"/>
        <v>PRG-1020917</v>
      </c>
      <c r="E2839" t="s">
        <v>120</v>
      </c>
      <c r="F2839" t="s">
        <v>4</v>
      </c>
      <c r="G2839" t="str">
        <f>""</f>
        <v/>
      </c>
    </row>
    <row r="2840" spans="1:7" x14ac:dyDescent="0.25">
      <c r="A2840" t="s">
        <v>8</v>
      </c>
      <c r="B2840" s="1" t="str">
        <f>"000254856 - RICH PRODUCTS-FOODBUY"</f>
        <v>000254856 - RICH PRODUCTS-FOODBUY</v>
      </c>
      <c r="C2840" t="s">
        <v>342</v>
      </c>
      <c r="D2840" s="1" t="str">
        <f t="shared" si="82"/>
        <v>PRG-1020917</v>
      </c>
      <c r="E2840" t="s">
        <v>120</v>
      </c>
      <c r="F2840" t="s">
        <v>4</v>
      </c>
      <c r="G2840" t="str">
        <f>""</f>
        <v/>
      </c>
    </row>
    <row r="2841" spans="1:7" x14ac:dyDescent="0.25">
      <c r="A2841" t="s">
        <v>8</v>
      </c>
      <c r="B2841" s="1" t="str">
        <f>"000254973 - Rich Foods-Foodbuy"</f>
        <v>000254973 - Rich Foods-Foodbuy</v>
      </c>
      <c r="C2841" t="s">
        <v>757</v>
      </c>
      <c r="D2841" s="1" t="str">
        <f t="shared" si="82"/>
        <v>PRG-1020917</v>
      </c>
      <c r="E2841" t="s">
        <v>120</v>
      </c>
      <c r="F2841" t="s">
        <v>4</v>
      </c>
      <c r="G2841" t="str">
        <f>""</f>
        <v/>
      </c>
    </row>
    <row r="2842" spans="1:7" x14ac:dyDescent="0.25">
      <c r="A2842" t="s">
        <v>8</v>
      </c>
      <c r="B2842" s="1" t="str">
        <f>"000255553 - RICH FOODS-FOODBUY"</f>
        <v>000255553 - RICH FOODS-FOODBUY</v>
      </c>
      <c r="C2842" t="s">
        <v>237</v>
      </c>
      <c r="D2842" s="1" t="str">
        <f t="shared" si="82"/>
        <v>PRG-1020917</v>
      </c>
      <c r="E2842" t="s">
        <v>120</v>
      </c>
      <c r="F2842" t="s">
        <v>4</v>
      </c>
      <c r="G2842" t="str">
        <f>""</f>
        <v/>
      </c>
    </row>
    <row r="2843" spans="1:7" x14ac:dyDescent="0.25">
      <c r="A2843" t="s">
        <v>8</v>
      </c>
      <c r="B2843" s="1" t="str">
        <f>"000255593 - RICH FOODS BB-FOODBUY"</f>
        <v>000255593 - RICH FOODS BB-FOODBUY</v>
      </c>
      <c r="C2843" t="s">
        <v>209</v>
      </c>
      <c r="D2843" s="1" t="str">
        <f t="shared" si="82"/>
        <v>PRG-1020917</v>
      </c>
      <c r="E2843" t="s">
        <v>120</v>
      </c>
      <c r="F2843" t="s">
        <v>4</v>
      </c>
      <c r="G2843" t="str">
        <f>""</f>
        <v/>
      </c>
    </row>
    <row r="2844" spans="1:7" x14ac:dyDescent="0.25">
      <c r="A2844" t="s">
        <v>8</v>
      </c>
      <c r="B2844" s="1" t="str">
        <f>"000256227 - RICH FOODS BB-FOODBUY"</f>
        <v>000256227 - RICH FOODS BB-FOODBUY</v>
      </c>
      <c r="C2844" t="s">
        <v>209</v>
      </c>
      <c r="D2844" s="1" t="str">
        <f t="shared" si="82"/>
        <v>PRG-1020917</v>
      </c>
      <c r="E2844" t="s">
        <v>120</v>
      </c>
      <c r="F2844" t="s">
        <v>4</v>
      </c>
      <c r="G2844" t="str">
        <f>""</f>
        <v/>
      </c>
    </row>
    <row r="2845" spans="1:7" x14ac:dyDescent="0.25">
      <c r="A2845" t="s">
        <v>8</v>
      </c>
      <c r="B2845" s="1" t="str">
        <f>"000257775 - RICHS FOODS BB-FOODBUY"</f>
        <v>000257775 - RICHS FOODS BB-FOODBUY</v>
      </c>
      <c r="C2845" t="s">
        <v>393</v>
      </c>
      <c r="D2845" s="1" t="str">
        <f t="shared" si="82"/>
        <v>PRG-1020917</v>
      </c>
      <c r="E2845" t="s">
        <v>120</v>
      </c>
      <c r="F2845" t="s">
        <v>4</v>
      </c>
      <c r="G2845" t="str">
        <f>""</f>
        <v/>
      </c>
    </row>
    <row r="2846" spans="1:7" x14ac:dyDescent="0.25">
      <c r="A2846" t="s">
        <v>8</v>
      </c>
      <c r="B2846" s="1" t="str">
        <f>"000259054 - RICH PRODUCTS-FOODBUY"</f>
        <v>000259054 - RICH PRODUCTS-FOODBUY</v>
      </c>
      <c r="C2846" t="s">
        <v>342</v>
      </c>
      <c r="D2846" s="1" t="str">
        <f t="shared" si="82"/>
        <v>PRG-1020917</v>
      </c>
      <c r="E2846" t="s">
        <v>120</v>
      </c>
      <c r="F2846" t="s">
        <v>4</v>
      </c>
      <c r="G2846" t="str">
        <f>""</f>
        <v/>
      </c>
    </row>
    <row r="2847" spans="1:7" x14ac:dyDescent="0.25">
      <c r="A2847" t="s">
        <v>8</v>
      </c>
      <c r="B2847" s="1" t="str">
        <f>"000259246 - FOODBUY(CSM) RICHS"</f>
        <v>000259246 - FOODBUY(CSM) RICHS</v>
      </c>
      <c r="C2847" t="s">
        <v>2149</v>
      </c>
      <c r="D2847" s="1" t="str">
        <f t="shared" si="82"/>
        <v>PRG-1020917</v>
      </c>
      <c r="E2847" t="s">
        <v>120</v>
      </c>
      <c r="F2847" t="s">
        <v>4</v>
      </c>
      <c r="G2847" t="str">
        <f>""</f>
        <v/>
      </c>
    </row>
    <row r="2848" spans="1:7" x14ac:dyDescent="0.25">
      <c r="A2848" t="s">
        <v>8</v>
      </c>
      <c r="B2848" s="1" t="str">
        <f>"000261820 - RICH FOODS BB-FOODBUY"</f>
        <v>000261820 - RICH FOODS BB-FOODBUY</v>
      </c>
      <c r="C2848" t="s">
        <v>209</v>
      </c>
      <c r="D2848" s="1" t="str">
        <f t="shared" si="82"/>
        <v>PRG-1020917</v>
      </c>
      <c r="E2848" t="s">
        <v>120</v>
      </c>
      <c r="F2848" t="s">
        <v>4</v>
      </c>
      <c r="G2848" t="str">
        <f>""</f>
        <v/>
      </c>
    </row>
    <row r="2849" spans="1:7" x14ac:dyDescent="0.25">
      <c r="A2849" t="s">
        <v>8</v>
      </c>
      <c r="B2849" s="1" t="str">
        <f>"000262574 - RICH FOODS BB-FOODBUY"</f>
        <v>000262574 - RICH FOODS BB-FOODBUY</v>
      </c>
      <c r="C2849" t="s">
        <v>209</v>
      </c>
      <c r="D2849" s="1" t="str">
        <f t="shared" si="82"/>
        <v>PRG-1020917</v>
      </c>
      <c r="E2849" t="s">
        <v>120</v>
      </c>
      <c r="F2849" t="s">
        <v>4</v>
      </c>
      <c r="G2849" t="str">
        <f>""</f>
        <v/>
      </c>
    </row>
    <row r="2850" spans="1:7" x14ac:dyDescent="0.25">
      <c r="A2850" t="s">
        <v>8</v>
      </c>
      <c r="B2850" s="1" t="str">
        <f>"000262945 - RICH FOODS BB-FOODBUY 262574"</f>
        <v>000262945 - RICH FOODS BB-FOODBUY 262574</v>
      </c>
      <c r="C2850" t="s">
        <v>2329</v>
      </c>
      <c r="D2850" s="1" t="str">
        <f t="shared" si="82"/>
        <v>PRG-1020917</v>
      </c>
      <c r="E2850" t="s">
        <v>120</v>
      </c>
      <c r="F2850" t="s">
        <v>4</v>
      </c>
      <c r="G2850" t="str">
        <f>""</f>
        <v/>
      </c>
    </row>
    <row r="2851" spans="1:7" x14ac:dyDescent="0.25">
      <c r="A2851" t="s">
        <v>8</v>
      </c>
      <c r="B2851" s="1" t="str">
        <f>"000263109 - RICH FOODS-FOODBUY"</f>
        <v>000263109 - RICH FOODS-FOODBUY</v>
      </c>
      <c r="C2851" t="s">
        <v>237</v>
      </c>
      <c r="D2851" s="1" t="str">
        <f t="shared" si="82"/>
        <v>PRG-1020917</v>
      </c>
      <c r="E2851" t="s">
        <v>120</v>
      </c>
      <c r="F2851" t="s">
        <v>4</v>
      </c>
      <c r="G2851" t="str">
        <f>""</f>
        <v/>
      </c>
    </row>
    <row r="2852" spans="1:7" x14ac:dyDescent="0.25">
      <c r="A2852" t="s">
        <v>8</v>
      </c>
      <c r="B2852" s="1" t="str">
        <f>"000263195 - RICHS FOODS BB-FOODBUY"</f>
        <v>000263195 - RICHS FOODS BB-FOODBUY</v>
      </c>
      <c r="C2852" t="s">
        <v>393</v>
      </c>
      <c r="D2852" s="1" t="str">
        <f t="shared" si="82"/>
        <v>PRG-1020917</v>
      </c>
      <c r="E2852" t="s">
        <v>120</v>
      </c>
      <c r="F2852" t="s">
        <v>4</v>
      </c>
      <c r="G2852" t="str">
        <f>""</f>
        <v/>
      </c>
    </row>
    <row r="2853" spans="1:7" x14ac:dyDescent="0.25">
      <c r="A2853" t="s">
        <v>8</v>
      </c>
      <c r="B2853" s="1" t="str">
        <f>"000266037 - RICH PRODUCTS-FOODBUY"</f>
        <v>000266037 - RICH PRODUCTS-FOODBUY</v>
      </c>
      <c r="C2853" t="s">
        <v>342</v>
      </c>
      <c r="D2853" s="1" t="str">
        <f t="shared" si="82"/>
        <v>PRG-1020917</v>
      </c>
      <c r="E2853" t="s">
        <v>120</v>
      </c>
      <c r="F2853" t="s">
        <v>4</v>
      </c>
      <c r="G2853" t="str">
        <f>""</f>
        <v/>
      </c>
    </row>
    <row r="2854" spans="1:7" x14ac:dyDescent="0.25">
      <c r="A2854" t="s">
        <v>8</v>
      </c>
      <c r="B2854" s="1" t="str">
        <f>"000267952 - RICH PRODUCTS-FOODBUY"</f>
        <v>000267952 - RICH PRODUCTS-FOODBUY</v>
      </c>
      <c r="C2854" t="s">
        <v>342</v>
      </c>
      <c r="D2854" s="1" t="str">
        <f t="shared" si="82"/>
        <v>PRG-1020917</v>
      </c>
      <c r="E2854" t="s">
        <v>120</v>
      </c>
      <c r="F2854" t="s">
        <v>4</v>
      </c>
      <c r="G2854" t="str">
        <f>""</f>
        <v/>
      </c>
    </row>
    <row r="2855" spans="1:7" x14ac:dyDescent="0.25">
      <c r="A2855" t="s">
        <v>8</v>
      </c>
      <c r="B2855" s="1" t="str">
        <f>"000268064 - RICH FDS FDBY-CLIE. REWRDS"</f>
        <v>000268064 - RICH FDS FDBY-CLIE. REWRDS</v>
      </c>
      <c r="C2855" t="s">
        <v>2432</v>
      </c>
      <c r="D2855" s="1" t="str">
        <f t="shared" si="82"/>
        <v>PRG-1020917</v>
      </c>
      <c r="E2855" t="s">
        <v>120</v>
      </c>
      <c r="F2855" t="s">
        <v>4</v>
      </c>
      <c r="G2855" t="str">
        <f>""</f>
        <v/>
      </c>
    </row>
    <row r="2856" spans="1:7" x14ac:dyDescent="0.25">
      <c r="A2856" t="s">
        <v>8</v>
      </c>
      <c r="B2856" s="1" t="str">
        <f>"000268159 - RICH PRODUCTS FBUY TRS ACCOUNT"</f>
        <v>000268159 - RICH PRODUCTS FBUY TRS ACCOUNT</v>
      </c>
      <c r="C2856" t="s">
        <v>2435</v>
      </c>
      <c r="D2856" s="1" t="str">
        <f t="shared" si="82"/>
        <v>PRG-1020917</v>
      </c>
      <c r="E2856" t="s">
        <v>120</v>
      </c>
      <c r="F2856" t="s">
        <v>4</v>
      </c>
      <c r="G2856" t="str">
        <f>""</f>
        <v/>
      </c>
    </row>
    <row r="2857" spans="1:7" x14ac:dyDescent="0.25">
      <c r="A2857" t="s">
        <v>8</v>
      </c>
      <c r="B2857" s="1" t="str">
        <f>"000268637 - RICH-VCR FDBY COS SQ 1 BRGR"</f>
        <v>000268637 - RICH-VCR FDBY COS SQ 1 BRGR</v>
      </c>
      <c r="C2857" t="s">
        <v>2439</v>
      </c>
      <c r="D2857" s="1" t="str">
        <f t="shared" si="82"/>
        <v>PRG-1020917</v>
      </c>
      <c r="E2857" t="s">
        <v>120</v>
      </c>
      <c r="F2857" t="s">
        <v>4</v>
      </c>
      <c r="G2857" t="str">
        <f>""</f>
        <v/>
      </c>
    </row>
    <row r="2858" spans="1:7" x14ac:dyDescent="0.25">
      <c r="A2858" t="s">
        <v>8</v>
      </c>
      <c r="B2858" s="1" t="str">
        <f>"000268832 - RICH FOODS BB-FOODBUY"</f>
        <v>000268832 - RICH FOODS BB-FOODBUY</v>
      </c>
      <c r="C2858" t="s">
        <v>209</v>
      </c>
      <c r="D2858" s="1" t="str">
        <f t="shared" si="82"/>
        <v>PRG-1020917</v>
      </c>
      <c r="E2858" t="s">
        <v>120</v>
      </c>
      <c r="F2858" t="s">
        <v>4</v>
      </c>
      <c r="G2858" t="str">
        <f>""</f>
        <v/>
      </c>
    </row>
    <row r="2859" spans="1:7" x14ac:dyDescent="0.25">
      <c r="A2859" t="s">
        <v>8</v>
      </c>
      <c r="B2859" s="1" t="str">
        <f>"000268988 - RICH FOODS BB-FOODBUY"</f>
        <v>000268988 - RICH FOODS BB-FOODBUY</v>
      </c>
      <c r="C2859" t="s">
        <v>209</v>
      </c>
      <c r="D2859" s="1" t="str">
        <f t="shared" si="82"/>
        <v>PRG-1020917</v>
      </c>
      <c r="E2859" t="s">
        <v>120</v>
      </c>
      <c r="F2859" t="s">
        <v>4</v>
      </c>
      <c r="G2859" t="str">
        <f>""</f>
        <v/>
      </c>
    </row>
    <row r="2860" spans="1:7" x14ac:dyDescent="0.25">
      <c r="A2860" t="s">
        <v>8</v>
      </c>
      <c r="B2860" s="1" t="str">
        <f>"000269507 - RICH FOODS BB-FOODBUY"</f>
        <v>000269507 - RICH FOODS BB-FOODBUY</v>
      </c>
      <c r="C2860" t="s">
        <v>209</v>
      </c>
      <c r="D2860" s="1" t="str">
        <f t="shared" si="82"/>
        <v>PRG-1020917</v>
      </c>
      <c r="E2860" t="s">
        <v>120</v>
      </c>
      <c r="F2860" t="s">
        <v>4</v>
      </c>
      <c r="G2860" t="str">
        <f>""</f>
        <v/>
      </c>
    </row>
    <row r="2861" spans="1:7" x14ac:dyDescent="0.25">
      <c r="A2861" t="s">
        <v>8</v>
      </c>
      <c r="B2861" s="1" t="str">
        <f>"000270334 - RICH-VCR FDBY COS SQ 1 BRGR"</f>
        <v>000270334 - RICH-VCR FDBY COS SQ 1 BRGR</v>
      </c>
      <c r="C2861" t="s">
        <v>2439</v>
      </c>
      <c r="D2861" s="1" t="str">
        <f t="shared" si="82"/>
        <v>PRG-1020917</v>
      </c>
      <c r="E2861" t="s">
        <v>120</v>
      </c>
      <c r="F2861" t="s">
        <v>4</v>
      </c>
      <c r="G2861" t="str">
        <f>""</f>
        <v/>
      </c>
    </row>
    <row r="2862" spans="1:7" x14ac:dyDescent="0.25">
      <c r="A2862" t="s">
        <v>8</v>
      </c>
      <c r="B2862" s="1" t="str">
        <f>"000271609 - Rich Foods-Foodbuy"</f>
        <v>000271609 - Rich Foods-Foodbuy</v>
      </c>
      <c r="C2862" t="s">
        <v>757</v>
      </c>
      <c r="D2862" s="1" t="str">
        <f t="shared" si="82"/>
        <v>PRG-1020917</v>
      </c>
      <c r="E2862" t="s">
        <v>120</v>
      </c>
      <c r="F2862" t="s">
        <v>4</v>
      </c>
      <c r="G2862" t="str">
        <f>""</f>
        <v/>
      </c>
    </row>
    <row r="2863" spans="1:7" x14ac:dyDescent="0.25">
      <c r="A2863" t="s">
        <v>8</v>
      </c>
      <c r="B2863" s="1" t="str">
        <f>"000271826 - RICH FOODS-FOODBUY"</f>
        <v>000271826 - RICH FOODS-FOODBUY</v>
      </c>
      <c r="C2863" t="s">
        <v>237</v>
      </c>
      <c r="D2863" s="1" t="str">
        <f t="shared" si="82"/>
        <v>PRG-1020917</v>
      </c>
      <c r="E2863" t="s">
        <v>120</v>
      </c>
      <c r="F2863" t="s">
        <v>4</v>
      </c>
      <c r="G2863" t="str">
        <f>""</f>
        <v/>
      </c>
    </row>
    <row r="2864" spans="1:7" x14ac:dyDescent="0.25">
      <c r="A2864" t="s">
        <v>8</v>
      </c>
      <c r="B2864" s="1" t="str">
        <f>"000272481 - RICH FOODS-IRON CACTUS   CLRWD"</f>
        <v>000272481 - RICH FOODS-IRON CACTUS   CLRWD</v>
      </c>
      <c r="C2864" t="s">
        <v>2504</v>
      </c>
      <c r="D2864" s="1" t="str">
        <f t="shared" si="82"/>
        <v>PRG-1020917</v>
      </c>
      <c r="E2864" t="s">
        <v>120</v>
      </c>
      <c r="F2864" t="s">
        <v>4</v>
      </c>
      <c r="G2864" t="str">
        <f>""</f>
        <v/>
      </c>
    </row>
    <row r="2865" spans="1:7" x14ac:dyDescent="0.25">
      <c r="A2865" t="s">
        <v>8</v>
      </c>
      <c r="B2865" s="1" t="str">
        <f>"000272491 - RICH FOODS-GREEN MESQ   CLRWD"</f>
        <v>000272491 - RICH FOODS-GREEN MESQ   CLRWD</v>
      </c>
      <c r="C2865" t="s">
        <v>2505</v>
      </c>
      <c r="D2865" s="1" t="str">
        <f t="shared" si="82"/>
        <v>PRG-1020917</v>
      </c>
      <c r="E2865" t="s">
        <v>120</v>
      </c>
      <c r="F2865" t="s">
        <v>4</v>
      </c>
      <c r="G2865" t="str">
        <f>""</f>
        <v/>
      </c>
    </row>
    <row r="2866" spans="1:7" x14ac:dyDescent="0.25">
      <c r="A2866" t="s">
        <v>8</v>
      </c>
      <c r="B2866" s="1" t="str">
        <f>"000272495 - RICH FOODS-THIRD BASE   CLRWD"</f>
        <v>000272495 - RICH FOODS-THIRD BASE   CLRWD</v>
      </c>
      <c r="C2866" t="s">
        <v>2506</v>
      </c>
      <c r="D2866" s="1" t="str">
        <f t="shared" si="82"/>
        <v>PRG-1020917</v>
      </c>
      <c r="E2866" t="s">
        <v>120</v>
      </c>
      <c r="F2866" t="s">
        <v>4</v>
      </c>
      <c r="G2866" t="str">
        <f>""</f>
        <v/>
      </c>
    </row>
    <row r="2867" spans="1:7" x14ac:dyDescent="0.25">
      <c r="A2867" t="s">
        <v>8</v>
      </c>
      <c r="B2867" s="1" t="str">
        <f>"000272853 - RICH FOODS-FOODBUY"</f>
        <v>000272853 - RICH FOODS-FOODBUY</v>
      </c>
      <c r="C2867" t="s">
        <v>237</v>
      </c>
      <c r="D2867" s="1" t="str">
        <f t="shared" si="82"/>
        <v>PRG-1020917</v>
      </c>
      <c r="E2867" t="s">
        <v>120</v>
      </c>
      <c r="F2867" t="s">
        <v>4</v>
      </c>
      <c r="G2867" t="str">
        <f>""</f>
        <v/>
      </c>
    </row>
    <row r="2868" spans="1:7" x14ac:dyDescent="0.25">
      <c r="A2868" t="s">
        <v>8</v>
      </c>
      <c r="B2868" s="1" t="str">
        <f>"000274626 - RICH PRODUCTS-FOODBUY"</f>
        <v>000274626 - RICH PRODUCTS-FOODBUY</v>
      </c>
      <c r="C2868" t="s">
        <v>342</v>
      </c>
      <c r="D2868" s="1" t="str">
        <f t="shared" si="82"/>
        <v>PRG-1020917</v>
      </c>
      <c r="E2868" t="s">
        <v>120</v>
      </c>
      <c r="F2868" t="s">
        <v>4</v>
      </c>
      <c r="G2868" t="str">
        <f>""</f>
        <v/>
      </c>
    </row>
    <row r="2869" spans="1:7" x14ac:dyDescent="0.25">
      <c r="A2869" t="s">
        <v>8</v>
      </c>
      <c r="B2869" s="1" t="str">
        <f>"000275297 - RICH-VCR FDBY COS SQ 1 BRGR"</f>
        <v>000275297 - RICH-VCR FDBY COS SQ 1 BRGR</v>
      </c>
      <c r="C2869" t="s">
        <v>2439</v>
      </c>
      <c r="D2869" s="1" t="str">
        <f t="shared" si="82"/>
        <v>PRG-1020917</v>
      </c>
      <c r="E2869" t="s">
        <v>120</v>
      </c>
      <c r="F2869" t="s">
        <v>4</v>
      </c>
      <c r="G2869" t="str">
        <f>""</f>
        <v/>
      </c>
    </row>
    <row r="2870" spans="1:7" x14ac:dyDescent="0.25">
      <c r="A2870" t="s">
        <v>8</v>
      </c>
      <c r="B2870" s="1" t="str">
        <f>"000276180 - RICH PRODUCTS-FOODBUY"</f>
        <v>000276180 - RICH PRODUCTS-FOODBUY</v>
      </c>
      <c r="C2870" t="s">
        <v>342</v>
      </c>
      <c r="D2870" s="1" t="str">
        <f t="shared" si="82"/>
        <v>PRG-1020917</v>
      </c>
      <c r="E2870" t="s">
        <v>120</v>
      </c>
      <c r="F2870" t="s">
        <v>4</v>
      </c>
      <c r="G2870" t="str">
        <f>""</f>
        <v/>
      </c>
    </row>
    <row r="2871" spans="1:7" x14ac:dyDescent="0.25">
      <c r="A2871" t="s">
        <v>8</v>
      </c>
      <c r="B2871" s="1" t="str">
        <f>"000276367 - RICH PRODUCTS-FOODBUY"</f>
        <v>000276367 - RICH PRODUCTS-FOODBUY</v>
      </c>
      <c r="C2871" t="s">
        <v>342</v>
      </c>
      <c r="D2871" s="1" t="str">
        <f t="shared" si="82"/>
        <v>PRG-1020917</v>
      </c>
      <c r="E2871" t="s">
        <v>120</v>
      </c>
      <c r="F2871" t="s">
        <v>4</v>
      </c>
      <c r="G2871" t="str">
        <f>""</f>
        <v/>
      </c>
    </row>
    <row r="2872" spans="1:7" x14ac:dyDescent="0.25">
      <c r="A2872" t="s">
        <v>8</v>
      </c>
      <c r="B2872" s="1" t="str">
        <f>"000276642 - RICH FOODS-IRON CACTUS CLRW"</f>
        <v>000276642 - RICH FOODS-IRON CACTUS CLRW</v>
      </c>
      <c r="C2872" t="s">
        <v>2579</v>
      </c>
      <c r="D2872" s="1" t="str">
        <f t="shared" ref="D2872:D2935" si="83">"PRG-1020917"</f>
        <v>PRG-1020917</v>
      </c>
      <c r="E2872" t="s">
        <v>120</v>
      </c>
      <c r="F2872" t="s">
        <v>4</v>
      </c>
      <c r="G2872" t="str">
        <f>""</f>
        <v/>
      </c>
    </row>
    <row r="2873" spans="1:7" x14ac:dyDescent="0.25">
      <c r="A2873" t="s">
        <v>8</v>
      </c>
      <c r="B2873" s="1" t="str">
        <f>"000276714 - RICH FOODS-GREEN MESQ CLRW"</f>
        <v>000276714 - RICH FOODS-GREEN MESQ CLRW</v>
      </c>
      <c r="C2873" t="s">
        <v>2585</v>
      </c>
      <c r="D2873" s="1" t="str">
        <f t="shared" si="83"/>
        <v>PRG-1020917</v>
      </c>
      <c r="E2873" t="s">
        <v>120</v>
      </c>
      <c r="F2873" t="s">
        <v>4</v>
      </c>
      <c r="G2873" t="str">
        <f>""</f>
        <v/>
      </c>
    </row>
    <row r="2874" spans="1:7" x14ac:dyDescent="0.25">
      <c r="A2874" t="s">
        <v>8</v>
      </c>
      <c r="B2874" s="1" t="str">
        <f>"000276925 - RICH FOODS-FOODBUY"</f>
        <v>000276925 - RICH FOODS-FOODBUY</v>
      </c>
      <c r="C2874" t="s">
        <v>237</v>
      </c>
      <c r="D2874" s="1" t="str">
        <f t="shared" si="83"/>
        <v>PRG-1020917</v>
      </c>
      <c r="E2874" t="s">
        <v>120</v>
      </c>
      <c r="F2874" t="s">
        <v>4</v>
      </c>
      <c r="G2874" t="str">
        <f>""</f>
        <v/>
      </c>
    </row>
    <row r="2875" spans="1:7" x14ac:dyDescent="0.25">
      <c r="A2875" t="s">
        <v>8</v>
      </c>
      <c r="B2875" s="1" t="str">
        <f>"000277507 - RICH FOODS BB-FOODBUY"</f>
        <v>000277507 - RICH FOODS BB-FOODBUY</v>
      </c>
      <c r="C2875" t="s">
        <v>209</v>
      </c>
      <c r="D2875" s="1" t="str">
        <f t="shared" si="83"/>
        <v>PRG-1020917</v>
      </c>
      <c r="E2875" t="s">
        <v>120</v>
      </c>
      <c r="F2875" t="s">
        <v>4</v>
      </c>
      <c r="G2875" t="str">
        <f>""</f>
        <v/>
      </c>
    </row>
    <row r="2876" spans="1:7" x14ac:dyDescent="0.25">
      <c r="A2876" t="s">
        <v>8</v>
      </c>
      <c r="B2876" s="1" t="str">
        <f>"000277710 - RICH FDS NCORE FDBY BB 100948"</f>
        <v>000277710 - RICH FDS NCORE FDBY BB 100948</v>
      </c>
      <c r="C2876" t="s">
        <v>2604</v>
      </c>
      <c r="D2876" s="1" t="str">
        <f t="shared" si="83"/>
        <v>PRG-1020917</v>
      </c>
      <c r="E2876" t="s">
        <v>120</v>
      </c>
      <c r="F2876" t="s">
        <v>4</v>
      </c>
      <c r="G2876" t="str">
        <f>""</f>
        <v/>
      </c>
    </row>
    <row r="2877" spans="1:7" x14ac:dyDescent="0.25">
      <c r="A2877" t="s">
        <v>8</v>
      </c>
      <c r="B2877" s="1" t="str">
        <f>"000278751 - RICH PRODUCTS-FOODBUY"</f>
        <v>000278751 - RICH PRODUCTS-FOODBUY</v>
      </c>
      <c r="C2877" t="s">
        <v>342</v>
      </c>
      <c r="D2877" s="1" t="str">
        <f t="shared" si="83"/>
        <v>PRG-1020917</v>
      </c>
      <c r="E2877" t="s">
        <v>120</v>
      </c>
      <c r="F2877" t="s">
        <v>4</v>
      </c>
      <c r="G2877" t="str">
        <f>""</f>
        <v/>
      </c>
    </row>
    <row r="2878" spans="1:7" x14ac:dyDescent="0.25">
      <c r="A2878" t="s">
        <v>8</v>
      </c>
      <c r="B2878" s="1" t="str">
        <f>"000279540 - RICH FOODS BB-FOODBUY"</f>
        <v>000279540 - RICH FOODS BB-FOODBUY</v>
      </c>
      <c r="C2878" t="s">
        <v>209</v>
      </c>
      <c r="D2878" s="1" t="str">
        <f t="shared" si="83"/>
        <v>PRG-1020917</v>
      </c>
      <c r="E2878" t="s">
        <v>120</v>
      </c>
      <c r="F2878" t="s">
        <v>4</v>
      </c>
      <c r="G2878" t="str">
        <f>""</f>
        <v/>
      </c>
    </row>
    <row r="2879" spans="1:7" x14ac:dyDescent="0.25">
      <c r="A2879" t="s">
        <v>8</v>
      </c>
      <c r="B2879" s="1" t="str">
        <f>"000280419 - RICH FOODS BB-FOODBUY"</f>
        <v>000280419 - RICH FOODS BB-FOODBUY</v>
      </c>
      <c r="C2879" t="s">
        <v>209</v>
      </c>
      <c r="D2879" s="1" t="str">
        <f t="shared" si="83"/>
        <v>PRG-1020917</v>
      </c>
      <c r="E2879" t="s">
        <v>120</v>
      </c>
      <c r="F2879" t="s">
        <v>4</v>
      </c>
      <c r="G2879" t="str">
        <f>""</f>
        <v/>
      </c>
    </row>
    <row r="2880" spans="1:7" x14ac:dyDescent="0.25">
      <c r="A2880" t="s">
        <v>8</v>
      </c>
      <c r="B2880" s="1" t="str">
        <f>"000280467 - RICH FOODS-FOODBUY"</f>
        <v>000280467 - RICH FOODS-FOODBUY</v>
      </c>
      <c r="C2880" t="s">
        <v>237</v>
      </c>
      <c r="D2880" s="1" t="str">
        <f t="shared" si="83"/>
        <v>PRG-1020917</v>
      </c>
      <c r="E2880" t="s">
        <v>120</v>
      </c>
      <c r="F2880" t="s">
        <v>4</v>
      </c>
      <c r="G2880" t="str">
        <f>""</f>
        <v/>
      </c>
    </row>
    <row r="2881" spans="1:7" x14ac:dyDescent="0.25">
      <c r="A2881" t="s">
        <v>8</v>
      </c>
      <c r="B2881" s="1" t="str">
        <f>"000280871 - RICH FOODS THIRDBASE CLRW"</f>
        <v>000280871 - RICH FOODS THIRDBASE CLRW</v>
      </c>
      <c r="C2881" t="s">
        <v>2643</v>
      </c>
      <c r="D2881" s="1" t="str">
        <f t="shared" si="83"/>
        <v>PRG-1020917</v>
      </c>
      <c r="E2881" t="s">
        <v>120</v>
      </c>
      <c r="F2881" t="s">
        <v>4</v>
      </c>
      <c r="G2881" t="str">
        <f>""</f>
        <v/>
      </c>
    </row>
    <row r="2882" spans="1:7" x14ac:dyDescent="0.25">
      <c r="A2882" t="s">
        <v>8</v>
      </c>
      <c r="B2882" s="1" t="str">
        <f>"000280987 - RICH FDS CC-GREEN MESQ CLRW"</f>
        <v>000280987 - RICH FDS CC-GREEN MESQ CLRW</v>
      </c>
      <c r="C2882" t="s">
        <v>2645</v>
      </c>
      <c r="D2882" s="1" t="str">
        <f t="shared" si="83"/>
        <v>PRG-1020917</v>
      </c>
      <c r="E2882" t="s">
        <v>120</v>
      </c>
      <c r="F2882" t="s">
        <v>4</v>
      </c>
      <c r="G2882" t="str">
        <f>""</f>
        <v/>
      </c>
    </row>
    <row r="2883" spans="1:7" x14ac:dyDescent="0.25">
      <c r="A2883" t="s">
        <v>8</v>
      </c>
      <c r="B2883" s="1" t="str">
        <f>"000281162 - RICH FOODS-FOODBUY"</f>
        <v>000281162 - RICH FOODS-FOODBUY</v>
      </c>
      <c r="C2883" t="s">
        <v>237</v>
      </c>
      <c r="D2883" s="1" t="str">
        <f t="shared" si="83"/>
        <v>PRG-1020917</v>
      </c>
      <c r="E2883" t="s">
        <v>120</v>
      </c>
      <c r="F2883" t="s">
        <v>4</v>
      </c>
      <c r="G2883" t="str">
        <f>""</f>
        <v/>
      </c>
    </row>
    <row r="2884" spans="1:7" x14ac:dyDescent="0.25">
      <c r="A2884" t="s">
        <v>8</v>
      </c>
      <c r="B2884" s="1" t="str">
        <f>"000281305 - RICH FOODS CSM"</f>
        <v>000281305 - RICH FOODS CSM</v>
      </c>
      <c r="C2884" t="s">
        <v>2651</v>
      </c>
      <c r="D2884" s="1" t="str">
        <f t="shared" si="83"/>
        <v>PRG-1020917</v>
      </c>
      <c r="E2884" t="s">
        <v>120</v>
      </c>
      <c r="F2884" t="s">
        <v>4</v>
      </c>
      <c r="G2884" t="str">
        <f>""</f>
        <v/>
      </c>
    </row>
    <row r="2885" spans="1:7" x14ac:dyDescent="0.25">
      <c r="A2885" t="s">
        <v>8</v>
      </c>
      <c r="B2885" s="1" t="str">
        <f>"000282321 - RICH PRODUCTS-FOODBUY"</f>
        <v>000282321 - RICH PRODUCTS-FOODBUY</v>
      </c>
      <c r="C2885" t="s">
        <v>342</v>
      </c>
      <c r="D2885" s="1" t="str">
        <f t="shared" si="83"/>
        <v>PRG-1020917</v>
      </c>
      <c r="E2885" t="s">
        <v>120</v>
      </c>
      <c r="F2885" t="s">
        <v>4</v>
      </c>
      <c r="G2885" t="str">
        <f>""</f>
        <v/>
      </c>
    </row>
    <row r="2886" spans="1:7" x14ac:dyDescent="0.25">
      <c r="A2886" t="s">
        <v>8</v>
      </c>
      <c r="B2886" s="1" t="str">
        <f>"000282840 - RICH PRODUCTS-FOODBUY"</f>
        <v>000282840 - RICH PRODUCTS-FOODBUY</v>
      </c>
      <c r="C2886" t="s">
        <v>342</v>
      </c>
      <c r="D2886" s="1" t="str">
        <f t="shared" si="83"/>
        <v>PRG-1020917</v>
      </c>
      <c r="E2886" t="s">
        <v>120</v>
      </c>
      <c r="F2886" t="s">
        <v>4</v>
      </c>
      <c r="G2886" t="str">
        <f>""</f>
        <v/>
      </c>
    </row>
    <row r="2887" spans="1:7" x14ac:dyDescent="0.25">
      <c r="A2887" t="s">
        <v>8</v>
      </c>
      <c r="B2887" s="1" t="str">
        <f>"000282884 - RICH FOODS-FOODBUY"</f>
        <v>000282884 - RICH FOODS-FOODBUY</v>
      </c>
      <c r="C2887" t="s">
        <v>237</v>
      </c>
      <c r="D2887" s="1" t="str">
        <f t="shared" si="83"/>
        <v>PRG-1020917</v>
      </c>
      <c r="E2887" t="s">
        <v>120</v>
      </c>
      <c r="F2887" t="s">
        <v>4</v>
      </c>
      <c r="G2887" t="str">
        <f>""</f>
        <v/>
      </c>
    </row>
    <row r="2888" spans="1:7" x14ac:dyDescent="0.25">
      <c r="A2888" t="s">
        <v>8</v>
      </c>
      <c r="B2888" s="1" t="str">
        <f>"000283943 - RICH PRODUCTS-FOODBUY"</f>
        <v>000283943 - RICH PRODUCTS-FOODBUY</v>
      </c>
      <c r="C2888" t="s">
        <v>342</v>
      </c>
      <c r="D2888" s="1" t="str">
        <f t="shared" si="83"/>
        <v>PRG-1020917</v>
      </c>
      <c r="E2888" t="s">
        <v>120</v>
      </c>
      <c r="F2888" t="s">
        <v>4</v>
      </c>
      <c r="G2888" t="str">
        <f>""</f>
        <v/>
      </c>
    </row>
    <row r="2889" spans="1:7" x14ac:dyDescent="0.25">
      <c r="A2889" t="s">
        <v>8</v>
      </c>
      <c r="B2889" s="1" t="str">
        <f>"000284302 - RICH PRODUCTS-FOODBUY"</f>
        <v>000284302 - RICH PRODUCTS-FOODBUY</v>
      </c>
      <c r="C2889" t="s">
        <v>342</v>
      </c>
      <c r="D2889" s="1" t="str">
        <f t="shared" si="83"/>
        <v>PRG-1020917</v>
      </c>
      <c r="E2889" t="s">
        <v>120</v>
      </c>
      <c r="F2889" t="s">
        <v>4</v>
      </c>
      <c r="G2889" t="str">
        <f>""</f>
        <v/>
      </c>
    </row>
    <row r="2890" spans="1:7" x14ac:dyDescent="0.25">
      <c r="A2890" t="s">
        <v>8</v>
      </c>
      <c r="B2890" s="1" t="str">
        <f>"000284845 - RICH FOODS BB-FOODBUY"</f>
        <v>000284845 - RICH FOODS BB-FOODBUY</v>
      </c>
      <c r="C2890" t="s">
        <v>209</v>
      </c>
      <c r="D2890" s="1" t="str">
        <f t="shared" si="83"/>
        <v>PRG-1020917</v>
      </c>
      <c r="E2890" t="s">
        <v>120</v>
      </c>
      <c r="F2890" t="s">
        <v>4</v>
      </c>
      <c r="G2890" t="str">
        <f>""</f>
        <v/>
      </c>
    </row>
    <row r="2891" spans="1:7" x14ac:dyDescent="0.25">
      <c r="A2891" t="s">
        <v>8</v>
      </c>
      <c r="B2891" s="1" t="str">
        <f>"000285048 - RICH FOODS-FOODBUY"</f>
        <v>000285048 - RICH FOODS-FOODBUY</v>
      </c>
      <c r="C2891" t="s">
        <v>237</v>
      </c>
      <c r="D2891" s="1" t="str">
        <f t="shared" si="83"/>
        <v>PRG-1020917</v>
      </c>
      <c r="E2891" t="s">
        <v>120</v>
      </c>
      <c r="F2891" t="s">
        <v>4</v>
      </c>
      <c r="G2891" t="str">
        <f>""</f>
        <v/>
      </c>
    </row>
    <row r="2892" spans="1:7" x14ac:dyDescent="0.25">
      <c r="A2892" t="s">
        <v>8</v>
      </c>
      <c r="B2892" s="1" t="str">
        <f>"000285440 - RICH FOODS BB-FOODBUY"</f>
        <v>000285440 - RICH FOODS BB-FOODBUY</v>
      </c>
      <c r="C2892" t="s">
        <v>209</v>
      </c>
      <c r="D2892" s="1" t="str">
        <f t="shared" si="83"/>
        <v>PRG-1020917</v>
      </c>
      <c r="E2892" t="s">
        <v>120</v>
      </c>
      <c r="F2892" t="s">
        <v>4</v>
      </c>
      <c r="G2892" t="str">
        <f>""</f>
        <v/>
      </c>
    </row>
    <row r="2893" spans="1:7" x14ac:dyDescent="0.25">
      <c r="A2893" t="s">
        <v>8</v>
      </c>
      <c r="B2893" s="1" t="str">
        <f>"000285599 - RICH PRODUCTS-FOODBUY"</f>
        <v>000285599 - RICH PRODUCTS-FOODBUY</v>
      </c>
      <c r="C2893" t="s">
        <v>342</v>
      </c>
      <c r="D2893" s="1" t="str">
        <f t="shared" si="83"/>
        <v>PRG-1020917</v>
      </c>
      <c r="E2893" t="s">
        <v>120</v>
      </c>
      <c r="F2893" t="s">
        <v>4</v>
      </c>
      <c r="G2893" t="str">
        <f>""</f>
        <v/>
      </c>
    </row>
    <row r="2894" spans="1:7" x14ac:dyDescent="0.25">
      <c r="A2894" t="s">
        <v>8</v>
      </c>
      <c r="B2894" s="1" t="str">
        <f>"000285703 - RICH PRODUCTS-FOODBUY"</f>
        <v>000285703 - RICH PRODUCTS-FOODBUY</v>
      </c>
      <c r="C2894" t="s">
        <v>342</v>
      </c>
      <c r="D2894" s="1" t="str">
        <f t="shared" si="83"/>
        <v>PRG-1020917</v>
      </c>
      <c r="E2894" t="s">
        <v>120</v>
      </c>
      <c r="F2894" t="s">
        <v>4</v>
      </c>
      <c r="G2894" t="str">
        <f>""</f>
        <v/>
      </c>
    </row>
    <row r="2895" spans="1:7" x14ac:dyDescent="0.25">
      <c r="A2895" t="s">
        <v>8</v>
      </c>
      <c r="B2895" s="1" t="str">
        <f>"000285751 - RICH PRODUCTS-FOODBUY"</f>
        <v>000285751 - RICH PRODUCTS-FOODBUY</v>
      </c>
      <c r="C2895" t="s">
        <v>342</v>
      </c>
      <c r="D2895" s="1" t="str">
        <f t="shared" si="83"/>
        <v>PRG-1020917</v>
      </c>
      <c r="E2895" t="s">
        <v>120</v>
      </c>
      <c r="F2895" t="s">
        <v>4</v>
      </c>
      <c r="G2895" t="str">
        <f>""</f>
        <v/>
      </c>
    </row>
    <row r="2896" spans="1:7" x14ac:dyDescent="0.25">
      <c r="A2896" t="s">
        <v>8</v>
      </c>
      <c r="B2896" s="1" t="str">
        <f>"000286483 - RICH FOODS BB-FOODBUY"</f>
        <v>000286483 - RICH FOODS BB-FOODBUY</v>
      </c>
      <c r="C2896" t="s">
        <v>209</v>
      </c>
      <c r="D2896" s="1" t="str">
        <f t="shared" si="83"/>
        <v>PRG-1020917</v>
      </c>
      <c r="E2896" t="s">
        <v>120</v>
      </c>
      <c r="F2896" t="s">
        <v>4</v>
      </c>
      <c r="G2896" t="str">
        <f>""</f>
        <v/>
      </c>
    </row>
    <row r="2897" spans="1:7" x14ac:dyDescent="0.25">
      <c r="A2897" t="s">
        <v>8</v>
      </c>
      <c r="B2897" s="1" t="str">
        <f>"000286686 - RICH PRODUCTS-FOODBUY LOCAL"</f>
        <v>000286686 - RICH PRODUCTS-FOODBUY LOCAL</v>
      </c>
      <c r="C2897" t="s">
        <v>2743</v>
      </c>
      <c r="D2897" s="1" t="str">
        <f t="shared" si="83"/>
        <v>PRG-1020917</v>
      </c>
      <c r="E2897" t="s">
        <v>120</v>
      </c>
      <c r="F2897" t="s">
        <v>4</v>
      </c>
      <c r="G2897" t="str">
        <f>""</f>
        <v/>
      </c>
    </row>
    <row r="2898" spans="1:7" x14ac:dyDescent="0.25">
      <c r="A2898" t="s">
        <v>8</v>
      </c>
      <c r="B2898" s="1" t="str">
        <f>"000287112 - RICH FOODS BB-FOODBUY"</f>
        <v>000287112 - RICH FOODS BB-FOODBUY</v>
      </c>
      <c r="C2898" t="s">
        <v>209</v>
      </c>
      <c r="D2898" s="1" t="str">
        <f t="shared" si="83"/>
        <v>PRG-1020917</v>
      </c>
      <c r="E2898" t="s">
        <v>120</v>
      </c>
      <c r="F2898" t="s">
        <v>4</v>
      </c>
      <c r="G2898" t="str">
        <f>""</f>
        <v/>
      </c>
    </row>
    <row r="2899" spans="1:7" x14ac:dyDescent="0.25">
      <c r="A2899" t="s">
        <v>8</v>
      </c>
      <c r="B2899" s="1" t="str">
        <f>"000287122 - RICH FOODS BB-FOODBUY"</f>
        <v>000287122 - RICH FOODS BB-FOODBUY</v>
      </c>
      <c r="C2899" t="s">
        <v>209</v>
      </c>
      <c r="D2899" s="1" t="str">
        <f t="shared" si="83"/>
        <v>PRG-1020917</v>
      </c>
      <c r="E2899" t="s">
        <v>120</v>
      </c>
      <c r="F2899" t="s">
        <v>4</v>
      </c>
      <c r="G2899" t="str">
        <f>""</f>
        <v/>
      </c>
    </row>
    <row r="2900" spans="1:7" x14ac:dyDescent="0.25">
      <c r="A2900" t="s">
        <v>8</v>
      </c>
      <c r="B2900" s="1" t="str">
        <f>"000287317 - RICHS FOODS BB-FOODBUY"</f>
        <v>000287317 - RICHS FOODS BB-FOODBUY</v>
      </c>
      <c r="C2900" t="s">
        <v>393</v>
      </c>
      <c r="D2900" s="1" t="str">
        <f t="shared" si="83"/>
        <v>PRG-1020917</v>
      </c>
      <c r="E2900" t="s">
        <v>120</v>
      </c>
      <c r="F2900" t="s">
        <v>4</v>
      </c>
      <c r="G2900" t="str">
        <f>""</f>
        <v/>
      </c>
    </row>
    <row r="2901" spans="1:7" x14ac:dyDescent="0.25">
      <c r="A2901" t="s">
        <v>8</v>
      </c>
      <c r="B2901" s="1" t="str">
        <f>"000287405 - RICH FOODS (NSRCD)BB  FDBUY"</f>
        <v>000287405 - RICH FOODS (NSRCD)BB  FDBUY</v>
      </c>
      <c r="C2901" t="s">
        <v>2760</v>
      </c>
      <c r="D2901" s="1" t="str">
        <f t="shared" si="83"/>
        <v>PRG-1020917</v>
      </c>
      <c r="E2901" t="s">
        <v>120</v>
      </c>
      <c r="F2901" t="s">
        <v>4</v>
      </c>
      <c r="G2901" t="str">
        <f>""</f>
        <v/>
      </c>
    </row>
    <row r="2902" spans="1:7" x14ac:dyDescent="0.25">
      <c r="A2902" t="s">
        <v>8</v>
      </c>
      <c r="B2902" s="1" t="str">
        <f>"000287545 - RICH PRODUCTS-FOODBUY"</f>
        <v>000287545 - RICH PRODUCTS-FOODBUY</v>
      </c>
      <c r="C2902" t="s">
        <v>342</v>
      </c>
      <c r="D2902" s="1" t="str">
        <f t="shared" si="83"/>
        <v>PRG-1020917</v>
      </c>
      <c r="E2902" t="s">
        <v>120</v>
      </c>
      <c r="F2902" t="s">
        <v>4</v>
      </c>
      <c r="G2902" t="str">
        <f>""</f>
        <v/>
      </c>
    </row>
    <row r="2903" spans="1:7" x14ac:dyDescent="0.25">
      <c r="A2903" t="s">
        <v>8</v>
      </c>
      <c r="B2903" s="1" t="str">
        <f>"000287812 - RICH FOODS THIRDBASE  CLRW"</f>
        <v>000287812 - RICH FOODS THIRDBASE  CLRW</v>
      </c>
      <c r="C2903" t="s">
        <v>2770</v>
      </c>
      <c r="D2903" s="1" t="str">
        <f t="shared" si="83"/>
        <v>PRG-1020917</v>
      </c>
      <c r="E2903" t="s">
        <v>120</v>
      </c>
      <c r="F2903" t="s">
        <v>4</v>
      </c>
      <c r="G2903" t="str">
        <f>""</f>
        <v/>
      </c>
    </row>
    <row r="2904" spans="1:7" x14ac:dyDescent="0.25">
      <c r="A2904" t="s">
        <v>8</v>
      </c>
      <c r="B2904" s="1" t="str">
        <f>"000288105 - RICH FOODS BB-FOODBUY"</f>
        <v>000288105 - RICH FOODS BB-FOODBUY</v>
      </c>
      <c r="C2904" t="s">
        <v>209</v>
      </c>
      <c r="D2904" s="1" t="str">
        <f t="shared" si="83"/>
        <v>PRG-1020917</v>
      </c>
      <c r="E2904" t="s">
        <v>120</v>
      </c>
      <c r="F2904" t="s">
        <v>4</v>
      </c>
      <c r="G2904" t="str">
        <f>""</f>
        <v/>
      </c>
    </row>
    <row r="2905" spans="1:7" x14ac:dyDescent="0.25">
      <c r="A2905" t="s">
        <v>8</v>
      </c>
      <c r="B2905" s="1" t="str">
        <f>"000288399 - RICH FOODS BB-FOODBUY  RETRO"</f>
        <v>000288399 - RICH FOODS BB-FOODBUY  RETRO</v>
      </c>
      <c r="C2905" t="s">
        <v>1633</v>
      </c>
      <c r="D2905" s="1" t="str">
        <f t="shared" si="83"/>
        <v>PRG-1020917</v>
      </c>
      <c r="E2905" t="s">
        <v>120</v>
      </c>
      <c r="F2905" t="s">
        <v>4</v>
      </c>
      <c r="G2905" t="str">
        <f>""</f>
        <v/>
      </c>
    </row>
    <row r="2906" spans="1:7" x14ac:dyDescent="0.25">
      <c r="A2906" t="s">
        <v>8</v>
      </c>
      <c r="B2906" s="1" t="str">
        <f>"000288479 - RICH FOODS BB-FOODBUY"</f>
        <v>000288479 - RICH FOODS BB-FOODBUY</v>
      </c>
      <c r="C2906" t="s">
        <v>209</v>
      </c>
      <c r="D2906" s="1" t="str">
        <f t="shared" si="83"/>
        <v>PRG-1020917</v>
      </c>
      <c r="E2906" t="s">
        <v>120</v>
      </c>
      <c r="F2906" t="s">
        <v>4</v>
      </c>
      <c r="G2906" t="str">
        <f>""</f>
        <v/>
      </c>
    </row>
    <row r="2907" spans="1:7" x14ac:dyDescent="0.25">
      <c r="A2907" t="s">
        <v>8</v>
      </c>
      <c r="B2907" s="1" t="str">
        <f>"000288560 - RICH PRODUCTS-FOODBUY"</f>
        <v>000288560 - RICH PRODUCTS-FOODBUY</v>
      </c>
      <c r="C2907" t="s">
        <v>342</v>
      </c>
      <c r="D2907" s="1" t="str">
        <f t="shared" si="83"/>
        <v>PRG-1020917</v>
      </c>
      <c r="E2907" t="s">
        <v>120</v>
      </c>
      <c r="F2907" t="s">
        <v>4</v>
      </c>
      <c r="G2907" t="str">
        <f>""</f>
        <v/>
      </c>
    </row>
    <row r="2908" spans="1:7" x14ac:dyDescent="0.25">
      <c r="A2908" t="s">
        <v>8</v>
      </c>
      <c r="B2908" s="1" t="str">
        <f>"000288771 - RICH FOODS BB-FOODBUY"</f>
        <v>000288771 - RICH FOODS BB-FOODBUY</v>
      </c>
      <c r="C2908" t="s">
        <v>209</v>
      </c>
      <c r="D2908" s="1" t="str">
        <f t="shared" si="83"/>
        <v>PRG-1020917</v>
      </c>
      <c r="E2908" t="s">
        <v>120</v>
      </c>
      <c r="F2908" t="s">
        <v>4</v>
      </c>
      <c r="G2908" t="str">
        <f>""</f>
        <v/>
      </c>
    </row>
    <row r="2909" spans="1:7" x14ac:dyDescent="0.25">
      <c r="A2909" t="s">
        <v>8</v>
      </c>
      <c r="B2909" s="1" t="str">
        <f>"000289218 - RICHS FOODS BB-FOODBUY"</f>
        <v>000289218 - RICHS FOODS BB-FOODBUY</v>
      </c>
      <c r="C2909" t="s">
        <v>393</v>
      </c>
      <c r="D2909" s="1" t="str">
        <f t="shared" si="83"/>
        <v>PRG-1020917</v>
      </c>
      <c r="E2909" t="s">
        <v>120</v>
      </c>
      <c r="F2909" t="s">
        <v>4</v>
      </c>
      <c r="G2909" t="str">
        <f>""</f>
        <v/>
      </c>
    </row>
    <row r="2910" spans="1:7" x14ac:dyDescent="0.25">
      <c r="A2910" t="s">
        <v>8</v>
      </c>
      <c r="B2910" s="1" t="str">
        <f>"000289997 - RICH FOODS BB-FOODBUY (RETRO)"</f>
        <v>000289997 - RICH FOODS BB-FOODBUY (RETRO)</v>
      </c>
      <c r="C2910" t="s">
        <v>2802</v>
      </c>
      <c r="D2910" s="1" t="str">
        <f t="shared" si="83"/>
        <v>PRG-1020917</v>
      </c>
      <c r="E2910" t="s">
        <v>120</v>
      </c>
      <c r="F2910" t="s">
        <v>4</v>
      </c>
      <c r="G2910" t="str">
        <f>""</f>
        <v/>
      </c>
    </row>
    <row r="2911" spans="1:7" x14ac:dyDescent="0.25">
      <c r="A2911" t="s">
        <v>8</v>
      </c>
      <c r="B2911" s="1" t="str">
        <f>"000291068 - RICH PRODUCTS-FOODBUY"</f>
        <v>000291068 - RICH PRODUCTS-FOODBUY</v>
      </c>
      <c r="C2911" t="s">
        <v>342</v>
      </c>
      <c r="D2911" s="1" t="str">
        <f t="shared" si="83"/>
        <v>PRG-1020917</v>
      </c>
      <c r="E2911" t="s">
        <v>120</v>
      </c>
      <c r="F2911" t="s">
        <v>4</v>
      </c>
      <c r="G2911" t="str">
        <f>""</f>
        <v/>
      </c>
    </row>
    <row r="2912" spans="1:7" x14ac:dyDescent="0.25">
      <c r="A2912" t="s">
        <v>8</v>
      </c>
      <c r="B2912" s="1" t="str">
        <f>"000291149 - RICH FOODS-FOODBUY"</f>
        <v>000291149 - RICH FOODS-FOODBUY</v>
      </c>
      <c r="C2912" t="s">
        <v>237</v>
      </c>
      <c r="D2912" s="1" t="str">
        <f t="shared" si="83"/>
        <v>PRG-1020917</v>
      </c>
      <c r="E2912" t="s">
        <v>120</v>
      </c>
      <c r="F2912" t="s">
        <v>4</v>
      </c>
      <c r="G2912" t="str">
        <f>""</f>
        <v/>
      </c>
    </row>
    <row r="2913" spans="1:7" x14ac:dyDescent="0.25">
      <c r="A2913" t="s">
        <v>8</v>
      </c>
      <c r="B2913" s="1" t="str">
        <f>"000291979 - RICH FOODS BB-FOODBUY"</f>
        <v>000291979 - RICH FOODS BB-FOODBUY</v>
      </c>
      <c r="C2913" t="s">
        <v>209</v>
      </c>
      <c r="D2913" s="1" t="str">
        <f t="shared" si="83"/>
        <v>PRG-1020917</v>
      </c>
      <c r="E2913" t="s">
        <v>120</v>
      </c>
      <c r="F2913" t="s">
        <v>4</v>
      </c>
      <c r="G2913" t="str">
        <f>""</f>
        <v/>
      </c>
    </row>
    <row r="2914" spans="1:7" x14ac:dyDescent="0.25">
      <c r="A2914" t="s">
        <v>8</v>
      </c>
      <c r="B2914" s="1" t="str">
        <f>"000292215 - RICH FOODS BB-FOODBUY(RETRO)"</f>
        <v>000292215 - RICH FOODS BB-FOODBUY(RETRO)</v>
      </c>
      <c r="C2914" t="s">
        <v>2859</v>
      </c>
      <c r="D2914" s="1" t="str">
        <f t="shared" si="83"/>
        <v>PRG-1020917</v>
      </c>
      <c r="E2914" t="s">
        <v>120</v>
      </c>
      <c r="F2914" t="s">
        <v>4</v>
      </c>
      <c r="G2914" t="str">
        <f>""</f>
        <v/>
      </c>
    </row>
    <row r="2915" spans="1:7" x14ac:dyDescent="0.25">
      <c r="A2915" t="s">
        <v>8</v>
      </c>
      <c r="B2915" s="1" t="str">
        <f>"000292773 - Rich Foods-Foodbuy"</f>
        <v>000292773 - Rich Foods-Foodbuy</v>
      </c>
      <c r="C2915" t="s">
        <v>757</v>
      </c>
      <c r="D2915" s="1" t="str">
        <f t="shared" si="83"/>
        <v>PRG-1020917</v>
      </c>
      <c r="E2915" t="s">
        <v>120</v>
      </c>
      <c r="F2915" t="s">
        <v>4</v>
      </c>
      <c r="G2915" t="str">
        <f>""</f>
        <v/>
      </c>
    </row>
    <row r="2916" spans="1:7" x14ac:dyDescent="0.25">
      <c r="A2916" t="s">
        <v>8</v>
      </c>
      <c r="B2916" s="1" t="str">
        <f>"000293033 - RICH FOODS BB-FOODBUY"</f>
        <v>000293033 - RICH FOODS BB-FOODBUY</v>
      </c>
      <c r="C2916" t="s">
        <v>209</v>
      </c>
      <c r="D2916" s="1" t="str">
        <f t="shared" si="83"/>
        <v>PRG-1020917</v>
      </c>
      <c r="E2916" t="s">
        <v>120</v>
      </c>
      <c r="F2916" t="s">
        <v>4</v>
      </c>
      <c r="G2916" t="str">
        <f>""</f>
        <v/>
      </c>
    </row>
    <row r="2917" spans="1:7" x14ac:dyDescent="0.25">
      <c r="A2917" t="s">
        <v>8</v>
      </c>
      <c r="B2917" s="1" t="str">
        <f>"000293609 - RICH FOODS-FOODBUY"</f>
        <v>000293609 - RICH FOODS-FOODBUY</v>
      </c>
      <c r="C2917" t="s">
        <v>237</v>
      </c>
      <c r="D2917" s="1" t="str">
        <f t="shared" si="83"/>
        <v>PRG-1020917</v>
      </c>
      <c r="E2917" t="s">
        <v>120</v>
      </c>
      <c r="F2917" t="s">
        <v>4</v>
      </c>
      <c r="G2917" t="str">
        <f>""</f>
        <v/>
      </c>
    </row>
    <row r="2918" spans="1:7" x14ac:dyDescent="0.25">
      <c r="A2918" t="s">
        <v>8</v>
      </c>
      <c r="B2918" s="1" t="str">
        <f>"000294801 - RICH PRODUCTS-FOODBUY"</f>
        <v>000294801 - RICH PRODUCTS-FOODBUY</v>
      </c>
      <c r="C2918" t="s">
        <v>342</v>
      </c>
      <c r="D2918" s="1" t="str">
        <f t="shared" si="83"/>
        <v>PRG-1020917</v>
      </c>
      <c r="E2918" t="s">
        <v>120</v>
      </c>
      <c r="F2918" t="s">
        <v>4</v>
      </c>
      <c r="G2918" t="str">
        <f>""</f>
        <v/>
      </c>
    </row>
    <row r="2919" spans="1:7" x14ac:dyDescent="0.25">
      <c r="A2919" t="s">
        <v>8</v>
      </c>
      <c r="B2919" s="1" t="str">
        <f>"000295337 - RICH-VCR FDBY COS GECKOS"</f>
        <v>000295337 - RICH-VCR FDBY COS GECKOS</v>
      </c>
      <c r="C2919" t="s">
        <v>2899</v>
      </c>
      <c r="D2919" s="1" t="str">
        <f t="shared" si="83"/>
        <v>PRG-1020917</v>
      </c>
      <c r="E2919" t="s">
        <v>120</v>
      </c>
      <c r="F2919" t="s">
        <v>4</v>
      </c>
      <c r="G2919" t="str">
        <f>""</f>
        <v/>
      </c>
    </row>
    <row r="2920" spans="1:7" x14ac:dyDescent="0.25">
      <c r="A2920" t="s">
        <v>8</v>
      </c>
      <c r="B2920" s="1" t="str">
        <f>"000296546 - RICH-FDBY CSM FSI"</f>
        <v>000296546 - RICH-FDBY CSM FSI</v>
      </c>
      <c r="C2920" t="s">
        <v>2915</v>
      </c>
      <c r="D2920" s="1" t="str">
        <f t="shared" si="83"/>
        <v>PRG-1020917</v>
      </c>
      <c r="E2920" t="s">
        <v>120</v>
      </c>
      <c r="F2920" t="s">
        <v>4</v>
      </c>
      <c r="G2920" t="str">
        <f>""</f>
        <v/>
      </c>
    </row>
    <row r="2921" spans="1:7" x14ac:dyDescent="0.25">
      <c r="A2921" t="s">
        <v>8</v>
      </c>
      <c r="B2921" s="1" t="str">
        <f>"000296547 - RICH(R)-FDBY CSM FSI"</f>
        <v>000296547 - RICH(R)-FDBY CSM FSI</v>
      </c>
      <c r="C2921" t="s">
        <v>2916</v>
      </c>
      <c r="D2921" s="1" t="str">
        <f t="shared" si="83"/>
        <v>PRG-1020917</v>
      </c>
      <c r="E2921" t="s">
        <v>120</v>
      </c>
      <c r="F2921" t="s">
        <v>4</v>
      </c>
      <c r="G2921" t="str">
        <f>""</f>
        <v/>
      </c>
    </row>
    <row r="2922" spans="1:7" x14ac:dyDescent="0.25">
      <c r="A2922" t="s">
        <v>8</v>
      </c>
      <c r="B2922" s="1" t="str">
        <f>"000296883 - RICH FOODS-FOODBUY"</f>
        <v>000296883 - RICH FOODS-FOODBUY</v>
      </c>
      <c r="C2922" t="s">
        <v>237</v>
      </c>
      <c r="D2922" s="1" t="str">
        <f t="shared" si="83"/>
        <v>PRG-1020917</v>
      </c>
      <c r="E2922" t="s">
        <v>120</v>
      </c>
      <c r="F2922" t="s">
        <v>4</v>
      </c>
      <c r="G2922" t="str">
        <f>""</f>
        <v/>
      </c>
    </row>
    <row r="2923" spans="1:7" x14ac:dyDescent="0.25">
      <c r="A2923" t="s">
        <v>8</v>
      </c>
      <c r="B2923" s="1" t="str">
        <f>"000296973 - RICH PRODUCTS-FOODBUY"</f>
        <v>000296973 - RICH PRODUCTS-FOODBUY</v>
      </c>
      <c r="C2923" t="s">
        <v>342</v>
      </c>
      <c r="D2923" s="1" t="str">
        <f t="shared" si="83"/>
        <v>PRG-1020917</v>
      </c>
      <c r="E2923" t="s">
        <v>120</v>
      </c>
      <c r="F2923" t="s">
        <v>4</v>
      </c>
      <c r="G2923" t="str">
        <f>""</f>
        <v/>
      </c>
    </row>
    <row r="2924" spans="1:7" x14ac:dyDescent="0.25">
      <c r="A2924" t="s">
        <v>8</v>
      </c>
      <c r="B2924" s="1" t="str">
        <f>"000297180 - RICH PRODUCTS-FOODBUY"</f>
        <v>000297180 - RICH PRODUCTS-FOODBUY</v>
      </c>
      <c r="C2924" t="s">
        <v>342</v>
      </c>
      <c r="D2924" s="1" t="str">
        <f t="shared" si="83"/>
        <v>PRG-1020917</v>
      </c>
      <c r="E2924" t="s">
        <v>120</v>
      </c>
      <c r="F2924" t="s">
        <v>4</v>
      </c>
      <c r="G2924" t="str">
        <f>""</f>
        <v/>
      </c>
    </row>
    <row r="2925" spans="1:7" x14ac:dyDescent="0.25">
      <c r="A2925" t="s">
        <v>8</v>
      </c>
      <c r="B2925" s="1" t="str">
        <f>"000297727 - RICH FOODS BB-FOODBUY"</f>
        <v>000297727 - RICH FOODS BB-FOODBUY</v>
      </c>
      <c r="C2925" t="s">
        <v>209</v>
      </c>
      <c r="D2925" s="1" t="str">
        <f t="shared" si="83"/>
        <v>PRG-1020917</v>
      </c>
      <c r="E2925" t="s">
        <v>120</v>
      </c>
      <c r="F2925" t="s">
        <v>4</v>
      </c>
      <c r="G2925" t="str">
        <f>""</f>
        <v/>
      </c>
    </row>
    <row r="2926" spans="1:7" x14ac:dyDescent="0.25">
      <c r="A2926" t="s">
        <v>8</v>
      </c>
      <c r="B2926" s="1" t="str">
        <f>"000298240 - RICH PROD FDBY CSM HUCKLEBERRY"</f>
        <v>000298240 - RICH PROD FDBY CSM HUCKLEBERRY</v>
      </c>
      <c r="C2926" t="s">
        <v>2933</v>
      </c>
      <c r="D2926" s="1" t="str">
        <f t="shared" si="83"/>
        <v>PRG-1020917</v>
      </c>
      <c r="E2926" t="s">
        <v>120</v>
      </c>
      <c r="F2926" t="s">
        <v>4</v>
      </c>
      <c r="G2926" t="str">
        <f>""</f>
        <v/>
      </c>
    </row>
    <row r="2927" spans="1:7" x14ac:dyDescent="0.25">
      <c r="A2927" t="s">
        <v>8</v>
      </c>
      <c r="B2927" s="1" t="str">
        <f>"000298346 - RICH FOODS BB-FOODBUY"</f>
        <v>000298346 - RICH FOODS BB-FOODBUY</v>
      </c>
      <c r="C2927" t="s">
        <v>209</v>
      </c>
      <c r="D2927" s="1" t="str">
        <f t="shared" si="83"/>
        <v>PRG-1020917</v>
      </c>
      <c r="E2927" t="s">
        <v>120</v>
      </c>
      <c r="F2927" t="s">
        <v>4</v>
      </c>
      <c r="G2927" t="str">
        <f>""</f>
        <v/>
      </c>
    </row>
    <row r="2928" spans="1:7" x14ac:dyDescent="0.25">
      <c r="A2928" t="s">
        <v>8</v>
      </c>
      <c r="B2928" s="1" t="str">
        <f>"000298920 - RICH FOODS-FOODBUY"</f>
        <v>000298920 - RICH FOODS-FOODBUY</v>
      </c>
      <c r="C2928" t="s">
        <v>237</v>
      </c>
      <c r="D2928" s="1" t="str">
        <f t="shared" si="83"/>
        <v>PRG-1020917</v>
      </c>
      <c r="E2928" t="s">
        <v>120</v>
      </c>
      <c r="F2928" t="s">
        <v>4</v>
      </c>
      <c r="G2928" t="str">
        <f>""</f>
        <v/>
      </c>
    </row>
    <row r="2929" spans="1:7" x14ac:dyDescent="0.25">
      <c r="A2929" t="s">
        <v>8</v>
      </c>
      <c r="B2929" s="1" t="str">
        <f>"000299480 - RICH PRODUCTS-FOODBUY"</f>
        <v>000299480 - RICH PRODUCTS-FOODBUY</v>
      </c>
      <c r="C2929" t="s">
        <v>342</v>
      </c>
      <c r="D2929" s="1" t="str">
        <f t="shared" si="83"/>
        <v>PRG-1020917</v>
      </c>
      <c r="E2929" t="s">
        <v>120</v>
      </c>
      <c r="F2929" t="s">
        <v>4</v>
      </c>
      <c r="G2929" t="str">
        <f>""</f>
        <v/>
      </c>
    </row>
    <row r="2930" spans="1:7" x14ac:dyDescent="0.25">
      <c r="A2930" t="s">
        <v>8</v>
      </c>
      <c r="B2930" s="1" t="str">
        <f>"000300312 - RICH PRODUCTS-FOODBUY"</f>
        <v>000300312 - RICH PRODUCTS-FOODBUY</v>
      </c>
      <c r="C2930" t="s">
        <v>342</v>
      </c>
      <c r="D2930" s="1" t="str">
        <f t="shared" si="83"/>
        <v>PRG-1020917</v>
      </c>
      <c r="E2930" t="s">
        <v>120</v>
      </c>
      <c r="F2930" t="s">
        <v>4</v>
      </c>
      <c r="G2930" t="str">
        <f>""</f>
        <v/>
      </c>
    </row>
    <row r="2931" spans="1:7" x14ac:dyDescent="0.25">
      <c r="A2931" t="s">
        <v>8</v>
      </c>
      <c r="B2931" s="1" t="str">
        <f>"000300390 - RICH FOODS BB-FOODBUY"</f>
        <v>000300390 - RICH FOODS BB-FOODBUY</v>
      </c>
      <c r="C2931" t="s">
        <v>209</v>
      </c>
      <c r="D2931" s="1" t="str">
        <f t="shared" si="83"/>
        <v>PRG-1020917</v>
      </c>
      <c r="E2931" t="s">
        <v>120</v>
      </c>
      <c r="F2931" t="s">
        <v>4</v>
      </c>
      <c r="G2931" t="str">
        <f>""</f>
        <v/>
      </c>
    </row>
    <row r="2932" spans="1:7" x14ac:dyDescent="0.25">
      <c r="A2932" t="s">
        <v>8</v>
      </c>
      <c r="B2932" s="1" t="str">
        <f>"000301213 - RICH FOODS BB-FOODBUY"</f>
        <v>000301213 - RICH FOODS BB-FOODBUY</v>
      </c>
      <c r="C2932" t="s">
        <v>209</v>
      </c>
      <c r="D2932" s="1" t="str">
        <f t="shared" si="83"/>
        <v>PRG-1020917</v>
      </c>
      <c r="E2932" t="s">
        <v>120</v>
      </c>
      <c r="F2932" t="s">
        <v>4</v>
      </c>
      <c r="G2932" t="str">
        <f>""</f>
        <v/>
      </c>
    </row>
    <row r="2933" spans="1:7" x14ac:dyDescent="0.25">
      <c r="A2933" t="s">
        <v>8</v>
      </c>
      <c r="B2933" s="1" t="str">
        <f>"000301590 - RICH PRODUCTS-FOODBUY"</f>
        <v>000301590 - RICH PRODUCTS-FOODBUY</v>
      </c>
      <c r="C2933" t="s">
        <v>342</v>
      </c>
      <c r="D2933" s="1" t="str">
        <f t="shared" si="83"/>
        <v>PRG-1020917</v>
      </c>
      <c r="E2933" t="s">
        <v>120</v>
      </c>
      <c r="F2933" t="s">
        <v>4</v>
      </c>
      <c r="G2933" t="str">
        <f>""</f>
        <v/>
      </c>
    </row>
    <row r="2934" spans="1:7" x14ac:dyDescent="0.25">
      <c r="A2934" t="s">
        <v>8</v>
      </c>
      <c r="B2934" s="1" t="str">
        <f>"000302139 - RICH FOODS BB-FOODBUY"</f>
        <v>000302139 - RICH FOODS BB-FOODBUY</v>
      </c>
      <c r="C2934" t="s">
        <v>209</v>
      </c>
      <c r="D2934" s="1" t="str">
        <f t="shared" si="83"/>
        <v>PRG-1020917</v>
      </c>
      <c r="E2934" t="s">
        <v>120</v>
      </c>
      <c r="F2934" t="s">
        <v>4</v>
      </c>
      <c r="G2934" t="str">
        <f>""</f>
        <v/>
      </c>
    </row>
    <row r="2935" spans="1:7" x14ac:dyDescent="0.25">
      <c r="A2935" t="s">
        <v>8</v>
      </c>
      <c r="B2935" s="1" t="str">
        <f>"000302447 - RICH PRODUCTS-FOODBUY"</f>
        <v>000302447 - RICH PRODUCTS-FOODBUY</v>
      </c>
      <c r="C2935" t="s">
        <v>342</v>
      </c>
      <c r="D2935" s="1" t="str">
        <f t="shared" si="83"/>
        <v>PRG-1020917</v>
      </c>
      <c r="E2935" t="s">
        <v>120</v>
      </c>
      <c r="F2935" t="s">
        <v>4</v>
      </c>
      <c r="G2935" t="str">
        <f>""</f>
        <v/>
      </c>
    </row>
    <row r="2936" spans="1:7" x14ac:dyDescent="0.25">
      <c r="A2936" t="s">
        <v>8</v>
      </c>
      <c r="B2936" s="1" t="str">
        <f>"000303282 - RICH FOODS BB-FOODBUY"</f>
        <v>000303282 - RICH FOODS BB-FOODBUY</v>
      </c>
      <c r="C2936" t="s">
        <v>209</v>
      </c>
      <c r="D2936" s="1" t="str">
        <f t="shared" ref="D2936:D2995" si="84">"PRG-1020917"</f>
        <v>PRG-1020917</v>
      </c>
      <c r="E2936" t="s">
        <v>120</v>
      </c>
      <c r="F2936" t="s">
        <v>4</v>
      </c>
      <c r="G2936" t="str">
        <f>""</f>
        <v/>
      </c>
    </row>
    <row r="2937" spans="1:7" x14ac:dyDescent="0.25">
      <c r="A2937" t="s">
        <v>8</v>
      </c>
      <c r="B2937" s="1" t="str">
        <f>"000303408 - RICH PRODUCTS-FOODBUY"</f>
        <v>000303408 - RICH PRODUCTS-FOODBUY</v>
      </c>
      <c r="C2937" t="s">
        <v>342</v>
      </c>
      <c r="D2937" s="1" t="str">
        <f t="shared" si="84"/>
        <v>PRG-1020917</v>
      </c>
      <c r="E2937" t="s">
        <v>120</v>
      </c>
      <c r="F2937" t="s">
        <v>4</v>
      </c>
      <c r="G2937" t="str">
        <f>""</f>
        <v/>
      </c>
    </row>
    <row r="2938" spans="1:7" x14ac:dyDescent="0.25">
      <c r="A2938" t="s">
        <v>8</v>
      </c>
      <c r="B2938" s="1" t="str">
        <f>"000304019 - RICH FOODS BB-FOODBUY"</f>
        <v>000304019 - RICH FOODS BB-FOODBUY</v>
      </c>
      <c r="C2938" t="s">
        <v>209</v>
      </c>
      <c r="D2938" s="1" t="str">
        <f t="shared" si="84"/>
        <v>PRG-1020917</v>
      </c>
      <c r="E2938" t="s">
        <v>120</v>
      </c>
      <c r="F2938" t="s">
        <v>4</v>
      </c>
      <c r="G2938" t="str">
        <f>""</f>
        <v/>
      </c>
    </row>
    <row r="2939" spans="1:7" x14ac:dyDescent="0.25">
      <c r="A2939" t="s">
        <v>8</v>
      </c>
      <c r="B2939" s="1" t="str">
        <f>"000304110 - RICH FOODS-FOODBUY"</f>
        <v>000304110 - RICH FOODS-FOODBUY</v>
      </c>
      <c r="C2939" t="s">
        <v>237</v>
      </c>
      <c r="D2939" s="1" t="str">
        <f t="shared" si="84"/>
        <v>PRG-1020917</v>
      </c>
      <c r="E2939" t="s">
        <v>120</v>
      </c>
      <c r="F2939" t="s">
        <v>4</v>
      </c>
      <c r="G2939" t="str">
        <f>""</f>
        <v/>
      </c>
    </row>
    <row r="2940" spans="1:7" x14ac:dyDescent="0.25">
      <c r="A2940" t="s">
        <v>8</v>
      </c>
      <c r="B2940" s="1" t="str">
        <f>"000304121 - RICH FOODS BB-FOODBUY"</f>
        <v>000304121 - RICH FOODS BB-FOODBUY</v>
      </c>
      <c r="C2940" t="s">
        <v>209</v>
      </c>
      <c r="D2940" s="1" t="str">
        <f t="shared" si="84"/>
        <v>PRG-1020917</v>
      </c>
      <c r="E2940" t="s">
        <v>120</v>
      </c>
      <c r="F2940" t="s">
        <v>4</v>
      </c>
      <c r="G2940" t="str">
        <f>""</f>
        <v/>
      </c>
    </row>
    <row r="2941" spans="1:7" x14ac:dyDescent="0.25">
      <c r="A2941" t="s">
        <v>8</v>
      </c>
      <c r="B2941" s="1" t="str">
        <f>"000304701 - RICH FOODS BB-FOODBUY"</f>
        <v>000304701 - RICH FOODS BB-FOODBUY</v>
      </c>
      <c r="C2941" t="s">
        <v>209</v>
      </c>
      <c r="D2941" s="1" t="str">
        <f t="shared" si="84"/>
        <v>PRG-1020917</v>
      </c>
      <c r="E2941" t="s">
        <v>120</v>
      </c>
      <c r="F2941" t="s">
        <v>4</v>
      </c>
      <c r="G2941" t="str">
        <f>""</f>
        <v/>
      </c>
    </row>
    <row r="2942" spans="1:7" x14ac:dyDescent="0.25">
      <c r="A2942" t="s">
        <v>8</v>
      </c>
      <c r="B2942" s="1" t="str">
        <f>"000307684 - RICH PRODUCTS-FOODBUY"</f>
        <v>000307684 - RICH PRODUCTS-FOODBUY</v>
      </c>
      <c r="C2942" t="s">
        <v>342</v>
      </c>
      <c r="D2942" s="1" t="str">
        <f t="shared" si="84"/>
        <v>PRG-1020917</v>
      </c>
      <c r="E2942" t="s">
        <v>120</v>
      </c>
      <c r="F2942" t="s">
        <v>4</v>
      </c>
      <c r="G2942" t="str">
        <f>""</f>
        <v/>
      </c>
    </row>
    <row r="2943" spans="1:7" x14ac:dyDescent="0.25">
      <c r="A2943" t="s">
        <v>8</v>
      </c>
      <c r="B2943" s="1" t="str">
        <f>"000309557 - RICH FOODS-FOODBUY"</f>
        <v>000309557 - RICH FOODS-FOODBUY</v>
      </c>
      <c r="C2943" t="s">
        <v>237</v>
      </c>
      <c r="D2943" s="1" t="str">
        <f t="shared" si="84"/>
        <v>PRG-1020917</v>
      </c>
      <c r="E2943" t="s">
        <v>120</v>
      </c>
      <c r="F2943" t="s">
        <v>4</v>
      </c>
      <c r="G2943" t="str">
        <f>""</f>
        <v/>
      </c>
    </row>
    <row r="2944" spans="1:7" x14ac:dyDescent="0.25">
      <c r="A2944" t="s">
        <v>8</v>
      </c>
      <c r="B2944" s="1" t="str">
        <f>"000309942 - RICH PRODUCTS-FOODBUY"</f>
        <v>000309942 - RICH PRODUCTS-FOODBUY</v>
      </c>
      <c r="C2944" t="s">
        <v>342</v>
      </c>
      <c r="D2944" s="1" t="str">
        <f t="shared" si="84"/>
        <v>PRG-1020917</v>
      </c>
      <c r="E2944" t="s">
        <v>120</v>
      </c>
      <c r="F2944" t="s">
        <v>4</v>
      </c>
      <c r="G2944" t="str">
        <f>""</f>
        <v/>
      </c>
    </row>
    <row r="2945" spans="1:7" x14ac:dyDescent="0.25">
      <c r="A2945" t="s">
        <v>8</v>
      </c>
      <c r="B2945" s="1" t="str">
        <f>"000310988 - RICH FOODS BB-FOODBUY"</f>
        <v>000310988 - RICH FOODS BB-FOODBUY</v>
      </c>
      <c r="C2945" t="s">
        <v>209</v>
      </c>
      <c r="D2945" s="1" t="str">
        <f t="shared" si="84"/>
        <v>PRG-1020917</v>
      </c>
      <c r="E2945" t="s">
        <v>120</v>
      </c>
      <c r="F2945" t="s">
        <v>4</v>
      </c>
      <c r="G2945" t="str">
        <f>""</f>
        <v/>
      </c>
    </row>
    <row r="2946" spans="1:7" x14ac:dyDescent="0.25">
      <c r="A2946" t="s">
        <v>8</v>
      </c>
      <c r="B2946" s="1" t="str">
        <f>"000311548 - RICHS FOODS BB-FOODBUY"</f>
        <v>000311548 - RICHS FOODS BB-FOODBUY</v>
      </c>
      <c r="C2946" t="s">
        <v>393</v>
      </c>
      <c r="D2946" s="1" t="str">
        <f t="shared" si="84"/>
        <v>PRG-1020917</v>
      </c>
      <c r="E2946" t="s">
        <v>120</v>
      </c>
      <c r="F2946" t="s">
        <v>4</v>
      </c>
      <c r="G2946" t="str">
        <f>""</f>
        <v/>
      </c>
    </row>
    <row r="2947" spans="1:7" x14ac:dyDescent="0.25">
      <c r="A2947" t="s">
        <v>8</v>
      </c>
      <c r="B2947" s="1" t="str">
        <f>"000311862 - RICH FOODS BB-FOODBUY"</f>
        <v>000311862 - RICH FOODS BB-FOODBUY</v>
      </c>
      <c r="C2947" t="s">
        <v>209</v>
      </c>
      <c r="D2947" s="1" t="str">
        <f t="shared" si="84"/>
        <v>PRG-1020917</v>
      </c>
      <c r="E2947" t="s">
        <v>120</v>
      </c>
      <c r="F2947" t="s">
        <v>4</v>
      </c>
      <c r="G2947" t="str">
        <f>""</f>
        <v/>
      </c>
    </row>
    <row r="2948" spans="1:7" x14ac:dyDescent="0.25">
      <c r="A2948" t="s">
        <v>8</v>
      </c>
      <c r="B2948" s="1" t="str">
        <f>"000312122 - RICH FOODS-FOODBUY"</f>
        <v>000312122 - RICH FOODS-FOODBUY</v>
      </c>
      <c r="C2948" t="s">
        <v>237</v>
      </c>
      <c r="D2948" s="1" t="str">
        <f t="shared" si="84"/>
        <v>PRG-1020917</v>
      </c>
      <c r="E2948" t="s">
        <v>120</v>
      </c>
      <c r="F2948" t="s">
        <v>4</v>
      </c>
      <c r="G2948" t="str">
        <f>""</f>
        <v/>
      </c>
    </row>
    <row r="2949" spans="1:7" x14ac:dyDescent="0.25">
      <c r="A2949" t="s">
        <v>8</v>
      </c>
      <c r="B2949" s="1" t="str">
        <f>"000312206 - RICH PRODUCTS-FOODBUY"</f>
        <v>000312206 - RICH PRODUCTS-FOODBUY</v>
      </c>
      <c r="C2949" t="s">
        <v>342</v>
      </c>
      <c r="D2949" s="1" t="str">
        <f t="shared" si="84"/>
        <v>PRG-1020917</v>
      </c>
      <c r="E2949" t="s">
        <v>120</v>
      </c>
      <c r="F2949" t="s">
        <v>4</v>
      </c>
      <c r="G2949" t="str">
        <f>""</f>
        <v/>
      </c>
    </row>
    <row r="2950" spans="1:7" x14ac:dyDescent="0.25">
      <c r="A2950" t="s">
        <v>8</v>
      </c>
      <c r="B2950" s="1" t="str">
        <f>"000314083 - Rich Foods-Foodbuy"</f>
        <v>000314083 - Rich Foods-Foodbuy</v>
      </c>
      <c r="C2950" t="s">
        <v>757</v>
      </c>
      <c r="D2950" s="1" t="str">
        <f t="shared" si="84"/>
        <v>PRG-1020917</v>
      </c>
      <c r="E2950" t="s">
        <v>120</v>
      </c>
      <c r="F2950" t="s">
        <v>4</v>
      </c>
      <c r="G2950" t="str">
        <f>""</f>
        <v/>
      </c>
    </row>
    <row r="2951" spans="1:7" x14ac:dyDescent="0.25">
      <c r="A2951" t="s">
        <v>8</v>
      </c>
      <c r="B2951" s="1" t="str">
        <f>"000314149 - RICH PRODUCTS-FOODBUY"</f>
        <v>000314149 - RICH PRODUCTS-FOODBUY</v>
      </c>
      <c r="C2951" t="s">
        <v>342</v>
      </c>
      <c r="D2951" s="1" t="str">
        <f t="shared" si="84"/>
        <v>PRG-1020917</v>
      </c>
      <c r="E2951" t="s">
        <v>120</v>
      </c>
      <c r="F2951" t="s">
        <v>4</v>
      </c>
      <c r="G2951" t="str">
        <f>""</f>
        <v/>
      </c>
    </row>
    <row r="2952" spans="1:7" x14ac:dyDescent="0.25">
      <c r="A2952" t="s">
        <v>8</v>
      </c>
      <c r="B2952" s="1" t="str">
        <f>"000314940 - RICH FOODS BB-FOODBUY"</f>
        <v>000314940 - RICH FOODS BB-FOODBUY</v>
      </c>
      <c r="C2952" t="s">
        <v>209</v>
      </c>
      <c r="D2952" s="1" t="str">
        <f t="shared" si="84"/>
        <v>PRG-1020917</v>
      </c>
      <c r="E2952" t="s">
        <v>120</v>
      </c>
      <c r="F2952" t="s">
        <v>4</v>
      </c>
      <c r="G2952" t="str">
        <f>""</f>
        <v/>
      </c>
    </row>
    <row r="2953" spans="1:7" x14ac:dyDescent="0.25">
      <c r="A2953" t="s">
        <v>8</v>
      </c>
      <c r="B2953" s="1" t="str">
        <f>"000315339 - RICH PRODUCTS-FOODBUY"</f>
        <v>000315339 - RICH PRODUCTS-FOODBUY</v>
      </c>
      <c r="C2953" t="s">
        <v>342</v>
      </c>
      <c r="D2953" s="1" t="str">
        <f t="shared" si="84"/>
        <v>PRG-1020917</v>
      </c>
      <c r="E2953" t="s">
        <v>120</v>
      </c>
      <c r="F2953" t="s">
        <v>4</v>
      </c>
      <c r="G2953" t="str">
        <f>""</f>
        <v/>
      </c>
    </row>
    <row r="2954" spans="1:7" x14ac:dyDescent="0.25">
      <c r="A2954" t="s">
        <v>8</v>
      </c>
      <c r="B2954" s="1" t="str">
        <f>"000315697 - RICH FOODS BB-FOODBUY"</f>
        <v>000315697 - RICH FOODS BB-FOODBUY</v>
      </c>
      <c r="C2954" t="s">
        <v>209</v>
      </c>
      <c r="D2954" s="1" t="str">
        <f t="shared" si="84"/>
        <v>PRG-1020917</v>
      </c>
      <c r="E2954" t="s">
        <v>120</v>
      </c>
      <c r="F2954" t="s">
        <v>4</v>
      </c>
      <c r="G2954" t="str">
        <f>""</f>
        <v/>
      </c>
    </row>
    <row r="2955" spans="1:7" x14ac:dyDescent="0.25">
      <c r="A2955" t="s">
        <v>8</v>
      </c>
      <c r="B2955" s="1" t="str">
        <f>"000317252 - RICH PRODUCTS-FOODBUY"</f>
        <v>000317252 - RICH PRODUCTS-FOODBUY</v>
      </c>
      <c r="C2955" t="s">
        <v>342</v>
      </c>
      <c r="D2955" s="1" t="str">
        <f t="shared" si="84"/>
        <v>PRG-1020917</v>
      </c>
      <c r="E2955" t="s">
        <v>120</v>
      </c>
      <c r="F2955" t="s">
        <v>4</v>
      </c>
      <c r="G2955" t="str">
        <f>""</f>
        <v/>
      </c>
    </row>
    <row r="2956" spans="1:7" x14ac:dyDescent="0.25">
      <c r="A2956" t="s">
        <v>8</v>
      </c>
      <c r="B2956" s="1" t="str">
        <f>"000317978 - RICH FOODS BB-FOODBUY"</f>
        <v>000317978 - RICH FOODS BB-FOODBUY</v>
      </c>
      <c r="C2956" t="s">
        <v>209</v>
      </c>
      <c r="D2956" s="1" t="str">
        <f t="shared" si="84"/>
        <v>PRG-1020917</v>
      </c>
      <c r="E2956" t="s">
        <v>120</v>
      </c>
      <c r="F2956" t="s">
        <v>4</v>
      </c>
      <c r="G2956" t="str">
        <f>""</f>
        <v/>
      </c>
    </row>
    <row r="2957" spans="1:7" x14ac:dyDescent="0.25">
      <c r="A2957" t="s">
        <v>8</v>
      </c>
      <c r="B2957" s="1" t="str">
        <f>"000318717 - RICH FOODS BB-FOODBUY"</f>
        <v>000318717 - RICH FOODS BB-FOODBUY</v>
      </c>
      <c r="C2957" t="s">
        <v>209</v>
      </c>
      <c r="D2957" s="1" t="str">
        <f t="shared" si="84"/>
        <v>PRG-1020917</v>
      </c>
      <c r="E2957" t="s">
        <v>120</v>
      </c>
      <c r="F2957" t="s">
        <v>4</v>
      </c>
      <c r="G2957" t="str">
        <f>""</f>
        <v/>
      </c>
    </row>
    <row r="2958" spans="1:7" x14ac:dyDescent="0.25">
      <c r="A2958" t="s">
        <v>8</v>
      </c>
      <c r="B2958" s="1" t="str">
        <f>"000318731 - RICH FOODS BB-FOODBUY GAP"</f>
        <v>000318731 - RICH FOODS BB-FOODBUY GAP</v>
      </c>
      <c r="C2958" t="s">
        <v>3219</v>
      </c>
      <c r="D2958" s="1" t="str">
        <f t="shared" si="84"/>
        <v>PRG-1020917</v>
      </c>
      <c r="E2958" t="s">
        <v>120</v>
      </c>
      <c r="F2958" t="s">
        <v>4</v>
      </c>
      <c r="G2958" t="str">
        <f>""</f>
        <v/>
      </c>
    </row>
    <row r="2959" spans="1:7" x14ac:dyDescent="0.25">
      <c r="A2959" t="s">
        <v>8</v>
      </c>
      <c r="B2959" s="1" t="str">
        <f>"000322184 - RICH FOODS-FOODBUY"</f>
        <v>000322184 - RICH FOODS-FOODBUY</v>
      </c>
      <c r="C2959" t="s">
        <v>237</v>
      </c>
      <c r="D2959" s="1" t="str">
        <f t="shared" si="84"/>
        <v>PRG-1020917</v>
      </c>
      <c r="E2959" t="s">
        <v>120</v>
      </c>
      <c r="F2959" t="s">
        <v>4</v>
      </c>
      <c r="G2959" t="str">
        <f>""</f>
        <v/>
      </c>
    </row>
    <row r="2960" spans="1:7" x14ac:dyDescent="0.25">
      <c r="A2960" t="s">
        <v>8</v>
      </c>
      <c r="B2960" s="1" t="str">
        <f>"000325577 - RICH PRODUCTS-FOODBUY"</f>
        <v>000325577 - RICH PRODUCTS-FOODBUY</v>
      </c>
      <c r="C2960" t="s">
        <v>342</v>
      </c>
      <c r="D2960" s="1" t="str">
        <f t="shared" si="84"/>
        <v>PRG-1020917</v>
      </c>
      <c r="E2960" t="s">
        <v>120</v>
      </c>
      <c r="F2960" t="s">
        <v>4</v>
      </c>
      <c r="G2960" t="str">
        <f>""</f>
        <v/>
      </c>
    </row>
    <row r="2961" spans="1:7" x14ac:dyDescent="0.25">
      <c r="A2961" t="s">
        <v>8</v>
      </c>
      <c r="B2961" s="1" t="str">
        <f>"000327759 - RICH PRODUCTS-FOODBUY"</f>
        <v>000327759 - RICH PRODUCTS-FOODBUY</v>
      </c>
      <c r="C2961" t="s">
        <v>342</v>
      </c>
      <c r="D2961" s="1" t="str">
        <f t="shared" si="84"/>
        <v>PRG-1020917</v>
      </c>
      <c r="E2961" t="s">
        <v>120</v>
      </c>
      <c r="F2961" t="s">
        <v>4</v>
      </c>
      <c r="G2961" t="str">
        <f>""</f>
        <v/>
      </c>
    </row>
    <row r="2962" spans="1:7" x14ac:dyDescent="0.25">
      <c r="A2962" t="s">
        <v>8</v>
      </c>
      <c r="B2962" s="1" t="str">
        <f>"000328620 - RICH FOODS BB-FOODBUY"</f>
        <v>000328620 - RICH FOODS BB-FOODBUY</v>
      </c>
      <c r="C2962" t="s">
        <v>209</v>
      </c>
      <c r="D2962" s="1" t="str">
        <f t="shared" si="84"/>
        <v>PRG-1020917</v>
      </c>
      <c r="E2962" t="s">
        <v>120</v>
      </c>
      <c r="F2962" t="s">
        <v>4</v>
      </c>
      <c r="G2962" t="str">
        <f>""</f>
        <v/>
      </c>
    </row>
    <row r="2963" spans="1:7" x14ac:dyDescent="0.25">
      <c r="A2963" t="s">
        <v>8</v>
      </c>
      <c r="B2963" s="1" t="str">
        <f>"000328707 - RICH FOODS TOSSED FDBY"</f>
        <v>000328707 - RICH FOODS TOSSED FDBY</v>
      </c>
      <c r="C2963" t="s">
        <v>3327</v>
      </c>
      <c r="D2963" s="1" t="str">
        <f t="shared" si="84"/>
        <v>PRG-1020917</v>
      </c>
      <c r="E2963" t="s">
        <v>120</v>
      </c>
      <c r="F2963" t="s">
        <v>4</v>
      </c>
      <c r="G2963" t="str">
        <f>""</f>
        <v/>
      </c>
    </row>
    <row r="2964" spans="1:7" x14ac:dyDescent="0.25">
      <c r="A2964" t="s">
        <v>8</v>
      </c>
      <c r="B2964" s="1" t="str">
        <f>"000329378 - RICH FOODS BB-FOODBUY"</f>
        <v>000329378 - RICH FOODS BB-FOODBUY</v>
      </c>
      <c r="C2964" t="s">
        <v>209</v>
      </c>
      <c r="D2964" s="1" t="str">
        <f t="shared" si="84"/>
        <v>PRG-1020917</v>
      </c>
      <c r="E2964" t="s">
        <v>120</v>
      </c>
      <c r="F2964" t="s">
        <v>4</v>
      </c>
      <c r="G2964" t="str">
        <f>""</f>
        <v/>
      </c>
    </row>
    <row r="2965" spans="1:7" x14ac:dyDescent="0.25">
      <c r="A2965" t="s">
        <v>8</v>
      </c>
      <c r="B2965" s="1" t="str">
        <f>"000330406 - RICH FDS BB(DPMRETRO)-FOODBUY"</f>
        <v>000330406 - RICH FDS BB(DPMRETRO)-FOODBUY</v>
      </c>
      <c r="C2965" t="s">
        <v>939</v>
      </c>
      <c r="D2965" s="1" t="str">
        <f t="shared" si="84"/>
        <v>PRG-1020917</v>
      </c>
      <c r="E2965" t="s">
        <v>120</v>
      </c>
      <c r="F2965" t="s">
        <v>4</v>
      </c>
      <c r="G2965" t="str">
        <f>""</f>
        <v/>
      </c>
    </row>
    <row r="2966" spans="1:7" x14ac:dyDescent="0.25">
      <c r="A2966" t="s">
        <v>8</v>
      </c>
      <c r="B2966" s="1" t="str">
        <f>"000337353 - RICH FOODS-FOODBUY"</f>
        <v>000337353 - RICH FOODS-FOODBUY</v>
      </c>
      <c r="C2966" t="s">
        <v>237</v>
      </c>
      <c r="D2966" s="1" t="str">
        <f t="shared" si="84"/>
        <v>PRG-1020917</v>
      </c>
      <c r="E2966" t="s">
        <v>120</v>
      </c>
      <c r="F2966" t="s">
        <v>4</v>
      </c>
      <c r="G2966" t="str">
        <f>""</f>
        <v/>
      </c>
    </row>
    <row r="2967" spans="1:7" x14ac:dyDescent="0.25">
      <c r="A2967" t="s">
        <v>8</v>
      </c>
      <c r="B2967" s="1" t="str">
        <f>"000337389 - XRICH FOODS HILLSTONE-FDBY"</f>
        <v>000337389 - XRICH FOODS HILLSTONE-FDBY</v>
      </c>
      <c r="C2967" t="s">
        <v>3416</v>
      </c>
      <c r="D2967" s="1" t="str">
        <f t="shared" si="84"/>
        <v>PRG-1020917</v>
      </c>
      <c r="E2967" t="s">
        <v>120</v>
      </c>
      <c r="F2967" t="s">
        <v>4</v>
      </c>
      <c r="G2967" t="str">
        <f>""</f>
        <v/>
      </c>
    </row>
    <row r="2968" spans="1:7" x14ac:dyDescent="0.25">
      <c r="A2968" t="s">
        <v>8</v>
      </c>
      <c r="B2968" s="1" t="str">
        <f>"000337404 - RICH FOODS-TOSSED-FDBY"</f>
        <v>000337404 - RICH FOODS-TOSSED-FDBY</v>
      </c>
      <c r="C2968" t="s">
        <v>3418</v>
      </c>
      <c r="D2968" s="1" t="str">
        <f t="shared" si="84"/>
        <v>PRG-1020917</v>
      </c>
      <c r="E2968" t="s">
        <v>120</v>
      </c>
      <c r="F2968" t="s">
        <v>4</v>
      </c>
      <c r="G2968" t="str">
        <f>""</f>
        <v/>
      </c>
    </row>
    <row r="2969" spans="1:7" x14ac:dyDescent="0.25">
      <c r="A2969" t="s">
        <v>8</v>
      </c>
      <c r="B2969" s="1" t="str">
        <f>"000340797 - RICH PRODUCTS-FOODBUY"</f>
        <v>000340797 - RICH PRODUCTS-FOODBUY</v>
      </c>
      <c r="C2969" t="s">
        <v>342</v>
      </c>
      <c r="D2969" s="1" t="str">
        <f t="shared" si="84"/>
        <v>PRG-1020917</v>
      </c>
      <c r="E2969" t="s">
        <v>120</v>
      </c>
      <c r="F2969" t="s">
        <v>4</v>
      </c>
      <c r="G2969" t="str">
        <f>""</f>
        <v/>
      </c>
    </row>
    <row r="2970" spans="1:7" x14ac:dyDescent="0.25">
      <c r="A2970" t="s">
        <v>8</v>
      </c>
      <c r="B2970" s="1" t="str">
        <f>"000341248 - XRICH PRODUCTS-FOODBUY"</f>
        <v>000341248 - XRICH PRODUCTS-FOODBUY</v>
      </c>
      <c r="C2970" t="s">
        <v>3437</v>
      </c>
      <c r="D2970" s="1" t="str">
        <f t="shared" si="84"/>
        <v>PRG-1020917</v>
      </c>
      <c r="E2970" t="s">
        <v>120</v>
      </c>
      <c r="F2970" t="s">
        <v>4</v>
      </c>
      <c r="G2970" t="str">
        <f>""</f>
        <v/>
      </c>
    </row>
    <row r="2971" spans="1:7" x14ac:dyDescent="0.25">
      <c r="A2971" t="s">
        <v>8</v>
      </c>
      <c r="B2971" s="1" t="str">
        <f>"000342639 - XRICH PRODUCTS CRO-FDBY"</f>
        <v>000342639 - XRICH PRODUCTS CRO-FDBY</v>
      </c>
      <c r="C2971" t="s">
        <v>3441</v>
      </c>
      <c r="D2971" s="1" t="str">
        <f t="shared" si="84"/>
        <v>PRG-1020917</v>
      </c>
      <c r="E2971" t="s">
        <v>120</v>
      </c>
      <c r="F2971" t="s">
        <v>4</v>
      </c>
      <c r="G2971" t="str">
        <f>""</f>
        <v/>
      </c>
    </row>
    <row r="2972" spans="1:7" x14ac:dyDescent="0.25">
      <c r="A2972" t="s">
        <v>8</v>
      </c>
      <c r="B2972" s="1" t="str">
        <f>"000342967 - RICH PRODUCTS-FOODBUY"</f>
        <v>000342967 - RICH PRODUCTS-FOODBUY</v>
      </c>
      <c r="C2972" t="s">
        <v>342</v>
      </c>
      <c r="D2972" s="1" t="str">
        <f t="shared" si="84"/>
        <v>PRG-1020917</v>
      </c>
      <c r="E2972" t="s">
        <v>120</v>
      </c>
      <c r="F2972" t="s">
        <v>4</v>
      </c>
      <c r="G2972" t="str">
        <f>""</f>
        <v/>
      </c>
    </row>
    <row r="2973" spans="1:7" x14ac:dyDescent="0.25">
      <c r="A2973" t="s">
        <v>8</v>
      </c>
      <c r="B2973" s="1" t="str">
        <f>"000343109 - XRICH PRODUCTS CRO-FDBY"</f>
        <v>000343109 - XRICH PRODUCTS CRO-FDBY</v>
      </c>
      <c r="C2973" t="s">
        <v>3441</v>
      </c>
      <c r="D2973" s="1" t="str">
        <f t="shared" si="84"/>
        <v>PRG-1020917</v>
      </c>
      <c r="E2973" t="s">
        <v>120</v>
      </c>
      <c r="F2973" t="s">
        <v>4</v>
      </c>
      <c r="G2973" t="str">
        <f>""</f>
        <v/>
      </c>
    </row>
    <row r="2974" spans="1:7" x14ac:dyDescent="0.25">
      <c r="A2974" t="s">
        <v>8</v>
      </c>
      <c r="B2974" s="1" t="str">
        <f>"000343752 - RICH FOODS-FOODBUY"</f>
        <v>000343752 - RICH FOODS-FOODBUY</v>
      </c>
      <c r="C2974" t="s">
        <v>237</v>
      </c>
      <c r="D2974" s="1" t="str">
        <f t="shared" si="84"/>
        <v>PRG-1020917</v>
      </c>
      <c r="E2974" t="s">
        <v>120</v>
      </c>
      <c r="F2974" t="s">
        <v>4</v>
      </c>
      <c r="G2974" t="str">
        <f>""</f>
        <v/>
      </c>
    </row>
    <row r="2975" spans="1:7" x14ac:dyDescent="0.25">
      <c r="A2975" t="s">
        <v>8</v>
      </c>
      <c r="B2975" s="1" t="str">
        <f>"000343894 - XRICH FOODS BB TOSSED-FDBY"</f>
        <v>000343894 - XRICH FOODS BB TOSSED-FDBY</v>
      </c>
      <c r="C2975" t="s">
        <v>3445</v>
      </c>
      <c r="D2975" s="1" t="str">
        <f t="shared" si="84"/>
        <v>PRG-1020917</v>
      </c>
      <c r="E2975" t="s">
        <v>120</v>
      </c>
      <c r="F2975" t="s">
        <v>4</v>
      </c>
      <c r="G2975" t="str">
        <f>""</f>
        <v/>
      </c>
    </row>
    <row r="2976" spans="1:7" x14ac:dyDescent="0.25">
      <c r="A2976" t="s">
        <v>8</v>
      </c>
      <c r="B2976" s="1" t="str">
        <f>"000343895 - RICH FOODS BB CRO-FDBY"</f>
        <v>000343895 - RICH FOODS BB CRO-FDBY</v>
      </c>
      <c r="C2976" t="s">
        <v>3446</v>
      </c>
      <c r="D2976" s="1" t="str">
        <f t="shared" si="84"/>
        <v>PRG-1020917</v>
      </c>
      <c r="E2976" t="s">
        <v>120</v>
      </c>
      <c r="F2976" t="s">
        <v>4</v>
      </c>
      <c r="G2976" t="str">
        <f>""</f>
        <v/>
      </c>
    </row>
    <row r="2977" spans="1:7" x14ac:dyDescent="0.25">
      <c r="A2977" t="s">
        <v>8</v>
      </c>
      <c r="B2977" s="1" t="str">
        <f>"000344523 - XXRICH FOODS BB-IPIC FDBY"</f>
        <v>000344523 - XXRICH FOODS BB-IPIC FDBY</v>
      </c>
      <c r="C2977" t="s">
        <v>3452</v>
      </c>
      <c r="D2977" s="1" t="str">
        <f t="shared" si="84"/>
        <v>PRG-1020917</v>
      </c>
      <c r="E2977" t="s">
        <v>120</v>
      </c>
      <c r="F2977" t="s">
        <v>4</v>
      </c>
      <c r="G2977" t="str">
        <f>""</f>
        <v/>
      </c>
    </row>
    <row r="2978" spans="1:7" x14ac:dyDescent="0.25">
      <c r="A2978" t="s">
        <v>8</v>
      </c>
      <c r="B2978" s="1" t="str">
        <f>"000344727 - RICH FOODS BB-FOODBUY"</f>
        <v>000344727 - RICH FOODS BB-FOODBUY</v>
      </c>
      <c r="C2978" t="s">
        <v>209</v>
      </c>
      <c r="D2978" s="1" t="str">
        <f t="shared" si="84"/>
        <v>PRG-1020917</v>
      </c>
      <c r="E2978" t="s">
        <v>120</v>
      </c>
      <c r="F2978" t="s">
        <v>4</v>
      </c>
      <c r="G2978" t="str">
        <f>""</f>
        <v/>
      </c>
    </row>
    <row r="2979" spans="1:7" x14ac:dyDescent="0.25">
      <c r="A2979" t="s">
        <v>8</v>
      </c>
      <c r="B2979" s="1" t="str">
        <f>"000344747 - RICH FOODS BB-FOODBUY (RETRO)"</f>
        <v>000344747 - RICH FOODS BB-FOODBUY (RETRO)</v>
      </c>
      <c r="C2979" t="s">
        <v>2802</v>
      </c>
      <c r="D2979" s="1" t="str">
        <f t="shared" si="84"/>
        <v>PRG-1020917</v>
      </c>
      <c r="E2979" t="s">
        <v>120</v>
      </c>
      <c r="F2979" t="s">
        <v>4</v>
      </c>
      <c r="G2979" t="str">
        <f>""</f>
        <v/>
      </c>
    </row>
    <row r="2980" spans="1:7" x14ac:dyDescent="0.25">
      <c r="A2980" t="s">
        <v>8</v>
      </c>
      <c r="B2980" s="1" t="str">
        <f>"000345018 - RICH FOODS BB TOSSED-FDBY"</f>
        <v>000345018 - RICH FOODS BB TOSSED-FDBY</v>
      </c>
      <c r="C2980" t="s">
        <v>3453</v>
      </c>
      <c r="D2980" s="1" t="str">
        <f t="shared" si="84"/>
        <v>PRG-1020917</v>
      </c>
      <c r="E2980" t="s">
        <v>120</v>
      </c>
      <c r="F2980" t="s">
        <v>4</v>
      </c>
      <c r="G2980" t="str">
        <f>""</f>
        <v/>
      </c>
    </row>
    <row r="2981" spans="1:7" x14ac:dyDescent="0.25">
      <c r="A2981" t="s">
        <v>8</v>
      </c>
      <c r="B2981" s="1" t="str">
        <f>"000345134 - RICH FOODS BB HILLSTONE-FDBY"</f>
        <v>000345134 - RICH FOODS BB HILLSTONE-FDBY</v>
      </c>
      <c r="C2981" t="s">
        <v>3457</v>
      </c>
      <c r="D2981" s="1" t="str">
        <f t="shared" si="84"/>
        <v>PRG-1020917</v>
      </c>
      <c r="E2981" t="s">
        <v>120</v>
      </c>
      <c r="F2981" t="s">
        <v>4</v>
      </c>
      <c r="G2981" t="str">
        <f>""</f>
        <v/>
      </c>
    </row>
    <row r="2982" spans="1:7" x14ac:dyDescent="0.25">
      <c r="A2982" t="s">
        <v>8</v>
      </c>
      <c r="B2982" s="1" t="str">
        <f>"000346258 - RICH PRODUCTS-FOODBUY"</f>
        <v>000346258 - RICH PRODUCTS-FOODBUY</v>
      </c>
      <c r="C2982" t="s">
        <v>342</v>
      </c>
      <c r="D2982" s="1" t="str">
        <f t="shared" si="84"/>
        <v>PRG-1020917</v>
      </c>
      <c r="E2982" t="s">
        <v>120</v>
      </c>
      <c r="F2982" t="s">
        <v>4</v>
      </c>
      <c r="G2982" t="str">
        <f>""</f>
        <v/>
      </c>
    </row>
    <row r="2983" spans="1:7" x14ac:dyDescent="0.25">
      <c r="A2983" t="s">
        <v>8</v>
      </c>
      <c r="B2983" s="1" t="str">
        <f>"000347896 - RICH PRODUCTS-FOODBUY"</f>
        <v>000347896 - RICH PRODUCTS-FOODBUY</v>
      </c>
      <c r="C2983" t="s">
        <v>342</v>
      </c>
      <c r="D2983" s="1" t="str">
        <f t="shared" si="84"/>
        <v>PRG-1020917</v>
      </c>
      <c r="E2983" t="s">
        <v>120</v>
      </c>
      <c r="F2983" t="s">
        <v>4</v>
      </c>
      <c r="G2983" t="str">
        <f>""</f>
        <v/>
      </c>
    </row>
    <row r="2984" spans="1:7" x14ac:dyDescent="0.25">
      <c r="A2984" t="s">
        <v>8</v>
      </c>
      <c r="B2984" s="1" t="str">
        <f>"000348529 - RICH FOODS BB-FOODBUY"</f>
        <v>000348529 - RICH FOODS BB-FOODBUY</v>
      </c>
      <c r="C2984" t="s">
        <v>209</v>
      </c>
      <c r="D2984" s="1" t="str">
        <f t="shared" si="84"/>
        <v>PRG-1020917</v>
      </c>
      <c r="E2984" t="s">
        <v>120</v>
      </c>
      <c r="F2984" t="s">
        <v>4</v>
      </c>
      <c r="G2984" t="str">
        <f>""</f>
        <v/>
      </c>
    </row>
    <row r="2985" spans="1:7" x14ac:dyDescent="0.25">
      <c r="A2985" t="s">
        <v>8</v>
      </c>
      <c r="B2985" s="1" t="str">
        <f>"000349239 - RICH FOODS BB-FOODBUY"</f>
        <v>000349239 - RICH FOODS BB-FOODBUY</v>
      </c>
      <c r="C2985" t="s">
        <v>209</v>
      </c>
      <c r="D2985" s="1" t="str">
        <f t="shared" si="84"/>
        <v>PRG-1020917</v>
      </c>
      <c r="E2985" t="s">
        <v>120</v>
      </c>
      <c r="F2985" t="s">
        <v>4</v>
      </c>
      <c r="G2985" t="str">
        <f>""</f>
        <v/>
      </c>
    </row>
    <row r="2986" spans="1:7" x14ac:dyDescent="0.25">
      <c r="A2986" t="s">
        <v>8</v>
      </c>
      <c r="B2986" s="1" t="str">
        <f>"000352865 - RICHS FOODS BB-FOODBUY"</f>
        <v>000352865 - RICHS FOODS BB-FOODBUY</v>
      </c>
      <c r="C2986" t="s">
        <v>393</v>
      </c>
      <c r="D2986" s="1" t="str">
        <f t="shared" si="84"/>
        <v>PRG-1020917</v>
      </c>
      <c r="E2986" t="s">
        <v>120</v>
      </c>
      <c r="F2986" t="s">
        <v>4</v>
      </c>
      <c r="G2986" t="str">
        <f>""</f>
        <v/>
      </c>
    </row>
    <row r="2987" spans="1:7" x14ac:dyDescent="0.25">
      <c r="A2987" t="s">
        <v>8</v>
      </c>
      <c r="B2987" s="1" t="str">
        <f>"2000127798 - RICH FDS-FOODBUY COMP COMM"</f>
        <v>2000127798 - RICH FDS-FOODBUY COMP COMM</v>
      </c>
      <c r="C2987" t="s">
        <v>3831</v>
      </c>
      <c r="D2987" s="1" t="str">
        <f t="shared" si="84"/>
        <v>PRG-1020917</v>
      </c>
      <c r="E2987" t="s">
        <v>120</v>
      </c>
      <c r="F2987" t="s">
        <v>4</v>
      </c>
      <c r="G2987" t="str">
        <f>""</f>
        <v/>
      </c>
    </row>
    <row r="2988" spans="1:7" x14ac:dyDescent="0.25">
      <c r="A2988" t="s">
        <v>8</v>
      </c>
      <c r="B2988" s="1" t="str">
        <f>"2000149741 - RICH FDS-FOODBUY COMP COMM"</f>
        <v>2000149741 - RICH FDS-FOODBUY COMP COMM</v>
      </c>
      <c r="C2988" t="s">
        <v>3831</v>
      </c>
      <c r="D2988" s="1" t="str">
        <f t="shared" si="84"/>
        <v>PRG-1020917</v>
      </c>
      <c r="E2988" t="s">
        <v>120</v>
      </c>
      <c r="F2988" t="s">
        <v>4</v>
      </c>
      <c r="G2988" t="str">
        <f>""</f>
        <v/>
      </c>
    </row>
    <row r="2989" spans="1:7" x14ac:dyDescent="0.25">
      <c r="A2989" t="s">
        <v>8</v>
      </c>
      <c r="B2989" s="1" t="str">
        <f>"2000235346 - RICH FDS-FOODBUY COMP COMM"</f>
        <v>2000235346 - RICH FDS-FOODBUY COMP COMM</v>
      </c>
      <c r="C2989" t="s">
        <v>3831</v>
      </c>
      <c r="D2989" s="1" t="str">
        <f t="shared" si="84"/>
        <v>PRG-1020917</v>
      </c>
      <c r="E2989" t="s">
        <v>120</v>
      </c>
      <c r="F2989" t="s">
        <v>4</v>
      </c>
      <c r="G2989" t="str">
        <f>""</f>
        <v/>
      </c>
    </row>
    <row r="2990" spans="1:7" x14ac:dyDescent="0.25">
      <c r="A2990" t="s">
        <v>8</v>
      </c>
      <c r="B2990" s="1" t="str">
        <f>"2000248642 - RICH FDS-FOODBUY COMP COMM"</f>
        <v>2000248642 - RICH FDS-FOODBUY COMP COMM</v>
      </c>
      <c r="C2990" t="s">
        <v>3831</v>
      </c>
      <c r="D2990" s="1" t="str">
        <f t="shared" si="84"/>
        <v>PRG-1020917</v>
      </c>
      <c r="E2990" t="s">
        <v>120</v>
      </c>
      <c r="F2990" t="s">
        <v>4</v>
      </c>
      <c r="G2990" t="str">
        <f>""</f>
        <v/>
      </c>
    </row>
    <row r="2991" spans="1:7" x14ac:dyDescent="0.25">
      <c r="A2991" t="s">
        <v>8</v>
      </c>
      <c r="B2991" s="1" t="str">
        <f>"2000258782 - RICH FDS-FOODBUY COMP COMM"</f>
        <v>2000258782 - RICH FDS-FOODBUY COMP COMM</v>
      </c>
      <c r="C2991" t="s">
        <v>3831</v>
      </c>
      <c r="D2991" s="1" t="str">
        <f t="shared" si="84"/>
        <v>PRG-1020917</v>
      </c>
      <c r="E2991" t="s">
        <v>120</v>
      </c>
      <c r="F2991" t="s">
        <v>4</v>
      </c>
      <c r="G2991" t="str">
        <f>""</f>
        <v/>
      </c>
    </row>
    <row r="2992" spans="1:7" x14ac:dyDescent="0.25">
      <c r="A2992" t="s">
        <v>8</v>
      </c>
      <c r="B2992" s="1" t="str">
        <f>"2000262381 - RICH FDS-FOODBUY COMP COMM"</f>
        <v>2000262381 - RICH FDS-FOODBUY COMP COMM</v>
      </c>
      <c r="C2992" t="s">
        <v>3831</v>
      </c>
      <c r="D2992" s="1" t="str">
        <f t="shared" si="84"/>
        <v>PRG-1020917</v>
      </c>
      <c r="E2992" t="s">
        <v>120</v>
      </c>
      <c r="F2992" t="s">
        <v>4</v>
      </c>
      <c r="G2992" t="str">
        <f>""</f>
        <v/>
      </c>
    </row>
    <row r="2993" spans="1:7" x14ac:dyDescent="0.25">
      <c r="A2993" t="s">
        <v>8</v>
      </c>
      <c r="B2993" s="1" t="str">
        <f>"6026R068"</f>
        <v>6026R068</v>
      </c>
      <c r="C2993" t="s">
        <v>5120</v>
      </c>
      <c r="D2993" s="1" t="str">
        <f t="shared" si="84"/>
        <v>PRG-1020917</v>
      </c>
      <c r="E2993" t="s">
        <v>120</v>
      </c>
      <c r="F2993" t="s">
        <v>5</v>
      </c>
      <c r="G2993" t="str">
        <f>""</f>
        <v/>
      </c>
    </row>
    <row r="2994" spans="1:7" x14ac:dyDescent="0.25">
      <c r="A2994" t="s">
        <v>8</v>
      </c>
      <c r="B2994" s="1" t="str">
        <f>"60293630"</f>
        <v>60293630</v>
      </c>
      <c r="C2994" t="s">
        <v>5230</v>
      </c>
      <c r="D2994" s="1" t="str">
        <f t="shared" si="84"/>
        <v>PRG-1020917</v>
      </c>
      <c r="E2994" t="s">
        <v>120</v>
      </c>
      <c r="F2994" t="s">
        <v>5</v>
      </c>
      <c r="G2994" t="str">
        <f>""</f>
        <v/>
      </c>
    </row>
    <row r="2995" spans="1:7" x14ac:dyDescent="0.25">
      <c r="A2995" t="s">
        <v>8</v>
      </c>
      <c r="B2995" s="1" t="str">
        <f>"S1Z02060"</f>
        <v>S1Z02060</v>
      </c>
      <c r="C2995" t="s">
        <v>5332</v>
      </c>
      <c r="D2995" s="1" t="str">
        <f t="shared" si="84"/>
        <v>PRG-1020917</v>
      </c>
      <c r="E2995" t="s">
        <v>120</v>
      </c>
      <c r="F2995" t="s">
        <v>5</v>
      </c>
      <c r="G2995" t="str">
        <f>""</f>
        <v/>
      </c>
    </row>
    <row r="2996" spans="1:7" x14ac:dyDescent="0.25">
      <c r="A2996" t="s">
        <v>8</v>
      </c>
      <c r="B2996" s="1" t="str">
        <f>"S3K001Q0"</f>
        <v>S3K001Q0</v>
      </c>
      <c r="C2996" t="s">
        <v>5609</v>
      </c>
      <c r="D2996" s="1" t="str">
        <f>"PRG-1020922"</f>
        <v>PRG-1020922</v>
      </c>
      <c r="E2996" t="s">
        <v>5610</v>
      </c>
      <c r="F2996" t="s">
        <v>5</v>
      </c>
      <c r="G2996" t="str">
        <f>""</f>
        <v/>
      </c>
    </row>
    <row r="2997" spans="1:7" x14ac:dyDescent="0.25">
      <c r="A2997" t="s">
        <v>8</v>
      </c>
      <c r="B2997" s="1" t="str">
        <f>"000275992 - RICH PRODUCTS   CITY FIRE"</f>
        <v>000275992 - RICH PRODUCTS   CITY FIRE</v>
      </c>
      <c r="C2997" t="s">
        <v>2566</v>
      </c>
      <c r="D2997" s="1" t="str">
        <f>"PRG-1020954"</f>
        <v>PRG-1020954</v>
      </c>
      <c r="E2997" t="s">
        <v>2567</v>
      </c>
      <c r="F2997" t="s">
        <v>4</v>
      </c>
      <c r="G2997" t="str">
        <f>""</f>
        <v/>
      </c>
    </row>
    <row r="2998" spans="1:7" x14ac:dyDescent="0.25">
      <c r="A2998" t="s">
        <v>8</v>
      </c>
      <c r="B2998" s="1" t="str">
        <f>"000382634 - RICH PRODUCTS DC CITY FIRE"</f>
        <v>000382634 - RICH PRODUCTS DC CITY FIRE</v>
      </c>
      <c r="C2998" t="s">
        <v>3658</v>
      </c>
      <c r="D2998" s="1" t="str">
        <f>"PRG-1020954"</f>
        <v>PRG-1020954</v>
      </c>
      <c r="E2998" t="s">
        <v>2567</v>
      </c>
      <c r="F2998" t="s">
        <v>4</v>
      </c>
      <c r="G2998" t="str">
        <f>""</f>
        <v/>
      </c>
    </row>
    <row r="2999" spans="1:7" x14ac:dyDescent="0.25">
      <c r="A2999" t="s">
        <v>8</v>
      </c>
      <c r="B2999" s="1" t="str">
        <f>"000232650 - VALENTINO'S RICH'S"</f>
        <v>000232650 - VALENTINO'S RICH'S</v>
      </c>
      <c r="C2999" t="s">
        <v>1791</v>
      </c>
      <c r="D2999" s="1" t="str">
        <f>"PRG-1020998"</f>
        <v>PRG-1020998</v>
      </c>
      <c r="E2999" t="s">
        <v>1792</v>
      </c>
      <c r="F2999" t="s">
        <v>4</v>
      </c>
      <c r="G2999" t="str">
        <f>""</f>
        <v/>
      </c>
    </row>
    <row r="3000" spans="1:7" x14ac:dyDescent="0.25">
      <c r="A3000" t="s">
        <v>8</v>
      </c>
      <c r="B3000" s="1" t="str">
        <f>"000268764 - "</f>
        <v xml:space="preserve">000268764 - </v>
      </c>
      <c r="D3000" s="1" t="str">
        <f>"PRG-1020998"</f>
        <v>PRG-1020998</v>
      </c>
      <c r="E3000" t="s">
        <v>1792</v>
      </c>
      <c r="F3000" t="s">
        <v>4</v>
      </c>
      <c r="G3000" t="str">
        <f>""</f>
        <v/>
      </c>
    </row>
    <row r="3001" spans="1:7" x14ac:dyDescent="0.25">
      <c r="A3001" t="s">
        <v>8</v>
      </c>
      <c r="B3001" s="1" t="str">
        <f>"000303087 - RICH PRODCUTS TREASURE ISLAND"</f>
        <v>000303087 - RICH PRODCUTS TREASURE ISLAND</v>
      </c>
      <c r="C3001" t="s">
        <v>3003</v>
      </c>
      <c r="D3001" s="1" t="str">
        <f>"PRG-1021016"</f>
        <v>PRG-1021016</v>
      </c>
      <c r="E3001" t="s">
        <v>3004</v>
      </c>
      <c r="F3001" t="s">
        <v>4</v>
      </c>
      <c r="G3001" t="str">
        <f>""</f>
        <v/>
      </c>
    </row>
    <row r="3002" spans="1:7" x14ac:dyDescent="0.25">
      <c r="A3002" t="s">
        <v>8</v>
      </c>
      <c r="B3002" s="1" t="str">
        <f>"2330A779"</f>
        <v>2330A779</v>
      </c>
      <c r="C3002" t="s">
        <v>4493</v>
      </c>
      <c r="D3002" s="1" t="str">
        <f>"PRG-1021024"</f>
        <v>PRG-1021024</v>
      </c>
      <c r="E3002" t="s">
        <v>4493</v>
      </c>
      <c r="F3002" t="s">
        <v>5</v>
      </c>
      <c r="G3002" t="str">
        <f>""</f>
        <v/>
      </c>
    </row>
    <row r="3003" spans="1:7" x14ac:dyDescent="0.25">
      <c r="A3003" t="s">
        <v>8</v>
      </c>
      <c r="B3003" s="1" t="str">
        <f>"2099B695"</f>
        <v>2099B695</v>
      </c>
      <c r="C3003" t="s">
        <v>4103</v>
      </c>
      <c r="D3003" s="1" t="str">
        <f>"PRG-1021054"</f>
        <v>PRG-1021054</v>
      </c>
      <c r="E3003" t="s">
        <v>4104</v>
      </c>
      <c r="F3003" t="s">
        <v>5</v>
      </c>
      <c r="G3003" t="str">
        <f>""</f>
        <v/>
      </c>
    </row>
    <row r="3004" spans="1:7" x14ac:dyDescent="0.25">
      <c r="A3004" t="s">
        <v>8</v>
      </c>
      <c r="B3004" s="1" t="str">
        <f>"000167949 - RICH DC JASMINE BUFFET"</f>
        <v>000167949 - RICH DC JASMINE BUFFET</v>
      </c>
      <c r="C3004" t="s">
        <v>1085</v>
      </c>
      <c r="D3004" s="1" t="str">
        <f>"PRG-1021066"</f>
        <v>PRG-1021066</v>
      </c>
      <c r="E3004" t="s">
        <v>1086</v>
      </c>
      <c r="F3004" t="s">
        <v>4</v>
      </c>
      <c r="G3004" t="str">
        <f>""</f>
        <v/>
      </c>
    </row>
    <row r="3005" spans="1:7" x14ac:dyDescent="0.25">
      <c r="A3005" t="s">
        <v>8</v>
      </c>
      <c r="B3005" s="1" t="str">
        <f>"000273366 - RICHS   CAPONES"</f>
        <v>000273366 - RICHS   CAPONES</v>
      </c>
      <c r="C3005" t="s">
        <v>2523</v>
      </c>
      <c r="D3005" s="1" t="str">
        <f>"PRG-1021076"</f>
        <v>PRG-1021076</v>
      </c>
      <c r="E3005" t="s">
        <v>2524</v>
      </c>
      <c r="F3005" t="s">
        <v>4</v>
      </c>
      <c r="G3005" t="str">
        <f>""</f>
        <v/>
      </c>
    </row>
    <row r="3006" spans="1:7" x14ac:dyDescent="0.25">
      <c r="A3006" t="s">
        <v>8</v>
      </c>
      <c r="B3006" s="1" t="str">
        <f>"000019580 - RICH PRODUCTS-CENTERPLATE"</f>
        <v>000019580 - RICH PRODUCTS-CENTERPLATE</v>
      </c>
      <c r="C3006" t="s">
        <v>395</v>
      </c>
      <c r="D3006" s="1" t="str">
        <f t="shared" ref="D3006:D3037" si="85">"PRG-1021081"</f>
        <v>PRG-1021081</v>
      </c>
      <c r="E3006" t="s">
        <v>396</v>
      </c>
      <c r="F3006" t="s">
        <v>4</v>
      </c>
      <c r="G3006" t="str">
        <f>""</f>
        <v/>
      </c>
    </row>
    <row r="3007" spans="1:7" x14ac:dyDescent="0.25">
      <c r="A3007" t="s">
        <v>8</v>
      </c>
      <c r="B3007" s="1" t="str">
        <f>"000093335 - RICH PRODUCTS-CENTERPLATE"</f>
        <v>000093335 - RICH PRODUCTS-CENTERPLATE</v>
      </c>
      <c r="C3007" t="s">
        <v>395</v>
      </c>
      <c r="D3007" s="1" t="str">
        <f t="shared" si="85"/>
        <v>PRG-1021081</v>
      </c>
      <c r="E3007" t="s">
        <v>396</v>
      </c>
      <c r="F3007" t="s">
        <v>4</v>
      </c>
      <c r="G3007" t="str">
        <f>""</f>
        <v/>
      </c>
    </row>
    <row r="3008" spans="1:7" x14ac:dyDescent="0.25">
      <c r="A3008" t="s">
        <v>8</v>
      </c>
      <c r="B3008" s="1" t="str">
        <f>"000101938 - RICH PRODUCTS-CENTERPLATE"</f>
        <v>000101938 - RICH PRODUCTS-CENTERPLATE</v>
      </c>
      <c r="C3008" t="s">
        <v>395</v>
      </c>
      <c r="D3008" s="1" t="str">
        <f t="shared" si="85"/>
        <v>PRG-1021081</v>
      </c>
      <c r="E3008" t="s">
        <v>396</v>
      </c>
      <c r="F3008" t="s">
        <v>4</v>
      </c>
      <c r="G3008" t="str">
        <f>""</f>
        <v/>
      </c>
    </row>
    <row r="3009" spans="1:7" x14ac:dyDescent="0.25">
      <c r="A3009" t="s">
        <v>8</v>
      </c>
      <c r="B3009" s="1" t="str">
        <f>"000117498 - RICH PRODUCTS-CENTERPLATE"</f>
        <v>000117498 - RICH PRODUCTS-CENTERPLATE</v>
      </c>
      <c r="C3009" t="s">
        <v>395</v>
      </c>
      <c r="D3009" s="1" t="str">
        <f t="shared" si="85"/>
        <v>PRG-1021081</v>
      </c>
      <c r="E3009" t="s">
        <v>396</v>
      </c>
      <c r="F3009" t="s">
        <v>4</v>
      </c>
      <c r="G3009" t="str">
        <f>""</f>
        <v/>
      </c>
    </row>
    <row r="3010" spans="1:7" x14ac:dyDescent="0.25">
      <c r="A3010" t="s">
        <v>8</v>
      </c>
      <c r="B3010" s="1" t="str">
        <f>"000155771 - RICH PRODUCTS-CENTERPLATE"</f>
        <v>000155771 - RICH PRODUCTS-CENTERPLATE</v>
      </c>
      <c r="C3010" t="s">
        <v>395</v>
      </c>
      <c r="D3010" s="1" t="str">
        <f t="shared" si="85"/>
        <v>PRG-1021081</v>
      </c>
      <c r="E3010" t="s">
        <v>396</v>
      </c>
      <c r="F3010" t="s">
        <v>4</v>
      </c>
      <c r="G3010" t="str">
        <f>""</f>
        <v/>
      </c>
    </row>
    <row r="3011" spans="1:7" x14ac:dyDescent="0.25">
      <c r="A3011" t="s">
        <v>8</v>
      </c>
      <c r="B3011" s="1" t="str">
        <f>"000165115 - RICH PRODUCTS-CENTERPLATE"</f>
        <v>000165115 - RICH PRODUCTS-CENTERPLATE</v>
      </c>
      <c r="C3011" t="s">
        <v>395</v>
      </c>
      <c r="D3011" s="1" t="str">
        <f t="shared" si="85"/>
        <v>PRG-1021081</v>
      </c>
      <c r="E3011" t="s">
        <v>396</v>
      </c>
      <c r="F3011" t="s">
        <v>4</v>
      </c>
      <c r="G3011" t="str">
        <f>""</f>
        <v/>
      </c>
    </row>
    <row r="3012" spans="1:7" x14ac:dyDescent="0.25">
      <c r="A3012" t="s">
        <v>8</v>
      </c>
      <c r="B3012" s="1" t="str">
        <f>"000175622 - RICH PRODUCTS-CENTERPLATE"</f>
        <v>000175622 - RICH PRODUCTS-CENTERPLATE</v>
      </c>
      <c r="C3012" t="s">
        <v>395</v>
      </c>
      <c r="D3012" s="1" t="str">
        <f t="shared" si="85"/>
        <v>PRG-1021081</v>
      </c>
      <c r="E3012" t="s">
        <v>396</v>
      </c>
      <c r="F3012" t="s">
        <v>4</v>
      </c>
      <c r="G3012" t="str">
        <f>""</f>
        <v/>
      </c>
    </row>
    <row r="3013" spans="1:7" x14ac:dyDescent="0.25">
      <c r="A3013" t="s">
        <v>8</v>
      </c>
      <c r="B3013" s="1" t="str">
        <f>"000191437 - RICH PRODUCTS-CENTERPLATE"</f>
        <v>000191437 - RICH PRODUCTS-CENTERPLATE</v>
      </c>
      <c r="C3013" t="s">
        <v>395</v>
      </c>
      <c r="D3013" s="1" t="str">
        <f t="shared" si="85"/>
        <v>PRG-1021081</v>
      </c>
      <c r="E3013" t="s">
        <v>396</v>
      </c>
      <c r="F3013" t="s">
        <v>4</v>
      </c>
      <c r="G3013" t="str">
        <f>""</f>
        <v/>
      </c>
    </row>
    <row r="3014" spans="1:7" x14ac:dyDescent="0.25">
      <c r="A3014" t="s">
        <v>8</v>
      </c>
      <c r="B3014" s="1" t="str">
        <f>"000193386 - RICH PRODUCTS-CENTERPLATE"</f>
        <v>000193386 - RICH PRODUCTS-CENTERPLATE</v>
      </c>
      <c r="C3014" t="s">
        <v>395</v>
      </c>
      <c r="D3014" s="1" t="str">
        <f t="shared" si="85"/>
        <v>PRG-1021081</v>
      </c>
      <c r="E3014" t="s">
        <v>396</v>
      </c>
      <c r="F3014" t="s">
        <v>4</v>
      </c>
      <c r="G3014" t="str">
        <f>""</f>
        <v/>
      </c>
    </row>
    <row r="3015" spans="1:7" x14ac:dyDescent="0.25">
      <c r="A3015" t="s">
        <v>8</v>
      </c>
      <c r="B3015" s="1" t="str">
        <f>"000194531 - RICH PRODUCTS-CENTERPLATE"</f>
        <v>000194531 - RICH PRODUCTS-CENTERPLATE</v>
      </c>
      <c r="C3015" t="s">
        <v>395</v>
      </c>
      <c r="D3015" s="1" t="str">
        <f t="shared" si="85"/>
        <v>PRG-1021081</v>
      </c>
      <c r="E3015" t="s">
        <v>396</v>
      </c>
      <c r="F3015" t="s">
        <v>4</v>
      </c>
      <c r="G3015" t="str">
        <f>""</f>
        <v/>
      </c>
    </row>
    <row r="3016" spans="1:7" x14ac:dyDescent="0.25">
      <c r="A3016" t="s">
        <v>8</v>
      </c>
      <c r="B3016" s="1" t="str">
        <f>"000199590 - RICH PRODUCTS-CENTERPLATE"</f>
        <v>000199590 - RICH PRODUCTS-CENTERPLATE</v>
      </c>
      <c r="C3016" t="s">
        <v>395</v>
      </c>
      <c r="D3016" s="1" t="str">
        <f t="shared" si="85"/>
        <v>PRG-1021081</v>
      </c>
      <c r="E3016" t="s">
        <v>396</v>
      </c>
      <c r="F3016" t="s">
        <v>4</v>
      </c>
      <c r="G3016" t="str">
        <f>""</f>
        <v/>
      </c>
    </row>
    <row r="3017" spans="1:7" x14ac:dyDescent="0.25">
      <c r="A3017" t="s">
        <v>8</v>
      </c>
      <c r="B3017" s="1" t="str">
        <f>"000209427 - RICH PRODUCTS-CENTERPLATE"</f>
        <v>000209427 - RICH PRODUCTS-CENTERPLATE</v>
      </c>
      <c r="C3017" t="s">
        <v>395</v>
      </c>
      <c r="D3017" s="1" t="str">
        <f t="shared" si="85"/>
        <v>PRG-1021081</v>
      </c>
      <c r="E3017" t="s">
        <v>396</v>
      </c>
      <c r="F3017" t="s">
        <v>4</v>
      </c>
      <c r="G3017" t="str">
        <f>""</f>
        <v/>
      </c>
    </row>
    <row r="3018" spans="1:7" x14ac:dyDescent="0.25">
      <c r="A3018" t="s">
        <v>8</v>
      </c>
      <c r="B3018" s="1" t="str">
        <f>"000213559 - RICH PRODUCTS-CENTERPLATE"</f>
        <v>000213559 - RICH PRODUCTS-CENTERPLATE</v>
      </c>
      <c r="C3018" t="s">
        <v>395</v>
      </c>
      <c r="D3018" s="1" t="str">
        <f t="shared" si="85"/>
        <v>PRG-1021081</v>
      </c>
      <c r="E3018" t="s">
        <v>396</v>
      </c>
      <c r="F3018" t="s">
        <v>4</v>
      </c>
      <c r="G3018" t="str">
        <f>""</f>
        <v/>
      </c>
    </row>
    <row r="3019" spans="1:7" x14ac:dyDescent="0.25">
      <c r="A3019" t="s">
        <v>8</v>
      </c>
      <c r="B3019" s="1" t="str">
        <f>"000216704 - RICH PRODUCTS-CENTERPLATE"</f>
        <v>000216704 - RICH PRODUCTS-CENTERPLATE</v>
      </c>
      <c r="C3019" t="s">
        <v>395</v>
      </c>
      <c r="D3019" s="1" t="str">
        <f t="shared" si="85"/>
        <v>PRG-1021081</v>
      </c>
      <c r="E3019" t="s">
        <v>396</v>
      </c>
      <c r="F3019" t="s">
        <v>4</v>
      </c>
      <c r="G3019" t="str">
        <f>""</f>
        <v/>
      </c>
    </row>
    <row r="3020" spans="1:7" x14ac:dyDescent="0.25">
      <c r="A3020" t="s">
        <v>8</v>
      </c>
      <c r="B3020" s="1" t="str">
        <f>"000217880 - RICH PRODUCTS-CENTERPLATE"</f>
        <v>000217880 - RICH PRODUCTS-CENTERPLATE</v>
      </c>
      <c r="C3020" t="s">
        <v>395</v>
      </c>
      <c r="D3020" s="1" t="str">
        <f t="shared" si="85"/>
        <v>PRG-1021081</v>
      </c>
      <c r="E3020" t="s">
        <v>396</v>
      </c>
      <c r="F3020" t="s">
        <v>4</v>
      </c>
      <c r="G3020" t="str">
        <f>""</f>
        <v/>
      </c>
    </row>
    <row r="3021" spans="1:7" x14ac:dyDescent="0.25">
      <c r="A3021" t="s">
        <v>8</v>
      </c>
      <c r="B3021" s="1" t="str">
        <f>"000222563 - RICH PRODUCTS-CENTERPLATE"</f>
        <v>000222563 - RICH PRODUCTS-CENTERPLATE</v>
      </c>
      <c r="C3021" t="s">
        <v>395</v>
      </c>
      <c r="D3021" s="1" t="str">
        <f t="shared" si="85"/>
        <v>PRG-1021081</v>
      </c>
      <c r="E3021" t="s">
        <v>396</v>
      </c>
      <c r="F3021" t="s">
        <v>4</v>
      </c>
      <c r="G3021" t="str">
        <f>""</f>
        <v/>
      </c>
    </row>
    <row r="3022" spans="1:7" x14ac:dyDescent="0.25">
      <c r="A3022" t="s">
        <v>8</v>
      </c>
      <c r="B3022" s="1" t="str">
        <f>"000223616 - RICH PRODUCTS-CENTERPLATE"</f>
        <v>000223616 - RICH PRODUCTS-CENTERPLATE</v>
      </c>
      <c r="C3022" t="s">
        <v>395</v>
      </c>
      <c r="D3022" s="1" t="str">
        <f t="shared" si="85"/>
        <v>PRG-1021081</v>
      </c>
      <c r="E3022" t="s">
        <v>396</v>
      </c>
      <c r="F3022" t="s">
        <v>4</v>
      </c>
      <c r="G3022" t="str">
        <f>""</f>
        <v/>
      </c>
    </row>
    <row r="3023" spans="1:7" x14ac:dyDescent="0.25">
      <c r="A3023" t="s">
        <v>8</v>
      </c>
      <c r="B3023" s="1" t="str">
        <f>"000224056 - RICH PRODUCTS-CENTERPLATE"</f>
        <v>000224056 - RICH PRODUCTS-CENTERPLATE</v>
      </c>
      <c r="C3023" t="s">
        <v>395</v>
      </c>
      <c r="D3023" s="1" t="str">
        <f t="shared" si="85"/>
        <v>PRG-1021081</v>
      </c>
      <c r="E3023" t="s">
        <v>396</v>
      </c>
      <c r="F3023" t="s">
        <v>4</v>
      </c>
      <c r="G3023" t="str">
        <f>""</f>
        <v/>
      </c>
    </row>
    <row r="3024" spans="1:7" x14ac:dyDescent="0.25">
      <c r="A3024" t="s">
        <v>8</v>
      </c>
      <c r="B3024" s="1" t="str">
        <f>"000230793 - RICH PRODUCTS-CENTERPLATE"</f>
        <v>000230793 - RICH PRODUCTS-CENTERPLATE</v>
      </c>
      <c r="C3024" t="s">
        <v>395</v>
      </c>
      <c r="D3024" s="1" t="str">
        <f t="shared" si="85"/>
        <v>PRG-1021081</v>
      </c>
      <c r="E3024" t="s">
        <v>396</v>
      </c>
      <c r="F3024" t="s">
        <v>4</v>
      </c>
      <c r="G3024" t="str">
        <f>""</f>
        <v/>
      </c>
    </row>
    <row r="3025" spans="1:7" x14ac:dyDescent="0.25">
      <c r="A3025" t="s">
        <v>8</v>
      </c>
      <c r="B3025" s="1" t="str">
        <f>"000232511 - RICH PRODUCTS-CENTERPLATE"</f>
        <v>000232511 - RICH PRODUCTS-CENTERPLATE</v>
      </c>
      <c r="C3025" t="s">
        <v>395</v>
      </c>
      <c r="D3025" s="1" t="str">
        <f t="shared" si="85"/>
        <v>PRG-1021081</v>
      </c>
      <c r="E3025" t="s">
        <v>396</v>
      </c>
      <c r="F3025" t="s">
        <v>4</v>
      </c>
      <c r="G3025" t="str">
        <f>""</f>
        <v/>
      </c>
    </row>
    <row r="3026" spans="1:7" x14ac:dyDescent="0.25">
      <c r="A3026" t="s">
        <v>8</v>
      </c>
      <c r="B3026" s="1" t="str">
        <f>"000233982 - RICH PRODUCTS-CENTERPLATE"</f>
        <v>000233982 - RICH PRODUCTS-CENTERPLATE</v>
      </c>
      <c r="C3026" t="s">
        <v>395</v>
      </c>
      <c r="D3026" s="1" t="str">
        <f t="shared" si="85"/>
        <v>PRG-1021081</v>
      </c>
      <c r="E3026" t="s">
        <v>396</v>
      </c>
      <c r="F3026" t="s">
        <v>4</v>
      </c>
      <c r="G3026" t="str">
        <f>""</f>
        <v/>
      </c>
    </row>
    <row r="3027" spans="1:7" x14ac:dyDescent="0.25">
      <c r="A3027" t="s">
        <v>8</v>
      </c>
      <c r="B3027" s="1" t="str">
        <f>"000244207 - RICH PRODUCTS-CENTERPLATE"</f>
        <v>000244207 - RICH PRODUCTS-CENTERPLATE</v>
      </c>
      <c r="C3027" t="s">
        <v>395</v>
      </c>
      <c r="D3027" s="1" t="str">
        <f t="shared" si="85"/>
        <v>PRG-1021081</v>
      </c>
      <c r="E3027" t="s">
        <v>396</v>
      </c>
      <c r="F3027" t="s">
        <v>4</v>
      </c>
      <c r="G3027" t="str">
        <f>""</f>
        <v/>
      </c>
    </row>
    <row r="3028" spans="1:7" x14ac:dyDescent="0.25">
      <c r="A3028" t="s">
        <v>8</v>
      </c>
      <c r="B3028" s="1" t="str">
        <f>"000262157 - RICH PRODUCTS-CENTERPLATE"</f>
        <v>000262157 - RICH PRODUCTS-CENTERPLATE</v>
      </c>
      <c r="C3028" t="s">
        <v>395</v>
      </c>
      <c r="D3028" s="1" t="str">
        <f t="shared" si="85"/>
        <v>PRG-1021081</v>
      </c>
      <c r="E3028" t="s">
        <v>396</v>
      </c>
      <c r="F3028" t="s">
        <v>4</v>
      </c>
      <c r="G3028" t="str">
        <f>""</f>
        <v/>
      </c>
    </row>
    <row r="3029" spans="1:7" x14ac:dyDescent="0.25">
      <c r="A3029" t="s">
        <v>8</v>
      </c>
      <c r="B3029" s="1" t="str">
        <f>"000264336 - RICH PRODUCTS-CENTERPLATE"</f>
        <v>000264336 - RICH PRODUCTS-CENTERPLATE</v>
      </c>
      <c r="C3029" t="s">
        <v>395</v>
      </c>
      <c r="D3029" s="1" t="str">
        <f t="shared" si="85"/>
        <v>PRG-1021081</v>
      </c>
      <c r="E3029" t="s">
        <v>396</v>
      </c>
      <c r="F3029" t="s">
        <v>4</v>
      </c>
      <c r="G3029" t="str">
        <f>""</f>
        <v/>
      </c>
    </row>
    <row r="3030" spans="1:7" x14ac:dyDescent="0.25">
      <c r="A3030" t="s">
        <v>8</v>
      </c>
      <c r="B3030" s="1" t="str">
        <f>"000270067 - RICH PRODUCTS-CENTERPLATE"</f>
        <v>000270067 - RICH PRODUCTS-CENTERPLATE</v>
      </c>
      <c r="C3030" t="s">
        <v>395</v>
      </c>
      <c r="D3030" s="1" t="str">
        <f t="shared" si="85"/>
        <v>PRG-1021081</v>
      </c>
      <c r="E3030" t="s">
        <v>396</v>
      </c>
      <c r="F3030" t="s">
        <v>4</v>
      </c>
      <c r="G3030" t="str">
        <f>""</f>
        <v/>
      </c>
    </row>
    <row r="3031" spans="1:7" x14ac:dyDescent="0.25">
      <c r="A3031" t="s">
        <v>8</v>
      </c>
      <c r="B3031" s="1" t="str">
        <f>"000270153 - RICH PRODUCTS-CENTERPLATE"</f>
        <v>000270153 - RICH PRODUCTS-CENTERPLATE</v>
      </c>
      <c r="C3031" t="s">
        <v>395</v>
      </c>
      <c r="D3031" s="1" t="str">
        <f t="shared" si="85"/>
        <v>PRG-1021081</v>
      </c>
      <c r="E3031" t="s">
        <v>396</v>
      </c>
      <c r="F3031" t="s">
        <v>4</v>
      </c>
      <c r="G3031" t="str">
        <f>""</f>
        <v/>
      </c>
    </row>
    <row r="3032" spans="1:7" x14ac:dyDescent="0.25">
      <c r="A3032" t="s">
        <v>8</v>
      </c>
      <c r="B3032" s="1" t="str">
        <f>"000275042 - RICH PRODUCTS-CENTERPLATE"</f>
        <v>000275042 - RICH PRODUCTS-CENTERPLATE</v>
      </c>
      <c r="C3032" t="s">
        <v>395</v>
      </c>
      <c r="D3032" s="1" t="str">
        <f t="shared" si="85"/>
        <v>PRG-1021081</v>
      </c>
      <c r="E3032" t="s">
        <v>396</v>
      </c>
      <c r="F3032" t="s">
        <v>4</v>
      </c>
      <c r="G3032" t="str">
        <f>""</f>
        <v/>
      </c>
    </row>
    <row r="3033" spans="1:7" x14ac:dyDescent="0.25">
      <c r="A3033" t="s">
        <v>8</v>
      </c>
      <c r="B3033" s="1" t="str">
        <f>"000289618 - RICH PRODUCTS-CENTERPLATE"</f>
        <v>000289618 - RICH PRODUCTS-CENTERPLATE</v>
      </c>
      <c r="C3033" t="s">
        <v>395</v>
      </c>
      <c r="D3033" s="1" t="str">
        <f t="shared" si="85"/>
        <v>PRG-1021081</v>
      </c>
      <c r="E3033" t="s">
        <v>396</v>
      </c>
      <c r="F3033" t="s">
        <v>4</v>
      </c>
      <c r="G3033" t="str">
        <f>""</f>
        <v/>
      </c>
    </row>
    <row r="3034" spans="1:7" x14ac:dyDescent="0.25">
      <c r="A3034" t="s">
        <v>8</v>
      </c>
      <c r="B3034" s="1" t="str">
        <f>"000291308 - RICH PRODUCTS-CENTERPLATE"</f>
        <v>000291308 - RICH PRODUCTS-CENTERPLATE</v>
      </c>
      <c r="C3034" t="s">
        <v>395</v>
      </c>
      <c r="D3034" s="1" t="str">
        <f t="shared" si="85"/>
        <v>PRG-1021081</v>
      </c>
      <c r="E3034" t="s">
        <v>396</v>
      </c>
      <c r="F3034" t="s">
        <v>4</v>
      </c>
      <c r="G3034" t="str">
        <f>""</f>
        <v/>
      </c>
    </row>
    <row r="3035" spans="1:7" x14ac:dyDescent="0.25">
      <c r="A3035" t="s">
        <v>8</v>
      </c>
      <c r="B3035" s="1" t="str">
        <f>"000315139 - RICH PRODUCTS-CENTERPLATE"</f>
        <v>000315139 - RICH PRODUCTS-CENTERPLATE</v>
      </c>
      <c r="C3035" t="s">
        <v>395</v>
      </c>
      <c r="D3035" s="1" t="str">
        <f t="shared" si="85"/>
        <v>PRG-1021081</v>
      </c>
      <c r="E3035" t="s">
        <v>396</v>
      </c>
      <c r="F3035" t="s">
        <v>4</v>
      </c>
      <c r="G3035" t="str">
        <f>""</f>
        <v/>
      </c>
    </row>
    <row r="3036" spans="1:7" x14ac:dyDescent="0.25">
      <c r="A3036" t="s">
        <v>8</v>
      </c>
      <c r="B3036" s="1" t="str">
        <f>"000328178 - RICH PRODUCTS-CENTERPLATE"</f>
        <v>000328178 - RICH PRODUCTS-CENTERPLATE</v>
      </c>
      <c r="C3036" t="s">
        <v>395</v>
      </c>
      <c r="D3036" s="1" t="str">
        <f t="shared" si="85"/>
        <v>PRG-1021081</v>
      </c>
      <c r="E3036" t="s">
        <v>396</v>
      </c>
      <c r="F3036" t="s">
        <v>4</v>
      </c>
      <c r="G3036" t="str">
        <f>""</f>
        <v/>
      </c>
    </row>
    <row r="3037" spans="1:7" x14ac:dyDescent="0.25">
      <c r="A3037" t="s">
        <v>8</v>
      </c>
      <c r="B3037" s="1" t="str">
        <f>"2000126850 - RICH FOODS-CENTERPLATE (VSA)"</f>
        <v>2000126850 - RICH FOODS-CENTERPLATE (VSA)</v>
      </c>
      <c r="C3037" t="s">
        <v>3841</v>
      </c>
      <c r="D3037" s="1" t="str">
        <f t="shared" si="85"/>
        <v>PRG-1021081</v>
      </c>
      <c r="E3037" t="s">
        <v>396</v>
      </c>
      <c r="F3037" t="s">
        <v>4</v>
      </c>
      <c r="G3037" t="str">
        <f>""</f>
        <v/>
      </c>
    </row>
    <row r="3038" spans="1:7" x14ac:dyDescent="0.25">
      <c r="A3038" t="s">
        <v>8</v>
      </c>
      <c r="B3038" s="1" t="str">
        <f>"000126574 - RICH PRODS DC TRAVINIA"</f>
        <v>000126574 - RICH PRODS DC TRAVINIA</v>
      </c>
      <c r="C3038" t="s">
        <v>916</v>
      </c>
      <c r="D3038" s="1" t="str">
        <f t="shared" ref="D3038:D3044" si="86">"PRG-1021224"</f>
        <v>PRG-1021224</v>
      </c>
      <c r="E3038" t="s">
        <v>917</v>
      </c>
      <c r="F3038" t="s">
        <v>4</v>
      </c>
      <c r="G3038" t="str">
        <f>""</f>
        <v/>
      </c>
    </row>
    <row r="3039" spans="1:7" x14ac:dyDescent="0.25">
      <c r="A3039" t="s">
        <v>8</v>
      </c>
      <c r="B3039" s="1" t="str">
        <f>"000141642 - RICH PRODS DC TRAVINIA"</f>
        <v>000141642 - RICH PRODS DC TRAVINIA</v>
      </c>
      <c r="C3039" t="s">
        <v>916</v>
      </c>
      <c r="D3039" s="1" t="str">
        <f t="shared" si="86"/>
        <v>PRG-1021224</v>
      </c>
      <c r="E3039" t="s">
        <v>917</v>
      </c>
      <c r="F3039" t="s">
        <v>4</v>
      </c>
      <c r="G3039" t="str">
        <f>""</f>
        <v/>
      </c>
    </row>
    <row r="3040" spans="1:7" x14ac:dyDescent="0.25">
      <c r="A3040" t="s">
        <v>8</v>
      </c>
      <c r="B3040" s="1" t="str">
        <f>"000167918 - RICH DC TRAVINIA"</f>
        <v>000167918 - RICH DC TRAVINIA</v>
      </c>
      <c r="C3040" t="s">
        <v>1084</v>
      </c>
      <c r="D3040" s="1" t="str">
        <f t="shared" si="86"/>
        <v>PRG-1021224</v>
      </c>
      <c r="E3040" t="s">
        <v>917</v>
      </c>
      <c r="F3040" t="s">
        <v>4</v>
      </c>
      <c r="G3040" t="str">
        <f>""</f>
        <v/>
      </c>
    </row>
    <row r="3041" spans="1:7" x14ac:dyDescent="0.25">
      <c r="A3041" t="s">
        <v>8</v>
      </c>
      <c r="B3041" s="1" t="str">
        <f>"000200496 - RICH DC TRAVINIA"</f>
        <v>000200496 - RICH DC TRAVINIA</v>
      </c>
      <c r="C3041" t="s">
        <v>1084</v>
      </c>
      <c r="D3041" s="1" t="str">
        <f t="shared" si="86"/>
        <v>PRG-1021224</v>
      </c>
      <c r="E3041" t="s">
        <v>917</v>
      </c>
      <c r="F3041" t="s">
        <v>4</v>
      </c>
      <c r="G3041" t="str">
        <f>""</f>
        <v/>
      </c>
    </row>
    <row r="3042" spans="1:7" x14ac:dyDescent="0.25">
      <c r="A3042" t="s">
        <v>8</v>
      </c>
      <c r="B3042" s="1" t="str">
        <f>"000222407 - TRAVINIA-RICH'S CHEESECAKE"</f>
        <v>000222407 - TRAVINIA-RICH'S CHEESECAKE</v>
      </c>
      <c r="C3042" t="s">
        <v>1622</v>
      </c>
      <c r="D3042" s="1" t="str">
        <f t="shared" si="86"/>
        <v>PRG-1021224</v>
      </c>
      <c r="E3042" t="s">
        <v>917</v>
      </c>
      <c r="F3042" t="s">
        <v>4</v>
      </c>
      <c r="G3042" t="str">
        <f>""</f>
        <v/>
      </c>
    </row>
    <row r="3043" spans="1:7" x14ac:dyDescent="0.25">
      <c r="A3043" t="s">
        <v>8</v>
      </c>
      <c r="B3043" s="1" t="str">
        <f>"000241979 - RICH'S  TRAVINIA"</f>
        <v>000241979 - RICH'S  TRAVINIA</v>
      </c>
      <c r="C3043" t="s">
        <v>1933</v>
      </c>
      <c r="D3043" s="1" t="str">
        <f t="shared" si="86"/>
        <v>PRG-1021224</v>
      </c>
      <c r="E3043" t="s">
        <v>917</v>
      </c>
      <c r="F3043" t="s">
        <v>4</v>
      </c>
      <c r="G3043" t="str">
        <f>""</f>
        <v/>
      </c>
    </row>
    <row r="3044" spans="1:7" x14ac:dyDescent="0.25">
      <c r="A3044" t="s">
        <v>8</v>
      </c>
      <c r="B3044" s="1" t="str">
        <f>"000242196 - RICH PRODUCTS TRAVINIA ITALIAN"</f>
        <v>000242196 - RICH PRODUCTS TRAVINIA ITALIAN</v>
      </c>
      <c r="C3044" t="s">
        <v>1935</v>
      </c>
      <c r="D3044" s="1" t="str">
        <f t="shared" si="86"/>
        <v>PRG-1021224</v>
      </c>
      <c r="E3044" t="s">
        <v>917</v>
      </c>
      <c r="F3044" t="s">
        <v>4</v>
      </c>
      <c r="G3044" t="str">
        <f>""</f>
        <v/>
      </c>
    </row>
    <row r="3045" spans="1:7" x14ac:dyDescent="0.25">
      <c r="A3045" t="s">
        <v>8</v>
      </c>
      <c r="B3045" s="1" t="str">
        <f>"000368710 - RICH PRODUCTS HEN HOUSE EATERY"</f>
        <v>000368710 - RICH PRODUCTS HEN HOUSE EATERY</v>
      </c>
      <c r="C3045" t="s">
        <v>3617</v>
      </c>
      <c r="D3045" s="1" t="str">
        <f>"PRG-1021238"</f>
        <v>PRG-1021238</v>
      </c>
      <c r="E3045" t="s">
        <v>3618</v>
      </c>
      <c r="F3045" t="s">
        <v>4</v>
      </c>
      <c r="G3045" t="str">
        <f>""</f>
        <v/>
      </c>
    </row>
    <row r="3046" spans="1:7" x14ac:dyDescent="0.25">
      <c r="A3046" t="s">
        <v>8</v>
      </c>
      <c r="B3046" s="1" t="str">
        <f>"000265180 - RICH'S FOR RUSH B B"</f>
        <v>000265180 - RICH'S FOR RUSH B B</v>
      </c>
      <c r="C3046" t="s">
        <v>2379</v>
      </c>
      <c r="D3046" s="1" t="str">
        <f>"PRG-1021265"</f>
        <v>PRG-1021265</v>
      </c>
      <c r="E3046" t="s">
        <v>2380</v>
      </c>
      <c r="F3046" t="s">
        <v>4</v>
      </c>
      <c r="G3046" t="str">
        <f>""</f>
        <v/>
      </c>
    </row>
    <row r="3047" spans="1:7" x14ac:dyDescent="0.25">
      <c r="A3047" t="s">
        <v>8</v>
      </c>
      <c r="B3047" s="1" t="str">
        <f>"2000296135 - "</f>
        <v xml:space="preserve">2000296135 - </v>
      </c>
      <c r="D3047" s="1" t="str">
        <f>"PRG-1021322"</f>
        <v>PRG-1021322</v>
      </c>
      <c r="E3047" t="s">
        <v>370</v>
      </c>
      <c r="F3047" t="s">
        <v>4</v>
      </c>
      <c r="G3047" t="str">
        <f>""</f>
        <v/>
      </c>
    </row>
    <row r="3048" spans="1:7" x14ac:dyDescent="0.25">
      <c r="A3048" t="s">
        <v>8</v>
      </c>
      <c r="B3048" s="1" t="str">
        <f>"2000328185 - "</f>
        <v xml:space="preserve">2000328185 - </v>
      </c>
      <c r="D3048" s="1" t="str">
        <f>"PRG-1021322"</f>
        <v>PRG-1021322</v>
      </c>
      <c r="E3048" t="s">
        <v>370</v>
      </c>
      <c r="F3048" t="s">
        <v>4</v>
      </c>
      <c r="G3048" t="str">
        <f>""</f>
        <v/>
      </c>
    </row>
    <row r="3049" spans="1:7" x14ac:dyDescent="0.25">
      <c r="A3049" t="s">
        <v>8</v>
      </c>
      <c r="B3049" s="1" t="str">
        <f>"000195939 - RICHS CW"</f>
        <v>000195939 - RICHS CW</v>
      </c>
      <c r="C3049" t="s">
        <v>1258</v>
      </c>
      <c r="D3049" s="1" t="str">
        <f>"PRG-1021415"</f>
        <v>PRG-1021415</v>
      </c>
      <c r="E3049" t="s">
        <v>1259</v>
      </c>
      <c r="F3049" t="s">
        <v>4</v>
      </c>
      <c r="G3049" t="str">
        <f>""</f>
        <v/>
      </c>
    </row>
    <row r="3050" spans="1:7" x14ac:dyDescent="0.25">
      <c r="A3050" t="s">
        <v>8</v>
      </c>
      <c r="B3050" s="1" t="str">
        <f>"22504499"</f>
        <v>22504499</v>
      </c>
      <c r="C3050" t="s">
        <v>4355</v>
      </c>
      <c r="D3050" s="1" t="str">
        <f>"PRG-1021416"</f>
        <v>PRG-1021416</v>
      </c>
      <c r="E3050" t="s">
        <v>4356</v>
      </c>
      <c r="F3050" t="s">
        <v>5</v>
      </c>
      <c r="G3050" t="str">
        <f>""</f>
        <v/>
      </c>
    </row>
    <row r="3051" spans="1:7" x14ac:dyDescent="0.25">
      <c r="A3051" t="s">
        <v>8</v>
      </c>
      <c r="B3051" s="1" t="str">
        <f>"22507087"</f>
        <v>22507087</v>
      </c>
      <c r="C3051" t="s">
        <v>4361</v>
      </c>
      <c r="D3051" s="1" t="str">
        <f>"PRG-1021416"</f>
        <v>PRG-1021416</v>
      </c>
      <c r="E3051" t="s">
        <v>4356</v>
      </c>
      <c r="F3051" t="s">
        <v>5</v>
      </c>
      <c r="G3051" t="str">
        <f>""</f>
        <v/>
      </c>
    </row>
    <row r="3052" spans="1:7" x14ac:dyDescent="0.25">
      <c r="A3052" t="s">
        <v>8</v>
      </c>
      <c r="B3052" s="1" t="str">
        <f>"000275013 - RICH(BB) NYPD"</f>
        <v>000275013 - RICH(BB) NYPD</v>
      </c>
      <c r="C3052" t="s">
        <v>2553</v>
      </c>
      <c r="D3052" s="1" t="str">
        <f>"PRG-1021420"</f>
        <v>PRG-1021420</v>
      </c>
      <c r="E3052" t="s">
        <v>2554</v>
      </c>
      <c r="F3052" t="s">
        <v>4</v>
      </c>
      <c r="G3052" t="str">
        <f>""</f>
        <v/>
      </c>
    </row>
    <row r="3053" spans="1:7" x14ac:dyDescent="0.25">
      <c r="A3053" t="s">
        <v>8</v>
      </c>
      <c r="B3053" s="1" t="str">
        <f>"000114373 - RICH PROD -MKT DEV ALL CUST"</f>
        <v>000114373 - RICH PROD -MKT DEV ALL CUST</v>
      </c>
      <c r="C3053" t="s">
        <v>854</v>
      </c>
      <c r="D3053" s="1" t="str">
        <f>"PRG-1021438"</f>
        <v>PRG-1021438</v>
      </c>
      <c r="E3053" t="s">
        <v>855</v>
      </c>
      <c r="F3053" t="s">
        <v>4</v>
      </c>
      <c r="G3053" t="str">
        <f>""</f>
        <v/>
      </c>
    </row>
    <row r="3054" spans="1:7" x14ac:dyDescent="0.25">
      <c r="A3054" t="s">
        <v>8</v>
      </c>
      <c r="B3054" s="1" t="str">
        <f>"000208923 - RICHS BLACKSTONE REDS ALEHOUSE"</f>
        <v>000208923 - RICHS BLACKSTONE REDS ALEHOUSE</v>
      </c>
      <c r="C3054" t="s">
        <v>1414</v>
      </c>
      <c r="D3054" s="1" t="str">
        <f>"PRG-1021439"</f>
        <v>PRG-1021439</v>
      </c>
      <c r="E3054" t="s">
        <v>1415</v>
      </c>
      <c r="F3054" t="s">
        <v>4</v>
      </c>
      <c r="G3054" t="str">
        <f>""</f>
        <v/>
      </c>
    </row>
    <row r="3055" spans="1:7" x14ac:dyDescent="0.25">
      <c r="A3055" t="s">
        <v>8</v>
      </c>
      <c r="B3055" s="1" t="str">
        <f>"000203514 - RICH'S CARMEL CAFE"</f>
        <v>000203514 - RICH'S CARMEL CAFE</v>
      </c>
      <c r="C3055" t="s">
        <v>1338</v>
      </c>
      <c r="D3055" s="1" t="str">
        <f>"PRG-1021502"</f>
        <v>PRG-1021502</v>
      </c>
      <c r="E3055" t="s">
        <v>1339</v>
      </c>
      <c r="F3055" t="s">
        <v>4</v>
      </c>
      <c r="G3055" t="str">
        <f>""</f>
        <v/>
      </c>
    </row>
    <row r="3056" spans="1:7" x14ac:dyDescent="0.25">
      <c r="A3056" t="s">
        <v>8</v>
      </c>
      <c r="B3056" s="1" t="str">
        <f>"000275578 - RICH PRODUCTS-CARMEL CAFE"</f>
        <v>000275578 - RICH PRODUCTS-CARMEL CAFE</v>
      </c>
      <c r="C3056" t="s">
        <v>2558</v>
      </c>
      <c r="D3056" s="1" t="str">
        <f>"PRG-1021502"</f>
        <v>PRG-1021502</v>
      </c>
      <c r="E3056" t="s">
        <v>1339</v>
      </c>
      <c r="F3056" t="s">
        <v>4</v>
      </c>
      <c r="G3056" t="str">
        <f>""</f>
        <v/>
      </c>
    </row>
    <row r="3057" spans="1:7" x14ac:dyDescent="0.25">
      <c r="A3057" t="s">
        <v>8</v>
      </c>
      <c r="B3057" s="1" t="str">
        <f>"000096927 - RICHES HAMILTON CATERING"</f>
        <v>000096927 - RICHES HAMILTON CATERING</v>
      </c>
      <c r="C3057" t="s">
        <v>789</v>
      </c>
      <c r="D3057" s="1" t="str">
        <f>"PRG-1021535"</f>
        <v>PRG-1021535</v>
      </c>
      <c r="E3057" t="s">
        <v>790</v>
      </c>
      <c r="F3057" t="s">
        <v>4</v>
      </c>
      <c r="G3057" t="str">
        <f>""</f>
        <v/>
      </c>
    </row>
    <row r="3058" spans="1:7" x14ac:dyDescent="0.25">
      <c r="A3058" t="s">
        <v>8</v>
      </c>
      <c r="B3058" s="1" t="str">
        <f>"2180D141"</f>
        <v>2180D141</v>
      </c>
      <c r="C3058" t="s">
        <v>4193</v>
      </c>
      <c r="D3058" s="1" t="str">
        <f>"PRG-1021552"</f>
        <v>PRG-1021552</v>
      </c>
      <c r="E3058" t="s">
        <v>4194</v>
      </c>
      <c r="F3058" t="s">
        <v>5</v>
      </c>
      <c r="G3058" t="str">
        <f>""</f>
        <v/>
      </c>
    </row>
    <row r="3059" spans="1:7" x14ac:dyDescent="0.25">
      <c r="A3059" t="s">
        <v>8</v>
      </c>
      <c r="B3059" s="1" t="str">
        <f>"000196296 - RICHS BLACK PELICAN"</f>
        <v>000196296 - RICHS BLACK PELICAN</v>
      </c>
      <c r="C3059" t="s">
        <v>1260</v>
      </c>
      <c r="D3059" s="1" t="str">
        <f>"PRG-1021584"</f>
        <v>PRG-1021584</v>
      </c>
      <c r="E3059" t="s">
        <v>1261</v>
      </c>
      <c r="F3059" t="s">
        <v>4</v>
      </c>
      <c r="G3059" t="str">
        <f>""</f>
        <v/>
      </c>
    </row>
    <row r="3060" spans="1:7" x14ac:dyDescent="0.25">
      <c r="A3060" t="s">
        <v>8</v>
      </c>
      <c r="B3060" s="1" t="str">
        <f>"000169096 - RICH DC RIDGECREST COFFEE BAR"</f>
        <v>000169096 - RICH DC RIDGECREST COFFEE BAR</v>
      </c>
      <c r="C3060" t="s">
        <v>1092</v>
      </c>
      <c r="D3060" s="1" t="str">
        <f>"PRG-1021595"</f>
        <v>PRG-1021595</v>
      </c>
      <c r="E3060" t="s">
        <v>1093</v>
      </c>
      <c r="F3060" t="s">
        <v>4</v>
      </c>
      <c r="G3060" t="str">
        <f>""</f>
        <v/>
      </c>
    </row>
    <row r="3061" spans="1:7" x14ac:dyDescent="0.25">
      <c r="A3061" t="s">
        <v>8</v>
      </c>
      <c r="B3061" s="1" t="str">
        <f>"000231730 - RICHS-MHCOOP"</f>
        <v>000231730 - RICHS-MHCOOP</v>
      </c>
      <c r="C3061" t="s">
        <v>1772</v>
      </c>
      <c r="D3061" s="1" t="str">
        <f>"PRG-1021604"</f>
        <v>PRG-1021604</v>
      </c>
      <c r="E3061" t="s">
        <v>1773</v>
      </c>
      <c r="F3061" t="s">
        <v>4</v>
      </c>
      <c r="G3061" t="str">
        <f>""</f>
        <v/>
      </c>
    </row>
    <row r="3062" spans="1:7" x14ac:dyDescent="0.25">
      <c r="A3062" t="s">
        <v>8</v>
      </c>
      <c r="B3062" s="1" t="str">
        <f>"3220A551"</f>
        <v>3220A551</v>
      </c>
      <c r="C3062" t="s">
        <v>4817</v>
      </c>
      <c r="D3062" s="1" t="str">
        <f>"PRG-1021606"</f>
        <v>PRG-1021606</v>
      </c>
      <c r="E3062" t="s">
        <v>4818</v>
      </c>
      <c r="F3062" t="s">
        <v>5</v>
      </c>
      <c r="G3062" t="str">
        <f>""</f>
        <v/>
      </c>
    </row>
    <row r="3063" spans="1:7" x14ac:dyDescent="0.25">
      <c r="A3063" t="s">
        <v>8</v>
      </c>
      <c r="B3063" s="1" t="str">
        <f>"000235139 - HEARTLAND GOURMET RICHS"</f>
        <v>000235139 - HEARTLAND GOURMET RICHS</v>
      </c>
      <c r="C3063" t="s">
        <v>1837</v>
      </c>
      <c r="D3063" s="1" t="str">
        <f>"PRG-1021649"</f>
        <v>PRG-1021649</v>
      </c>
      <c r="E3063" t="s">
        <v>1838</v>
      </c>
      <c r="F3063" t="s">
        <v>4</v>
      </c>
      <c r="G3063" t="str">
        <f>""</f>
        <v/>
      </c>
    </row>
    <row r="3064" spans="1:7" x14ac:dyDescent="0.25">
      <c r="A3064" t="s">
        <v>8</v>
      </c>
      <c r="B3064" s="1" t="str">
        <f>"2180D142"</f>
        <v>2180D142</v>
      </c>
      <c r="C3064" t="s">
        <v>4195</v>
      </c>
      <c r="D3064" s="1" t="str">
        <f>"PRG-1021654"</f>
        <v>PRG-1021654</v>
      </c>
      <c r="E3064" t="s">
        <v>4196</v>
      </c>
      <c r="F3064" t="s">
        <v>5</v>
      </c>
      <c r="G3064" t="str">
        <f>""</f>
        <v/>
      </c>
    </row>
    <row r="3065" spans="1:7" x14ac:dyDescent="0.25">
      <c r="A3065" t="s">
        <v>8</v>
      </c>
      <c r="B3065" s="1" t="str">
        <f>"2185D841"</f>
        <v>2185D841</v>
      </c>
      <c r="C3065" t="s">
        <v>4215</v>
      </c>
      <c r="D3065" s="1" t="str">
        <f>"PRG-1021654"</f>
        <v>PRG-1021654</v>
      </c>
      <c r="E3065" t="s">
        <v>4196</v>
      </c>
      <c r="F3065" t="s">
        <v>5</v>
      </c>
      <c r="G3065" t="str">
        <f>""</f>
        <v/>
      </c>
    </row>
    <row r="3066" spans="1:7" x14ac:dyDescent="0.25">
      <c r="A3066" t="s">
        <v>8</v>
      </c>
      <c r="B3066" s="1" t="str">
        <f>"2185D842"</f>
        <v>2185D842</v>
      </c>
      <c r="C3066" t="s">
        <v>4216</v>
      </c>
      <c r="D3066" s="1" t="str">
        <f>"PRG-1021654"</f>
        <v>PRG-1021654</v>
      </c>
      <c r="E3066" t="s">
        <v>4196</v>
      </c>
      <c r="F3066" t="s">
        <v>5</v>
      </c>
      <c r="G3066" t="str">
        <f>""</f>
        <v/>
      </c>
    </row>
    <row r="3067" spans="1:7" x14ac:dyDescent="0.25">
      <c r="A3067" t="s">
        <v>8</v>
      </c>
      <c r="B3067" s="1" t="str">
        <f>"2185D843"</f>
        <v>2185D843</v>
      </c>
      <c r="C3067" t="s">
        <v>4217</v>
      </c>
      <c r="D3067" s="1" t="str">
        <f>"PRG-1021654"</f>
        <v>PRG-1021654</v>
      </c>
      <c r="E3067" t="s">
        <v>4196</v>
      </c>
      <c r="F3067" t="s">
        <v>5</v>
      </c>
      <c r="G3067" t="str">
        <f>""</f>
        <v/>
      </c>
    </row>
    <row r="3068" spans="1:7" x14ac:dyDescent="0.25">
      <c r="A3068" t="s">
        <v>8</v>
      </c>
      <c r="B3068" s="1" t="str">
        <f>"000006684 - OSSEO SCHLS RICHS REBATE"</f>
        <v>000006684 - OSSEO SCHLS RICHS REBATE</v>
      </c>
      <c r="C3068" t="s">
        <v>244</v>
      </c>
      <c r="D3068" s="1" t="str">
        <f t="shared" ref="D3068:D3099" si="87">"PRG-1021685"</f>
        <v>PRG-1021685</v>
      </c>
      <c r="E3068" t="s">
        <v>245</v>
      </c>
      <c r="F3068" t="s">
        <v>4</v>
      </c>
      <c r="G3068" t="str">
        <f>""</f>
        <v/>
      </c>
    </row>
    <row r="3069" spans="1:7" x14ac:dyDescent="0.25">
      <c r="A3069" t="s">
        <v>8</v>
      </c>
      <c r="B3069" s="1" t="str">
        <f>"000007160 - ALEXANDRIA SCHLS RICHS REBATE"</f>
        <v>000007160 - ALEXANDRIA SCHLS RICHS REBATE</v>
      </c>
      <c r="C3069" t="s">
        <v>256</v>
      </c>
      <c r="D3069" s="1" t="str">
        <f t="shared" si="87"/>
        <v>PRG-1021685</v>
      </c>
      <c r="E3069" t="s">
        <v>245</v>
      </c>
      <c r="F3069" t="s">
        <v>4</v>
      </c>
      <c r="G3069" t="str">
        <f>""</f>
        <v/>
      </c>
    </row>
    <row r="3070" spans="1:7" x14ac:dyDescent="0.25">
      <c r="A3070" t="s">
        <v>8</v>
      </c>
      <c r="B3070" s="1" t="str">
        <f>"000007668 - ANOKA SCHOOLS RICHS REBATE"</f>
        <v>000007668 - ANOKA SCHOOLS RICHS REBATE</v>
      </c>
      <c r="C3070" t="s">
        <v>268</v>
      </c>
      <c r="D3070" s="1" t="str">
        <f t="shared" si="87"/>
        <v>PRG-1021685</v>
      </c>
      <c r="E3070" t="s">
        <v>245</v>
      </c>
      <c r="F3070" t="s">
        <v>4</v>
      </c>
      <c r="G3070" t="str">
        <f>""</f>
        <v/>
      </c>
    </row>
    <row r="3071" spans="1:7" x14ac:dyDescent="0.25">
      <c r="A3071" t="s">
        <v>8</v>
      </c>
      <c r="B3071" s="1" t="str">
        <f>"000008943 - BLANKET BID RICHS SY14-15"</f>
        <v>000008943 - BLANKET BID RICHS SY14-15</v>
      </c>
      <c r="C3071" t="s">
        <v>289</v>
      </c>
      <c r="D3071" s="1" t="str">
        <f t="shared" si="87"/>
        <v>PRG-1021685</v>
      </c>
      <c r="E3071" t="s">
        <v>245</v>
      </c>
      <c r="F3071" t="s">
        <v>4</v>
      </c>
      <c r="G3071" t="str">
        <f>""</f>
        <v/>
      </c>
    </row>
    <row r="3072" spans="1:7" x14ac:dyDescent="0.25">
      <c r="A3072" t="s">
        <v>8</v>
      </c>
      <c r="B3072" s="1" t="str">
        <f>"000085799 - BID-RICH BLANKET"</f>
        <v>000085799 - BID-RICH BLANKET</v>
      </c>
      <c r="C3072" t="s">
        <v>763</v>
      </c>
      <c r="D3072" s="1" t="str">
        <f t="shared" si="87"/>
        <v>PRG-1021685</v>
      </c>
      <c r="E3072" t="s">
        <v>245</v>
      </c>
      <c r="F3072" t="s">
        <v>4</v>
      </c>
      <c r="G3072" t="str">
        <f>""</f>
        <v/>
      </c>
    </row>
    <row r="3073" spans="1:7" x14ac:dyDescent="0.25">
      <c r="A3073" t="s">
        <v>8</v>
      </c>
      <c r="B3073" s="1" t="str">
        <f>"000108031 - RICHS(06) - SCHOOL BLANKET"</f>
        <v>000108031 - RICHS(06) - SCHOOL BLANKET</v>
      </c>
      <c r="C3073" t="s">
        <v>824</v>
      </c>
      <c r="D3073" s="1" t="str">
        <f t="shared" si="87"/>
        <v>PRG-1021685</v>
      </c>
      <c r="E3073" t="s">
        <v>245</v>
      </c>
      <c r="F3073" t="s">
        <v>4</v>
      </c>
      <c r="G3073" t="str">
        <f>""</f>
        <v/>
      </c>
    </row>
    <row r="3074" spans="1:7" x14ac:dyDescent="0.25">
      <c r="A3074" t="s">
        <v>8</v>
      </c>
      <c r="B3074" s="1" t="str">
        <f>"000109546 - RICHS - PENDER B198"</f>
        <v>000109546 - RICHS - PENDER B198</v>
      </c>
      <c r="C3074" t="s">
        <v>827</v>
      </c>
      <c r="D3074" s="1" t="str">
        <f t="shared" si="87"/>
        <v>PRG-1021685</v>
      </c>
      <c r="E3074" t="s">
        <v>245</v>
      </c>
      <c r="F3074" t="s">
        <v>4</v>
      </c>
      <c r="G3074" t="str">
        <f>""</f>
        <v/>
      </c>
    </row>
    <row r="3075" spans="1:7" x14ac:dyDescent="0.25">
      <c r="A3075" t="s">
        <v>8</v>
      </c>
      <c r="B3075" s="1" t="str">
        <f>"000120881 - RICHS BLANKET K-12"</f>
        <v>000120881 - RICHS BLANKET K-12</v>
      </c>
      <c r="C3075" t="s">
        <v>888</v>
      </c>
      <c r="D3075" s="1" t="str">
        <f t="shared" si="87"/>
        <v>PRG-1021685</v>
      </c>
      <c r="E3075" t="s">
        <v>245</v>
      </c>
      <c r="F3075" t="s">
        <v>4</v>
      </c>
      <c r="G3075" t="str">
        <f>""</f>
        <v/>
      </c>
    </row>
    <row r="3076" spans="1:7" x14ac:dyDescent="0.25">
      <c r="A3076" t="s">
        <v>8</v>
      </c>
      <c r="B3076" s="1" t="str">
        <f>"000122171 - RICHS NDESC"</f>
        <v>000122171 - RICHS NDESC</v>
      </c>
      <c r="C3076" t="s">
        <v>896</v>
      </c>
      <c r="D3076" s="1" t="str">
        <f t="shared" si="87"/>
        <v>PRG-1021685</v>
      </c>
      <c r="E3076" t="s">
        <v>245</v>
      </c>
      <c r="F3076" t="s">
        <v>4</v>
      </c>
      <c r="G3076" t="str">
        <f>""</f>
        <v/>
      </c>
    </row>
    <row r="3077" spans="1:7" x14ac:dyDescent="0.25">
      <c r="A3077" t="s">
        <v>8</v>
      </c>
      <c r="B3077" s="1" t="str">
        <f>"000131539 - RICHS SCHOOL BLANKET BID"</f>
        <v>000131539 - RICHS SCHOOL BLANKET BID</v>
      </c>
      <c r="C3077" t="s">
        <v>938</v>
      </c>
      <c r="D3077" s="1" t="str">
        <f t="shared" si="87"/>
        <v>PRG-1021685</v>
      </c>
      <c r="E3077" t="s">
        <v>245</v>
      </c>
      <c r="F3077" t="s">
        <v>4</v>
      </c>
      <c r="G3077" t="str">
        <f>""</f>
        <v/>
      </c>
    </row>
    <row r="3078" spans="1:7" x14ac:dyDescent="0.25">
      <c r="A3078" t="s">
        <v>8</v>
      </c>
      <c r="B3078" s="1" t="str">
        <f>"000135352 - RICHS PINCO BID"</f>
        <v>000135352 - RICHS PINCO BID</v>
      </c>
      <c r="C3078" t="s">
        <v>955</v>
      </c>
      <c r="D3078" s="1" t="str">
        <f t="shared" si="87"/>
        <v>PRG-1021685</v>
      </c>
      <c r="E3078" t="s">
        <v>245</v>
      </c>
      <c r="F3078" t="s">
        <v>4</v>
      </c>
      <c r="G3078" t="str">
        <f>""</f>
        <v/>
      </c>
    </row>
    <row r="3079" spans="1:7" x14ac:dyDescent="0.25">
      <c r="A3079" t="s">
        <v>8</v>
      </c>
      <c r="B3079" s="1" t="str">
        <f>"000159334 - RICH'S K-12"</f>
        <v>000159334 - RICH'S K-12</v>
      </c>
      <c r="C3079" t="s">
        <v>1037</v>
      </c>
      <c r="D3079" s="1" t="str">
        <f t="shared" si="87"/>
        <v>PRG-1021685</v>
      </c>
      <c r="E3079" t="s">
        <v>245</v>
      </c>
      <c r="F3079" t="s">
        <v>4</v>
      </c>
      <c r="G3079" t="str">
        <f>""</f>
        <v/>
      </c>
    </row>
    <row r="3080" spans="1:7" x14ac:dyDescent="0.25">
      <c r="A3080" t="s">
        <v>8</v>
      </c>
      <c r="B3080" s="1" t="str">
        <f>"000165122 - RICH'S B077 USDA NH  14 15"</f>
        <v>000165122 - RICH'S B077 USDA NH  14 15</v>
      </c>
      <c r="C3080" t="s">
        <v>1074</v>
      </c>
      <c r="D3080" s="1" t="str">
        <f t="shared" si="87"/>
        <v>PRG-1021685</v>
      </c>
      <c r="E3080" t="s">
        <v>245</v>
      </c>
      <c r="F3080" t="s">
        <v>4</v>
      </c>
      <c r="G3080" t="str">
        <f>""</f>
        <v/>
      </c>
    </row>
    <row r="3081" spans="1:7" x14ac:dyDescent="0.25">
      <c r="A3081" t="s">
        <v>8</v>
      </c>
      <c r="B3081" s="1" t="str">
        <f>"000180296 - NAT'L BLANKET SCHOOLS RICH"</f>
        <v>000180296 - NAT'L BLANKET SCHOOLS RICH</v>
      </c>
      <c r="C3081" t="s">
        <v>1140</v>
      </c>
      <c r="D3081" s="1" t="str">
        <f t="shared" si="87"/>
        <v>PRG-1021685</v>
      </c>
      <c r="E3081" t="s">
        <v>245</v>
      </c>
      <c r="F3081" t="s">
        <v>4</v>
      </c>
      <c r="G3081" t="str">
        <f>""</f>
        <v/>
      </c>
    </row>
    <row r="3082" spans="1:7" x14ac:dyDescent="0.25">
      <c r="A3082" t="s">
        <v>8</v>
      </c>
      <c r="B3082" s="1" t="str">
        <f>"000197544 - RICH'S VA&amp;NC SCHOOL BLANKET"</f>
        <v>000197544 - RICH'S VA&amp;NC SCHOOL BLANKET</v>
      </c>
      <c r="C3082" t="s">
        <v>1277</v>
      </c>
      <c r="D3082" s="1" t="str">
        <f t="shared" si="87"/>
        <v>PRG-1021685</v>
      </c>
      <c r="E3082" t="s">
        <v>245</v>
      </c>
      <c r="F3082" t="s">
        <v>4</v>
      </c>
      <c r="G3082" t="str">
        <f>""</f>
        <v/>
      </c>
    </row>
    <row r="3083" spans="1:7" x14ac:dyDescent="0.25">
      <c r="A3083" t="s">
        <v>8</v>
      </c>
      <c r="B3083" s="1" t="str">
        <f>"000199145 - RICH - SPARC FY2015"</f>
        <v>000199145 - RICH - SPARC FY2015</v>
      </c>
      <c r="C3083" t="s">
        <v>1289</v>
      </c>
      <c r="D3083" s="1" t="str">
        <f t="shared" si="87"/>
        <v>PRG-1021685</v>
      </c>
      <c r="E3083" t="s">
        <v>245</v>
      </c>
      <c r="F3083" t="s">
        <v>4</v>
      </c>
      <c r="G3083" t="str">
        <f>""</f>
        <v/>
      </c>
    </row>
    <row r="3084" spans="1:7" x14ac:dyDescent="0.25">
      <c r="A3084" t="s">
        <v>8</v>
      </c>
      <c r="B3084" s="1" t="str">
        <f>"000199538 - RICHS NC SCHOOL BLANKET"</f>
        <v>000199538 - RICHS NC SCHOOL BLANKET</v>
      </c>
      <c r="C3084" t="s">
        <v>1291</v>
      </c>
      <c r="D3084" s="1" t="str">
        <f t="shared" si="87"/>
        <v>PRG-1021685</v>
      </c>
      <c r="E3084" t="s">
        <v>245</v>
      </c>
      <c r="F3084" t="s">
        <v>4</v>
      </c>
      <c r="G3084" t="str">
        <f>""</f>
        <v/>
      </c>
    </row>
    <row r="3085" spans="1:7" x14ac:dyDescent="0.25">
      <c r="A3085" t="s">
        <v>8</v>
      </c>
      <c r="B3085" s="1" t="str">
        <f>"000201223 - RICH PROD.   MEC SCHLS"</f>
        <v>000201223 - RICH PROD.   MEC SCHLS</v>
      </c>
      <c r="C3085" t="s">
        <v>1312</v>
      </c>
      <c r="D3085" s="1" t="str">
        <f t="shared" si="87"/>
        <v>PRG-1021685</v>
      </c>
      <c r="E3085" t="s">
        <v>245</v>
      </c>
      <c r="F3085" t="s">
        <v>4</v>
      </c>
      <c r="G3085" t="str">
        <f>""</f>
        <v/>
      </c>
    </row>
    <row r="3086" spans="1:7" x14ac:dyDescent="0.25">
      <c r="A3086" t="s">
        <v>8</v>
      </c>
      <c r="B3086" s="1" t="str">
        <f>"000201361 - RICH PROD.  APC SCHOOLS"</f>
        <v>000201361 - RICH PROD.  APC SCHOOLS</v>
      </c>
      <c r="C3086" t="s">
        <v>1314</v>
      </c>
      <c r="D3086" s="1" t="str">
        <f t="shared" si="87"/>
        <v>PRG-1021685</v>
      </c>
      <c r="E3086" t="s">
        <v>245</v>
      </c>
      <c r="F3086" t="s">
        <v>4</v>
      </c>
      <c r="G3086" t="str">
        <f>""</f>
        <v/>
      </c>
    </row>
    <row r="3087" spans="1:7" x14ac:dyDescent="0.25">
      <c r="A3087" t="s">
        <v>8</v>
      </c>
      <c r="B3087" s="1" t="str">
        <f>"000202737 - RICH-SIMPLIFIED CULINARY"</f>
        <v>000202737 - RICH-SIMPLIFIED CULINARY</v>
      </c>
      <c r="C3087" t="s">
        <v>1334</v>
      </c>
      <c r="D3087" s="1" t="str">
        <f t="shared" si="87"/>
        <v>PRG-1021685</v>
      </c>
      <c r="E3087" t="s">
        <v>245</v>
      </c>
      <c r="F3087" t="s">
        <v>4</v>
      </c>
      <c r="G3087" t="str">
        <f>""</f>
        <v/>
      </c>
    </row>
    <row r="3088" spans="1:7" x14ac:dyDescent="0.25">
      <c r="A3088" t="s">
        <v>8</v>
      </c>
      <c r="B3088" s="1" t="str">
        <f>"000207222 - BLANKET SCHL BID RICH PRODUCTS"</f>
        <v>000207222 - BLANKET SCHL BID RICH PRODUCTS</v>
      </c>
      <c r="C3088" t="s">
        <v>1378</v>
      </c>
      <c r="D3088" s="1" t="str">
        <f t="shared" si="87"/>
        <v>PRG-1021685</v>
      </c>
      <c r="E3088" t="s">
        <v>245</v>
      </c>
      <c r="F3088" t="s">
        <v>4</v>
      </c>
      <c r="G3088" t="str">
        <f>""</f>
        <v/>
      </c>
    </row>
    <row r="3089" spans="1:7" x14ac:dyDescent="0.25">
      <c r="A3089" t="s">
        <v>8</v>
      </c>
      <c r="B3089" s="1" t="str">
        <f>"000211557 - RICH K-12 NAT SCHOOL BID"</f>
        <v>000211557 - RICH K-12 NAT SCHOOL BID</v>
      </c>
      <c r="C3089" t="s">
        <v>1452</v>
      </c>
      <c r="D3089" s="1" t="str">
        <f t="shared" si="87"/>
        <v>PRG-1021685</v>
      </c>
      <c r="E3089" t="s">
        <v>245</v>
      </c>
      <c r="F3089" t="s">
        <v>4</v>
      </c>
      <c r="G3089" t="str">
        <f>""</f>
        <v/>
      </c>
    </row>
    <row r="3090" spans="1:7" x14ac:dyDescent="0.25">
      <c r="A3090" t="s">
        <v>8</v>
      </c>
      <c r="B3090" s="1" t="str">
        <f>"000212802 - RICH BLANKET SCHOOL DEAL"</f>
        <v>000212802 - RICH BLANKET SCHOOL DEAL</v>
      </c>
      <c r="C3090" t="s">
        <v>1468</v>
      </c>
      <c r="D3090" s="1" t="str">
        <f t="shared" si="87"/>
        <v>PRG-1021685</v>
      </c>
      <c r="E3090" t="s">
        <v>245</v>
      </c>
      <c r="F3090" t="s">
        <v>4</v>
      </c>
      <c r="G3090" t="str">
        <f>""</f>
        <v/>
      </c>
    </row>
    <row r="3091" spans="1:7" x14ac:dyDescent="0.25">
      <c r="A3091" t="s">
        <v>8</v>
      </c>
      <c r="B3091" s="1" t="str">
        <f>"000214975 - RICH'S  JCPS"</f>
        <v>000214975 - RICH'S  JCPS</v>
      </c>
      <c r="C3091" t="s">
        <v>1512</v>
      </c>
      <c r="D3091" s="1" t="str">
        <f t="shared" si="87"/>
        <v>PRG-1021685</v>
      </c>
      <c r="E3091" t="s">
        <v>245</v>
      </c>
      <c r="F3091" t="s">
        <v>4</v>
      </c>
      <c r="G3091" t="str">
        <f>""</f>
        <v/>
      </c>
    </row>
    <row r="3092" spans="1:7" x14ac:dyDescent="0.25">
      <c r="A3092" t="s">
        <v>8</v>
      </c>
      <c r="B3092" s="1" t="str">
        <f>"000225810 - RICH WINCHESTER"</f>
        <v>000225810 - RICH WINCHESTER</v>
      </c>
      <c r="C3092" t="s">
        <v>1677</v>
      </c>
      <c r="D3092" s="1" t="str">
        <f t="shared" si="87"/>
        <v>PRG-1021685</v>
      </c>
      <c r="E3092" t="s">
        <v>245</v>
      </c>
      <c r="F3092" t="s">
        <v>4</v>
      </c>
      <c r="G3092" t="str">
        <f>""</f>
        <v/>
      </c>
    </row>
    <row r="3093" spans="1:7" x14ac:dyDescent="0.25">
      <c r="A3093" t="s">
        <v>8</v>
      </c>
      <c r="B3093" s="1" t="str">
        <f>"000227272 - RICHS   K-12"</f>
        <v>000227272 - RICHS   K-12</v>
      </c>
      <c r="C3093" t="s">
        <v>1706</v>
      </c>
      <c r="D3093" s="1" t="str">
        <f t="shared" si="87"/>
        <v>PRG-1021685</v>
      </c>
      <c r="E3093" t="s">
        <v>245</v>
      </c>
      <c r="F3093" t="s">
        <v>4</v>
      </c>
      <c r="G3093" t="str">
        <f>""</f>
        <v/>
      </c>
    </row>
    <row r="3094" spans="1:7" x14ac:dyDescent="0.25">
      <c r="A3094" t="s">
        <v>8</v>
      </c>
      <c r="B3094" s="1" t="str">
        <f>"000227615 - RICHS SCHOOL BLANKET"</f>
        <v>000227615 - RICHS SCHOOL BLANKET</v>
      </c>
      <c r="C3094" t="s">
        <v>1711</v>
      </c>
      <c r="D3094" s="1" t="str">
        <f t="shared" si="87"/>
        <v>PRG-1021685</v>
      </c>
      <c r="E3094" t="s">
        <v>245</v>
      </c>
      <c r="F3094" t="s">
        <v>4</v>
      </c>
      <c r="G3094" t="str">
        <f>""</f>
        <v/>
      </c>
    </row>
    <row r="3095" spans="1:7" x14ac:dyDescent="0.25">
      <c r="A3095" t="s">
        <v>8</v>
      </c>
      <c r="B3095" s="1" t="str">
        <f>"000227619 - RICH PRODUCTS K-12 BLANKET"</f>
        <v>000227619 - RICH PRODUCTS K-12 BLANKET</v>
      </c>
      <c r="C3095" t="s">
        <v>1712</v>
      </c>
      <c r="D3095" s="1" t="str">
        <f t="shared" si="87"/>
        <v>PRG-1021685</v>
      </c>
      <c r="E3095" t="s">
        <v>245</v>
      </c>
      <c r="F3095" t="s">
        <v>4</v>
      </c>
      <c r="G3095" t="str">
        <f>""</f>
        <v/>
      </c>
    </row>
    <row r="3096" spans="1:7" x14ac:dyDescent="0.25">
      <c r="A3096" t="s">
        <v>8</v>
      </c>
      <c r="B3096" s="1" t="str">
        <f>"000233753 - RICH WASHINGTONVILLE"</f>
        <v>000233753 - RICH WASHINGTONVILLE</v>
      </c>
      <c r="C3096" t="s">
        <v>1807</v>
      </c>
      <c r="D3096" s="1" t="str">
        <f t="shared" si="87"/>
        <v>PRG-1021685</v>
      </c>
      <c r="E3096" t="s">
        <v>245</v>
      </c>
      <c r="F3096" t="s">
        <v>4</v>
      </c>
      <c r="G3096" t="str">
        <f>""</f>
        <v/>
      </c>
    </row>
    <row r="3097" spans="1:7" x14ac:dyDescent="0.25">
      <c r="A3097" t="s">
        <v>8</v>
      </c>
      <c r="B3097" s="1" t="str">
        <f>"000236052 - RICH SCHOOL BLANKET"</f>
        <v>000236052 - RICH SCHOOL BLANKET</v>
      </c>
      <c r="C3097" t="s">
        <v>1139</v>
      </c>
      <c r="D3097" s="1" t="str">
        <f t="shared" si="87"/>
        <v>PRG-1021685</v>
      </c>
      <c r="E3097" t="s">
        <v>245</v>
      </c>
      <c r="F3097" t="s">
        <v>4</v>
      </c>
      <c r="G3097" t="str">
        <f>""</f>
        <v/>
      </c>
    </row>
    <row r="3098" spans="1:7" x14ac:dyDescent="0.25">
      <c r="A3098" t="s">
        <v>8</v>
      </c>
      <c r="B3098" s="1" t="str">
        <f>"000239981 - NPSO RICHS"</f>
        <v>000239981 - NPSO RICHS</v>
      </c>
      <c r="C3098" t="s">
        <v>1901</v>
      </c>
      <c r="D3098" s="1" t="str">
        <f t="shared" si="87"/>
        <v>PRG-1021685</v>
      </c>
      <c r="E3098" t="s">
        <v>245</v>
      </c>
      <c r="F3098" t="s">
        <v>4</v>
      </c>
      <c r="G3098" t="str">
        <f>""</f>
        <v/>
      </c>
    </row>
    <row r="3099" spans="1:7" x14ac:dyDescent="0.25">
      <c r="A3099" t="s">
        <v>8</v>
      </c>
      <c r="B3099" s="1" t="str">
        <f>"000240115 - RICHS BLNKT  BELLEVUE SCHOOL."</f>
        <v>000240115 - RICHS BLNKT  BELLEVUE SCHOOL.</v>
      </c>
      <c r="C3099" t="s">
        <v>1903</v>
      </c>
      <c r="D3099" s="1" t="str">
        <f t="shared" si="87"/>
        <v>PRG-1021685</v>
      </c>
      <c r="E3099" t="s">
        <v>245</v>
      </c>
      <c r="F3099" t="s">
        <v>4</v>
      </c>
      <c r="G3099" t="str">
        <f>""</f>
        <v/>
      </c>
    </row>
    <row r="3100" spans="1:7" x14ac:dyDescent="0.25">
      <c r="A3100" t="s">
        <v>8</v>
      </c>
      <c r="B3100" s="1" t="str">
        <f>"000240493 - WESTSIDE RICH BLNKT"</f>
        <v>000240493 - WESTSIDE RICH BLNKT</v>
      </c>
      <c r="C3100" t="s">
        <v>1906</v>
      </c>
      <c r="D3100" s="1" t="str">
        <f t="shared" ref="D3100:D3131" si="88">"PRG-1021685"</f>
        <v>PRG-1021685</v>
      </c>
      <c r="E3100" t="s">
        <v>245</v>
      </c>
      <c r="F3100" t="s">
        <v>4</v>
      </c>
      <c r="G3100" t="str">
        <f>""</f>
        <v/>
      </c>
    </row>
    <row r="3101" spans="1:7" x14ac:dyDescent="0.25">
      <c r="A3101" t="s">
        <v>8</v>
      </c>
      <c r="B3101" s="1" t="str">
        <f>"000244658 - RICH PROD ROSEVILLE CSD DC"</f>
        <v>000244658 - RICH PROD ROSEVILLE CSD DC</v>
      </c>
      <c r="C3101" t="s">
        <v>1986</v>
      </c>
      <c r="D3101" s="1" t="str">
        <f t="shared" si="88"/>
        <v>PRG-1021685</v>
      </c>
      <c r="E3101" t="s">
        <v>245</v>
      </c>
      <c r="F3101" t="s">
        <v>4</v>
      </c>
      <c r="G3101" t="str">
        <f>""</f>
        <v/>
      </c>
    </row>
    <row r="3102" spans="1:7" x14ac:dyDescent="0.25">
      <c r="A3102" t="s">
        <v>8</v>
      </c>
      <c r="B3102" s="1" t="str">
        <f>"000254092 - RICH'S NATL BLANKET BID"</f>
        <v>000254092 - RICH'S NATL BLANKET BID</v>
      </c>
      <c r="C3102" t="s">
        <v>2150</v>
      </c>
      <c r="D3102" s="1" t="str">
        <f t="shared" si="88"/>
        <v>PRG-1021685</v>
      </c>
      <c r="E3102" t="s">
        <v>245</v>
      </c>
      <c r="F3102" t="s">
        <v>4</v>
      </c>
      <c r="G3102" t="str">
        <f>""</f>
        <v/>
      </c>
    </row>
    <row r="3103" spans="1:7" x14ac:dyDescent="0.25">
      <c r="A3103" t="s">
        <v>8</v>
      </c>
      <c r="B3103" s="1" t="str">
        <f>"000260693 - RICH BLNKT 14 15 BL201405559"</f>
        <v>000260693 - RICH BLNKT 14 15 BL201405559</v>
      </c>
      <c r="C3103" t="s">
        <v>2268</v>
      </c>
      <c r="D3103" s="1" t="str">
        <f t="shared" si="88"/>
        <v>PRG-1021685</v>
      </c>
      <c r="E3103" t="s">
        <v>245</v>
      </c>
      <c r="F3103" t="s">
        <v>4</v>
      </c>
      <c r="G3103" t="str">
        <f>""</f>
        <v/>
      </c>
    </row>
    <row r="3104" spans="1:7" x14ac:dyDescent="0.25">
      <c r="A3104" t="s">
        <v>8</v>
      </c>
      <c r="B3104" s="1" t="str">
        <f>"000262086 - RICH PRODUCTS SCHOOL BLANKET"</f>
        <v>000262086 - RICH PRODUCTS SCHOOL BLANKET</v>
      </c>
      <c r="C3104" t="s">
        <v>1045</v>
      </c>
      <c r="D3104" s="1" t="str">
        <f t="shared" si="88"/>
        <v>PRG-1021685</v>
      </c>
      <c r="E3104" t="s">
        <v>245</v>
      </c>
      <c r="F3104" t="s">
        <v>4</v>
      </c>
      <c r="G3104" t="str">
        <f>""</f>
        <v/>
      </c>
    </row>
    <row r="3105" spans="1:7" x14ac:dyDescent="0.25">
      <c r="A3105" t="s">
        <v>8</v>
      </c>
      <c r="B3105" s="1" t="str">
        <f>"000262287 - RICH PRODUCTS  CALAVERAS SCHL"</f>
        <v>000262287 - RICH PRODUCTS  CALAVERAS SCHL</v>
      </c>
      <c r="C3105" t="s">
        <v>2312</v>
      </c>
      <c r="D3105" s="1" t="str">
        <f t="shared" si="88"/>
        <v>PRG-1021685</v>
      </c>
      <c r="E3105" t="s">
        <v>245</v>
      </c>
      <c r="F3105" t="s">
        <v>4</v>
      </c>
      <c r="G3105" t="str">
        <f>""</f>
        <v/>
      </c>
    </row>
    <row r="3106" spans="1:7" x14ac:dyDescent="0.25">
      <c r="A3106" t="s">
        <v>8</v>
      </c>
      <c r="B3106" s="1" t="str">
        <f>"000296414 - RICH + BLANKET"</f>
        <v>000296414 - RICH + BLANKET</v>
      </c>
      <c r="C3106" t="s">
        <v>2912</v>
      </c>
      <c r="D3106" s="1" t="str">
        <f t="shared" si="88"/>
        <v>PRG-1021685</v>
      </c>
      <c r="E3106" t="s">
        <v>245</v>
      </c>
      <c r="F3106" t="s">
        <v>4</v>
      </c>
      <c r="G3106" t="str">
        <f>""</f>
        <v/>
      </c>
    </row>
    <row r="3107" spans="1:7" x14ac:dyDescent="0.25">
      <c r="A3107" t="s">
        <v>8</v>
      </c>
      <c r="B3107" s="1" t="str">
        <f>"000334602 - RICH SDUSD"</f>
        <v>000334602 - RICH SDUSD</v>
      </c>
      <c r="C3107" t="s">
        <v>3384</v>
      </c>
      <c r="D3107" s="1" t="str">
        <f t="shared" si="88"/>
        <v>PRG-1021685</v>
      </c>
      <c r="E3107" t="s">
        <v>245</v>
      </c>
      <c r="F3107" t="s">
        <v>4</v>
      </c>
      <c r="G3107" t="str">
        <f>""</f>
        <v/>
      </c>
    </row>
    <row r="3108" spans="1:7" x14ac:dyDescent="0.25">
      <c r="A3108" t="s">
        <v>8</v>
      </c>
      <c r="B3108" s="1" t="str">
        <f>"2000156754 - RICH'S-ARK SCHOOLS"</f>
        <v>2000156754 - RICH'S-ARK SCHOOLS</v>
      </c>
      <c r="C3108" t="s">
        <v>3878</v>
      </c>
      <c r="D3108" s="1" t="str">
        <f t="shared" si="88"/>
        <v>PRG-1021685</v>
      </c>
      <c r="E3108" t="s">
        <v>245</v>
      </c>
      <c r="F3108" t="s">
        <v>4</v>
      </c>
      <c r="G3108" t="str">
        <f>""</f>
        <v/>
      </c>
    </row>
    <row r="3109" spans="1:7" x14ac:dyDescent="0.25">
      <c r="A3109" t="s">
        <v>8</v>
      </c>
      <c r="B3109" s="1" t="str">
        <f>"2000159113 - RICH'S ETX-NATIONAL SCHBLNKT"</f>
        <v>2000159113 - RICH'S ETX-NATIONAL SCHBLNKT</v>
      </c>
      <c r="C3109" t="s">
        <v>3880</v>
      </c>
      <c r="D3109" s="1" t="str">
        <f t="shared" si="88"/>
        <v>PRG-1021685</v>
      </c>
      <c r="E3109" t="s">
        <v>245</v>
      </c>
      <c r="F3109" t="s">
        <v>4</v>
      </c>
      <c r="G3109" t="str">
        <f>""</f>
        <v/>
      </c>
    </row>
    <row r="3110" spans="1:7" x14ac:dyDescent="0.25">
      <c r="A3110" t="s">
        <v>8</v>
      </c>
      <c r="B3110" s="1" t="str">
        <f>"2000169809 - RICH NTX-K-12 SCHOOL BLANKET"</f>
        <v>2000169809 - RICH NTX-K-12 SCHOOL BLANKET</v>
      </c>
      <c r="C3110" t="s">
        <v>3882</v>
      </c>
      <c r="D3110" s="1" t="str">
        <f t="shared" si="88"/>
        <v>PRG-1021685</v>
      </c>
      <c r="E3110" t="s">
        <v>245</v>
      </c>
      <c r="F3110" t="s">
        <v>4</v>
      </c>
      <c r="G3110" t="str">
        <f>""</f>
        <v/>
      </c>
    </row>
    <row r="3111" spans="1:7" x14ac:dyDescent="0.25">
      <c r="A3111" t="s">
        <v>8</v>
      </c>
      <c r="B3111" s="1" t="str">
        <f>"2000180590 - RICH'S ETX-K-12 ZERT'S PUDDING"</f>
        <v>2000180590 - RICH'S ETX-K-12 ZERT'S PUDDING</v>
      </c>
      <c r="C3111" t="s">
        <v>3899</v>
      </c>
      <c r="D3111" s="1" t="str">
        <f t="shared" si="88"/>
        <v>PRG-1021685</v>
      </c>
      <c r="E3111" t="s">
        <v>245</v>
      </c>
      <c r="F3111" t="s">
        <v>4</v>
      </c>
      <c r="G3111" t="str">
        <f>""</f>
        <v/>
      </c>
    </row>
    <row r="3112" spans="1:7" x14ac:dyDescent="0.25">
      <c r="A3112" t="s">
        <v>8</v>
      </c>
      <c r="B3112" s="1" t="str">
        <f>"2000182523 - RICH SUMMIT SCHOOLS"</f>
        <v>2000182523 - RICH SUMMIT SCHOOLS</v>
      </c>
      <c r="C3112" t="s">
        <v>3902</v>
      </c>
      <c r="D3112" s="1" t="str">
        <f t="shared" si="88"/>
        <v>PRG-1021685</v>
      </c>
      <c r="E3112" t="s">
        <v>245</v>
      </c>
      <c r="F3112" t="s">
        <v>4</v>
      </c>
      <c r="G3112" t="str">
        <f>""</f>
        <v/>
      </c>
    </row>
    <row r="3113" spans="1:7" x14ac:dyDescent="0.25">
      <c r="A3113" t="s">
        <v>8</v>
      </c>
      <c r="B3113" s="1" t="str">
        <f>"2000182603 - RICH SILVER CITY SCH"</f>
        <v>2000182603 - RICH SILVER CITY SCH</v>
      </c>
      <c r="C3113" t="s">
        <v>3903</v>
      </c>
      <c r="D3113" s="1" t="str">
        <f t="shared" si="88"/>
        <v>PRG-1021685</v>
      </c>
      <c r="E3113" t="s">
        <v>245</v>
      </c>
      <c r="F3113" t="s">
        <v>4</v>
      </c>
      <c r="G3113" t="str">
        <f>""</f>
        <v/>
      </c>
    </row>
    <row r="3114" spans="1:7" x14ac:dyDescent="0.25">
      <c r="A3114" t="s">
        <v>8</v>
      </c>
      <c r="B3114" s="1" t="str">
        <f>"2000187360 - RICH FOODS DEN-CHERRY CREEK"</f>
        <v>2000187360 - RICH FOODS DEN-CHERRY CREEK</v>
      </c>
      <c r="C3114" t="s">
        <v>3921</v>
      </c>
      <c r="D3114" s="1" t="str">
        <f t="shared" si="88"/>
        <v>PRG-1021685</v>
      </c>
      <c r="E3114" t="s">
        <v>245</v>
      </c>
      <c r="F3114" t="s">
        <v>4</v>
      </c>
      <c r="G3114" t="str">
        <f>""</f>
        <v/>
      </c>
    </row>
    <row r="3115" spans="1:7" x14ac:dyDescent="0.25">
      <c r="A3115" t="s">
        <v>8</v>
      </c>
      <c r="B3115" s="1" t="str">
        <f>"2000188502 - RICHS ID-BOISE SCHOOL"</f>
        <v>2000188502 - RICHS ID-BOISE SCHOOL</v>
      </c>
      <c r="C3115" t="s">
        <v>3928</v>
      </c>
      <c r="D3115" s="1" t="str">
        <f t="shared" si="88"/>
        <v>PRG-1021685</v>
      </c>
      <c r="E3115" t="s">
        <v>245</v>
      </c>
      <c r="F3115" t="s">
        <v>4</v>
      </c>
      <c r="G3115" t="str">
        <f>""</f>
        <v/>
      </c>
    </row>
    <row r="3116" spans="1:7" x14ac:dyDescent="0.25">
      <c r="A3116" t="s">
        <v>8</v>
      </c>
      <c r="B3116" s="1" t="str">
        <f>"2000189790 - RICH'S NTX-MESQUITE ISD"</f>
        <v>2000189790 - RICH'S NTX-MESQUITE ISD</v>
      </c>
      <c r="C3116" t="s">
        <v>3933</v>
      </c>
      <c r="D3116" s="1" t="str">
        <f t="shared" si="88"/>
        <v>PRG-1021685</v>
      </c>
      <c r="E3116" t="s">
        <v>245</v>
      </c>
      <c r="F3116" t="s">
        <v>4</v>
      </c>
      <c r="G3116" t="str">
        <f>""</f>
        <v/>
      </c>
    </row>
    <row r="3117" spans="1:7" x14ac:dyDescent="0.25">
      <c r="A3117" t="s">
        <v>8</v>
      </c>
      <c r="B3117" s="1" t="str">
        <f>"2000190106 - RICH'S NM-ALUQUERQUE ACADEMY"</f>
        <v>2000190106 - RICH'S NM-ALUQUERQUE ACADEMY</v>
      </c>
      <c r="C3117" t="s">
        <v>3934</v>
      </c>
      <c r="D3117" s="1" t="str">
        <f t="shared" si="88"/>
        <v>PRG-1021685</v>
      </c>
      <c r="E3117" t="s">
        <v>245</v>
      </c>
      <c r="F3117" t="s">
        <v>4</v>
      </c>
      <c r="G3117" t="str">
        <f>""</f>
        <v/>
      </c>
    </row>
    <row r="3118" spans="1:7" x14ac:dyDescent="0.25">
      <c r="A3118" t="s">
        <v>8</v>
      </c>
      <c r="B3118" s="1" t="str">
        <f>"2000192380 - RICH NTX-1150 HPISD"</f>
        <v>2000192380 - RICH NTX-1150 HPISD</v>
      </c>
      <c r="C3118" t="s">
        <v>3935</v>
      </c>
      <c r="D3118" s="1" t="str">
        <f t="shared" si="88"/>
        <v>PRG-1021685</v>
      </c>
      <c r="E3118" t="s">
        <v>245</v>
      </c>
      <c r="F3118" t="s">
        <v>4</v>
      </c>
      <c r="G3118" t="str">
        <f>""</f>
        <v/>
      </c>
    </row>
    <row r="3119" spans="1:7" x14ac:dyDescent="0.25">
      <c r="A3119" t="s">
        <v>8</v>
      </c>
      <c r="B3119" s="1" t="str">
        <f>"2000208483 - RICHS DEN-K-12 BLANKET"</f>
        <v>2000208483 - RICHS DEN-K-12 BLANKET</v>
      </c>
      <c r="C3119" t="s">
        <v>3948</v>
      </c>
      <c r="D3119" s="1" t="str">
        <f t="shared" si="88"/>
        <v>PRG-1021685</v>
      </c>
      <c r="E3119" t="s">
        <v>245</v>
      </c>
      <c r="F3119" t="s">
        <v>4</v>
      </c>
      <c r="G3119" t="str">
        <f>""</f>
        <v/>
      </c>
    </row>
    <row r="3120" spans="1:7" x14ac:dyDescent="0.25">
      <c r="A3120" t="s">
        <v>8</v>
      </c>
      <c r="B3120" s="1" t="str">
        <f>"2000232308 - RICH FOODS ID-JEROME SCHOOLS"</f>
        <v>2000232308 - RICH FOODS ID-JEROME SCHOOLS</v>
      </c>
      <c r="C3120" t="s">
        <v>3985</v>
      </c>
      <c r="D3120" s="1" t="str">
        <f t="shared" si="88"/>
        <v>PRG-1021685</v>
      </c>
      <c r="E3120" t="s">
        <v>245</v>
      </c>
      <c r="F3120" t="s">
        <v>4</v>
      </c>
      <c r="G3120" t="str">
        <f>""</f>
        <v/>
      </c>
    </row>
    <row r="3121" spans="1:7" x14ac:dyDescent="0.25">
      <c r="A3121" t="s">
        <v>8</v>
      </c>
      <c r="B3121" s="1" t="str">
        <f>"2000233318 - RICHS-BOISE SCHOOLS"</f>
        <v>2000233318 - RICHS-BOISE SCHOOLS</v>
      </c>
      <c r="C3121" t="s">
        <v>3986</v>
      </c>
      <c r="D3121" s="1" t="str">
        <f t="shared" si="88"/>
        <v>PRG-1021685</v>
      </c>
      <c r="E3121" t="s">
        <v>245</v>
      </c>
      <c r="F3121" t="s">
        <v>4</v>
      </c>
      <c r="G3121" t="str">
        <f>""</f>
        <v/>
      </c>
    </row>
    <row r="3122" spans="1:7" x14ac:dyDescent="0.25">
      <c r="A3122" t="s">
        <v>8</v>
      </c>
      <c r="B3122" s="1" t="str">
        <f>"21400123"</f>
        <v>21400123</v>
      </c>
      <c r="C3122" t="s">
        <v>4155</v>
      </c>
      <c r="D3122" s="1" t="str">
        <f t="shared" si="88"/>
        <v>PRG-1021685</v>
      </c>
      <c r="E3122" t="s">
        <v>245</v>
      </c>
      <c r="F3122" t="s">
        <v>5</v>
      </c>
      <c r="G3122" t="str">
        <f>""</f>
        <v/>
      </c>
    </row>
    <row r="3123" spans="1:7" x14ac:dyDescent="0.25">
      <c r="A3123" t="s">
        <v>8</v>
      </c>
      <c r="B3123" s="1" t="str">
        <f>"21657745"</f>
        <v>21657745</v>
      </c>
      <c r="C3123" t="s">
        <v>4181</v>
      </c>
      <c r="D3123" s="1" t="str">
        <f t="shared" si="88"/>
        <v>PRG-1021685</v>
      </c>
      <c r="E3123" t="s">
        <v>245</v>
      </c>
      <c r="F3123" t="s">
        <v>5</v>
      </c>
      <c r="G3123" t="str">
        <f>""</f>
        <v/>
      </c>
    </row>
    <row r="3124" spans="1:7" x14ac:dyDescent="0.25">
      <c r="A3124" t="s">
        <v>8</v>
      </c>
      <c r="B3124" s="1" t="str">
        <f>"2220558A"</f>
        <v>2220558A</v>
      </c>
      <c r="C3124" t="s">
        <v>4234</v>
      </c>
      <c r="D3124" s="1" t="str">
        <f t="shared" si="88"/>
        <v>PRG-1021685</v>
      </c>
      <c r="E3124" t="s">
        <v>245</v>
      </c>
      <c r="F3124" t="s">
        <v>5</v>
      </c>
      <c r="G3124" t="str">
        <f>""</f>
        <v/>
      </c>
    </row>
    <row r="3125" spans="1:7" x14ac:dyDescent="0.25">
      <c r="A3125" t="s">
        <v>8</v>
      </c>
      <c r="B3125" s="1" t="str">
        <f>"2220E153"</f>
        <v>2220E153</v>
      </c>
      <c r="C3125" t="s">
        <v>4253</v>
      </c>
      <c r="D3125" s="1" t="str">
        <f t="shared" si="88"/>
        <v>PRG-1021685</v>
      </c>
      <c r="E3125" t="s">
        <v>245</v>
      </c>
      <c r="F3125" t="s">
        <v>5</v>
      </c>
      <c r="G3125" t="str">
        <f>""</f>
        <v/>
      </c>
    </row>
    <row r="3126" spans="1:7" x14ac:dyDescent="0.25">
      <c r="A3126" t="s">
        <v>8</v>
      </c>
      <c r="B3126" s="1" t="str">
        <f>"2220E744"</f>
        <v>2220E744</v>
      </c>
      <c r="C3126" t="s">
        <v>4254</v>
      </c>
      <c r="D3126" s="1" t="str">
        <f t="shared" si="88"/>
        <v>PRG-1021685</v>
      </c>
      <c r="E3126" t="s">
        <v>245</v>
      </c>
      <c r="F3126" t="s">
        <v>5</v>
      </c>
      <c r="G3126" t="str">
        <f>""</f>
        <v/>
      </c>
    </row>
    <row r="3127" spans="1:7" x14ac:dyDescent="0.25">
      <c r="A3127" t="s">
        <v>8</v>
      </c>
      <c r="B3127" s="1" t="str">
        <f>"2220F175"</f>
        <v>2220F175</v>
      </c>
      <c r="C3127" t="s">
        <v>4259</v>
      </c>
      <c r="D3127" s="1" t="str">
        <f t="shared" si="88"/>
        <v>PRG-1021685</v>
      </c>
      <c r="E3127" t="s">
        <v>245</v>
      </c>
      <c r="F3127" t="s">
        <v>5</v>
      </c>
      <c r="G3127" t="str">
        <f>""</f>
        <v/>
      </c>
    </row>
    <row r="3128" spans="1:7" x14ac:dyDescent="0.25">
      <c r="A3128" t="s">
        <v>8</v>
      </c>
      <c r="B3128" s="1" t="str">
        <f>"2220F177"</f>
        <v>2220F177</v>
      </c>
      <c r="C3128" t="s">
        <v>4260</v>
      </c>
      <c r="D3128" s="1" t="str">
        <f t="shared" si="88"/>
        <v>PRG-1021685</v>
      </c>
      <c r="E3128" t="s">
        <v>245</v>
      </c>
      <c r="F3128" t="s">
        <v>5</v>
      </c>
      <c r="G3128" t="str">
        <f>""</f>
        <v/>
      </c>
    </row>
    <row r="3129" spans="1:7" x14ac:dyDescent="0.25">
      <c r="A3129" t="s">
        <v>8</v>
      </c>
      <c r="B3129" s="1" t="str">
        <f>"2220F180"</f>
        <v>2220F180</v>
      </c>
      <c r="C3129" t="s">
        <v>4263</v>
      </c>
      <c r="D3129" s="1" t="str">
        <f t="shared" si="88"/>
        <v>PRG-1021685</v>
      </c>
      <c r="E3129" t="s">
        <v>245</v>
      </c>
      <c r="F3129" t="s">
        <v>5</v>
      </c>
      <c r="G3129" t="str">
        <f>""</f>
        <v/>
      </c>
    </row>
    <row r="3130" spans="1:7" x14ac:dyDescent="0.25">
      <c r="A3130" t="s">
        <v>8</v>
      </c>
      <c r="B3130" s="1" t="str">
        <f>"2220F196"</f>
        <v>2220F196</v>
      </c>
      <c r="C3130" t="s">
        <v>4264</v>
      </c>
      <c r="D3130" s="1" t="str">
        <f t="shared" si="88"/>
        <v>PRG-1021685</v>
      </c>
      <c r="E3130" t="s">
        <v>245</v>
      </c>
      <c r="F3130" t="s">
        <v>5</v>
      </c>
      <c r="G3130" t="str">
        <f>""</f>
        <v/>
      </c>
    </row>
    <row r="3131" spans="1:7" x14ac:dyDescent="0.25">
      <c r="A3131" t="s">
        <v>8</v>
      </c>
      <c r="B3131" s="1" t="str">
        <f>"2220F201"</f>
        <v>2220F201</v>
      </c>
      <c r="C3131" t="s">
        <v>4265</v>
      </c>
      <c r="D3131" s="1" t="str">
        <f t="shared" si="88"/>
        <v>PRG-1021685</v>
      </c>
      <c r="E3131" t="s">
        <v>245</v>
      </c>
      <c r="F3131" t="s">
        <v>5</v>
      </c>
      <c r="G3131" t="str">
        <f>""</f>
        <v/>
      </c>
    </row>
    <row r="3132" spans="1:7" x14ac:dyDescent="0.25">
      <c r="A3132" t="s">
        <v>8</v>
      </c>
      <c r="B3132" s="1" t="str">
        <f>"2220F202"</f>
        <v>2220F202</v>
      </c>
      <c r="C3132" t="s">
        <v>4266</v>
      </c>
      <c r="D3132" s="1" t="str">
        <f t="shared" ref="D3132:D3163" si="89">"PRG-1021685"</f>
        <v>PRG-1021685</v>
      </c>
      <c r="E3132" t="s">
        <v>245</v>
      </c>
      <c r="F3132" t="s">
        <v>5</v>
      </c>
      <c r="G3132" t="str">
        <f>""</f>
        <v/>
      </c>
    </row>
    <row r="3133" spans="1:7" x14ac:dyDescent="0.25">
      <c r="A3133" t="s">
        <v>8</v>
      </c>
      <c r="B3133" s="1" t="str">
        <f>"2220F212"</f>
        <v>2220F212</v>
      </c>
      <c r="C3133" t="s">
        <v>4267</v>
      </c>
      <c r="D3133" s="1" t="str">
        <f t="shared" si="89"/>
        <v>PRG-1021685</v>
      </c>
      <c r="E3133" t="s">
        <v>245</v>
      </c>
      <c r="F3133" t="s">
        <v>5</v>
      </c>
      <c r="G3133" t="str">
        <f>""</f>
        <v/>
      </c>
    </row>
    <row r="3134" spans="1:7" x14ac:dyDescent="0.25">
      <c r="A3134" t="s">
        <v>8</v>
      </c>
      <c r="B3134" s="1" t="str">
        <f>"2220F232"</f>
        <v>2220F232</v>
      </c>
      <c r="C3134" t="s">
        <v>4268</v>
      </c>
      <c r="D3134" s="1" t="str">
        <f t="shared" si="89"/>
        <v>PRG-1021685</v>
      </c>
      <c r="E3134" t="s">
        <v>245</v>
      </c>
      <c r="F3134" t="s">
        <v>5</v>
      </c>
      <c r="G3134" t="str">
        <f>""</f>
        <v/>
      </c>
    </row>
    <row r="3135" spans="1:7" x14ac:dyDescent="0.25">
      <c r="A3135" t="s">
        <v>8</v>
      </c>
      <c r="B3135" s="1" t="str">
        <f>"2220F269"</f>
        <v>2220F269</v>
      </c>
      <c r="C3135" t="s">
        <v>4272</v>
      </c>
      <c r="D3135" s="1" t="str">
        <f t="shared" si="89"/>
        <v>PRG-1021685</v>
      </c>
      <c r="E3135" t="s">
        <v>245</v>
      </c>
      <c r="F3135" t="s">
        <v>5</v>
      </c>
      <c r="G3135" t="str">
        <f>""</f>
        <v/>
      </c>
    </row>
    <row r="3136" spans="1:7" x14ac:dyDescent="0.25">
      <c r="A3136" t="s">
        <v>8</v>
      </c>
      <c r="B3136" s="1" t="str">
        <f>"2220F993"</f>
        <v>2220F993</v>
      </c>
      <c r="C3136" t="s">
        <v>4273</v>
      </c>
      <c r="D3136" s="1" t="str">
        <f t="shared" si="89"/>
        <v>PRG-1021685</v>
      </c>
      <c r="E3136" t="s">
        <v>245</v>
      </c>
      <c r="F3136" t="s">
        <v>5</v>
      </c>
      <c r="G3136" t="str">
        <f>""</f>
        <v/>
      </c>
    </row>
    <row r="3137" spans="1:7" x14ac:dyDescent="0.25">
      <c r="A3137" t="s">
        <v>8</v>
      </c>
      <c r="B3137" s="1" t="str">
        <f>"2220G012"</f>
        <v>2220G012</v>
      </c>
      <c r="C3137" t="s">
        <v>4274</v>
      </c>
      <c r="D3137" s="1" t="str">
        <f t="shared" si="89"/>
        <v>PRG-1021685</v>
      </c>
      <c r="E3137" t="s">
        <v>245</v>
      </c>
      <c r="F3137" t="s">
        <v>5</v>
      </c>
      <c r="G3137" t="str">
        <f>""</f>
        <v/>
      </c>
    </row>
    <row r="3138" spans="1:7" x14ac:dyDescent="0.25">
      <c r="A3138" t="s">
        <v>8</v>
      </c>
      <c r="B3138" s="1" t="str">
        <f>"2220G299"</f>
        <v>2220G299</v>
      </c>
      <c r="C3138" t="s">
        <v>4277</v>
      </c>
      <c r="D3138" s="1" t="str">
        <f t="shared" si="89"/>
        <v>PRG-1021685</v>
      </c>
      <c r="E3138" t="s">
        <v>245</v>
      </c>
      <c r="F3138" t="s">
        <v>5</v>
      </c>
      <c r="G3138" t="str">
        <f>""</f>
        <v/>
      </c>
    </row>
    <row r="3139" spans="1:7" x14ac:dyDescent="0.25">
      <c r="A3139" t="s">
        <v>8</v>
      </c>
      <c r="B3139" s="1" t="str">
        <f>"2220G370"</f>
        <v>2220G370</v>
      </c>
      <c r="C3139" t="s">
        <v>4278</v>
      </c>
      <c r="D3139" s="1" t="str">
        <f t="shared" si="89"/>
        <v>PRG-1021685</v>
      </c>
      <c r="E3139" t="s">
        <v>245</v>
      </c>
      <c r="F3139" t="s">
        <v>5</v>
      </c>
      <c r="G3139" t="str">
        <f>""</f>
        <v/>
      </c>
    </row>
    <row r="3140" spans="1:7" x14ac:dyDescent="0.25">
      <c r="A3140" t="s">
        <v>8</v>
      </c>
      <c r="B3140" s="1" t="str">
        <f>"2220H193"</f>
        <v>2220H193</v>
      </c>
      <c r="C3140" t="s">
        <v>4279</v>
      </c>
      <c r="D3140" s="1" t="str">
        <f t="shared" si="89"/>
        <v>PRG-1021685</v>
      </c>
      <c r="E3140" t="s">
        <v>245</v>
      </c>
      <c r="F3140" t="s">
        <v>5</v>
      </c>
      <c r="G3140" t="str">
        <f>""</f>
        <v/>
      </c>
    </row>
    <row r="3141" spans="1:7" x14ac:dyDescent="0.25">
      <c r="A3141" t="s">
        <v>8</v>
      </c>
      <c r="B3141" s="1" t="str">
        <f>"2220J035"</f>
        <v>2220J035</v>
      </c>
      <c r="C3141" t="s">
        <v>4280</v>
      </c>
      <c r="D3141" s="1" t="str">
        <f t="shared" si="89"/>
        <v>PRG-1021685</v>
      </c>
      <c r="E3141" t="s">
        <v>245</v>
      </c>
      <c r="F3141" t="s">
        <v>5</v>
      </c>
      <c r="G3141" t="str">
        <f>""</f>
        <v/>
      </c>
    </row>
    <row r="3142" spans="1:7" x14ac:dyDescent="0.25">
      <c r="A3142" t="s">
        <v>8</v>
      </c>
      <c r="B3142" s="1" t="str">
        <f>"2220K292"</f>
        <v>2220K292</v>
      </c>
      <c r="C3142" t="s">
        <v>4285</v>
      </c>
      <c r="D3142" s="1" t="str">
        <f t="shared" si="89"/>
        <v>PRG-1021685</v>
      </c>
      <c r="E3142" t="s">
        <v>245</v>
      </c>
      <c r="F3142" t="s">
        <v>5</v>
      </c>
      <c r="G3142" t="str">
        <f>""</f>
        <v/>
      </c>
    </row>
    <row r="3143" spans="1:7" x14ac:dyDescent="0.25">
      <c r="A3143" t="s">
        <v>8</v>
      </c>
      <c r="B3143" s="1" t="str">
        <f>"2220M644"</f>
        <v>2220M644</v>
      </c>
      <c r="C3143" t="s">
        <v>4296</v>
      </c>
      <c r="D3143" s="1" t="str">
        <f t="shared" si="89"/>
        <v>PRG-1021685</v>
      </c>
      <c r="E3143" t="s">
        <v>245</v>
      </c>
      <c r="F3143" t="s">
        <v>5</v>
      </c>
      <c r="G3143" t="str">
        <f>""</f>
        <v/>
      </c>
    </row>
    <row r="3144" spans="1:7" x14ac:dyDescent="0.25">
      <c r="A3144" t="s">
        <v>8</v>
      </c>
      <c r="B3144" s="1" t="str">
        <f>"2220M734"</f>
        <v>2220M734</v>
      </c>
      <c r="C3144" t="s">
        <v>4297</v>
      </c>
      <c r="D3144" s="1" t="str">
        <f t="shared" si="89"/>
        <v>PRG-1021685</v>
      </c>
      <c r="E3144" t="s">
        <v>245</v>
      </c>
      <c r="F3144" t="s">
        <v>5</v>
      </c>
      <c r="G3144" t="str">
        <f>""</f>
        <v/>
      </c>
    </row>
    <row r="3145" spans="1:7" x14ac:dyDescent="0.25">
      <c r="A3145" t="s">
        <v>8</v>
      </c>
      <c r="B3145" s="1" t="str">
        <f>"22407006"</f>
        <v>22407006</v>
      </c>
      <c r="C3145" t="s">
        <v>4316</v>
      </c>
      <c r="D3145" s="1" t="str">
        <f t="shared" si="89"/>
        <v>PRG-1021685</v>
      </c>
      <c r="E3145" t="s">
        <v>245</v>
      </c>
      <c r="F3145" t="s">
        <v>5</v>
      </c>
      <c r="G3145" t="str">
        <f>""</f>
        <v/>
      </c>
    </row>
    <row r="3146" spans="1:7" x14ac:dyDescent="0.25">
      <c r="A3146" t="s">
        <v>8</v>
      </c>
      <c r="B3146" s="1" t="str">
        <f>"22407021"</f>
        <v>22407021</v>
      </c>
      <c r="C3146" t="s">
        <v>4321</v>
      </c>
      <c r="D3146" s="1" t="str">
        <f t="shared" si="89"/>
        <v>PRG-1021685</v>
      </c>
      <c r="E3146" t="s">
        <v>245</v>
      </c>
      <c r="F3146" t="s">
        <v>5</v>
      </c>
      <c r="G3146" t="str">
        <f>""</f>
        <v/>
      </c>
    </row>
    <row r="3147" spans="1:7" x14ac:dyDescent="0.25">
      <c r="A3147" t="s">
        <v>8</v>
      </c>
      <c r="B3147" s="1" t="str">
        <f>"2250153T"</f>
        <v>2250153T</v>
      </c>
      <c r="C3147" t="s">
        <v>4339</v>
      </c>
      <c r="D3147" s="1" t="str">
        <f t="shared" si="89"/>
        <v>PRG-1021685</v>
      </c>
      <c r="E3147" t="s">
        <v>245</v>
      </c>
      <c r="F3147" t="s">
        <v>5</v>
      </c>
      <c r="G3147" t="str">
        <f>""</f>
        <v/>
      </c>
    </row>
    <row r="3148" spans="1:7" x14ac:dyDescent="0.25">
      <c r="A3148" t="s">
        <v>8</v>
      </c>
      <c r="B3148" s="1" t="str">
        <f>"22501957"</f>
        <v>22501957</v>
      </c>
      <c r="C3148" t="s">
        <v>4344</v>
      </c>
      <c r="D3148" s="1" t="str">
        <f t="shared" si="89"/>
        <v>PRG-1021685</v>
      </c>
      <c r="E3148" t="s">
        <v>245</v>
      </c>
      <c r="F3148" t="s">
        <v>5</v>
      </c>
      <c r="G3148" t="str">
        <f>""</f>
        <v/>
      </c>
    </row>
    <row r="3149" spans="1:7" x14ac:dyDescent="0.25">
      <c r="A3149" t="s">
        <v>8</v>
      </c>
      <c r="B3149" s="1" t="str">
        <f>"22605571"</f>
        <v>22605571</v>
      </c>
      <c r="C3149" t="s">
        <v>4432</v>
      </c>
      <c r="D3149" s="1" t="str">
        <f t="shared" si="89"/>
        <v>PRG-1021685</v>
      </c>
      <c r="E3149" t="s">
        <v>245</v>
      </c>
      <c r="F3149" t="s">
        <v>5</v>
      </c>
      <c r="G3149" t="str">
        <f>""</f>
        <v/>
      </c>
    </row>
    <row r="3150" spans="1:7" x14ac:dyDescent="0.25">
      <c r="A3150" t="s">
        <v>8</v>
      </c>
      <c r="B3150" s="1" t="str">
        <f>"22606293"</f>
        <v>22606293</v>
      </c>
      <c r="C3150" t="s">
        <v>4439</v>
      </c>
      <c r="D3150" s="1" t="str">
        <f t="shared" si="89"/>
        <v>PRG-1021685</v>
      </c>
      <c r="E3150" t="s">
        <v>245</v>
      </c>
      <c r="F3150" t="s">
        <v>5</v>
      </c>
      <c r="G3150" t="str">
        <f>""</f>
        <v/>
      </c>
    </row>
    <row r="3151" spans="1:7" x14ac:dyDescent="0.25">
      <c r="A3151" t="s">
        <v>8</v>
      </c>
      <c r="B3151" s="1" t="str">
        <f>"2260F378"</f>
        <v>2260F378</v>
      </c>
      <c r="C3151" t="s">
        <v>4468</v>
      </c>
      <c r="D3151" s="1" t="str">
        <f t="shared" si="89"/>
        <v>PRG-1021685</v>
      </c>
      <c r="E3151" t="s">
        <v>245</v>
      </c>
      <c r="F3151" t="s">
        <v>5</v>
      </c>
      <c r="G3151" t="str">
        <f>""</f>
        <v/>
      </c>
    </row>
    <row r="3152" spans="1:7" x14ac:dyDescent="0.25">
      <c r="A3152" t="s">
        <v>8</v>
      </c>
      <c r="B3152" s="1" t="str">
        <f>"2270B104"</f>
        <v>2270B104</v>
      </c>
      <c r="C3152" t="s">
        <v>4480</v>
      </c>
      <c r="D3152" s="1" t="str">
        <f t="shared" si="89"/>
        <v>PRG-1021685</v>
      </c>
      <c r="E3152" t="s">
        <v>245</v>
      </c>
      <c r="F3152" t="s">
        <v>5</v>
      </c>
      <c r="G3152" t="str">
        <f>""</f>
        <v/>
      </c>
    </row>
    <row r="3153" spans="1:7" x14ac:dyDescent="0.25">
      <c r="A3153" t="s">
        <v>8</v>
      </c>
      <c r="B3153" s="1" t="str">
        <f>"23503101"</f>
        <v>23503101</v>
      </c>
      <c r="C3153" t="s">
        <v>4507</v>
      </c>
      <c r="D3153" s="1" t="str">
        <f t="shared" si="89"/>
        <v>PRG-1021685</v>
      </c>
      <c r="E3153" t="s">
        <v>245</v>
      </c>
      <c r="F3153" t="s">
        <v>5</v>
      </c>
      <c r="G3153" t="str">
        <f>""</f>
        <v/>
      </c>
    </row>
    <row r="3154" spans="1:7" x14ac:dyDescent="0.25">
      <c r="A3154" t="s">
        <v>8</v>
      </c>
      <c r="B3154" s="1" t="str">
        <f>"23507946"</f>
        <v>23507946</v>
      </c>
      <c r="C3154" t="s">
        <v>4515</v>
      </c>
      <c r="D3154" s="1" t="str">
        <f t="shared" si="89"/>
        <v>PRG-1021685</v>
      </c>
      <c r="E3154" t="s">
        <v>245</v>
      </c>
      <c r="F3154" t="s">
        <v>5</v>
      </c>
      <c r="G3154" t="str">
        <f>""</f>
        <v/>
      </c>
    </row>
    <row r="3155" spans="1:7" x14ac:dyDescent="0.25">
      <c r="A3155" t="s">
        <v>8</v>
      </c>
      <c r="B3155" s="1" t="str">
        <f>"2370A832"</f>
        <v>2370A832</v>
      </c>
      <c r="C3155" t="s">
        <v>4545</v>
      </c>
      <c r="D3155" s="1" t="str">
        <f t="shared" si="89"/>
        <v>PRG-1021685</v>
      </c>
      <c r="E3155" t="s">
        <v>245</v>
      </c>
      <c r="F3155" t="s">
        <v>5</v>
      </c>
      <c r="G3155" t="str">
        <f>""</f>
        <v/>
      </c>
    </row>
    <row r="3156" spans="1:7" x14ac:dyDescent="0.25">
      <c r="A3156" t="s">
        <v>8</v>
      </c>
      <c r="B3156" s="1" t="str">
        <f>"2370C511"</f>
        <v>2370C511</v>
      </c>
      <c r="C3156" t="s">
        <v>4554</v>
      </c>
      <c r="D3156" s="1" t="str">
        <f t="shared" si="89"/>
        <v>PRG-1021685</v>
      </c>
      <c r="E3156" t="s">
        <v>245</v>
      </c>
      <c r="F3156" t="s">
        <v>5</v>
      </c>
      <c r="G3156" t="str">
        <f>""</f>
        <v/>
      </c>
    </row>
    <row r="3157" spans="1:7" x14ac:dyDescent="0.25">
      <c r="A3157" t="s">
        <v>8</v>
      </c>
      <c r="B3157" s="1" t="str">
        <f>"2370C998"</f>
        <v>2370C998</v>
      </c>
      <c r="C3157" t="s">
        <v>4556</v>
      </c>
      <c r="D3157" s="1" t="str">
        <f t="shared" si="89"/>
        <v>PRG-1021685</v>
      </c>
      <c r="E3157" t="s">
        <v>245</v>
      </c>
      <c r="F3157" t="s">
        <v>5</v>
      </c>
      <c r="G3157" t="str">
        <f>""</f>
        <v/>
      </c>
    </row>
    <row r="3158" spans="1:7" x14ac:dyDescent="0.25">
      <c r="A3158" t="s">
        <v>8</v>
      </c>
      <c r="B3158" s="1" t="str">
        <f>"2370E736"</f>
        <v>2370E736</v>
      </c>
      <c r="C3158" t="s">
        <v>4560</v>
      </c>
      <c r="D3158" s="1" t="str">
        <f t="shared" si="89"/>
        <v>PRG-1021685</v>
      </c>
      <c r="E3158" t="s">
        <v>245</v>
      </c>
      <c r="F3158" t="s">
        <v>5</v>
      </c>
      <c r="G3158" t="str">
        <f>""</f>
        <v/>
      </c>
    </row>
    <row r="3159" spans="1:7" x14ac:dyDescent="0.25">
      <c r="A3159" t="s">
        <v>8</v>
      </c>
      <c r="B3159" s="1" t="str">
        <f>"2370J217"</f>
        <v>2370J217</v>
      </c>
      <c r="C3159" t="s">
        <v>4571</v>
      </c>
      <c r="D3159" s="1" t="str">
        <f t="shared" si="89"/>
        <v>PRG-1021685</v>
      </c>
      <c r="E3159" t="s">
        <v>245</v>
      </c>
      <c r="F3159" t="s">
        <v>5</v>
      </c>
      <c r="G3159" t="str">
        <f>""</f>
        <v/>
      </c>
    </row>
    <row r="3160" spans="1:7" x14ac:dyDescent="0.25">
      <c r="A3160" t="s">
        <v>8</v>
      </c>
      <c r="B3160" s="1" t="str">
        <f>"3051A738"</f>
        <v>3051A738</v>
      </c>
      <c r="C3160" t="s">
        <v>4585</v>
      </c>
      <c r="D3160" s="1" t="str">
        <f t="shared" si="89"/>
        <v>PRG-1021685</v>
      </c>
      <c r="E3160" t="s">
        <v>245</v>
      </c>
      <c r="F3160" t="s">
        <v>5</v>
      </c>
      <c r="G3160" t="str">
        <f>""</f>
        <v/>
      </c>
    </row>
    <row r="3161" spans="1:7" x14ac:dyDescent="0.25">
      <c r="A3161" t="s">
        <v>8</v>
      </c>
      <c r="B3161" s="1" t="str">
        <f>"3055D673"</f>
        <v>3055D673</v>
      </c>
      <c r="C3161" t="s">
        <v>4590</v>
      </c>
      <c r="D3161" s="1" t="str">
        <f t="shared" si="89"/>
        <v>PRG-1021685</v>
      </c>
      <c r="E3161" t="s">
        <v>245</v>
      </c>
      <c r="F3161" t="s">
        <v>5</v>
      </c>
      <c r="G3161" t="str">
        <f>""</f>
        <v/>
      </c>
    </row>
    <row r="3162" spans="1:7" x14ac:dyDescent="0.25">
      <c r="A3162" t="s">
        <v>8</v>
      </c>
      <c r="B3162" s="1" t="str">
        <f>"3103C366"</f>
        <v>3103C366</v>
      </c>
      <c r="C3162" t="s">
        <v>4605</v>
      </c>
      <c r="D3162" s="1" t="str">
        <f t="shared" si="89"/>
        <v>PRG-1021685</v>
      </c>
      <c r="E3162" t="s">
        <v>245</v>
      </c>
      <c r="F3162" t="s">
        <v>5</v>
      </c>
      <c r="G3162" t="str">
        <f>""</f>
        <v/>
      </c>
    </row>
    <row r="3163" spans="1:7" x14ac:dyDescent="0.25">
      <c r="A3163" t="s">
        <v>8</v>
      </c>
      <c r="B3163" s="1" t="str">
        <f>"3103C896"</f>
        <v>3103C896</v>
      </c>
      <c r="C3163" t="s">
        <v>4609</v>
      </c>
      <c r="D3163" s="1" t="str">
        <f t="shared" si="89"/>
        <v>PRG-1021685</v>
      </c>
      <c r="E3163" t="s">
        <v>245</v>
      </c>
      <c r="F3163" t="s">
        <v>5</v>
      </c>
      <c r="G3163" t="str">
        <f>""</f>
        <v/>
      </c>
    </row>
    <row r="3164" spans="1:7" x14ac:dyDescent="0.25">
      <c r="A3164" t="s">
        <v>8</v>
      </c>
      <c r="B3164" s="1" t="str">
        <f>"3103M675"</f>
        <v>3103M675</v>
      </c>
      <c r="C3164" t="s">
        <v>4613</v>
      </c>
      <c r="D3164" s="1" t="str">
        <f t="shared" ref="D3164:D3194" si="90">"PRG-1021685"</f>
        <v>PRG-1021685</v>
      </c>
      <c r="E3164" t="s">
        <v>245</v>
      </c>
      <c r="F3164" t="s">
        <v>5</v>
      </c>
      <c r="G3164" t="str">
        <f>""</f>
        <v/>
      </c>
    </row>
    <row r="3165" spans="1:7" x14ac:dyDescent="0.25">
      <c r="A3165" t="s">
        <v>8</v>
      </c>
      <c r="B3165" s="1" t="str">
        <f>"3135A697"</f>
        <v>3135A697</v>
      </c>
      <c r="C3165" t="s">
        <v>4641</v>
      </c>
      <c r="D3165" s="1" t="str">
        <f t="shared" si="90"/>
        <v>PRG-1021685</v>
      </c>
      <c r="E3165" t="s">
        <v>245</v>
      </c>
      <c r="F3165" t="s">
        <v>5</v>
      </c>
      <c r="G3165" t="str">
        <f>""</f>
        <v/>
      </c>
    </row>
    <row r="3166" spans="1:7" x14ac:dyDescent="0.25">
      <c r="A3166" t="s">
        <v>8</v>
      </c>
      <c r="B3166" s="1" t="str">
        <f>"31704915"</f>
        <v>31704915</v>
      </c>
      <c r="C3166" t="s">
        <v>4701</v>
      </c>
      <c r="D3166" s="1" t="str">
        <f t="shared" si="90"/>
        <v>PRG-1021685</v>
      </c>
      <c r="E3166" t="s">
        <v>245</v>
      </c>
      <c r="F3166" t="s">
        <v>5</v>
      </c>
      <c r="G3166" t="str">
        <f>""</f>
        <v/>
      </c>
    </row>
    <row r="3167" spans="1:7" x14ac:dyDescent="0.25">
      <c r="A3167" t="s">
        <v>8</v>
      </c>
      <c r="B3167" s="1" t="str">
        <f>"3170AH80"</f>
        <v>3170AH80</v>
      </c>
      <c r="C3167" t="s">
        <v>4704</v>
      </c>
      <c r="D3167" s="1" t="str">
        <f t="shared" si="90"/>
        <v>PRG-1021685</v>
      </c>
      <c r="E3167" t="s">
        <v>245</v>
      </c>
      <c r="F3167" t="s">
        <v>5</v>
      </c>
      <c r="G3167" t="str">
        <f>""</f>
        <v/>
      </c>
    </row>
    <row r="3168" spans="1:7" x14ac:dyDescent="0.25">
      <c r="A3168" t="s">
        <v>8</v>
      </c>
      <c r="B3168" s="1" t="str">
        <f>"3170CR91"</f>
        <v>3170CR91</v>
      </c>
      <c r="C3168" t="s">
        <v>4712</v>
      </c>
      <c r="D3168" s="1" t="str">
        <f t="shared" si="90"/>
        <v>PRG-1021685</v>
      </c>
      <c r="E3168" t="s">
        <v>245</v>
      </c>
      <c r="F3168" t="s">
        <v>5</v>
      </c>
      <c r="G3168" t="str">
        <f>""</f>
        <v/>
      </c>
    </row>
    <row r="3169" spans="1:7" x14ac:dyDescent="0.25">
      <c r="A3169" t="s">
        <v>8</v>
      </c>
      <c r="B3169" s="1" t="str">
        <f>"3170CT53"</f>
        <v>3170CT53</v>
      </c>
      <c r="C3169" t="s">
        <v>4713</v>
      </c>
      <c r="D3169" s="1" t="str">
        <f t="shared" si="90"/>
        <v>PRG-1021685</v>
      </c>
      <c r="E3169" t="s">
        <v>245</v>
      </c>
      <c r="F3169" t="s">
        <v>5</v>
      </c>
      <c r="G3169" t="str">
        <f>""</f>
        <v/>
      </c>
    </row>
    <row r="3170" spans="1:7" x14ac:dyDescent="0.25">
      <c r="A3170" t="s">
        <v>8</v>
      </c>
      <c r="B3170" s="1" t="str">
        <f>"3170CY28"</f>
        <v>3170CY28</v>
      </c>
      <c r="C3170" t="s">
        <v>4714</v>
      </c>
      <c r="D3170" s="1" t="str">
        <f t="shared" si="90"/>
        <v>PRG-1021685</v>
      </c>
      <c r="E3170" t="s">
        <v>245</v>
      </c>
      <c r="F3170" t="s">
        <v>5</v>
      </c>
      <c r="G3170" t="str">
        <f>""</f>
        <v/>
      </c>
    </row>
    <row r="3171" spans="1:7" x14ac:dyDescent="0.25">
      <c r="A3171" t="s">
        <v>8</v>
      </c>
      <c r="B3171" s="1" t="str">
        <f>"3170DK26"</f>
        <v>3170DK26</v>
      </c>
      <c r="C3171" t="s">
        <v>4716</v>
      </c>
      <c r="D3171" s="1" t="str">
        <f t="shared" si="90"/>
        <v>PRG-1021685</v>
      </c>
      <c r="E3171" t="s">
        <v>245</v>
      </c>
      <c r="F3171" t="s">
        <v>5</v>
      </c>
      <c r="G3171" t="str">
        <f>""</f>
        <v/>
      </c>
    </row>
    <row r="3172" spans="1:7" x14ac:dyDescent="0.25">
      <c r="A3172" t="s">
        <v>8</v>
      </c>
      <c r="B3172" s="1" t="str">
        <f>"3170DL47"</f>
        <v>3170DL47</v>
      </c>
      <c r="C3172" t="s">
        <v>4717</v>
      </c>
      <c r="D3172" s="1" t="str">
        <f t="shared" si="90"/>
        <v>PRG-1021685</v>
      </c>
      <c r="E3172" t="s">
        <v>245</v>
      </c>
      <c r="F3172" t="s">
        <v>5</v>
      </c>
      <c r="G3172" t="str">
        <f>""</f>
        <v/>
      </c>
    </row>
    <row r="3173" spans="1:7" x14ac:dyDescent="0.25">
      <c r="A3173" t="s">
        <v>8</v>
      </c>
      <c r="B3173" s="1" t="str">
        <f>"3170EA36"</f>
        <v>3170EA36</v>
      </c>
      <c r="C3173" t="s">
        <v>4719</v>
      </c>
      <c r="D3173" s="1" t="str">
        <f t="shared" si="90"/>
        <v>PRG-1021685</v>
      </c>
      <c r="E3173" t="s">
        <v>245</v>
      </c>
      <c r="F3173" t="s">
        <v>5</v>
      </c>
      <c r="G3173" t="str">
        <f>""</f>
        <v/>
      </c>
    </row>
    <row r="3174" spans="1:7" x14ac:dyDescent="0.25">
      <c r="A3174" t="s">
        <v>8</v>
      </c>
      <c r="B3174" s="1" t="str">
        <f>"3170ES30"</f>
        <v>3170ES30</v>
      </c>
      <c r="C3174" t="s">
        <v>4725</v>
      </c>
      <c r="D3174" s="1" t="str">
        <f t="shared" si="90"/>
        <v>PRG-1021685</v>
      </c>
      <c r="E3174" t="s">
        <v>245</v>
      </c>
      <c r="F3174" t="s">
        <v>5</v>
      </c>
      <c r="G3174" t="str">
        <f>""</f>
        <v/>
      </c>
    </row>
    <row r="3175" spans="1:7" x14ac:dyDescent="0.25">
      <c r="A3175" t="s">
        <v>8</v>
      </c>
      <c r="B3175" s="1" t="str">
        <f>"3170J393"</f>
        <v>3170J393</v>
      </c>
      <c r="C3175" t="s">
        <v>4740</v>
      </c>
      <c r="D3175" s="1" t="str">
        <f t="shared" si="90"/>
        <v>PRG-1021685</v>
      </c>
      <c r="E3175" t="s">
        <v>245</v>
      </c>
      <c r="F3175" t="s">
        <v>5</v>
      </c>
      <c r="G3175" t="str">
        <f>""</f>
        <v/>
      </c>
    </row>
    <row r="3176" spans="1:7" x14ac:dyDescent="0.25">
      <c r="A3176" t="s">
        <v>8</v>
      </c>
      <c r="B3176" s="1" t="str">
        <f>"3170M266"</f>
        <v>3170M266</v>
      </c>
      <c r="C3176" t="s">
        <v>4755</v>
      </c>
      <c r="D3176" s="1" t="str">
        <f t="shared" si="90"/>
        <v>PRG-1021685</v>
      </c>
      <c r="E3176" t="s">
        <v>245</v>
      </c>
      <c r="F3176" t="s">
        <v>5</v>
      </c>
      <c r="G3176" t="str">
        <f>""</f>
        <v/>
      </c>
    </row>
    <row r="3177" spans="1:7" x14ac:dyDescent="0.25">
      <c r="A3177" t="s">
        <v>8</v>
      </c>
      <c r="B3177" s="1" t="str">
        <f>"3170N430"</f>
        <v>3170N430</v>
      </c>
      <c r="C3177" t="s">
        <v>4756</v>
      </c>
      <c r="D3177" s="1" t="str">
        <f t="shared" si="90"/>
        <v>PRG-1021685</v>
      </c>
      <c r="E3177" t="s">
        <v>245</v>
      </c>
      <c r="F3177" t="s">
        <v>5</v>
      </c>
      <c r="G3177" t="str">
        <f>""</f>
        <v/>
      </c>
    </row>
    <row r="3178" spans="1:7" x14ac:dyDescent="0.25">
      <c r="A3178" t="s">
        <v>8</v>
      </c>
      <c r="B3178" s="1" t="str">
        <f>"3170P401"</f>
        <v>3170P401</v>
      </c>
      <c r="C3178" t="s">
        <v>4759</v>
      </c>
      <c r="D3178" s="1" t="str">
        <f t="shared" si="90"/>
        <v>PRG-1021685</v>
      </c>
      <c r="E3178" t="s">
        <v>245</v>
      </c>
      <c r="F3178" t="s">
        <v>5</v>
      </c>
      <c r="G3178" t="str">
        <f>""</f>
        <v/>
      </c>
    </row>
    <row r="3179" spans="1:7" x14ac:dyDescent="0.25">
      <c r="A3179" t="s">
        <v>8</v>
      </c>
      <c r="B3179" s="1" t="str">
        <f>"3170P856"</f>
        <v>3170P856</v>
      </c>
      <c r="C3179" t="s">
        <v>4762</v>
      </c>
      <c r="D3179" s="1" t="str">
        <f t="shared" si="90"/>
        <v>PRG-1021685</v>
      </c>
      <c r="E3179" t="s">
        <v>245</v>
      </c>
      <c r="F3179" t="s">
        <v>5</v>
      </c>
      <c r="G3179" t="str">
        <f>""</f>
        <v/>
      </c>
    </row>
    <row r="3180" spans="1:7" x14ac:dyDescent="0.25">
      <c r="A3180" t="s">
        <v>8</v>
      </c>
      <c r="B3180" s="1" t="str">
        <f>"3170Q080"</f>
        <v>3170Q080</v>
      </c>
      <c r="C3180" t="s">
        <v>4763</v>
      </c>
      <c r="D3180" s="1" t="str">
        <f t="shared" si="90"/>
        <v>PRG-1021685</v>
      </c>
      <c r="E3180" t="s">
        <v>245</v>
      </c>
      <c r="F3180" t="s">
        <v>5</v>
      </c>
      <c r="G3180" t="str">
        <f>""</f>
        <v/>
      </c>
    </row>
    <row r="3181" spans="1:7" x14ac:dyDescent="0.25">
      <c r="A3181" t="s">
        <v>8</v>
      </c>
      <c r="B3181" s="1" t="str">
        <f>"3170R613"</f>
        <v>3170R613</v>
      </c>
      <c r="C3181" t="s">
        <v>4766</v>
      </c>
      <c r="D3181" s="1" t="str">
        <f t="shared" si="90"/>
        <v>PRG-1021685</v>
      </c>
      <c r="E3181" t="s">
        <v>245</v>
      </c>
      <c r="F3181" t="s">
        <v>5</v>
      </c>
      <c r="G3181" t="str">
        <f>""</f>
        <v/>
      </c>
    </row>
    <row r="3182" spans="1:7" x14ac:dyDescent="0.25">
      <c r="A3182" t="s">
        <v>8</v>
      </c>
      <c r="B3182" s="1" t="str">
        <f>"3170S488"</f>
        <v>3170S488</v>
      </c>
      <c r="C3182" t="s">
        <v>4767</v>
      </c>
      <c r="D3182" s="1" t="str">
        <f t="shared" si="90"/>
        <v>PRG-1021685</v>
      </c>
      <c r="E3182" t="s">
        <v>245</v>
      </c>
      <c r="F3182" t="s">
        <v>5</v>
      </c>
      <c r="G3182" t="str">
        <f>""</f>
        <v/>
      </c>
    </row>
    <row r="3183" spans="1:7" x14ac:dyDescent="0.25">
      <c r="A3183" t="s">
        <v>8</v>
      </c>
      <c r="B3183" s="1" t="str">
        <f>"3170T399"</f>
        <v>3170T399</v>
      </c>
      <c r="C3183" t="s">
        <v>4770</v>
      </c>
      <c r="D3183" s="1" t="str">
        <f t="shared" si="90"/>
        <v>PRG-1021685</v>
      </c>
      <c r="E3183" t="s">
        <v>245</v>
      </c>
      <c r="F3183" t="s">
        <v>5</v>
      </c>
      <c r="G3183" t="str">
        <f>""</f>
        <v/>
      </c>
    </row>
    <row r="3184" spans="1:7" x14ac:dyDescent="0.25">
      <c r="A3184" t="s">
        <v>8</v>
      </c>
      <c r="B3184" s="1" t="str">
        <f>"3170T574"</f>
        <v>3170T574</v>
      </c>
      <c r="C3184" t="s">
        <v>4771</v>
      </c>
      <c r="D3184" s="1" t="str">
        <f t="shared" si="90"/>
        <v>PRG-1021685</v>
      </c>
      <c r="E3184" t="s">
        <v>245</v>
      </c>
      <c r="F3184" t="s">
        <v>5</v>
      </c>
      <c r="G3184" t="str">
        <f>""</f>
        <v/>
      </c>
    </row>
    <row r="3185" spans="1:7" x14ac:dyDescent="0.25">
      <c r="A3185" t="s">
        <v>8</v>
      </c>
      <c r="B3185" s="1" t="str">
        <f>"3170U322"</f>
        <v>3170U322</v>
      </c>
      <c r="C3185" t="s">
        <v>4775</v>
      </c>
      <c r="D3185" s="1" t="str">
        <f t="shared" si="90"/>
        <v>PRG-1021685</v>
      </c>
      <c r="E3185" t="s">
        <v>245</v>
      </c>
      <c r="F3185" t="s">
        <v>5</v>
      </c>
      <c r="G3185" t="str">
        <f>""</f>
        <v/>
      </c>
    </row>
    <row r="3186" spans="1:7" x14ac:dyDescent="0.25">
      <c r="A3186" t="s">
        <v>8</v>
      </c>
      <c r="B3186" s="1" t="str">
        <f>"3170V156"</f>
        <v>3170V156</v>
      </c>
      <c r="C3186" t="s">
        <v>4777</v>
      </c>
      <c r="D3186" s="1" t="str">
        <f t="shared" si="90"/>
        <v>PRG-1021685</v>
      </c>
      <c r="E3186" t="s">
        <v>245</v>
      </c>
      <c r="F3186" t="s">
        <v>5</v>
      </c>
      <c r="G3186" t="str">
        <f>""</f>
        <v/>
      </c>
    </row>
    <row r="3187" spans="1:7" x14ac:dyDescent="0.25">
      <c r="A3187" t="s">
        <v>8</v>
      </c>
      <c r="B3187" s="1" t="str">
        <f>"3170V688"</f>
        <v>3170V688</v>
      </c>
      <c r="C3187" t="s">
        <v>4781</v>
      </c>
      <c r="D3187" s="1" t="str">
        <f t="shared" si="90"/>
        <v>PRG-1021685</v>
      </c>
      <c r="E3187" t="s">
        <v>245</v>
      </c>
      <c r="F3187" t="s">
        <v>5</v>
      </c>
      <c r="G3187" t="str">
        <f>""</f>
        <v/>
      </c>
    </row>
    <row r="3188" spans="1:7" x14ac:dyDescent="0.25">
      <c r="A3188" t="s">
        <v>8</v>
      </c>
      <c r="B3188" s="1" t="str">
        <f>"3170V705"</f>
        <v>3170V705</v>
      </c>
      <c r="C3188" t="s">
        <v>4782</v>
      </c>
      <c r="D3188" s="1" t="str">
        <f t="shared" si="90"/>
        <v>PRG-1021685</v>
      </c>
      <c r="E3188" t="s">
        <v>245</v>
      </c>
      <c r="F3188" t="s">
        <v>5</v>
      </c>
      <c r="G3188" t="str">
        <f>""</f>
        <v/>
      </c>
    </row>
    <row r="3189" spans="1:7" x14ac:dyDescent="0.25">
      <c r="A3189" t="s">
        <v>8</v>
      </c>
      <c r="B3189" s="1" t="str">
        <f>"32106249"</f>
        <v>32106249</v>
      </c>
      <c r="C3189" t="s">
        <v>4802</v>
      </c>
      <c r="D3189" s="1" t="str">
        <f t="shared" si="90"/>
        <v>PRG-1021685</v>
      </c>
      <c r="E3189" t="s">
        <v>245</v>
      </c>
      <c r="F3189" t="s">
        <v>5</v>
      </c>
      <c r="G3189" t="str">
        <f>""</f>
        <v/>
      </c>
    </row>
    <row r="3190" spans="1:7" x14ac:dyDescent="0.25">
      <c r="A3190" t="s">
        <v>8</v>
      </c>
      <c r="B3190" s="1" t="str">
        <f>"32301627"</f>
        <v>32301627</v>
      </c>
      <c r="C3190" t="s">
        <v>4837</v>
      </c>
      <c r="D3190" s="1" t="str">
        <f t="shared" si="90"/>
        <v>PRG-1021685</v>
      </c>
      <c r="E3190" t="s">
        <v>245</v>
      </c>
      <c r="F3190" t="s">
        <v>5</v>
      </c>
      <c r="G3190" t="str">
        <f>""</f>
        <v/>
      </c>
    </row>
    <row r="3191" spans="1:7" x14ac:dyDescent="0.25">
      <c r="A3191" t="s">
        <v>8</v>
      </c>
      <c r="B3191" s="1" t="str">
        <f>"32302924"</f>
        <v>32302924</v>
      </c>
      <c r="C3191" t="s">
        <v>4859</v>
      </c>
      <c r="D3191" s="1" t="str">
        <f t="shared" si="90"/>
        <v>PRG-1021685</v>
      </c>
      <c r="E3191" t="s">
        <v>245</v>
      </c>
      <c r="F3191" t="s">
        <v>5</v>
      </c>
      <c r="G3191" t="str">
        <f>""</f>
        <v/>
      </c>
    </row>
    <row r="3192" spans="1:7" x14ac:dyDescent="0.25">
      <c r="A3192" t="s">
        <v>8</v>
      </c>
      <c r="B3192" s="1" t="str">
        <f>"32305207"</f>
        <v>32305207</v>
      </c>
      <c r="C3192" t="s">
        <v>4874</v>
      </c>
      <c r="D3192" s="1" t="str">
        <f t="shared" si="90"/>
        <v>PRG-1021685</v>
      </c>
      <c r="E3192" t="s">
        <v>245</v>
      </c>
      <c r="F3192" t="s">
        <v>5</v>
      </c>
      <c r="G3192" t="str">
        <f>""</f>
        <v/>
      </c>
    </row>
    <row r="3193" spans="1:7" x14ac:dyDescent="0.25">
      <c r="A3193" t="s">
        <v>8</v>
      </c>
      <c r="B3193" s="1" t="str">
        <f>"3230D536"</f>
        <v>3230D536</v>
      </c>
      <c r="C3193" t="s">
        <v>4898</v>
      </c>
      <c r="D3193" s="1" t="str">
        <f t="shared" si="90"/>
        <v>PRG-1021685</v>
      </c>
      <c r="E3193" t="s">
        <v>245</v>
      </c>
      <c r="F3193" t="s">
        <v>5</v>
      </c>
      <c r="G3193" t="str">
        <f>""</f>
        <v/>
      </c>
    </row>
    <row r="3194" spans="1:7" x14ac:dyDescent="0.25">
      <c r="A3194" t="s">
        <v>8</v>
      </c>
      <c r="B3194" s="1" t="str">
        <f>"41463588"</f>
        <v>41463588</v>
      </c>
      <c r="C3194" t="s">
        <v>4993</v>
      </c>
      <c r="D3194" s="1" t="str">
        <f t="shared" si="90"/>
        <v>PRG-1021685</v>
      </c>
      <c r="E3194" t="s">
        <v>245</v>
      </c>
      <c r="F3194" t="s">
        <v>5</v>
      </c>
      <c r="G3194" t="str">
        <f>""</f>
        <v/>
      </c>
    </row>
    <row r="3195" spans="1:7" x14ac:dyDescent="0.25">
      <c r="A3195" t="s">
        <v>8</v>
      </c>
      <c r="B3195" s="1" t="str">
        <f>"000276505 - RICH   MOLLYS"</f>
        <v>000276505 - RICH   MOLLYS</v>
      </c>
      <c r="C3195" t="s">
        <v>2574</v>
      </c>
      <c r="D3195" s="1" t="str">
        <f>"PRG-1021716"</f>
        <v>PRG-1021716</v>
      </c>
      <c r="E3195" t="s">
        <v>2575</v>
      </c>
      <c r="F3195" t="s">
        <v>4</v>
      </c>
      <c r="G3195" t="str">
        <f>""</f>
        <v/>
      </c>
    </row>
    <row r="3196" spans="1:7" x14ac:dyDescent="0.25">
      <c r="A3196" t="s">
        <v>8</v>
      </c>
      <c r="B3196" s="1" t="str">
        <f>"000350281 - "</f>
        <v xml:space="preserve">000350281 - </v>
      </c>
      <c r="D3196" s="1" t="str">
        <f>"PRG-1021716"</f>
        <v>PRG-1021716</v>
      </c>
      <c r="E3196" t="s">
        <v>2575</v>
      </c>
      <c r="F3196" t="s">
        <v>4</v>
      </c>
      <c r="G3196" t="str">
        <f>""</f>
        <v/>
      </c>
    </row>
    <row r="3197" spans="1:7" x14ac:dyDescent="0.25">
      <c r="A3197" t="s">
        <v>8</v>
      </c>
      <c r="B3197" s="1" t="str">
        <f>"000240829 - RICH PRODUCTS CORP-WILD'S"</f>
        <v>000240829 - RICH PRODUCTS CORP-WILD'S</v>
      </c>
      <c r="C3197" t="s">
        <v>1913</v>
      </c>
      <c r="D3197" s="1" t="str">
        <f>"PRG-1021769"</f>
        <v>PRG-1021769</v>
      </c>
      <c r="E3197" t="s">
        <v>1914</v>
      </c>
      <c r="F3197" t="s">
        <v>4</v>
      </c>
      <c r="G3197" t="str">
        <f>""</f>
        <v/>
      </c>
    </row>
    <row r="3198" spans="1:7" x14ac:dyDescent="0.25">
      <c r="A3198" t="s">
        <v>8</v>
      </c>
      <c r="B3198" s="1" t="str">
        <f>"000249302 - BATCH GASTROPUB  RICH"</f>
        <v>000249302 - BATCH GASTROPUB  RICH</v>
      </c>
      <c r="C3198" t="s">
        <v>2062</v>
      </c>
      <c r="D3198" s="1" t="str">
        <f>"PRG-1021791"</f>
        <v>PRG-1021791</v>
      </c>
      <c r="E3198" t="s">
        <v>2063</v>
      </c>
      <c r="F3198" t="s">
        <v>4</v>
      </c>
      <c r="G3198" t="str">
        <f>""</f>
        <v/>
      </c>
    </row>
    <row r="3199" spans="1:7" x14ac:dyDescent="0.25">
      <c r="A3199" t="s">
        <v>8</v>
      </c>
      <c r="B3199" s="1" t="str">
        <f>"2099B763"</f>
        <v>2099B763</v>
      </c>
      <c r="C3199" t="s">
        <v>4107</v>
      </c>
      <c r="D3199" s="1" t="str">
        <f>"PRG-1021850"</f>
        <v>PRG-1021850</v>
      </c>
      <c r="E3199" t="s">
        <v>4108</v>
      </c>
      <c r="F3199" t="s">
        <v>5</v>
      </c>
      <c r="G3199" t="str">
        <f>""</f>
        <v/>
      </c>
    </row>
    <row r="3200" spans="1:7" x14ac:dyDescent="0.25">
      <c r="A3200" t="s">
        <v>8</v>
      </c>
      <c r="B3200" s="1" t="str">
        <f>"3230E381"</f>
        <v>3230E381</v>
      </c>
      <c r="C3200" t="s">
        <v>4902</v>
      </c>
      <c r="D3200" s="1" t="str">
        <f>"PRG-1021888"</f>
        <v>PRG-1021888</v>
      </c>
      <c r="E3200" t="s">
        <v>4903</v>
      </c>
      <c r="F3200" t="s">
        <v>5</v>
      </c>
      <c r="G3200" t="str">
        <f>""</f>
        <v/>
      </c>
    </row>
    <row r="3201" spans="1:7" x14ac:dyDescent="0.25">
      <c r="A3201" t="s">
        <v>8</v>
      </c>
      <c r="B3201" s="1" t="str">
        <f>"000087059 - RICH WILD WING"</f>
        <v>000087059 - RICH WILD WING</v>
      </c>
      <c r="C3201" t="s">
        <v>767</v>
      </c>
      <c r="D3201" s="1" t="str">
        <f t="shared" ref="D3201:D3213" si="91">"PRG-1021959"</f>
        <v>PRG-1021959</v>
      </c>
      <c r="E3201" t="s">
        <v>768</v>
      </c>
      <c r="F3201" t="s">
        <v>4</v>
      </c>
      <c r="G3201" t="str">
        <f>""</f>
        <v/>
      </c>
    </row>
    <row r="3202" spans="1:7" x14ac:dyDescent="0.25">
      <c r="A3202" t="s">
        <v>8</v>
      </c>
      <c r="B3202" s="1" t="str">
        <f>"000175720 - RICH CC WILD WINGS"</f>
        <v>000175720 - RICH CC WILD WINGS</v>
      </c>
      <c r="C3202" t="s">
        <v>1117</v>
      </c>
      <c r="D3202" s="1" t="str">
        <f t="shared" si="91"/>
        <v>PRG-1021959</v>
      </c>
      <c r="E3202" t="s">
        <v>768</v>
      </c>
      <c r="F3202" t="s">
        <v>4</v>
      </c>
      <c r="G3202" t="str">
        <f>""</f>
        <v/>
      </c>
    </row>
    <row r="3203" spans="1:7" x14ac:dyDescent="0.25">
      <c r="A3203" t="s">
        <v>8</v>
      </c>
      <c r="B3203" s="1" t="str">
        <f>"000199439 - RICH CC WILD WINGS"</f>
        <v>000199439 - RICH CC WILD WINGS</v>
      </c>
      <c r="C3203" t="s">
        <v>1117</v>
      </c>
      <c r="D3203" s="1" t="str">
        <f t="shared" si="91"/>
        <v>PRG-1021959</v>
      </c>
      <c r="E3203" t="s">
        <v>768</v>
      </c>
      <c r="F3203" t="s">
        <v>4</v>
      </c>
      <c r="G3203" t="str">
        <f>""</f>
        <v/>
      </c>
    </row>
    <row r="3204" spans="1:7" x14ac:dyDescent="0.25">
      <c r="A3204" t="s">
        <v>8</v>
      </c>
      <c r="B3204" s="1" t="str">
        <f>"000199620 - RICHS WILD WING CAFE"</f>
        <v>000199620 - RICHS WILD WING CAFE</v>
      </c>
      <c r="C3204" t="s">
        <v>1292</v>
      </c>
      <c r="D3204" s="1" t="str">
        <f t="shared" si="91"/>
        <v>PRG-1021959</v>
      </c>
      <c r="E3204" t="s">
        <v>768</v>
      </c>
      <c r="F3204" t="s">
        <v>4</v>
      </c>
      <c r="G3204" t="str">
        <f>""</f>
        <v/>
      </c>
    </row>
    <row r="3205" spans="1:7" x14ac:dyDescent="0.25">
      <c r="A3205" t="s">
        <v>8</v>
      </c>
      <c r="B3205" s="1" t="str">
        <f>"000206740 - RICH CC WILD WINGS"</f>
        <v>000206740 - RICH CC WILD WINGS</v>
      </c>
      <c r="C3205" t="s">
        <v>1117</v>
      </c>
      <c r="D3205" s="1" t="str">
        <f t="shared" si="91"/>
        <v>PRG-1021959</v>
      </c>
      <c r="E3205" t="s">
        <v>768</v>
      </c>
      <c r="F3205" t="s">
        <v>4</v>
      </c>
      <c r="G3205" t="str">
        <f>""</f>
        <v/>
      </c>
    </row>
    <row r="3206" spans="1:7" x14ac:dyDescent="0.25">
      <c r="A3206" t="s">
        <v>8</v>
      </c>
      <c r="B3206" s="1" t="str">
        <f>"000213585 - RICHS WILD WING CAFE"</f>
        <v>000213585 - RICHS WILD WING CAFE</v>
      </c>
      <c r="C3206" t="s">
        <v>1292</v>
      </c>
      <c r="D3206" s="1" t="str">
        <f t="shared" si="91"/>
        <v>PRG-1021959</v>
      </c>
      <c r="E3206" t="s">
        <v>768</v>
      </c>
      <c r="F3206" t="s">
        <v>4</v>
      </c>
      <c r="G3206" t="str">
        <f>""</f>
        <v/>
      </c>
    </row>
    <row r="3207" spans="1:7" x14ac:dyDescent="0.25">
      <c r="A3207" t="s">
        <v>8</v>
      </c>
      <c r="B3207" s="1" t="str">
        <f>"000223628 - RICHS WILD WING CAFE"</f>
        <v>000223628 - RICHS WILD WING CAFE</v>
      </c>
      <c r="C3207" t="s">
        <v>1292</v>
      </c>
      <c r="D3207" s="1" t="str">
        <f t="shared" si="91"/>
        <v>PRG-1021959</v>
      </c>
      <c r="E3207" t="s">
        <v>768</v>
      </c>
      <c r="F3207" t="s">
        <v>4</v>
      </c>
      <c r="G3207" t="str">
        <f>""</f>
        <v/>
      </c>
    </row>
    <row r="3208" spans="1:7" x14ac:dyDescent="0.25">
      <c r="A3208" t="s">
        <v>8</v>
      </c>
      <c r="B3208" s="1" t="str">
        <f>"2220L855"</f>
        <v>2220L855</v>
      </c>
      <c r="C3208" t="s">
        <v>4292</v>
      </c>
      <c r="D3208" s="1" t="str">
        <f t="shared" si="91"/>
        <v>PRG-1021959</v>
      </c>
      <c r="E3208" t="s">
        <v>768</v>
      </c>
      <c r="F3208" t="s">
        <v>5</v>
      </c>
      <c r="G3208" t="str">
        <f>""</f>
        <v/>
      </c>
    </row>
    <row r="3209" spans="1:7" x14ac:dyDescent="0.25">
      <c r="A3209" t="s">
        <v>8</v>
      </c>
      <c r="B3209" s="1" t="str">
        <f>"2240D571"</f>
        <v>2240D571</v>
      </c>
      <c r="C3209" t="s">
        <v>4330</v>
      </c>
      <c r="D3209" s="1" t="str">
        <f t="shared" si="91"/>
        <v>PRG-1021959</v>
      </c>
      <c r="E3209" t="s">
        <v>768</v>
      </c>
      <c r="F3209" t="s">
        <v>5</v>
      </c>
      <c r="G3209" t="str">
        <f>""</f>
        <v/>
      </c>
    </row>
    <row r="3210" spans="1:7" x14ac:dyDescent="0.25">
      <c r="A3210" t="s">
        <v>8</v>
      </c>
      <c r="B3210" s="1" t="str">
        <f>"2250E789"</f>
        <v>2250E789</v>
      </c>
      <c r="C3210" t="s">
        <v>4369</v>
      </c>
      <c r="D3210" s="1" t="str">
        <f t="shared" si="91"/>
        <v>PRG-1021959</v>
      </c>
      <c r="E3210" t="s">
        <v>768</v>
      </c>
      <c r="F3210" t="s">
        <v>5</v>
      </c>
      <c r="G3210" t="str">
        <f>""</f>
        <v/>
      </c>
    </row>
    <row r="3211" spans="1:7" x14ac:dyDescent="0.25">
      <c r="A3211" t="s">
        <v>8</v>
      </c>
      <c r="B3211" s="1" t="str">
        <f>"2260H831"</f>
        <v>2260H831</v>
      </c>
      <c r="C3211" t="s">
        <v>4473</v>
      </c>
      <c r="D3211" s="1" t="str">
        <f t="shared" si="91"/>
        <v>PRG-1021959</v>
      </c>
      <c r="E3211" t="s">
        <v>768</v>
      </c>
      <c r="F3211" t="s">
        <v>5</v>
      </c>
      <c r="G3211" t="str">
        <f>""</f>
        <v/>
      </c>
    </row>
    <row r="3212" spans="1:7" x14ac:dyDescent="0.25">
      <c r="A3212" t="s">
        <v>8</v>
      </c>
      <c r="B3212" s="1" t="str">
        <f>"2270B347"</f>
        <v>2270B347</v>
      </c>
      <c r="C3212" t="s">
        <v>4481</v>
      </c>
      <c r="D3212" s="1" t="str">
        <f t="shared" si="91"/>
        <v>PRG-1021959</v>
      </c>
      <c r="E3212" t="s">
        <v>768</v>
      </c>
      <c r="F3212" t="s">
        <v>5</v>
      </c>
      <c r="G3212" t="str">
        <f>""</f>
        <v/>
      </c>
    </row>
    <row r="3213" spans="1:7" x14ac:dyDescent="0.25">
      <c r="A3213" t="s">
        <v>8</v>
      </c>
      <c r="B3213" s="1" t="str">
        <f>"3126B331"</f>
        <v>3126B331</v>
      </c>
      <c r="C3213" t="s">
        <v>4630</v>
      </c>
      <c r="D3213" s="1" t="str">
        <f t="shared" si="91"/>
        <v>PRG-1021959</v>
      </c>
      <c r="E3213" t="s">
        <v>768</v>
      </c>
      <c r="F3213" t="s">
        <v>5</v>
      </c>
      <c r="G3213" t="str">
        <f>""</f>
        <v/>
      </c>
    </row>
    <row r="3214" spans="1:7" x14ac:dyDescent="0.25">
      <c r="A3214" t="s">
        <v>8</v>
      </c>
      <c r="B3214" s="1" t="str">
        <f>"000221048 - TOM LEONARDS RICH'S"</f>
        <v>000221048 - TOM LEONARDS RICH'S</v>
      </c>
      <c r="C3214" t="s">
        <v>1591</v>
      </c>
      <c r="D3214" s="1" t="str">
        <f>"PRG-1022050"</f>
        <v>PRG-1022050</v>
      </c>
      <c r="E3214" t="s">
        <v>1592</v>
      </c>
      <c r="F3214" t="s">
        <v>4</v>
      </c>
      <c r="G3214" t="str">
        <f>""</f>
        <v/>
      </c>
    </row>
    <row r="3215" spans="1:7" x14ac:dyDescent="0.25">
      <c r="A3215" t="s">
        <v>8</v>
      </c>
      <c r="B3215" s="1" t="str">
        <f>"000170408 - RICH DC DADDY MAC'S"</f>
        <v>000170408 - RICH DC DADDY MAC'S</v>
      </c>
      <c r="C3215" t="s">
        <v>1098</v>
      </c>
      <c r="D3215" s="1" t="str">
        <f>"PRG-1022063"</f>
        <v>PRG-1022063</v>
      </c>
      <c r="E3215" t="s">
        <v>1099</v>
      </c>
      <c r="F3215" t="s">
        <v>4</v>
      </c>
      <c r="G3215" t="str">
        <f>""</f>
        <v/>
      </c>
    </row>
    <row r="3216" spans="1:7" x14ac:dyDescent="0.25">
      <c r="A3216" t="s">
        <v>8</v>
      </c>
      <c r="B3216" s="1" t="str">
        <f>"1054B929"</f>
        <v>1054B929</v>
      </c>
      <c r="C3216" t="s">
        <v>3779</v>
      </c>
      <c r="D3216" s="1" t="str">
        <f>"PRG-1022071"</f>
        <v>PRG-1022071</v>
      </c>
      <c r="E3216" t="s">
        <v>3780</v>
      </c>
      <c r="F3216" t="s">
        <v>5</v>
      </c>
      <c r="G3216" t="str">
        <f>""</f>
        <v/>
      </c>
    </row>
    <row r="3217" spans="1:7" x14ac:dyDescent="0.25">
      <c r="A3217" t="s">
        <v>8</v>
      </c>
      <c r="B3217" s="1" t="str">
        <f>"3126B276"</f>
        <v>3126B276</v>
      </c>
      <c r="C3217" t="s">
        <v>4626</v>
      </c>
      <c r="D3217" s="1" t="str">
        <f>"PRG-1022097"</f>
        <v>PRG-1022097</v>
      </c>
      <c r="E3217" t="s">
        <v>4627</v>
      </c>
      <c r="F3217" t="s">
        <v>5</v>
      </c>
      <c r="G3217" t="str">
        <f>""</f>
        <v/>
      </c>
    </row>
    <row r="3218" spans="1:7" x14ac:dyDescent="0.25">
      <c r="A3218" t="s">
        <v>8</v>
      </c>
      <c r="B3218" s="1" t="str">
        <f>"000277480 - RICH-DC ORANGE LAKE CC"</f>
        <v>000277480 - RICH-DC ORANGE LAKE CC</v>
      </c>
      <c r="C3218" t="s">
        <v>2600</v>
      </c>
      <c r="D3218" s="1" t="str">
        <f>"PRG-1022133"</f>
        <v>PRG-1022133</v>
      </c>
      <c r="E3218" t="s">
        <v>2601</v>
      </c>
      <c r="F3218" t="s">
        <v>4</v>
      </c>
      <c r="G3218" t="str">
        <f>""</f>
        <v/>
      </c>
    </row>
    <row r="3219" spans="1:7" x14ac:dyDescent="0.25">
      <c r="A3219" t="s">
        <v>8</v>
      </c>
      <c r="B3219" s="1" t="str">
        <f>"000122099 - RICH'S CC&amp;BB CAPTAIN ANDERSON"</f>
        <v>000122099 - RICH'S CC&amp;BB CAPTAIN ANDERSON</v>
      </c>
      <c r="C3219" t="s">
        <v>894</v>
      </c>
      <c r="D3219" s="1" t="str">
        <f>"PRG-1022155"</f>
        <v>PRG-1022155</v>
      </c>
      <c r="E3219" t="s">
        <v>895</v>
      </c>
      <c r="F3219" t="s">
        <v>4</v>
      </c>
      <c r="G3219" t="str">
        <f>""</f>
        <v/>
      </c>
    </row>
    <row r="3220" spans="1:7" x14ac:dyDescent="0.25">
      <c r="A3220" t="s">
        <v>8</v>
      </c>
      <c r="B3220" s="1" t="str">
        <f>"000142058 - RICH'S CC&amp;BB CAPTAIN ANDERSON"</f>
        <v>000142058 - RICH'S CC&amp;BB CAPTAIN ANDERSON</v>
      </c>
      <c r="C3220" t="s">
        <v>894</v>
      </c>
      <c r="D3220" s="1" t="str">
        <f>"PRG-1022155"</f>
        <v>PRG-1022155</v>
      </c>
      <c r="E3220" t="s">
        <v>895</v>
      </c>
      <c r="F3220" t="s">
        <v>4</v>
      </c>
      <c r="G3220" t="str">
        <f>""</f>
        <v/>
      </c>
    </row>
    <row r="3221" spans="1:7" x14ac:dyDescent="0.25">
      <c r="A3221" t="s">
        <v>8</v>
      </c>
      <c r="B3221" s="1" t="str">
        <f>"000265377 - RICH PRODUCTS   BROWNS ORCHARD"</f>
        <v>000265377 - RICH PRODUCTS   BROWNS ORCHARD</v>
      </c>
      <c r="C3221" t="s">
        <v>2382</v>
      </c>
      <c r="D3221" s="1" t="str">
        <f>"PRG-1022165"</f>
        <v>PRG-1022165</v>
      </c>
      <c r="E3221" t="s">
        <v>2383</v>
      </c>
      <c r="F3221" t="s">
        <v>4</v>
      </c>
      <c r="G3221" t="str">
        <f>""</f>
        <v/>
      </c>
    </row>
    <row r="3222" spans="1:7" x14ac:dyDescent="0.25">
      <c r="A3222" t="s">
        <v>8</v>
      </c>
      <c r="B3222" s="1" t="str">
        <f>"000206176 - RICH - CHARTWELL SWIM CLUB"</f>
        <v>000206176 - RICH - CHARTWELL SWIM CLUB</v>
      </c>
      <c r="C3222" t="s">
        <v>1366</v>
      </c>
      <c r="D3222" s="1" t="str">
        <f>"PRG-1022167"</f>
        <v>PRG-1022167</v>
      </c>
      <c r="E3222" t="s">
        <v>1367</v>
      </c>
      <c r="F3222" t="s">
        <v>4</v>
      </c>
      <c r="G3222" t="str">
        <f>""</f>
        <v/>
      </c>
    </row>
    <row r="3223" spans="1:7" x14ac:dyDescent="0.25">
      <c r="A3223" t="s">
        <v>8</v>
      </c>
      <c r="B3223" s="1" t="str">
        <f>"000100156 - USDA RICH B198"</f>
        <v>000100156 - USDA RICH B198</v>
      </c>
      <c r="C3223" t="s">
        <v>799</v>
      </c>
      <c r="D3223" s="1" t="str">
        <f t="shared" ref="D3223:D3254" si="92">"PRG-1022184"</f>
        <v>PRG-1022184</v>
      </c>
      <c r="E3223" t="s">
        <v>800</v>
      </c>
      <c r="F3223" t="s">
        <v>4</v>
      </c>
      <c r="G3223" t="str">
        <f>""</f>
        <v/>
      </c>
    </row>
    <row r="3224" spans="1:7" x14ac:dyDescent="0.25">
      <c r="A3224" t="s">
        <v>8</v>
      </c>
      <c r="B3224" s="1" t="str">
        <f>"000166415 - RICH'S B198 USDA NOI 14 15"</f>
        <v>000166415 - RICH'S B198 USDA NOI 14 15</v>
      </c>
      <c r="C3224" t="s">
        <v>1075</v>
      </c>
      <c r="D3224" s="1" t="str">
        <f t="shared" si="92"/>
        <v>PRG-1022184</v>
      </c>
      <c r="E3224" t="s">
        <v>800</v>
      </c>
      <c r="F3224" t="s">
        <v>4</v>
      </c>
      <c r="G3224" t="str">
        <f>""</f>
        <v/>
      </c>
    </row>
    <row r="3225" spans="1:7" x14ac:dyDescent="0.25">
      <c r="A3225" t="s">
        <v>8</v>
      </c>
      <c r="B3225" s="1" t="str">
        <f>"000183882 - RICHS FLOUR B198R"</f>
        <v>000183882 - RICHS FLOUR B198R</v>
      </c>
      <c r="C3225" t="s">
        <v>1161</v>
      </c>
      <c r="D3225" s="1" t="str">
        <f t="shared" si="92"/>
        <v>PRG-1022184</v>
      </c>
      <c r="E3225" t="s">
        <v>800</v>
      </c>
      <c r="F3225" t="s">
        <v>4</v>
      </c>
      <c r="G3225" t="str">
        <f>""</f>
        <v/>
      </c>
    </row>
    <row r="3226" spans="1:7" x14ac:dyDescent="0.25">
      <c r="A3226" t="s">
        <v>8</v>
      </c>
      <c r="B3226" s="1" t="str">
        <f>"000190252 - SCHOOLS BLNKT BID RICHS"</f>
        <v>000190252 - SCHOOLS BLNKT BID RICHS</v>
      </c>
      <c r="C3226" t="s">
        <v>1201</v>
      </c>
      <c r="D3226" s="1" t="str">
        <f t="shared" si="92"/>
        <v>PRG-1022184</v>
      </c>
      <c r="E3226" t="s">
        <v>800</v>
      </c>
      <c r="F3226" t="s">
        <v>4</v>
      </c>
      <c r="G3226" t="str">
        <f>""</f>
        <v/>
      </c>
    </row>
    <row r="3227" spans="1:7" x14ac:dyDescent="0.25">
      <c r="A3227" t="s">
        <v>8</v>
      </c>
      <c r="B3227" s="1" t="str">
        <f>"000201590 - RICHS FLOUR-B198R"</f>
        <v>000201590 - RICHS FLOUR-B198R</v>
      </c>
      <c r="C3227" t="s">
        <v>1316</v>
      </c>
      <c r="D3227" s="1" t="str">
        <f t="shared" si="92"/>
        <v>PRG-1022184</v>
      </c>
      <c r="E3227" t="s">
        <v>800</v>
      </c>
      <c r="F3227" t="s">
        <v>4</v>
      </c>
      <c r="G3227" t="str">
        <f>""</f>
        <v/>
      </c>
    </row>
    <row r="3228" spans="1:7" x14ac:dyDescent="0.25">
      <c r="A3228" t="s">
        <v>8</v>
      </c>
      <c r="B3228" s="1" t="str">
        <f>"000211121 - USDA RICH FOODS           B198"</f>
        <v>000211121 - USDA RICH FOODS           B198</v>
      </c>
      <c r="C3228" t="s">
        <v>1443</v>
      </c>
      <c r="D3228" s="1" t="str">
        <f t="shared" si="92"/>
        <v>PRG-1022184</v>
      </c>
      <c r="E3228" t="s">
        <v>800</v>
      </c>
      <c r="F3228" t="s">
        <v>4</v>
      </c>
      <c r="G3228" t="str">
        <f>""</f>
        <v/>
      </c>
    </row>
    <row r="3229" spans="1:7" x14ac:dyDescent="0.25">
      <c r="A3229" t="s">
        <v>8</v>
      </c>
      <c r="B3229" s="1" t="str">
        <f>"000222646 - RICH-100912-B198-SUNMAN"</f>
        <v>000222646 - RICH-100912-B198-SUNMAN</v>
      </c>
      <c r="C3229" t="s">
        <v>1630</v>
      </c>
      <c r="D3229" s="1" t="str">
        <f t="shared" si="92"/>
        <v>PRG-1022184</v>
      </c>
      <c r="E3229" t="s">
        <v>800</v>
      </c>
      <c r="F3229" t="s">
        <v>4</v>
      </c>
      <c r="G3229" t="str">
        <f>""</f>
        <v/>
      </c>
    </row>
    <row r="3230" spans="1:7" x14ac:dyDescent="0.25">
      <c r="A3230" t="s">
        <v>8</v>
      </c>
      <c r="B3230" s="1" t="str">
        <f>"000222647 - RICH-110244-B077-RICHMOND"</f>
        <v>000222647 - RICH-110244-B077-RICHMOND</v>
      </c>
      <c r="C3230" t="s">
        <v>1631</v>
      </c>
      <c r="D3230" s="1" t="str">
        <f t="shared" si="92"/>
        <v>PRG-1022184</v>
      </c>
      <c r="E3230" t="s">
        <v>800</v>
      </c>
      <c r="F3230" t="s">
        <v>4</v>
      </c>
      <c r="G3230" t="str">
        <f>""</f>
        <v/>
      </c>
    </row>
    <row r="3231" spans="1:7" x14ac:dyDescent="0.25">
      <c r="A3231" t="s">
        <v>8</v>
      </c>
      <c r="B3231" s="1" t="str">
        <f>"000228612 - RICH-100912-B198-SUNMAN"</f>
        <v>000228612 - RICH-100912-B198-SUNMAN</v>
      </c>
      <c r="C3231" t="s">
        <v>1630</v>
      </c>
      <c r="D3231" s="1" t="str">
        <f t="shared" si="92"/>
        <v>PRG-1022184</v>
      </c>
      <c r="E3231" t="s">
        <v>800</v>
      </c>
      <c r="F3231" t="s">
        <v>4</v>
      </c>
      <c r="G3231" t="str">
        <f>""</f>
        <v/>
      </c>
    </row>
    <row r="3232" spans="1:7" x14ac:dyDescent="0.25">
      <c r="A3232" t="s">
        <v>8</v>
      </c>
      <c r="B3232" s="1" t="str">
        <f>"000233290 - RICHS B198 OSSINING  NOI"</f>
        <v>000233290 - RICHS B198 OSSINING  NOI</v>
      </c>
      <c r="C3232" t="s">
        <v>1801</v>
      </c>
      <c r="D3232" s="1" t="str">
        <f t="shared" si="92"/>
        <v>PRG-1022184</v>
      </c>
      <c r="E3232" t="s">
        <v>800</v>
      </c>
      <c r="F3232" t="s">
        <v>4</v>
      </c>
      <c r="G3232" t="str">
        <f>""</f>
        <v/>
      </c>
    </row>
    <row r="3233" spans="1:7" x14ac:dyDescent="0.25">
      <c r="A3233" t="s">
        <v>8</v>
      </c>
      <c r="B3233" s="1" t="str">
        <f>"000233296 - RICHS B198 CHAPPAQUA NOI"</f>
        <v>000233296 - RICHS B198 CHAPPAQUA NOI</v>
      </c>
      <c r="C3233" t="s">
        <v>1802</v>
      </c>
      <c r="D3233" s="1" t="str">
        <f t="shared" si="92"/>
        <v>PRG-1022184</v>
      </c>
      <c r="E3233" t="s">
        <v>800</v>
      </c>
      <c r="F3233" t="s">
        <v>4</v>
      </c>
      <c r="G3233" t="str">
        <f>""</f>
        <v/>
      </c>
    </row>
    <row r="3234" spans="1:7" x14ac:dyDescent="0.25">
      <c r="A3234" t="s">
        <v>8</v>
      </c>
      <c r="B3234" s="1" t="str">
        <f>"000243259 - RICH NOI WORCESTER (110244)"</f>
        <v>000243259 - RICH NOI WORCESTER (110244)</v>
      </c>
      <c r="C3234" t="s">
        <v>1953</v>
      </c>
      <c r="D3234" s="1" t="str">
        <f t="shared" si="92"/>
        <v>PRG-1022184</v>
      </c>
      <c r="E3234" t="s">
        <v>800</v>
      </c>
      <c r="F3234" t="s">
        <v>4</v>
      </c>
      <c r="G3234" t="str">
        <f>""</f>
        <v/>
      </c>
    </row>
    <row r="3235" spans="1:7" x14ac:dyDescent="0.25">
      <c r="A3235" t="s">
        <v>8</v>
      </c>
      <c r="B3235" s="1" t="str">
        <f>"000262463 - RICHS 100912 USDA"</f>
        <v>000262463 - RICHS 100912 USDA</v>
      </c>
      <c r="C3235" t="s">
        <v>2315</v>
      </c>
      <c r="D3235" s="1" t="str">
        <f t="shared" si="92"/>
        <v>PRG-1022184</v>
      </c>
      <c r="E3235" t="s">
        <v>800</v>
      </c>
      <c r="F3235" t="s">
        <v>4</v>
      </c>
      <c r="G3235" t="str">
        <f>""</f>
        <v/>
      </c>
    </row>
    <row r="3236" spans="1:7" x14ac:dyDescent="0.25">
      <c r="A3236" t="s">
        <v>8</v>
      </c>
      <c r="B3236" s="1" t="str">
        <f>"000272181 - RICHS 100912 USDA"</f>
        <v>000272181 - RICHS 100912 USDA</v>
      </c>
      <c r="C3236" t="s">
        <v>2315</v>
      </c>
      <c r="D3236" s="1" t="str">
        <f t="shared" si="92"/>
        <v>PRG-1022184</v>
      </c>
      <c r="E3236" t="s">
        <v>800</v>
      </c>
      <c r="F3236" t="s">
        <v>4</v>
      </c>
      <c r="G3236" t="str">
        <f>""</f>
        <v/>
      </c>
    </row>
    <row r="3237" spans="1:7" x14ac:dyDescent="0.25">
      <c r="A3237" t="s">
        <v>8</v>
      </c>
      <c r="B3237" s="1" t="str">
        <f>"000273738 - RICH CORPORATION NOI FY15"</f>
        <v>000273738 - RICH CORPORATION NOI FY15</v>
      </c>
      <c r="C3237" t="s">
        <v>2529</v>
      </c>
      <c r="D3237" s="1" t="str">
        <f t="shared" si="92"/>
        <v>PRG-1022184</v>
      </c>
      <c r="E3237" t="s">
        <v>800</v>
      </c>
      <c r="F3237" t="s">
        <v>4</v>
      </c>
      <c r="G3237" t="str">
        <f>""</f>
        <v/>
      </c>
    </row>
    <row r="3238" spans="1:7" x14ac:dyDescent="0.25">
      <c r="A3238" t="s">
        <v>8</v>
      </c>
      <c r="B3238" s="1" t="str">
        <f>"000273752 - RICHS 100912 STERLING"</f>
        <v>000273752 - RICHS 100912 STERLING</v>
      </c>
      <c r="C3238" t="s">
        <v>2530</v>
      </c>
      <c r="D3238" s="1" t="str">
        <f t="shared" si="92"/>
        <v>PRG-1022184</v>
      </c>
      <c r="E3238" t="s">
        <v>800</v>
      </c>
      <c r="F3238" t="s">
        <v>4</v>
      </c>
      <c r="G3238" t="str">
        <f>""</f>
        <v/>
      </c>
    </row>
    <row r="3239" spans="1:7" x14ac:dyDescent="0.25">
      <c r="A3239" t="s">
        <v>8</v>
      </c>
      <c r="B3239" s="1" t="str">
        <f>"000275802 - RICHS 100912 USDA"</f>
        <v>000275802 - RICHS 100912 USDA</v>
      </c>
      <c r="C3239" t="s">
        <v>2315</v>
      </c>
      <c r="D3239" s="1" t="str">
        <f t="shared" si="92"/>
        <v>PRG-1022184</v>
      </c>
      <c r="E3239" t="s">
        <v>800</v>
      </c>
      <c r="F3239" t="s">
        <v>4</v>
      </c>
      <c r="G3239" t="str">
        <f>""</f>
        <v/>
      </c>
    </row>
    <row r="3240" spans="1:7" x14ac:dyDescent="0.25">
      <c r="A3240" t="s">
        <v>8</v>
      </c>
      <c r="B3240" s="1" t="str">
        <f>"000276031 - RICHS - 100912 FLOUR"</f>
        <v>000276031 - RICHS - 100912 FLOUR</v>
      </c>
      <c r="C3240" t="s">
        <v>2568</v>
      </c>
      <c r="D3240" s="1" t="str">
        <f t="shared" si="92"/>
        <v>PRG-1022184</v>
      </c>
      <c r="E3240" t="s">
        <v>800</v>
      </c>
      <c r="F3240" t="s">
        <v>4</v>
      </c>
      <c r="G3240" t="str">
        <f>""</f>
        <v/>
      </c>
    </row>
    <row r="3241" spans="1:7" x14ac:dyDescent="0.25">
      <c r="A3241" t="s">
        <v>8</v>
      </c>
      <c r="B3241" s="1" t="str">
        <f>"000279185 - RICHS - 100912 FLOUR"</f>
        <v>000279185 - RICHS - 100912 FLOUR</v>
      </c>
      <c r="C3241" t="s">
        <v>2568</v>
      </c>
      <c r="D3241" s="1" t="str">
        <f t="shared" si="92"/>
        <v>PRG-1022184</v>
      </c>
      <c r="E3241" t="s">
        <v>800</v>
      </c>
      <c r="F3241" t="s">
        <v>4</v>
      </c>
      <c r="G3241" t="str">
        <f>""</f>
        <v/>
      </c>
    </row>
    <row r="3242" spans="1:7" x14ac:dyDescent="0.25">
      <c r="A3242" t="s">
        <v>8</v>
      </c>
      <c r="B3242" s="1" t="str">
        <f>"000280288 - RICHS - 100912 FLOUR"</f>
        <v>000280288 - RICHS - 100912 FLOUR</v>
      </c>
      <c r="C3242" t="s">
        <v>2568</v>
      </c>
      <c r="D3242" s="1" t="str">
        <f t="shared" si="92"/>
        <v>PRG-1022184</v>
      </c>
      <c r="E3242" t="s">
        <v>800</v>
      </c>
      <c r="F3242" t="s">
        <v>4</v>
      </c>
      <c r="G3242" t="str">
        <f>""</f>
        <v/>
      </c>
    </row>
    <row r="3243" spans="1:7" x14ac:dyDescent="0.25">
      <c r="A3243" t="s">
        <v>8</v>
      </c>
      <c r="B3243" s="1" t="str">
        <f>"000280872 - RICHS PBC USDA 110244"</f>
        <v>000280872 - RICHS PBC USDA 110244</v>
      </c>
      <c r="C3243" t="s">
        <v>2493</v>
      </c>
      <c r="D3243" s="1" t="str">
        <f t="shared" si="92"/>
        <v>PRG-1022184</v>
      </c>
      <c r="E3243" t="s">
        <v>800</v>
      </c>
      <c r="F3243" t="s">
        <v>4</v>
      </c>
      <c r="G3243" t="str">
        <f>""</f>
        <v/>
      </c>
    </row>
    <row r="3244" spans="1:7" x14ac:dyDescent="0.25">
      <c r="A3244" t="s">
        <v>8</v>
      </c>
      <c r="B3244" s="1" t="str">
        <f>"000292384 - RICHS - 100912 FLOUR"</f>
        <v>000292384 - RICHS - 100912 FLOUR</v>
      </c>
      <c r="C3244" t="s">
        <v>2568</v>
      </c>
      <c r="D3244" s="1" t="str">
        <f t="shared" si="92"/>
        <v>PRG-1022184</v>
      </c>
      <c r="E3244" t="s">
        <v>800</v>
      </c>
      <c r="F3244" t="s">
        <v>4</v>
      </c>
      <c r="G3244" t="str">
        <f>""</f>
        <v/>
      </c>
    </row>
    <row r="3245" spans="1:7" x14ac:dyDescent="0.25">
      <c r="A3245" t="s">
        <v>8</v>
      </c>
      <c r="B3245" s="1" t="str">
        <f>"1054C116"</f>
        <v>1054C116</v>
      </c>
      <c r="C3245" t="s">
        <v>3781</v>
      </c>
      <c r="D3245" s="1" t="str">
        <f t="shared" si="92"/>
        <v>PRG-1022184</v>
      </c>
      <c r="E3245" t="s">
        <v>800</v>
      </c>
      <c r="F3245" t="s">
        <v>5</v>
      </c>
      <c r="G3245" t="str">
        <f>""</f>
        <v/>
      </c>
    </row>
    <row r="3246" spans="1:7" x14ac:dyDescent="0.25">
      <c r="A3246" t="s">
        <v>8</v>
      </c>
      <c r="B3246" s="1" t="str">
        <f>"1054C118"</f>
        <v>1054C118</v>
      </c>
      <c r="C3246" t="s">
        <v>3782</v>
      </c>
      <c r="D3246" s="1" t="str">
        <f t="shared" si="92"/>
        <v>PRG-1022184</v>
      </c>
      <c r="E3246" t="s">
        <v>800</v>
      </c>
      <c r="F3246" t="s">
        <v>5</v>
      </c>
      <c r="G3246" t="str">
        <f>""</f>
        <v/>
      </c>
    </row>
    <row r="3247" spans="1:7" x14ac:dyDescent="0.25">
      <c r="A3247" t="s">
        <v>8</v>
      </c>
      <c r="B3247" s="1" t="str">
        <f>"1054C120"</f>
        <v>1054C120</v>
      </c>
      <c r="C3247" t="s">
        <v>3783</v>
      </c>
      <c r="D3247" s="1" t="str">
        <f t="shared" si="92"/>
        <v>PRG-1022184</v>
      </c>
      <c r="E3247" t="s">
        <v>800</v>
      </c>
      <c r="F3247" t="s">
        <v>5</v>
      </c>
      <c r="G3247" t="str">
        <f>""</f>
        <v/>
      </c>
    </row>
    <row r="3248" spans="1:7" x14ac:dyDescent="0.25">
      <c r="A3248" t="s">
        <v>8</v>
      </c>
      <c r="B3248" s="1" t="str">
        <f>"1054C123"</f>
        <v>1054C123</v>
      </c>
      <c r="C3248" t="s">
        <v>3784</v>
      </c>
      <c r="D3248" s="1" t="str">
        <f t="shared" si="92"/>
        <v>PRG-1022184</v>
      </c>
      <c r="E3248" t="s">
        <v>800</v>
      </c>
      <c r="F3248" t="s">
        <v>5</v>
      </c>
      <c r="G3248" t="str">
        <f>""</f>
        <v/>
      </c>
    </row>
    <row r="3249" spans="1:7" x14ac:dyDescent="0.25">
      <c r="A3249" t="s">
        <v>8</v>
      </c>
      <c r="B3249" s="1" t="str">
        <f>"1054C125"</f>
        <v>1054C125</v>
      </c>
      <c r="C3249" t="s">
        <v>3785</v>
      </c>
      <c r="D3249" s="1" t="str">
        <f t="shared" si="92"/>
        <v>PRG-1022184</v>
      </c>
      <c r="E3249" t="s">
        <v>800</v>
      </c>
      <c r="F3249" t="s">
        <v>5</v>
      </c>
      <c r="G3249" t="str">
        <f>""</f>
        <v/>
      </c>
    </row>
    <row r="3250" spans="1:7" x14ac:dyDescent="0.25">
      <c r="A3250" t="s">
        <v>8</v>
      </c>
      <c r="B3250" s="1" t="str">
        <f>"1054C126"</f>
        <v>1054C126</v>
      </c>
      <c r="C3250" t="s">
        <v>3786</v>
      </c>
      <c r="D3250" s="1" t="str">
        <f t="shared" si="92"/>
        <v>PRG-1022184</v>
      </c>
      <c r="E3250" t="s">
        <v>800</v>
      </c>
      <c r="F3250" t="s">
        <v>5</v>
      </c>
      <c r="G3250" t="str">
        <f>""</f>
        <v/>
      </c>
    </row>
    <row r="3251" spans="1:7" x14ac:dyDescent="0.25">
      <c r="A3251" t="s">
        <v>8</v>
      </c>
      <c r="B3251" s="1" t="str">
        <f>"1054C127"</f>
        <v>1054C127</v>
      </c>
      <c r="C3251" t="s">
        <v>3787</v>
      </c>
      <c r="D3251" s="1" t="str">
        <f t="shared" si="92"/>
        <v>PRG-1022184</v>
      </c>
      <c r="E3251" t="s">
        <v>800</v>
      </c>
      <c r="F3251" t="s">
        <v>5</v>
      </c>
      <c r="G3251" t="str">
        <f>""</f>
        <v/>
      </c>
    </row>
    <row r="3252" spans="1:7" x14ac:dyDescent="0.25">
      <c r="A3252" t="s">
        <v>8</v>
      </c>
      <c r="B3252" s="1" t="str">
        <f>"1054C349"</f>
        <v>1054C349</v>
      </c>
      <c r="C3252" t="s">
        <v>3788</v>
      </c>
      <c r="D3252" s="1" t="str">
        <f t="shared" si="92"/>
        <v>PRG-1022184</v>
      </c>
      <c r="E3252" t="s">
        <v>800</v>
      </c>
      <c r="F3252" t="s">
        <v>5</v>
      </c>
      <c r="G3252" t="str">
        <f>""</f>
        <v/>
      </c>
    </row>
    <row r="3253" spans="1:7" x14ac:dyDescent="0.25">
      <c r="A3253" t="s">
        <v>8</v>
      </c>
      <c r="B3253" s="1" t="str">
        <f>"2000175930 - RICH AZ NOI"</f>
        <v>2000175930 - RICH AZ NOI</v>
      </c>
      <c r="C3253" t="s">
        <v>3894</v>
      </c>
      <c r="D3253" s="1" t="str">
        <f t="shared" si="92"/>
        <v>PRG-1022184</v>
      </c>
      <c r="E3253" t="s">
        <v>800</v>
      </c>
      <c r="F3253" t="s">
        <v>4</v>
      </c>
      <c r="G3253" t="str">
        <f>""</f>
        <v/>
      </c>
    </row>
    <row r="3254" spans="1:7" x14ac:dyDescent="0.25">
      <c r="A3254" t="s">
        <v>8</v>
      </c>
      <c r="B3254" s="1" t="str">
        <f>"2000177362 - RICH OK NOI"</f>
        <v>2000177362 - RICH OK NOI</v>
      </c>
      <c r="C3254" t="s">
        <v>3896</v>
      </c>
      <c r="D3254" s="1" t="str">
        <f t="shared" si="92"/>
        <v>PRG-1022184</v>
      </c>
      <c r="E3254" t="s">
        <v>800</v>
      </c>
      <c r="F3254" t="s">
        <v>4</v>
      </c>
      <c r="G3254" t="str">
        <f>""</f>
        <v/>
      </c>
    </row>
    <row r="3255" spans="1:7" x14ac:dyDescent="0.25">
      <c r="A3255" t="s">
        <v>8</v>
      </c>
      <c r="B3255" s="1" t="str">
        <f>"2000177363 - RICH OK NOI"</f>
        <v>2000177363 - RICH OK NOI</v>
      </c>
      <c r="C3255" t="s">
        <v>3896</v>
      </c>
      <c r="D3255" s="1" t="str">
        <f t="shared" ref="D3255:D3287" si="93">"PRG-1022184"</f>
        <v>PRG-1022184</v>
      </c>
      <c r="E3255" t="s">
        <v>800</v>
      </c>
      <c r="F3255" t="s">
        <v>4</v>
      </c>
      <c r="G3255" t="str">
        <f>""</f>
        <v/>
      </c>
    </row>
    <row r="3256" spans="1:7" x14ac:dyDescent="0.25">
      <c r="A3256" t="s">
        <v>8</v>
      </c>
      <c r="B3256" s="1" t="str">
        <f>"2000178548 - RICH NTX NOI"</f>
        <v>2000178548 - RICH NTX NOI</v>
      </c>
      <c r="C3256" t="s">
        <v>3897</v>
      </c>
      <c r="D3256" s="1" t="str">
        <f t="shared" si="93"/>
        <v>PRG-1022184</v>
      </c>
      <c r="E3256" t="s">
        <v>800</v>
      </c>
      <c r="F3256" t="s">
        <v>4</v>
      </c>
      <c r="G3256" t="str">
        <f>""</f>
        <v/>
      </c>
    </row>
    <row r="3257" spans="1:7" x14ac:dyDescent="0.25">
      <c r="A3257" t="s">
        <v>8</v>
      </c>
      <c r="B3257" s="1" t="str">
        <f>"2000178549 - RICH NTX NOI"</f>
        <v>2000178549 - RICH NTX NOI</v>
      </c>
      <c r="C3257" t="s">
        <v>3897</v>
      </c>
      <c r="D3257" s="1" t="str">
        <f t="shared" si="93"/>
        <v>PRG-1022184</v>
      </c>
      <c r="E3257" t="s">
        <v>800</v>
      </c>
      <c r="F3257" t="s">
        <v>4</v>
      </c>
      <c r="G3257" t="str">
        <f>""</f>
        <v/>
      </c>
    </row>
    <row r="3258" spans="1:7" x14ac:dyDescent="0.25">
      <c r="A3258" t="s">
        <v>8</v>
      </c>
      <c r="B3258" s="1" t="str">
        <f>"2000178908 - RICH WTX NOI"</f>
        <v>2000178908 - RICH WTX NOI</v>
      </c>
      <c r="C3258" t="s">
        <v>3898</v>
      </c>
      <c r="D3258" s="1" t="str">
        <f t="shared" si="93"/>
        <v>PRG-1022184</v>
      </c>
      <c r="E3258" t="s">
        <v>800</v>
      </c>
      <c r="F3258" t="s">
        <v>4</v>
      </c>
      <c r="G3258" t="str">
        <f>""</f>
        <v/>
      </c>
    </row>
    <row r="3259" spans="1:7" x14ac:dyDescent="0.25">
      <c r="A3259" t="s">
        <v>8</v>
      </c>
      <c r="B3259" s="1" t="str">
        <f>"2000198222 - RICH ETX NOI"</f>
        <v>2000198222 - RICH ETX NOI</v>
      </c>
      <c r="C3259" t="s">
        <v>3942</v>
      </c>
      <c r="D3259" s="1" t="str">
        <f t="shared" si="93"/>
        <v>PRG-1022184</v>
      </c>
      <c r="E3259" t="s">
        <v>800</v>
      </c>
      <c r="F3259" t="s">
        <v>4</v>
      </c>
      <c r="G3259" t="str">
        <f>""</f>
        <v/>
      </c>
    </row>
    <row r="3260" spans="1:7" x14ac:dyDescent="0.25">
      <c r="A3260" t="s">
        <v>8</v>
      </c>
      <c r="B3260" s="1" t="str">
        <f>"2140D280"</f>
        <v>2140D280</v>
      </c>
      <c r="C3260" t="s">
        <v>4175</v>
      </c>
      <c r="D3260" s="1" t="str">
        <f t="shared" si="93"/>
        <v>PRG-1022184</v>
      </c>
      <c r="E3260" t="s">
        <v>800</v>
      </c>
      <c r="F3260" t="s">
        <v>5</v>
      </c>
      <c r="G3260" t="str">
        <f>""</f>
        <v/>
      </c>
    </row>
    <row r="3261" spans="1:7" x14ac:dyDescent="0.25">
      <c r="A3261" t="s">
        <v>8</v>
      </c>
      <c r="B3261" s="1" t="str">
        <f>"2180D900"</f>
        <v>2180D900</v>
      </c>
      <c r="C3261" t="s">
        <v>4197</v>
      </c>
      <c r="D3261" s="1" t="str">
        <f t="shared" si="93"/>
        <v>PRG-1022184</v>
      </c>
      <c r="E3261" t="s">
        <v>800</v>
      </c>
      <c r="F3261" t="s">
        <v>5</v>
      </c>
      <c r="G3261" t="str">
        <f>""</f>
        <v/>
      </c>
    </row>
    <row r="3262" spans="1:7" x14ac:dyDescent="0.25">
      <c r="A3262" t="s">
        <v>8</v>
      </c>
      <c r="B3262" s="1" t="str">
        <f>"2180D901"</f>
        <v>2180D901</v>
      </c>
      <c r="C3262" t="s">
        <v>4198</v>
      </c>
      <c r="D3262" s="1" t="str">
        <f t="shared" si="93"/>
        <v>PRG-1022184</v>
      </c>
      <c r="E3262" t="s">
        <v>800</v>
      </c>
      <c r="F3262" t="s">
        <v>5</v>
      </c>
      <c r="G3262" t="str">
        <f>""</f>
        <v/>
      </c>
    </row>
    <row r="3263" spans="1:7" x14ac:dyDescent="0.25">
      <c r="A3263" t="s">
        <v>8</v>
      </c>
      <c r="B3263" s="1" t="str">
        <f>"2180D904"</f>
        <v>2180D904</v>
      </c>
      <c r="C3263" t="s">
        <v>4199</v>
      </c>
      <c r="D3263" s="1" t="str">
        <f t="shared" si="93"/>
        <v>PRG-1022184</v>
      </c>
      <c r="E3263" t="s">
        <v>800</v>
      </c>
      <c r="F3263" t="s">
        <v>5</v>
      </c>
      <c r="G3263" t="str">
        <f>""</f>
        <v/>
      </c>
    </row>
    <row r="3264" spans="1:7" x14ac:dyDescent="0.25">
      <c r="A3264" t="s">
        <v>8</v>
      </c>
      <c r="B3264" s="1" t="str">
        <f>"2180D908"</f>
        <v>2180D908</v>
      </c>
      <c r="C3264" t="s">
        <v>4200</v>
      </c>
      <c r="D3264" s="1" t="str">
        <f t="shared" si="93"/>
        <v>PRG-1022184</v>
      </c>
      <c r="E3264" t="s">
        <v>800</v>
      </c>
      <c r="F3264" t="s">
        <v>5</v>
      </c>
      <c r="G3264" t="str">
        <f>""</f>
        <v/>
      </c>
    </row>
    <row r="3265" spans="1:7" x14ac:dyDescent="0.25">
      <c r="A3265" t="s">
        <v>8</v>
      </c>
      <c r="B3265" s="1" t="str">
        <f>"2180D909"</f>
        <v>2180D909</v>
      </c>
      <c r="C3265" t="s">
        <v>4201</v>
      </c>
      <c r="D3265" s="1" t="str">
        <f t="shared" si="93"/>
        <v>PRG-1022184</v>
      </c>
      <c r="E3265" t="s">
        <v>800</v>
      </c>
      <c r="F3265" t="s">
        <v>5</v>
      </c>
      <c r="G3265" t="str">
        <f>""</f>
        <v/>
      </c>
    </row>
    <row r="3266" spans="1:7" x14ac:dyDescent="0.25">
      <c r="A3266" t="s">
        <v>8</v>
      </c>
      <c r="B3266" s="1" t="str">
        <f>"2180F674"</f>
        <v>2180F674</v>
      </c>
      <c r="C3266" t="s">
        <v>4209</v>
      </c>
      <c r="D3266" s="1" t="str">
        <f t="shared" si="93"/>
        <v>PRG-1022184</v>
      </c>
      <c r="E3266" t="s">
        <v>800</v>
      </c>
      <c r="F3266" t="s">
        <v>5</v>
      </c>
      <c r="G3266" t="str">
        <f>""</f>
        <v/>
      </c>
    </row>
    <row r="3267" spans="1:7" x14ac:dyDescent="0.25">
      <c r="A3267" t="s">
        <v>8</v>
      </c>
      <c r="B3267" s="1" t="str">
        <f>"2185F192"</f>
        <v>2185F192</v>
      </c>
      <c r="C3267" t="s">
        <v>4218</v>
      </c>
      <c r="D3267" s="1" t="str">
        <f t="shared" si="93"/>
        <v>PRG-1022184</v>
      </c>
      <c r="E3267" t="s">
        <v>800</v>
      </c>
      <c r="F3267" t="s">
        <v>5</v>
      </c>
      <c r="G3267" t="str">
        <f>""</f>
        <v/>
      </c>
    </row>
    <row r="3268" spans="1:7" x14ac:dyDescent="0.25">
      <c r="A3268" t="s">
        <v>8</v>
      </c>
      <c r="B3268" s="1" t="str">
        <f>"2185F194"</f>
        <v>2185F194</v>
      </c>
      <c r="C3268" t="s">
        <v>4219</v>
      </c>
      <c r="D3268" s="1" t="str">
        <f t="shared" si="93"/>
        <v>PRG-1022184</v>
      </c>
      <c r="E3268" t="s">
        <v>800</v>
      </c>
      <c r="F3268" t="s">
        <v>5</v>
      </c>
      <c r="G3268" t="str">
        <f>""</f>
        <v/>
      </c>
    </row>
    <row r="3269" spans="1:7" x14ac:dyDescent="0.25">
      <c r="A3269" t="s">
        <v>8</v>
      </c>
      <c r="B3269" s="1" t="str">
        <f>"2185F195"</f>
        <v>2185F195</v>
      </c>
      <c r="C3269" t="s">
        <v>4220</v>
      </c>
      <c r="D3269" s="1" t="str">
        <f t="shared" si="93"/>
        <v>PRG-1022184</v>
      </c>
      <c r="E3269" t="s">
        <v>800</v>
      </c>
      <c r="F3269" t="s">
        <v>5</v>
      </c>
      <c r="G3269" t="str">
        <f>""</f>
        <v/>
      </c>
    </row>
    <row r="3270" spans="1:7" x14ac:dyDescent="0.25">
      <c r="A3270" t="s">
        <v>8</v>
      </c>
      <c r="B3270" s="1" t="str">
        <f>"22208142"</f>
        <v>22208142</v>
      </c>
      <c r="C3270" t="s">
        <v>4243</v>
      </c>
      <c r="D3270" s="1" t="str">
        <f t="shared" si="93"/>
        <v>PRG-1022184</v>
      </c>
      <c r="E3270" t="s">
        <v>800</v>
      </c>
      <c r="F3270" t="s">
        <v>5</v>
      </c>
      <c r="G3270" t="str">
        <f>""</f>
        <v/>
      </c>
    </row>
    <row r="3271" spans="1:7" x14ac:dyDescent="0.25">
      <c r="A3271" t="s">
        <v>8</v>
      </c>
      <c r="B3271" s="1" t="str">
        <f>"222081DL"</f>
        <v>222081DL</v>
      </c>
      <c r="C3271" t="s">
        <v>4244</v>
      </c>
      <c r="D3271" s="1" t="str">
        <f t="shared" si="93"/>
        <v>PRG-1022184</v>
      </c>
      <c r="E3271" t="s">
        <v>800</v>
      </c>
      <c r="F3271" t="s">
        <v>5</v>
      </c>
      <c r="G3271" t="str">
        <f>""</f>
        <v/>
      </c>
    </row>
    <row r="3272" spans="1:7" x14ac:dyDescent="0.25">
      <c r="A3272" t="s">
        <v>8</v>
      </c>
      <c r="B3272" s="1" t="str">
        <f>"2220M099"</f>
        <v>2220M099</v>
      </c>
      <c r="C3272" t="s">
        <v>4293</v>
      </c>
      <c r="D3272" s="1" t="str">
        <f t="shared" si="93"/>
        <v>PRG-1022184</v>
      </c>
      <c r="E3272" t="s">
        <v>800</v>
      </c>
      <c r="F3272" t="s">
        <v>5</v>
      </c>
      <c r="G3272" t="str">
        <f>""</f>
        <v/>
      </c>
    </row>
    <row r="3273" spans="1:7" x14ac:dyDescent="0.25">
      <c r="A3273" t="s">
        <v>8</v>
      </c>
      <c r="B3273" s="1" t="str">
        <f>"2220M100"</f>
        <v>2220M100</v>
      </c>
      <c r="C3273" t="s">
        <v>4294</v>
      </c>
      <c r="D3273" s="1" t="str">
        <f t="shared" si="93"/>
        <v>PRG-1022184</v>
      </c>
      <c r="E3273" t="s">
        <v>800</v>
      </c>
      <c r="F3273" t="s">
        <v>5</v>
      </c>
      <c r="G3273" t="str">
        <f>""</f>
        <v/>
      </c>
    </row>
    <row r="3274" spans="1:7" x14ac:dyDescent="0.25">
      <c r="A3274" t="s">
        <v>8</v>
      </c>
      <c r="B3274" s="1" t="str">
        <f>"2220M101"</f>
        <v>2220M101</v>
      </c>
      <c r="C3274" t="s">
        <v>4295</v>
      </c>
      <c r="D3274" s="1" t="str">
        <f t="shared" si="93"/>
        <v>PRG-1022184</v>
      </c>
      <c r="E3274" t="s">
        <v>800</v>
      </c>
      <c r="F3274" t="s">
        <v>5</v>
      </c>
      <c r="G3274" t="str">
        <f>""</f>
        <v/>
      </c>
    </row>
    <row r="3275" spans="1:7" x14ac:dyDescent="0.25">
      <c r="A3275" t="s">
        <v>8</v>
      </c>
      <c r="B3275" s="1" t="str">
        <f>"2240D552"</f>
        <v>2240D552</v>
      </c>
      <c r="C3275" t="s">
        <v>4327</v>
      </c>
      <c r="D3275" s="1" t="str">
        <f t="shared" si="93"/>
        <v>PRG-1022184</v>
      </c>
      <c r="E3275" t="s">
        <v>800</v>
      </c>
      <c r="F3275" t="s">
        <v>5</v>
      </c>
      <c r="G3275" t="str">
        <f>""</f>
        <v/>
      </c>
    </row>
    <row r="3276" spans="1:7" x14ac:dyDescent="0.25">
      <c r="A3276" t="s">
        <v>8</v>
      </c>
      <c r="B3276" s="1" t="str">
        <f>"2240D553"</f>
        <v>2240D553</v>
      </c>
      <c r="C3276" t="s">
        <v>4328</v>
      </c>
      <c r="D3276" s="1" t="str">
        <f t="shared" si="93"/>
        <v>PRG-1022184</v>
      </c>
      <c r="E3276" t="s">
        <v>800</v>
      </c>
      <c r="F3276" t="s">
        <v>5</v>
      </c>
      <c r="G3276" t="str">
        <f>""</f>
        <v/>
      </c>
    </row>
    <row r="3277" spans="1:7" x14ac:dyDescent="0.25">
      <c r="A3277" t="s">
        <v>8</v>
      </c>
      <c r="B3277" s="1" t="str">
        <f>"2240D559"</f>
        <v>2240D559</v>
      </c>
      <c r="C3277" t="s">
        <v>4329</v>
      </c>
      <c r="D3277" s="1" t="str">
        <f t="shared" si="93"/>
        <v>PRG-1022184</v>
      </c>
      <c r="E3277" t="s">
        <v>800</v>
      </c>
      <c r="F3277" t="s">
        <v>5</v>
      </c>
      <c r="G3277" t="str">
        <f>""</f>
        <v/>
      </c>
    </row>
    <row r="3278" spans="1:7" x14ac:dyDescent="0.25">
      <c r="A3278" t="s">
        <v>8</v>
      </c>
      <c r="B3278" s="1" t="str">
        <f>"2250F296"</f>
        <v>2250F296</v>
      </c>
      <c r="C3278" t="s">
        <v>4370</v>
      </c>
      <c r="D3278" s="1" t="str">
        <f t="shared" si="93"/>
        <v>PRG-1022184</v>
      </c>
      <c r="E3278" t="s">
        <v>800</v>
      </c>
      <c r="F3278" t="s">
        <v>5</v>
      </c>
      <c r="G3278" t="str">
        <f>""</f>
        <v/>
      </c>
    </row>
    <row r="3279" spans="1:7" x14ac:dyDescent="0.25">
      <c r="A3279" t="s">
        <v>8</v>
      </c>
      <c r="B3279" s="1" t="str">
        <f>"2250F297"</f>
        <v>2250F297</v>
      </c>
      <c r="C3279" t="s">
        <v>4371</v>
      </c>
      <c r="D3279" s="1" t="str">
        <f t="shared" si="93"/>
        <v>PRG-1022184</v>
      </c>
      <c r="E3279" t="s">
        <v>800</v>
      </c>
      <c r="F3279" t="s">
        <v>5</v>
      </c>
      <c r="G3279" t="str">
        <f>""</f>
        <v/>
      </c>
    </row>
    <row r="3280" spans="1:7" x14ac:dyDescent="0.25">
      <c r="A3280" t="s">
        <v>8</v>
      </c>
      <c r="B3280" s="1" t="str">
        <f>"3055E978"</f>
        <v>3055E978</v>
      </c>
      <c r="C3280" t="s">
        <v>4597</v>
      </c>
      <c r="D3280" s="1" t="str">
        <f t="shared" si="93"/>
        <v>PRG-1022184</v>
      </c>
      <c r="E3280" t="s">
        <v>800</v>
      </c>
      <c r="F3280" t="s">
        <v>5</v>
      </c>
      <c r="G3280" t="str">
        <f>""</f>
        <v/>
      </c>
    </row>
    <row r="3281" spans="1:7" x14ac:dyDescent="0.25">
      <c r="A3281" t="s">
        <v>8</v>
      </c>
      <c r="B3281" s="1" t="str">
        <f>"3103D414"</f>
        <v>3103D414</v>
      </c>
      <c r="C3281" t="s">
        <v>4611</v>
      </c>
      <c r="D3281" s="1" t="str">
        <f t="shared" si="93"/>
        <v>PRG-1022184</v>
      </c>
      <c r="E3281" t="s">
        <v>800</v>
      </c>
      <c r="F3281" t="s">
        <v>5</v>
      </c>
      <c r="G3281" t="str">
        <f>""</f>
        <v/>
      </c>
    </row>
    <row r="3282" spans="1:7" x14ac:dyDescent="0.25">
      <c r="A3282" t="s">
        <v>8</v>
      </c>
      <c r="B3282" s="1" t="str">
        <f>"3103D695"</f>
        <v>3103D695</v>
      </c>
      <c r="C3282" t="s">
        <v>4612</v>
      </c>
      <c r="D3282" s="1" t="str">
        <f t="shared" si="93"/>
        <v>PRG-1022184</v>
      </c>
      <c r="E3282" t="s">
        <v>800</v>
      </c>
      <c r="F3282" t="s">
        <v>5</v>
      </c>
      <c r="G3282" t="str">
        <f>""</f>
        <v/>
      </c>
    </row>
    <row r="3283" spans="1:7" x14ac:dyDescent="0.25">
      <c r="A3283" t="s">
        <v>8</v>
      </c>
      <c r="B3283" s="1" t="str">
        <f>"3170FB85"</f>
        <v>3170FB85</v>
      </c>
      <c r="C3283" t="s">
        <v>4726</v>
      </c>
      <c r="D3283" s="1" t="str">
        <f t="shared" si="93"/>
        <v>PRG-1022184</v>
      </c>
      <c r="E3283" t="s">
        <v>800</v>
      </c>
      <c r="F3283" t="s">
        <v>5</v>
      </c>
      <c r="G3283" t="str">
        <f>""</f>
        <v/>
      </c>
    </row>
    <row r="3284" spans="1:7" x14ac:dyDescent="0.25">
      <c r="A3284" t="s">
        <v>8</v>
      </c>
      <c r="B3284" s="1" t="str">
        <f>"T6B0000A"</f>
        <v>T6B0000A</v>
      </c>
      <c r="C3284" t="s">
        <v>4370</v>
      </c>
      <c r="D3284" s="1" t="str">
        <f t="shared" si="93"/>
        <v>PRG-1022184</v>
      </c>
      <c r="E3284" t="s">
        <v>800</v>
      </c>
      <c r="F3284" t="s">
        <v>5</v>
      </c>
      <c r="G3284" t="str">
        <f>""</f>
        <v/>
      </c>
    </row>
    <row r="3285" spans="1:7" x14ac:dyDescent="0.25">
      <c r="A3285" t="s">
        <v>8</v>
      </c>
      <c r="B3285" s="1" t="str">
        <f>"T8N0000E"</f>
        <v>T8N0000E</v>
      </c>
      <c r="C3285" t="s">
        <v>6468</v>
      </c>
      <c r="D3285" s="1" t="str">
        <f t="shared" si="93"/>
        <v>PRG-1022184</v>
      </c>
      <c r="E3285" t="s">
        <v>800</v>
      </c>
      <c r="F3285" t="s">
        <v>5</v>
      </c>
      <c r="G3285" t="str">
        <f>""</f>
        <v/>
      </c>
    </row>
    <row r="3286" spans="1:7" x14ac:dyDescent="0.25">
      <c r="A3286" t="s">
        <v>8</v>
      </c>
      <c r="B3286" s="1" t="str">
        <f>"T8N0000Y"</f>
        <v>T8N0000Y</v>
      </c>
      <c r="C3286" t="s">
        <v>6469</v>
      </c>
      <c r="D3286" s="1" t="str">
        <f t="shared" si="93"/>
        <v>PRG-1022184</v>
      </c>
      <c r="E3286" t="s">
        <v>800</v>
      </c>
      <c r="F3286" t="s">
        <v>5</v>
      </c>
      <c r="G3286" t="str">
        <f>""</f>
        <v/>
      </c>
    </row>
    <row r="3287" spans="1:7" x14ac:dyDescent="0.25">
      <c r="A3287" t="s">
        <v>8</v>
      </c>
      <c r="B3287" s="1" t="str">
        <f>"T9B0000Z"</f>
        <v>T9B0000Z</v>
      </c>
      <c r="C3287" t="s">
        <v>6470</v>
      </c>
      <c r="D3287" s="1" t="str">
        <f t="shared" si="93"/>
        <v>PRG-1022184</v>
      </c>
      <c r="E3287" t="s">
        <v>800</v>
      </c>
      <c r="F3287" t="s">
        <v>5</v>
      </c>
      <c r="G3287" t="str">
        <f>""</f>
        <v/>
      </c>
    </row>
    <row r="3288" spans="1:7" x14ac:dyDescent="0.25">
      <c r="A3288" t="s">
        <v>8</v>
      </c>
      <c r="B3288" s="1" t="str">
        <f>"000315453 - RICHS CARMELAS"</f>
        <v>000315453 - RICHS CARMELAS</v>
      </c>
      <c r="C3288" t="s">
        <v>3170</v>
      </c>
      <c r="D3288" s="1" t="str">
        <f>"PRG-1022191"</f>
        <v>PRG-1022191</v>
      </c>
      <c r="E3288" t="s">
        <v>3171</v>
      </c>
      <c r="F3288" t="s">
        <v>4</v>
      </c>
      <c r="G3288" t="str">
        <f>""</f>
        <v/>
      </c>
    </row>
    <row r="3289" spans="1:7" x14ac:dyDescent="0.25">
      <c r="A3289" t="s">
        <v>8</v>
      </c>
      <c r="B3289" s="1" t="str">
        <f>"000279778 - RICHS-SALEM'S"</f>
        <v>000279778 - RICHS-SALEM'S</v>
      </c>
      <c r="C3289" t="s">
        <v>2631</v>
      </c>
      <c r="D3289" s="1" t="str">
        <f>"PRG-1022198"</f>
        <v>PRG-1022198</v>
      </c>
      <c r="E3289" t="s">
        <v>2632</v>
      </c>
      <c r="F3289" t="s">
        <v>4</v>
      </c>
      <c r="G3289" t="str">
        <f>""</f>
        <v/>
      </c>
    </row>
    <row r="3290" spans="1:7" x14ac:dyDescent="0.25">
      <c r="A3290" t="s">
        <v>8</v>
      </c>
      <c r="B3290" s="1" t="str">
        <f>"000364553 - RICHS-SALEM'S"</f>
        <v>000364553 - RICHS-SALEM'S</v>
      </c>
      <c r="C3290" t="s">
        <v>2631</v>
      </c>
      <c r="D3290" s="1" t="str">
        <f>"PRG-1022198"</f>
        <v>PRG-1022198</v>
      </c>
      <c r="E3290" t="s">
        <v>2632</v>
      </c>
      <c r="F3290" t="s">
        <v>4</v>
      </c>
      <c r="G3290" t="str">
        <f>""</f>
        <v/>
      </c>
    </row>
    <row r="3291" spans="1:7" x14ac:dyDescent="0.25">
      <c r="A3291" t="s">
        <v>8</v>
      </c>
      <c r="B3291" s="1" t="str">
        <f>"000364554 - RICHS(R)-SALEM'S"</f>
        <v>000364554 - RICHS(R)-SALEM'S</v>
      </c>
      <c r="C3291" t="s">
        <v>3598</v>
      </c>
      <c r="D3291" s="1" t="str">
        <f>"PRG-1022198"</f>
        <v>PRG-1022198</v>
      </c>
      <c r="E3291" t="s">
        <v>2632</v>
      </c>
      <c r="F3291" t="s">
        <v>4</v>
      </c>
      <c r="G3291" t="str">
        <f>""</f>
        <v/>
      </c>
    </row>
    <row r="3292" spans="1:7" x14ac:dyDescent="0.25">
      <c r="A3292" t="s">
        <v>8</v>
      </c>
      <c r="B3292" s="1" t="str">
        <f>"3055D510"</f>
        <v>3055D510</v>
      </c>
      <c r="C3292" t="s">
        <v>4588</v>
      </c>
      <c r="D3292" s="1" t="str">
        <f>"PRG-1022242"</f>
        <v>PRG-1022242</v>
      </c>
      <c r="E3292" t="s">
        <v>4589</v>
      </c>
      <c r="F3292" t="s">
        <v>5</v>
      </c>
      <c r="G3292" t="str">
        <f>""</f>
        <v/>
      </c>
    </row>
    <row r="3293" spans="1:7" x14ac:dyDescent="0.25">
      <c r="A3293" t="s">
        <v>8</v>
      </c>
      <c r="B3293" s="1" t="str">
        <f>"000217323 - RICH  KINGS DOMINION DC"</f>
        <v>000217323 - RICH  KINGS DOMINION DC</v>
      </c>
      <c r="C3293" t="s">
        <v>1552</v>
      </c>
      <c r="D3293" s="1" t="str">
        <f>"PRG-1022274"</f>
        <v>PRG-1022274</v>
      </c>
      <c r="E3293" t="s">
        <v>1553</v>
      </c>
      <c r="F3293" t="s">
        <v>4</v>
      </c>
      <c r="G3293" t="str">
        <f>""</f>
        <v/>
      </c>
    </row>
    <row r="3294" spans="1:7" x14ac:dyDescent="0.25">
      <c r="A3294" t="s">
        <v>8</v>
      </c>
      <c r="B3294" s="1" t="str">
        <f>"000238029 - CEDAR FAIR RICHS 1022274"</f>
        <v>000238029 - CEDAR FAIR RICHS 1022274</v>
      </c>
      <c r="C3294" t="s">
        <v>1876</v>
      </c>
      <c r="D3294" s="1" t="str">
        <f>"PRG-1022274"</f>
        <v>PRG-1022274</v>
      </c>
      <c r="E3294" t="s">
        <v>1553</v>
      </c>
      <c r="F3294" t="s">
        <v>4</v>
      </c>
      <c r="G3294" t="str">
        <f>""</f>
        <v/>
      </c>
    </row>
    <row r="3295" spans="1:7" x14ac:dyDescent="0.25">
      <c r="A3295" t="s">
        <v>8</v>
      </c>
      <c r="B3295" s="1" t="str">
        <f>"000258891 - KINGS DOMINION RICH FOODS"</f>
        <v>000258891 - KINGS DOMINION RICH FOODS</v>
      </c>
      <c r="C3295" t="s">
        <v>2223</v>
      </c>
      <c r="D3295" s="1" t="str">
        <f>"PRG-1022274"</f>
        <v>PRG-1022274</v>
      </c>
      <c r="E3295" t="s">
        <v>1553</v>
      </c>
      <c r="F3295" t="s">
        <v>4</v>
      </c>
      <c r="G3295" t="str">
        <f>""</f>
        <v/>
      </c>
    </row>
    <row r="3296" spans="1:7" x14ac:dyDescent="0.25">
      <c r="A3296" t="s">
        <v>8</v>
      </c>
      <c r="B3296" s="1" t="str">
        <f>"000278197 - RICHS-DC FUN SPOT"</f>
        <v>000278197 - RICHS-DC FUN SPOT</v>
      </c>
      <c r="C3296" t="s">
        <v>2608</v>
      </c>
      <c r="D3296" s="1" t="str">
        <f>"PRG-1022299"</f>
        <v>PRG-1022299</v>
      </c>
      <c r="E3296" t="s">
        <v>2609</v>
      </c>
      <c r="F3296" t="s">
        <v>4</v>
      </c>
      <c r="G3296" t="str">
        <f>""</f>
        <v/>
      </c>
    </row>
    <row r="3297" spans="1:7" x14ac:dyDescent="0.25">
      <c r="A3297" t="s">
        <v>8</v>
      </c>
      <c r="B3297" s="1" t="str">
        <f>"41189967"</f>
        <v>41189967</v>
      </c>
      <c r="C3297" t="s">
        <v>4973</v>
      </c>
      <c r="D3297" s="1" t="str">
        <f>"PRG-1022335"</f>
        <v>PRG-1022335</v>
      </c>
      <c r="E3297" t="s">
        <v>4974</v>
      </c>
      <c r="F3297" t="s">
        <v>5</v>
      </c>
      <c r="G3297" t="str">
        <f>""</f>
        <v/>
      </c>
    </row>
    <row r="3298" spans="1:7" x14ac:dyDescent="0.25">
      <c r="A3298" t="s">
        <v>8</v>
      </c>
      <c r="B3298" s="1" t="str">
        <f>"000220590 - RICHS PRESS BOX"</f>
        <v>000220590 - RICHS PRESS BOX</v>
      </c>
      <c r="C3298" t="s">
        <v>1587</v>
      </c>
      <c r="D3298" s="1" t="str">
        <f>"PRG-1022367"</f>
        <v>PRG-1022367</v>
      </c>
      <c r="E3298" t="s">
        <v>1588</v>
      </c>
      <c r="F3298" t="s">
        <v>4</v>
      </c>
      <c r="G3298" t="str">
        <f>""</f>
        <v/>
      </c>
    </row>
    <row r="3299" spans="1:7" x14ac:dyDescent="0.25">
      <c r="A3299" t="s">
        <v>8</v>
      </c>
      <c r="B3299" s="1" t="str">
        <f>"2260E411"</f>
        <v>2260E411</v>
      </c>
      <c r="C3299" t="s">
        <v>4463</v>
      </c>
      <c r="D3299" s="1" t="str">
        <f>"PRG-1022386"</f>
        <v>PRG-1022386</v>
      </c>
      <c r="E3299" t="s">
        <v>4464</v>
      </c>
      <c r="F3299" t="s">
        <v>5</v>
      </c>
      <c r="G3299" t="str">
        <f>""</f>
        <v/>
      </c>
    </row>
    <row r="3300" spans="1:7" x14ac:dyDescent="0.25">
      <c r="A3300" t="s">
        <v>8</v>
      </c>
      <c r="B3300" s="1" t="str">
        <f>"2240D508"</f>
        <v>2240D508</v>
      </c>
      <c r="C3300" t="s">
        <v>4326</v>
      </c>
      <c r="D3300" s="1" t="str">
        <f>"PRG-1022387"</f>
        <v>PRG-1022387</v>
      </c>
      <c r="E3300" t="s">
        <v>4326</v>
      </c>
      <c r="F3300" t="s">
        <v>5</v>
      </c>
      <c r="G3300" t="str">
        <f>""</f>
        <v/>
      </c>
    </row>
    <row r="3301" spans="1:7" x14ac:dyDescent="0.25">
      <c r="A3301" t="s">
        <v>8</v>
      </c>
      <c r="B3301" s="1" t="str">
        <f>"000028773 - RICH FOODS-HURRICANE GRILL"</f>
        <v>000028773 - RICH FOODS-HURRICANE GRILL</v>
      </c>
      <c r="C3301" t="s">
        <v>475</v>
      </c>
      <c r="D3301" s="1" t="str">
        <f t="shared" ref="D3301:D3319" si="94">"PRG-1022393"</f>
        <v>PRG-1022393</v>
      </c>
      <c r="E3301" t="s">
        <v>476</v>
      </c>
      <c r="F3301" t="s">
        <v>4</v>
      </c>
      <c r="G3301" t="str">
        <f>""</f>
        <v/>
      </c>
    </row>
    <row r="3302" spans="1:7" x14ac:dyDescent="0.25">
      <c r="A3302" t="s">
        <v>8</v>
      </c>
      <c r="B3302" s="1" t="str">
        <f>"000092101 - RICH FOODS-HURRICANE GRILL"</f>
        <v>000092101 - RICH FOODS-HURRICANE GRILL</v>
      </c>
      <c r="C3302" t="s">
        <v>475</v>
      </c>
      <c r="D3302" s="1" t="str">
        <f t="shared" si="94"/>
        <v>PRG-1022393</v>
      </c>
      <c r="E3302" t="s">
        <v>476</v>
      </c>
      <c r="F3302" t="s">
        <v>4</v>
      </c>
      <c r="G3302" t="str">
        <f>""</f>
        <v/>
      </c>
    </row>
    <row r="3303" spans="1:7" x14ac:dyDescent="0.25">
      <c r="A3303" t="s">
        <v>8</v>
      </c>
      <c r="B3303" s="1" t="str">
        <f>"000123237 - RICH FOODS-HURRICANE GRILL"</f>
        <v>000123237 - RICH FOODS-HURRICANE GRILL</v>
      </c>
      <c r="C3303" t="s">
        <v>475</v>
      </c>
      <c r="D3303" s="1" t="str">
        <f t="shared" si="94"/>
        <v>PRG-1022393</v>
      </c>
      <c r="E3303" t="s">
        <v>476</v>
      </c>
      <c r="F3303" t="s">
        <v>4</v>
      </c>
      <c r="G3303" t="str">
        <f>""</f>
        <v/>
      </c>
    </row>
    <row r="3304" spans="1:7" x14ac:dyDescent="0.25">
      <c r="A3304" t="s">
        <v>8</v>
      </c>
      <c r="B3304" s="1" t="str">
        <f>"000181149 - RICH FOODS-HURRICANE GRILL"</f>
        <v>000181149 - RICH FOODS-HURRICANE GRILL</v>
      </c>
      <c r="C3304" t="s">
        <v>475</v>
      </c>
      <c r="D3304" s="1" t="str">
        <f t="shared" si="94"/>
        <v>PRG-1022393</v>
      </c>
      <c r="E3304" t="s">
        <v>476</v>
      </c>
      <c r="F3304" t="s">
        <v>4</v>
      </c>
      <c r="G3304" t="str">
        <f>""</f>
        <v/>
      </c>
    </row>
    <row r="3305" spans="1:7" x14ac:dyDescent="0.25">
      <c r="A3305" t="s">
        <v>8</v>
      </c>
      <c r="B3305" s="1" t="str">
        <f>"000187809 - RICH FOODS-HURRICANE GRILL"</f>
        <v>000187809 - RICH FOODS-HURRICANE GRILL</v>
      </c>
      <c r="C3305" t="s">
        <v>475</v>
      </c>
      <c r="D3305" s="1" t="str">
        <f t="shared" si="94"/>
        <v>PRG-1022393</v>
      </c>
      <c r="E3305" t="s">
        <v>476</v>
      </c>
      <c r="F3305" t="s">
        <v>4</v>
      </c>
      <c r="G3305" t="str">
        <f>""</f>
        <v/>
      </c>
    </row>
    <row r="3306" spans="1:7" x14ac:dyDescent="0.25">
      <c r="A3306" t="s">
        <v>8</v>
      </c>
      <c r="B3306" s="1" t="str">
        <f>"000205847 - RICH FOODS-HURRICANE GRILL"</f>
        <v>000205847 - RICH FOODS-HURRICANE GRILL</v>
      </c>
      <c r="C3306" t="s">
        <v>475</v>
      </c>
      <c r="D3306" s="1" t="str">
        <f t="shared" si="94"/>
        <v>PRG-1022393</v>
      </c>
      <c r="E3306" t="s">
        <v>476</v>
      </c>
      <c r="F3306" t="s">
        <v>4</v>
      </c>
      <c r="G3306" t="str">
        <f>""</f>
        <v/>
      </c>
    </row>
    <row r="3307" spans="1:7" x14ac:dyDescent="0.25">
      <c r="A3307" t="s">
        <v>8</v>
      </c>
      <c r="B3307" s="1" t="str">
        <f>"000212116 - RICH FOODS-HURRICANE GRILL"</f>
        <v>000212116 - RICH FOODS-HURRICANE GRILL</v>
      </c>
      <c r="C3307" t="s">
        <v>475</v>
      </c>
      <c r="D3307" s="1" t="str">
        <f t="shared" si="94"/>
        <v>PRG-1022393</v>
      </c>
      <c r="E3307" t="s">
        <v>476</v>
      </c>
      <c r="F3307" t="s">
        <v>4</v>
      </c>
      <c r="G3307" t="str">
        <f>""</f>
        <v/>
      </c>
    </row>
    <row r="3308" spans="1:7" x14ac:dyDescent="0.25">
      <c r="A3308" t="s">
        <v>8</v>
      </c>
      <c r="B3308" s="1" t="str">
        <f>"000218154 - RICH FOODS-HURRICANE GRILL"</f>
        <v>000218154 - RICH FOODS-HURRICANE GRILL</v>
      </c>
      <c r="C3308" t="s">
        <v>475</v>
      </c>
      <c r="D3308" s="1" t="str">
        <f t="shared" si="94"/>
        <v>PRG-1022393</v>
      </c>
      <c r="E3308" t="s">
        <v>476</v>
      </c>
      <c r="F3308" t="s">
        <v>4</v>
      </c>
      <c r="G3308" t="str">
        <f>""</f>
        <v/>
      </c>
    </row>
    <row r="3309" spans="1:7" x14ac:dyDescent="0.25">
      <c r="A3309" t="s">
        <v>8</v>
      </c>
      <c r="B3309" s="1" t="str">
        <f>"000228710 - RICH FOODS-HURRICANE GRILL"</f>
        <v>000228710 - RICH FOODS-HURRICANE GRILL</v>
      </c>
      <c r="C3309" t="s">
        <v>475</v>
      </c>
      <c r="D3309" s="1" t="str">
        <f t="shared" si="94"/>
        <v>PRG-1022393</v>
      </c>
      <c r="E3309" t="s">
        <v>476</v>
      </c>
      <c r="F3309" t="s">
        <v>4</v>
      </c>
      <c r="G3309" t="str">
        <f>""</f>
        <v/>
      </c>
    </row>
    <row r="3310" spans="1:7" x14ac:dyDescent="0.25">
      <c r="A3310" t="s">
        <v>8</v>
      </c>
      <c r="B3310" s="1" t="str">
        <f>"000237158 - RICH FOODS-HURRICANE GRILL"</f>
        <v>000237158 - RICH FOODS-HURRICANE GRILL</v>
      </c>
      <c r="C3310" t="s">
        <v>475</v>
      </c>
      <c r="D3310" s="1" t="str">
        <f t="shared" si="94"/>
        <v>PRG-1022393</v>
      </c>
      <c r="E3310" t="s">
        <v>476</v>
      </c>
      <c r="F3310" t="s">
        <v>4</v>
      </c>
      <c r="G3310" t="str">
        <f>""</f>
        <v/>
      </c>
    </row>
    <row r="3311" spans="1:7" x14ac:dyDescent="0.25">
      <c r="A3311" t="s">
        <v>8</v>
      </c>
      <c r="B3311" s="1" t="str">
        <f>"000243037 - RICH FOODS-HURRICANE GRILL"</f>
        <v>000243037 - RICH FOODS-HURRICANE GRILL</v>
      </c>
      <c r="C3311" t="s">
        <v>475</v>
      </c>
      <c r="D3311" s="1" t="str">
        <f t="shared" si="94"/>
        <v>PRG-1022393</v>
      </c>
      <c r="E3311" t="s">
        <v>476</v>
      </c>
      <c r="F3311" t="s">
        <v>4</v>
      </c>
      <c r="G3311" t="str">
        <f>""</f>
        <v/>
      </c>
    </row>
    <row r="3312" spans="1:7" x14ac:dyDescent="0.25">
      <c r="A3312" t="s">
        <v>8</v>
      </c>
      <c r="B3312" s="1" t="str">
        <f>"000269068 - RICH FOODS-HURRICANE GRILL"</f>
        <v>000269068 - RICH FOODS-HURRICANE GRILL</v>
      </c>
      <c r="C3312" t="s">
        <v>475</v>
      </c>
      <c r="D3312" s="1" t="str">
        <f t="shared" si="94"/>
        <v>PRG-1022393</v>
      </c>
      <c r="E3312" t="s">
        <v>476</v>
      </c>
      <c r="F3312" t="s">
        <v>4</v>
      </c>
      <c r="G3312" t="str">
        <f>""</f>
        <v/>
      </c>
    </row>
    <row r="3313" spans="1:7" x14ac:dyDescent="0.25">
      <c r="A3313" t="s">
        <v>8</v>
      </c>
      <c r="B3313" s="1" t="str">
        <f>"000280061 - RICH FOODS-HURRICANE GRILL"</f>
        <v>000280061 - RICH FOODS-HURRICANE GRILL</v>
      </c>
      <c r="C3313" t="s">
        <v>475</v>
      </c>
      <c r="D3313" s="1" t="str">
        <f t="shared" si="94"/>
        <v>PRG-1022393</v>
      </c>
      <c r="E3313" t="s">
        <v>476</v>
      </c>
      <c r="F3313" t="s">
        <v>4</v>
      </c>
      <c r="G3313" t="str">
        <f>""</f>
        <v/>
      </c>
    </row>
    <row r="3314" spans="1:7" x14ac:dyDescent="0.25">
      <c r="A3314" t="s">
        <v>8</v>
      </c>
      <c r="B3314" s="1" t="str">
        <f>"000287989 - RICH FOODS-HURRICANE GRILL"</f>
        <v>000287989 - RICH FOODS-HURRICANE GRILL</v>
      </c>
      <c r="C3314" t="s">
        <v>475</v>
      </c>
      <c r="D3314" s="1" t="str">
        <f t="shared" si="94"/>
        <v>PRG-1022393</v>
      </c>
      <c r="E3314" t="s">
        <v>476</v>
      </c>
      <c r="F3314" t="s">
        <v>4</v>
      </c>
      <c r="G3314" t="str">
        <f>""</f>
        <v/>
      </c>
    </row>
    <row r="3315" spans="1:7" x14ac:dyDescent="0.25">
      <c r="A3315" t="s">
        <v>8</v>
      </c>
      <c r="B3315" s="1" t="str">
        <f>"000288806 - RICH FOODS-HURRICANE GRILL"</f>
        <v>000288806 - RICH FOODS-HURRICANE GRILL</v>
      </c>
      <c r="C3315" t="s">
        <v>475</v>
      </c>
      <c r="D3315" s="1" t="str">
        <f t="shared" si="94"/>
        <v>PRG-1022393</v>
      </c>
      <c r="E3315" t="s">
        <v>476</v>
      </c>
      <c r="F3315" t="s">
        <v>4</v>
      </c>
      <c r="G3315" t="str">
        <f>""</f>
        <v/>
      </c>
    </row>
    <row r="3316" spans="1:7" x14ac:dyDescent="0.25">
      <c r="A3316" t="s">
        <v>8</v>
      </c>
      <c r="B3316" s="1" t="str">
        <f>"000300452 - RICH FOODS-HURRICANE GRILL"</f>
        <v>000300452 - RICH FOODS-HURRICANE GRILL</v>
      </c>
      <c r="C3316" t="s">
        <v>475</v>
      </c>
      <c r="D3316" s="1" t="str">
        <f t="shared" si="94"/>
        <v>PRG-1022393</v>
      </c>
      <c r="E3316" t="s">
        <v>476</v>
      </c>
      <c r="F3316" t="s">
        <v>4</v>
      </c>
      <c r="G3316" t="str">
        <f>""</f>
        <v/>
      </c>
    </row>
    <row r="3317" spans="1:7" x14ac:dyDescent="0.25">
      <c r="A3317" t="s">
        <v>8</v>
      </c>
      <c r="B3317" s="1" t="str">
        <f>"000319039 - RICH FOODS-HURRICANE GRILL"</f>
        <v>000319039 - RICH FOODS-HURRICANE GRILL</v>
      </c>
      <c r="C3317" t="s">
        <v>475</v>
      </c>
      <c r="D3317" s="1" t="str">
        <f t="shared" si="94"/>
        <v>PRG-1022393</v>
      </c>
      <c r="E3317" t="s">
        <v>476</v>
      </c>
      <c r="F3317" t="s">
        <v>4</v>
      </c>
      <c r="G3317" t="str">
        <f>""</f>
        <v/>
      </c>
    </row>
    <row r="3318" spans="1:7" x14ac:dyDescent="0.25">
      <c r="A3318" t="s">
        <v>8</v>
      </c>
      <c r="B3318" s="1" t="str">
        <f>"2000173743 - RICH FOODS-HURRICANE GRILL"</f>
        <v>2000173743 - RICH FOODS-HURRICANE GRILL</v>
      </c>
      <c r="C3318" t="s">
        <v>475</v>
      </c>
      <c r="D3318" s="1" t="str">
        <f t="shared" si="94"/>
        <v>PRG-1022393</v>
      </c>
      <c r="E3318" t="s">
        <v>476</v>
      </c>
      <c r="F3318" t="s">
        <v>4</v>
      </c>
      <c r="G3318" t="str">
        <f>""</f>
        <v/>
      </c>
    </row>
    <row r="3319" spans="1:7" x14ac:dyDescent="0.25">
      <c r="A3319" t="s">
        <v>8</v>
      </c>
      <c r="B3319" s="1" t="str">
        <f>"2000223789 - RICH FOODS-HURRICANE GRILL"</f>
        <v>2000223789 - RICH FOODS-HURRICANE GRILL</v>
      </c>
      <c r="C3319" t="s">
        <v>475</v>
      </c>
      <c r="D3319" s="1" t="str">
        <f t="shared" si="94"/>
        <v>PRG-1022393</v>
      </c>
      <c r="E3319" t="s">
        <v>476</v>
      </c>
      <c r="F3319" t="s">
        <v>4</v>
      </c>
      <c r="G3319" t="str">
        <f>""</f>
        <v/>
      </c>
    </row>
    <row r="3320" spans="1:7" x14ac:dyDescent="0.25">
      <c r="A3320" t="s">
        <v>8</v>
      </c>
      <c r="B3320" s="1" t="str">
        <f>"000180522 - TINA'S RICH'S"</f>
        <v>000180522 - TINA'S RICH'S</v>
      </c>
      <c r="C3320" t="s">
        <v>1142</v>
      </c>
      <c r="D3320" s="1" t="str">
        <f>"PRG-1022397"</f>
        <v>PRG-1022397</v>
      </c>
      <c r="E3320" t="s">
        <v>1143</v>
      </c>
      <c r="F3320" t="s">
        <v>4</v>
      </c>
      <c r="G3320" t="str">
        <f>""</f>
        <v/>
      </c>
    </row>
    <row r="3321" spans="1:7" x14ac:dyDescent="0.25">
      <c r="A3321" t="s">
        <v>8</v>
      </c>
      <c r="B3321" s="1" t="str">
        <f>"31306940"</f>
        <v>31306940</v>
      </c>
      <c r="C3321" t="s">
        <v>4633</v>
      </c>
      <c r="D3321" s="1" t="str">
        <f>"PRG-1022407"</f>
        <v>PRG-1022407</v>
      </c>
      <c r="E3321" t="s">
        <v>4634</v>
      </c>
      <c r="F3321" t="s">
        <v>5</v>
      </c>
      <c r="G3321" t="str">
        <f>""</f>
        <v/>
      </c>
    </row>
    <row r="3322" spans="1:7" x14ac:dyDescent="0.25">
      <c r="A3322" t="s">
        <v>8</v>
      </c>
      <c r="B3322" s="1" t="str">
        <f>"000228014 - RICH   PA RENAISSANCE FAIR"</f>
        <v>000228014 - RICH   PA RENAISSANCE FAIR</v>
      </c>
      <c r="C3322" t="s">
        <v>1718</v>
      </c>
      <c r="D3322" s="1" t="str">
        <f>"PRG-1022415"</f>
        <v>PRG-1022415</v>
      </c>
      <c r="E3322" t="s">
        <v>1719</v>
      </c>
      <c r="F3322" t="s">
        <v>4</v>
      </c>
      <c r="G3322" t="str">
        <f>""</f>
        <v/>
      </c>
    </row>
    <row r="3323" spans="1:7" x14ac:dyDescent="0.25">
      <c r="A3323" t="s">
        <v>8</v>
      </c>
      <c r="B3323" s="1" t="str">
        <f>"2010B486"</f>
        <v>2010B486</v>
      </c>
      <c r="C3323" t="s">
        <v>4093</v>
      </c>
      <c r="D3323" s="1" t="str">
        <f>"PRG-1022430"</f>
        <v>PRG-1022430</v>
      </c>
      <c r="E3323" t="s">
        <v>4094</v>
      </c>
      <c r="F3323" t="s">
        <v>5</v>
      </c>
      <c r="G3323" t="str">
        <f>""</f>
        <v/>
      </c>
    </row>
    <row r="3324" spans="1:7" x14ac:dyDescent="0.25">
      <c r="A3324" t="s">
        <v>8</v>
      </c>
      <c r="B3324" s="1" t="str">
        <f>"S2C009M0"</f>
        <v>S2C009M0</v>
      </c>
      <c r="C3324" t="s">
        <v>5475</v>
      </c>
      <c r="D3324" s="1" t="str">
        <f>"PRG-1022430"</f>
        <v>PRG-1022430</v>
      </c>
      <c r="E3324" t="s">
        <v>4094</v>
      </c>
      <c r="F3324" t="s">
        <v>5</v>
      </c>
      <c r="G3324" t="str">
        <f>""</f>
        <v/>
      </c>
    </row>
    <row r="3325" spans="1:7" x14ac:dyDescent="0.25">
      <c r="A3325" t="s">
        <v>8</v>
      </c>
      <c r="B3325" s="1" t="str">
        <f>"000000512 - RICH PRODUCTS PIZZA STUDIO"</f>
        <v>000000512 - RICH PRODUCTS PIZZA STUDIO</v>
      </c>
      <c r="C3325" t="s">
        <v>54</v>
      </c>
      <c r="D3325" s="1" t="str">
        <f t="shared" ref="D3325:D3356" si="95">"PRG-1022490"</f>
        <v>PRG-1022490</v>
      </c>
      <c r="E3325" t="s">
        <v>55</v>
      </c>
      <c r="F3325" t="s">
        <v>4</v>
      </c>
      <c r="G3325" t="str">
        <f>""</f>
        <v/>
      </c>
    </row>
    <row r="3326" spans="1:7" x14ac:dyDescent="0.25">
      <c r="A3326" t="s">
        <v>8</v>
      </c>
      <c r="B3326" s="1" t="str">
        <f>"000122991 - RICH FOODS-BOSTON PIZZA"</f>
        <v>000122991 - RICH FOODS-BOSTON PIZZA</v>
      </c>
      <c r="C3326" t="s">
        <v>899</v>
      </c>
      <c r="D3326" s="1" t="str">
        <f t="shared" si="95"/>
        <v>PRG-1022490</v>
      </c>
      <c r="E3326" t="s">
        <v>55</v>
      </c>
      <c r="F3326" t="s">
        <v>4</v>
      </c>
      <c r="G3326" t="str">
        <f>""</f>
        <v/>
      </c>
    </row>
    <row r="3327" spans="1:7" x14ac:dyDescent="0.25">
      <c r="A3327" t="s">
        <v>8</v>
      </c>
      <c r="B3327" s="1" t="str">
        <f>"000140920 - "</f>
        <v xml:space="preserve">000140920 - </v>
      </c>
      <c r="D3327" s="1" t="str">
        <f t="shared" si="95"/>
        <v>PRG-1022490</v>
      </c>
      <c r="E3327" t="s">
        <v>55</v>
      </c>
      <c r="F3327" t="s">
        <v>4</v>
      </c>
      <c r="G3327" t="str">
        <f>""</f>
        <v/>
      </c>
    </row>
    <row r="3328" spans="1:7" x14ac:dyDescent="0.25">
      <c r="A3328" t="s">
        <v>8</v>
      </c>
      <c r="B3328" s="1" t="str">
        <f>"000140921 - RICHS CBB-BOSTON"</f>
        <v>000140921 - RICHS CBB-BOSTON</v>
      </c>
      <c r="C3328" t="s">
        <v>983</v>
      </c>
      <c r="D3328" s="1" t="str">
        <f t="shared" si="95"/>
        <v>PRG-1022490</v>
      </c>
      <c r="E3328" t="s">
        <v>55</v>
      </c>
      <c r="F3328" t="s">
        <v>4</v>
      </c>
      <c r="G3328" t="str">
        <f>""</f>
        <v/>
      </c>
    </row>
    <row r="3329" spans="1:7" x14ac:dyDescent="0.25">
      <c r="A3329" t="s">
        <v>8</v>
      </c>
      <c r="B3329" s="1" t="str">
        <f>"000146760 - "</f>
        <v xml:space="preserve">000146760 - </v>
      </c>
      <c r="D3329" s="1" t="str">
        <f t="shared" si="95"/>
        <v>PRG-1022490</v>
      </c>
      <c r="E3329" t="s">
        <v>55</v>
      </c>
      <c r="F3329" t="s">
        <v>4</v>
      </c>
      <c r="G3329" t="str">
        <f>""</f>
        <v/>
      </c>
    </row>
    <row r="3330" spans="1:7" x14ac:dyDescent="0.25">
      <c r="A3330" t="s">
        <v>8</v>
      </c>
      <c r="B3330" s="1" t="str">
        <f>"000181300 - RICH FOODS-BOSTON PIZZA"</f>
        <v>000181300 - RICH FOODS-BOSTON PIZZA</v>
      </c>
      <c r="C3330" t="s">
        <v>899</v>
      </c>
      <c r="D3330" s="1" t="str">
        <f t="shared" si="95"/>
        <v>PRG-1022490</v>
      </c>
      <c r="E3330" t="s">
        <v>55</v>
      </c>
      <c r="F3330" t="s">
        <v>4</v>
      </c>
      <c r="G3330" t="str">
        <f>""</f>
        <v/>
      </c>
    </row>
    <row r="3331" spans="1:7" x14ac:dyDescent="0.25">
      <c r="A3331" t="s">
        <v>8</v>
      </c>
      <c r="B3331" s="1" t="str">
        <f>"000198794 - RICH FOODS-BOSTON PIZZA"</f>
        <v>000198794 - RICH FOODS-BOSTON PIZZA</v>
      </c>
      <c r="C3331" t="s">
        <v>899</v>
      </c>
      <c r="D3331" s="1" t="str">
        <f t="shared" si="95"/>
        <v>PRG-1022490</v>
      </c>
      <c r="E3331" t="s">
        <v>55</v>
      </c>
      <c r="F3331" t="s">
        <v>4</v>
      </c>
      <c r="G3331" t="str">
        <f>""</f>
        <v/>
      </c>
    </row>
    <row r="3332" spans="1:7" x14ac:dyDescent="0.25">
      <c r="A3332" t="s">
        <v>8</v>
      </c>
      <c r="B3332" s="1" t="str">
        <f>"000199638 - RICH FOODS-BOSTON PIZZA"</f>
        <v>000199638 - RICH FOODS-BOSTON PIZZA</v>
      </c>
      <c r="C3332" t="s">
        <v>899</v>
      </c>
      <c r="D3332" s="1" t="str">
        <f t="shared" si="95"/>
        <v>PRG-1022490</v>
      </c>
      <c r="E3332" t="s">
        <v>55</v>
      </c>
      <c r="F3332" t="s">
        <v>4</v>
      </c>
      <c r="G3332" t="str">
        <f>""</f>
        <v/>
      </c>
    </row>
    <row r="3333" spans="1:7" x14ac:dyDescent="0.25">
      <c r="A3333" t="s">
        <v>8</v>
      </c>
      <c r="B3333" s="1" t="str">
        <f>"000206042 - RICH FOODS-BOSTON PIZZA"</f>
        <v>000206042 - RICH FOODS-BOSTON PIZZA</v>
      </c>
      <c r="C3333" t="s">
        <v>899</v>
      </c>
      <c r="D3333" s="1" t="str">
        <f t="shared" si="95"/>
        <v>PRG-1022490</v>
      </c>
      <c r="E3333" t="s">
        <v>55</v>
      </c>
      <c r="F3333" t="s">
        <v>4</v>
      </c>
      <c r="G3333" t="str">
        <f>""</f>
        <v/>
      </c>
    </row>
    <row r="3334" spans="1:7" x14ac:dyDescent="0.25">
      <c r="A3334" t="s">
        <v>8</v>
      </c>
      <c r="B3334" s="1" t="str">
        <f>"000216461 - RICH FOODS-BOSTON PIZZA"</f>
        <v>000216461 - RICH FOODS-BOSTON PIZZA</v>
      </c>
      <c r="C3334" t="s">
        <v>899</v>
      </c>
      <c r="D3334" s="1" t="str">
        <f t="shared" si="95"/>
        <v>PRG-1022490</v>
      </c>
      <c r="E3334" t="s">
        <v>55</v>
      </c>
      <c r="F3334" t="s">
        <v>4</v>
      </c>
      <c r="G3334" t="str">
        <f>""</f>
        <v/>
      </c>
    </row>
    <row r="3335" spans="1:7" x14ac:dyDescent="0.25">
      <c r="A3335" t="s">
        <v>8</v>
      </c>
      <c r="B3335" s="1" t="str">
        <f>"000217098 - RICH FOODS NCORE-BOSTON"</f>
        <v>000217098 - RICH FOODS NCORE-BOSTON</v>
      </c>
      <c r="C3335" t="s">
        <v>1337</v>
      </c>
      <c r="D3335" s="1" t="str">
        <f t="shared" si="95"/>
        <v>PRG-1022490</v>
      </c>
      <c r="E3335" t="s">
        <v>55</v>
      </c>
      <c r="F3335" t="s">
        <v>4</v>
      </c>
      <c r="G3335" t="str">
        <f>""</f>
        <v/>
      </c>
    </row>
    <row r="3336" spans="1:7" x14ac:dyDescent="0.25">
      <c r="A3336" t="s">
        <v>8</v>
      </c>
      <c r="B3336" s="1" t="str">
        <f>"000221472 - RICH FOODS-BOSTON PIZZA"</f>
        <v>000221472 - RICH FOODS-BOSTON PIZZA</v>
      </c>
      <c r="C3336" t="s">
        <v>899</v>
      </c>
      <c r="D3336" s="1" t="str">
        <f t="shared" si="95"/>
        <v>PRG-1022490</v>
      </c>
      <c r="E3336" t="s">
        <v>55</v>
      </c>
      <c r="F3336" t="s">
        <v>4</v>
      </c>
      <c r="G3336" t="str">
        <f>""</f>
        <v/>
      </c>
    </row>
    <row r="3337" spans="1:7" x14ac:dyDescent="0.25">
      <c r="A3337" t="s">
        <v>8</v>
      </c>
      <c r="B3337" s="1" t="str">
        <f>"000222435 - RICH FOODS NCORE-BOSTON PIZZA"</f>
        <v>000222435 - RICH FOODS NCORE-BOSTON PIZZA</v>
      </c>
      <c r="C3337" t="s">
        <v>156</v>
      </c>
      <c r="D3337" s="1" t="str">
        <f t="shared" si="95"/>
        <v>PRG-1022490</v>
      </c>
      <c r="E3337" t="s">
        <v>55</v>
      </c>
      <c r="F3337" t="s">
        <v>4</v>
      </c>
      <c r="G3337" t="str">
        <f>""</f>
        <v/>
      </c>
    </row>
    <row r="3338" spans="1:7" x14ac:dyDescent="0.25">
      <c r="A3338" t="s">
        <v>8</v>
      </c>
      <c r="B3338" s="1" t="str">
        <f>"000222609 - RICHS COREBB-BOSTON PIZZA"</f>
        <v>000222609 - RICHS COREBB-BOSTON PIZZA</v>
      </c>
      <c r="C3338" t="s">
        <v>157</v>
      </c>
      <c r="D3338" s="1" t="str">
        <f t="shared" si="95"/>
        <v>PRG-1022490</v>
      </c>
      <c r="E3338" t="s">
        <v>55</v>
      </c>
      <c r="F3338" t="s">
        <v>4</v>
      </c>
      <c r="G3338" t="str">
        <f>""</f>
        <v/>
      </c>
    </row>
    <row r="3339" spans="1:7" x14ac:dyDescent="0.25">
      <c r="A3339" t="s">
        <v>8</v>
      </c>
      <c r="B3339" s="1" t="str">
        <f>"000223342 - RICH FOODS NCORE-BOSTON"</f>
        <v>000223342 - RICH FOODS NCORE-BOSTON</v>
      </c>
      <c r="C3339" t="s">
        <v>1337</v>
      </c>
      <c r="D3339" s="1" t="str">
        <f t="shared" si="95"/>
        <v>PRG-1022490</v>
      </c>
      <c r="E3339" t="s">
        <v>55</v>
      </c>
      <c r="F3339" t="s">
        <v>4</v>
      </c>
      <c r="G3339" t="str">
        <f>""</f>
        <v/>
      </c>
    </row>
    <row r="3340" spans="1:7" x14ac:dyDescent="0.25">
      <c r="A3340" t="s">
        <v>8</v>
      </c>
      <c r="B3340" s="1" t="str">
        <f>"000223343 - RICHS CBB-BOSTON"</f>
        <v>000223343 - RICHS CBB-BOSTON</v>
      </c>
      <c r="C3340" t="s">
        <v>983</v>
      </c>
      <c r="D3340" s="1" t="str">
        <f t="shared" si="95"/>
        <v>PRG-1022490</v>
      </c>
      <c r="E3340" t="s">
        <v>55</v>
      </c>
      <c r="F3340" t="s">
        <v>4</v>
      </c>
      <c r="G3340" t="str">
        <f>""</f>
        <v/>
      </c>
    </row>
    <row r="3341" spans="1:7" x14ac:dyDescent="0.25">
      <c r="A3341" t="s">
        <v>8</v>
      </c>
      <c r="B3341" s="1" t="str">
        <f>"000226745 - RICH FOODS NCORE-BOSTON"</f>
        <v>000226745 - RICH FOODS NCORE-BOSTON</v>
      </c>
      <c r="C3341" t="s">
        <v>1337</v>
      </c>
      <c r="D3341" s="1" t="str">
        <f t="shared" si="95"/>
        <v>PRG-1022490</v>
      </c>
      <c r="E3341" t="s">
        <v>55</v>
      </c>
      <c r="F3341" t="s">
        <v>4</v>
      </c>
      <c r="G3341" t="str">
        <f>""</f>
        <v/>
      </c>
    </row>
    <row r="3342" spans="1:7" x14ac:dyDescent="0.25">
      <c r="A3342" t="s">
        <v>8</v>
      </c>
      <c r="B3342" s="1" t="str">
        <f>"000228892 - RICH FOODS-BOSTON PIZZA"</f>
        <v>000228892 - RICH FOODS-BOSTON PIZZA</v>
      </c>
      <c r="C3342" t="s">
        <v>899</v>
      </c>
      <c r="D3342" s="1" t="str">
        <f t="shared" si="95"/>
        <v>PRG-1022490</v>
      </c>
      <c r="E3342" t="s">
        <v>55</v>
      </c>
      <c r="F3342" t="s">
        <v>4</v>
      </c>
      <c r="G3342" t="str">
        <f>""</f>
        <v/>
      </c>
    </row>
    <row r="3343" spans="1:7" x14ac:dyDescent="0.25">
      <c r="A3343" t="s">
        <v>8</v>
      </c>
      <c r="B3343" s="1" t="str">
        <f>"000230564 - RICH FOODS NCORE-BOSTON PIZZA"</f>
        <v>000230564 - RICH FOODS NCORE-BOSTON PIZZA</v>
      </c>
      <c r="C3343" t="s">
        <v>156</v>
      </c>
      <c r="D3343" s="1" t="str">
        <f t="shared" si="95"/>
        <v>PRG-1022490</v>
      </c>
      <c r="E3343" t="s">
        <v>55</v>
      </c>
      <c r="F3343" t="s">
        <v>4</v>
      </c>
      <c r="G3343" t="str">
        <f>""</f>
        <v/>
      </c>
    </row>
    <row r="3344" spans="1:7" x14ac:dyDescent="0.25">
      <c r="A3344" t="s">
        <v>8</v>
      </c>
      <c r="B3344" s="1" t="str">
        <f>"000230784 - RICHS COREBB-BOSTON PIZZA"</f>
        <v>000230784 - RICHS COREBB-BOSTON PIZZA</v>
      </c>
      <c r="C3344" t="s">
        <v>157</v>
      </c>
      <c r="D3344" s="1" t="str">
        <f t="shared" si="95"/>
        <v>PRG-1022490</v>
      </c>
      <c r="E3344" t="s">
        <v>55</v>
      </c>
      <c r="F3344" t="s">
        <v>4</v>
      </c>
      <c r="G3344" t="str">
        <f>""</f>
        <v/>
      </c>
    </row>
    <row r="3345" spans="1:7" x14ac:dyDescent="0.25">
      <c r="A3345" t="s">
        <v>8</v>
      </c>
      <c r="B3345" s="1" t="str">
        <f>"000233165 - RICH FOODS NCORE-BOSTON PIZZA"</f>
        <v>000233165 - RICH FOODS NCORE-BOSTON PIZZA</v>
      </c>
      <c r="C3345" t="s">
        <v>156</v>
      </c>
      <c r="D3345" s="1" t="str">
        <f t="shared" si="95"/>
        <v>PRG-1022490</v>
      </c>
      <c r="E3345" t="s">
        <v>55</v>
      </c>
      <c r="F3345" t="s">
        <v>4</v>
      </c>
      <c r="G3345" t="str">
        <f>""</f>
        <v/>
      </c>
    </row>
    <row r="3346" spans="1:7" x14ac:dyDescent="0.25">
      <c r="A3346" t="s">
        <v>8</v>
      </c>
      <c r="B3346" s="1" t="str">
        <f>"000233444 - RICHS COREBB-BOSTON PIZZA"</f>
        <v>000233444 - RICHS COREBB-BOSTON PIZZA</v>
      </c>
      <c r="C3346" t="s">
        <v>157</v>
      </c>
      <c r="D3346" s="1" t="str">
        <f t="shared" si="95"/>
        <v>PRG-1022490</v>
      </c>
      <c r="E3346" t="s">
        <v>55</v>
      </c>
      <c r="F3346" t="s">
        <v>4</v>
      </c>
      <c r="G3346" t="str">
        <f>""</f>
        <v/>
      </c>
    </row>
    <row r="3347" spans="1:7" x14ac:dyDescent="0.25">
      <c r="A3347" t="s">
        <v>8</v>
      </c>
      <c r="B3347" s="1" t="str">
        <f>"000238701 - RICH FOODS NCORE-BOSTON"</f>
        <v>000238701 - RICH FOODS NCORE-BOSTON</v>
      </c>
      <c r="C3347" t="s">
        <v>1337</v>
      </c>
      <c r="D3347" s="1" t="str">
        <f t="shared" si="95"/>
        <v>PRG-1022490</v>
      </c>
      <c r="E3347" t="s">
        <v>55</v>
      </c>
      <c r="F3347" t="s">
        <v>4</v>
      </c>
      <c r="G3347" t="str">
        <f>""</f>
        <v/>
      </c>
    </row>
    <row r="3348" spans="1:7" x14ac:dyDescent="0.25">
      <c r="A3348" t="s">
        <v>8</v>
      </c>
      <c r="B3348" s="1" t="str">
        <f>"000238702 - RICHS CBB-BOSTON"</f>
        <v>000238702 - RICHS CBB-BOSTON</v>
      </c>
      <c r="C3348" t="s">
        <v>983</v>
      </c>
      <c r="D3348" s="1" t="str">
        <f t="shared" si="95"/>
        <v>PRG-1022490</v>
      </c>
      <c r="E3348" t="s">
        <v>55</v>
      </c>
      <c r="F3348" t="s">
        <v>4</v>
      </c>
      <c r="G3348" t="str">
        <f>""</f>
        <v/>
      </c>
    </row>
    <row r="3349" spans="1:7" x14ac:dyDescent="0.25">
      <c r="A3349" t="s">
        <v>8</v>
      </c>
      <c r="B3349" s="1" t="str">
        <f>"000243492 - "</f>
        <v xml:space="preserve">000243492 - </v>
      </c>
      <c r="D3349" s="1" t="str">
        <f t="shared" si="95"/>
        <v>PRG-1022490</v>
      </c>
      <c r="E3349" t="s">
        <v>55</v>
      </c>
      <c r="F3349" t="s">
        <v>4</v>
      </c>
      <c r="G3349" t="str">
        <f>""</f>
        <v/>
      </c>
    </row>
    <row r="3350" spans="1:7" x14ac:dyDescent="0.25">
      <c r="A3350" t="s">
        <v>8</v>
      </c>
      <c r="B3350" s="1" t="str">
        <f>"000243906 - RICH FOODS CORE-BOSTON PIZZA"</f>
        <v>000243906 - RICH FOODS CORE-BOSTON PIZZA</v>
      </c>
      <c r="C3350" t="s">
        <v>1966</v>
      </c>
      <c r="D3350" s="1" t="str">
        <f t="shared" si="95"/>
        <v>PRG-1022490</v>
      </c>
      <c r="E3350" t="s">
        <v>55</v>
      </c>
      <c r="F3350" t="s">
        <v>4</v>
      </c>
      <c r="G3350" t="str">
        <f>""</f>
        <v/>
      </c>
    </row>
    <row r="3351" spans="1:7" x14ac:dyDescent="0.25">
      <c r="A3351" t="s">
        <v>8</v>
      </c>
      <c r="B3351" s="1" t="str">
        <f>"000245127 - RICHS COREBB-BOSTON PIZZA"</f>
        <v>000245127 - RICHS COREBB-BOSTON PIZZA</v>
      </c>
      <c r="C3351" t="s">
        <v>157</v>
      </c>
      <c r="D3351" s="1" t="str">
        <f t="shared" si="95"/>
        <v>PRG-1022490</v>
      </c>
      <c r="E3351" t="s">
        <v>55</v>
      </c>
      <c r="F3351" t="s">
        <v>4</v>
      </c>
      <c r="G3351" t="str">
        <f>""</f>
        <v/>
      </c>
    </row>
    <row r="3352" spans="1:7" x14ac:dyDescent="0.25">
      <c r="A3352" t="s">
        <v>8</v>
      </c>
      <c r="B3352" s="1" t="str">
        <f>"000250233 - "</f>
        <v xml:space="preserve">000250233 - </v>
      </c>
      <c r="D3352" s="1" t="str">
        <f t="shared" si="95"/>
        <v>PRG-1022490</v>
      </c>
      <c r="E3352" t="s">
        <v>55</v>
      </c>
      <c r="F3352" t="s">
        <v>4</v>
      </c>
      <c r="G3352" t="str">
        <f>""</f>
        <v/>
      </c>
    </row>
    <row r="3353" spans="1:7" x14ac:dyDescent="0.25">
      <c r="A3353" t="s">
        <v>8</v>
      </c>
      <c r="B3353" s="1" t="str">
        <f>"000254388 - RICH FOODS NCORE-BOSTON"</f>
        <v>000254388 - RICH FOODS NCORE-BOSTON</v>
      </c>
      <c r="C3353" t="s">
        <v>1337</v>
      </c>
      <c r="D3353" s="1" t="str">
        <f t="shared" si="95"/>
        <v>PRG-1022490</v>
      </c>
      <c r="E3353" t="s">
        <v>55</v>
      </c>
      <c r="F3353" t="s">
        <v>4</v>
      </c>
      <c r="G3353" t="str">
        <f>""</f>
        <v/>
      </c>
    </row>
    <row r="3354" spans="1:7" x14ac:dyDescent="0.25">
      <c r="A3354" t="s">
        <v>8</v>
      </c>
      <c r="B3354" s="1" t="str">
        <f>"000254389 - RICHS CBB-BOSTON"</f>
        <v>000254389 - RICHS CBB-BOSTON</v>
      </c>
      <c r="C3354" t="s">
        <v>983</v>
      </c>
      <c r="D3354" s="1" t="str">
        <f t="shared" si="95"/>
        <v>PRG-1022490</v>
      </c>
      <c r="E3354" t="s">
        <v>55</v>
      </c>
      <c r="F3354" t="s">
        <v>4</v>
      </c>
      <c r="G3354" t="str">
        <f>""</f>
        <v/>
      </c>
    </row>
    <row r="3355" spans="1:7" x14ac:dyDescent="0.25">
      <c r="A3355" t="s">
        <v>8</v>
      </c>
      <c r="B3355" s="1" t="str">
        <f>"000261480 - RICH FOODS NCORE-BOSTON PIZZA"</f>
        <v>000261480 - RICH FOODS NCORE-BOSTON PIZZA</v>
      </c>
      <c r="C3355" t="s">
        <v>156</v>
      </c>
      <c r="D3355" s="1" t="str">
        <f t="shared" si="95"/>
        <v>PRG-1022490</v>
      </c>
      <c r="E3355" t="s">
        <v>55</v>
      </c>
      <c r="F3355" t="s">
        <v>4</v>
      </c>
      <c r="G3355" t="str">
        <f>""</f>
        <v/>
      </c>
    </row>
    <row r="3356" spans="1:7" x14ac:dyDescent="0.25">
      <c r="A3356" t="s">
        <v>8</v>
      </c>
      <c r="B3356" s="1" t="str">
        <f>"000261701 - RICHS COREBB-BOSTON PIZZA"</f>
        <v>000261701 - RICHS COREBB-BOSTON PIZZA</v>
      </c>
      <c r="C3356" t="s">
        <v>157</v>
      </c>
      <c r="D3356" s="1" t="str">
        <f t="shared" si="95"/>
        <v>PRG-1022490</v>
      </c>
      <c r="E3356" t="s">
        <v>55</v>
      </c>
      <c r="F3356" t="s">
        <v>4</v>
      </c>
      <c r="G3356" t="str">
        <f>""</f>
        <v/>
      </c>
    </row>
    <row r="3357" spans="1:7" x14ac:dyDescent="0.25">
      <c r="A3357" t="s">
        <v>8</v>
      </c>
      <c r="B3357" s="1" t="str">
        <f>"000279025 - RICH FOODS-BOSTON PIZZA"</f>
        <v>000279025 - RICH FOODS-BOSTON PIZZA</v>
      </c>
      <c r="C3357" t="s">
        <v>899</v>
      </c>
      <c r="D3357" s="1" t="str">
        <f t="shared" ref="D3357:D3376" si="96">"PRG-1022490"</f>
        <v>PRG-1022490</v>
      </c>
      <c r="E3357" t="s">
        <v>55</v>
      </c>
      <c r="F3357" t="s">
        <v>4</v>
      </c>
      <c r="G3357" t="str">
        <f>""</f>
        <v/>
      </c>
    </row>
    <row r="3358" spans="1:7" x14ac:dyDescent="0.25">
      <c r="A3358" t="s">
        <v>8</v>
      </c>
      <c r="B3358" s="1" t="str">
        <f>"000299810 - RICH FOODS-BOSTON PIZZA"</f>
        <v>000299810 - RICH FOODS-BOSTON PIZZA</v>
      </c>
      <c r="C3358" t="s">
        <v>899</v>
      </c>
      <c r="D3358" s="1" t="str">
        <f t="shared" si="96"/>
        <v>PRG-1022490</v>
      </c>
      <c r="E3358" t="s">
        <v>55</v>
      </c>
      <c r="F3358" t="s">
        <v>4</v>
      </c>
      <c r="G3358" t="str">
        <f>""</f>
        <v/>
      </c>
    </row>
    <row r="3359" spans="1:7" x14ac:dyDescent="0.25">
      <c r="A3359" t="s">
        <v>8</v>
      </c>
      <c r="B3359" s="1" t="str">
        <f>"000309854 - RICH FOODS-BOSTON PIZZA"</f>
        <v>000309854 - RICH FOODS-BOSTON PIZZA</v>
      </c>
      <c r="C3359" t="s">
        <v>899</v>
      </c>
      <c r="D3359" s="1" t="str">
        <f t="shared" si="96"/>
        <v>PRG-1022490</v>
      </c>
      <c r="E3359" t="s">
        <v>55</v>
      </c>
      <c r="F3359" t="s">
        <v>4</v>
      </c>
      <c r="G3359" t="str">
        <f>""</f>
        <v/>
      </c>
    </row>
    <row r="3360" spans="1:7" x14ac:dyDescent="0.25">
      <c r="A3360" t="s">
        <v>8</v>
      </c>
      <c r="B3360" s="1" t="str">
        <f>"000324436 - RICH FOODS-BOSTON PIZZA"</f>
        <v>000324436 - RICH FOODS-BOSTON PIZZA</v>
      </c>
      <c r="C3360" t="s">
        <v>899</v>
      </c>
      <c r="D3360" s="1" t="str">
        <f t="shared" si="96"/>
        <v>PRG-1022490</v>
      </c>
      <c r="E3360" t="s">
        <v>55</v>
      </c>
      <c r="F3360" t="s">
        <v>4</v>
      </c>
      <c r="G3360" t="str">
        <f>""</f>
        <v/>
      </c>
    </row>
    <row r="3361" spans="1:7" x14ac:dyDescent="0.25">
      <c r="A3361" t="s">
        <v>8</v>
      </c>
      <c r="B3361" s="1" t="str">
        <f>"000327973 - "</f>
        <v xml:space="preserve">000327973 - </v>
      </c>
      <c r="D3361" s="1" t="str">
        <f t="shared" si="96"/>
        <v>PRG-1022490</v>
      </c>
      <c r="E3361" t="s">
        <v>55</v>
      </c>
      <c r="F3361" t="s">
        <v>4</v>
      </c>
      <c r="G3361" t="str">
        <f>""</f>
        <v/>
      </c>
    </row>
    <row r="3362" spans="1:7" x14ac:dyDescent="0.25">
      <c r="A3362" t="s">
        <v>8</v>
      </c>
      <c r="B3362" s="1" t="str">
        <f>"000332265 - "</f>
        <v xml:space="preserve">000332265 - </v>
      </c>
      <c r="D3362" s="1" t="str">
        <f t="shared" si="96"/>
        <v>PRG-1022490</v>
      </c>
      <c r="E3362" t="s">
        <v>55</v>
      </c>
      <c r="F3362" t="s">
        <v>4</v>
      </c>
      <c r="G3362" t="str">
        <f>""</f>
        <v/>
      </c>
    </row>
    <row r="3363" spans="1:7" x14ac:dyDescent="0.25">
      <c r="A3363" t="s">
        <v>8</v>
      </c>
      <c r="B3363" s="1" t="str">
        <f>"000335652 - "</f>
        <v xml:space="preserve">000335652 - </v>
      </c>
      <c r="D3363" s="1" t="str">
        <f t="shared" si="96"/>
        <v>PRG-1022490</v>
      </c>
      <c r="E3363" t="s">
        <v>55</v>
      </c>
      <c r="F3363" t="s">
        <v>4</v>
      </c>
      <c r="G3363" t="str">
        <f>""</f>
        <v/>
      </c>
    </row>
    <row r="3364" spans="1:7" x14ac:dyDescent="0.25">
      <c r="A3364" t="s">
        <v>8</v>
      </c>
      <c r="B3364" s="1" t="str">
        <f>"000336566 - "</f>
        <v xml:space="preserve">000336566 - </v>
      </c>
      <c r="D3364" s="1" t="str">
        <f t="shared" si="96"/>
        <v>PRG-1022490</v>
      </c>
      <c r="E3364" t="s">
        <v>55</v>
      </c>
      <c r="F3364" t="s">
        <v>4</v>
      </c>
      <c r="G3364" t="str">
        <f>""</f>
        <v/>
      </c>
    </row>
    <row r="3365" spans="1:7" x14ac:dyDescent="0.25">
      <c r="A3365" t="s">
        <v>8</v>
      </c>
      <c r="B3365" s="1" t="str">
        <f>"000336820 - "</f>
        <v xml:space="preserve">000336820 - </v>
      </c>
      <c r="D3365" s="1" t="str">
        <f t="shared" si="96"/>
        <v>PRG-1022490</v>
      </c>
      <c r="E3365" t="s">
        <v>55</v>
      </c>
      <c r="F3365" t="s">
        <v>4</v>
      </c>
      <c r="G3365" t="str">
        <f>""</f>
        <v/>
      </c>
    </row>
    <row r="3366" spans="1:7" x14ac:dyDescent="0.25">
      <c r="A3366" t="s">
        <v>8</v>
      </c>
      <c r="B3366" s="1" t="str">
        <f>"000340045 - RICH FOODS NCORE-BOSTON"</f>
        <v>000340045 - RICH FOODS NCORE-BOSTON</v>
      </c>
      <c r="C3366" t="s">
        <v>1337</v>
      </c>
      <c r="D3366" s="1" t="str">
        <f t="shared" si="96"/>
        <v>PRG-1022490</v>
      </c>
      <c r="E3366" t="s">
        <v>55</v>
      </c>
      <c r="F3366" t="s">
        <v>4</v>
      </c>
      <c r="G3366" t="str">
        <f>""</f>
        <v/>
      </c>
    </row>
    <row r="3367" spans="1:7" x14ac:dyDescent="0.25">
      <c r="A3367" t="s">
        <v>8</v>
      </c>
      <c r="B3367" s="1" t="str">
        <f>"000340046 - RICHS CBB-BOSTON"</f>
        <v>000340046 - RICHS CBB-BOSTON</v>
      </c>
      <c r="C3367" t="s">
        <v>983</v>
      </c>
      <c r="D3367" s="1" t="str">
        <f t="shared" si="96"/>
        <v>PRG-1022490</v>
      </c>
      <c r="E3367" t="s">
        <v>55</v>
      </c>
      <c r="F3367" t="s">
        <v>4</v>
      </c>
      <c r="G3367" t="str">
        <f>""</f>
        <v/>
      </c>
    </row>
    <row r="3368" spans="1:7" x14ac:dyDescent="0.25">
      <c r="A3368" t="s">
        <v>8</v>
      </c>
      <c r="B3368" s="1" t="str">
        <f>"000349052 - RICH FOODS NCORE-BOSTON PIZZA"</f>
        <v>000349052 - RICH FOODS NCORE-BOSTON PIZZA</v>
      </c>
      <c r="C3368" t="s">
        <v>156</v>
      </c>
      <c r="D3368" s="1" t="str">
        <f t="shared" si="96"/>
        <v>PRG-1022490</v>
      </c>
      <c r="E3368" t="s">
        <v>55</v>
      </c>
      <c r="F3368" t="s">
        <v>4</v>
      </c>
      <c r="G3368" t="str">
        <f>""</f>
        <v/>
      </c>
    </row>
    <row r="3369" spans="1:7" x14ac:dyDescent="0.25">
      <c r="A3369" t="s">
        <v>8</v>
      </c>
      <c r="B3369" s="1" t="str">
        <f>"000355672 - RICH FOODS NCORE-BOSTON"</f>
        <v>000355672 - RICH FOODS NCORE-BOSTON</v>
      </c>
      <c r="C3369" t="s">
        <v>1337</v>
      </c>
      <c r="D3369" s="1" t="str">
        <f t="shared" si="96"/>
        <v>PRG-1022490</v>
      </c>
      <c r="E3369" t="s">
        <v>55</v>
      </c>
      <c r="F3369" t="s">
        <v>4</v>
      </c>
      <c r="G3369" t="str">
        <f>""</f>
        <v/>
      </c>
    </row>
    <row r="3370" spans="1:7" x14ac:dyDescent="0.25">
      <c r="A3370" t="s">
        <v>8</v>
      </c>
      <c r="B3370" s="1" t="str">
        <f>"000355673 - RICHS CBB-BOSTON"</f>
        <v>000355673 - RICHS CBB-BOSTON</v>
      </c>
      <c r="C3370" t="s">
        <v>983</v>
      </c>
      <c r="D3370" s="1" t="str">
        <f t="shared" si="96"/>
        <v>PRG-1022490</v>
      </c>
      <c r="E3370" t="s">
        <v>55</v>
      </c>
      <c r="F3370" t="s">
        <v>4</v>
      </c>
      <c r="G3370" t="str">
        <f>""</f>
        <v/>
      </c>
    </row>
    <row r="3371" spans="1:7" x14ac:dyDescent="0.25">
      <c r="A3371" t="s">
        <v>8</v>
      </c>
      <c r="B3371" s="1" t="str">
        <f>"000364786 - RICH FOODS NCORE-BOSTON PIZZA"</f>
        <v>000364786 - RICH FOODS NCORE-BOSTON PIZZA</v>
      </c>
      <c r="C3371" t="s">
        <v>156</v>
      </c>
      <c r="D3371" s="1" t="str">
        <f t="shared" si="96"/>
        <v>PRG-1022490</v>
      </c>
      <c r="E3371" t="s">
        <v>55</v>
      </c>
      <c r="F3371" t="s">
        <v>4</v>
      </c>
      <c r="G3371" t="str">
        <f>""</f>
        <v/>
      </c>
    </row>
    <row r="3372" spans="1:7" x14ac:dyDescent="0.25">
      <c r="A3372" t="s">
        <v>8</v>
      </c>
      <c r="B3372" s="1" t="str">
        <f>"000365017 - RICHS COREBB-BOSTON PIZZA"</f>
        <v>000365017 - RICHS COREBB-BOSTON PIZZA</v>
      </c>
      <c r="C3372" t="s">
        <v>157</v>
      </c>
      <c r="D3372" s="1" t="str">
        <f t="shared" si="96"/>
        <v>PRG-1022490</v>
      </c>
      <c r="E3372" t="s">
        <v>55</v>
      </c>
      <c r="F3372" t="s">
        <v>4</v>
      </c>
      <c r="G3372" t="str">
        <f>""</f>
        <v/>
      </c>
    </row>
    <row r="3373" spans="1:7" x14ac:dyDescent="0.25">
      <c r="A3373" t="s">
        <v>8</v>
      </c>
      <c r="B3373" s="1" t="str">
        <f>"2000174724 - RICHS FOODS-BOSTON PIZZA"</f>
        <v>2000174724 - RICHS FOODS-BOSTON PIZZA</v>
      </c>
      <c r="C3373" t="s">
        <v>3832</v>
      </c>
      <c r="D3373" s="1" t="str">
        <f t="shared" si="96"/>
        <v>PRG-1022490</v>
      </c>
      <c r="E3373" t="s">
        <v>55</v>
      </c>
      <c r="F3373" t="s">
        <v>4</v>
      </c>
      <c r="G3373" t="str">
        <f>""</f>
        <v/>
      </c>
    </row>
    <row r="3374" spans="1:7" x14ac:dyDescent="0.25">
      <c r="A3374" t="s">
        <v>8</v>
      </c>
      <c r="B3374" s="1" t="str">
        <f>"2000233160 - RICHS FOODS-BOSTON PIZZA"</f>
        <v>2000233160 - RICHS FOODS-BOSTON PIZZA</v>
      </c>
      <c r="C3374" t="s">
        <v>3832</v>
      </c>
      <c r="D3374" s="1" t="str">
        <f t="shared" si="96"/>
        <v>PRG-1022490</v>
      </c>
      <c r="E3374" t="s">
        <v>55</v>
      </c>
      <c r="F3374" t="s">
        <v>4</v>
      </c>
      <c r="G3374" t="str">
        <f>""</f>
        <v/>
      </c>
    </row>
    <row r="3375" spans="1:7" x14ac:dyDescent="0.25">
      <c r="A3375" t="s">
        <v>8</v>
      </c>
      <c r="B3375" s="1" t="str">
        <f>"2000309244 - "</f>
        <v xml:space="preserve">2000309244 - </v>
      </c>
      <c r="D3375" s="1" t="str">
        <f t="shared" si="96"/>
        <v>PRG-1022490</v>
      </c>
      <c r="E3375" t="s">
        <v>55</v>
      </c>
      <c r="F3375" t="s">
        <v>4</v>
      </c>
      <c r="G3375" t="str">
        <f>""</f>
        <v/>
      </c>
    </row>
    <row r="3376" spans="1:7" x14ac:dyDescent="0.25">
      <c r="A3376" t="s">
        <v>8</v>
      </c>
      <c r="B3376" s="1" t="str">
        <f>"2000349602 - "</f>
        <v xml:space="preserve">2000349602 - </v>
      </c>
      <c r="D3376" s="1" t="str">
        <f t="shared" si="96"/>
        <v>PRG-1022490</v>
      </c>
      <c r="E3376" t="s">
        <v>55</v>
      </c>
      <c r="F3376" t="s">
        <v>4</v>
      </c>
      <c r="G3376" t="str">
        <f>""</f>
        <v/>
      </c>
    </row>
    <row r="3377" spans="1:7" x14ac:dyDescent="0.25">
      <c r="A3377" t="s">
        <v>8</v>
      </c>
      <c r="B3377" s="1" t="str">
        <f>"000169089 - UNIV OF MICH RICH'S"</f>
        <v>000169089 - UNIV OF MICH RICH'S</v>
      </c>
      <c r="C3377" t="s">
        <v>1090</v>
      </c>
      <c r="D3377" s="1" t="str">
        <f>"PRG-1022527"</f>
        <v>PRG-1022527</v>
      </c>
      <c r="E3377" t="s">
        <v>1091</v>
      </c>
      <c r="F3377" t="s">
        <v>4</v>
      </c>
      <c r="G3377" t="str">
        <f>""</f>
        <v/>
      </c>
    </row>
    <row r="3378" spans="1:7" x14ac:dyDescent="0.25">
      <c r="A3378" t="s">
        <v>8</v>
      </c>
      <c r="B3378" s="1" t="str">
        <f>"000180034 - 1025183 HUMDINGERS RICH PRD"</f>
        <v>000180034 - 1025183 HUMDINGERS RICH PRD</v>
      </c>
      <c r="C3378" t="s">
        <v>1135</v>
      </c>
      <c r="D3378" s="1" t="str">
        <f>"PRG-1022573"</f>
        <v>PRG-1022573</v>
      </c>
      <c r="E3378" t="s">
        <v>1136</v>
      </c>
      <c r="F3378" t="s">
        <v>4</v>
      </c>
      <c r="G3378" t="str">
        <f>""</f>
        <v/>
      </c>
    </row>
    <row r="3379" spans="1:7" x14ac:dyDescent="0.25">
      <c r="A3379" t="s">
        <v>8</v>
      </c>
      <c r="B3379" s="1" t="str">
        <f>"000219827 - 1022573 HUMDINGERS RICH PRD"</f>
        <v>000219827 - 1022573 HUMDINGERS RICH PRD</v>
      </c>
      <c r="C3379" t="s">
        <v>1577</v>
      </c>
      <c r="D3379" s="1" t="str">
        <f>"PRG-1022573"</f>
        <v>PRG-1022573</v>
      </c>
      <c r="E3379" t="s">
        <v>1136</v>
      </c>
      <c r="F3379" t="s">
        <v>4</v>
      </c>
      <c r="G3379" t="str">
        <f>""</f>
        <v/>
      </c>
    </row>
    <row r="3380" spans="1:7" x14ac:dyDescent="0.25">
      <c r="A3380" t="s">
        <v>8</v>
      </c>
      <c r="B3380" s="1" t="str">
        <f>"000237830 - RICH'S HUMDINGER'S          JV"</f>
        <v>000237830 - RICH'S HUMDINGER'S          JV</v>
      </c>
      <c r="C3380" t="s">
        <v>1874</v>
      </c>
      <c r="D3380" s="1" t="str">
        <f>"PRG-1022573"</f>
        <v>PRG-1022573</v>
      </c>
      <c r="E3380" t="s">
        <v>1136</v>
      </c>
      <c r="F3380" t="s">
        <v>4</v>
      </c>
      <c r="G3380" t="str">
        <f>""</f>
        <v/>
      </c>
    </row>
    <row r="3381" spans="1:7" x14ac:dyDescent="0.25">
      <c r="A3381" t="s">
        <v>8</v>
      </c>
      <c r="B3381" s="1" t="str">
        <f>"000180993 - RICH'S EDWARDS CATERING"</f>
        <v>000180993 - RICH'S EDWARDS CATERING</v>
      </c>
      <c r="C3381" t="s">
        <v>1144</v>
      </c>
      <c r="D3381" s="1" t="str">
        <f>"PRG-1022611"</f>
        <v>PRG-1022611</v>
      </c>
      <c r="E3381" t="s">
        <v>1145</v>
      </c>
      <c r="F3381" t="s">
        <v>4</v>
      </c>
      <c r="G3381" t="str">
        <f>""</f>
        <v/>
      </c>
    </row>
    <row r="3382" spans="1:7" x14ac:dyDescent="0.25">
      <c r="A3382" t="s">
        <v>8</v>
      </c>
      <c r="B3382" s="1" t="str">
        <f>"3126B329"</f>
        <v>3126B329</v>
      </c>
      <c r="C3382" t="s">
        <v>4628</v>
      </c>
      <c r="D3382" s="1" t="str">
        <f>"PRG-1022640"</f>
        <v>PRG-1022640</v>
      </c>
      <c r="E3382" t="s">
        <v>4629</v>
      </c>
      <c r="F3382" t="s">
        <v>5</v>
      </c>
      <c r="G3382" t="str">
        <f>""</f>
        <v/>
      </c>
    </row>
    <row r="3383" spans="1:7" x14ac:dyDescent="0.25">
      <c r="A3383" t="s">
        <v>8</v>
      </c>
      <c r="B3383" s="1" t="str">
        <f>"000158142 - RICH PRODUCTS CARNIVAL CRUISE"</f>
        <v>000158142 - RICH PRODUCTS CARNIVAL CRUISE</v>
      </c>
      <c r="C3383" t="s">
        <v>1033</v>
      </c>
      <c r="D3383" s="1" t="str">
        <f>"PRG-1022651"</f>
        <v>PRG-1022651</v>
      </c>
      <c r="E3383" t="s">
        <v>1034</v>
      </c>
      <c r="F3383" t="s">
        <v>4</v>
      </c>
      <c r="G3383" t="str">
        <f>""</f>
        <v/>
      </c>
    </row>
    <row r="3384" spans="1:7" x14ac:dyDescent="0.25">
      <c r="A3384" t="s">
        <v>8</v>
      </c>
      <c r="B3384" s="1" t="str">
        <f>"000259749 - RICHS  EZ'S"</f>
        <v>000259749 - RICHS  EZ'S</v>
      </c>
      <c r="C3384" t="s">
        <v>2250</v>
      </c>
      <c r="D3384" s="1" t="str">
        <f>"PRG-1022671"</f>
        <v>PRG-1022671</v>
      </c>
      <c r="E3384" t="s">
        <v>2251</v>
      </c>
      <c r="F3384" t="s">
        <v>4</v>
      </c>
      <c r="G3384" t="str">
        <f>""</f>
        <v/>
      </c>
    </row>
    <row r="3385" spans="1:7" x14ac:dyDescent="0.25">
      <c r="A3385" t="s">
        <v>8</v>
      </c>
      <c r="B3385" s="1" t="str">
        <f>"2000176921 - RICH FOODS-RUBY TEQUILLA BAKER BRO"</f>
        <v>2000176921 - RICH FOODS-RUBY TEQUILLA BAKER BRO</v>
      </c>
      <c r="C3385" t="s">
        <v>3895</v>
      </c>
      <c r="D3385" s="1" t="str">
        <f>"PRG-1022671"</f>
        <v>PRG-1022671</v>
      </c>
      <c r="E3385" t="s">
        <v>2251</v>
      </c>
      <c r="F3385" t="s">
        <v>4</v>
      </c>
      <c r="G3385" t="str">
        <f>""</f>
        <v/>
      </c>
    </row>
    <row r="3386" spans="1:7" x14ac:dyDescent="0.25">
      <c r="A3386" t="s">
        <v>8</v>
      </c>
      <c r="B3386" s="1" t="str">
        <f>"000000621 - RICH FOODS-ROCKFISH SFD GRILL"</f>
        <v>000000621 - RICH FOODS-ROCKFISH SFD GRILL</v>
      </c>
      <c r="C3386" t="s">
        <v>60</v>
      </c>
      <c r="D3386" s="1" t="str">
        <f t="shared" ref="D3386:D3393" si="97">"PRG-1022672"</f>
        <v>PRG-1022672</v>
      </c>
      <c r="E3386" t="s">
        <v>61</v>
      </c>
      <c r="F3386" t="s">
        <v>4</v>
      </c>
      <c r="G3386" t="str">
        <f>""</f>
        <v/>
      </c>
    </row>
    <row r="3387" spans="1:7" x14ac:dyDescent="0.25">
      <c r="A3387" t="s">
        <v>8</v>
      </c>
      <c r="B3387" s="1" t="str">
        <f>"000261090 - RICH'S  ROCKFISH  SPIN"</f>
        <v>000261090 - RICH'S  ROCKFISH  SPIN</v>
      </c>
      <c r="C3387" t="s">
        <v>2277</v>
      </c>
      <c r="D3387" s="1" t="str">
        <f t="shared" si="97"/>
        <v>PRG-1022672</v>
      </c>
      <c r="E3387" t="s">
        <v>61</v>
      </c>
      <c r="F3387" t="s">
        <v>4</v>
      </c>
      <c r="G3387" t="str">
        <f>""</f>
        <v/>
      </c>
    </row>
    <row r="3388" spans="1:7" x14ac:dyDescent="0.25">
      <c r="A3388" t="s">
        <v>8</v>
      </c>
      <c r="B3388" s="1" t="str">
        <f>"000275643 - RICH'S  ROCKFISH  SPIN"</f>
        <v>000275643 - RICH'S  ROCKFISH  SPIN</v>
      </c>
      <c r="C3388" t="s">
        <v>2277</v>
      </c>
      <c r="D3388" s="1" t="str">
        <f t="shared" si="97"/>
        <v>PRG-1022672</v>
      </c>
      <c r="E3388" t="s">
        <v>61</v>
      </c>
      <c r="F3388" t="s">
        <v>4</v>
      </c>
      <c r="G3388" t="str">
        <f>""</f>
        <v/>
      </c>
    </row>
    <row r="3389" spans="1:7" x14ac:dyDescent="0.25">
      <c r="A3389" t="s">
        <v>8</v>
      </c>
      <c r="B3389" s="1" t="str">
        <f>"000295618 - RICH'S ROCKFISH SPIN"</f>
        <v>000295618 - RICH'S ROCKFISH SPIN</v>
      </c>
      <c r="C3389" t="s">
        <v>2902</v>
      </c>
      <c r="D3389" s="1" t="str">
        <f t="shared" si="97"/>
        <v>PRG-1022672</v>
      </c>
      <c r="E3389" t="s">
        <v>61</v>
      </c>
      <c r="F3389" t="s">
        <v>4</v>
      </c>
      <c r="G3389" t="str">
        <f>""</f>
        <v/>
      </c>
    </row>
    <row r="3390" spans="1:7" x14ac:dyDescent="0.25">
      <c r="A3390" t="s">
        <v>8</v>
      </c>
      <c r="B3390" s="1" t="str">
        <f>"000321422 - RICH'S ROCKFISH SPIN"</f>
        <v>000321422 - RICH'S ROCKFISH SPIN</v>
      </c>
      <c r="C3390" t="s">
        <v>2902</v>
      </c>
      <c r="D3390" s="1" t="str">
        <f t="shared" si="97"/>
        <v>PRG-1022672</v>
      </c>
      <c r="E3390" t="s">
        <v>61</v>
      </c>
      <c r="F3390" t="s">
        <v>4</v>
      </c>
      <c r="G3390" t="str">
        <f>""</f>
        <v/>
      </c>
    </row>
    <row r="3391" spans="1:7" x14ac:dyDescent="0.25">
      <c r="A3391" t="s">
        <v>8</v>
      </c>
      <c r="B3391" s="1" t="str">
        <f>"2000128278 - RICH FOODS-ROCKFISH SFD GRILL"</f>
        <v>2000128278 - RICH FOODS-ROCKFISH SFD GRILL</v>
      </c>
      <c r="C3391" t="s">
        <v>60</v>
      </c>
      <c r="D3391" s="1" t="str">
        <f t="shared" si="97"/>
        <v>PRG-1022672</v>
      </c>
      <c r="E3391" t="s">
        <v>61</v>
      </c>
      <c r="F3391" t="s">
        <v>4</v>
      </c>
      <c r="G3391" t="str">
        <f>""</f>
        <v/>
      </c>
    </row>
    <row r="3392" spans="1:7" x14ac:dyDescent="0.25">
      <c r="A3392" t="s">
        <v>8</v>
      </c>
      <c r="B3392" s="1" t="str">
        <f>"2000286526 - RICH FOODS-ROCKFISH SFD GRILL"</f>
        <v>2000286526 - RICH FOODS-ROCKFISH SFD GRILL</v>
      </c>
      <c r="C3392" t="s">
        <v>60</v>
      </c>
      <c r="D3392" s="1" t="str">
        <f t="shared" si="97"/>
        <v>PRG-1022672</v>
      </c>
      <c r="E3392" t="s">
        <v>61</v>
      </c>
      <c r="F3392" t="s">
        <v>4</v>
      </c>
      <c r="G3392" t="str">
        <f>""</f>
        <v/>
      </c>
    </row>
    <row r="3393" spans="1:7" x14ac:dyDescent="0.25">
      <c r="A3393" t="s">
        <v>8</v>
      </c>
      <c r="B3393" s="1" t="str">
        <f>"2000379886 - "</f>
        <v xml:space="preserve">2000379886 - </v>
      </c>
      <c r="D3393" s="1" t="str">
        <f t="shared" si="97"/>
        <v>PRG-1022672</v>
      </c>
      <c r="E3393" t="s">
        <v>61</v>
      </c>
      <c r="F3393" t="s">
        <v>4</v>
      </c>
      <c r="G3393" t="str">
        <f>""</f>
        <v/>
      </c>
    </row>
    <row r="3394" spans="1:7" x14ac:dyDescent="0.25">
      <c r="A3394" t="s">
        <v>8</v>
      </c>
      <c r="B3394" s="1" t="str">
        <f>"000004813 - HOMESTYLE DINING-LETNES RICH'S"</f>
        <v>000004813 - HOMESTYLE DINING-LETNES RICH'S</v>
      </c>
      <c r="C3394" t="s">
        <v>206</v>
      </c>
      <c r="D3394" s="1" t="str">
        <f>"PRG-1022688"</f>
        <v>PRG-1022688</v>
      </c>
      <c r="E3394" t="s">
        <v>207</v>
      </c>
      <c r="F3394" t="s">
        <v>4</v>
      </c>
      <c r="G3394" t="str">
        <f>""</f>
        <v/>
      </c>
    </row>
    <row r="3395" spans="1:7" x14ac:dyDescent="0.25">
      <c r="A3395" t="s">
        <v>8</v>
      </c>
      <c r="B3395" s="1" t="str">
        <f>"000242984 - RICH JSNA"</f>
        <v>000242984 - RICH JSNA</v>
      </c>
      <c r="C3395" t="s">
        <v>1947</v>
      </c>
      <c r="D3395" s="1" t="str">
        <f>"PRG-1022700"</f>
        <v>PRG-1022700</v>
      </c>
      <c r="E3395" t="s">
        <v>1948</v>
      </c>
      <c r="F3395" t="s">
        <v>4</v>
      </c>
      <c r="G3395" t="str">
        <f>""</f>
        <v/>
      </c>
    </row>
    <row r="3396" spans="1:7" x14ac:dyDescent="0.25">
      <c r="A3396" t="s">
        <v>8</v>
      </c>
      <c r="B3396" s="1" t="str">
        <f>"3135D433"</f>
        <v>3135D433</v>
      </c>
      <c r="C3396" t="s">
        <v>4647</v>
      </c>
      <c r="D3396" s="1" t="str">
        <f>"PRG-1022747"</f>
        <v>PRG-1022747</v>
      </c>
      <c r="E3396" t="s">
        <v>4648</v>
      </c>
      <c r="F3396" t="s">
        <v>5</v>
      </c>
      <c r="G3396" t="str">
        <f>""</f>
        <v/>
      </c>
    </row>
    <row r="3397" spans="1:7" x14ac:dyDescent="0.25">
      <c r="A3397" t="s">
        <v>8</v>
      </c>
      <c r="B3397" s="1" t="str">
        <f>"000118163 - RICH FOODS-NUTRITION SYSTEMS"</f>
        <v>000118163 - RICH FOODS-NUTRITION SYSTEMS</v>
      </c>
      <c r="C3397" t="s">
        <v>873</v>
      </c>
      <c r="D3397" s="1" t="str">
        <f t="shared" ref="D3397:D3404" si="98">"PRG-1022804"</f>
        <v>PRG-1022804</v>
      </c>
      <c r="E3397" t="s">
        <v>874</v>
      </c>
      <c r="F3397" t="s">
        <v>4</v>
      </c>
      <c r="G3397" t="str">
        <f>""</f>
        <v/>
      </c>
    </row>
    <row r="3398" spans="1:7" x14ac:dyDescent="0.25">
      <c r="A3398" t="s">
        <v>8</v>
      </c>
      <c r="B3398" s="1" t="str">
        <f>"000123588 - RICH FOODS-NUTRITION"</f>
        <v>000123588 - RICH FOODS-NUTRITION</v>
      </c>
      <c r="C3398" t="s">
        <v>505</v>
      </c>
      <c r="D3398" s="1" t="str">
        <f t="shared" si="98"/>
        <v>PRG-1022804</v>
      </c>
      <c r="E3398" t="s">
        <v>874</v>
      </c>
      <c r="F3398" t="s">
        <v>4</v>
      </c>
      <c r="G3398" t="str">
        <f>""</f>
        <v/>
      </c>
    </row>
    <row r="3399" spans="1:7" x14ac:dyDescent="0.25">
      <c r="A3399" t="s">
        <v>8</v>
      </c>
      <c r="B3399" s="1" t="str">
        <f>"000174836 - RICH FOODS-NUTRITION SYSTEMS"</f>
        <v>000174836 - RICH FOODS-NUTRITION SYSTEMS</v>
      </c>
      <c r="C3399" t="s">
        <v>873</v>
      </c>
      <c r="D3399" s="1" t="str">
        <f t="shared" si="98"/>
        <v>PRG-1022804</v>
      </c>
      <c r="E3399" t="s">
        <v>874</v>
      </c>
      <c r="F3399" t="s">
        <v>4</v>
      </c>
      <c r="G3399" t="str">
        <f>""</f>
        <v/>
      </c>
    </row>
    <row r="3400" spans="1:7" x14ac:dyDescent="0.25">
      <c r="A3400" t="s">
        <v>8</v>
      </c>
      <c r="B3400" s="1" t="str">
        <f>"000180679 - RICH FOODS-NUTRITION"</f>
        <v>000180679 - RICH FOODS-NUTRITION</v>
      </c>
      <c r="C3400" t="s">
        <v>505</v>
      </c>
      <c r="D3400" s="1" t="str">
        <f t="shared" si="98"/>
        <v>PRG-1022804</v>
      </c>
      <c r="E3400" t="s">
        <v>874</v>
      </c>
      <c r="F3400" t="s">
        <v>4</v>
      </c>
      <c r="G3400" t="str">
        <f>""</f>
        <v/>
      </c>
    </row>
    <row r="3401" spans="1:7" x14ac:dyDescent="0.25">
      <c r="A3401" t="s">
        <v>8</v>
      </c>
      <c r="B3401" s="1" t="str">
        <f>"000210344 - RICH FOODS-NUTRITION SYSTEMS"</f>
        <v>000210344 - RICH FOODS-NUTRITION SYSTEMS</v>
      </c>
      <c r="C3401" t="s">
        <v>873</v>
      </c>
      <c r="D3401" s="1" t="str">
        <f t="shared" si="98"/>
        <v>PRG-1022804</v>
      </c>
      <c r="E3401" t="s">
        <v>874</v>
      </c>
      <c r="F3401" t="s">
        <v>4</v>
      </c>
      <c r="G3401" t="str">
        <f>""</f>
        <v/>
      </c>
    </row>
    <row r="3402" spans="1:7" x14ac:dyDescent="0.25">
      <c r="A3402" t="s">
        <v>8</v>
      </c>
      <c r="B3402" s="1" t="str">
        <f>"000213140 - RICH FOODS-NUTRITION SYSTEMS"</f>
        <v>000213140 - RICH FOODS-NUTRITION SYSTEMS</v>
      </c>
      <c r="C3402" t="s">
        <v>873</v>
      </c>
      <c r="D3402" s="1" t="str">
        <f t="shared" si="98"/>
        <v>PRG-1022804</v>
      </c>
      <c r="E3402" t="s">
        <v>874</v>
      </c>
      <c r="F3402" t="s">
        <v>4</v>
      </c>
      <c r="G3402" t="str">
        <f>""</f>
        <v/>
      </c>
    </row>
    <row r="3403" spans="1:7" x14ac:dyDescent="0.25">
      <c r="A3403" t="s">
        <v>8</v>
      </c>
      <c r="B3403" s="1" t="str">
        <f>"000215448 - RICH FOODS-NUTRITION"</f>
        <v>000215448 - RICH FOODS-NUTRITION</v>
      </c>
      <c r="C3403" t="s">
        <v>505</v>
      </c>
      <c r="D3403" s="1" t="str">
        <f t="shared" si="98"/>
        <v>PRG-1022804</v>
      </c>
      <c r="E3403" t="s">
        <v>874</v>
      </c>
      <c r="F3403" t="s">
        <v>4</v>
      </c>
      <c r="G3403" t="str">
        <f>""</f>
        <v/>
      </c>
    </row>
    <row r="3404" spans="1:7" x14ac:dyDescent="0.25">
      <c r="A3404" t="s">
        <v>8</v>
      </c>
      <c r="B3404" s="1" t="str">
        <f>"2000185177 - RICH FOODS-NUTRITION SYSTEMS"</f>
        <v>2000185177 - RICH FOODS-NUTRITION SYSTEMS</v>
      </c>
      <c r="C3404" t="s">
        <v>873</v>
      </c>
      <c r="D3404" s="1" t="str">
        <f t="shared" si="98"/>
        <v>PRG-1022804</v>
      </c>
      <c r="E3404" t="s">
        <v>874</v>
      </c>
      <c r="F3404" t="s">
        <v>4</v>
      </c>
      <c r="G3404" t="str">
        <f>""</f>
        <v/>
      </c>
    </row>
    <row r="3405" spans="1:7" x14ac:dyDescent="0.25">
      <c r="A3405" t="s">
        <v>8</v>
      </c>
      <c r="B3405" s="1" t="str">
        <f>"000000674 - RICH'S-MGM GROUP"</f>
        <v>000000674 - RICH'S-MGM GROUP</v>
      </c>
      <c r="C3405" t="s">
        <v>62</v>
      </c>
      <c r="D3405" s="1" t="str">
        <f t="shared" ref="D3405:D3417" si="99">"PRG-1022821"</f>
        <v>PRG-1022821</v>
      </c>
      <c r="E3405" t="s">
        <v>63</v>
      </c>
      <c r="F3405" t="s">
        <v>4</v>
      </c>
      <c r="G3405" t="str">
        <f>""</f>
        <v/>
      </c>
    </row>
    <row r="3406" spans="1:7" x14ac:dyDescent="0.25">
      <c r="A3406" t="s">
        <v>8</v>
      </c>
      <c r="B3406" s="1" t="str">
        <f>"000179380 - 1022821 MGM RESRT RICH-178422"</f>
        <v>000179380 - 1022821 MGM RESRT RICH-178422</v>
      </c>
      <c r="C3406" t="s">
        <v>1131</v>
      </c>
      <c r="D3406" s="1" t="str">
        <f t="shared" si="99"/>
        <v>PRG-1022821</v>
      </c>
      <c r="E3406" t="s">
        <v>63</v>
      </c>
      <c r="F3406" t="s">
        <v>4</v>
      </c>
      <c r="G3406" t="str">
        <f>""</f>
        <v/>
      </c>
    </row>
    <row r="3407" spans="1:7" x14ac:dyDescent="0.25">
      <c r="A3407" t="s">
        <v>8</v>
      </c>
      <c r="B3407" s="1" t="str">
        <f>"000188193 - 1022821 MGM GOLDS-RICHS"</f>
        <v>000188193 - 1022821 MGM GOLDS-RICHS</v>
      </c>
      <c r="C3407" t="s">
        <v>1190</v>
      </c>
      <c r="D3407" s="1" t="str">
        <f t="shared" si="99"/>
        <v>PRG-1022821</v>
      </c>
      <c r="E3407" t="s">
        <v>63</v>
      </c>
      <c r="F3407" t="s">
        <v>4</v>
      </c>
      <c r="G3407" t="str">
        <f>""</f>
        <v/>
      </c>
    </row>
    <row r="3408" spans="1:7" x14ac:dyDescent="0.25">
      <c r="A3408" t="s">
        <v>8</v>
      </c>
      <c r="B3408" s="1" t="str">
        <f>"000201322 - PRG-1022821 MGM GLD-RICH-BB"</f>
        <v>000201322 - PRG-1022821 MGM GLD-RICH-BB</v>
      </c>
      <c r="C3408" t="s">
        <v>1313</v>
      </c>
      <c r="D3408" s="1" t="str">
        <f t="shared" si="99"/>
        <v>PRG-1022821</v>
      </c>
      <c r="E3408" t="s">
        <v>63</v>
      </c>
      <c r="F3408" t="s">
        <v>4</v>
      </c>
      <c r="G3408" t="str">
        <f>""</f>
        <v/>
      </c>
    </row>
    <row r="3409" spans="1:7" x14ac:dyDescent="0.25">
      <c r="A3409" t="s">
        <v>8</v>
      </c>
      <c r="B3409" s="1" t="str">
        <f>"000205977 - PRG-1022821 MGM GLD-RICH-BB"</f>
        <v>000205977 - PRG-1022821 MGM GLD-RICH-BB</v>
      </c>
      <c r="C3409" t="s">
        <v>1313</v>
      </c>
      <c r="D3409" s="1" t="str">
        <f t="shared" si="99"/>
        <v>PRG-1022821</v>
      </c>
      <c r="E3409" t="s">
        <v>63</v>
      </c>
      <c r="F3409" t="s">
        <v>4</v>
      </c>
      <c r="G3409" t="str">
        <f>""</f>
        <v/>
      </c>
    </row>
    <row r="3410" spans="1:7" x14ac:dyDescent="0.25">
      <c r="A3410" t="s">
        <v>8</v>
      </c>
      <c r="B3410" s="1" t="str">
        <f>"000209121 - PRG-1022821 MGM GLD-RICH"</f>
        <v>000209121 - PRG-1022821 MGM GLD-RICH</v>
      </c>
      <c r="C3410" t="s">
        <v>1419</v>
      </c>
      <c r="D3410" s="1" t="str">
        <f t="shared" si="99"/>
        <v>PRG-1022821</v>
      </c>
      <c r="E3410" t="s">
        <v>63</v>
      </c>
      <c r="F3410" t="s">
        <v>4</v>
      </c>
      <c r="G3410" t="str">
        <f>""</f>
        <v/>
      </c>
    </row>
    <row r="3411" spans="1:7" x14ac:dyDescent="0.25">
      <c r="A3411" t="s">
        <v>8</v>
      </c>
      <c r="B3411" s="1" t="str">
        <f>"000220130 - PRG-1022821 MGM GLD-RICH"</f>
        <v>000220130 - PRG-1022821 MGM GLD-RICH</v>
      </c>
      <c r="C3411" t="s">
        <v>1419</v>
      </c>
      <c r="D3411" s="1" t="str">
        <f t="shared" si="99"/>
        <v>PRG-1022821</v>
      </c>
      <c r="E3411" t="s">
        <v>63</v>
      </c>
      <c r="F3411" t="s">
        <v>4</v>
      </c>
      <c r="G3411" t="str">
        <f>""</f>
        <v/>
      </c>
    </row>
    <row r="3412" spans="1:7" x14ac:dyDescent="0.25">
      <c r="A3412" t="s">
        <v>8</v>
      </c>
      <c r="B3412" s="1" t="str">
        <f>"000280092 - RICH MGM RESORTS"</f>
        <v>000280092 - RICH MGM RESORTS</v>
      </c>
      <c r="C3412" t="s">
        <v>2331</v>
      </c>
      <c r="D3412" s="1" t="str">
        <f t="shared" si="99"/>
        <v>PRG-1022821</v>
      </c>
      <c r="E3412" t="s">
        <v>63</v>
      </c>
      <c r="F3412" t="s">
        <v>4</v>
      </c>
      <c r="G3412" t="str">
        <f>""</f>
        <v/>
      </c>
    </row>
    <row r="3413" spans="1:7" x14ac:dyDescent="0.25">
      <c r="A3413" t="s">
        <v>8</v>
      </c>
      <c r="B3413" s="1" t="str">
        <f>"1106A289"</f>
        <v>1106A289</v>
      </c>
      <c r="C3413" t="s">
        <v>3811</v>
      </c>
      <c r="D3413" s="1" t="str">
        <f t="shared" si="99"/>
        <v>PRG-1022821</v>
      </c>
      <c r="E3413" t="s">
        <v>63</v>
      </c>
      <c r="F3413" t="s">
        <v>5</v>
      </c>
      <c r="G3413" t="str">
        <f>""</f>
        <v/>
      </c>
    </row>
    <row r="3414" spans="1:7" x14ac:dyDescent="0.25">
      <c r="A3414" t="s">
        <v>8</v>
      </c>
      <c r="B3414" s="1" t="str">
        <f>"2000203544 - RICHS-MGM RESORTS"</f>
        <v>2000203544 - RICHS-MGM RESORTS</v>
      </c>
      <c r="C3414" t="s">
        <v>3945</v>
      </c>
      <c r="D3414" s="1" t="str">
        <f t="shared" si="99"/>
        <v>PRG-1022821</v>
      </c>
      <c r="E3414" t="s">
        <v>63</v>
      </c>
      <c r="F3414" t="s">
        <v>4</v>
      </c>
      <c r="G3414" t="str">
        <f>""</f>
        <v/>
      </c>
    </row>
    <row r="3415" spans="1:7" x14ac:dyDescent="0.25">
      <c r="A3415" t="s">
        <v>8</v>
      </c>
      <c r="B3415" s="1" t="str">
        <f>"2000224384 - RICHS-MGM RESORTS"</f>
        <v>2000224384 - RICHS-MGM RESORTS</v>
      </c>
      <c r="C3415" t="s">
        <v>3945</v>
      </c>
      <c r="D3415" s="1" t="str">
        <f t="shared" si="99"/>
        <v>PRG-1022821</v>
      </c>
      <c r="E3415" t="s">
        <v>63</v>
      </c>
      <c r="F3415" t="s">
        <v>4</v>
      </c>
      <c r="G3415" t="str">
        <f>""</f>
        <v/>
      </c>
    </row>
    <row r="3416" spans="1:7" x14ac:dyDescent="0.25">
      <c r="A3416" t="s">
        <v>8</v>
      </c>
      <c r="B3416" s="1" t="str">
        <f>"2000265925 - RICHS-MGM RESORTS"</f>
        <v>2000265925 - RICHS-MGM RESORTS</v>
      </c>
      <c r="C3416" t="s">
        <v>3945</v>
      </c>
      <c r="D3416" s="1" t="str">
        <f t="shared" si="99"/>
        <v>PRG-1022821</v>
      </c>
      <c r="E3416" t="s">
        <v>63</v>
      </c>
      <c r="F3416" t="s">
        <v>4</v>
      </c>
      <c r="G3416" t="str">
        <f>""</f>
        <v/>
      </c>
    </row>
    <row r="3417" spans="1:7" x14ac:dyDescent="0.25">
      <c r="A3417" t="s">
        <v>8</v>
      </c>
      <c r="B3417" s="1" t="str">
        <f>"2000343532 - "</f>
        <v xml:space="preserve">2000343532 - </v>
      </c>
      <c r="D3417" s="1" t="str">
        <f t="shared" si="99"/>
        <v>PRG-1022821</v>
      </c>
      <c r="E3417" t="s">
        <v>63</v>
      </c>
      <c r="F3417" t="s">
        <v>4</v>
      </c>
      <c r="G3417" t="str">
        <f>""</f>
        <v/>
      </c>
    </row>
    <row r="3418" spans="1:7" x14ac:dyDescent="0.25">
      <c r="A3418" t="s">
        <v>8</v>
      </c>
      <c r="B3418" s="1" t="str">
        <f>"000261306 - RICHS CAFE MICHELINO"</f>
        <v>000261306 - RICHS CAFE MICHELINO</v>
      </c>
      <c r="C3418" t="s">
        <v>2279</v>
      </c>
      <c r="D3418" s="1" t="str">
        <f>"PRG-1022829"</f>
        <v>PRG-1022829</v>
      </c>
      <c r="E3418" t="s">
        <v>2280</v>
      </c>
      <c r="F3418" t="s">
        <v>4</v>
      </c>
      <c r="G3418" t="str">
        <f>""</f>
        <v/>
      </c>
    </row>
    <row r="3419" spans="1:7" x14ac:dyDescent="0.25">
      <c r="A3419" t="s">
        <v>8</v>
      </c>
      <c r="B3419" s="1" t="str">
        <f>"000211449 - RICH'S   ROCHESTER DELI"</f>
        <v>000211449 - RICH'S   ROCHESTER DELI</v>
      </c>
      <c r="C3419" t="s">
        <v>1450</v>
      </c>
      <c r="D3419" s="1" t="str">
        <f>"PRG-1022872"</f>
        <v>PRG-1022872</v>
      </c>
      <c r="E3419" t="s">
        <v>1451</v>
      </c>
      <c r="F3419" t="s">
        <v>4</v>
      </c>
      <c r="G3419" t="str">
        <f>""</f>
        <v/>
      </c>
    </row>
    <row r="3420" spans="1:7" x14ac:dyDescent="0.25">
      <c r="A3420" t="s">
        <v>8</v>
      </c>
      <c r="B3420" s="1" t="str">
        <f>"000208880 - RICH'S BOY SCOUTS"</f>
        <v>000208880 - RICH'S BOY SCOUTS</v>
      </c>
      <c r="C3420" t="s">
        <v>1412</v>
      </c>
      <c r="D3420" s="1" t="str">
        <f>"PRG-1022919"</f>
        <v>PRG-1022919</v>
      </c>
      <c r="E3420" t="s">
        <v>1413</v>
      </c>
      <c r="F3420" t="s">
        <v>4</v>
      </c>
      <c r="G3420" t="str">
        <f>""</f>
        <v/>
      </c>
    </row>
    <row r="3421" spans="1:7" x14ac:dyDescent="0.25">
      <c r="A3421" t="s">
        <v>8</v>
      </c>
      <c r="B3421" s="1" t="str">
        <f>"2000325053 - RICH-CANNERY GROUP"</f>
        <v>2000325053 - RICH-CANNERY GROUP</v>
      </c>
      <c r="C3421" t="s">
        <v>4033</v>
      </c>
      <c r="D3421" s="1" t="str">
        <f>"PRG-1022921"</f>
        <v>PRG-1022921</v>
      </c>
      <c r="E3421" t="s">
        <v>4034</v>
      </c>
      <c r="F3421" t="s">
        <v>4</v>
      </c>
      <c r="G3421" t="str">
        <f>""</f>
        <v/>
      </c>
    </row>
    <row r="3422" spans="1:7" x14ac:dyDescent="0.25">
      <c r="A3422" t="s">
        <v>8</v>
      </c>
      <c r="B3422" s="1" t="str">
        <f>"2000344809 - RICH-CANNERY GROUP"</f>
        <v>2000344809 - RICH-CANNERY GROUP</v>
      </c>
      <c r="C3422" t="s">
        <v>4033</v>
      </c>
      <c r="D3422" s="1" t="str">
        <f>"PRG-1022921"</f>
        <v>PRG-1022921</v>
      </c>
      <c r="E3422" t="s">
        <v>4034</v>
      </c>
      <c r="F3422" t="s">
        <v>4</v>
      </c>
      <c r="G3422" t="str">
        <f>""</f>
        <v/>
      </c>
    </row>
    <row r="3423" spans="1:7" x14ac:dyDescent="0.25">
      <c r="A3423" t="s">
        <v>8</v>
      </c>
      <c r="B3423" s="1" t="str">
        <f>"4100G738"</f>
        <v>4100G738</v>
      </c>
      <c r="C3423" t="s">
        <v>4956</v>
      </c>
      <c r="D3423" s="1" t="str">
        <f>"PRG-1022921"</f>
        <v>PRG-1022921</v>
      </c>
      <c r="E3423" t="s">
        <v>4034</v>
      </c>
      <c r="F3423" t="s">
        <v>5</v>
      </c>
      <c r="G3423" t="str">
        <f>""</f>
        <v/>
      </c>
    </row>
    <row r="3424" spans="1:7" x14ac:dyDescent="0.25">
      <c r="A3424" t="s">
        <v>8</v>
      </c>
      <c r="B3424" s="1" t="str">
        <f>"000200732 - RICH-CALABRIA'S"</f>
        <v>000200732 - RICH-CALABRIA'S</v>
      </c>
      <c r="C3424" t="s">
        <v>1307</v>
      </c>
      <c r="D3424" s="1" t="str">
        <f>"PRG-1022963"</f>
        <v>PRG-1022963</v>
      </c>
      <c r="E3424" t="s">
        <v>1308</v>
      </c>
      <c r="F3424" t="s">
        <v>4</v>
      </c>
      <c r="G3424" t="str">
        <f>""</f>
        <v/>
      </c>
    </row>
    <row r="3425" spans="1:7" x14ac:dyDescent="0.25">
      <c r="A3425" t="s">
        <v>8</v>
      </c>
      <c r="B3425" s="1" t="str">
        <f>"000001112 - RICH PRODUCTS ARAMARK"</f>
        <v>000001112 - RICH PRODUCTS ARAMARK</v>
      </c>
      <c r="C3425" t="s">
        <v>81</v>
      </c>
      <c r="D3425" s="1" t="str">
        <f t="shared" ref="D3425:D3488" si="100">"PRG-1022967"</f>
        <v>PRG-1022967</v>
      </c>
      <c r="E3425" t="s">
        <v>82</v>
      </c>
      <c r="F3425" t="s">
        <v>4</v>
      </c>
      <c r="G3425" t="str">
        <f>""</f>
        <v/>
      </c>
    </row>
    <row r="3426" spans="1:7" x14ac:dyDescent="0.25">
      <c r="A3426" t="s">
        <v>8</v>
      </c>
      <c r="B3426" s="1" t="str">
        <f>"000003145 - RICH PRODUCTS ARAMARK"</f>
        <v>000003145 - RICH PRODUCTS ARAMARK</v>
      </c>
      <c r="C3426" t="s">
        <v>81</v>
      </c>
      <c r="D3426" s="1" t="str">
        <f t="shared" si="100"/>
        <v>PRG-1022967</v>
      </c>
      <c r="E3426" t="s">
        <v>82</v>
      </c>
      <c r="F3426" t="s">
        <v>4</v>
      </c>
      <c r="G3426" t="str">
        <f>""</f>
        <v/>
      </c>
    </row>
    <row r="3427" spans="1:7" x14ac:dyDescent="0.25">
      <c r="A3427" t="s">
        <v>8</v>
      </c>
      <c r="B3427" s="1" t="str">
        <f>"000024723 - RICH FOODS VARIETY-ARAMARK"</f>
        <v>000024723 - RICH FOODS VARIETY-ARAMARK</v>
      </c>
      <c r="C3427" t="s">
        <v>439</v>
      </c>
      <c r="D3427" s="1" t="str">
        <f t="shared" si="100"/>
        <v>PRG-1022967</v>
      </c>
      <c r="E3427" t="s">
        <v>82</v>
      </c>
      <c r="F3427" t="s">
        <v>4</v>
      </c>
      <c r="G3427" t="str">
        <f>""</f>
        <v/>
      </c>
    </row>
    <row r="3428" spans="1:7" x14ac:dyDescent="0.25">
      <c r="A3428" t="s">
        <v>8</v>
      </c>
      <c r="B3428" s="1" t="str">
        <f>"000026802 - RICH FOODS VARIETY-ARAMARK"</f>
        <v>000026802 - RICH FOODS VARIETY-ARAMARK</v>
      </c>
      <c r="C3428" t="s">
        <v>439</v>
      </c>
      <c r="D3428" s="1" t="str">
        <f t="shared" si="100"/>
        <v>PRG-1022967</v>
      </c>
      <c r="E3428" t="s">
        <v>82</v>
      </c>
      <c r="F3428" t="s">
        <v>4</v>
      </c>
      <c r="G3428" t="str">
        <f>""</f>
        <v/>
      </c>
    </row>
    <row r="3429" spans="1:7" x14ac:dyDescent="0.25">
      <c r="A3429" t="s">
        <v>8</v>
      </c>
      <c r="B3429" s="1" t="str">
        <f>"000026806 - RICH FOODS VARIETY-ARA SSS"</f>
        <v>000026806 - RICH FOODS VARIETY-ARA SSS</v>
      </c>
      <c r="C3429" t="s">
        <v>452</v>
      </c>
      <c r="D3429" s="1" t="str">
        <f t="shared" si="100"/>
        <v>PRG-1022967</v>
      </c>
      <c r="E3429" t="s">
        <v>82</v>
      </c>
      <c r="F3429" t="s">
        <v>4</v>
      </c>
      <c r="G3429" t="str">
        <f>""</f>
        <v/>
      </c>
    </row>
    <row r="3430" spans="1:7" x14ac:dyDescent="0.25">
      <c r="A3430" t="s">
        <v>8</v>
      </c>
      <c r="B3430" s="1" t="str">
        <f>"000027671 - RICH FOOD-ARAMARK LC"</f>
        <v>000027671 - RICH FOOD-ARAMARK LC</v>
      </c>
      <c r="C3430" t="s">
        <v>457</v>
      </c>
      <c r="D3430" s="1" t="str">
        <f t="shared" si="100"/>
        <v>PRG-1022967</v>
      </c>
      <c r="E3430" t="s">
        <v>82</v>
      </c>
      <c r="F3430" t="s">
        <v>4</v>
      </c>
      <c r="G3430" t="str">
        <f>""</f>
        <v/>
      </c>
    </row>
    <row r="3431" spans="1:7" x14ac:dyDescent="0.25">
      <c r="A3431" t="s">
        <v>8</v>
      </c>
      <c r="B3431" s="1" t="str">
        <f>"000028521 - RICH VARIETY-ARAMARK"</f>
        <v>000028521 - RICH VARIETY-ARAMARK</v>
      </c>
      <c r="C3431" t="s">
        <v>471</v>
      </c>
      <c r="D3431" s="1" t="str">
        <f t="shared" si="100"/>
        <v>PRG-1022967</v>
      </c>
      <c r="E3431" t="s">
        <v>82</v>
      </c>
      <c r="F3431" t="s">
        <v>4</v>
      </c>
      <c r="G3431" t="str">
        <f>""</f>
        <v/>
      </c>
    </row>
    <row r="3432" spans="1:7" x14ac:dyDescent="0.25">
      <c r="A3432" t="s">
        <v>8</v>
      </c>
      <c r="B3432" s="1" t="str">
        <f>"000030386 - RICH FOOD-ARAMARK LC"</f>
        <v>000030386 - RICH FOOD-ARAMARK LC</v>
      </c>
      <c r="C3432" t="s">
        <v>457</v>
      </c>
      <c r="D3432" s="1" t="str">
        <f t="shared" si="100"/>
        <v>PRG-1022967</v>
      </c>
      <c r="E3432" t="s">
        <v>82</v>
      </c>
      <c r="F3432" t="s">
        <v>4</v>
      </c>
      <c r="G3432" t="str">
        <f>""</f>
        <v/>
      </c>
    </row>
    <row r="3433" spans="1:7" x14ac:dyDescent="0.25">
      <c r="A3433" t="s">
        <v>8</v>
      </c>
      <c r="B3433" s="1" t="str">
        <f>"000030813 - RICH FOODS MAIN-ARAMARK"</f>
        <v>000030813 - RICH FOODS MAIN-ARAMARK</v>
      </c>
      <c r="C3433" t="s">
        <v>494</v>
      </c>
      <c r="D3433" s="1" t="str">
        <f t="shared" si="100"/>
        <v>PRG-1022967</v>
      </c>
      <c r="E3433" t="s">
        <v>82</v>
      </c>
      <c r="F3433" t="s">
        <v>4</v>
      </c>
      <c r="G3433" t="str">
        <f>""</f>
        <v/>
      </c>
    </row>
    <row r="3434" spans="1:7" x14ac:dyDescent="0.25">
      <c r="A3434" t="s">
        <v>8</v>
      </c>
      <c r="B3434" s="1" t="str">
        <f>"000031613 - RICH VARIETY-ARAMARK"</f>
        <v>000031613 - RICH VARIETY-ARAMARK</v>
      </c>
      <c r="C3434" t="s">
        <v>471</v>
      </c>
      <c r="D3434" s="1" t="str">
        <f t="shared" si="100"/>
        <v>PRG-1022967</v>
      </c>
      <c r="E3434" t="s">
        <v>82</v>
      </c>
      <c r="F3434" t="s">
        <v>4</v>
      </c>
      <c r="G3434" t="str">
        <f>""</f>
        <v/>
      </c>
    </row>
    <row r="3435" spans="1:7" x14ac:dyDescent="0.25">
      <c r="A3435" t="s">
        <v>8</v>
      </c>
      <c r="B3435" s="1" t="str">
        <f>"000033809 - RICH FDS-ARAMARK MAIN EX K12"</f>
        <v>000033809 - RICH FDS-ARAMARK MAIN EX K12</v>
      </c>
      <c r="C3435" t="s">
        <v>511</v>
      </c>
      <c r="D3435" s="1" t="str">
        <f t="shared" si="100"/>
        <v>PRG-1022967</v>
      </c>
      <c r="E3435" t="s">
        <v>82</v>
      </c>
      <c r="F3435" t="s">
        <v>4</v>
      </c>
      <c r="G3435" t="str">
        <f>""</f>
        <v/>
      </c>
    </row>
    <row r="3436" spans="1:7" x14ac:dyDescent="0.25">
      <c r="A3436" t="s">
        <v>8</v>
      </c>
      <c r="B3436" s="1" t="str">
        <f>"000035076 - RICH FOODS MAIN-ARAMARK"</f>
        <v>000035076 - RICH FOODS MAIN-ARAMARK</v>
      </c>
      <c r="C3436" t="s">
        <v>494</v>
      </c>
      <c r="D3436" s="1" t="str">
        <f t="shared" si="100"/>
        <v>PRG-1022967</v>
      </c>
      <c r="E3436" t="s">
        <v>82</v>
      </c>
      <c r="F3436" t="s">
        <v>4</v>
      </c>
      <c r="G3436" t="str">
        <f>""</f>
        <v/>
      </c>
    </row>
    <row r="3437" spans="1:7" x14ac:dyDescent="0.25">
      <c r="A3437" t="s">
        <v>8</v>
      </c>
      <c r="B3437" s="1" t="str">
        <f>"000039421 - RICH FDS-ARAMARK MAIN EX K12"</f>
        <v>000039421 - RICH FDS-ARAMARK MAIN EX K12</v>
      </c>
      <c r="C3437" t="s">
        <v>511</v>
      </c>
      <c r="D3437" s="1" t="str">
        <f t="shared" si="100"/>
        <v>PRG-1022967</v>
      </c>
      <c r="E3437" t="s">
        <v>82</v>
      </c>
      <c r="F3437" t="s">
        <v>4</v>
      </c>
      <c r="G3437" t="str">
        <f>""</f>
        <v/>
      </c>
    </row>
    <row r="3438" spans="1:7" x14ac:dyDescent="0.25">
      <c r="A3438" t="s">
        <v>8</v>
      </c>
      <c r="B3438" s="1" t="str">
        <f>"000086883 - RICH FOODS VARIETY-ARAMARK"</f>
        <v>000086883 - RICH FOODS VARIETY-ARAMARK</v>
      </c>
      <c r="C3438" t="s">
        <v>439</v>
      </c>
      <c r="D3438" s="1" t="str">
        <f t="shared" si="100"/>
        <v>PRG-1022967</v>
      </c>
      <c r="E3438" t="s">
        <v>82</v>
      </c>
      <c r="F3438" t="s">
        <v>4</v>
      </c>
      <c r="G3438" t="str">
        <f>""</f>
        <v/>
      </c>
    </row>
    <row r="3439" spans="1:7" x14ac:dyDescent="0.25">
      <c r="A3439" t="s">
        <v>8</v>
      </c>
      <c r="B3439" s="1" t="str">
        <f>"000086885 - RICH FOODS VARIETY-ARA SSS"</f>
        <v>000086885 - RICH FOODS VARIETY-ARA SSS</v>
      </c>
      <c r="C3439" t="s">
        <v>452</v>
      </c>
      <c r="D3439" s="1" t="str">
        <f t="shared" si="100"/>
        <v>PRG-1022967</v>
      </c>
      <c r="E3439" t="s">
        <v>82</v>
      </c>
      <c r="F3439" t="s">
        <v>4</v>
      </c>
      <c r="G3439" t="str">
        <f>""</f>
        <v/>
      </c>
    </row>
    <row r="3440" spans="1:7" x14ac:dyDescent="0.25">
      <c r="A3440" t="s">
        <v>8</v>
      </c>
      <c r="B3440" s="1" t="str">
        <f>"000090474 - RICH FOOD-ARAMARK LC"</f>
        <v>000090474 - RICH FOOD-ARAMARK LC</v>
      </c>
      <c r="C3440" t="s">
        <v>457</v>
      </c>
      <c r="D3440" s="1" t="str">
        <f t="shared" si="100"/>
        <v>PRG-1022967</v>
      </c>
      <c r="E3440" t="s">
        <v>82</v>
      </c>
      <c r="F3440" t="s">
        <v>4</v>
      </c>
      <c r="G3440" t="str">
        <f>""</f>
        <v/>
      </c>
    </row>
    <row r="3441" spans="1:7" x14ac:dyDescent="0.25">
      <c r="A3441" t="s">
        <v>8</v>
      </c>
      <c r="B3441" s="1" t="str">
        <f>"000091760 - RICH VARIETY-ARAMARK"</f>
        <v>000091760 - RICH VARIETY-ARAMARK</v>
      </c>
      <c r="C3441" t="s">
        <v>471</v>
      </c>
      <c r="D3441" s="1" t="str">
        <f t="shared" si="100"/>
        <v>PRG-1022967</v>
      </c>
      <c r="E3441" t="s">
        <v>82</v>
      </c>
      <c r="F3441" t="s">
        <v>4</v>
      </c>
      <c r="G3441" t="str">
        <f>""</f>
        <v/>
      </c>
    </row>
    <row r="3442" spans="1:7" x14ac:dyDescent="0.25">
      <c r="A3442" t="s">
        <v>8</v>
      </c>
      <c r="B3442" s="1" t="str">
        <f>"000091769 - RICH VARIETY-ARA SSS"</f>
        <v>000091769 - RICH VARIETY-ARA SSS</v>
      </c>
      <c r="C3442" t="s">
        <v>500</v>
      </c>
      <c r="D3442" s="1" t="str">
        <f t="shared" si="100"/>
        <v>PRG-1022967</v>
      </c>
      <c r="E3442" t="s">
        <v>82</v>
      </c>
      <c r="F3442" t="s">
        <v>4</v>
      </c>
      <c r="G3442" t="str">
        <f>""</f>
        <v/>
      </c>
    </row>
    <row r="3443" spans="1:7" x14ac:dyDescent="0.25">
      <c r="A3443" t="s">
        <v>8</v>
      </c>
      <c r="B3443" s="1" t="str">
        <f>"000094990 - RICH FOODS MAIN-ARAMARK"</f>
        <v>000094990 - RICH FOODS MAIN-ARAMARK</v>
      </c>
      <c r="C3443" t="s">
        <v>494</v>
      </c>
      <c r="D3443" s="1" t="str">
        <f t="shared" si="100"/>
        <v>PRG-1022967</v>
      </c>
      <c r="E3443" t="s">
        <v>82</v>
      </c>
      <c r="F3443" t="s">
        <v>4</v>
      </c>
      <c r="G3443" t="str">
        <f>""</f>
        <v/>
      </c>
    </row>
    <row r="3444" spans="1:7" x14ac:dyDescent="0.25">
      <c r="A3444" t="s">
        <v>8</v>
      </c>
      <c r="B3444" s="1" t="str">
        <f>"000098953 - RICH FDS-ARAMARK MAIN EX K12"</f>
        <v>000098953 - RICH FDS-ARAMARK MAIN EX K12</v>
      </c>
      <c r="C3444" t="s">
        <v>511</v>
      </c>
      <c r="D3444" s="1" t="str">
        <f t="shared" si="100"/>
        <v>PRG-1022967</v>
      </c>
      <c r="E3444" t="s">
        <v>82</v>
      </c>
      <c r="F3444" t="s">
        <v>4</v>
      </c>
      <c r="G3444" t="str">
        <f>""</f>
        <v/>
      </c>
    </row>
    <row r="3445" spans="1:7" x14ac:dyDescent="0.25">
      <c r="A3445" t="s">
        <v>8</v>
      </c>
      <c r="B3445" s="1" t="str">
        <f>"000099496 - RICH FOODS VARIETY-ARAMARK"</f>
        <v>000099496 - RICH FOODS VARIETY-ARAMARK</v>
      </c>
      <c r="C3445" t="s">
        <v>439</v>
      </c>
      <c r="D3445" s="1" t="str">
        <f t="shared" si="100"/>
        <v>PRG-1022967</v>
      </c>
      <c r="E3445" t="s">
        <v>82</v>
      </c>
      <c r="F3445" t="s">
        <v>4</v>
      </c>
      <c r="G3445" t="str">
        <f>""</f>
        <v/>
      </c>
    </row>
    <row r="3446" spans="1:7" x14ac:dyDescent="0.25">
      <c r="A3446" t="s">
        <v>8</v>
      </c>
      <c r="B3446" s="1" t="str">
        <f>"000099498 - RICH FOODS VARIETY-ARA SSS"</f>
        <v>000099498 - RICH FOODS VARIETY-ARA SSS</v>
      </c>
      <c r="C3446" t="s">
        <v>452</v>
      </c>
      <c r="D3446" s="1" t="str">
        <f t="shared" si="100"/>
        <v>PRG-1022967</v>
      </c>
      <c r="E3446" t="s">
        <v>82</v>
      </c>
      <c r="F3446" t="s">
        <v>4</v>
      </c>
      <c r="G3446" t="str">
        <f>""</f>
        <v/>
      </c>
    </row>
    <row r="3447" spans="1:7" x14ac:dyDescent="0.25">
      <c r="A3447" t="s">
        <v>8</v>
      </c>
      <c r="B3447" s="1" t="str">
        <f>"000102627 - RICH FOOD-ARAMARK LC"</f>
        <v>000102627 - RICH FOOD-ARAMARK LC</v>
      </c>
      <c r="C3447" t="s">
        <v>457</v>
      </c>
      <c r="D3447" s="1" t="str">
        <f t="shared" si="100"/>
        <v>PRG-1022967</v>
      </c>
      <c r="E3447" t="s">
        <v>82</v>
      </c>
      <c r="F3447" t="s">
        <v>4</v>
      </c>
      <c r="G3447" t="str">
        <f>""</f>
        <v/>
      </c>
    </row>
    <row r="3448" spans="1:7" x14ac:dyDescent="0.25">
      <c r="A3448" t="s">
        <v>8</v>
      </c>
      <c r="B3448" s="1" t="str">
        <f>"000103700 - RICH VARIETY-ARAMARK"</f>
        <v>000103700 - RICH VARIETY-ARAMARK</v>
      </c>
      <c r="C3448" t="s">
        <v>471</v>
      </c>
      <c r="D3448" s="1" t="str">
        <f t="shared" si="100"/>
        <v>PRG-1022967</v>
      </c>
      <c r="E3448" t="s">
        <v>82</v>
      </c>
      <c r="F3448" t="s">
        <v>4</v>
      </c>
      <c r="G3448" t="str">
        <f>""</f>
        <v/>
      </c>
    </row>
    <row r="3449" spans="1:7" x14ac:dyDescent="0.25">
      <c r="A3449" t="s">
        <v>8</v>
      </c>
      <c r="B3449" s="1" t="str">
        <f>"000103709 - RICH VARIETY-ARA SSS"</f>
        <v>000103709 - RICH VARIETY-ARA SSS</v>
      </c>
      <c r="C3449" t="s">
        <v>500</v>
      </c>
      <c r="D3449" s="1" t="str">
        <f t="shared" si="100"/>
        <v>PRG-1022967</v>
      </c>
      <c r="E3449" t="s">
        <v>82</v>
      </c>
      <c r="F3449" t="s">
        <v>4</v>
      </c>
      <c r="G3449" t="str">
        <f>""</f>
        <v/>
      </c>
    </row>
    <row r="3450" spans="1:7" x14ac:dyDescent="0.25">
      <c r="A3450" t="s">
        <v>8</v>
      </c>
      <c r="B3450" s="1" t="str">
        <f>"000106340 - RICH FOODS MAIN-ARAMARK"</f>
        <v>000106340 - RICH FOODS MAIN-ARAMARK</v>
      </c>
      <c r="C3450" t="s">
        <v>494</v>
      </c>
      <c r="D3450" s="1" t="str">
        <f t="shared" si="100"/>
        <v>PRG-1022967</v>
      </c>
      <c r="E3450" t="s">
        <v>82</v>
      </c>
      <c r="F3450" t="s">
        <v>4</v>
      </c>
      <c r="G3450" t="str">
        <f>""</f>
        <v/>
      </c>
    </row>
    <row r="3451" spans="1:7" x14ac:dyDescent="0.25">
      <c r="A3451" t="s">
        <v>8</v>
      </c>
      <c r="B3451" s="1" t="str">
        <f>"000106414 - RICH FOODS-ARA K12"</f>
        <v>000106414 - RICH FOODS-ARA K12</v>
      </c>
      <c r="C3451" t="s">
        <v>524</v>
      </c>
      <c r="D3451" s="1" t="str">
        <f t="shared" si="100"/>
        <v>PRG-1022967</v>
      </c>
      <c r="E3451" t="s">
        <v>82</v>
      </c>
      <c r="F3451" t="s">
        <v>4</v>
      </c>
      <c r="G3451" t="str">
        <f>""</f>
        <v/>
      </c>
    </row>
    <row r="3452" spans="1:7" x14ac:dyDescent="0.25">
      <c r="A3452" t="s">
        <v>8</v>
      </c>
      <c r="B3452" s="1" t="str">
        <f>"000109435 - RICH FDS-ARAMARK MAIN EX K12"</f>
        <v>000109435 - RICH FDS-ARAMARK MAIN EX K12</v>
      </c>
      <c r="C3452" t="s">
        <v>511</v>
      </c>
      <c r="D3452" s="1" t="str">
        <f t="shared" si="100"/>
        <v>PRG-1022967</v>
      </c>
      <c r="E3452" t="s">
        <v>82</v>
      </c>
      <c r="F3452" t="s">
        <v>4</v>
      </c>
      <c r="G3452" t="str">
        <f>""</f>
        <v/>
      </c>
    </row>
    <row r="3453" spans="1:7" x14ac:dyDescent="0.25">
      <c r="A3453" t="s">
        <v>8</v>
      </c>
      <c r="B3453" s="1" t="str">
        <f>"000109850 - RICH FOODS VARIETY-ARAMARK"</f>
        <v>000109850 - RICH FOODS VARIETY-ARAMARK</v>
      </c>
      <c r="C3453" t="s">
        <v>439</v>
      </c>
      <c r="D3453" s="1" t="str">
        <f t="shared" si="100"/>
        <v>PRG-1022967</v>
      </c>
      <c r="E3453" t="s">
        <v>82</v>
      </c>
      <c r="F3453" t="s">
        <v>4</v>
      </c>
      <c r="G3453" t="str">
        <f>""</f>
        <v/>
      </c>
    </row>
    <row r="3454" spans="1:7" x14ac:dyDescent="0.25">
      <c r="A3454" t="s">
        <v>8</v>
      </c>
      <c r="B3454" s="1" t="str">
        <f>"000109852 - RICH FOODS VARIETY-ARA SSS"</f>
        <v>000109852 - RICH FOODS VARIETY-ARA SSS</v>
      </c>
      <c r="C3454" t="s">
        <v>452</v>
      </c>
      <c r="D3454" s="1" t="str">
        <f t="shared" si="100"/>
        <v>PRG-1022967</v>
      </c>
      <c r="E3454" t="s">
        <v>82</v>
      </c>
      <c r="F3454" t="s">
        <v>4</v>
      </c>
      <c r="G3454" t="str">
        <f>""</f>
        <v/>
      </c>
    </row>
    <row r="3455" spans="1:7" x14ac:dyDescent="0.25">
      <c r="A3455" t="s">
        <v>8</v>
      </c>
      <c r="B3455" s="1" t="str">
        <f>"000113342 - RICH FOOD-ARAMARK LC"</f>
        <v>000113342 - RICH FOOD-ARAMARK LC</v>
      </c>
      <c r="C3455" t="s">
        <v>457</v>
      </c>
      <c r="D3455" s="1" t="str">
        <f t="shared" si="100"/>
        <v>PRG-1022967</v>
      </c>
      <c r="E3455" t="s">
        <v>82</v>
      </c>
      <c r="F3455" t="s">
        <v>4</v>
      </c>
      <c r="G3455" t="str">
        <f>""</f>
        <v/>
      </c>
    </row>
    <row r="3456" spans="1:7" x14ac:dyDescent="0.25">
      <c r="A3456" t="s">
        <v>8</v>
      </c>
      <c r="B3456" s="1" t="str">
        <f>"000114758 - RICH VARIETY-ARAMARK"</f>
        <v>000114758 - RICH VARIETY-ARAMARK</v>
      </c>
      <c r="C3456" t="s">
        <v>471</v>
      </c>
      <c r="D3456" s="1" t="str">
        <f t="shared" si="100"/>
        <v>PRG-1022967</v>
      </c>
      <c r="E3456" t="s">
        <v>82</v>
      </c>
      <c r="F3456" t="s">
        <v>4</v>
      </c>
      <c r="G3456" t="str">
        <f>""</f>
        <v/>
      </c>
    </row>
    <row r="3457" spans="1:7" x14ac:dyDescent="0.25">
      <c r="A3457" t="s">
        <v>8</v>
      </c>
      <c r="B3457" s="1" t="str">
        <f>"000114761 - RICH VARIETY-ARA SSS"</f>
        <v>000114761 - RICH VARIETY-ARA SSS</v>
      </c>
      <c r="C3457" t="s">
        <v>500</v>
      </c>
      <c r="D3457" s="1" t="str">
        <f t="shared" si="100"/>
        <v>PRG-1022967</v>
      </c>
      <c r="E3457" t="s">
        <v>82</v>
      </c>
      <c r="F3457" t="s">
        <v>4</v>
      </c>
      <c r="G3457" t="str">
        <f>""</f>
        <v/>
      </c>
    </row>
    <row r="3458" spans="1:7" x14ac:dyDescent="0.25">
      <c r="A3458" t="s">
        <v>8</v>
      </c>
      <c r="B3458" s="1" t="str">
        <f>"000117522 - RICH FOODS MAIN-ARAMARK"</f>
        <v>000117522 - RICH FOODS MAIN-ARAMARK</v>
      </c>
      <c r="C3458" t="s">
        <v>494</v>
      </c>
      <c r="D3458" s="1" t="str">
        <f t="shared" si="100"/>
        <v>PRG-1022967</v>
      </c>
      <c r="E3458" t="s">
        <v>82</v>
      </c>
      <c r="F3458" t="s">
        <v>4</v>
      </c>
      <c r="G3458" t="str">
        <f>""</f>
        <v/>
      </c>
    </row>
    <row r="3459" spans="1:7" x14ac:dyDescent="0.25">
      <c r="A3459" t="s">
        <v>8</v>
      </c>
      <c r="B3459" s="1" t="str">
        <f>"000121314 - RICH FDS-ARAMARK MAIN EX K12"</f>
        <v>000121314 - RICH FDS-ARAMARK MAIN EX K12</v>
      </c>
      <c r="C3459" t="s">
        <v>511</v>
      </c>
      <c r="D3459" s="1" t="str">
        <f t="shared" si="100"/>
        <v>PRG-1022967</v>
      </c>
      <c r="E3459" t="s">
        <v>82</v>
      </c>
      <c r="F3459" t="s">
        <v>4</v>
      </c>
      <c r="G3459" t="str">
        <f>""</f>
        <v/>
      </c>
    </row>
    <row r="3460" spans="1:7" x14ac:dyDescent="0.25">
      <c r="A3460" t="s">
        <v>8</v>
      </c>
      <c r="B3460" s="1" t="str">
        <f>"000121672 - RICH FOODS VARIETY-ARAMARK"</f>
        <v>000121672 - RICH FOODS VARIETY-ARAMARK</v>
      </c>
      <c r="C3460" t="s">
        <v>439</v>
      </c>
      <c r="D3460" s="1" t="str">
        <f t="shared" si="100"/>
        <v>PRG-1022967</v>
      </c>
      <c r="E3460" t="s">
        <v>82</v>
      </c>
      <c r="F3460" t="s">
        <v>4</v>
      </c>
      <c r="G3460" t="str">
        <f>""</f>
        <v/>
      </c>
    </row>
    <row r="3461" spans="1:7" x14ac:dyDescent="0.25">
      <c r="A3461" t="s">
        <v>8</v>
      </c>
      <c r="B3461" s="1" t="str">
        <f>"000124356 - RICH FOOD-ARAMARK LC"</f>
        <v>000124356 - RICH FOOD-ARAMARK LC</v>
      </c>
      <c r="C3461" t="s">
        <v>457</v>
      </c>
      <c r="D3461" s="1" t="str">
        <f t="shared" si="100"/>
        <v>PRG-1022967</v>
      </c>
      <c r="E3461" t="s">
        <v>82</v>
      </c>
      <c r="F3461" t="s">
        <v>4</v>
      </c>
      <c r="G3461" t="str">
        <f>""</f>
        <v/>
      </c>
    </row>
    <row r="3462" spans="1:7" x14ac:dyDescent="0.25">
      <c r="A3462" t="s">
        <v>8</v>
      </c>
      <c r="B3462" s="1" t="str">
        <f>"000125211 - RICH VARIETY-ARAMARK"</f>
        <v>000125211 - RICH VARIETY-ARAMARK</v>
      </c>
      <c r="C3462" t="s">
        <v>471</v>
      </c>
      <c r="D3462" s="1" t="str">
        <f t="shared" si="100"/>
        <v>PRG-1022967</v>
      </c>
      <c r="E3462" t="s">
        <v>82</v>
      </c>
      <c r="F3462" t="s">
        <v>4</v>
      </c>
      <c r="G3462" t="str">
        <f>""</f>
        <v/>
      </c>
    </row>
    <row r="3463" spans="1:7" x14ac:dyDescent="0.25">
      <c r="A3463" t="s">
        <v>8</v>
      </c>
      <c r="B3463" s="1" t="str">
        <f>"000127494 - RICH FOODS MAIN-ARAMARK"</f>
        <v>000127494 - RICH FOODS MAIN-ARAMARK</v>
      </c>
      <c r="C3463" t="s">
        <v>494</v>
      </c>
      <c r="D3463" s="1" t="str">
        <f t="shared" si="100"/>
        <v>PRG-1022967</v>
      </c>
      <c r="E3463" t="s">
        <v>82</v>
      </c>
      <c r="F3463" t="s">
        <v>4</v>
      </c>
      <c r="G3463" t="str">
        <f>""</f>
        <v/>
      </c>
    </row>
    <row r="3464" spans="1:7" x14ac:dyDescent="0.25">
      <c r="A3464" t="s">
        <v>8</v>
      </c>
      <c r="B3464" s="1" t="str">
        <f>"000128127 - RICH VARIETY-ARAMARK"</f>
        <v>000128127 - RICH VARIETY-ARAMARK</v>
      </c>
      <c r="C3464" t="s">
        <v>471</v>
      </c>
      <c r="D3464" s="1" t="str">
        <f t="shared" si="100"/>
        <v>PRG-1022967</v>
      </c>
      <c r="E3464" t="s">
        <v>82</v>
      </c>
      <c r="F3464" t="s">
        <v>4</v>
      </c>
      <c r="G3464" t="str">
        <f>""</f>
        <v/>
      </c>
    </row>
    <row r="3465" spans="1:7" x14ac:dyDescent="0.25">
      <c r="A3465" t="s">
        <v>8</v>
      </c>
      <c r="B3465" s="1" t="str">
        <f>"000130578 - RICH FDS-ARAMARK MAIN EX K12"</f>
        <v>000130578 - RICH FDS-ARAMARK MAIN EX K12</v>
      </c>
      <c r="C3465" t="s">
        <v>511</v>
      </c>
      <c r="D3465" s="1" t="str">
        <f t="shared" si="100"/>
        <v>PRG-1022967</v>
      </c>
      <c r="E3465" t="s">
        <v>82</v>
      </c>
      <c r="F3465" t="s">
        <v>4</v>
      </c>
      <c r="G3465" t="str">
        <f>""</f>
        <v/>
      </c>
    </row>
    <row r="3466" spans="1:7" x14ac:dyDescent="0.25">
      <c r="A3466" t="s">
        <v>8</v>
      </c>
      <c r="B3466" s="1" t="str">
        <f>"000135798 - RICH FOODS VARIETY-ARAMARK"</f>
        <v>000135798 - RICH FOODS VARIETY-ARAMARK</v>
      </c>
      <c r="C3466" t="s">
        <v>439</v>
      </c>
      <c r="D3466" s="1" t="str">
        <f t="shared" si="100"/>
        <v>PRG-1022967</v>
      </c>
      <c r="E3466" t="s">
        <v>82</v>
      </c>
      <c r="F3466" t="s">
        <v>4</v>
      </c>
      <c r="G3466" t="str">
        <f>""</f>
        <v/>
      </c>
    </row>
    <row r="3467" spans="1:7" x14ac:dyDescent="0.25">
      <c r="A3467" t="s">
        <v>8</v>
      </c>
      <c r="B3467" s="1" t="str">
        <f>"000135800 - RICH FOODS VARIETY-ARA SSS"</f>
        <v>000135800 - RICH FOODS VARIETY-ARA SSS</v>
      </c>
      <c r="C3467" t="s">
        <v>452</v>
      </c>
      <c r="D3467" s="1" t="str">
        <f t="shared" si="100"/>
        <v>PRG-1022967</v>
      </c>
      <c r="E3467" t="s">
        <v>82</v>
      </c>
      <c r="F3467" t="s">
        <v>4</v>
      </c>
      <c r="G3467" t="str">
        <f>""</f>
        <v/>
      </c>
    </row>
    <row r="3468" spans="1:7" x14ac:dyDescent="0.25">
      <c r="A3468" t="s">
        <v>8</v>
      </c>
      <c r="B3468" s="1" t="str">
        <f>"000139253 - RICH FOOD-ARAMARK LC"</f>
        <v>000139253 - RICH FOOD-ARAMARK LC</v>
      </c>
      <c r="C3468" t="s">
        <v>457</v>
      </c>
      <c r="D3468" s="1" t="str">
        <f t="shared" si="100"/>
        <v>PRG-1022967</v>
      </c>
      <c r="E3468" t="s">
        <v>82</v>
      </c>
      <c r="F3468" t="s">
        <v>4</v>
      </c>
      <c r="G3468" t="str">
        <f>""</f>
        <v/>
      </c>
    </row>
    <row r="3469" spans="1:7" x14ac:dyDescent="0.25">
      <c r="A3469" t="s">
        <v>8</v>
      </c>
      <c r="B3469" s="1" t="str">
        <f>"000140414 - RICH VARIETY-ARAMARK"</f>
        <v>000140414 - RICH VARIETY-ARAMARK</v>
      </c>
      <c r="C3469" t="s">
        <v>471</v>
      </c>
      <c r="D3469" s="1" t="str">
        <f t="shared" si="100"/>
        <v>PRG-1022967</v>
      </c>
      <c r="E3469" t="s">
        <v>82</v>
      </c>
      <c r="F3469" t="s">
        <v>4</v>
      </c>
      <c r="G3469" t="str">
        <f>""</f>
        <v/>
      </c>
    </row>
    <row r="3470" spans="1:7" x14ac:dyDescent="0.25">
      <c r="A3470" t="s">
        <v>8</v>
      </c>
      <c r="B3470" s="1" t="str">
        <f>"000140419 - RICH VARIETY-ARA SSS"</f>
        <v>000140419 - RICH VARIETY-ARA SSS</v>
      </c>
      <c r="C3470" t="s">
        <v>500</v>
      </c>
      <c r="D3470" s="1" t="str">
        <f t="shared" si="100"/>
        <v>PRG-1022967</v>
      </c>
      <c r="E3470" t="s">
        <v>82</v>
      </c>
      <c r="F3470" t="s">
        <v>4</v>
      </c>
      <c r="G3470" t="str">
        <f>""</f>
        <v/>
      </c>
    </row>
    <row r="3471" spans="1:7" x14ac:dyDescent="0.25">
      <c r="A3471" t="s">
        <v>8</v>
      </c>
      <c r="B3471" s="1" t="str">
        <f>"000143582 - RICH FOODS MAIN-ARAMARK"</f>
        <v>000143582 - RICH FOODS MAIN-ARAMARK</v>
      </c>
      <c r="C3471" t="s">
        <v>494</v>
      </c>
      <c r="D3471" s="1" t="str">
        <f t="shared" si="100"/>
        <v>PRG-1022967</v>
      </c>
      <c r="E3471" t="s">
        <v>82</v>
      </c>
      <c r="F3471" t="s">
        <v>4</v>
      </c>
      <c r="G3471" t="str">
        <f>""</f>
        <v/>
      </c>
    </row>
    <row r="3472" spans="1:7" x14ac:dyDescent="0.25">
      <c r="A3472" t="s">
        <v>8</v>
      </c>
      <c r="B3472" s="1" t="str">
        <f>"000143638 - RICH FOODS-ARA K12"</f>
        <v>000143638 - RICH FOODS-ARA K12</v>
      </c>
      <c r="C3472" t="s">
        <v>524</v>
      </c>
      <c r="D3472" s="1" t="str">
        <f t="shared" si="100"/>
        <v>PRG-1022967</v>
      </c>
      <c r="E3472" t="s">
        <v>82</v>
      </c>
      <c r="F3472" t="s">
        <v>4</v>
      </c>
      <c r="G3472" t="str">
        <f>""</f>
        <v/>
      </c>
    </row>
    <row r="3473" spans="1:7" x14ac:dyDescent="0.25">
      <c r="A3473" t="s">
        <v>8</v>
      </c>
      <c r="B3473" s="1" t="str">
        <f>"000147471 - RICH FDS-ARAMARK MAIN EX K12"</f>
        <v>000147471 - RICH FDS-ARAMARK MAIN EX K12</v>
      </c>
      <c r="C3473" t="s">
        <v>511</v>
      </c>
      <c r="D3473" s="1" t="str">
        <f t="shared" si="100"/>
        <v>PRG-1022967</v>
      </c>
      <c r="E3473" t="s">
        <v>82</v>
      </c>
      <c r="F3473" t="s">
        <v>4</v>
      </c>
      <c r="G3473" t="str">
        <f>""</f>
        <v/>
      </c>
    </row>
    <row r="3474" spans="1:7" x14ac:dyDescent="0.25">
      <c r="A3474" t="s">
        <v>8</v>
      </c>
      <c r="B3474" s="1" t="str">
        <f>"000173595 - RICH FOODS VARIETY-ARAMARK"</f>
        <v>000173595 - RICH FOODS VARIETY-ARAMARK</v>
      </c>
      <c r="C3474" t="s">
        <v>439</v>
      </c>
      <c r="D3474" s="1" t="str">
        <f t="shared" si="100"/>
        <v>PRG-1022967</v>
      </c>
      <c r="E3474" t="s">
        <v>82</v>
      </c>
      <c r="F3474" t="s">
        <v>4</v>
      </c>
      <c r="G3474" t="str">
        <f>""</f>
        <v/>
      </c>
    </row>
    <row r="3475" spans="1:7" x14ac:dyDescent="0.25">
      <c r="A3475" t="s">
        <v>8</v>
      </c>
      <c r="B3475" s="1" t="str">
        <f>"000173597 - RICH FOODS VARIETY-ARA SSS"</f>
        <v>000173597 - RICH FOODS VARIETY-ARA SSS</v>
      </c>
      <c r="C3475" t="s">
        <v>452</v>
      </c>
      <c r="D3475" s="1" t="str">
        <f t="shared" si="100"/>
        <v>PRG-1022967</v>
      </c>
      <c r="E3475" t="s">
        <v>82</v>
      </c>
      <c r="F3475" t="s">
        <v>4</v>
      </c>
      <c r="G3475" t="str">
        <f>""</f>
        <v/>
      </c>
    </row>
    <row r="3476" spans="1:7" x14ac:dyDescent="0.25">
      <c r="A3476" t="s">
        <v>8</v>
      </c>
      <c r="B3476" s="1" t="str">
        <f>"000177840 - RICH FOOD-ARAMARK LC"</f>
        <v>000177840 - RICH FOOD-ARAMARK LC</v>
      </c>
      <c r="C3476" t="s">
        <v>457</v>
      </c>
      <c r="D3476" s="1" t="str">
        <f t="shared" si="100"/>
        <v>PRG-1022967</v>
      </c>
      <c r="E3476" t="s">
        <v>82</v>
      </c>
      <c r="F3476" t="s">
        <v>4</v>
      </c>
      <c r="G3476" t="str">
        <f>""</f>
        <v/>
      </c>
    </row>
    <row r="3477" spans="1:7" x14ac:dyDescent="0.25">
      <c r="A3477" t="s">
        <v>8</v>
      </c>
      <c r="B3477" s="1" t="str">
        <f>"000179265 - RICH VARIETY-ARAMARK"</f>
        <v>000179265 - RICH VARIETY-ARAMARK</v>
      </c>
      <c r="C3477" t="s">
        <v>471</v>
      </c>
      <c r="D3477" s="1" t="str">
        <f t="shared" si="100"/>
        <v>PRG-1022967</v>
      </c>
      <c r="E3477" t="s">
        <v>82</v>
      </c>
      <c r="F3477" t="s">
        <v>4</v>
      </c>
      <c r="G3477" t="str">
        <f>""</f>
        <v/>
      </c>
    </row>
    <row r="3478" spans="1:7" x14ac:dyDescent="0.25">
      <c r="A3478" t="s">
        <v>8</v>
      </c>
      <c r="B3478" s="1" t="str">
        <f>"000179279 - RICH VARIETY-ARA SSS"</f>
        <v>000179279 - RICH VARIETY-ARA SSS</v>
      </c>
      <c r="C3478" t="s">
        <v>500</v>
      </c>
      <c r="D3478" s="1" t="str">
        <f t="shared" si="100"/>
        <v>PRG-1022967</v>
      </c>
      <c r="E3478" t="s">
        <v>82</v>
      </c>
      <c r="F3478" t="s">
        <v>4</v>
      </c>
      <c r="G3478" t="str">
        <f>""</f>
        <v/>
      </c>
    </row>
    <row r="3479" spans="1:7" x14ac:dyDescent="0.25">
      <c r="A3479" t="s">
        <v>8</v>
      </c>
      <c r="B3479" s="1" t="str">
        <f>"000182971 - RICH FOODS MAIN-ARAMARK"</f>
        <v>000182971 - RICH FOODS MAIN-ARAMARK</v>
      </c>
      <c r="C3479" t="s">
        <v>494</v>
      </c>
      <c r="D3479" s="1" t="str">
        <f t="shared" si="100"/>
        <v>PRG-1022967</v>
      </c>
      <c r="E3479" t="s">
        <v>82</v>
      </c>
      <c r="F3479" t="s">
        <v>4</v>
      </c>
      <c r="G3479" t="str">
        <f>""</f>
        <v/>
      </c>
    </row>
    <row r="3480" spans="1:7" x14ac:dyDescent="0.25">
      <c r="A3480" t="s">
        <v>8</v>
      </c>
      <c r="B3480" s="1" t="str">
        <f>"000186329 - RICH FOOD-ARAMARK LC"</f>
        <v>000186329 - RICH FOOD-ARAMARK LC</v>
      </c>
      <c r="C3480" t="s">
        <v>457</v>
      </c>
      <c r="D3480" s="1" t="str">
        <f t="shared" si="100"/>
        <v>PRG-1022967</v>
      </c>
      <c r="E3480" t="s">
        <v>82</v>
      </c>
      <c r="F3480" t="s">
        <v>4</v>
      </c>
      <c r="G3480" t="str">
        <f>""</f>
        <v/>
      </c>
    </row>
    <row r="3481" spans="1:7" x14ac:dyDescent="0.25">
      <c r="A3481" t="s">
        <v>8</v>
      </c>
      <c r="B3481" s="1" t="str">
        <f>"000187368 - RICH FDS-ARAMARK MAIN EX K12"</f>
        <v>000187368 - RICH FDS-ARAMARK MAIN EX K12</v>
      </c>
      <c r="C3481" t="s">
        <v>511</v>
      </c>
      <c r="D3481" s="1" t="str">
        <f t="shared" si="100"/>
        <v>PRG-1022967</v>
      </c>
      <c r="E3481" t="s">
        <v>82</v>
      </c>
      <c r="F3481" t="s">
        <v>4</v>
      </c>
      <c r="G3481" t="str">
        <f>""</f>
        <v/>
      </c>
    </row>
    <row r="3482" spans="1:7" x14ac:dyDescent="0.25">
      <c r="A3482" t="s">
        <v>8</v>
      </c>
      <c r="B3482" s="1" t="str">
        <f>"000187387 - (L)RICH FDS(ARA-187368)"</f>
        <v>000187387 - (L)RICH FDS(ARA-187368)</v>
      </c>
      <c r="C3482" t="s">
        <v>1183</v>
      </c>
      <c r="D3482" s="1" t="str">
        <f t="shared" si="100"/>
        <v>PRG-1022967</v>
      </c>
      <c r="E3482" t="s">
        <v>82</v>
      </c>
      <c r="F3482" t="s">
        <v>4</v>
      </c>
      <c r="G3482" t="str">
        <f>""</f>
        <v/>
      </c>
    </row>
    <row r="3483" spans="1:7" x14ac:dyDescent="0.25">
      <c r="A3483" t="s">
        <v>8</v>
      </c>
      <c r="B3483" s="1" t="str">
        <f>"000187466 - RICH VARIETY-ARAMARK"</f>
        <v>000187466 - RICH VARIETY-ARAMARK</v>
      </c>
      <c r="C3483" t="s">
        <v>471</v>
      </c>
      <c r="D3483" s="1" t="str">
        <f t="shared" si="100"/>
        <v>PRG-1022967</v>
      </c>
      <c r="E3483" t="s">
        <v>82</v>
      </c>
      <c r="F3483" t="s">
        <v>4</v>
      </c>
      <c r="G3483" t="str">
        <f>""</f>
        <v/>
      </c>
    </row>
    <row r="3484" spans="1:7" x14ac:dyDescent="0.25">
      <c r="A3484" t="s">
        <v>8</v>
      </c>
      <c r="B3484" s="1" t="str">
        <f>"000187473 - RICH VARIETY-ARA SSS"</f>
        <v>000187473 - RICH VARIETY-ARA SSS</v>
      </c>
      <c r="C3484" t="s">
        <v>500</v>
      </c>
      <c r="D3484" s="1" t="str">
        <f t="shared" si="100"/>
        <v>PRG-1022967</v>
      </c>
      <c r="E3484" t="s">
        <v>82</v>
      </c>
      <c r="F3484" t="s">
        <v>4</v>
      </c>
      <c r="G3484" t="str">
        <f>""</f>
        <v/>
      </c>
    </row>
    <row r="3485" spans="1:7" x14ac:dyDescent="0.25">
      <c r="A3485" t="s">
        <v>8</v>
      </c>
      <c r="B3485" s="1" t="str">
        <f>"000187561 - RICH FDS-ARAMARK MAIN EX K12"</f>
        <v>000187561 - RICH FDS-ARAMARK MAIN EX K12</v>
      </c>
      <c r="C3485" t="s">
        <v>511</v>
      </c>
      <c r="D3485" s="1" t="str">
        <f t="shared" si="100"/>
        <v>PRG-1022967</v>
      </c>
      <c r="E3485" t="s">
        <v>82</v>
      </c>
      <c r="F3485" t="s">
        <v>4</v>
      </c>
      <c r="G3485" t="str">
        <f>""</f>
        <v/>
      </c>
    </row>
    <row r="3486" spans="1:7" x14ac:dyDescent="0.25">
      <c r="A3486" t="s">
        <v>8</v>
      </c>
      <c r="B3486" s="1" t="str">
        <f>"000190871 - RICH FOODS MAIN-ARAMARK"</f>
        <v>000190871 - RICH FOODS MAIN-ARAMARK</v>
      </c>
      <c r="C3486" t="s">
        <v>494</v>
      </c>
      <c r="D3486" s="1" t="str">
        <f t="shared" si="100"/>
        <v>PRG-1022967</v>
      </c>
      <c r="E3486" t="s">
        <v>82</v>
      </c>
      <c r="F3486" t="s">
        <v>4</v>
      </c>
      <c r="G3486" t="str">
        <f>""</f>
        <v/>
      </c>
    </row>
    <row r="3487" spans="1:7" x14ac:dyDescent="0.25">
      <c r="A3487" t="s">
        <v>8</v>
      </c>
      <c r="B3487" s="1" t="str">
        <f>"000193207 - BB ARA SSS FOB RICHS"</f>
        <v>000193207 - BB ARA SSS FOB RICHS</v>
      </c>
      <c r="C3487" t="s">
        <v>1230</v>
      </c>
      <c r="D3487" s="1" t="str">
        <f t="shared" si="100"/>
        <v>PRG-1022967</v>
      </c>
      <c r="E3487" t="s">
        <v>82</v>
      </c>
      <c r="F3487" t="s">
        <v>4</v>
      </c>
      <c r="G3487" t="str">
        <f>""</f>
        <v/>
      </c>
    </row>
    <row r="3488" spans="1:7" x14ac:dyDescent="0.25">
      <c r="A3488" t="s">
        <v>8</v>
      </c>
      <c r="B3488" s="1" t="str">
        <f>"000194670 - RICH FDS-ARAMARK MAIN EX K12"</f>
        <v>000194670 - RICH FDS-ARAMARK MAIN EX K12</v>
      </c>
      <c r="C3488" t="s">
        <v>511</v>
      </c>
      <c r="D3488" s="1" t="str">
        <f t="shared" si="100"/>
        <v>PRG-1022967</v>
      </c>
      <c r="E3488" t="s">
        <v>82</v>
      </c>
      <c r="F3488" t="s">
        <v>4</v>
      </c>
      <c r="G3488" t="str">
        <f>""</f>
        <v/>
      </c>
    </row>
    <row r="3489" spans="1:7" x14ac:dyDescent="0.25">
      <c r="A3489" t="s">
        <v>8</v>
      </c>
      <c r="B3489" s="1" t="str">
        <f>"000197112 - BB ARA FOB RICHS"</f>
        <v>000197112 - BB ARA FOB RICHS</v>
      </c>
      <c r="C3489" t="s">
        <v>1269</v>
      </c>
      <c r="D3489" s="1" t="str">
        <f t="shared" ref="D3489:D3552" si="101">"PRG-1022967"</f>
        <v>PRG-1022967</v>
      </c>
      <c r="E3489" t="s">
        <v>82</v>
      </c>
      <c r="F3489" t="s">
        <v>4</v>
      </c>
      <c r="G3489" t="str">
        <f>""</f>
        <v/>
      </c>
    </row>
    <row r="3490" spans="1:7" x14ac:dyDescent="0.25">
      <c r="A3490" t="s">
        <v>8</v>
      </c>
      <c r="B3490" s="1" t="str">
        <f>"000198332 - RICH'S FDS-MAIN ARAMARK EX-SSS"</f>
        <v>000198332 - RICH'S FDS-MAIN ARAMARK EX-SSS</v>
      </c>
      <c r="C3490" t="s">
        <v>540</v>
      </c>
      <c r="D3490" s="1" t="str">
        <f t="shared" si="101"/>
        <v>PRG-1022967</v>
      </c>
      <c r="E3490" t="s">
        <v>82</v>
      </c>
      <c r="F3490" t="s">
        <v>4</v>
      </c>
      <c r="G3490" t="str">
        <f>""</f>
        <v/>
      </c>
    </row>
    <row r="3491" spans="1:7" x14ac:dyDescent="0.25">
      <c r="A3491" t="s">
        <v>8</v>
      </c>
      <c r="B3491" s="1" t="str">
        <f>"000198333 - RICH'S FDS-SSS ARAMARK"</f>
        <v>000198333 - RICH'S FDS-SSS ARAMARK</v>
      </c>
      <c r="C3491" t="s">
        <v>541</v>
      </c>
      <c r="D3491" s="1" t="str">
        <f t="shared" si="101"/>
        <v>PRG-1022967</v>
      </c>
      <c r="E3491" t="s">
        <v>82</v>
      </c>
      <c r="F3491" t="s">
        <v>4</v>
      </c>
      <c r="G3491" t="str">
        <f>""</f>
        <v/>
      </c>
    </row>
    <row r="3492" spans="1:7" x14ac:dyDescent="0.25">
      <c r="A3492" t="s">
        <v>8</v>
      </c>
      <c r="B3492" s="1" t="str">
        <f>"000198497 - RICH VARIETY-ARAMARK"</f>
        <v>000198497 - RICH VARIETY-ARAMARK</v>
      </c>
      <c r="C3492" t="s">
        <v>471</v>
      </c>
      <c r="D3492" s="1" t="str">
        <f t="shared" si="101"/>
        <v>PRG-1022967</v>
      </c>
      <c r="E3492" t="s">
        <v>82</v>
      </c>
      <c r="F3492" t="s">
        <v>4</v>
      </c>
      <c r="G3492" t="str">
        <f>""</f>
        <v/>
      </c>
    </row>
    <row r="3493" spans="1:7" x14ac:dyDescent="0.25">
      <c r="A3493" t="s">
        <v>8</v>
      </c>
      <c r="B3493" s="1" t="str">
        <f>"000198506 - BB ARA FOB RICHS"</f>
        <v>000198506 - BB ARA FOB RICHS</v>
      </c>
      <c r="C3493" t="s">
        <v>1269</v>
      </c>
      <c r="D3493" s="1" t="str">
        <f t="shared" si="101"/>
        <v>PRG-1022967</v>
      </c>
      <c r="E3493" t="s">
        <v>82</v>
      </c>
      <c r="F3493" t="s">
        <v>4</v>
      </c>
      <c r="G3493" t="str">
        <f>""</f>
        <v/>
      </c>
    </row>
    <row r="3494" spans="1:7" x14ac:dyDescent="0.25">
      <c r="A3494" t="s">
        <v>8</v>
      </c>
      <c r="B3494" s="1" t="str">
        <f>"000198511 - BB ARA SSS FOB RICHS"</f>
        <v>000198511 - BB ARA SSS FOB RICHS</v>
      </c>
      <c r="C3494" t="s">
        <v>1230</v>
      </c>
      <c r="D3494" s="1" t="str">
        <f t="shared" si="101"/>
        <v>PRG-1022967</v>
      </c>
      <c r="E3494" t="s">
        <v>82</v>
      </c>
      <c r="F3494" t="s">
        <v>4</v>
      </c>
      <c r="G3494" t="str">
        <f>""</f>
        <v/>
      </c>
    </row>
    <row r="3495" spans="1:7" x14ac:dyDescent="0.25">
      <c r="A3495" t="s">
        <v>8</v>
      </c>
      <c r="B3495" s="1" t="str">
        <f>"000200023 - RICH FOODS VARIETY-ARAMARK"</f>
        <v>000200023 - RICH FOODS VARIETY-ARAMARK</v>
      </c>
      <c r="C3495" t="s">
        <v>439</v>
      </c>
      <c r="D3495" s="1" t="str">
        <f t="shared" si="101"/>
        <v>PRG-1022967</v>
      </c>
      <c r="E3495" t="s">
        <v>82</v>
      </c>
      <c r="F3495" t="s">
        <v>4</v>
      </c>
      <c r="G3495" t="str">
        <f>""</f>
        <v/>
      </c>
    </row>
    <row r="3496" spans="1:7" x14ac:dyDescent="0.25">
      <c r="A3496" t="s">
        <v>8</v>
      </c>
      <c r="B3496" s="1" t="str">
        <f>"000200842 - RICH FOODS VARIETY-ARA SSS"</f>
        <v>000200842 - RICH FOODS VARIETY-ARA SSS</v>
      </c>
      <c r="C3496" t="s">
        <v>452</v>
      </c>
      <c r="D3496" s="1" t="str">
        <f t="shared" si="101"/>
        <v>PRG-1022967</v>
      </c>
      <c r="E3496" t="s">
        <v>82</v>
      </c>
      <c r="F3496" t="s">
        <v>4</v>
      </c>
      <c r="G3496" t="str">
        <f>""</f>
        <v/>
      </c>
    </row>
    <row r="3497" spans="1:7" x14ac:dyDescent="0.25">
      <c r="A3497" t="s">
        <v>8</v>
      </c>
      <c r="B3497" s="1" t="str">
        <f>"000200882 - RICH FOODS VARIETY-ARAMARK"</f>
        <v>000200882 - RICH FOODS VARIETY-ARAMARK</v>
      </c>
      <c r="C3497" t="s">
        <v>439</v>
      </c>
      <c r="D3497" s="1" t="str">
        <f t="shared" si="101"/>
        <v>PRG-1022967</v>
      </c>
      <c r="E3497" t="s">
        <v>82</v>
      </c>
      <c r="F3497" t="s">
        <v>4</v>
      </c>
      <c r="G3497" t="str">
        <f>""</f>
        <v/>
      </c>
    </row>
    <row r="3498" spans="1:7" x14ac:dyDescent="0.25">
      <c r="A3498" t="s">
        <v>8</v>
      </c>
      <c r="B3498" s="1" t="str">
        <f>"000202435 - BB ARA FOB RICHS"</f>
        <v>000202435 - BB ARA FOB RICHS</v>
      </c>
      <c r="C3498" t="s">
        <v>1269</v>
      </c>
      <c r="D3498" s="1" t="str">
        <f t="shared" si="101"/>
        <v>PRG-1022967</v>
      </c>
      <c r="E3498" t="s">
        <v>82</v>
      </c>
      <c r="F3498" t="s">
        <v>4</v>
      </c>
      <c r="G3498" t="str">
        <f>""</f>
        <v/>
      </c>
    </row>
    <row r="3499" spans="1:7" x14ac:dyDescent="0.25">
      <c r="A3499" t="s">
        <v>8</v>
      </c>
      <c r="B3499" s="1" t="str">
        <f>"000203060 - RICH FOOD-ARAMARK LC"</f>
        <v>000203060 - RICH FOOD-ARAMARK LC</v>
      </c>
      <c r="C3499" t="s">
        <v>457</v>
      </c>
      <c r="D3499" s="1" t="str">
        <f t="shared" si="101"/>
        <v>PRG-1022967</v>
      </c>
      <c r="E3499" t="s">
        <v>82</v>
      </c>
      <c r="F3499" t="s">
        <v>4</v>
      </c>
      <c r="G3499" t="str">
        <f>""</f>
        <v/>
      </c>
    </row>
    <row r="3500" spans="1:7" x14ac:dyDescent="0.25">
      <c r="A3500" t="s">
        <v>8</v>
      </c>
      <c r="B3500" s="1" t="str">
        <f>"000203472 - RICH FOOD-ARAMARK LC"</f>
        <v>000203472 - RICH FOOD-ARAMARK LC</v>
      </c>
      <c r="C3500" t="s">
        <v>457</v>
      </c>
      <c r="D3500" s="1" t="str">
        <f t="shared" si="101"/>
        <v>PRG-1022967</v>
      </c>
      <c r="E3500" t="s">
        <v>82</v>
      </c>
      <c r="F3500" t="s">
        <v>4</v>
      </c>
      <c r="G3500" t="str">
        <f>""</f>
        <v/>
      </c>
    </row>
    <row r="3501" spans="1:7" x14ac:dyDescent="0.25">
      <c r="A3501" t="s">
        <v>8</v>
      </c>
      <c r="B3501" s="1" t="str">
        <f>"000203959 - RICH VARIETY-ARAMARK"</f>
        <v>000203959 - RICH VARIETY-ARAMARK</v>
      </c>
      <c r="C3501" t="s">
        <v>471</v>
      </c>
      <c r="D3501" s="1" t="str">
        <f t="shared" si="101"/>
        <v>PRG-1022967</v>
      </c>
      <c r="E3501" t="s">
        <v>82</v>
      </c>
      <c r="F3501" t="s">
        <v>4</v>
      </c>
      <c r="G3501" t="str">
        <f>""</f>
        <v/>
      </c>
    </row>
    <row r="3502" spans="1:7" x14ac:dyDescent="0.25">
      <c r="A3502" t="s">
        <v>8</v>
      </c>
      <c r="B3502" s="1" t="str">
        <f>"000204317 - RICH VARIETY-ARAMARK"</f>
        <v>000204317 - RICH VARIETY-ARAMARK</v>
      </c>
      <c r="C3502" t="s">
        <v>471</v>
      </c>
      <c r="D3502" s="1" t="str">
        <f t="shared" si="101"/>
        <v>PRG-1022967</v>
      </c>
      <c r="E3502" t="s">
        <v>82</v>
      </c>
      <c r="F3502" t="s">
        <v>4</v>
      </c>
      <c r="G3502" t="str">
        <f>""</f>
        <v/>
      </c>
    </row>
    <row r="3503" spans="1:7" x14ac:dyDescent="0.25">
      <c r="A3503" t="s">
        <v>8</v>
      </c>
      <c r="B3503" s="1" t="str">
        <f>"000204326 - RICH VARIETY-ARA SSS"</f>
        <v>000204326 - RICH VARIETY-ARA SSS</v>
      </c>
      <c r="C3503" t="s">
        <v>500</v>
      </c>
      <c r="D3503" s="1" t="str">
        <f t="shared" si="101"/>
        <v>PRG-1022967</v>
      </c>
      <c r="E3503" t="s">
        <v>82</v>
      </c>
      <c r="F3503" t="s">
        <v>4</v>
      </c>
      <c r="G3503" t="str">
        <f>""</f>
        <v/>
      </c>
    </row>
    <row r="3504" spans="1:7" x14ac:dyDescent="0.25">
      <c r="A3504" t="s">
        <v>8</v>
      </c>
      <c r="B3504" s="1" t="str">
        <f>"000204721 - RICH FOOD-ARAMARK LC"</f>
        <v>000204721 - RICH FOOD-ARAMARK LC</v>
      </c>
      <c r="C3504" t="s">
        <v>457</v>
      </c>
      <c r="D3504" s="1" t="str">
        <f t="shared" si="101"/>
        <v>PRG-1022967</v>
      </c>
      <c r="E3504" t="s">
        <v>82</v>
      </c>
      <c r="F3504" t="s">
        <v>4</v>
      </c>
      <c r="G3504" t="str">
        <f>""</f>
        <v/>
      </c>
    </row>
    <row r="3505" spans="1:7" x14ac:dyDescent="0.25">
      <c r="A3505" t="s">
        <v>8</v>
      </c>
      <c r="B3505" s="1" t="str">
        <f>"000205413 - RICH FOOD-ARAMARK LC"</f>
        <v>000205413 - RICH FOOD-ARAMARK LC</v>
      </c>
      <c r="C3505" t="s">
        <v>457</v>
      </c>
      <c r="D3505" s="1" t="str">
        <f t="shared" si="101"/>
        <v>PRG-1022967</v>
      </c>
      <c r="E3505" t="s">
        <v>82</v>
      </c>
      <c r="F3505" t="s">
        <v>4</v>
      </c>
      <c r="G3505" t="str">
        <f>""</f>
        <v/>
      </c>
    </row>
    <row r="3506" spans="1:7" x14ac:dyDescent="0.25">
      <c r="A3506" t="s">
        <v>8</v>
      </c>
      <c r="B3506" s="1" t="str">
        <f>"000205944 - RICH VARIETY-ARAMARK"</f>
        <v>000205944 - RICH VARIETY-ARAMARK</v>
      </c>
      <c r="C3506" t="s">
        <v>471</v>
      </c>
      <c r="D3506" s="1" t="str">
        <f t="shared" si="101"/>
        <v>PRG-1022967</v>
      </c>
      <c r="E3506" t="s">
        <v>82</v>
      </c>
      <c r="F3506" t="s">
        <v>4</v>
      </c>
      <c r="G3506" t="str">
        <f>""</f>
        <v/>
      </c>
    </row>
    <row r="3507" spans="1:7" x14ac:dyDescent="0.25">
      <c r="A3507" t="s">
        <v>8</v>
      </c>
      <c r="B3507" s="1" t="str">
        <f>"000206488 - RICH FOODS MAIN-ARAMARK"</f>
        <v>000206488 - RICH FOODS MAIN-ARAMARK</v>
      </c>
      <c r="C3507" t="s">
        <v>494</v>
      </c>
      <c r="D3507" s="1" t="str">
        <f t="shared" si="101"/>
        <v>PRG-1022967</v>
      </c>
      <c r="E3507" t="s">
        <v>82</v>
      </c>
      <c r="F3507" t="s">
        <v>4</v>
      </c>
      <c r="G3507" t="str">
        <f>""</f>
        <v/>
      </c>
    </row>
    <row r="3508" spans="1:7" x14ac:dyDescent="0.25">
      <c r="A3508" t="s">
        <v>8</v>
      </c>
      <c r="B3508" s="1" t="str">
        <f>"000206808 - BB ARA MAIN FOB RICHS"</f>
        <v>000206808 - BB ARA MAIN FOB RICHS</v>
      </c>
      <c r="C3508" t="s">
        <v>1374</v>
      </c>
      <c r="D3508" s="1" t="str">
        <f t="shared" si="101"/>
        <v>PRG-1022967</v>
      </c>
      <c r="E3508" t="s">
        <v>82</v>
      </c>
      <c r="F3508" t="s">
        <v>4</v>
      </c>
      <c r="G3508" t="str">
        <f>""</f>
        <v/>
      </c>
    </row>
    <row r="3509" spans="1:7" x14ac:dyDescent="0.25">
      <c r="A3509" t="s">
        <v>8</v>
      </c>
      <c r="B3509" s="1" t="str">
        <f>"000206944 - RICH FOODS MAIN-ARAMARK"</f>
        <v>000206944 - RICH FOODS MAIN-ARAMARK</v>
      </c>
      <c r="C3509" t="s">
        <v>494</v>
      </c>
      <c r="D3509" s="1" t="str">
        <f t="shared" si="101"/>
        <v>PRG-1022967</v>
      </c>
      <c r="E3509" t="s">
        <v>82</v>
      </c>
      <c r="F3509" t="s">
        <v>4</v>
      </c>
      <c r="G3509" t="str">
        <f>""</f>
        <v/>
      </c>
    </row>
    <row r="3510" spans="1:7" x14ac:dyDescent="0.25">
      <c r="A3510" t="s">
        <v>8</v>
      </c>
      <c r="B3510" s="1" t="str">
        <f>"000207472 - RICH FOODS VARIETY-ARAMARK"</f>
        <v>000207472 - RICH FOODS VARIETY-ARAMARK</v>
      </c>
      <c r="C3510" t="s">
        <v>439</v>
      </c>
      <c r="D3510" s="1" t="str">
        <f t="shared" si="101"/>
        <v>PRG-1022967</v>
      </c>
      <c r="E3510" t="s">
        <v>82</v>
      </c>
      <c r="F3510" t="s">
        <v>4</v>
      </c>
      <c r="G3510" t="str">
        <f>""</f>
        <v/>
      </c>
    </row>
    <row r="3511" spans="1:7" x14ac:dyDescent="0.25">
      <c r="A3511" t="s">
        <v>8</v>
      </c>
      <c r="B3511" s="1" t="str">
        <f>"000207838 - RICH FOODS VARIETY-ARAMARK"</f>
        <v>000207838 - RICH FOODS VARIETY-ARAMARK</v>
      </c>
      <c r="C3511" t="s">
        <v>439</v>
      </c>
      <c r="D3511" s="1" t="str">
        <f t="shared" si="101"/>
        <v>PRG-1022967</v>
      </c>
      <c r="E3511" t="s">
        <v>82</v>
      </c>
      <c r="F3511" t="s">
        <v>4</v>
      </c>
      <c r="G3511" t="str">
        <f>""</f>
        <v/>
      </c>
    </row>
    <row r="3512" spans="1:7" x14ac:dyDescent="0.25">
      <c r="A3512" t="s">
        <v>8</v>
      </c>
      <c r="B3512" s="1" t="str">
        <f>"000209657 - RICH FDS-ARAMARK MAIN EX K12"</f>
        <v>000209657 - RICH FDS-ARAMARK MAIN EX K12</v>
      </c>
      <c r="C3512" t="s">
        <v>511</v>
      </c>
      <c r="D3512" s="1" t="str">
        <f t="shared" si="101"/>
        <v>PRG-1022967</v>
      </c>
      <c r="E3512" t="s">
        <v>82</v>
      </c>
      <c r="F3512" t="s">
        <v>4</v>
      </c>
      <c r="G3512" t="str">
        <f>""</f>
        <v/>
      </c>
    </row>
    <row r="3513" spans="1:7" x14ac:dyDescent="0.25">
      <c r="A3513" t="s">
        <v>8</v>
      </c>
      <c r="B3513" s="1" t="str">
        <f>"000209736 - RICH FOODS VARIETY-ARA SSS"</f>
        <v>000209736 - RICH FOODS VARIETY-ARA SSS</v>
      </c>
      <c r="C3513" t="s">
        <v>452</v>
      </c>
      <c r="D3513" s="1" t="str">
        <f t="shared" si="101"/>
        <v>PRG-1022967</v>
      </c>
      <c r="E3513" t="s">
        <v>82</v>
      </c>
      <c r="F3513" t="s">
        <v>4</v>
      </c>
      <c r="G3513" t="str">
        <f>""</f>
        <v/>
      </c>
    </row>
    <row r="3514" spans="1:7" x14ac:dyDescent="0.25">
      <c r="A3514" t="s">
        <v>8</v>
      </c>
      <c r="B3514" s="1" t="str">
        <f>"000210065 - RICH FDS-ARAMARK MAIN EX K12"</f>
        <v>000210065 - RICH FDS-ARAMARK MAIN EX K12</v>
      </c>
      <c r="C3514" t="s">
        <v>511</v>
      </c>
      <c r="D3514" s="1" t="str">
        <f t="shared" si="101"/>
        <v>PRG-1022967</v>
      </c>
      <c r="E3514" t="s">
        <v>82</v>
      </c>
      <c r="F3514" t="s">
        <v>4</v>
      </c>
      <c r="G3514" t="str">
        <f>""</f>
        <v/>
      </c>
    </row>
    <row r="3515" spans="1:7" x14ac:dyDescent="0.25">
      <c r="A3515" t="s">
        <v>8</v>
      </c>
      <c r="B3515" s="1" t="str">
        <f>"000210517 - RICH FOODS VARIETY-ARAMARK"</f>
        <v>000210517 - RICH FOODS VARIETY-ARAMARK</v>
      </c>
      <c r="C3515" t="s">
        <v>439</v>
      </c>
      <c r="D3515" s="1" t="str">
        <f t="shared" si="101"/>
        <v>PRG-1022967</v>
      </c>
      <c r="E3515" t="s">
        <v>82</v>
      </c>
      <c r="F3515" t="s">
        <v>4</v>
      </c>
      <c r="G3515" t="str">
        <f>""</f>
        <v/>
      </c>
    </row>
    <row r="3516" spans="1:7" x14ac:dyDescent="0.25">
      <c r="A3516" t="s">
        <v>8</v>
      </c>
      <c r="B3516" s="1" t="str">
        <f>"000210661 - RICH FOOD-ARAMARK(210652)"</f>
        <v>000210661 - RICH FOOD-ARAMARK(210652)</v>
      </c>
      <c r="C3516" t="s">
        <v>1434</v>
      </c>
      <c r="D3516" s="1" t="str">
        <f t="shared" si="101"/>
        <v>PRG-1022967</v>
      </c>
      <c r="E3516" t="s">
        <v>82</v>
      </c>
      <c r="F3516" t="s">
        <v>4</v>
      </c>
      <c r="G3516" t="str">
        <f>""</f>
        <v/>
      </c>
    </row>
    <row r="3517" spans="1:7" x14ac:dyDescent="0.25">
      <c r="A3517" t="s">
        <v>8</v>
      </c>
      <c r="B3517" s="1" t="str">
        <f>"000210973 - RICH FOODS MAIN-ARAMARK"</f>
        <v>000210973 - RICH FOODS MAIN-ARAMARK</v>
      </c>
      <c r="C3517" t="s">
        <v>494</v>
      </c>
      <c r="D3517" s="1" t="str">
        <f t="shared" si="101"/>
        <v>PRG-1022967</v>
      </c>
      <c r="E3517" t="s">
        <v>82</v>
      </c>
      <c r="F3517" t="s">
        <v>4</v>
      </c>
      <c r="G3517" t="str">
        <f>""</f>
        <v/>
      </c>
    </row>
    <row r="3518" spans="1:7" x14ac:dyDescent="0.25">
      <c r="A3518" t="s">
        <v>8</v>
      </c>
      <c r="B3518" s="1" t="str">
        <f>"000211276 - RICH FOODS VARIETY-ARAMARK"</f>
        <v>000211276 - RICH FOODS VARIETY-ARAMARK</v>
      </c>
      <c r="C3518" t="s">
        <v>439</v>
      </c>
      <c r="D3518" s="1" t="str">
        <f t="shared" si="101"/>
        <v>PRG-1022967</v>
      </c>
      <c r="E3518" t="s">
        <v>82</v>
      </c>
      <c r="F3518" t="s">
        <v>4</v>
      </c>
      <c r="G3518" t="str">
        <f>""</f>
        <v/>
      </c>
    </row>
    <row r="3519" spans="1:7" x14ac:dyDescent="0.25">
      <c r="A3519" t="s">
        <v>8</v>
      </c>
      <c r="B3519" s="1" t="str">
        <f>"000211388 - RICH FOOD-ARAMARK LC"</f>
        <v>000211388 - RICH FOOD-ARAMARK LC</v>
      </c>
      <c r="C3519" t="s">
        <v>457</v>
      </c>
      <c r="D3519" s="1" t="str">
        <f t="shared" si="101"/>
        <v>PRG-1022967</v>
      </c>
      <c r="E3519" t="s">
        <v>82</v>
      </c>
      <c r="F3519" t="s">
        <v>4</v>
      </c>
      <c r="G3519" t="str">
        <f>""</f>
        <v/>
      </c>
    </row>
    <row r="3520" spans="1:7" x14ac:dyDescent="0.25">
      <c r="A3520" t="s">
        <v>8</v>
      </c>
      <c r="B3520" s="1" t="str">
        <f>"000211865 - RICH VARIETY-ARAMARK(211788)"</f>
        <v>000211865 - RICH VARIETY-ARAMARK(211788)</v>
      </c>
      <c r="C3520" t="s">
        <v>1458</v>
      </c>
      <c r="D3520" s="1" t="str">
        <f t="shared" si="101"/>
        <v>PRG-1022967</v>
      </c>
      <c r="E3520" t="s">
        <v>82</v>
      </c>
      <c r="F3520" t="s">
        <v>4</v>
      </c>
      <c r="G3520" t="str">
        <f>""</f>
        <v/>
      </c>
    </row>
    <row r="3521" spans="1:7" x14ac:dyDescent="0.25">
      <c r="A3521" t="s">
        <v>8</v>
      </c>
      <c r="B3521" s="1" t="str">
        <f>"000212642 - RICH VARIETY-ARAMARK"</f>
        <v>000212642 - RICH VARIETY-ARAMARK</v>
      </c>
      <c r="C3521" t="s">
        <v>471</v>
      </c>
      <c r="D3521" s="1" t="str">
        <f t="shared" si="101"/>
        <v>PRG-1022967</v>
      </c>
      <c r="E3521" t="s">
        <v>82</v>
      </c>
      <c r="F3521" t="s">
        <v>4</v>
      </c>
      <c r="G3521" t="str">
        <f>""</f>
        <v/>
      </c>
    </row>
    <row r="3522" spans="1:7" x14ac:dyDescent="0.25">
      <c r="A3522" t="s">
        <v>8</v>
      </c>
      <c r="B3522" s="1" t="str">
        <f>"000212681 - RICH'S FDS-MAIN ARAMARK EX-SSS"</f>
        <v>000212681 - RICH'S FDS-MAIN ARAMARK EX-SSS</v>
      </c>
      <c r="C3522" t="s">
        <v>540</v>
      </c>
      <c r="D3522" s="1" t="str">
        <f t="shared" si="101"/>
        <v>PRG-1022967</v>
      </c>
      <c r="E3522" t="s">
        <v>82</v>
      </c>
      <c r="F3522" t="s">
        <v>4</v>
      </c>
      <c r="G3522" t="str">
        <f>""</f>
        <v/>
      </c>
    </row>
    <row r="3523" spans="1:7" x14ac:dyDescent="0.25">
      <c r="A3523" t="s">
        <v>8</v>
      </c>
      <c r="B3523" s="1" t="str">
        <f>"000213237 - RICH FOODS VARIETY-ARAMARK"</f>
        <v>000213237 - RICH FOODS VARIETY-ARAMARK</v>
      </c>
      <c r="C3523" t="s">
        <v>439</v>
      </c>
      <c r="D3523" s="1" t="str">
        <f t="shared" si="101"/>
        <v>PRG-1022967</v>
      </c>
      <c r="E3523" t="s">
        <v>82</v>
      </c>
      <c r="F3523" t="s">
        <v>4</v>
      </c>
      <c r="G3523" t="str">
        <f>""</f>
        <v/>
      </c>
    </row>
    <row r="3524" spans="1:7" x14ac:dyDescent="0.25">
      <c r="A3524" t="s">
        <v>8</v>
      </c>
      <c r="B3524" s="1" t="str">
        <f>"000213325 - RICH FOODS VARIETY-ARAMARK"</f>
        <v>000213325 - RICH FOODS VARIETY-ARAMARK</v>
      </c>
      <c r="C3524" t="s">
        <v>439</v>
      </c>
      <c r="D3524" s="1" t="str">
        <f t="shared" si="101"/>
        <v>PRG-1022967</v>
      </c>
      <c r="E3524" t="s">
        <v>82</v>
      </c>
      <c r="F3524" t="s">
        <v>4</v>
      </c>
      <c r="G3524" t="str">
        <f>""</f>
        <v/>
      </c>
    </row>
    <row r="3525" spans="1:7" x14ac:dyDescent="0.25">
      <c r="A3525" t="s">
        <v>8</v>
      </c>
      <c r="B3525" s="1" t="str">
        <f>"000213718 - RICH FOOD-ARAMARK LC"</f>
        <v>000213718 - RICH FOOD-ARAMARK LC</v>
      </c>
      <c r="C3525" t="s">
        <v>457</v>
      </c>
      <c r="D3525" s="1" t="str">
        <f t="shared" si="101"/>
        <v>PRG-1022967</v>
      </c>
      <c r="E3525" t="s">
        <v>82</v>
      </c>
      <c r="F3525" t="s">
        <v>4</v>
      </c>
      <c r="G3525" t="str">
        <f>""</f>
        <v/>
      </c>
    </row>
    <row r="3526" spans="1:7" x14ac:dyDescent="0.25">
      <c r="A3526" t="s">
        <v>8</v>
      </c>
      <c r="B3526" s="1" t="str">
        <f>"000213778 - RICH FDS-ARAMARK MAIN EX K12"</f>
        <v>000213778 - RICH FDS-ARAMARK MAIN EX K12</v>
      </c>
      <c r="C3526" t="s">
        <v>511</v>
      </c>
      <c r="D3526" s="1" t="str">
        <f t="shared" si="101"/>
        <v>PRG-1022967</v>
      </c>
      <c r="E3526" t="s">
        <v>82</v>
      </c>
      <c r="F3526" t="s">
        <v>4</v>
      </c>
      <c r="G3526" t="str">
        <f>""</f>
        <v/>
      </c>
    </row>
    <row r="3527" spans="1:7" x14ac:dyDescent="0.25">
      <c r="A3527" t="s">
        <v>8</v>
      </c>
      <c r="B3527" s="1" t="str">
        <f>"000214532 - RICH FOOD-ARAMARK LC"</f>
        <v>000214532 - RICH FOOD-ARAMARK LC</v>
      </c>
      <c r="C3527" t="s">
        <v>457</v>
      </c>
      <c r="D3527" s="1" t="str">
        <f t="shared" si="101"/>
        <v>PRG-1022967</v>
      </c>
      <c r="E3527" t="s">
        <v>82</v>
      </c>
      <c r="F3527" t="s">
        <v>4</v>
      </c>
      <c r="G3527" t="str">
        <f>""</f>
        <v/>
      </c>
    </row>
    <row r="3528" spans="1:7" x14ac:dyDescent="0.25">
      <c r="A3528" t="s">
        <v>8</v>
      </c>
      <c r="B3528" s="1" t="str">
        <f>"000214790 - RICH VARIETY-ARAMARK"</f>
        <v>000214790 - RICH VARIETY-ARAMARK</v>
      </c>
      <c r="C3528" t="s">
        <v>471</v>
      </c>
      <c r="D3528" s="1" t="str">
        <f t="shared" si="101"/>
        <v>PRG-1022967</v>
      </c>
      <c r="E3528" t="s">
        <v>82</v>
      </c>
      <c r="F3528" t="s">
        <v>4</v>
      </c>
      <c r="G3528" t="str">
        <f>""</f>
        <v/>
      </c>
    </row>
    <row r="3529" spans="1:7" x14ac:dyDescent="0.25">
      <c r="A3529" t="s">
        <v>8</v>
      </c>
      <c r="B3529" s="1" t="str">
        <f>"000215056 - RICH FOODS MAIN-ARAMARK(214796"</f>
        <v>000215056 - RICH FOODS MAIN-ARAMARK(214796</v>
      </c>
      <c r="C3529" t="s">
        <v>1517</v>
      </c>
      <c r="D3529" s="1" t="str">
        <f t="shared" si="101"/>
        <v>PRG-1022967</v>
      </c>
      <c r="E3529" t="s">
        <v>82</v>
      </c>
      <c r="F3529" t="s">
        <v>4</v>
      </c>
      <c r="G3529" t="str">
        <f>""</f>
        <v/>
      </c>
    </row>
    <row r="3530" spans="1:7" x14ac:dyDescent="0.25">
      <c r="A3530" t="s">
        <v>8</v>
      </c>
      <c r="B3530" s="1" t="str">
        <f>"000215450 - RICH FOOD-ARAMARK LC"</f>
        <v>000215450 - RICH FOOD-ARAMARK LC</v>
      </c>
      <c r="C3530" t="s">
        <v>457</v>
      </c>
      <c r="D3530" s="1" t="str">
        <f t="shared" si="101"/>
        <v>PRG-1022967</v>
      </c>
      <c r="E3530" t="s">
        <v>82</v>
      </c>
      <c r="F3530" t="s">
        <v>4</v>
      </c>
      <c r="G3530" t="str">
        <f>""</f>
        <v/>
      </c>
    </row>
    <row r="3531" spans="1:7" x14ac:dyDescent="0.25">
      <c r="A3531" t="s">
        <v>8</v>
      </c>
      <c r="B3531" s="1" t="str">
        <f>"000215650 - RICH VARIETY-ARAMARK"</f>
        <v>000215650 - RICH VARIETY-ARAMARK</v>
      </c>
      <c r="C3531" t="s">
        <v>471</v>
      </c>
      <c r="D3531" s="1" t="str">
        <f t="shared" si="101"/>
        <v>PRG-1022967</v>
      </c>
      <c r="E3531" t="s">
        <v>82</v>
      </c>
      <c r="F3531" t="s">
        <v>4</v>
      </c>
      <c r="G3531" t="str">
        <f>""</f>
        <v/>
      </c>
    </row>
    <row r="3532" spans="1:7" x14ac:dyDescent="0.25">
      <c r="A3532" t="s">
        <v>8</v>
      </c>
      <c r="B3532" s="1" t="str">
        <f>"000215930 - RICH FDS-ARAMARK MAIN EX K12"</f>
        <v>000215930 - RICH FDS-ARAMARK MAIN EX K12</v>
      </c>
      <c r="C3532" t="s">
        <v>511</v>
      </c>
      <c r="D3532" s="1" t="str">
        <f t="shared" si="101"/>
        <v>PRG-1022967</v>
      </c>
      <c r="E3532" t="s">
        <v>82</v>
      </c>
      <c r="F3532" t="s">
        <v>4</v>
      </c>
      <c r="G3532" t="str">
        <f>""</f>
        <v/>
      </c>
    </row>
    <row r="3533" spans="1:7" x14ac:dyDescent="0.25">
      <c r="A3533" t="s">
        <v>8</v>
      </c>
      <c r="B3533" s="1" t="str">
        <f>"000215935 - RICH FOODS MAIN-ARAMARK"</f>
        <v>000215935 - RICH FOODS MAIN-ARAMARK</v>
      </c>
      <c r="C3533" t="s">
        <v>494</v>
      </c>
      <c r="D3533" s="1" t="str">
        <f t="shared" si="101"/>
        <v>PRG-1022967</v>
      </c>
      <c r="E3533" t="s">
        <v>82</v>
      </c>
      <c r="F3533" t="s">
        <v>4</v>
      </c>
      <c r="G3533" t="str">
        <f>""</f>
        <v/>
      </c>
    </row>
    <row r="3534" spans="1:7" x14ac:dyDescent="0.25">
      <c r="A3534" t="s">
        <v>8</v>
      </c>
      <c r="B3534" s="1" t="str">
        <f>"000216282 - RICH FOOD-ARAMARK LC"</f>
        <v>000216282 - RICH FOOD-ARAMARK LC</v>
      </c>
      <c r="C3534" t="s">
        <v>457</v>
      </c>
      <c r="D3534" s="1" t="str">
        <f t="shared" si="101"/>
        <v>PRG-1022967</v>
      </c>
      <c r="E3534" t="s">
        <v>82</v>
      </c>
      <c r="F3534" t="s">
        <v>4</v>
      </c>
      <c r="G3534" t="str">
        <f>""</f>
        <v/>
      </c>
    </row>
    <row r="3535" spans="1:7" x14ac:dyDescent="0.25">
      <c r="A3535" t="s">
        <v>8</v>
      </c>
      <c r="B3535" s="1" t="str">
        <f>"000216478 - RICH FOOD-ARAMARK LC"</f>
        <v>000216478 - RICH FOOD-ARAMARK LC</v>
      </c>
      <c r="C3535" t="s">
        <v>457</v>
      </c>
      <c r="D3535" s="1" t="str">
        <f t="shared" si="101"/>
        <v>PRG-1022967</v>
      </c>
      <c r="E3535" t="s">
        <v>82</v>
      </c>
      <c r="F3535" t="s">
        <v>4</v>
      </c>
      <c r="G3535" t="str">
        <f>""</f>
        <v/>
      </c>
    </row>
    <row r="3536" spans="1:7" x14ac:dyDescent="0.25">
      <c r="A3536" t="s">
        <v>8</v>
      </c>
      <c r="B3536" s="1" t="str">
        <f>"000216900 - RICH FOOD-ARAMARK LC"</f>
        <v>000216900 - RICH FOOD-ARAMARK LC</v>
      </c>
      <c r="C3536" t="s">
        <v>457</v>
      </c>
      <c r="D3536" s="1" t="str">
        <f t="shared" si="101"/>
        <v>PRG-1022967</v>
      </c>
      <c r="E3536" t="s">
        <v>82</v>
      </c>
      <c r="F3536" t="s">
        <v>4</v>
      </c>
      <c r="G3536" t="str">
        <f>""</f>
        <v/>
      </c>
    </row>
    <row r="3537" spans="1:7" x14ac:dyDescent="0.25">
      <c r="A3537" t="s">
        <v>8</v>
      </c>
      <c r="B3537" s="1" t="str">
        <f>"000216962 - RICH VARIETY-ARAMARK"</f>
        <v>000216962 - RICH VARIETY-ARAMARK</v>
      </c>
      <c r="C3537" t="s">
        <v>471</v>
      </c>
      <c r="D3537" s="1" t="str">
        <f t="shared" si="101"/>
        <v>PRG-1022967</v>
      </c>
      <c r="E3537" t="s">
        <v>82</v>
      </c>
      <c r="F3537" t="s">
        <v>4</v>
      </c>
      <c r="G3537" t="str">
        <f>""</f>
        <v/>
      </c>
    </row>
    <row r="3538" spans="1:7" x14ac:dyDescent="0.25">
      <c r="A3538" t="s">
        <v>8</v>
      </c>
      <c r="B3538" s="1" t="str">
        <f>"000217456 - RICH FOODS MAIN-ARAMARK"</f>
        <v>000217456 - RICH FOODS MAIN-ARAMARK</v>
      </c>
      <c r="C3538" t="s">
        <v>494</v>
      </c>
      <c r="D3538" s="1" t="str">
        <f t="shared" si="101"/>
        <v>PRG-1022967</v>
      </c>
      <c r="E3538" t="s">
        <v>82</v>
      </c>
      <c r="F3538" t="s">
        <v>4</v>
      </c>
      <c r="G3538" t="str">
        <f>""</f>
        <v/>
      </c>
    </row>
    <row r="3539" spans="1:7" x14ac:dyDescent="0.25">
      <c r="A3539" t="s">
        <v>8</v>
      </c>
      <c r="B3539" s="1" t="str">
        <f>"000217714 - RICH VARIETY-ARAMARK"</f>
        <v>000217714 - RICH VARIETY-ARAMARK</v>
      </c>
      <c r="C3539" t="s">
        <v>471</v>
      </c>
      <c r="D3539" s="1" t="str">
        <f t="shared" si="101"/>
        <v>PRG-1022967</v>
      </c>
      <c r="E3539" t="s">
        <v>82</v>
      </c>
      <c r="F3539" t="s">
        <v>4</v>
      </c>
      <c r="G3539" t="str">
        <f>""</f>
        <v/>
      </c>
    </row>
    <row r="3540" spans="1:7" x14ac:dyDescent="0.25">
      <c r="A3540" t="s">
        <v>8</v>
      </c>
      <c r="B3540" s="1" t="str">
        <f>"000217763 - RICH'S FDS-MAIN ARAMARK EX-SSS"</f>
        <v>000217763 - RICH'S FDS-MAIN ARAMARK EX-SSS</v>
      </c>
      <c r="C3540" t="s">
        <v>540</v>
      </c>
      <c r="D3540" s="1" t="str">
        <f t="shared" si="101"/>
        <v>PRG-1022967</v>
      </c>
      <c r="E3540" t="s">
        <v>82</v>
      </c>
      <c r="F3540" t="s">
        <v>4</v>
      </c>
      <c r="G3540" t="str">
        <f>""</f>
        <v/>
      </c>
    </row>
    <row r="3541" spans="1:7" x14ac:dyDescent="0.25">
      <c r="A3541" t="s">
        <v>8</v>
      </c>
      <c r="B3541" s="1" t="str">
        <f>"000218116 - RICH FOODS VARIETY-ARA SSS"</f>
        <v>000218116 - RICH FOODS VARIETY-ARA SSS</v>
      </c>
      <c r="C3541" t="s">
        <v>452</v>
      </c>
      <c r="D3541" s="1" t="str">
        <f t="shared" si="101"/>
        <v>PRG-1022967</v>
      </c>
      <c r="E3541" t="s">
        <v>82</v>
      </c>
      <c r="F3541" t="s">
        <v>4</v>
      </c>
      <c r="G3541" t="str">
        <f>""</f>
        <v/>
      </c>
    </row>
    <row r="3542" spans="1:7" x14ac:dyDescent="0.25">
      <c r="A3542" t="s">
        <v>8</v>
      </c>
      <c r="B3542" s="1" t="str">
        <f>"000218185 - RICH VARIETY-ARAMARK"</f>
        <v>000218185 - RICH VARIETY-ARAMARK</v>
      </c>
      <c r="C3542" t="s">
        <v>471</v>
      </c>
      <c r="D3542" s="1" t="str">
        <f t="shared" si="101"/>
        <v>PRG-1022967</v>
      </c>
      <c r="E3542" t="s">
        <v>82</v>
      </c>
      <c r="F3542" t="s">
        <v>4</v>
      </c>
      <c r="G3542" t="str">
        <f>""</f>
        <v/>
      </c>
    </row>
    <row r="3543" spans="1:7" x14ac:dyDescent="0.25">
      <c r="A3543" t="s">
        <v>8</v>
      </c>
      <c r="B3543" s="1" t="str">
        <f>"000218390 - RICH VARIETY-ARAMARK"</f>
        <v>000218390 - RICH VARIETY-ARAMARK</v>
      </c>
      <c r="C3543" t="s">
        <v>471</v>
      </c>
      <c r="D3543" s="1" t="str">
        <f t="shared" si="101"/>
        <v>PRG-1022967</v>
      </c>
      <c r="E3543" t="s">
        <v>82</v>
      </c>
      <c r="F3543" t="s">
        <v>4</v>
      </c>
      <c r="G3543" t="str">
        <f>""</f>
        <v/>
      </c>
    </row>
    <row r="3544" spans="1:7" x14ac:dyDescent="0.25">
      <c r="A3544" t="s">
        <v>8</v>
      </c>
      <c r="B3544" s="1" t="str">
        <f>"000218753 - RICH FDS-ARAMARK MAIN EX K12"</f>
        <v>000218753 - RICH FDS-ARAMARK MAIN EX K12</v>
      </c>
      <c r="C3544" t="s">
        <v>511</v>
      </c>
      <c r="D3544" s="1" t="str">
        <f t="shared" si="101"/>
        <v>PRG-1022967</v>
      </c>
      <c r="E3544" t="s">
        <v>82</v>
      </c>
      <c r="F3544" t="s">
        <v>4</v>
      </c>
      <c r="G3544" t="str">
        <f>""</f>
        <v/>
      </c>
    </row>
    <row r="3545" spans="1:7" x14ac:dyDescent="0.25">
      <c r="A3545" t="s">
        <v>8</v>
      </c>
      <c r="B3545" s="1" t="str">
        <f>"000219807 - RICH FDS-ARAMARK MAIN EX K12"</f>
        <v>000219807 - RICH FDS-ARAMARK MAIN EX K12</v>
      </c>
      <c r="C3545" t="s">
        <v>511</v>
      </c>
      <c r="D3545" s="1" t="str">
        <f t="shared" si="101"/>
        <v>PRG-1022967</v>
      </c>
      <c r="E3545" t="s">
        <v>82</v>
      </c>
      <c r="F3545" t="s">
        <v>4</v>
      </c>
      <c r="G3545" t="str">
        <f>""</f>
        <v/>
      </c>
    </row>
    <row r="3546" spans="1:7" x14ac:dyDescent="0.25">
      <c r="A3546" t="s">
        <v>8</v>
      </c>
      <c r="B3546" s="1" t="str">
        <f>"000220358 - RICH FOODS-ARAMARK UVA RETRO"</f>
        <v>000220358 - RICH FOODS-ARAMARK UVA RETRO</v>
      </c>
      <c r="C3546" t="s">
        <v>1583</v>
      </c>
      <c r="D3546" s="1" t="str">
        <f t="shared" si="101"/>
        <v>PRG-1022967</v>
      </c>
      <c r="E3546" t="s">
        <v>82</v>
      </c>
      <c r="F3546" t="s">
        <v>4</v>
      </c>
      <c r="G3546" t="str">
        <f>""</f>
        <v/>
      </c>
    </row>
    <row r="3547" spans="1:7" x14ac:dyDescent="0.25">
      <c r="A3547" t="s">
        <v>8</v>
      </c>
      <c r="B3547" s="1" t="str">
        <f>"000220928 - RICH FDS-ARAMARK MAIN EX K12"</f>
        <v>000220928 - RICH FDS-ARAMARK MAIN EX K12</v>
      </c>
      <c r="C3547" t="s">
        <v>511</v>
      </c>
      <c r="D3547" s="1" t="str">
        <f t="shared" si="101"/>
        <v>PRG-1022967</v>
      </c>
      <c r="E3547" t="s">
        <v>82</v>
      </c>
      <c r="F3547" t="s">
        <v>4</v>
      </c>
      <c r="G3547" t="str">
        <f>""</f>
        <v/>
      </c>
    </row>
    <row r="3548" spans="1:7" x14ac:dyDescent="0.25">
      <c r="A3548" t="s">
        <v>8</v>
      </c>
      <c r="B3548" s="1" t="str">
        <f>"000221007 - RICH FOODS MAIN-ARAMARK"</f>
        <v>000221007 - RICH FOODS MAIN-ARAMARK</v>
      </c>
      <c r="C3548" t="s">
        <v>494</v>
      </c>
      <c r="D3548" s="1" t="str">
        <f t="shared" si="101"/>
        <v>PRG-1022967</v>
      </c>
      <c r="E3548" t="s">
        <v>82</v>
      </c>
      <c r="F3548" t="s">
        <v>4</v>
      </c>
      <c r="G3548" t="str">
        <f>""</f>
        <v/>
      </c>
    </row>
    <row r="3549" spans="1:7" x14ac:dyDescent="0.25">
      <c r="A3549" t="s">
        <v>8</v>
      </c>
      <c r="B3549" s="1" t="str">
        <f>"000221165 - RICH FOODS MAIN-ARAMARK"</f>
        <v>000221165 - RICH FOODS MAIN-ARAMARK</v>
      </c>
      <c r="C3549" t="s">
        <v>494</v>
      </c>
      <c r="D3549" s="1" t="str">
        <f t="shared" si="101"/>
        <v>PRG-1022967</v>
      </c>
      <c r="E3549" t="s">
        <v>82</v>
      </c>
      <c r="F3549" t="s">
        <v>4</v>
      </c>
      <c r="G3549" t="str">
        <f>""</f>
        <v/>
      </c>
    </row>
    <row r="3550" spans="1:7" x14ac:dyDescent="0.25">
      <c r="A3550" t="s">
        <v>8</v>
      </c>
      <c r="B3550" s="1" t="str">
        <f>"000221451 - RICH FOODS MAIN-ARAMARK"</f>
        <v>000221451 - RICH FOODS MAIN-ARAMARK</v>
      </c>
      <c r="C3550" t="s">
        <v>494</v>
      </c>
      <c r="D3550" s="1" t="str">
        <f t="shared" si="101"/>
        <v>PRG-1022967</v>
      </c>
      <c r="E3550" t="s">
        <v>82</v>
      </c>
      <c r="F3550" t="s">
        <v>4</v>
      </c>
      <c r="G3550" t="str">
        <f>""</f>
        <v/>
      </c>
    </row>
    <row r="3551" spans="1:7" x14ac:dyDescent="0.25">
      <c r="A3551" t="s">
        <v>8</v>
      </c>
      <c r="B3551" s="1" t="str">
        <f>"000221713 - RICH FOOD-ARAMARK LC"</f>
        <v>000221713 - RICH FOOD-ARAMARK LC</v>
      </c>
      <c r="C3551" t="s">
        <v>457</v>
      </c>
      <c r="D3551" s="1" t="str">
        <f t="shared" si="101"/>
        <v>PRG-1022967</v>
      </c>
      <c r="E3551" t="s">
        <v>82</v>
      </c>
      <c r="F3551" t="s">
        <v>4</v>
      </c>
      <c r="G3551" t="str">
        <f>""</f>
        <v/>
      </c>
    </row>
    <row r="3552" spans="1:7" x14ac:dyDescent="0.25">
      <c r="A3552" t="s">
        <v>8</v>
      </c>
      <c r="B3552" s="1" t="str">
        <f>"000221905 - RICH FDS-ARAMARK MAIN EX K12"</f>
        <v>000221905 - RICH FDS-ARAMARK MAIN EX K12</v>
      </c>
      <c r="C3552" t="s">
        <v>511</v>
      </c>
      <c r="D3552" s="1" t="str">
        <f t="shared" si="101"/>
        <v>PRG-1022967</v>
      </c>
      <c r="E3552" t="s">
        <v>82</v>
      </c>
      <c r="F3552" t="s">
        <v>4</v>
      </c>
      <c r="G3552" t="str">
        <f>""</f>
        <v/>
      </c>
    </row>
    <row r="3553" spans="1:7" x14ac:dyDescent="0.25">
      <c r="A3553" t="s">
        <v>8</v>
      </c>
      <c r="B3553" s="1" t="str">
        <f>"000222954 - RICH VARIETY-ARA SSS"</f>
        <v>000222954 - RICH VARIETY-ARA SSS</v>
      </c>
      <c r="C3553" t="s">
        <v>500</v>
      </c>
      <c r="D3553" s="1" t="str">
        <f t="shared" ref="D3553:D3616" si="102">"PRG-1022967"</f>
        <v>PRG-1022967</v>
      </c>
      <c r="E3553" t="s">
        <v>82</v>
      </c>
      <c r="F3553" t="s">
        <v>4</v>
      </c>
      <c r="G3553" t="str">
        <f>""</f>
        <v/>
      </c>
    </row>
    <row r="3554" spans="1:7" x14ac:dyDescent="0.25">
      <c r="A3554" t="s">
        <v>8</v>
      </c>
      <c r="B3554" s="1" t="str">
        <f>"000222965 - RICH FOODS VARIETY-ARAMARK"</f>
        <v>000222965 - RICH FOODS VARIETY-ARAMARK</v>
      </c>
      <c r="C3554" t="s">
        <v>439</v>
      </c>
      <c r="D3554" s="1" t="str">
        <f t="shared" si="102"/>
        <v>PRG-1022967</v>
      </c>
      <c r="E3554" t="s">
        <v>82</v>
      </c>
      <c r="F3554" t="s">
        <v>4</v>
      </c>
      <c r="G3554" t="str">
        <f>""</f>
        <v/>
      </c>
    </row>
    <row r="3555" spans="1:7" x14ac:dyDescent="0.25">
      <c r="A3555" t="s">
        <v>8</v>
      </c>
      <c r="B3555" s="1" t="str">
        <f>"000223520 - RICH FOODS MAIN-ARAMARK"</f>
        <v>000223520 - RICH FOODS MAIN-ARAMARK</v>
      </c>
      <c r="C3555" t="s">
        <v>494</v>
      </c>
      <c r="D3555" s="1" t="str">
        <f t="shared" si="102"/>
        <v>PRG-1022967</v>
      </c>
      <c r="E3555" t="s">
        <v>82</v>
      </c>
      <c r="F3555" t="s">
        <v>4</v>
      </c>
      <c r="G3555" t="str">
        <f>""</f>
        <v/>
      </c>
    </row>
    <row r="3556" spans="1:7" x14ac:dyDescent="0.25">
      <c r="A3556" t="s">
        <v>8</v>
      </c>
      <c r="B3556" s="1" t="str">
        <f>"000223664 - RICH FOODS VARIETY-ARAMARK"</f>
        <v>000223664 - RICH FOODS VARIETY-ARAMARK</v>
      </c>
      <c r="C3556" t="s">
        <v>439</v>
      </c>
      <c r="D3556" s="1" t="str">
        <f t="shared" si="102"/>
        <v>PRG-1022967</v>
      </c>
      <c r="E3556" t="s">
        <v>82</v>
      </c>
      <c r="F3556" t="s">
        <v>4</v>
      </c>
      <c r="G3556" t="str">
        <f>""</f>
        <v/>
      </c>
    </row>
    <row r="3557" spans="1:7" x14ac:dyDescent="0.25">
      <c r="A3557" t="s">
        <v>8</v>
      </c>
      <c r="B3557" s="1" t="str">
        <f>"000224775 - RICH FDS-ARAMARK MAIN EX K12"</f>
        <v>000224775 - RICH FDS-ARAMARK MAIN EX K12</v>
      </c>
      <c r="C3557" t="s">
        <v>511</v>
      </c>
      <c r="D3557" s="1" t="str">
        <f t="shared" si="102"/>
        <v>PRG-1022967</v>
      </c>
      <c r="E3557" t="s">
        <v>82</v>
      </c>
      <c r="F3557" t="s">
        <v>4</v>
      </c>
      <c r="G3557" t="str">
        <f>""</f>
        <v/>
      </c>
    </row>
    <row r="3558" spans="1:7" x14ac:dyDescent="0.25">
      <c r="A3558" t="s">
        <v>8</v>
      </c>
      <c r="B3558" s="1" t="str">
        <f>"000225022 - RICH'S FDS-MAIN ARAMARK EX-SSS"</f>
        <v>000225022 - RICH'S FDS-MAIN ARAMARK EX-SSS</v>
      </c>
      <c r="C3558" t="s">
        <v>540</v>
      </c>
      <c r="D3558" s="1" t="str">
        <f t="shared" si="102"/>
        <v>PRG-1022967</v>
      </c>
      <c r="E3558" t="s">
        <v>82</v>
      </c>
      <c r="F3558" t="s">
        <v>4</v>
      </c>
      <c r="G3558" t="str">
        <f>""</f>
        <v/>
      </c>
    </row>
    <row r="3559" spans="1:7" x14ac:dyDescent="0.25">
      <c r="A3559" t="s">
        <v>8</v>
      </c>
      <c r="B3559" s="1" t="str">
        <f>"000225314 - RICH FOODS VARIETY-ARAMARK"</f>
        <v>000225314 - RICH FOODS VARIETY-ARAMARK</v>
      </c>
      <c r="C3559" t="s">
        <v>439</v>
      </c>
      <c r="D3559" s="1" t="str">
        <f t="shared" si="102"/>
        <v>PRG-1022967</v>
      </c>
      <c r="E3559" t="s">
        <v>82</v>
      </c>
      <c r="F3559" t="s">
        <v>4</v>
      </c>
      <c r="G3559" t="str">
        <f>""</f>
        <v/>
      </c>
    </row>
    <row r="3560" spans="1:7" x14ac:dyDescent="0.25">
      <c r="A3560" t="s">
        <v>8</v>
      </c>
      <c r="B3560" s="1" t="str">
        <f>"000225406 - RICH FDS-ARAMARK MAIN EX K12"</f>
        <v>000225406 - RICH FDS-ARAMARK MAIN EX K12</v>
      </c>
      <c r="C3560" t="s">
        <v>511</v>
      </c>
      <c r="D3560" s="1" t="str">
        <f t="shared" si="102"/>
        <v>PRG-1022967</v>
      </c>
      <c r="E3560" t="s">
        <v>82</v>
      </c>
      <c r="F3560" t="s">
        <v>4</v>
      </c>
      <c r="G3560" t="str">
        <f>""</f>
        <v/>
      </c>
    </row>
    <row r="3561" spans="1:7" x14ac:dyDescent="0.25">
      <c r="A3561" t="s">
        <v>8</v>
      </c>
      <c r="B3561" s="1" t="str">
        <f>"000225888 - RICH FOODS VARIETY-ARAMARK"</f>
        <v>000225888 - RICH FOODS VARIETY-ARAMARK</v>
      </c>
      <c r="C3561" t="s">
        <v>439</v>
      </c>
      <c r="D3561" s="1" t="str">
        <f t="shared" si="102"/>
        <v>PRG-1022967</v>
      </c>
      <c r="E3561" t="s">
        <v>82</v>
      </c>
      <c r="F3561" t="s">
        <v>4</v>
      </c>
      <c r="G3561" t="str">
        <f>""</f>
        <v/>
      </c>
    </row>
    <row r="3562" spans="1:7" x14ac:dyDescent="0.25">
      <c r="A3562" t="s">
        <v>8</v>
      </c>
      <c r="B3562" s="1" t="str">
        <f>"000226245 - RICH FOODS MAIN-ARAMARK"</f>
        <v>000226245 - RICH FOODS MAIN-ARAMARK</v>
      </c>
      <c r="C3562" t="s">
        <v>494</v>
      </c>
      <c r="D3562" s="1" t="str">
        <f t="shared" si="102"/>
        <v>PRG-1022967</v>
      </c>
      <c r="E3562" t="s">
        <v>82</v>
      </c>
      <c r="F3562" t="s">
        <v>4</v>
      </c>
      <c r="G3562" t="str">
        <f>""</f>
        <v/>
      </c>
    </row>
    <row r="3563" spans="1:7" x14ac:dyDescent="0.25">
      <c r="A3563" t="s">
        <v>8</v>
      </c>
      <c r="B3563" s="1" t="str">
        <f>"000226442 - RICH FOOD-ARAMARK LC"</f>
        <v>000226442 - RICH FOOD-ARAMARK LC</v>
      </c>
      <c r="C3563" t="s">
        <v>457</v>
      </c>
      <c r="D3563" s="1" t="str">
        <f t="shared" si="102"/>
        <v>PRG-1022967</v>
      </c>
      <c r="E3563" t="s">
        <v>82</v>
      </c>
      <c r="F3563" t="s">
        <v>4</v>
      </c>
      <c r="G3563" t="str">
        <f>""</f>
        <v/>
      </c>
    </row>
    <row r="3564" spans="1:7" x14ac:dyDescent="0.25">
      <c r="A3564" t="s">
        <v>8</v>
      </c>
      <c r="B3564" s="1" t="str">
        <f>"000227673 - RICH VARIETY-ARAMARK"</f>
        <v>000227673 - RICH VARIETY-ARAMARK</v>
      </c>
      <c r="C3564" t="s">
        <v>471</v>
      </c>
      <c r="D3564" s="1" t="str">
        <f t="shared" si="102"/>
        <v>PRG-1022967</v>
      </c>
      <c r="E3564" t="s">
        <v>82</v>
      </c>
      <c r="F3564" t="s">
        <v>4</v>
      </c>
      <c r="G3564" t="str">
        <f>""</f>
        <v/>
      </c>
    </row>
    <row r="3565" spans="1:7" x14ac:dyDescent="0.25">
      <c r="A3565" t="s">
        <v>8</v>
      </c>
      <c r="B3565" s="1" t="str">
        <f>"000228409 - RICH'S FDS-MAIN ARAMARK EX-SSS"</f>
        <v>000228409 - RICH'S FDS-MAIN ARAMARK EX-SSS</v>
      </c>
      <c r="C3565" t="s">
        <v>540</v>
      </c>
      <c r="D3565" s="1" t="str">
        <f t="shared" si="102"/>
        <v>PRG-1022967</v>
      </c>
      <c r="E3565" t="s">
        <v>82</v>
      </c>
      <c r="F3565" t="s">
        <v>4</v>
      </c>
      <c r="G3565" t="str">
        <f>""</f>
        <v/>
      </c>
    </row>
    <row r="3566" spans="1:7" x14ac:dyDescent="0.25">
      <c r="A3566" t="s">
        <v>8</v>
      </c>
      <c r="B3566" s="1" t="str">
        <f>"000228474 - RICH VARIETY-ARAMARK"</f>
        <v>000228474 - RICH VARIETY-ARAMARK</v>
      </c>
      <c r="C3566" t="s">
        <v>471</v>
      </c>
      <c r="D3566" s="1" t="str">
        <f t="shared" si="102"/>
        <v>PRG-1022967</v>
      </c>
      <c r="E3566" t="s">
        <v>82</v>
      </c>
      <c r="F3566" t="s">
        <v>4</v>
      </c>
      <c r="G3566" t="str">
        <f>""</f>
        <v/>
      </c>
    </row>
    <row r="3567" spans="1:7" x14ac:dyDescent="0.25">
      <c r="A3567" t="s">
        <v>8</v>
      </c>
      <c r="B3567" s="1" t="str">
        <f>"000228526 - RICH FOOD-ARAMARK LC"</f>
        <v>000228526 - RICH FOOD-ARAMARK LC</v>
      </c>
      <c r="C3567" t="s">
        <v>457</v>
      </c>
      <c r="D3567" s="1" t="str">
        <f t="shared" si="102"/>
        <v>PRG-1022967</v>
      </c>
      <c r="E3567" t="s">
        <v>82</v>
      </c>
      <c r="F3567" t="s">
        <v>4</v>
      </c>
      <c r="G3567" t="str">
        <f>""</f>
        <v/>
      </c>
    </row>
    <row r="3568" spans="1:7" x14ac:dyDescent="0.25">
      <c r="A3568" t="s">
        <v>8</v>
      </c>
      <c r="B3568" s="1" t="str">
        <f>"000229167 - RICH FOOD-ARAMARK LC"</f>
        <v>000229167 - RICH FOOD-ARAMARK LC</v>
      </c>
      <c r="C3568" t="s">
        <v>457</v>
      </c>
      <c r="D3568" s="1" t="str">
        <f t="shared" si="102"/>
        <v>PRG-1022967</v>
      </c>
      <c r="E3568" t="s">
        <v>82</v>
      </c>
      <c r="F3568" t="s">
        <v>4</v>
      </c>
      <c r="G3568" t="str">
        <f>""</f>
        <v/>
      </c>
    </row>
    <row r="3569" spans="1:7" x14ac:dyDescent="0.25">
      <c r="A3569" t="s">
        <v>8</v>
      </c>
      <c r="B3569" s="1" t="str">
        <f>"000229676 - RICH FDS-ARAMARK MAIN EX K12"</f>
        <v>000229676 - RICH FDS-ARAMARK MAIN EX K12</v>
      </c>
      <c r="C3569" t="s">
        <v>511</v>
      </c>
      <c r="D3569" s="1" t="str">
        <f t="shared" si="102"/>
        <v>PRG-1022967</v>
      </c>
      <c r="E3569" t="s">
        <v>82</v>
      </c>
      <c r="F3569" t="s">
        <v>4</v>
      </c>
      <c r="G3569" t="str">
        <f>""</f>
        <v/>
      </c>
    </row>
    <row r="3570" spans="1:7" x14ac:dyDescent="0.25">
      <c r="A3570" t="s">
        <v>8</v>
      </c>
      <c r="B3570" s="1" t="str">
        <f>"000229947 - RICH FOOD-ARAMARK LC"</f>
        <v>000229947 - RICH FOOD-ARAMARK LC</v>
      </c>
      <c r="C3570" t="s">
        <v>457</v>
      </c>
      <c r="D3570" s="1" t="str">
        <f t="shared" si="102"/>
        <v>PRG-1022967</v>
      </c>
      <c r="E3570" t="s">
        <v>82</v>
      </c>
      <c r="F3570" t="s">
        <v>4</v>
      </c>
      <c r="G3570" t="str">
        <f>""</f>
        <v/>
      </c>
    </row>
    <row r="3571" spans="1:7" x14ac:dyDescent="0.25">
      <c r="A3571" t="s">
        <v>8</v>
      </c>
      <c r="B3571" s="1" t="str">
        <f>"000230046 - RICH VARIETY-ARAMARK"</f>
        <v>000230046 - RICH VARIETY-ARAMARK</v>
      </c>
      <c r="C3571" t="s">
        <v>471</v>
      </c>
      <c r="D3571" s="1" t="str">
        <f t="shared" si="102"/>
        <v>PRG-1022967</v>
      </c>
      <c r="E3571" t="s">
        <v>82</v>
      </c>
      <c r="F3571" t="s">
        <v>4</v>
      </c>
      <c r="G3571" t="str">
        <f>""</f>
        <v/>
      </c>
    </row>
    <row r="3572" spans="1:7" x14ac:dyDescent="0.25">
      <c r="A3572" t="s">
        <v>8</v>
      </c>
      <c r="B3572" s="1" t="str">
        <f>"000230282 - RICH FDS-ARAMARK MAIN EX K12"</f>
        <v>000230282 - RICH FDS-ARAMARK MAIN EX K12</v>
      </c>
      <c r="C3572" t="s">
        <v>511</v>
      </c>
      <c r="D3572" s="1" t="str">
        <f t="shared" si="102"/>
        <v>PRG-1022967</v>
      </c>
      <c r="E3572" t="s">
        <v>82</v>
      </c>
      <c r="F3572" t="s">
        <v>4</v>
      </c>
      <c r="G3572" t="str">
        <f>""</f>
        <v/>
      </c>
    </row>
    <row r="3573" spans="1:7" x14ac:dyDescent="0.25">
      <c r="A3573" t="s">
        <v>8</v>
      </c>
      <c r="B3573" s="1" t="str">
        <f>"000230552 - RICH VARIETY-ARAMARK"</f>
        <v>000230552 - RICH VARIETY-ARAMARK</v>
      </c>
      <c r="C3573" t="s">
        <v>471</v>
      </c>
      <c r="D3573" s="1" t="str">
        <f t="shared" si="102"/>
        <v>PRG-1022967</v>
      </c>
      <c r="E3573" t="s">
        <v>82</v>
      </c>
      <c r="F3573" t="s">
        <v>4</v>
      </c>
      <c r="G3573" t="str">
        <f>""</f>
        <v/>
      </c>
    </row>
    <row r="3574" spans="1:7" x14ac:dyDescent="0.25">
      <c r="A3574" t="s">
        <v>8</v>
      </c>
      <c r="B3574" s="1" t="str">
        <f>"000230558 - RICH FOODS VARIETY-ARAMARK"</f>
        <v>000230558 - RICH FOODS VARIETY-ARAMARK</v>
      </c>
      <c r="C3574" t="s">
        <v>439</v>
      </c>
      <c r="D3574" s="1" t="str">
        <f t="shared" si="102"/>
        <v>PRG-1022967</v>
      </c>
      <c r="E3574" t="s">
        <v>82</v>
      </c>
      <c r="F3574" t="s">
        <v>4</v>
      </c>
      <c r="G3574" t="str">
        <f>""</f>
        <v/>
      </c>
    </row>
    <row r="3575" spans="1:7" x14ac:dyDescent="0.25">
      <c r="A3575" t="s">
        <v>8</v>
      </c>
      <c r="B3575" s="1" t="str">
        <f>"000230834 - RICH FOODS MAIN-ARAMARK"</f>
        <v>000230834 - RICH FOODS MAIN-ARAMARK</v>
      </c>
      <c r="C3575" t="s">
        <v>494</v>
      </c>
      <c r="D3575" s="1" t="str">
        <f t="shared" si="102"/>
        <v>PRG-1022967</v>
      </c>
      <c r="E3575" t="s">
        <v>82</v>
      </c>
      <c r="F3575" t="s">
        <v>4</v>
      </c>
      <c r="G3575" t="str">
        <f>""</f>
        <v/>
      </c>
    </row>
    <row r="3576" spans="1:7" x14ac:dyDescent="0.25">
      <c r="A3576" t="s">
        <v>8</v>
      </c>
      <c r="B3576" s="1" t="str">
        <f>"000230971 - RICH FOODS VARIETY-ARAMARK"</f>
        <v>000230971 - RICH FOODS VARIETY-ARAMARK</v>
      </c>
      <c r="C3576" t="s">
        <v>439</v>
      </c>
      <c r="D3576" s="1" t="str">
        <f t="shared" si="102"/>
        <v>PRG-1022967</v>
      </c>
      <c r="E3576" t="s">
        <v>82</v>
      </c>
      <c r="F3576" t="s">
        <v>4</v>
      </c>
      <c r="G3576" t="str">
        <f>""</f>
        <v/>
      </c>
    </row>
    <row r="3577" spans="1:7" x14ac:dyDescent="0.25">
      <c r="A3577" t="s">
        <v>8</v>
      </c>
      <c r="B3577" s="1" t="str">
        <f>"000231107 - RICH VARIETY-ARAMARK"</f>
        <v>000231107 - RICH VARIETY-ARAMARK</v>
      </c>
      <c r="C3577" t="s">
        <v>471</v>
      </c>
      <c r="D3577" s="1" t="str">
        <f t="shared" si="102"/>
        <v>PRG-1022967</v>
      </c>
      <c r="E3577" t="s">
        <v>82</v>
      </c>
      <c r="F3577" t="s">
        <v>4</v>
      </c>
      <c r="G3577" t="str">
        <f>""</f>
        <v/>
      </c>
    </row>
    <row r="3578" spans="1:7" x14ac:dyDescent="0.25">
      <c r="A3578" t="s">
        <v>8</v>
      </c>
      <c r="B3578" s="1" t="str">
        <f>"000232114 - RICH FOODS VARIETY-ARA SSS"</f>
        <v>000232114 - RICH FOODS VARIETY-ARA SSS</v>
      </c>
      <c r="C3578" t="s">
        <v>452</v>
      </c>
      <c r="D3578" s="1" t="str">
        <f t="shared" si="102"/>
        <v>PRG-1022967</v>
      </c>
      <c r="E3578" t="s">
        <v>82</v>
      </c>
      <c r="F3578" t="s">
        <v>4</v>
      </c>
      <c r="G3578" t="str">
        <f>""</f>
        <v/>
      </c>
    </row>
    <row r="3579" spans="1:7" x14ac:dyDescent="0.25">
      <c r="A3579" t="s">
        <v>8</v>
      </c>
      <c r="B3579" s="1" t="str">
        <f>"000232166 - RICH FOODS MAIN-ARAMARK"</f>
        <v>000232166 - RICH FOODS MAIN-ARAMARK</v>
      </c>
      <c r="C3579" t="s">
        <v>494</v>
      </c>
      <c r="D3579" s="1" t="str">
        <f t="shared" si="102"/>
        <v>PRG-1022967</v>
      </c>
      <c r="E3579" t="s">
        <v>82</v>
      </c>
      <c r="F3579" t="s">
        <v>4</v>
      </c>
      <c r="G3579" t="str">
        <f>""</f>
        <v/>
      </c>
    </row>
    <row r="3580" spans="1:7" x14ac:dyDescent="0.25">
      <c r="A3580" t="s">
        <v>8</v>
      </c>
      <c r="B3580" s="1" t="str">
        <f>"000232177 - RICH FOODS VARIETY-ARAMARK"</f>
        <v>000232177 - RICH FOODS VARIETY-ARAMARK</v>
      </c>
      <c r="C3580" t="s">
        <v>439</v>
      </c>
      <c r="D3580" s="1" t="str">
        <f t="shared" si="102"/>
        <v>PRG-1022967</v>
      </c>
      <c r="E3580" t="s">
        <v>82</v>
      </c>
      <c r="F3580" t="s">
        <v>4</v>
      </c>
      <c r="G3580" t="str">
        <f>""</f>
        <v/>
      </c>
    </row>
    <row r="3581" spans="1:7" x14ac:dyDescent="0.25">
      <c r="A3581" t="s">
        <v>8</v>
      </c>
      <c r="B3581" s="1" t="str">
        <f>"000232179 - RICH FOODS VARIETY-ARA SSS"</f>
        <v>000232179 - RICH FOODS VARIETY-ARA SSS</v>
      </c>
      <c r="C3581" t="s">
        <v>452</v>
      </c>
      <c r="D3581" s="1" t="str">
        <f t="shared" si="102"/>
        <v>PRG-1022967</v>
      </c>
      <c r="E3581" t="s">
        <v>82</v>
      </c>
      <c r="F3581" t="s">
        <v>4</v>
      </c>
      <c r="G3581" t="str">
        <f>""</f>
        <v/>
      </c>
    </row>
    <row r="3582" spans="1:7" x14ac:dyDescent="0.25">
      <c r="A3582" t="s">
        <v>8</v>
      </c>
      <c r="B3582" s="1" t="str">
        <f>"000233805 - RICH FOODS MAIN-ARAMARK"</f>
        <v>000233805 - RICH FOODS MAIN-ARAMARK</v>
      </c>
      <c r="C3582" t="s">
        <v>494</v>
      </c>
      <c r="D3582" s="1" t="str">
        <f t="shared" si="102"/>
        <v>PRG-1022967</v>
      </c>
      <c r="E3582" t="s">
        <v>82</v>
      </c>
      <c r="F3582" t="s">
        <v>4</v>
      </c>
      <c r="G3582" t="str">
        <f>""</f>
        <v/>
      </c>
    </row>
    <row r="3583" spans="1:7" x14ac:dyDescent="0.25">
      <c r="A3583" t="s">
        <v>8</v>
      </c>
      <c r="B3583" s="1" t="str">
        <f>"000234591 - RICH FOOD-ARAMARK LC"</f>
        <v>000234591 - RICH FOOD-ARAMARK LC</v>
      </c>
      <c r="C3583" t="s">
        <v>457</v>
      </c>
      <c r="D3583" s="1" t="str">
        <f t="shared" si="102"/>
        <v>PRG-1022967</v>
      </c>
      <c r="E3583" t="s">
        <v>82</v>
      </c>
      <c r="F3583" t="s">
        <v>4</v>
      </c>
      <c r="G3583" t="str">
        <f>""</f>
        <v/>
      </c>
    </row>
    <row r="3584" spans="1:7" x14ac:dyDescent="0.25">
      <c r="A3584" t="s">
        <v>8</v>
      </c>
      <c r="B3584" s="1" t="str">
        <f>"000234594 - RICH FOOD-ARAMARK LC"</f>
        <v>000234594 - RICH FOOD-ARAMARK LC</v>
      </c>
      <c r="C3584" t="s">
        <v>457</v>
      </c>
      <c r="D3584" s="1" t="str">
        <f t="shared" si="102"/>
        <v>PRG-1022967</v>
      </c>
      <c r="E3584" t="s">
        <v>82</v>
      </c>
      <c r="F3584" t="s">
        <v>4</v>
      </c>
      <c r="G3584" t="str">
        <f>""</f>
        <v/>
      </c>
    </row>
    <row r="3585" spans="1:7" x14ac:dyDescent="0.25">
      <c r="A3585" t="s">
        <v>8</v>
      </c>
      <c r="B3585" s="1" t="str">
        <f>"000234994 - RICH FDS-ARAMARK MAIN EX K12"</f>
        <v>000234994 - RICH FDS-ARAMARK MAIN EX K12</v>
      </c>
      <c r="C3585" t="s">
        <v>511</v>
      </c>
      <c r="D3585" s="1" t="str">
        <f t="shared" si="102"/>
        <v>PRG-1022967</v>
      </c>
      <c r="E3585" t="s">
        <v>82</v>
      </c>
      <c r="F3585" t="s">
        <v>4</v>
      </c>
      <c r="G3585" t="str">
        <f>""</f>
        <v/>
      </c>
    </row>
    <row r="3586" spans="1:7" x14ac:dyDescent="0.25">
      <c r="A3586" t="s">
        <v>8</v>
      </c>
      <c r="B3586" s="1" t="str">
        <f>"000235325 - RICH FOOD-ARAMARK LC"</f>
        <v>000235325 - RICH FOOD-ARAMARK LC</v>
      </c>
      <c r="C3586" t="s">
        <v>457</v>
      </c>
      <c r="D3586" s="1" t="str">
        <f t="shared" si="102"/>
        <v>PRG-1022967</v>
      </c>
      <c r="E3586" t="s">
        <v>82</v>
      </c>
      <c r="F3586" t="s">
        <v>4</v>
      </c>
      <c r="G3586" t="str">
        <f>""</f>
        <v/>
      </c>
    </row>
    <row r="3587" spans="1:7" x14ac:dyDescent="0.25">
      <c r="A3587" t="s">
        <v>8</v>
      </c>
      <c r="B3587" s="1" t="str">
        <f>"000235720 - RICH FOOD-ARAMARK LC"</f>
        <v>000235720 - RICH FOOD-ARAMARK LC</v>
      </c>
      <c r="C3587" t="s">
        <v>457</v>
      </c>
      <c r="D3587" s="1" t="str">
        <f t="shared" si="102"/>
        <v>PRG-1022967</v>
      </c>
      <c r="E3587" t="s">
        <v>82</v>
      </c>
      <c r="F3587" t="s">
        <v>4</v>
      </c>
      <c r="G3587" t="str">
        <f>""</f>
        <v/>
      </c>
    </row>
    <row r="3588" spans="1:7" x14ac:dyDescent="0.25">
      <c r="A3588" t="s">
        <v>8</v>
      </c>
      <c r="B3588" s="1" t="str">
        <f>"000235785 - RICH VARIETY-ARAMARK"</f>
        <v>000235785 - RICH VARIETY-ARAMARK</v>
      </c>
      <c r="C3588" t="s">
        <v>471</v>
      </c>
      <c r="D3588" s="1" t="str">
        <f t="shared" si="102"/>
        <v>PRG-1022967</v>
      </c>
      <c r="E3588" t="s">
        <v>82</v>
      </c>
      <c r="F3588" t="s">
        <v>4</v>
      </c>
      <c r="G3588" t="str">
        <f>""</f>
        <v/>
      </c>
    </row>
    <row r="3589" spans="1:7" x14ac:dyDescent="0.25">
      <c r="A3589" t="s">
        <v>8</v>
      </c>
      <c r="B3589" s="1" t="str">
        <f>"000236679 - RICH FDS-ARAMARK MAIN EX K12"</f>
        <v>000236679 - RICH FDS-ARAMARK MAIN EX K12</v>
      </c>
      <c r="C3589" t="s">
        <v>511</v>
      </c>
      <c r="D3589" s="1" t="str">
        <f t="shared" si="102"/>
        <v>PRG-1022967</v>
      </c>
      <c r="E3589" t="s">
        <v>82</v>
      </c>
      <c r="F3589" t="s">
        <v>4</v>
      </c>
      <c r="G3589" t="str">
        <f>""</f>
        <v/>
      </c>
    </row>
    <row r="3590" spans="1:7" x14ac:dyDescent="0.25">
      <c r="A3590" t="s">
        <v>8</v>
      </c>
      <c r="B3590" s="1" t="str">
        <f>"000236689 - RICH FOOD-ARAMARK LC"</f>
        <v>000236689 - RICH FOOD-ARAMARK LC</v>
      </c>
      <c r="C3590" t="s">
        <v>457</v>
      </c>
      <c r="D3590" s="1" t="str">
        <f t="shared" si="102"/>
        <v>PRG-1022967</v>
      </c>
      <c r="E3590" t="s">
        <v>82</v>
      </c>
      <c r="F3590" t="s">
        <v>4</v>
      </c>
      <c r="G3590" t="str">
        <f>""</f>
        <v/>
      </c>
    </row>
    <row r="3591" spans="1:7" x14ac:dyDescent="0.25">
      <c r="A3591" t="s">
        <v>8</v>
      </c>
      <c r="B3591" s="1" t="str">
        <f>"000236790 - RICH VARIETY-ARAMARK"</f>
        <v>000236790 - RICH VARIETY-ARAMARK</v>
      </c>
      <c r="C3591" t="s">
        <v>471</v>
      </c>
      <c r="D3591" s="1" t="str">
        <f t="shared" si="102"/>
        <v>PRG-1022967</v>
      </c>
      <c r="E3591" t="s">
        <v>82</v>
      </c>
      <c r="F3591" t="s">
        <v>4</v>
      </c>
      <c r="G3591" t="str">
        <f>""</f>
        <v/>
      </c>
    </row>
    <row r="3592" spans="1:7" x14ac:dyDescent="0.25">
      <c r="A3592" t="s">
        <v>8</v>
      </c>
      <c r="B3592" s="1" t="str">
        <f>"000236928 - RICH VARIETY-ARAMARK"</f>
        <v>000236928 - RICH VARIETY-ARAMARK</v>
      </c>
      <c r="C3592" t="s">
        <v>471</v>
      </c>
      <c r="D3592" s="1" t="str">
        <f t="shared" si="102"/>
        <v>PRG-1022967</v>
      </c>
      <c r="E3592" t="s">
        <v>82</v>
      </c>
      <c r="F3592" t="s">
        <v>4</v>
      </c>
      <c r="G3592" t="str">
        <f>""</f>
        <v/>
      </c>
    </row>
    <row r="3593" spans="1:7" x14ac:dyDescent="0.25">
      <c r="A3593" t="s">
        <v>8</v>
      </c>
      <c r="B3593" s="1" t="str">
        <f>"000237697 - RICH FDS-ARAMARK MAIN EX K12"</f>
        <v>000237697 - RICH FDS-ARAMARK MAIN EX K12</v>
      </c>
      <c r="C3593" t="s">
        <v>511</v>
      </c>
      <c r="D3593" s="1" t="str">
        <f t="shared" si="102"/>
        <v>PRG-1022967</v>
      </c>
      <c r="E3593" t="s">
        <v>82</v>
      </c>
      <c r="F3593" t="s">
        <v>4</v>
      </c>
      <c r="G3593" t="str">
        <f>""</f>
        <v/>
      </c>
    </row>
    <row r="3594" spans="1:7" x14ac:dyDescent="0.25">
      <c r="A3594" t="s">
        <v>8</v>
      </c>
      <c r="B3594" s="1" t="str">
        <f>"000237959 - RICH VARIETY-ARAMARK"</f>
        <v>000237959 - RICH VARIETY-ARAMARK</v>
      </c>
      <c r="C3594" t="s">
        <v>471</v>
      </c>
      <c r="D3594" s="1" t="str">
        <f t="shared" si="102"/>
        <v>PRG-1022967</v>
      </c>
      <c r="E3594" t="s">
        <v>82</v>
      </c>
      <c r="F3594" t="s">
        <v>4</v>
      </c>
      <c r="G3594" t="str">
        <f>""</f>
        <v/>
      </c>
    </row>
    <row r="3595" spans="1:7" x14ac:dyDescent="0.25">
      <c r="A3595" t="s">
        <v>8</v>
      </c>
      <c r="B3595" s="1" t="str">
        <f>"000237969 - RICH VARIETY-ARA SSS"</f>
        <v>000237969 - RICH VARIETY-ARA SSS</v>
      </c>
      <c r="C3595" t="s">
        <v>500</v>
      </c>
      <c r="D3595" s="1" t="str">
        <f t="shared" si="102"/>
        <v>PRG-1022967</v>
      </c>
      <c r="E3595" t="s">
        <v>82</v>
      </c>
      <c r="F3595" t="s">
        <v>4</v>
      </c>
      <c r="G3595" t="str">
        <f>""</f>
        <v/>
      </c>
    </row>
    <row r="3596" spans="1:7" x14ac:dyDescent="0.25">
      <c r="A3596" t="s">
        <v>8</v>
      </c>
      <c r="B3596" s="1" t="str">
        <f>"000238818 - RICH FDS-ARAMARK MAIN EX K12"</f>
        <v>000238818 - RICH FDS-ARAMARK MAIN EX K12</v>
      </c>
      <c r="C3596" t="s">
        <v>511</v>
      </c>
      <c r="D3596" s="1" t="str">
        <f t="shared" si="102"/>
        <v>PRG-1022967</v>
      </c>
      <c r="E3596" t="s">
        <v>82</v>
      </c>
      <c r="F3596" t="s">
        <v>4</v>
      </c>
      <c r="G3596" t="str">
        <f>""</f>
        <v/>
      </c>
    </row>
    <row r="3597" spans="1:7" x14ac:dyDescent="0.25">
      <c r="A3597" t="s">
        <v>8</v>
      </c>
      <c r="B3597" s="1" t="str">
        <f>"000239138 - RICH FOODS MAIN-ARAMARK"</f>
        <v>000239138 - RICH FOODS MAIN-ARAMARK</v>
      </c>
      <c r="C3597" t="s">
        <v>494</v>
      </c>
      <c r="D3597" s="1" t="str">
        <f t="shared" si="102"/>
        <v>PRG-1022967</v>
      </c>
      <c r="E3597" t="s">
        <v>82</v>
      </c>
      <c r="F3597" t="s">
        <v>4</v>
      </c>
      <c r="G3597" t="str">
        <f>""</f>
        <v/>
      </c>
    </row>
    <row r="3598" spans="1:7" x14ac:dyDescent="0.25">
      <c r="A3598" t="s">
        <v>8</v>
      </c>
      <c r="B3598" s="1" t="str">
        <f>"000239428 - RICH FDS-ARAMARK MAIN EX K12"</f>
        <v>000239428 - RICH FDS-ARAMARK MAIN EX K12</v>
      </c>
      <c r="C3598" t="s">
        <v>511</v>
      </c>
      <c r="D3598" s="1" t="str">
        <f t="shared" si="102"/>
        <v>PRG-1022967</v>
      </c>
      <c r="E3598" t="s">
        <v>82</v>
      </c>
      <c r="F3598" t="s">
        <v>4</v>
      </c>
      <c r="G3598" t="str">
        <f>""</f>
        <v/>
      </c>
    </row>
    <row r="3599" spans="1:7" x14ac:dyDescent="0.25">
      <c r="A3599" t="s">
        <v>8</v>
      </c>
      <c r="B3599" s="1" t="str">
        <f>"000239813 - RICH FOODS VARIETY-ARAMARK"</f>
        <v>000239813 - RICH FOODS VARIETY-ARAMARK</v>
      </c>
      <c r="C3599" t="s">
        <v>439</v>
      </c>
      <c r="D3599" s="1" t="str">
        <f t="shared" si="102"/>
        <v>PRG-1022967</v>
      </c>
      <c r="E3599" t="s">
        <v>82</v>
      </c>
      <c r="F3599" t="s">
        <v>4</v>
      </c>
      <c r="G3599" t="str">
        <f>""</f>
        <v/>
      </c>
    </row>
    <row r="3600" spans="1:7" x14ac:dyDescent="0.25">
      <c r="A3600" t="s">
        <v>8</v>
      </c>
      <c r="B3600" s="1" t="str">
        <f>"000239973 - RICH FOODS MAIN-ARAMARK"</f>
        <v>000239973 - RICH FOODS MAIN-ARAMARK</v>
      </c>
      <c r="C3600" t="s">
        <v>494</v>
      </c>
      <c r="D3600" s="1" t="str">
        <f t="shared" si="102"/>
        <v>PRG-1022967</v>
      </c>
      <c r="E3600" t="s">
        <v>82</v>
      </c>
      <c r="F3600" t="s">
        <v>4</v>
      </c>
      <c r="G3600" t="str">
        <f>""</f>
        <v/>
      </c>
    </row>
    <row r="3601" spans="1:7" x14ac:dyDescent="0.25">
      <c r="A3601" t="s">
        <v>8</v>
      </c>
      <c r="B3601" s="1" t="str">
        <f>"000240181 - RICH FOODS MAIN-ARAMARK"</f>
        <v>000240181 - RICH FOODS MAIN-ARAMARK</v>
      </c>
      <c r="C3601" t="s">
        <v>494</v>
      </c>
      <c r="D3601" s="1" t="str">
        <f t="shared" si="102"/>
        <v>PRG-1022967</v>
      </c>
      <c r="E3601" t="s">
        <v>82</v>
      </c>
      <c r="F3601" t="s">
        <v>4</v>
      </c>
      <c r="G3601" t="str">
        <f>""</f>
        <v/>
      </c>
    </row>
    <row r="3602" spans="1:7" x14ac:dyDescent="0.25">
      <c r="A3602" t="s">
        <v>8</v>
      </c>
      <c r="B3602" s="1" t="str">
        <f>"000240240 - RICH FOODS MAIN-ARAMARK"</f>
        <v>000240240 - RICH FOODS MAIN-ARAMARK</v>
      </c>
      <c r="C3602" t="s">
        <v>494</v>
      </c>
      <c r="D3602" s="1" t="str">
        <f t="shared" si="102"/>
        <v>PRG-1022967</v>
      </c>
      <c r="E3602" t="s">
        <v>82</v>
      </c>
      <c r="F3602" t="s">
        <v>4</v>
      </c>
      <c r="G3602" t="str">
        <f>""</f>
        <v/>
      </c>
    </row>
    <row r="3603" spans="1:7" x14ac:dyDescent="0.25">
      <c r="A3603" t="s">
        <v>8</v>
      </c>
      <c r="B3603" s="1" t="str">
        <f>"000240401 - RICH FOODS VARIETY-ARAMARK"</f>
        <v>000240401 - RICH FOODS VARIETY-ARAMARK</v>
      </c>
      <c r="C3603" t="s">
        <v>439</v>
      </c>
      <c r="D3603" s="1" t="str">
        <f t="shared" si="102"/>
        <v>PRG-1022967</v>
      </c>
      <c r="E3603" t="s">
        <v>82</v>
      </c>
      <c r="F3603" t="s">
        <v>4</v>
      </c>
      <c r="G3603" t="str">
        <f>""</f>
        <v/>
      </c>
    </row>
    <row r="3604" spans="1:7" x14ac:dyDescent="0.25">
      <c r="A3604" t="s">
        <v>8</v>
      </c>
      <c r="B3604" s="1" t="str">
        <f>"000241333 - RICH FOODS MAIN-ARAMARK"</f>
        <v>000241333 - RICH FOODS MAIN-ARAMARK</v>
      </c>
      <c r="C3604" t="s">
        <v>494</v>
      </c>
      <c r="D3604" s="1" t="str">
        <f t="shared" si="102"/>
        <v>PRG-1022967</v>
      </c>
      <c r="E3604" t="s">
        <v>82</v>
      </c>
      <c r="F3604" t="s">
        <v>4</v>
      </c>
      <c r="G3604" t="str">
        <f>""</f>
        <v/>
      </c>
    </row>
    <row r="3605" spans="1:7" x14ac:dyDescent="0.25">
      <c r="A3605" t="s">
        <v>8</v>
      </c>
      <c r="B3605" s="1" t="str">
        <f>"000242797 - RICH'S FDS-MAIN ARAMARK EX-SSS"</f>
        <v>000242797 - RICH'S FDS-MAIN ARAMARK EX-SSS</v>
      </c>
      <c r="C3605" t="s">
        <v>540</v>
      </c>
      <c r="D3605" s="1" t="str">
        <f t="shared" si="102"/>
        <v>PRG-1022967</v>
      </c>
      <c r="E3605" t="s">
        <v>82</v>
      </c>
      <c r="F3605" t="s">
        <v>4</v>
      </c>
      <c r="G3605" t="str">
        <f>""</f>
        <v/>
      </c>
    </row>
    <row r="3606" spans="1:7" x14ac:dyDescent="0.25">
      <c r="A3606" t="s">
        <v>8</v>
      </c>
      <c r="B3606" s="1" t="str">
        <f>"000242920 - RICH FOOD-ARAMARK LC"</f>
        <v>000242920 - RICH FOOD-ARAMARK LC</v>
      </c>
      <c r="C3606" t="s">
        <v>457</v>
      </c>
      <c r="D3606" s="1" t="str">
        <f t="shared" si="102"/>
        <v>PRG-1022967</v>
      </c>
      <c r="E3606" t="s">
        <v>82</v>
      </c>
      <c r="F3606" t="s">
        <v>4</v>
      </c>
      <c r="G3606" t="str">
        <f>""</f>
        <v/>
      </c>
    </row>
    <row r="3607" spans="1:7" x14ac:dyDescent="0.25">
      <c r="A3607" t="s">
        <v>8</v>
      </c>
      <c r="B3607" s="1" t="str">
        <f>"000243128 - RICH FDS-ARAMARK MAIN EX K12"</f>
        <v>000243128 - RICH FDS-ARAMARK MAIN EX K12</v>
      </c>
      <c r="C3607" t="s">
        <v>511</v>
      </c>
      <c r="D3607" s="1" t="str">
        <f t="shared" si="102"/>
        <v>PRG-1022967</v>
      </c>
      <c r="E3607" t="s">
        <v>82</v>
      </c>
      <c r="F3607" t="s">
        <v>4</v>
      </c>
      <c r="G3607" t="str">
        <f>""</f>
        <v/>
      </c>
    </row>
    <row r="3608" spans="1:7" x14ac:dyDescent="0.25">
      <c r="A3608" t="s">
        <v>8</v>
      </c>
      <c r="B3608" s="1" t="str">
        <f>"000243960 - RICH VARIETY-ARAMARK"</f>
        <v>000243960 - RICH VARIETY-ARAMARK</v>
      </c>
      <c r="C3608" t="s">
        <v>471</v>
      </c>
      <c r="D3608" s="1" t="str">
        <f t="shared" si="102"/>
        <v>PRG-1022967</v>
      </c>
      <c r="E3608" t="s">
        <v>82</v>
      </c>
      <c r="F3608" t="s">
        <v>4</v>
      </c>
      <c r="G3608" t="str">
        <f>""</f>
        <v/>
      </c>
    </row>
    <row r="3609" spans="1:7" x14ac:dyDescent="0.25">
      <c r="A3609" t="s">
        <v>8</v>
      </c>
      <c r="B3609" s="1" t="str">
        <f>"000244294 - RICH FDS-ARAMARK MAIN EX K12"</f>
        <v>000244294 - RICH FDS-ARAMARK MAIN EX K12</v>
      </c>
      <c r="C3609" t="s">
        <v>511</v>
      </c>
      <c r="D3609" s="1" t="str">
        <f t="shared" si="102"/>
        <v>PRG-1022967</v>
      </c>
      <c r="E3609" t="s">
        <v>82</v>
      </c>
      <c r="F3609" t="s">
        <v>4</v>
      </c>
      <c r="G3609" t="str">
        <f>""</f>
        <v/>
      </c>
    </row>
    <row r="3610" spans="1:7" x14ac:dyDescent="0.25">
      <c r="A3610" t="s">
        <v>8</v>
      </c>
      <c r="B3610" s="1" t="str">
        <f>"000244394 - RICH FOODS VARIETY-ARAMARK"</f>
        <v>000244394 - RICH FOODS VARIETY-ARAMARK</v>
      </c>
      <c r="C3610" t="s">
        <v>439</v>
      </c>
      <c r="D3610" s="1" t="str">
        <f t="shared" si="102"/>
        <v>PRG-1022967</v>
      </c>
      <c r="E3610" t="s">
        <v>82</v>
      </c>
      <c r="F3610" t="s">
        <v>4</v>
      </c>
      <c r="G3610" t="str">
        <f>""</f>
        <v/>
      </c>
    </row>
    <row r="3611" spans="1:7" x14ac:dyDescent="0.25">
      <c r="A3611" t="s">
        <v>8</v>
      </c>
      <c r="B3611" s="1" t="str">
        <f>"000244947 - RICH FDS-ARAMARK MAIN EX K12"</f>
        <v>000244947 - RICH FDS-ARAMARK MAIN EX K12</v>
      </c>
      <c r="C3611" t="s">
        <v>511</v>
      </c>
      <c r="D3611" s="1" t="str">
        <f t="shared" si="102"/>
        <v>PRG-1022967</v>
      </c>
      <c r="E3611" t="s">
        <v>82</v>
      </c>
      <c r="F3611" t="s">
        <v>4</v>
      </c>
      <c r="G3611" t="str">
        <f>""</f>
        <v/>
      </c>
    </row>
    <row r="3612" spans="1:7" x14ac:dyDescent="0.25">
      <c r="A3612" t="s">
        <v>8</v>
      </c>
      <c r="B3612" s="1" t="str">
        <f>"000245023 - RICH FOOD-ARAMARK LC"</f>
        <v>000245023 - RICH FOOD-ARAMARK LC</v>
      </c>
      <c r="C3612" t="s">
        <v>457</v>
      </c>
      <c r="D3612" s="1" t="str">
        <f t="shared" si="102"/>
        <v>PRG-1022967</v>
      </c>
      <c r="E3612" t="s">
        <v>82</v>
      </c>
      <c r="F3612" t="s">
        <v>4</v>
      </c>
      <c r="G3612" t="str">
        <f>""</f>
        <v/>
      </c>
    </row>
    <row r="3613" spans="1:7" x14ac:dyDescent="0.25">
      <c r="A3613" t="s">
        <v>8</v>
      </c>
      <c r="B3613" s="1" t="str">
        <f>"000245113 - RICH FDS-ARAMARK MAIN EX K12"</f>
        <v>000245113 - RICH FDS-ARAMARK MAIN EX K12</v>
      </c>
      <c r="C3613" t="s">
        <v>511</v>
      </c>
      <c r="D3613" s="1" t="str">
        <f t="shared" si="102"/>
        <v>PRG-1022967</v>
      </c>
      <c r="E3613" t="s">
        <v>82</v>
      </c>
      <c r="F3613" t="s">
        <v>4</v>
      </c>
      <c r="G3613" t="str">
        <f>""</f>
        <v/>
      </c>
    </row>
    <row r="3614" spans="1:7" x14ac:dyDescent="0.25">
      <c r="A3614" t="s">
        <v>8</v>
      </c>
      <c r="B3614" s="1" t="str">
        <f>"000245552 - RICH FDS-ARAMARK MAIN EX K12"</f>
        <v>000245552 - RICH FDS-ARAMARK MAIN EX K12</v>
      </c>
      <c r="C3614" t="s">
        <v>511</v>
      </c>
      <c r="D3614" s="1" t="str">
        <f t="shared" si="102"/>
        <v>PRG-1022967</v>
      </c>
      <c r="E3614" t="s">
        <v>82</v>
      </c>
      <c r="F3614" t="s">
        <v>4</v>
      </c>
      <c r="G3614" t="str">
        <f>""</f>
        <v/>
      </c>
    </row>
    <row r="3615" spans="1:7" x14ac:dyDescent="0.25">
      <c r="A3615" t="s">
        <v>8</v>
      </c>
      <c r="B3615" s="1" t="str">
        <f>"000246518 - RICH VARIETY-ARAMARK"</f>
        <v>000246518 - RICH VARIETY-ARAMARK</v>
      </c>
      <c r="C3615" t="s">
        <v>471</v>
      </c>
      <c r="D3615" s="1" t="str">
        <f t="shared" si="102"/>
        <v>PRG-1022967</v>
      </c>
      <c r="E3615" t="s">
        <v>82</v>
      </c>
      <c r="F3615" t="s">
        <v>4</v>
      </c>
      <c r="G3615" t="str">
        <f>""</f>
        <v/>
      </c>
    </row>
    <row r="3616" spans="1:7" x14ac:dyDescent="0.25">
      <c r="A3616" t="s">
        <v>8</v>
      </c>
      <c r="B3616" s="1" t="str">
        <f>"000247003 - RICH FOODS MAIN-ARAMARK"</f>
        <v>000247003 - RICH FOODS MAIN-ARAMARK</v>
      </c>
      <c r="C3616" t="s">
        <v>494</v>
      </c>
      <c r="D3616" s="1" t="str">
        <f t="shared" si="102"/>
        <v>PRG-1022967</v>
      </c>
      <c r="E3616" t="s">
        <v>82</v>
      </c>
      <c r="F3616" t="s">
        <v>4</v>
      </c>
      <c r="G3616" t="str">
        <f>""</f>
        <v/>
      </c>
    </row>
    <row r="3617" spans="1:7" x14ac:dyDescent="0.25">
      <c r="A3617" t="s">
        <v>8</v>
      </c>
      <c r="B3617" s="1" t="str">
        <f>"000248670 - RICH'S FDS-MAIN ARAMARK EX-SSS"</f>
        <v>000248670 - RICH'S FDS-MAIN ARAMARK EX-SSS</v>
      </c>
      <c r="C3617" t="s">
        <v>540</v>
      </c>
      <c r="D3617" s="1" t="str">
        <f t="shared" ref="D3617:D3680" si="103">"PRG-1022967"</f>
        <v>PRG-1022967</v>
      </c>
      <c r="E3617" t="s">
        <v>82</v>
      </c>
      <c r="F3617" t="s">
        <v>4</v>
      </c>
      <c r="G3617" t="str">
        <f>""</f>
        <v/>
      </c>
    </row>
    <row r="3618" spans="1:7" x14ac:dyDescent="0.25">
      <c r="A3618" t="s">
        <v>8</v>
      </c>
      <c r="B3618" s="1" t="str">
        <f>"000249020 - RICH'S FDS-MAIN ARAMARK EX-SSS"</f>
        <v>000249020 - RICH'S FDS-MAIN ARAMARK EX-SSS</v>
      </c>
      <c r="C3618" t="s">
        <v>540</v>
      </c>
      <c r="D3618" s="1" t="str">
        <f t="shared" si="103"/>
        <v>PRG-1022967</v>
      </c>
      <c r="E3618" t="s">
        <v>82</v>
      </c>
      <c r="F3618" t="s">
        <v>4</v>
      </c>
      <c r="G3618" t="str">
        <f>""</f>
        <v/>
      </c>
    </row>
    <row r="3619" spans="1:7" x14ac:dyDescent="0.25">
      <c r="A3619" t="s">
        <v>8</v>
      </c>
      <c r="B3619" s="1" t="str">
        <f>"000249265 - RICH FOODS-ARAMARK EXCL K12"</f>
        <v>000249265 - RICH FOODS-ARAMARK EXCL K12</v>
      </c>
      <c r="C3619" t="s">
        <v>2061</v>
      </c>
      <c r="D3619" s="1" t="str">
        <f t="shared" si="103"/>
        <v>PRG-1022967</v>
      </c>
      <c r="E3619" t="s">
        <v>82</v>
      </c>
      <c r="F3619" t="s">
        <v>4</v>
      </c>
      <c r="G3619" t="str">
        <f>""</f>
        <v/>
      </c>
    </row>
    <row r="3620" spans="1:7" x14ac:dyDescent="0.25">
      <c r="A3620" t="s">
        <v>8</v>
      </c>
      <c r="B3620" s="1" t="str">
        <f>"000249396 - RICH FOODS VARIETY-ARAMARK"</f>
        <v>000249396 - RICH FOODS VARIETY-ARAMARK</v>
      </c>
      <c r="C3620" t="s">
        <v>439</v>
      </c>
      <c r="D3620" s="1" t="str">
        <f t="shared" si="103"/>
        <v>PRG-1022967</v>
      </c>
      <c r="E3620" t="s">
        <v>82</v>
      </c>
      <c r="F3620" t="s">
        <v>4</v>
      </c>
      <c r="G3620" t="str">
        <f>""</f>
        <v/>
      </c>
    </row>
    <row r="3621" spans="1:7" x14ac:dyDescent="0.25">
      <c r="A3621" t="s">
        <v>8</v>
      </c>
      <c r="B3621" s="1" t="str">
        <f>"000250189 - RICH FOOD-ARAMARK LC"</f>
        <v>000250189 - RICH FOOD-ARAMARK LC</v>
      </c>
      <c r="C3621" t="s">
        <v>457</v>
      </c>
      <c r="D3621" s="1" t="str">
        <f t="shared" si="103"/>
        <v>PRG-1022967</v>
      </c>
      <c r="E3621" t="s">
        <v>82</v>
      </c>
      <c r="F3621" t="s">
        <v>4</v>
      </c>
      <c r="G3621" t="str">
        <f>""</f>
        <v/>
      </c>
    </row>
    <row r="3622" spans="1:7" x14ac:dyDescent="0.25">
      <c r="A3622" t="s">
        <v>8</v>
      </c>
      <c r="B3622" s="1" t="str">
        <f>"000250522 - RICH FDS-ARAMARK MAIN EX K12"</f>
        <v>000250522 - RICH FDS-ARAMARK MAIN EX K12</v>
      </c>
      <c r="C3622" t="s">
        <v>511</v>
      </c>
      <c r="D3622" s="1" t="str">
        <f t="shared" si="103"/>
        <v>PRG-1022967</v>
      </c>
      <c r="E3622" t="s">
        <v>82</v>
      </c>
      <c r="F3622" t="s">
        <v>4</v>
      </c>
      <c r="G3622" t="str">
        <f>""</f>
        <v/>
      </c>
    </row>
    <row r="3623" spans="1:7" x14ac:dyDescent="0.25">
      <c r="A3623" t="s">
        <v>8</v>
      </c>
      <c r="B3623" s="1" t="str">
        <f>"000250554 - RICH FOODS MAIN-ARAMARK"</f>
        <v>000250554 - RICH FOODS MAIN-ARAMARK</v>
      </c>
      <c r="C3623" t="s">
        <v>494</v>
      </c>
      <c r="D3623" s="1" t="str">
        <f t="shared" si="103"/>
        <v>PRG-1022967</v>
      </c>
      <c r="E3623" t="s">
        <v>82</v>
      </c>
      <c r="F3623" t="s">
        <v>4</v>
      </c>
      <c r="G3623" t="str">
        <f>""</f>
        <v/>
      </c>
    </row>
    <row r="3624" spans="1:7" x14ac:dyDescent="0.25">
      <c r="A3624" t="s">
        <v>8</v>
      </c>
      <c r="B3624" s="1" t="str">
        <f>"000251798 - RICH VARIETY-ARAMARK"</f>
        <v>000251798 - RICH VARIETY-ARAMARK</v>
      </c>
      <c r="C3624" t="s">
        <v>471</v>
      </c>
      <c r="D3624" s="1" t="str">
        <f t="shared" si="103"/>
        <v>PRG-1022967</v>
      </c>
      <c r="E3624" t="s">
        <v>82</v>
      </c>
      <c r="F3624" t="s">
        <v>4</v>
      </c>
      <c r="G3624" t="str">
        <f>""</f>
        <v/>
      </c>
    </row>
    <row r="3625" spans="1:7" x14ac:dyDescent="0.25">
      <c r="A3625" t="s">
        <v>8</v>
      </c>
      <c r="B3625" s="1" t="str">
        <f>"000252964 - RICH FOODS VARIETY-ARA SSS"</f>
        <v>000252964 - RICH FOODS VARIETY-ARA SSS</v>
      </c>
      <c r="C3625" t="s">
        <v>452</v>
      </c>
      <c r="D3625" s="1" t="str">
        <f t="shared" si="103"/>
        <v>PRG-1022967</v>
      </c>
      <c r="E3625" t="s">
        <v>82</v>
      </c>
      <c r="F3625" t="s">
        <v>4</v>
      </c>
      <c r="G3625" t="str">
        <f>""</f>
        <v/>
      </c>
    </row>
    <row r="3626" spans="1:7" x14ac:dyDescent="0.25">
      <c r="A3626" t="s">
        <v>8</v>
      </c>
      <c r="B3626" s="1" t="str">
        <f>"000256091 - RICH FOODS MAIN-ARAMARK"</f>
        <v>000256091 - RICH FOODS MAIN-ARAMARK</v>
      </c>
      <c r="C3626" t="s">
        <v>494</v>
      </c>
      <c r="D3626" s="1" t="str">
        <f t="shared" si="103"/>
        <v>PRG-1022967</v>
      </c>
      <c r="E3626" t="s">
        <v>82</v>
      </c>
      <c r="F3626" t="s">
        <v>4</v>
      </c>
      <c r="G3626" t="str">
        <f>""</f>
        <v/>
      </c>
    </row>
    <row r="3627" spans="1:7" x14ac:dyDescent="0.25">
      <c r="A3627" t="s">
        <v>8</v>
      </c>
      <c r="B3627" s="1" t="str">
        <f>"000257886 - RICH FOOD-ARAMARK LC"</f>
        <v>000257886 - RICH FOOD-ARAMARK LC</v>
      </c>
      <c r="C3627" t="s">
        <v>457</v>
      </c>
      <c r="D3627" s="1" t="str">
        <f t="shared" si="103"/>
        <v>PRG-1022967</v>
      </c>
      <c r="E3627" t="s">
        <v>82</v>
      </c>
      <c r="F3627" t="s">
        <v>4</v>
      </c>
      <c r="G3627" t="str">
        <f>""</f>
        <v/>
      </c>
    </row>
    <row r="3628" spans="1:7" x14ac:dyDescent="0.25">
      <c r="A3628" t="s">
        <v>8</v>
      </c>
      <c r="B3628" s="1" t="str">
        <f>"000259506 - RICH VARIETY-ARAMARK"</f>
        <v>000259506 - RICH VARIETY-ARAMARK</v>
      </c>
      <c r="C3628" t="s">
        <v>471</v>
      </c>
      <c r="D3628" s="1" t="str">
        <f t="shared" si="103"/>
        <v>PRG-1022967</v>
      </c>
      <c r="E3628" t="s">
        <v>82</v>
      </c>
      <c r="F3628" t="s">
        <v>4</v>
      </c>
      <c r="G3628" t="str">
        <f>""</f>
        <v/>
      </c>
    </row>
    <row r="3629" spans="1:7" x14ac:dyDescent="0.25">
      <c r="A3629" t="s">
        <v>8</v>
      </c>
      <c r="B3629" s="1" t="str">
        <f>"000261583 - RICH FOODS VARIETY-ARAMARK"</f>
        <v>000261583 - RICH FOODS VARIETY-ARAMARK</v>
      </c>
      <c r="C3629" t="s">
        <v>439</v>
      </c>
      <c r="D3629" s="1" t="str">
        <f t="shared" si="103"/>
        <v>PRG-1022967</v>
      </c>
      <c r="E3629" t="s">
        <v>82</v>
      </c>
      <c r="F3629" t="s">
        <v>4</v>
      </c>
      <c r="G3629" t="str">
        <f>""</f>
        <v/>
      </c>
    </row>
    <row r="3630" spans="1:7" x14ac:dyDescent="0.25">
      <c r="A3630" t="s">
        <v>8</v>
      </c>
      <c r="B3630" s="1" t="str">
        <f>"000261610 - RICH FDS-ARAMARK MAIN EX K12"</f>
        <v>000261610 - RICH FDS-ARAMARK MAIN EX K12</v>
      </c>
      <c r="C3630" t="s">
        <v>511</v>
      </c>
      <c r="D3630" s="1" t="str">
        <f t="shared" si="103"/>
        <v>PRG-1022967</v>
      </c>
      <c r="E3630" t="s">
        <v>82</v>
      </c>
      <c r="F3630" t="s">
        <v>4</v>
      </c>
      <c r="G3630" t="str">
        <f>""</f>
        <v/>
      </c>
    </row>
    <row r="3631" spans="1:7" x14ac:dyDescent="0.25">
      <c r="A3631" t="s">
        <v>8</v>
      </c>
      <c r="B3631" s="1" t="str">
        <f>"000262728 - RICH FOODS VARIETY-ARAMARK"</f>
        <v>000262728 - RICH FOODS VARIETY-ARAMARK</v>
      </c>
      <c r="C3631" t="s">
        <v>439</v>
      </c>
      <c r="D3631" s="1" t="str">
        <f t="shared" si="103"/>
        <v>PRG-1022967</v>
      </c>
      <c r="E3631" t="s">
        <v>82</v>
      </c>
      <c r="F3631" t="s">
        <v>4</v>
      </c>
      <c r="G3631" t="str">
        <f>""</f>
        <v/>
      </c>
    </row>
    <row r="3632" spans="1:7" x14ac:dyDescent="0.25">
      <c r="A3632" t="s">
        <v>8</v>
      </c>
      <c r="B3632" s="1" t="str">
        <f>"000262755 - RICH FOODS VARIETY-ARAMARK"</f>
        <v>000262755 - RICH FOODS VARIETY-ARAMARK</v>
      </c>
      <c r="C3632" t="s">
        <v>439</v>
      </c>
      <c r="D3632" s="1" t="str">
        <f t="shared" si="103"/>
        <v>PRG-1022967</v>
      </c>
      <c r="E3632" t="s">
        <v>82</v>
      </c>
      <c r="F3632" t="s">
        <v>4</v>
      </c>
      <c r="G3632" t="str">
        <f>""</f>
        <v/>
      </c>
    </row>
    <row r="3633" spans="1:7" x14ac:dyDescent="0.25">
      <c r="A3633" t="s">
        <v>8</v>
      </c>
      <c r="B3633" s="1" t="str">
        <f>"000262757 - RICH FOODS VARIETY-ARA SSS"</f>
        <v>000262757 - RICH FOODS VARIETY-ARA SSS</v>
      </c>
      <c r="C3633" t="s">
        <v>452</v>
      </c>
      <c r="D3633" s="1" t="str">
        <f t="shared" si="103"/>
        <v>PRG-1022967</v>
      </c>
      <c r="E3633" t="s">
        <v>82</v>
      </c>
      <c r="F3633" t="s">
        <v>4</v>
      </c>
      <c r="G3633" t="str">
        <f>""</f>
        <v/>
      </c>
    </row>
    <row r="3634" spans="1:7" x14ac:dyDescent="0.25">
      <c r="A3634" t="s">
        <v>8</v>
      </c>
      <c r="B3634" s="1" t="str">
        <f>"000266769 - RICH FOOD-ARAMARK LC"</f>
        <v>000266769 - RICH FOOD-ARAMARK LC</v>
      </c>
      <c r="C3634" t="s">
        <v>457</v>
      </c>
      <c r="D3634" s="1" t="str">
        <f t="shared" si="103"/>
        <v>PRG-1022967</v>
      </c>
      <c r="E3634" t="s">
        <v>82</v>
      </c>
      <c r="F3634" t="s">
        <v>4</v>
      </c>
      <c r="G3634" t="str">
        <f>""</f>
        <v/>
      </c>
    </row>
    <row r="3635" spans="1:7" x14ac:dyDescent="0.25">
      <c r="A3635" t="s">
        <v>8</v>
      </c>
      <c r="B3635" s="1" t="str">
        <f>"000267859 - RICH FOOD-ARAMARK LC"</f>
        <v>000267859 - RICH FOOD-ARAMARK LC</v>
      </c>
      <c r="C3635" t="s">
        <v>457</v>
      </c>
      <c r="D3635" s="1" t="str">
        <f t="shared" si="103"/>
        <v>PRG-1022967</v>
      </c>
      <c r="E3635" t="s">
        <v>82</v>
      </c>
      <c r="F3635" t="s">
        <v>4</v>
      </c>
      <c r="G3635" t="str">
        <f>""</f>
        <v/>
      </c>
    </row>
    <row r="3636" spans="1:7" x14ac:dyDescent="0.25">
      <c r="A3636" t="s">
        <v>8</v>
      </c>
      <c r="B3636" s="1" t="str">
        <f>"000268535 - RICH FDS-ARAMARK MAIN EX K12"</f>
        <v>000268535 - RICH FDS-ARAMARK MAIN EX K12</v>
      </c>
      <c r="C3636" t="s">
        <v>511</v>
      </c>
      <c r="D3636" s="1" t="str">
        <f t="shared" si="103"/>
        <v>PRG-1022967</v>
      </c>
      <c r="E3636" t="s">
        <v>82</v>
      </c>
      <c r="F3636" t="s">
        <v>4</v>
      </c>
      <c r="G3636" t="str">
        <f>""</f>
        <v/>
      </c>
    </row>
    <row r="3637" spans="1:7" x14ac:dyDescent="0.25">
      <c r="A3637" t="s">
        <v>8</v>
      </c>
      <c r="B3637" s="1" t="str">
        <f>"000269202 - RICH VARIETY-ARAMARK"</f>
        <v>000269202 - RICH VARIETY-ARAMARK</v>
      </c>
      <c r="C3637" t="s">
        <v>471</v>
      </c>
      <c r="D3637" s="1" t="str">
        <f t="shared" si="103"/>
        <v>PRG-1022967</v>
      </c>
      <c r="E3637" t="s">
        <v>82</v>
      </c>
      <c r="F3637" t="s">
        <v>4</v>
      </c>
      <c r="G3637" t="str">
        <f>""</f>
        <v/>
      </c>
    </row>
    <row r="3638" spans="1:7" x14ac:dyDescent="0.25">
      <c r="A3638" t="s">
        <v>8</v>
      </c>
      <c r="B3638" s="1" t="str">
        <f>"000269413 - RICH FOOD-ARAMARK LC"</f>
        <v>000269413 - RICH FOOD-ARAMARK LC</v>
      </c>
      <c r="C3638" t="s">
        <v>457</v>
      </c>
      <c r="D3638" s="1" t="str">
        <f t="shared" si="103"/>
        <v>PRG-1022967</v>
      </c>
      <c r="E3638" t="s">
        <v>82</v>
      </c>
      <c r="F3638" t="s">
        <v>4</v>
      </c>
      <c r="G3638" t="str">
        <f>""</f>
        <v/>
      </c>
    </row>
    <row r="3639" spans="1:7" x14ac:dyDescent="0.25">
      <c r="A3639" t="s">
        <v>8</v>
      </c>
      <c r="B3639" s="1" t="str">
        <f>"000270967 - RICH FOODS VARIETY - ARA SSS"</f>
        <v>000270967 - RICH FOODS VARIETY - ARA SSS</v>
      </c>
      <c r="C3639" t="s">
        <v>2478</v>
      </c>
      <c r="D3639" s="1" t="str">
        <f t="shared" si="103"/>
        <v>PRG-1022967</v>
      </c>
      <c r="E3639" t="s">
        <v>82</v>
      </c>
      <c r="F3639" t="s">
        <v>4</v>
      </c>
      <c r="G3639" t="str">
        <f>""</f>
        <v/>
      </c>
    </row>
    <row r="3640" spans="1:7" x14ac:dyDescent="0.25">
      <c r="A3640" t="s">
        <v>8</v>
      </c>
      <c r="B3640" s="1" t="str">
        <f>"000271699 - RICH VARIETY-ARAMARK"</f>
        <v>000271699 - RICH VARIETY-ARAMARK</v>
      </c>
      <c r="C3640" t="s">
        <v>471</v>
      </c>
      <c r="D3640" s="1" t="str">
        <f t="shared" si="103"/>
        <v>PRG-1022967</v>
      </c>
      <c r="E3640" t="s">
        <v>82</v>
      </c>
      <c r="F3640" t="s">
        <v>4</v>
      </c>
      <c r="G3640" t="str">
        <f>""</f>
        <v/>
      </c>
    </row>
    <row r="3641" spans="1:7" x14ac:dyDescent="0.25">
      <c r="A3641" t="s">
        <v>8</v>
      </c>
      <c r="B3641" s="1" t="str">
        <f>"000271715 - RICH VARIETY-ARA SSS"</f>
        <v>000271715 - RICH VARIETY-ARA SSS</v>
      </c>
      <c r="C3641" t="s">
        <v>500</v>
      </c>
      <c r="D3641" s="1" t="str">
        <f t="shared" si="103"/>
        <v>PRG-1022967</v>
      </c>
      <c r="E3641" t="s">
        <v>82</v>
      </c>
      <c r="F3641" t="s">
        <v>4</v>
      </c>
      <c r="G3641" t="str">
        <f>""</f>
        <v/>
      </c>
    </row>
    <row r="3642" spans="1:7" x14ac:dyDescent="0.25">
      <c r="A3642" t="s">
        <v>8</v>
      </c>
      <c r="B3642" s="1" t="str">
        <f>"000272125 - RICH'S FDS-MAIN ARAMARK EX-SSS"</f>
        <v>000272125 - RICH'S FDS-MAIN ARAMARK EX-SSS</v>
      </c>
      <c r="C3642" t="s">
        <v>540</v>
      </c>
      <c r="D3642" s="1" t="str">
        <f t="shared" si="103"/>
        <v>PRG-1022967</v>
      </c>
      <c r="E3642" t="s">
        <v>82</v>
      </c>
      <c r="F3642" t="s">
        <v>4</v>
      </c>
      <c r="G3642" t="str">
        <f>""</f>
        <v/>
      </c>
    </row>
    <row r="3643" spans="1:7" x14ac:dyDescent="0.25">
      <c r="A3643" t="s">
        <v>8</v>
      </c>
      <c r="B3643" s="1" t="str">
        <f>"000272274 - RICH FOODS MAIN-ARAMARK"</f>
        <v>000272274 - RICH FOODS MAIN-ARAMARK</v>
      </c>
      <c r="C3643" t="s">
        <v>494</v>
      </c>
      <c r="D3643" s="1" t="str">
        <f t="shared" si="103"/>
        <v>PRG-1022967</v>
      </c>
      <c r="E3643" t="s">
        <v>82</v>
      </c>
      <c r="F3643" t="s">
        <v>4</v>
      </c>
      <c r="G3643" t="str">
        <f>""</f>
        <v/>
      </c>
    </row>
    <row r="3644" spans="1:7" x14ac:dyDescent="0.25">
      <c r="A3644" t="s">
        <v>8</v>
      </c>
      <c r="B3644" s="1" t="str">
        <f>"000272326 - RICH FOODS VARIETY-ARAMARK"</f>
        <v>000272326 - RICH FOODS VARIETY-ARAMARK</v>
      </c>
      <c r="C3644" t="s">
        <v>439</v>
      </c>
      <c r="D3644" s="1" t="str">
        <f t="shared" si="103"/>
        <v>PRG-1022967</v>
      </c>
      <c r="E3644" t="s">
        <v>82</v>
      </c>
      <c r="F3644" t="s">
        <v>4</v>
      </c>
      <c r="G3644" t="str">
        <f>""</f>
        <v/>
      </c>
    </row>
    <row r="3645" spans="1:7" x14ac:dyDescent="0.25">
      <c r="A3645" t="s">
        <v>8</v>
      </c>
      <c r="B3645" s="1" t="str">
        <f>"000273474 - RICH FOODS MAIN-ARAMARK"</f>
        <v>000273474 - RICH FOODS MAIN-ARAMARK</v>
      </c>
      <c r="C3645" t="s">
        <v>494</v>
      </c>
      <c r="D3645" s="1" t="str">
        <f t="shared" si="103"/>
        <v>PRG-1022967</v>
      </c>
      <c r="E3645" t="s">
        <v>82</v>
      </c>
      <c r="F3645" t="s">
        <v>4</v>
      </c>
      <c r="G3645" t="str">
        <f>""</f>
        <v/>
      </c>
    </row>
    <row r="3646" spans="1:7" x14ac:dyDescent="0.25">
      <c r="A3646" t="s">
        <v>8</v>
      </c>
      <c r="B3646" s="1" t="str">
        <f>"000276467 - RICH FOOD-ARAMARK LC"</f>
        <v>000276467 - RICH FOOD-ARAMARK LC</v>
      </c>
      <c r="C3646" t="s">
        <v>457</v>
      </c>
      <c r="D3646" s="1" t="str">
        <f t="shared" si="103"/>
        <v>PRG-1022967</v>
      </c>
      <c r="E3646" t="s">
        <v>82</v>
      </c>
      <c r="F3646" t="s">
        <v>4</v>
      </c>
      <c r="G3646" t="str">
        <f>""</f>
        <v/>
      </c>
    </row>
    <row r="3647" spans="1:7" x14ac:dyDescent="0.25">
      <c r="A3647" t="s">
        <v>8</v>
      </c>
      <c r="B3647" s="1" t="str">
        <f>"000276544 - RICH FOOD-ARAMARK LC"</f>
        <v>000276544 - RICH FOOD-ARAMARK LC</v>
      </c>
      <c r="C3647" t="s">
        <v>457</v>
      </c>
      <c r="D3647" s="1" t="str">
        <f t="shared" si="103"/>
        <v>PRG-1022967</v>
      </c>
      <c r="E3647" t="s">
        <v>82</v>
      </c>
      <c r="F3647" t="s">
        <v>4</v>
      </c>
      <c r="G3647" t="str">
        <f>""</f>
        <v/>
      </c>
    </row>
    <row r="3648" spans="1:7" x14ac:dyDescent="0.25">
      <c r="A3648" t="s">
        <v>8</v>
      </c>
      <c r="B3648" s="1" t="str">
        <f>"000276766 - RICH FDS-ARAMARK MAIN EX K12"</f>
        <v>000276766 - RICH FDS-ARAMARK MAIN EX K12</v>
      </c>
      <c r="C3648" t="s">
        <v>511</v>
      </c>
      <c r="D3648" s="1" t="str">
        <f t="shared" si="103"/>
        <v>PRG-1022967</v>
      </c>
      <c r="E3648" t="s">
        <v>82</v>
      </c>
      <c r="F3648" t="s">
        <v>4</v>
      </c>
      <c r="G3648" t="str">
        <f>""</f>
        <v/>
      </c>
    </row>
    <row r="3649" spans="1:7" x14ac:dyDescent="0.25">
      <c r="A3649" t="s">
        <v>8</v>
      </c>
      <c r="B3649" s="1" t="str">
        <f>"000277678 - RICH VARIETY-ARAMARK"</f>
        <v>000277678 - RICH VARIETY-ARAMARK</v>
      </c>
      <c r="C3649" t="s">
        <v>471</v>
      </c>
      <c r="D3649" s="1" t="str">
        <f t="shared" si="103"/>
        <v>PRG-1022967</v>
      </c>
      <c r="E3649" t="s">
        <v>82</v>
      </c>
      <c r="F3649" t="s">
        <v>4</v>
      </c>
      <c r="G3649" t="str">
        <f>""</f>
        <v/>
      </c>
    </row>
    <row r="3650" spans="1:7" x14ac:dyDescent="0.25">
      <c r="A3650" t="s">
        <v>8</v>
      </c>
      <c r="B3650" s="1" t="str">
        <f>"000277761 - RICH FOODS MAIN-ARAMARK"</f>
        <v>000277761 - RICH FOODS MAIN-ARAMARK</v>
      </c>
      <c r="C3650" t="s">
        <v>494</v>
      </c>
      <c r="D3650" s="1" t="str">
        <f t="shared" si="103"/>
        <v>PRG-1022967</v>
      </c>
      <c r="E3650" t="s">
        <v>82</v>
      </c>
      <c r="F3650" t="s">
        <v>4</v>
      </c>
      <c r="G3650" t="str">
        <f>""</f>
        <v/>
      </c>
    </row>
    <row r="3651" spans="1:7" x14ac:dyDescent="0.25">
      <c r="A3651" t="s">
        <v>8</v>
      </c>
      <c r="B3651" s="1" t="str">
        <f>"000277784 - RICH VARIETY-ARAMARK"</f>
        <v>000277784 - RICH VARIETY-ARAMARK</v>
      </c>
      <c r="C3651" t="s">
        <v>471</v>
      </c>
      <c r="D3651" s="1" t="str">
        <f t="shared" si="103"/>
        <v>PRG-1022967</v>
      </c>
      <c r="E3651" t="s">
        <v>82</v>
      </c>
      <c r="F3651" t="s">
        <v>4</v>
      </c>
      <c r="G3651" t="str">
        <f>""</f>
        <v/>
      </c>
    </row>
    <row r="3652" spans="1:7" x14ac:dyDescent="0.25">
      <c r="A3652" t="s">
        <v>8</v>
      </c>
      <c r="B3652" s="1" t="str">
        <f>"000278946 - RICH FOOD-ARAMARK LC"</f>
        <v>000278946 - RICH FOOD-ARAMARK LC</v>
      </c>
      <c r="C3652" t="s">
        <v>457</v>
      </c>
      <c r="D3652" s="1" t="str">
        <f t="shared" si="103"/>
        <v>PRG-1022967</v>
      </c>
      <c r="E3652" t="s">
        <v>82</v>
      </c>
      <c r="F3652" t="s">
        <v>4</v>
      </c>
      <c r="G3652" t="str">
        <f>""</f>
        <v/>
      </c>
    </row>
    <row r="3653" spans="1:7" x14ac:dyDescent="0.25">
      <c r="A3653" t="s">
        <v>8</v>
      </c>
      <c r="B3653" s="1" t="str">
        <f>"000279297 - RICH FDS-ARAMARK MAIN EX K12"</f>
        <v>000279297 - RICH FDS-ARAMARK MAIN EX K12</v>
      </c>
      <c r="C3653" t="s">
        <v>511</v>
      </c>
      <c r="D3653" s="1" t="str">
        <f t="shared" si="103"/>
        <v>PRG-1022967</v>
      </c>
      <c r="E3653" t="s">
        <v>82</v>
      </c>
      <c r="F3653" t="s">
        <v>4</v>
      </c>
      <c r="G3653" t="str">
        <f>""</f>
        <v/>
      </c>
    </row>
    <row r="3654" spans="1:7" x14ac:dyDescent="0.25">
      <c r="A3654" t="s">
        <v>8</v>
      </c>
      <c r="B3654" s="1" t="str">
        <f>"000279998 - RICH'S FDS-MAIN ARAMARK EX-SSS"</f>
        <v>000279998 - RICH'S FDS-MAIN ARAMARK EX-SSS</v>
      </c>
      <c r="C3654" t="s">
        <v>540</v>
      </c>
      <c r="D3654" s="1" t="str">
        <f t="shared" si="103"/>
        <v>PRG-1022967</v>
      </c>
      <c r="E3654" t="s">
        <v>82</v>
      </c>
      <c r="F3654" t="s">
        <v>4</v>
      </c>
      <c r="G3654" t="str">
        <f>""</f>
        <v/>
      </c>
    </row>
    <row r="3655" spans="1:7" x14ac:dyDescent="0.25">
      <c r="A3655" t="s">
        <v>8</v>
      </c>
      <c r="B3655" s="1" t="str">
        <f>"000280830 - RICH VARIETY-ARAMARK"</f>
        <v>000280830 - RICH VARIETY-ARAMARK</v>
      </c>
      <c r="C3655" t="s">
        <v>471</v>
      </c>
      <c r="D3655" s="1" t="str">
        <f t="shared" si="103"/>
        <v>PRG-1022967</v>
      </c>
      <c r="E3655" t="s">
        <v>82</v>
      </c>
      <c r="F3655" t="s">
        <v>4</v>
      </c>
      <c r="G3655" t="str">
        <f>""</f>
        <v/>
      </c>
    </row>
    <row r="3656" spans="1:7" x14ac:dyDescent="0.25">
      <c r="A3656" t="s">
        <v>8</v>
      </c>
      <c r="B3656" s="1" t="str">
        <f>"000280879 - RICH FOODS MAIN-ARAMARK"</f>
        <v>000280879 - RICH FOODS MAIN-ARAMARK</v>
      </c>
      <c r="C3656" t="s">
        <v>494</v>
      </c>
      <c r="D3656" s="1" t="str">
        <f t="shared" si="103"/>
        <v>PRG-1022967</v>
      </c>
      <c r="E3656" t="s">
        <v>82</v>
      </c>
      <c r="F3656" t="s">
        <v>4</v>
      </c>
      <c r="G3656" t="str">
        <f>""</f>
        <v/>
      </c>
    </row>
    <row r="3657" spans="1:7" x14ac:dyDescent="0.25">
      <c r="A3657" t="s">
        <v>8</v>
      </c>
      <c r="B3657" s="1" t="str">
        <f>"000284658 - RICH FDS-ARAMARK MAIN EX K12"</f>
        <v>000284658 - RICH FDS-ARAMARK MAIN EX K12</v>
      </c>
      <c r="C3657" t="s">
        <v>511</v>
      </c>
      <c r="D3657" s="1" t="str">
        <f t="shared" si="103"/>
        <v>PRG-1022967</v>
      </c>
      <c r="E3657" t="s">
        <v>82</v>
      </c>
      <c r="F3657" t="s">
        <v>4</v>
      </c>
      <c r="G3657" t="str">
        <f>""</f>
        <v/>
      </c>
    </row>
    <row r="3658" spans="1:7" x14ac:dyDescent="0.25">
      <c r="A3658" t="s">
        <v>8</v>
      </c>
      <c r="B3658" s="1" t="str">
        <f>"000285569 - RICH FOODS MAIN-ARAMARK"</f>
        <v>000285569 - RICH FOODS MAIN-ARAMARK</v>
      </c>
      <c r="C3658" t="s">
        <v>494</v>
      </c>
      <c r="D3658" s="1" t="str">
        <f t="shared" si="103"/>
        <v>PRG-1022967</v>
      </c>
      <c r="E3658" t="s">
        <v>82</v>
      </c>
      <c r="F3658" t="s">
        <v>4</v>
      </c>
      <c r="G3658" t="str">
        <f>""</f>
        <v/>
      </c>
    </row>
    <row r="3659" spans="1:7" x14ac:dyDescent="0.25">
      <c r="A3659" t="s">
        <v>8</v>
      </c>
      <c r="B3659" s="1" t="str">
        <f>"000286269 - RICH FDS-ARAMARK MAIN EX K12"</f>
        <v>000286269 - RICH FDS-ARAMARK MAIN EX K12</v>
      </c>
      <c r="C3659" t="s">
        <v>511</v>
      </c>
      <c r="D3659" s="1" t="str">
        <f t="shared" si="103"/>
        <v>PRG-1022967</v>
      </c>
      <c r="E3659" t="s">
        <v>82</v>
      </c>
      <c r="F3659" t="s">
        <v>4</v>
      </c>
      <c r="G3659" t="str">
        <f>""</f>
        <v/>
      </c>
    </row>
    <row r="3660" spans="1:7" x14ac:dyDescent="0.25">
      <c r="A3660" t="s">
        <v>8</v>
      </c>
      <c r="B3660" s="1" t="str">
        <f>"000286332 - RICH FOODS VARIETY-ARAMARK"</f>
        <v>000286332 - RICH FOODS VARIETY-ARAMARK</v>
      </c>
      <c r="C3660" t="s">
        <v>439</v>
      </c>
      <c r="D3660" s="1" t="str">
        <f t="shared" si="103"/>
        <v>PRG-1022967</v>
      </c>
      <c r="E3660" t="s">
        <v>82</v>
      </c>
      <c r="F3660" t="s">
        <v>4</v>
      </c>
      <c r="G3660" t="str">
        <f>""</f>
        <v/>
      </c>
    </row>
    <row r="3661" spans="1:7" x14ac:dyDescent="0.25">
      <c r="A3661" t="s">
        <v>8</v>
      </c>
      <c r="B3661" s="1" t="str">
        <f>"000286600 - RICH FDS-ARAMARK MAIN EX K12"</f>
        <v>000286600 - RICH FDS-ARAMARK MAIN EX K12</v>
      </c>
      <c r="C3661" t="s">
        <v>511</v>
      </c>
      <c r="D3661" s="1" t="str">
        <f t="shared" si="103"/>
        <v>PRG-1022967</v>
      </c>
      <c r="E3661" t="s">
        <v>82</v>
      </c>
      <c r="F3661" t="s">
        <v>4</v>
      </c>
      <c r="G3661" t="str">
        <f>""</f>
        <v/>
      </c>
    </row>
    <row r="3662" spans="1:7" x14ac:dyDescent="0.25">
      <c r="A3662" t="s">
        <v>8</v>
      </c>
      <c r="B3662" s="1" t="str">
        <f>"000287698 - RICH FOOD-ARAMARK LC"</f>
        <v>000287698 - RICH FOOD-ARAMARK LC</v>
      </c>
      <c r="C3662" t="s">
        <v>457</v>
      </c>
      <c r="D3662" s="1" t="str">
        <f t="shared" si="103"/>
        <v>PRG-1022967</v>
      </c>
      <c r="E3662" t="s">
        <v>82</v>
      </c>
      <c r="F3662" t="s">
        <v>4</v>
      </c>
      <c r="G3662" t="str">
        <f>""</f>
        <v/>
      </c>
    </row>
    <row r="3663" spans="1:7" x14ac:dyDescent="0.25">
      <c r="A3663" t="s">
        <v>8</v>
      </c>
      <c r="B3663" s="1" t="str">
        <f>"000289810 - RICH FOODS VARIETY-ARAMARK"</f>
        <v>000289810 - RICH FOODS VARIETY-ARAMARK</v>
      </c>
      <c r="C3663" t="s">
        <v>439</v>
      </c>
      <c r="D3663" s="1" t="str">
        <f t="shared" si="103"/>
        <v>PRG-1022967</v>
      </c>
      <c r="E3663" t="s">
        <v>82</v>
      </c>
      <c r="F3663" t="s">
        <v>4</v>
      </c>
      <c r="G3663" t="str">
        <f>""</f>
        <v/>
      </c>
    </row>
    <row r="3664" spans="1:7" x14ac:dyDescent="0.25">
      <c r="A3664" t="s">
        <v>8</v>
      </c>
      <c r="B3664" s="1" t="str">
        <f>"000291144 - RICH FOOD-ARAMARK LC"</f>
        <v>000291144 - RICH FOOD-ARAMARK LC</v>
      </c>
      <c r="C3664" t="s">
        <v>457</v>
      </c>
      <c r="D3664" s="1" t="str">
        <f t="shared" si="103"/>
        <v>PRG-1022967</v>
      </c>
      <c r="E3664" t="s">
        <v>82</v>
      </c>
      <c r="F3664" t="s">
        <v>4</v>
      </c>
      <c r="G3664" t="str">
        <f>""</f>
        <v/>
      </c>
    </row>
    <row r="3665" spans="1:7" x14ac:dyDescent="0.25">
      <c r="A3665" t="s">
        <v>8</v>
      </c>
      <c r="B3665" s="1" t="str">
        <f>"000291695 - RICH FDS-ARAMARK MAIN EX K12"</f>
        <v>000291695 - RICH FDS-ARAMARK MAIN EX K12</v>
      </c>
      <c r="C3665" t="s">
        <v>511</v>
      </c>
      <c r="D3665" s="1" t="str">
        <f t="shared" si="103"/>
        <v>PRG-1022967</v>
      </c>
      <c r="E3665" t="s">
        <v>82</v>
      </c>
      <c r="F3665" t="s">
        <v>4</v>
      </c>
      <c r="G3665" t="str">
        <f>""</f>
        <v/>
      </c>
    </row>
    <row r="3666" spans="1:7" x14ac:dyDescent="0.25">
      <c r="A3666" t="s">
        <v>8</v>
      </c>
      <c r="B3666" s="1" t="str">
        <f>"000292897 - RICH VARIETY-ARAMARK"</f>
        <v>000292897 - RICH VARIETY-ARAMARK</v>
      </c>
      <c r="C3666" t="s">
        <v>471</v>
      </c>
      <c r="D3666" s="1" t="str">
        <f t="shared" si="103"/>
        <v>PRG-1022967</v>
      </c>
      <c r="E3666" t="s">
        <v>82</v>
      </c>
      <c r="F3666" t="s">
        <v>4</v>
      </c>
      <c r="G3666" t="str">
        <f>""</f>
        <v/>
      </c>
    </row>
    <row r="3667" spans="1:7" x14ac:dyDescent="0.25">
      <c r="A3667" t="s">
        <v>8</v>
      </c>
      <c r="B3667" s="1" t="str">
        <f>"000294046 - RICH FOOD-ARAMARK LC"</f>
        <v>000294046 - RICH FOOD-ARAMARK LC</v>
      </c>
      <c r="C3667" t="s">
        <v>457</v>
      </c>
      <c r="D3667" s="1" t="str">
        <f t="shared" si="103"/>
        <v>PRG-1022967</v>
      </c>
      <c r="E3667" t="s">
        <v>82</v>
      </c>
      <c r="F3667" t="s">
        <v>4</v>
      </c>
      <c r="G3667" t="str">
        <f>""</f>
        <v/>
      </c>
    </row>
    <row r="3668" spans="1:7" x14ac:dyDescent="0.25">
      <c r="A3668" t="s">
        <v>8</v>
      </c>
      <c r="B3668" s="1" t="str">
        <f>"000294172 - RICH FOODS MAIN-ARAMARK"</f>
        <v>000294172 - RICH FOODS MAIN-ARAMARK</v>
      </c>
      <c r="C3668" t="s">
        <v>494</v>
      </c>
      <c r="D3668" s="1" t="str">
        <f t="shared" si="103"/>
        <v>PRG-1022967</v>
      </c>
      <c r="E3668" t="s">
        <v>82</v>
      </c>
      <c r="F3668" t="s">
        <v>4</v>
      </c>
      <c r="G3668" t="str">
        <f>""</f>
        <v/>
      </c>
    </row>
    <row r="3669" spans="1:7" x14ac:dyDescent="0.25">
      <c r="A3669" t="s">
        <v>8</v>
      </c>
      <c r="B3669" s="1" t="str">
        <f>"000295393 - RICH VARIETY-ARAMARK"</f>
        <v>000295393 - RICH VARIETY-ARAMARK</v>
      </c>
      <c r="C3669" t="s">
        <v>471</v>
      </c>
      <c r="D3669" s="1" t="str">
        <f t="shared" si="103"/>
        <v>PRG-1022967</v>
      </c>
      <c r="E3669" t="s">
        <v>82</v>
      </c>
      <c r="F3669" t="s">
        <v>4</v>
      </c>
      <c r="G3669" t="str">
        <f>""</f>
        <v/>
      </c>
    </row>
    <row r="3670" spans="1:7" x14ac:dyDescent="0.25">
      <c r="A3670" t="s">
        <v>8</v>
      </c>
      <c r="B3670" s="1" t="str">
        <f>"000297468 - RICH FOODS MAIN-ARAMARK"</f>
        <v>000297468 - RICH FOODS MAIN-ARAMARK</v>
      </c>
      <c r="C3670" t="s">
        <v>494</v>
      </c>
      <c r="D3670" s="1" t="str">
        <f t="shared" si="103"/>
        <v>PRG-1022967</v>
      </c>
      <c r="E3670" t="s">
        <v>82</v>
      </c>
      <c r="F3670" t="s">
        <v>4</v>
      </c>
      <c r="G3670" t="str">
        <f>""</f>
        <v/>
      </c>
    </row>
    <row r="3671" spans="1:7" x14ac:dyDescent="0.25">
      <c r="A3671" t="s">
        <v>8</v>
      </c>
      <c r="B3671" s="1" t="str">
        <f>"000297696 - RICH FOOD-ARAMARK LC"</f>
        <v>000297696 - RICH FOOD-ARAMARK LC</v>
      </c>
      <c r="C3671" t="s">
        <v>457</v>
      </c>
      <c r="D3671" s="1" t="str">
        <f t="shared" si="103"/>
        <v>PRG-1022967</v>
      </c>
      <c r="E3671" t="s">
        <v>82</v>
      </c>
      <c r="F3671" t="s">
        <v>4</v>
      </c>
      <c r="G3671" t="str">
        <f>""</f>
        <v/>
      </c>
    </row>
    <row r="3672" spans="1:7" x14ac:dyDescent="0.25">
      <c r="A3672" t="s">
        <v>8</v>
      </c>
      <c r="B3672" s="1" t="str">
        <f>"000299320 - RICH FOODS MAIN-ARAMARK"</f>
        <v>000299320 - RICH FOODS MAIN-ARAMARK</v>
      </c>
      <c r="C3672" t="s">
        <v>494</v>
      </c>
      <c r="D3672" s="1" t="str">
        <f t="shared" si="103"/>
        <v>PRG-1022967</v>
      </c>
      <c r="E3672" t="s">
        <v>82</v>
      </c>
      <c r="F3672" t="s">
        <v>4</v>
      </c>
      <c r="G3672" t="str">
        <f>""</f>
        <v/>
      </c>
    </row>
    <row r="3673" spans="1:7" x14ac:dyDescent="0.25">
      <c r="A3673" t="s">
        <v>8</v>
      </c>
      <c r="B3673" s="1" t="str">
        <f>"000299523 - RICH FOODS VARIETY-ARAMARK"</f>
        <v>000299523 - RICH FOODS VARIETY-ARAMARK</v>
      </c>
      <c r="C3673" t="s">
        <v>439</v>
      </c>
      <c r="D3673" s="1" t="str">
        <f t="shared" si="103"/>
        <v>PRG-1022967</v>
      </c>
      <c r="E3673" t="s">
        <v>82</v>
      </c>
      <c r="F3673" t="s">
        <v>4</v>
      </c>
      <c r="G3673" t="str">
        <f>""</f>
        <v/>
      </c>
    </row>
    <row r="3674" spans="1:7" x14ac:dyDescent="0.25">
      <c r="A3674" t="s">
        <v>8</v>
      </c>
      <c r="B3674" s="1" t="str">
        <f>"000302027 - RICH FOODS VARIETY-ARAMARK"</f>
        <v>000302027 - RICH FOODS VARIETY-ARAMARK</v>
      </c>
      <c r="C3674" t="s">
        <v>439</v>
      </c>
      <c r="D3674" s="1" t="str">
        <f t="shared" si="103"/>
        <v>PRG-1022967</v>
      </c>
      <c r="E3674" t="s">
        <v>82</v>
      </c>
      <c r="F3674" t="s">
        <v>4</v>
      </c>
      <c r="G3674" t="str">
        <f>""</f>
        <v/>
      </c>
    </row>
    <row r="3675" spans="1:7" x14ac:dyDescent="0.25">
      <c r="A3675" t="s">
        <v>8</v>
      </c>
      <c r="B3675" s="1" t="str">
        <f>"000303030 - RICH FDS-ARAMARK MAIN EX K12"</f>
        <v>000303030 - RICH FDS-ARAMARK MAIN EX K12</v>
      </c>
      <c r="C3675" t="s">
        <v>511</v>
      </c>
      <c r="D3675" s="1" t="str">
        <f t="shared" si="103"/>
        <v>PRG-1022967</v>
      </c>
      <c r="E3675" t="s">
        <v>82</v>
      </c>
      <c r="F3675" t="s">
        <v>4</v>
      </c>
      <c r="G3675" t="str">
        <f>""</f>
        <v/>
      </c>
    </row>
    <row r="3676" spans="1:7" x14ac:dyDescent="0.25">
      <c r="A3676" t="s">
        <v>8</v>
      </c>
      <c r="B3676" s="1" t="str">
        <f>"000303855 - RICH FDS-ARAMARK MAIN EX K12"</f>
        <v>000303855 - RICH FDS-ARAMARK MAIN EX K12</v>
      </c>
      <c r="C3676" t="s">
        <v>511</v>
      </c>
      <c r="D3676" s="1" t="str">
        <f t="shared" si="103"/>
        <v>PRG-1022967</v>
      </c>
      <c r="E3676" t="s">
        <v>82</v>
      </c>
      <c r="F3676" t="s">
        <v>4</v>
      </c>
      <c r="G3676" t="str">
        <f>""</f>
        <v/>
      </c>
    </row>
    <row r="3677" spans="1:7" x14ac:dyDescent="0.25">
      <c r="A3677" t="s">
        <v>8</v>
      </c>
      <c r="B3677" s="1" t="str">
        <f>"000304412 - RICH FOOD-ARAMARK LC"</f>
        <v>000304412 - RICH FOOD-ARAMARK LC</v>
      </c>
      <c r="C3677" t="s">
        <v>457</v>
      </c>
      <c r="D3677" s="1" t="str">
        <f t="shared" si="103"/>
        <v>PRG-1022967</v>
      </c>
      <c r="E3677" t="s">
        <v>82</v>
      </c>
      <c r="F3677" t="s">
        <v>4</v>
      </c>
      <c r="G3677" t="str">
        <f>""</f>
        <v/>
      </c>
    </row>
    <row r="3678" spans="1:7" x14ac:dyDescent="0.25">
      <c r="A3678" t="s">
        <v>8</v>
      </c>
      <c r="B3678" s="1" t="str">
        <f>"000304596 - RICH FOODS MAIN-ARAMARK"</f>
        <v>000304596 - RICH FOODS MAIN-ARAMARK</v>
      </c>
      <c r="C3678" t="s">
        <v>494</v>
      </c>
      <c r="D3678" s="1" t="str">
        <f t="shared" si="103"/>
        <v>PRG-1022967</v>
      </c>
      <c r="E3678" t="s">
        <v>82</v>
      </c>
      <c r="F3678" t="s">
        <v>4</v>
      </c>
      <c r="G3678" t="str">
        <f>""</f>
        <v/>
      </c>
    </row>
    <row r="3679" spans="1:7" x14ac:dyDescent="0.25">
      <c r="A3679" t="s">
        <v>8</v>
      </c>
      <c r="B3679" s="1" t="str">
        <f>"000305872 - RICH VARIETY-ARAMARK"</f>
        <v>000305872 - RICH VARIETY-ARAMARK</v>
      </c>
      <c r="C3679" t="s">
        <v>471</v>
      </c>
      <c r="D3679" s="1" t="str">
        <f t="shared" si="103"/>
        <v>PRG-1022967</v>
      </c>
      <c r="E3679" t="s">
        <v>82</v>
      </c>
      <c r="F3679" t="s">
        <v>4</v>
      </c>
      <c r="G3679" t="str">
        <f>""</f>
        <v/>
      </c>
    </row>
    <row r="3680" spans="1:7" x14ac:dyDescent="0.25">
      <c r="A3680" t="s">
        <v>8</v>
      </c>
      <c r="B3680" s="1" t="str">
        <f>"000306501 - RICH FOOD-ARAMARK LC"</f>
        <v>000306501 - RICH FOOD-ARAMARK LC</v>
      </c>
      <c r="C3680" t="s">
        <v>457</v>
      </c>
      <c r="D3680" s="1" t="str">
        <f t="shared" si="103"/>
        <v>PRG-1022967</v>
      </c>
      <c r="E3680" t="s">
        <v>82</v>
      </c>
      <c r="F3680" t="s">
        <v>4</v>
      </c>
      <c r="G3680" t="str">
        <f>""</f>
        <v/>
      </c>
    </row>
    <row r="3681" spans="1:7" x14ac:dyDescent="0.25">
      <c r="A3681" t="s">
        <v>8</v>
      </c>
      <c r="B3681" s="1" t="str">
        <f>"000308026 - RICH VARIETY-ARAMARK"</f>
        <v>000308026 - RICH VARIETY-ARAMARK</v>
      </c>
      <c r="C3681" t="s">
        <v>471</v>
      </c>
      <c r="D3681" s="1" t="str">
        <f t="shared" ref="D3681:D3698" si="104">"PRG-1022967"</f>
        <v>PRG-1022967</v>
      </c>
      <c r="E3681" t="s">
        <v>82</v>
      </c>
      <c r="F3681" t="s">
        <v>4</v>
      </c>
      <c r="G3681" t="str">
        <f>""</f>
        <v/>
      </c>
    </row>
    <row r="3682" spans="1:7" x14ac:dyDescent="0.25">
      <c r="A3682" t="s">
        <v>8</v>
      </c>
      <c r="B3682" s="1" t="str">
        <f>"000309972 - RICH FOODS MAIN-ARAMARK"</f>
        <v>000309972 - RICH FOODS MAIN-ARAMARK</v>
      </c>
      <c r="C3682" t="s">
        <v>494</v>
      </c>
      <c r="D3682" s="1" t="str">
        <f t="shared" si="104"/>
        <v>PRG-1022967</v>
      </c>
      <c r="E3682" t="s">
        <v>82</v>
      </c>
      <c r="F3682" t="s">
        <v>4</v>
      </c>
      <c r="G3682" t="str">
        <f>""</f>
        <v/>
      </c>
    </row>
    <row r="3683" spans="1:7" x14ac:dyDescent="0.25">
      <c r="A3683" t="s">
        <v>8</v>
      </c>
      <c r="B3683" s="1" t="str">
        <f>"000310605 - RICH FDS-ARAMARK MAIN EX K12"</f>
        <v>000310605 - RICH FDS-ARAMARK MAIN EX K12</v>
      </c>
      <c r="C3683" t="s">
        <v>511</v>
      </c>
      <c r="D3683" s="1" t="str">
        <f t="shared" si="104"/>
        <v>PRG-1022967</v>
      </c>
      <c r="E3683" t="s">
        <v>82</v>
      </c>
      <c r="F3683" t="s">
        <v>4</v>
      </c>
      <c r="G3683" t="str">
        <f>""</f>
        <v/>
      </c>
    </row>
    <row r="3684" spans="1:7" x14ac:dyDescent="0.25">
      <c r="A3684" t="s">
        <v>8</v>
      </c>
      <c r="B3684" s="1" t="str">
        <f>"000312661 - RICH FOODS MAIN-ARAMARK"</f>
        <v>000312661 - RICH FOODS MAIN-ARAMARK</v>
      </c>
      <c r="C3684" t="s">
        <v>494</v>
      </c>
      <c r="D3684" s="1" t="str">
        <f t="shared" si="104"/>
        <v>PRG-1022967</v>
      </c>
      <c r="E3684" t="s">
        <v>82</v>
      </c>
      <c r="F3684" t="s">
        <v>4</v>
      </c>
      <c r="G3684" t="str">
        <f>""</f>
        <v/>
      </c>
    </row>
    <row r="3685" spans="1:7" x14ac:dyDescent="0.25">
      <c r="A3685" t="s">
        <v>8</v>
      </c>
      <c r="B3685" s="1" t="str">
        <f>"000314705 - RICH FDS-ARAMARK MAIN EX K12"</f>
        <v>000314705 - RICH FDS-ARAMARK MAIN EX K12</v>
      </c>
      <c r="C3685" t="s">
        <v>511</v>
      </c>
      <c r="D3685" s="1" t="str">
        <f t="shared" si="104"/>
        <v>PRG-1022967</v>
      </c>
      <c r="E3685" t="s">
        <v>82</v>
      </c>
      <c r="F3685" t="s">
        <v>4</v>
      </c>
      <c r="G3685" t="str">
        <f>""</f>
        <v/>
      </c>
    </row>
    <row r="3686" spans="1:7" x14ac:dyDescent="0.25">
      <c r="A3686" t="s">
        <v>8</v>
      </c>
      <c r="B3686" s="1" t="str">
        <f>"000316907 - RICH FOOD-ARAMARK LC"</f>
        <v>000316907 - RICH FOOD-ARAMARK LC</v>
      </c>
      <c r="C3686" t="s">
        <v>457</v>
      </c>
      <c r="D3686" s="1" t="str">
        <f t="shared" si="104"/>
        <v>PRG-1022967</v>
      </c>
      <c r="E3686" t="s">
        <v>82</v>
      </c>
      <c r="F3686" t="s">
        <v>4</v>
      </c>
      <c r="G3686" t="str">
        <f>""</f>
        <v/>
      </c>
    </row>
    <row r="3687" spans="1:7" x14ac:dyDescent="0.25">
      <c r="A3687" t="s">
        <v>8</v>
      </c>
      <c r="B3687" s="1" t="str">
        <f>"000317723 - RICH FDS-ARAMARK MAIN EX K12"</f>
        <v>000317723 - RICH FDS-ARAMARK MAIN EX K12</v>
      </c>
      <c r="C3687" t="s">
        <v>511</v>
      </c>
      <c r="D3687" s="1" t="str">
        <f t="shared" si="104"/>
        <v>PRG-1022967</v>
      </c>
      <c r="E3687" t="s">
        <v>82</v>
      </c>
      <c r="F3687" t="s">
        <v>4</v>
      </c>
      <c r="G3687" t="str">
        <f>""</f>
        <v/>
      </c>
    </row>
    <row r="3688" spans="1:7" x14ac:dyDescent="0.25">
      <c r="A3688" t="s">
        <v>8</v>
      </c>
      <c r="B3688" s="1" t="str">
        <f>"000318522 - RICH VARIETY-ARAMARK"</f>
        <v>000318522 - RICH VARIETY-ARAMARK</v>
      </c>
      <c r="C3688" t="s">
        <v>471</v>
      </c>
      <c r="D3688" s="1" t="str">
        <f t="shared" si="104"/>
        <v>PRG-1022967</v>
      </c>
      <c r="E3688" t="s">
        <v>82</v>
      </c>
      <c r="F3688" t="s">
        <v>4</v>
      </c>
      <c r="G3688" t="str">
        <f>""</f>
        <v/>
      </c>
    </row>
    <row r="3689" spans="1:7" x14ac:dyDescent="0.25">
      <c r="A3689" t="s">
        <v>8</v>
      </c>
      <c r="B3689" s="1" t="str">
        <f>"000322714 - RICH FOODS MAIN-ARAMARK"</f>
        <v>000322714 - RICH FOODS MAIN-ARAMARK</v>
      </c>
      <c r="C3689" t="s">
        <v>494</v>
      </c>
      <c r="D3689" s="1" t="str">
        <f t="shared" si="104"/>
        <v>PRG-1022967</v>
      </c>
      <c r="E3689" t="s">
        <v>82</v>
      </c>
      <c r="F3689" t="s">
        <v>4</v>
      </c>
      <c r="G3689" t="str">
        <f>""</f>
        <v/>
      </c>
    </row>
    <row r="3690" spans="1:7" x14ac:dyDescent="0.25">
      <c r="A3690" t="s">
        <v>8</v>
      </c>
      <c r="B3690" s="1" t="str">
        <f>"000327691 - RICH FOODS MAIN-ARAMARK"</f>
        <v>000327691 - RICH FOODS MAIN-ARAMARK</v>
      </c>
      <c r="C3690" t="s">
        <v>494</v>
      </c>
      <c r="D3690" s="1" t="str">
        <f t="shared" si="104"/>
        <v>PRG-1022967</v>
      </c>
      <c r="E3690" t="s">
        <v>82</v>
      </c>
      <c r="F3690" t="s">
        <v>4</v>
      </c>
      <c r="G3690" t="str">
        <f>""</f>
        <v/>
      </c>
    </row>
    <row r="3691" spans="1:7" x14ac:dyDescent="0.25">
      <c r="A3691" t="s">
        <v>8</v>
      </c>
      <c r="B3691" s="1" t="str">
        <f>"000327692 - RICH FOODS MAIN-ARAMARK"</f>
        <v>000327692 - RICH FOODS MAIN-ARAMARK</v>
      </c>
      <c r="C3691" t="s">
        <v>494</v>
      </c>
      <c r="D3691" s="1" t="str">
        <f t="shared" si="104"/>
        <v>PRG-1022967</v>
      </c>
      <c r="E3691" t="s">
        <v>82</v>
      </c>
      <c r="F3691" t="s">
        <v>4</v>
      </c>
      <c r="G3691" t="str">
        <f>""</f>
        <v/>
      </c>
    </row>
    <row r="3692" spans="1:7" x14ac:dyDescent="0.25">
      <c r="A3692" t="s">
        <v>8</v>
      </c>
      <c r="B3692" s="1" t="str">
        <f>"000328328 - RICH FDS-ARAMARK MAIN EX K12"</f>
        <v>000328328 - RICH FDS-ARAMARK MAIN EX K12</v>
      </c>
      <c r="C3692" t="s">
        <v>511</v>
      </c>
      <c r="D3692" s="1" t="str">
        <f t="shared" si="104"/>
        <v>PRG-1022967</v>
      </c>
      <c r="E3692" t="s">
        <v>82</v>
      </c>
      <c r="F3692" t="s">
        <v>4</v>
      </c>
      <c r="G3692" t="str">
        <f>""</f>
        <v/>
      </c>
    </row>
    <row r="3693" spans="1:7" x14ac:dyDescent="0.25">
      <c r="A3693" t="s">
        <v>8</v>
      </c>
      <c r="B3693" s="1" t="str">
        <f>"2000187211 - RICH FOODS (VARIETY)-ARAMARK"</f>
        <v>2000187211 - RICH FOODS (VARIETY)-ARAMARK</v>
      </c>
      <c r="C3693" t="s">
        <v>3919</v>
      </c>
      <c r="D3693" s="1" t="str">
        <f t="shared" si="104"/>
        <v>PRG-1022967</v>
      </c>
      <c r="E3693" t="s">
        <v>82</v>
      </c>
      <c r="F3693" t="s">
        <v>4</v>
      </c>
      <c r="G3693" t="str">
        <f>""</f>
        <v/>
      </c>
    </row>
    <row r="3694" spans="1:7" x14ac:dyDescent="0.25">
      <c r="A3694" t="s">
        <v>8</v>
      </c>
      <c r="B3694" s="1" t="str">
        <f>"2000187212 - RICH FOODS VARIETY-ARAMARK K12"</f>
        <v>2000187212 - RICH FOODS VARIETY-ARAMARK K12</v>
      </c>
      <c r="C3694" t="s">
        <v>3920</v>
      </c>
      <c r="D3694" s="1" t="str">
        <f t="shared" si="104"/>
        <v>PRG-1022967</v>
      </c>
      <c r="E3694" t="s">
        <v>82</v>
      </c>
      <c r="F3694" t="s">
        <v>4</v>
      </c>
      <c r="G3694" t="str">
        <f>""</f>
        <v/>
      </c>
    </row>
    <row r="3695" spans="1:7" x14ac:dyDescent="0.25">
      <c r="A3695" t="s">
        <v>8</v>
      </c>
      <c r="B3695" s="1" t="str">
        <f>"2000222560 - RICH FOODS VARIETY-ARAMARK"</f>
        <v>2000222560 - RICH FOODS VARIETY-ARAMARK</v>
      </c>
      <c r="C3695" t="s">
        <v>439</v>
      </c>
      <c r="D3695" s="1" t="str">
        <f t="shared" si="104"/>
        <v>PRG-1022967</v>
      </c>
      <c r="E3695" t="s">
        <v>82</v>
      </c>
      <c r="F3695" t="s">
        <v>4</v>
      </c>
      <c r="G3695" t="str">
        <f>""</f>
        <v/>
      </c>
    </row>
    <row r="3696" spans="1:7" x14ac:dyDescent="0.25">
      <c r="A3696" t="s">
        <v>8</v>
      </c>
      <c r="B3696" s="1" t="str">
        <f>"2000237430 - RICH FOODS VARIETY-ARAMARK"</f>
        <v>2000237430 - RICH FOODS VARIETY-ARAMARK</v>
      </c>
      <c r="C3696" t="s">
        <v>439</v>
      </c>
      <c r="D3696" s="1" t="str">
        <f t="shared" si="104"/>
        <v>PRG-1022967</v>
      </c>
      <c r="E3696" t="s">
        <v>82</v>
      </c>
      <c r="F3696" t="s">
        <v>4</v>
      </c>
      <c r="G3696" t="str">
        <f>""</f>
        <v/>
      </c>
    </row>
    <row r="3697" spans="1:7" x14ac:dyDescent="0.25">
      <c r="A3697" t="s">
        <v>8</v>
      </c>
      <c r="B3697" s="1" t="str">
        <f>"2000237609 - RICH FOODS VARIETY-ARAMARK SSS"</f>
        <v>2000237609 - RICH FOODS VARIETY-ARAMARK SSS</v>
      </c>
      <c r="C3697" t="s">
        <v>3989</v>
      </c>
      <c r="D3697" s="1" t="str">
        <f t="shared" si="104"/>
        <v>PRG-1022967</v>
      </c>
      <c r="E3697" t="s">
        <v>82</v>
      </c>
      <c r="F3697" t="s">
        <v>4</v>
      </c>
      <c r="G3697" t="str">
        <f>""</f>
        <v/>
      </c>
    </row>
    <row r="3698" spans="1:7" x14ac:dyDescent="0.25">
      <c r="A3698" t="s">
        <v>8</v>
      </c>
      <c r="B3698" s="1" t="str">
        <f>"2000261351 - RICH FOODS VARIETY-ARAMARK"</f>
        <v>2000261351 - RICH FOODS VARIETY-ARAMARK</v>
      </c>
      <c r="C3698" t="s">
        <v>439</v>
      </c>
      <c r="D3698" s="1" t="str">
        <f t="shared" si="104"/>
        <v>PRG-1022967</v>
      </c>
      <c r="E3698" t="s">
        <v>82</v>
      </c>
      <c r="F3698" t="s">
        <v>4</v>
      </c>
      <c r="G3698" t="str">
        <f>""</f>
        <v/>
      </c>
    </row>
    <row r="3699" spans="1:7" x14ac:dyDescent="0.25">
      <c r="A3699" t="s">
        <v>8</v>
      </c>
      <c r="B3699" s="1" t="str">
        <f>"000035137 - RICH FOODS-ARA K12"</f>
        <v>000035137 - RICH FOODS-ARA K12</v>
      </c>
      <c r="C3699" t="s">
        <v>524</v>
      </c>
      <c r="D3699" s="1" t="str">
        <f t="shared" ref="D3699:D3730" si="105">"PRG-1022968"</f>
        <v>PRG-1022968</v>
      </c>
      <c r="E3699" t="s">
        <v>368</v>
      </c>
      <c r="F3699" t="s">
        <v>4</v>
      </c>
      <c r="G3699" t="str">
        <f>""</f>
        <v/>
      </c>
    </row>
    <row r="3700" spans="1:7" x14ac:dyDescent="0.25">
      <c r="A3700" t="s">
        <v>8</v>
      </c>
      <c r="B3700" s="1" t="str">
        <f>"000095055 - RICH FOODS-ARA K12"</f>
        <v>000095055 - RICH FOODS-ARA K12</v>
      </c>
      <c r="C3700" t="s">
        <v>524</v>
      </c>
      <c r="D3700" s="1" t="str">
        <f t="shared" si="105"/>
        <v>PRG-1022968</v>
      </c>
      <c r="E3700" t="s">
        <v>368</v>
      </c>
      <c r="F3700" t="s">
        <v>4</v>
      </c>
      <c r="G3700" t="str">
        <f>""</f>
        <v/>
      </c>
    </row>
    <row r="3701" spans="1:7" x14ac:dyDescent="0.25">
      <c r="A3701" t="s">
        <v>8</v>
      </c>
      <c r="B3701" s="1" t="str">
        <f>"000117595 - RICH FOODS-ARA K12"</f>
        <v>000117595 - RICH FOODS-ARA K12</v>
      </c>
      <c r="C3701" t="s">
        <v>524</v>
      </c>
      <c r="D3701" s="1" t="str">
        <f t="shared" si="105"/>
        <v>PRG-1022968</v>
      </c>
      <c r="E3701" t="s">
        <v>368</v>
      </c>
      <c r="F3701" t="s">
        <v>4</v>
      </c>
      <c r="G3701" t="str">
        <f>""</f>
        <v/>
      </c>
    </row>
    <row r="3702" spans="1:7" x14ac:dyDescent="0.25">
      <c r="A3702" t="s">
        <v>8</v>
      </c>
      <c r="B3702" s="1" t="str">
        <f>"000182903 - RICH FOODS VARIETY-ARAMARK"</f>
        <v>000182903 - RICH FOODS VARIETY-ARAMARK</v>
      </c>
      <c r="C3702" t="s">
        <v>439</v>
      </c>
      <c r="D3702" s="1" t="str">
        <f t="shared" si="105"/>
        <v>PRG-1022968</v>
      </c>
      <c r="E3702" t="s">
        <v>368</v>
      </c>
      <c r="F3702" t="s">
        <v>4</v>
      </c>
      <c r="G3702" t="str">
        <f>""</f>
        <v/>
      </c>
    </row>
    <row r="3703" spans="1:7" x14ac:dyDescent="0.25">
      <c r="A3703" t="s">
        <v>8</v>
      </c>
      <c r="B3703" s="1" t="str">
        <f>"000182905 - RICH FOODS VARIETY-ARA SSS"</f>
        <v>000182905 - RICH FOODS VARIETY-ARA SSS</v>
      </c>
      <c r="C3703" t="s">
        <v>452</v>
      </c>
      <c r="D3703" s="1" t="str">
        <f t="shared" si="105"/>
        <v>PRG-1022968</v>
      </c>
      <c r="E3703" t="s">
        <v>368</v>
      </c>
      <c r="F3703" t="s">
        <v>4</v>
      </c>
      <c r="G3703" t="str">
        <f>""</f>
        <v/>
      </c>
    </row>
    <row r="3704" spans="1:7" x14ac:dyDescent="0.25">
      <c r="A3704" t="s">
        <v>8</v>
      </c>
      <c r="B3704" s="1" t="str">
        <f>"000183219 - RICH FOODS-ARA K12"</f>
        <v>000183219 - RICH FOODS-ARA K12</v>
      </c>
      <c r="C3704" t="s">
        <v>524</v>
      </c>
      <c r="D3704" s="1" t="str">
        <f t="shared" si="105"/>
        <v>PRG-1022968</v>
      </c>
      <c r="E3704" t="s">
        <v>368</v>
      </c>
      <c r="F3704" t="s">
        <v>4</v>
      </c>
      <c r="G3704" t="str">
        <f>""</f>
        <v/>
      </c>
    </row>
    <row r="3705" spans="1:7" x14ac:dyDescent="0.25">
      <c r="A3705" t="s">
        <v>8</v>
      </c>
      <c r="B3705" s="1" t="str">
        <f>"000190949 - RICH FOODS-ARA K12"</f>
        <v>000190949 - RICH FOODS-ARA K12</v>
      </c>
      <c r="C3705" t="s">
        <v>524</v>
      </c>
      <c r="D3705" s="1" t="str">
        <f t="shared" si="105"/>
        <v>PRG-1022968</v>
      </c>
      <c r="E3705" t="s">
        <v>368</v>
      </c>
      <c r="F3705" t="s">
        <v>4</v>
      </c>
      <c r="G3705" t="str">
        <f>""</f>
        <v/>
      </c>
    </row>
    <row r="3706" spans="1:7" x14ac:dyDescent="0.25">
      <c r="A3706" t="s">
        <v>8</v>
      </c>
      <c r="B3706" s="1" t="str">
        <f>"000200025 - RICH FOODS VARIETY-ARA SSS"</f>
        <v>000200025 - RICH FOODS VARIETY-ARA SSS</v>
      </c>
      <c r="C3706" t="s">
        <v>452</v>
      </c>
      <c r="D3706" s="1" t="str">
        <f t="shared" si="105"/>
        <v>PRG-1022968</v>
      </c>
      <c r="E3706" t="s">
        <v>368</v>
      </c>
      <c r="F3706" t="s">
        <v>4</v>
      </c>
      <c r="G3706" t="str">
        <f>""</f>
        <v/>
      </c>
    </row>
    <row r="3707" spans="1:7" x14ac:dyDescent="0.25">
      <c r="A3707" t="s">
        <v>8</v>
      </c>
      <c r="B3707" s="1" t="str">
        <f>"000200680 - RICH FOODS VARIETY-ARAMARK"</f>
        <v>000200680 - RICH FOODS VARIETY-ARAMARK</v>
      </c>
      <c r="C3707" t="s">
        <v>439</v>
      </c>
      <c r="D3707" s="1" t="str">
        <f t="shared" si="105"/>
        <v>PRG-1022968</v>
      </c>
      <c r="E3707" t="s">
        <v>368</v>
      </c>
      <c r="F3707" t="s">
        <v>4</v>
      </c>
      <c r="G3707" t="str">
        <f>""</f>
        <v/>
      </c>
    </row>
    <row r="3708" spans="1:7" x14ac:dyDescent="0.25">
      <c r="A3708" t="s">
        <v>8</v>
      </c>
      <c r="B3708" s="1" t="str">
        <f>"000200682 - RICH FOODS VARIETY-ARA SSS"</f>
        <v>000200682 - RICH FOODS VARIETY-ARA SSS</v>
      </c>
      <c r="C3708" t="s">
        <v>452</v>
      </c>
      <c r="D3708" s="1" t="str">
        <f t="shared" si="105"/>
        <v>PRG-1022968</v>
      </c>
      <c r="E3708" t="s">
        <v>368</v>
      </c>
      <c r="F3708" t="s">
        <v>4</v>
      </c>
      <c r="G3708" t="str">
        <f>""</f>
        <v/>
      </c>
    </row>
    <row r="3709" spans="1:7" x14ac:dyDescent="0.25">
      <c r="A3709" t="s">
        <v>8</v>
      </c>
      <c r="B3709" s="1" t="str">
        <f>"000200840 - RICH FOODS VARIETY-ARAMARK"</f>
        <v>000200840 - RICH FOODS VARIETY-ARAMARK</v>
      </c>
      <c r="C3709" t="s">
        <v>439</v>
      </c>
      <c r="D3709" s="1" t="str">
        <f t="shared" si="105"/>
        <v>PRG-1022968</v>
      </c>
      <c r="E3709" t="s">
        <v>368</v>
      </c>
      <c r="F3709" t="s">
        <v>4</v>
      </c>
      <c r="G3709" t="str">
        <f>""</f>
        <v/>
      </c>
    </row>
    <row r="3710" spans="1:7" x14ac:dyDescent="0.25">
      <c r="A3710" t="s">
        <v>8</v>
      </c>
      <c r="B3710" s="1" t="str">
        <f>"000200884 - RICH FOODS VARIETY-ARA SSS"</f>
        <v>000200884 - RICH FOODS VARIETY-ARA SSS</v>
      </c>
      <c r="C3710" t="s">
        <v>452</v>
      </c>
      <c r="D3710" s="1" t="str">
        <f t="shared" si="105"/>
        <v>PRG-1022968</v>
      </c>
      <c r="E3710" t="s">
        <v>368</v>
      </c>
      <c r="F3710" t="s">
        <v>4</v>
      </c>
      <c r="G3710" t="str">
        <f>""</f>
        <v/>
      </c>
    </row>
    <row r="3711" spans="1:7" x14ac:dyDescent="0.25">
      <c r="A3711" t="s">
        <v>8</v>
      </c>
      <c r="B3711" s="1" t="str">
        <f>"000202019 - USDA-RICH'S ARAMARK B198"</f>
        <v>000202019 - USDA-RICH'S ARAMARK B198</v>
      </c>
      <c r="C3711" t="s">
        <v>1321</v>
      </c>
      <c r="D3711" s="1" t="str">
        <f t="shared" si="105"/>
        <v>PRG-1022968</v>
      </c>
      <c r="E3711" t="s">
        <v>368</v>
      </c>
      <c r="F3711" t="s">
        <v>4</v>
      </c>
      <c r="G3711" t="str">
        <f>""</f>
        <v/>
      </c>
    </row>
    <row r="3712" spans="1:7" x14ac:dyDescent="0.25">
      <c r="A3712" t="s">
        <v>8</v>
      </c>
      <c r="B3712" s="1" t="str">
        <f>"000202512 - BB ARA SSS FOB RICHS"</f>
        <v>000202512 - BB ARA SSS FOB RICHS</v>
      </c>
      <c r="C3712" t="s">
        <v>1230</v>
      </c>
      <c r="D3712" s="1" t="str">
        <f t="shared" si="105"/>
        <v>PRG-1022968</v>
      </c>
      <c r="E3712" t="s">
        <v>368</v>
      </c>
      <c r="F3712" t="s">
        <v>4</v>
      </c>
      <c r="G3712" t="str">
        <f>""</f>
        <v/>
      </c>
    </row>
    <row r="3713" spans="1:7" x14ac:dyDescent="0.25">
      <c r="A3713" t="s">
        <v>8</v>
      </c>
      <c r="B3713" s="1" t="str">
        <f>"000203976 - RICH VARIETY-ARA SSS"</f>
        <v>000203976 - RICH VARIETY-ARA SSS</v>
      </c>
      <c r="C3713" t="s">
        <v>500</v>
      </c>
      <c r="D3713" s="1" t="str">
        <f t="shared" si="105"/>
        <v>PRG-1022968</v>
      </c>
      <c r="E3713" t="s">
        <v>368</v>
      </c>
      <c r="F3713" t="s">
        <v>4</v>
      </c>
      <c r="G3713" t="str">
        <f>""</f>
        <v/>
      </c>
    </row>
    <row r="3714" spans="1:7" x14ac:dyDescent="0.25">
      <c r="A3714" t="s">
        <v>8</v>
      </c>
      <c r="B3714" s="1" t="str">
        <f>"000205958 - RICH VARIETY-ARA SSS"</f>
        <v>000205958 - RICH VARIETY-ARA SSS</v>
      </c>
      <c r="C3714" t="s">
        <v>500</v>
      </c>
      <c r="D3714" s="1" t="str">
        <f t="shared" si="105"/>
        <v>PRG-1022968</v>
      </c>
      <c r="E3714" t="s">
        <v>368</v>
      </c>
      <c r="F3714" t="s">
        <v>4</v>
      </c>
      <c r="G3714" t="str">
        <f>""</f>
        <v/>
      </c>
    </row>
    <row r="3715" spans="1:7" x14ac:dyDescent="0.25">
      <c r="A3715" t="s">
        <v>8</v>
      </c>
      <c r="B3715" s="1" t="str">
        <f>"000206561 - RICH FOODS-ARA K12"</f>
        <v>000206561 - RICH FOODS-ARA K12</v>
      </c>
      <c r="C3715" t="s">
        <v>524</v>
      </c>
      <c r="D3715" s="1" t="str">
        <f t="shared" si="105"/>
        <v>PRG-1022968</v>
      </c>
      <c r="E3715" t="s">
        <v>368</v>
      </c>
      <c r="F3715" t="s">
        <v>4</v>
      </c>
      <c r="G3715" t="str">
        <f>""</f>
        <v/>
      </c>
    </row>
    <row r="3716" spans="1:7" x14ac:dyDescent="0.25">
      <c r="A3716" t="s">
        <v>8</v>
      </c>
      <c r="B3716" s="1" t="str">
        <f>"000206977 - RICH VARIETY-ARAMARK"</f>
        <v>000206977 - RICH VARIETY-ARAMARK</v>
      </c>
      <c r="C3716" t="s">
        <v>471</v>
      </c>
      <c r="D3716" s="1" t="str">
        <f t="shared" si="105"/>
        <v>PRG-1022968</v>
      </c>
      <c r="E3716" t="s">
        <v>368</v>
      </c>
      <c r="F3716" t="s">
        <v>4</v>
      </c>
      <c r="G3716" t="str">
        <f>""</f>
        <v/>
      </c>
    </row>
    <row r="3717" spans="1:7" x14ac:dyDescent="0.25">
      <c r="A3717" t="s">
        <v>8</v>
      </c>
      <c r="B3717" s="1" t="str">
        <f>"000207009 - RICH FOODS-ARA K12"</f>
        <v>000207009 - RICH FOODS-ARA K12</v>
      </c>
      <c r="C3717" t="s">
        <v>524</v>
      </c>
      <c r="D3717" s="1" t="str">
        <f t="shared" si="105"/>
        <v>PRG-1022968</v>
      </c>
      <c r="E3717" t="s">
        <v>368</v>
      </c>
      <c r="F3717" t="s">
        <v>4</v>
      </c>
      <c r="G3717" t="str">
        <f>""</f>
        <v/>
      </c>
    </row>
    <row r="3718" spans="1:7" x14ac:dyDescent="0.25">
      <c r="A3718" t="s">
        <v>8</v>
      </c>
      <c r="B3718" s="1" t="str">
        <f>"000207015 - RICH VARIETY-ARA SSS"</f>
        <v>000207015 - RICH VARIETY-ARA SSS</v>
      </c>
      <c r="C3718" t="s">
        <v>500</v>
      </c>
      <c r="D3718" s="1" t="str">
        <f t="shared" si="105"/>
        <v>PRG-1022968</v>
      </c>
      <c r="E3718" t="s">
        <v>368</v>
      </c>
      <c r="F3718" t="s">
        <v>4</v>
      </c>
      <c r="G3718" t="str">
        <f>""</f>
        <v/>
      </c>
    </row>
    <row r="3719" spans="1:7" x14ac:dyDescent="0.25">
      <c r="A3719" t="s">
        <v>8</v>
      </c>
      <c r="B3719" s="1" t="str">
        <f>"000207840 - RICH FOODS VARIETY-ARA SSS"</f>
        <v>000207840 - RICH FOODS VARIETY-ARA SSS</v>
      </c>
      <c r="C3719" t="s">
        <v>452</v>
      </c>
      <c r="D3719" s="1" t="str">
        <f t="shared" si="105"/>
        <v>PRG-1022968</v>
      </c>
      <c r="E3719" t="s">
        <v>368</v>
      </c>
      <c r="F3719" t="s">
        <v>4</v>
      </c>
      <c r="G3719" t="str">
        <f>""</f>
        <v/>
      </c>
    </row>
    <row r="3720" spans="1:7" x14ac:dyDescent="0.25">
      <c r="A3720" t="s">
        <v>8</v>
      </c>
      <c r="B3720" s="1" t="str">
        <f>"000209734 - RICH FOODS VARIETY-ARAMARK"</f>
        <v>000209734 - RICH FOODS VARIETY-ARAMARK</v>
      </c>
      <c r="C3720" t="s">
        <v>439</v>
      </c>
      <c r="D3720" s="1" t="str">
        <f t="shared" si="105"/>
        <v>PRG-1022968</v>
      </c>
      <c r="E3720" t="s">
        <v>368</v>
      </c>
      <c r="F3720" t="s">
        <v>4</v>
      </c>
      <c r="G3720" t="str">
        <f>""</f>
        <v/>
      </c>
    </row>
    <row r="3721" spans="1:7" x14ac:dyDescent="0.25">
      <c r="A3721" t="s">
        <v>8</v>
      </c>
      <c r="B3721" s="1" t="str">
        <f>"000211073 - RICH FOODS VARIETY-ARAMARK"</f>
        <v>000211073 - RICH FOODS VARIETY-ARAMARK</v>
      </c>
      <c r="C3721" t="s">
        <v>439</v>
      </c>
      <c r="D3721" s="1" t="str">
        <f t="shared" si="105"/>
        <v>PRG-1022968</v>
      </c>
      <c r="E3721" t="s">
        <v>368</v>
      </c>
      <c r="F3721" t="s">
        <v>4</v>
      </c>
      <c r="G3721" t="str">
        <f>""</f>
        <v/>
      </c>
    </row>
    <row r="3722" spans="1:7" x14ac:dyDescent="0.25">
      <c r="A3722" t="s">
        <v>8</v>
      </c>
      <c r="B3722" s="1" t="str">
        <f>"000211075 - RICH FOODS VARIETY-ARA SSS"</f>
        <v>000211075 - RICH FOODS VARIETY-ARA SSS</v>
      </c>
      <c r="C3722" t="s">
        <v>452</v>
      </c>
      <c r="D3722" s="1" t="str">
        <f t="shared" si="105"/>
        <v>PRG-1022968</v>
      </c>
      <c r="E3722" t="s">
        <v>368</v>
      </c>
      <c r="F3722" t="s">
        <v>4</v>
      </c>
      <c r="G3722" t="str">
        <f>""</f>
        <v/>
      </c>
    </row>
    <row r="3723" spans="1:7" x14ac:dyDescent="0.25">
      <c r="A3723" t="s">
        <v>8</v>
      </c>
      <c r="B3723" s="1" t="str">
        <f>"000212659 - RICH VARIETY-ARA SSS"</f>
        <v>000212659 - RICH VARIETY-ARA SSS</v>
      </c>
      <c r="C3723" t="s">
        <v>500</v>
      </c>
      <c r="D3723" s="1" t="str">
        <f t="shared" si="105"/>
        <v>PRG-1022968</v>
      </c>
      <c r="E3723" t="s">
        <v>368</v>
      </c>
      <c r="F3723" t="s">
        <v>4</v>
      </c>
      <c r="G3723" t="str">
        <f>""</f>
        <v/>
      </c>
    </row>
    <row r="3724" spans="1:7" x14ac:dyDescent="0.25">
      <c r="A3724" t="s">
        <v>8</v>
      </c>
      <c r="B3724" s="1" t="str">
        <f>"000216019 - RICH FOODS-ARA K12"</f>
        <v>000216019 - RICH FOODS-ARA K12</v>
      </c>
      <c r="C3724" t="s">
        <v>524</v>
      </c>
      <c r="D3724" s="1" t="str">
        <f t="shared" si="105"/>
        <v>PRG-1022968</v>
      </c>
      <c r="E3724" t="s">
        <v>368</v>
      </c>
      <c r="F3724" t="s">
        <v>4</v>
      </c>
      <c r="G3724" t="str">
        <f>""</f>
        <v/>
      </c>
    </row>
    <row r="3725" spans="1:7" x14ac:dyDescent="0.25">
      <c r="A3725" t="s">
        <v>8</v>
      </c>
      <c r="B3725" s="1" t="str">
        <f>"000218114 - RICH FOODS VARIETY-ARAMARK"</f>
        <v>000218114 - RICH FOODS VARIETY-ARAMARK</v>
      </c>
      <c r="C3725" t="s">
        <v>439</v>
      </c>
      <c r="D3725" s="1" t="str">
        <f t="shared" si="105"/>
        <v>PRG-1022968</v>
      </c>
      <c r="E3725" t="s">
        <v>368</v>
      </c>
      <c r="F3725" t="s">
        <v>4</v>
      </c>
      <c r="G3725" t="str">
        <f>""</f>
        <v/>
      </c>
    </row>
    <row r="3726" spans="1:7" x14ac:dyDescent="0.25">
      <c r="A3726" t="s">
        <v>8</v>
      </c>
      <c r="B3726" s="1" t="str">
        <f>"000221230 - RICH FOODS-ARA K12"</f>
        <v>000221230 - RICH FOODS-ARA K12</v>
      </c>
      <c r="C3726" t="s">
        <v>524</v>
      </c>
      <c r="D3726" s="1" t="str">
        <f t="shared" si="105"/>
        <v>PRG-1022968</v>
      </c>
      <c r="E3726" t="s">
        <v>368</v>
      </c>
      <c r="F3726" t="s">
        <v>4</v>
      </c>
      <c r="G3726" t="str">
        <f>""</f>
        <v/>
      </c>
    </row>
    <row r="3727" spans="1:7" x14ac:dyDescent="0.25">
      <c r="A3727" t="s">
        <v>8</v>
      </c>
      <c r="B3727" s="1" t="str">
        <f>"000222671 - RICH FOODS VARIETY-ARAMARK"</f>
        <v>000222671 - RICH FOODS VARIETY-ARAMARK</v>
      </c>
      <c r="C3727" t="s">
        <v>439</v>
      </c>
      <c r="D3727" s="1" t="str">
        <f t="shared" si="105"/>
        <v>PRG-1022968</v>
      </c>
      <c r="E3727" t="s">
        <v>368</v>
      </c>
      <c r="F3727" t="s">
        <v>4</v>
      </c>
      <c r="G3727" t="str">
        <f>""</f>
        <v/>
      </c>
    </row>
    <row r="3728" spans="1:7" x14ac:dyDescent="0.25">
      <c r="A3728" t="s">
        <v>8</v>
      </c>
      <c r="B3728" s="1" t="str">
        <f>"000222672 - USDA-RICHS ARA RI K-12 SCHLS"</f>
        <v>000222672 - USDA-RICHS ARA RI K-12 SCHLS</v>
      </c>
      <c r="C3728" t="s">
        <v>1632</v>
      </c>
      <c r="D3728" s="1" t="str">
        <f t="shared" si="105"/>
        <v>PRG-1022968</v>
      </c>
      <c r="E3728" t="s">
        <v>368</v>
      </c>
      <c r="F3728" t="s">
        <v>4</v>
      </c>
      <c r="G3728" t="str">
        <f>""</f>
        <v/>
      </c>
    </row>
    <row r="3729" spans="1:7" x14ac:dyDescent="0.25">
      <c r="A3729" t="s">
        <v>8</v>
      </c>
      <c r="B3729" s="1" t="str">
        <f>"000222681 - RICH FOODS VARIETY-ARA SSS"</f>
        <v>000222681 - RICH FOODS VARIETY-ARA SSS</v>
      </c>
      <c r="C3729" t="s">
        <v>452</v>
      </c>
      <c r="D3729" s="1" t="str">
        <f t="shared" si="105"/>
        <v>PRG-1022968</v>
      </c>
      <c r="E3729" t="s">
        <v>368</v>
      </c>
      <c r="F3729" t="s">
        <v>4</v>
      </c>
      <c r="G3729" t="str">
        <f>""</f>
        <v/>
      </c>
    </row>
    <row r="3730" spans="1:7" x14ac:dyDescent="0.25">
      <c r="A3730" t="s">
        <v>8</v>
      </c>
      <c r="B3730" s="1" t="str">
        <f>"000222925 - RICH VARIETY-ARAMARK"</f>
        <v>000222925 - RICH VARIETY-ARAMARK</v>
      </c>
      <c r="C3730" t="s">
        <v>471</v>
      </c>
      <c r="D3730" s="1" t="str">
        <f t="shared" si="105"/>
        <v>PRG-1022968</v>
      </c>
      <c r="E3730" t="s">
        <v>368</v>
      </c>
      <c r="F3730" t="s">
        <v>4</v>
      </c>
      <c r="G3730" t="str">
        <f>""</f>
        <v/>
      </c>
    </row>
    <row r="3731" spans="1:7" x14ac:dyDescent="0.25">
      <c r="A3731" t="s">
        <v>8</v>
      </c>
      <c r="B3731" s="1" t="str">
        <f>"000223639 - RICH FOODS-ARA K12"</f>
        <v>000223639 - RICH FOODS-ARA K12</v>
      </c>
      <c r="C3731" t="s">
        <v>524</v>
      </c>
      <c r="D3731" s="1" t="str">
        <f t="shared" ref="D3731:D3762" si="106">"PRG-1022968"</f>
        <v>PRG-1022968</v>
      </c>
      <c r="E3731" t="s">
        <v>368</v>
      </c>
      <c r="F3731" t="s">
        <v>4</v>
      </c>
      <c r="G3731" t="str">
        <f>""</f>
        <v/>
      </c>
    </row>
    <row r="3732" spans="1:7" x14ac:dyDescent="0.25">
      <c r="A3732" t="s">
        <v>8</v>
      </c>
      <c r="B3732" s="1" t="str">
        <f>"000225316 - RICH FOODS VARIETY-ARA SSS"</f>
        <v>000225316 - RICH FOODS VARIETY-ARA SSS</v>
      </c>
      <c r="C3732" t="s">
        <v>452</v>
      </c>
      <c r="D3732" s="1" t="str">
        <f t="shared" si="106"/>
        <v>PRG-1022968</v>
      </c>
      <c r="E3732" t="s">
        <v>368</v>
      </c>
      <c r="F3732" t="s">
        <v>4</v>
      </c>
      <c r="G3732" t="str">
        <f>""</f>
        <v/>
      </c>
    </row>
    <row r="3733" spans="1:7" x14ac:dyDescent="0.25">
      <c r="A3733" t="s">
        <v>8</v>
      </c>
      <c r="B3733" s="1" t="str">
        <f>"000225890 - RICH FOODS VARIETY-ARA SSS"</f>
        <v>000225890 - RICH FOODS VARIETY-ARA SSS</v>
      </c>
      <c r="C3733" t="s">
        <v>452</v>
      </c>
      <c r="D3733" s="1" t="str">
        <f t="shared" si="106"/>
        <v>PRG-1022968</v>
      </c>
      <c r="E3733" t="s">
        <v>368</v>
      </c>
      <c r="F3733" t="s">
        <v>4</v>
      </c>
      <c r="G3733" t="str">
        <f>""</f>
        <v/>
      </c>
    </row>
    <row r="3734" spans="1:7" x14ac:dyDescent="0.25">
      <c r="A3734" t="s">
        <v>8</v>
      </c>
      <c r="B3734" s="1" t="str">
        <f>"000226322 - RICH FOODS-ARA K12"</f>
        <v>000226322 - RICH FOODS-ARA K12</v>
      </c>
      <c r="C3734" t="s">
        <v>524</v>
      </c>
      <c r="D3734" s="1" t="str">
        <f t="shared" si="106"/>
        <v>PRG-1022968</v>
      </c>
      <c r="E3734" t="s">
        <v>368</v>
      </c>
      <c r="F3734" t="s">
        <v>4</v>
      </c>
      <c r="G3734" t="str">
        <f>""</f>
        <v/>
      </c>
    </row>
    <row r="3735" spans="1:7" x14ac:dyDescent="0.25">
      <c r="A3735" t="s">
        <v>8</v>
      </c>
      <c r="B3735" s="1" t="str">
        <f>"000228518 - RICH VARIETY-ARA SSS"</f>
        <v>000228518 - RICH VARIETY-ARA SSS</v>
      </c>
      <c r="C3735" t="s">
        <v>500</v>
      </c>
      <c r="D3735" s="1" t="str">
        <f t="shared" si="106"/>
        <v>PRG-1022968</v>
      </c>
      <c r="E3735" t="s">
        <v>368</v>
      </c>
      <c r="F3735" t="s">
        <v>4</v>
      </c>
      <c r="G3735" t="str">
        <f>""</f>
        <v/>
      </c>
    </row>
    <row r="3736" spans="1:7" x14ac:dyDescent="0.25">
      <c r="A3736" t="s">
        <v>8</v>
      </c>
      <c r="B3736" s="1" t="str">
        <f>"000230560 - RICH FOODS VARIETY-ARA SSS"</f>
        <v>000230560 - RICH FOODS VARIETY-ARA SSS</v>
      </c>
      <c r="C3736" t="s">
        <v>452</v>
      </c>
      <c r="D3736" s="1" t="str">
        <f t="shared" si="106"/>
        <v>PRG-1022968</v>
      </c>
      <c r="E3736" t="s">
        <v>368</v>
      </c>
      <c r="F3736" t="s">
        <v>4</v>
      </c>
      <c r="G3736" t="str">
        <f>""</f>
        <v/>
      </c>
    </row>
    <row r="3737" spans="1:7" x14ac:dyDescent="0.25">
      <c r="A3737" t="s">
        <v>8</v>
      </c>
      <c r="B3737" s="1" t="str">
        <f>"000230565 - RICH VARIETY-ARA SSS"</f>
        <v>000230565 - RICH VARIETY-ARA SSS</v>
      </c>
      <c r="C3737" t="s">
        <v>500</v>
      </c>
      <c r="D3737" s="1" t="str">
        <f t="shared" si="106"/>
        <v>PRG-1022968</v>
      </c>
      <c r="E3737" t="s">
        <v>368</v>
      </c>
      <c r="F3737" t="s">
        <v>4</v>
      </c>
      <c r="G3737" t="str">
        <f>""</f>
        <v/>
      </c>
    </row>
    <row r="3738" spans="1:7" x14ac:dyDescent="0.25">
      <c r="A3738" t="s">
        <v>8</v>
      </c>
      <c r="B3738" s="1" t="str">
        <f>"000230816 - RICH FOODS VARIETY-ARAMARK"</f>
        <v>000230816 - RICH FOODS VARIETY-ARAMARK</v>
      </c>
      <c r="C3738" t="s">
        <v>439</v>
      </c>
      <c r="D3738" s="1" t="str">
        <f t="shared" si="106"/>
        <v>PRG-1022968</v>
      </c>
      <c r="E3738" t="s">
        <v>368</v>
      </c>
      <c r="F3738" t="s">
        <v>4</v>
      </c>
      <c r="G3738" t="str">
        <f>""</f>
        <v/>
      </c>
    </row>
    <row r="3739" spans="1:7" x14ac:dyDescent="0.25">
      <c r="A3739" t="s">
        <v>8</v>
      </c>
      <c r="B3739" s="1" t="str">
        <f>"000232111 - RICH FOODS VARIETY-ARAMARK"</f>
        <v>000232111 - RICH FOODS VARIETY-ARAMARK</v>
      </c>
      <c r="C3739" t="s">
        <v>439</v>
      </c>
      <c r="D3739" s="1" t="str">
        <f t="shared" si="106"/>
        <v>PRG-1022968</v>
      </c>
      <c r="E3739" t="s">
        <v>368</v>
      </c>
      <c r="F3739" t="s">
        <v>4</v>
      </c>
      <c r="G3739" t="str">
        <f>""</f>
        <v/>
      </c>
    </row>
    <row r="3740" spans="1:7" x14ac:dyDescent="0.25">
      <c r="A3740" t="s">
        <v>8</v>
      </c>
      <c r="B3740" s="1" t="str">
        <f>"000232290 - RICH FOODS-ARA K12"</f>
        <v>000232290 - RICH FOODS-ARA K12</v>
      </c>
      <c r="C3740" t="s">
        <v>524</v>
      </c>
      <c r="D3740" s="1" t="str">
        <f t="shared" si="106"/>
        <v>PRG-1022968</v>
      </c>
      <c r="E3740" t="s">
        <v>368</v>
      </c>
      <c r="F3740" t="s">
        <v>4</v>
      </c>
      <c r="G3740" t="str">
        <f>""</f>
        <v/>
      </c>
    </row>
    <row r="3741" spans="1:7" x14ac:dyDescent="0.25">
      <c r="A3741" t="s">
        <v>8</v>
      </c>
      <c r="B3741" s="1" t="str">
        <f>"000234348 - RICH FOODS-ARA K12"</f>
        <v>000234348 - RICH FOODS-ARA K12</v>
      </c>
      <c r="C3741" t="s">
        <v>524</v>
      </c>
      <c r="D3741" s="1" t="str">
        <f t="shared" si="106"/>
        <v>PRG-1022968</v>
      </c>
      <c r="E3741" t="s">
        <v>368</v>
      </c>
      <c r="F3741" t="s">
        <v>4</v>
      </c>
      <c r="G3741" t="str">
        <f>""</f>
        <v/>
      </c>
    </row>
    <row r="3742" spans="1:7" x14ac:dyDescent="0.25">
      <c r="A3742" t="s">
        <v>8</v>
      </c>
      <c r="B3742" s="1" t="str">
        <f>"000234420 - RICH FOODS-ARA K12"</f>
        <v>000234420 - RICH FOODS-ARA K12</v>
      </c>
      <c r="C3742" t="s">
        <v>524</v>
      </c>
      <c r="D3742" s="1" t="str">
        <f t="shared" si="106"/>
        <v>PRG-1022968</v>
      </c>
      <c r="E3742" t="s">
        <v>368</v>
      </c>
      <c r="F3742" t="s">
        <v>4</v>
      </c>
      <c r="G3742" t="str">
        <f>""</f>
        <v/>
      </c>
    </row>
    <row r="3743" spans="1:7" x14ac:dyDescent="0.25">
      <c r="A3743" t="s">
        <v>8</v>
      </c>
      <c r="B3743" s="1" t="str">
        <f>"000235892 - RICH VARIETY-ARA SSS"</f>
        <v>000235892 - RICH VARIETY-ARA SSS</v>
      </c>
      <c r="C3743" t="s">
        <v>500</v>
      </c>
      <c r="D3743" s="1" t="str">
        <f t="shared" si="106"/>
        <v>PRG-1022968</v>
      </c>
      <c r="E3743" t="s">
        <v>368</v>
      </c>
      <c r="F3743" t="s">
        <v>4</v>
      </c>
      <c r="G3743" t="str">
        <f>""</f>
        <v/>
      </c>
    </row>
    <row r="3744" spans="1:7" x14ac:dyDescent="0.25">
      <c r="A3744" t="s">
        <v>8</v>
      </c>
      <c r="B3744" s="1" t="str">
        <f>"000236799 - RICH VARIETY-ARA SSS"</f>
        <v>000236799 - RICH VARIETY-ARA SSS</v>
      </c>
      <c r="C3744" t="s">
        <v>500</v>
      </c>
      <c r="D3744" s="1" t="str">
        <f t="shared" si="106"/>
        <v>PRG-1022968</v>
      </c>
      <c r="E3744" t="s">
        <v>368</v>
      </c>
      <c r="F3744" t="s">
        <v>4</v>
      </c>
      <c r="G3744" t="str">
        <f>""</f>
        <v/>
      </c>
    </row>
    <row r="3745" spans="1:7" x14ac:dyDescent="0.25">
      <c r="A3745" t="s">
        <v>8</v>
      </c>
      <c r="B3745" s="1" t="str">
        <f>"000236934 - RICH VARIETY-ARA SSS"</f>
        <v>000236934 - RICH VARIETY-ARA SSS</v>
      </c>
      <c r="C3745" t="s">
        <v>500</v>
      </c>
      <c r="D3745" s="1" t="str">
        <f t="shared" si="106"/>
        <v>PRG-1022968</v>
      </c>
      <c r="E3745" t="s">
        <v>368</v>
      </c>
      <c r="F3745" t="s">
        <v>4</v>
      </c>
      <c r="G3745" t="str">
        <f>""</f>
        <v/>
      </c>
    </row>
    <row r="3746" spans="1:7" x14ac:dyDescent="0.25">
      <c r="A3746" t="s">
        <v>8</v>
      </c>
      <c r="B3746" s="1" t="str">
        <f>"000239210 - RICH FOODS-ARA K12"</f>
        <v>000239210 - RICH FOODS-ARA K12</v>
      </c>
      <c r="C3746" t="s">
        <v>524</v>
      </c>
      <c r="D3746" s="1" t="str">
        <f t="shared" si="106"/>
        <v>PRG-1022968</v>
      </c>
      <c r="E3746" t="s">
        <v>368</v>
      </c>
      <c r="F3746" t="s">
        <v>4</v>
      </c>
      <c r="G3746" t="str">
        <f>""</f>
        <v/>
      </c>
    </row>
    <row r="3747" spans="1:7" x14ac:dyDescent="0.25">
      <c r="A3747" t="s">
        <v>8</v>
      </c>
      <c r="B3747" s="1" t="str">
        <f>"000240071 - RICH FOODS-ARA K12"</f>
        <v>000240071 - RICH FOODS-ARA K12</v>
      </c>
      <c r="C3747" t="s">
        <v>524</v>
      </c>
      <c r="D3747" s="1" t="str">
        <f t="shared" si="106"/>
        <v>PRG-1022968</v>
      </c>
      <c r="E3747" t="s">
        <v>368</v>
      </c>
      <c r="F3747" t="s">
        <v>4</v>
      </c>
      <c r="G3747" t="str">
        <f>""</f>
        <v/>
      </c>
    </row>
    <row r="3748" spans="1:7" x14ac:dyDescent="0.25">
      <c r="A3748" t="s">
        <v>8</v>
      </c>
      <c r="B3748" s="1" t="str">
        <f>"000240252 - RICH FOODS-ARA K12"</f>
        <v>000240252 - RICH FOODS-ARA K12</v>
      </c>
      <c r="C3748" t="s">
        <v>524</v>
      </c>
      <c r="D3748" s="1" t="str">
        <f t="shared" si="106"/>
        <v>PRG-1022968</v>
      </c>
      <c r="E3748" t="s">
        <v>368</v>
      </c>
      <c r="F3748" t="s">
        <v>4</v>
      </c>
      <c r="G3748" t="str">
        <f>""</f>
        <v/>
      </c>
    </row>
    <row r="3749" spans="1:7" x14ac:dyDescent="0.25">
      <c r="A3749" t="s">
        <v>8</v>
      </c>
      <c r="B3749" s="1" t="str">
        <f>"000240315 - RICH FOODS-ARA K12"</f>
        <v>000240315 - RICH FOODS-ARA K12</v>
      </c>
      <c r="C3749" t="s">
        <v>524</v>
      </c>
      <c r="D3749" s="1" t="str">
        <f t="shared" si="106"/>
        <v>PRG-1022968</v>
      </c>
      <c r="E3749" t="s">
        <v>368</v>
      </c>
      <c r="F3749" t="s">
        <v>4</v>
      </c>
      <c r="G3749" t="str">
        <f>""</f>
        <v/>
      </c>
    </row>
    <row r="3750" spans="1:7" x14ac:dyDescent="0.25">
      <c r="A3750" t="s">
        <v>8</v>
      </c>
      <c r="B3750" s="1" t="str">
        <f>"000241392 - RICH FOODS-ARA K12"</f>
        <v>000241392 - RICH FOODS-ARA K12</v>
      </c>
      <c r="C3750" t="s">
        <v>524</v>
      </c>
      <c r="D3750" s="1" t="str">
        <f t="shared" si="106"/>
        <v>PRG-1022968</v>
      </c>
      <c r="E3750" t="s">
        <v>368</v>
      </c>
      <c r="F3750" t="s">
        <v>4</v>
      </c>
      <c r="G3750" t="str">
        <f>""</f>
        <v/>
      </c>
    </row>
    <row r="3751" spans="1:7" x14ac:dyDescent="0.25">
      <c r="A3751" t="s">
        <v>8</v>
      </c>
      <c r="B3751" s="1" t="str">
        <f>"000244396 - RICH FOODS VARIETY-ARA SSS"</f>
        <v>000244396 - RICH FOODS VARIETY-ARA SSS</v>
      </c>
      <c r="C3751" t="s">
        <v>452</v>
      </c>
      <c r="D3751" s="1" t="str">
        <f t="shared" si="106"/>
        <v>PRG-1022968</v>
      </c>
      <c r="E3751" t="s">
        <v>368</v>
      </c>
      <c r="F3751" t="s">
        <v>4</v>
      </c>
      <c r="G3751" t="str">
        <f>""</f>
        <v/>
      </c>
    </row>
    <row r="3752" spans="1:7" x14ac:dyDescent="0.25">
      <c r="A3752" t="s">
        <v>8</v>
      </c>
      <c r="B3752" s="1" t="str">
        <f>"000245402 - RICH'S PLACER-NV SCHLS"</f>
        <v>000245402 - RICH'S PLACER-NV SCHLS</v>
      </c>
      <c r="C3752" t="s">
        <v>2003</v>
      </c>
      <c r="D3752" s="1" t="str">
        <f t="shared" si="106"/>
        <v>PRG-1022968</v>
      </c>
      <c r="E3752" t="s">
        <v>368</v>
      </c>
      <c r="F3752" t="s">
        <v>4</v>
      </c>
      <c r="G3752" t="str">
        <f>""</f>
        <v/>
      </c>
    </row>
    <row r="3753" spans="1:7" x14ac:dyDescent="0.25">
      <c r="A3753" t="s">
        <v>8</v>
      </c>
      <c r="B3753" s="1" t="str">
        <f>"000252962 - RICH FOODS VARIETY-ARAMARK"</f>
        <v>000252962 - RICH FOODS VARIETY-ARAMARK</v>
      </c>
      <c r="C3753" t="s">
        <v>439</v>
      </c>
      <c r="D3753" s="1" t="str">
        <f t="shared" si="106"/>
        <v>PRG-1022968</v>
      </c>
      <c r="E3753" t="s">
        <v>368</v>
      </c>
      <c r="F3753" t="s">
        <v>4</v>
      </c>
      <c r="G3753" t="str">
        <f>""</f>
        <v/>
      </c>
    </row>
    <row r="3754" spans="1:7" x14ac:dyDescent="0.25">
      <c r="A3754" t="s">
        <v>8</v>
      </c>
      <c r="B3754" s="1" t="str">
        <f>"000256231 - RICH FOODS-ARA K12"</f>
        <v>000256231 - RICH FOODS-ARA K12</v>
      </c>
      <c r="C3754" t="s">
        <v>524</v>
      </c>
      <c r="D3754" s="1" t="str">
        <f t="shared" si="106"/>
        <v>PRG-1022968</v>
      </c>
      <c r="E3754" t="s">
        <v>368</v>
      </c>
      <c r="F3754" t="s">
        <v>4</v>
      </c>
      <c r="G3754" t="str">
        <f>""</f>
        <v/>
      </c>
    </row>
    <row r="3755" spans="1:7" x14ac:dyDescent="0.25">
      <c r="A3755" t="s">
        <v>8</v>
      </c>
      <c r="B3755" s="1" t="str">
        <f>"000259535 - RICH VARIETY-ARA SSS"</f>
        <v>000259535 - RICH VARIETY-ARA SSS</v>
      </c>
      <c r="C3755" t="s">
        <v>500</v>
      </c>
      <c r="D3755" s="1" t="str">
        <f t="shared" si="106"/>
        <v>PRG-1022968</v>
      </c>
      <c r="E3755" t="s">
        <v>368</v>
      </c>
      <c r="F3755" t="s">
        <v>4</v>
      </c>
      <c r="G3755" t="str">
        <f>""</f>
        <v/>
      </c>
    </row>
    <row r="3756" spans="1:7" x14ac:dyDescent="0.25">
      <c r="A3756" t="s">
        <v>8</v>
      </c>
      <c r="B3756" s="1" t="str">
        <f>"000261585 - RICH FOODS VARIETY-ARA SSS"</f>
        <v>000261585 - RICH FOODS VARIETY-ARA SSS</v>
      </c>
      <c r="C3756" t="s">
        <v>452</v>
      </c>
      <c r="D3756" s="1" t="str">
        <f t="shared" si="106"/>
        <v>PRG-1022968</v>
      </c>
      <c r="E3756" t="s">
        <v>368</v>
      </c>
      <c r="F3756" t="s">
        <v>4</v>
      </c>
      <c r="G3756" t="str">
        <f>""</f>
        <v/>
      </c>
    </row>
    <row r="3757" spans="1:7" x14ac:dyDescent="0.25">
      <c r="A3757" t="s">
        <v>8</v>
      </c>
      <c r="B3757" s="1" t="str">
        <f>"000262730 - RICH FOODS VARIETY-ARA SSS"</f>
        <v>000262730 - RICH FOODS VARIETY-ARA SSS</v>
      </c>
      <c r="C3757" t="s">
        <v>452</v>
      </c>
      <c r="D3757" s="1" t="str">
        <f t="shared" si="106"/>
        <v>PRG-1022968</v>
      </c>
      <c r="E3757" t="s">
        <v>368</v>
      </c>
      <c r="F3757" t="s">
        <v>4</v>
      </c>
      <c r="G3757" t="str">
        <f>""</f>
        <v/>
      </c>
    </row>
    <row r="3758" spans="1:7" x14ac:dyDescent="0.25">
      <c r="A3758" t="s">
        <v>8</v>
      </c>
      <c r="B3758" s="1" t="str">
        <f>"000263638 - RICH FOODS-ARA K12"</f>
        <v>000263638 - RICH FOODS-ARA K12</v>
      </c>
      <c r="C3758" t="s">
        <v>524</v>
      </c>
      <c r="D3758" s="1" t="str">
        <f t="shared" si="106"/>
        <v>PRG-1022968</v>
      </c>
      <c r="E3758" t="s">
        <v>368</v>
      </c>
      <c r="F3758" t="s">
        <v>4</v>
      </c>
      <c r="G3758" t="str">
        <f>""</f>
        <v/>
      </c>
    </row>
    <row r="3759" spans="1:7" x14ac:dyDescent="0.25">
      <c r="A3759" t="s">
        <v>8</v>
      </c>
      <c r="B3759" s="1" t="str">
        <f>"000268476 - RICH VARIETY-ARAMARK"</f>
        <v>000268476 - RICH VARIETY-ARAMARK</v>
      </c>
      <c r="C3759" t="s">
        <v>471</v>
      </c>
      <c r="D3759" s="1" t="str">
        <f t="shared" si="106"/>
        <v>PRG-1022968</v>
      </c>
      <c r="E3759" t="s">
        <v>368</v>
      </c>
      <c r="F3759" t="s">
        <v>4</v>
      </c>
      <c r="G3759" t="str">
        <f>""</f>
        <v/>
      </c>
    </row>
    <row r="3760" spans="1:7" x14ac:dyDescent="0.25">
      <c r="A3760" t="s">
        <v>8</v>
      </c>
      <c r="B3760" s="1" t="str">
        <f>"000268499 - RICH VARIETY-ARA SSS"</f>
        <v>000268499 - RICH VARIETY-ARA SSS</v>
      </c>
      <c r="C3760" t="s">
        <v>500</v>
      </c>
      <c r="D3760" s="1" t="str">
        <f t="shared" si="106"/>
        <v>PRG-1022968</v>
      </c>
      <c r="E3760" t="s">
        <v>368</v>
      </c>
      <c r="F3760" t="s">
        <v>4</v>
      </c>
      <c r="G3760" t="str">
        <f>""</f>
        <v/>
      </c>
    </row>
    <row r="3761" spans="1:7" x14ac:dyDescent="0.25">
      <c r="A3761" t="s">
        <v>8</v>
      </c>
      <c r="B3761" s="1" t="str">
        <f>"000269206 - RICH VARIETY-ARA SSS"</f>
        <v>000269206 - RICH VARIETY-ARA SSS</v>
      </c>
      <c r="C3761" t="s">
        <v>500</v>
      </c>
      <c r="D3761" s="1" t="str">
        <f t="shared" si="106"/>
        <v>PRG-1022968</v>
      </c>
      <c r="E3761" t="s">
        <v>368</v>
      </c>
      <c r="F3761" t="s">
        <v>4</v>
      </c>
      <c r="G3761" t="str">
        <f>""</f>
        <v/>
      </c>
    </row>
    <row r="3762" spans="1:7" x14ac:dyDescent="0.25">
      <c r="A3762" t="s">
        <v>8</v>
      </c>
      <c r="B3762" s="1" t="str">
        <f>"000272367 - RICH FOODS-ARA K12"</f>
        <v>000272367 - RICH FOODS-ARA K12</v>
      </c>
      <c r="C3762" t="s">
        <v>524</v>
      </c>
      <c r="D3762" s="1" t="str">
        <f t="shared" si="106"/>
        <v>PRG-1022968</v>
      </c>
      <c r="E3762" t="s">
        <v>368</v>
      </c>
      <c r="F3762" t="s">
        <v>4</v>
      </c>
      <c r="G3762" t="str">
        <f>""</f>
        <v/>
      </c>
    </row>
    <row r="3763" spans="1:7" x14ac:dyDescent="0.25">
      <c r="A3763" t="s">
        <v>8</v>
      </c>
      <c r="B3763" s="1" t="str">
        <f>"000273649 - RICH FOODS-ARA K12"</f>
        <v>000273649 - RICH FOODS-ARA K12</v>
      </c>
      <c r="C3763" t="s">
        <v>524</v>
      </c>
      <c r="D3763" s="1" t="str">
        <f t="shared" ref="D3763:D3775" si="107">"PRG-1022968"</f>
        <v>PRG-1022968</v>
      </c>
      <c r="E3763" t="s">
        <v>368</v>
      </c>
      <c r="F3763" t="s">
        <v>4</v>
      </c>
      <c r="G3763" t="str">
        <f>""</f>
        <v/>
      </c>
    </row>
    <row r="3764" spans="1:7" x14ac:dyDescent="0.25">
      <c r="A3764" t="s">
        <v>8</v>
      </c>
      <c r="B3764" s="1" t="str">
        <f>"000273874 - RICH FOODS VARIETY-ARA SSS"</f>
        <v>000273874 - RICH FOODS VARIETY-ARA SSS</v>
      </c>
      <c r="C3764" t="s">
        <v>452</v>
      </c>
      <c r="D3764" s="1" t="str">
        <f t="shared" si="107"/>
        <v>PRG-1022968</v>
      </c>
      <c r="E3764" t="s">
        <v>368</v>
      </c>
      <c r="F3764" t="s">
        <v>4</v>
      </c>
      <c r="G3764" t="str">
        <f>""</f>
        <v/>
      </c>
    </row>
    <row r="3765" spans="1:7" x14ac:dyDescent="0.25">
      <c r="A3765" t="s">
        <v>8</v>
      </c>
      <c r="B3765" s="1" t="str">
        <f>"000277903 - RICH FOODS-ARA K12"</f>
        <v>000277903 - RICH FOODS-ARA K12</v>
      </c>
      <c r="C3765" t="s">
        <v>524</v>
      </c>
      <c r="D3765" s="1" t="str">
        <f t="shared" si="107"/>
        <v>PRG-1022968</v>
      </c>
      <c r="E3765" t="s">
        <v>368</v>
      </c>
      <c r="F3765" t="s">
        <v>4</v>
      </c>
      <c r="G3765" t="str">
        <f>""</f>
        <v/>
      </c>
    </row>
    <row r="3766" spans="1:7" x14ac:dyDescent="0.25">
      <c r="A3766" t="s">
        <v>8</v>
      </c>
      <c r="B3766" s="1" t="str">
        <f>"000280848 - RICH VARIETY-ARA SSS"</f>
        <v>000280848 - RICH VARIETY-ARA SSS</v>
      </c>
      <c r="C3766" t="s">
        <v>500</v>
      </c>
      <c r="D3766" s="1" t="str">
        <f t="shared" si="107"/>
        <v>PRG-1022968</v>
      </c>
      <c r="E3766" t="s">
        <v>368</v>
      </c>
      <c r="F3766" t="s">
        <v>4</v>
      </c>
      <c r="G3766" t="str">
        <f>""</f>
        <v/>
      </c>
    </row>
    <row r="3767" spans="1:7" x14ac:dyDescent="0.25">
      <c r="A3767" t="s">
        <v>8</v>
      </c>
      <c r="B3767" s="1" t="str">
        <f>"000280950 - RICH FOODS-ARA K12"</f>
        <v>000280950 - RICH FOODS-ARA K12</v>
      </c>
      <c r="C3767" t="s">
        <v>524</v>
      </c>
      <c r="D3767" s="1" t="str">
        <f t="shared" si="107"/>
        <v>PRG-1022968</v>
      </c>
      <c r="E3767" t="s">
        <v>368</v>
      </c>
      <c r="F3767" t="s">
        <v>4</v>
      </c>
      <c r="G3767" t="str">
        <f>""</f>
        <v/>
      </c>
    </row>
    <row r="3768" spans="1:7" x14ac:dyDescent="0.25">
      <c r="A3768" t="s">
        <v>8</v>
      </c>
      <c r="B3768" s="1" t="str">
        <f>"000282208 - RICH FOODS VARIETY-ARA SSS"</f>
        <v>000282208 - RICH FOODS VARIETY-ARA SSS</v>
      </c>
      <c r="C3768" t="s">
        <v>452</v>
      </c>
      <c r="D3768" s="1" t="str">
        <f t="shared" si="107"/>
        <v>PRG-1022968</v>
      </c>
      <c r="E3768" t="s">
        <v>368</v>
      </c>
      <c r="F3768" t="s">
        <v>4</v>
      </c>
      <c r="G3768" t="str">
        <f>""</f>
        <v/>
      </c>
    </row>
    <row r="3769" spans="1:7" x14ac:dyDescent="0.25">
      <c r="A3769" t="s">
        <v>8</v>
      </c>
      <c r="B3769" s="1" t="str">
        <f>"000285721 - RICH FOODS-ARA K12"</f>
        <v>000285721 - RICH FOODS-ARA K12</v>
      </c>
      <c r="C3769" t="s">
        <v>524</v>
      </c>
      <c r="D3769" s="1" t="str">
        <f t="shared" si="107"/>
        <v>PRG-1022968</v>
      </c>
      <c r="E3769" t="s">
        <v>368</v>
      </c>
      <c r="F3769" t="s">
        <v>4</v>
      </c>
      <c r="G3769" t="str">
        <f>""</f>
        <v/>
      </c>
    </row>
    <row r="3770" spans="1:7" x14ac:dyDescent="0.25">
      <c r="A3770" t="s">
        <v>8</v>
      </c>
      <c r="B3770" s="1" t="str">
        <f>"000289424 - RICH VARIETY-ARA SSS"</f>
        <v>000289424 - RICH VARIETY-ARA SSS</v>
      </c>
      <c r="C3770" t="s">
        <v>500</v>
      </c>
      <c r="D3770" s="1" t="str">
        <f t="shared" si="107"/>
        <v>PRG-1022968</v>
      </c>
      <c r="E3770" t="s">
        <v>368</v>
      </c>
      <c r="F3770" t="s">
        <v>4</v>
      </c>
      <c r="G3770" t="str">
        <f>""</f>
        <v/>
      </c>
    </row>
    <row r="3771" spans="1:7" x14ac:dyDescent="0.25">
      <c r="A3771" t="s">
        <v>8</v>
      </c>
      <c r="B3771" s="1" t="str">
        <f>"000289812 - RICH FOODS VARIETY-ARA SSS"</f>
        <v>000289812 - RICH FOODS VARIETY-ARA SSS</v>
      </c>
      <c r="C3771" t="s">
        <v>452</v>
      </c>
      <c r="D3771" s="1" t="str">
        <f t="shared" si="107"/>
        <v>PRG-1022968</v>
      </c>
      <c r="E3771" t="s">
        <v>368</v>
      </c>
      <c r="F3771" t="s">
        <v>4</v>
      </c>
      <c r="G3771" t="str">
        <f>""</f>
        <v/>
      </c>
    </row>
    <row r="3772" spans="1:7" x14ac:dyDescent="0.25">
      <c r="A3772" t="s">
        <v>8</v>
      </c>
      <c r="B3772" s="1" t="str">
        <f>"000294291 - RICH FOODS-ARA K12"</f>
        <v>000294291 - RICH FOODS-ARA K12</v>
      </c>
      <c r="C3772" t="s">
        <v>524</v>
      </c>
      <c r="D3772" s="1" t="str">
        <f t="shared" si="107"/>
        <v>PRG-1022968</v>
      </c>
      <c r="E3772" t="s">
        <v>368</v>
      </c>
      <c r="F3772" t="s">
        <v>4</v>
      </c>
      <c r="G3772" t="str">
        <f>""</f>
        <v/>
      </c>
    </row>
    <row r="3773" spans="1:7" x14ac:dyDescent="0.25">
      <c r="A3773" t="s">
        <v>8</v>
      </c>
      <c r="B3773" s="1" t="str">
        <f>"2000174441 - RICH'S ETX-AVOYELLES PARISH"</f>
        <v>2000174441 - RICH'S ETX-AVOYELLES PARISH</v>
      </c>
      <c r="C3773" t="s">
        <v>3890</v>
      </c>
      <c r="D3773" s="1" t="str">
        <f t="shared" si="107"/>
        <v>PRG-1022968</v>
      </c>
      <c r="E3773" t="s">
        <v>368</v>
      </c>
      <c r="F3773" t="s">
        <v>4</v>
      </c>
      <c r="G3773" t="str">
        <f>""</f>
        <v/>
      </c>
    </row>
    <row r="3774" spans="1:7" x14ac:dyDescent="0.25">
      <c r="A3774" t="s">
        <v>8</v>
      </c>
      <c r="B3774" s="1" t="str">
        <f>"2000214908 - RICH FOODS VARIETY BAKERY PIZZA-ARA"</f>
        <v>2000214908 - RICH FOODS VARIETY BAKERY PIZZA-ARA</v>
      </c>
      <c r="C3774" t="s">
        <v>3956</v>
      </c>
      <c r="D3774" s="1" t="str">
        <f t="shared" si="107"/>
        <v>PRG-1022968</v>
      </c>
      <c r="E3774" t="s">
        <v>368</v>
      </c>
      <c r="F3774" t="s">
        <v>4</v>
      </c>
      <c r="G3774" t="str">
        <f>""</f>
        <v/>
      </c>
    </row>
    <row r="3775" spans="1:7" x14ac:dyDescent="0.25">
      <c r="A3775" t="s">
        <v>8</v>
      </c>
      <c r="B3775" s="1" t="str">
        <f>"2000222561 - RICH FOODS VARIETY-ARAMARK K12"</f>
        <v>2000222561 - RICH FOODS VARIETY-ARAMARK K12</v>
      </c>
      <c r="C3775" t="s">
        <v>3920</v>
      </c>
      <c r="D3775" s="1" t="str">
        <f t="shared" si="107"/>
        <v>PRG-1022968</v>
      </c>
      <c r="E3775" t="s">
        <v>368</v>
      </c>
      <c r="F3775" t="s">
        <v>4</v>
      </c>
      <c r="G3775" t="str">
        <f>""</f>
        <v/>
      </c>
    </row>
    <row r="3776" spans="1:7" x14ac:dyDescent="0.25">
      <c r="A3776" t="s">
        <v>8</v>
      </c>
      <c r="B3776" s="1" t="str">
        <f>"000230505 - RICH   KUTZTOWN TAVERN"</f>
        <v>000230505 - RICH   KUTZTOWN TAVERN</v>
      </c>
      <c r="C3776" t="s">
        <v>1746</v>
      </c>
      <c r="D3776" s="1" t="str">
        <f>"PRG-1022983"</f>
        <v>PRG-1022983</v>
      </c>
      <c r="E3776" t="s">
        <v>1747</v>
      </c>
      <c r="F3776" t="s">
        <v>4</v>
      </c>
      <c r="G3776" t="str">
        <f>""</f>
        <v/>
      </c>
    </row>
    <row r="3777" spans="1:7" x14ac:dyDescent="0.25">
      <c r="A3777" t="s">
        <v>8</v>
      </c>
      <c r="B3777" s="1" t="str">
        <f>"000259021 - RICH   KUTZTOWN TAVERN"</f>
        <v>000259021 - RICH   KUTZTOWN TAVERN</v>
      </c>
      <c r="C3777" t="s">
        <v>1746</v>
      </c>
      <c r="D3777" s="1" t="str">
        <f>"PRG-1022983"</f>
        <v>PRG-1022983</v>
      </c>
      <c r="E3777" t="s">
        <v>1747</v>
      </c>
      <c r="F3777" t="s">
        <v>4</v>
      </c>
      <c r="G3777" t="str">
        <f>""</f>
        <v/>
      </c>
    </row>
    <row r="3778" spans="1:7" x14ac:dyDescent="0.25">
      <c r="A3778" t="s">
        <v>8</v>
      </c>
      <c r="B3778" s="1" t="str">
        <f>"000210737 - MONROE CITY SCHL RICH PRODUCTS"</f>
        <v>000210737 - MONROE CITY SCHL RICH PRODUCTS</v>
      </c>
      <c r="C3778" t="s">
        <v>1438</v>
      </c>
      <c r="D3778" s="1" t="str">
        <f>"PRG-1023040"</f>
        <v>PRG-1023040</v>
      </c>
      <c r="E3778" t="s">
        <v>1439</v>
      </c>
      <c r="F3778" t="s">
        <v>4</v>
      </c>
      <c r="G3778" t="str">
        <f>""</f>
        <v/>
      </c>
    </row>
    <row r="3779" spans="1:7" x14ac:dyDescent="0.25">
      <c r="A3779" t="s">
        <v>8</v>
      </c>
      <c r="B3779" s="1" t="str">
        <f>"000210907 - RICHLAND PARISH RICH PRODUCTS"</f>
        <v>000210907 - RICHLAND PARISH RICH PRODUCTS</v>
      </c>
      <c r="C3779" t="s">
        <v>1441</v>
      </c>
      <c r="D3779" s="1" t="str">
        <f>"PRG-1023040"</f>
        <v>PRG-1023040</v>
      </c>
      <c r="E3779" t="s">
        <v>1439</v>
      </c>
      <c r="F3779" t="s">
        <v>4</v>
      </c>
      <c r="G3779" t="str">
        <f>""</f>
        <v/>
      </c>
    </row>
    <row r="3780" spans="1:7" x14ac:dyDescent="0.25">
      <c r="A3780" t="s">
        <v>8</v>
      </c>
      <c r="B3780" s="1" t="str">
        <f>"000002685 - "</f>
        <v xml:space="preserve">000002685 - </v>
      </c>
      <c r="D3780" s="1" t="str">
        <f t="shared" ref="D3780:D3804" si="108">"PRG-1023043"</f>
        <v>PRG-1023043</v>
      </c>
      <c r="E3780" t="s">
        <v>133</v>
      </c>
      <c r="F3780" t="s">
        <v>4</v>
      </c>
      <c r="G3780" t="str">
        <f>""</f>
        <v/>
      </c>
    </row>
    <row r="3781" spans="1:7" x14ac:dyDescent="0.25">
      <c r="A3781" t="s">
        <v>8</v>
      </c>
      <c r="B3781" s="1" t="str">
        <f>"000006665 - RICH PRODUCTS PIZZA STUDIO"</f>
        <v>000006665 - RICH PRODUCTS PIZZA STUDIO</v>
      </c>
      <c r="C3781" t="s">
        <v>54</v>
      </c>
      <c r="D3781" s="1" t="str">
        <f t="shared" si="108"/>
        <v>PRG-1023043</v>
      </c>
      <c r="E3781" t="s">
        <v>133</v>
      </c>
      <c r="F3781" t="s">
        <v>4</v>
      </c>
      <c r="G3781" t="str">
        <f>""</f>
        <v/>
      </c>
    </row>
    <row r="3782" spans="1:7" x14ac:dyDescent="0.25">
      <c r="A3782" t="s">
        <v>8</v>
      </c>
      <c r="B3782" s="1" t="str">
        <f>"000007653 - RICH PRODUCTS PIZZA STUDIO"</f>
        <v>000007653 - RICH PRODUCTS PIZZA STUDIO</v>
      </c>
      <c r="C3782" t="s">
        <v>54</v>
      </c>
      <c r="D3782" s="1" t="str">
        <f t="shared" si="108"/>
        <v>PRG-1023043</v>
      </c>
      <c r="E3782" t="s">
        <v>133</v>
      </c>
      <c r="F3782" t="s">
        <v>4</v>
      </c>
      <c r="G3782" t="str">
        <f>""</f>
        <v/>
      </c>
    </row>
    <row r="3783" spans="1:7" x14ac:dyDescent="0.25">
      <c r="A3783" t="s">
        <v>8</v>
      </c>
      <c r="B3783" s="1" t="str">
        <f>"000013497 - "</f>
        <v xml:space="preserve">000013497 - </v>
      </c>
      <c r="D3783" s="1" t="str">
        <f t="shared" si="108"/>
        <v>PRG-1023043</v>
      </c>
      <c r="E3783" t="s">
        <v>133</v>
      </c>
      <c r="F3783" t="s">
        <v>4</v>
      </c>
      <c r="G3783" t="str">
        <f>""</f>
        <v/>
      </c>
    </row>
    <row r="3784" spans="1:7" x14ac:dyDescent="0.25">
      <c r="A3784" t="s">
        <v>8</v>
      </c>
      <c r="B3784" s="1" t="str">
        <f>"000044847 - RICH FOODS-PIZZA STUDIO"</f>
        <v>000044847 - RICH FOODS-PIZZA STUDIO</v>
      </c>
      <c r="C3784" t="s">
        <v>285</v>
      </c>
      <c r="D3784" s="1" t="str">
        <f t="shared" si="108"/>
        <v>PRG-1023043</v>
      </c>
      <c r="E3784" t="s">
        <v>133</v>
      </c>
      <c r="F3784" t="s">
        <v>4</v>
      </c>
      <c r="G3784" t="str">
        <f>""</f>
        <v/>
      </c>
    </row>
    <row r="3785" spans="1:7" x14ac:dyDescent="0.25">
      <c r="A3785" t="s">
        <v>8</v>
      </c>
      <c r="B3785" s="1" t="str">
        <f>"000055140 - RICH FOODS-PIZZA STUDIO"</f>
        <v>000055140 - RICH FOODS-PIZZA STUDIO</v>
      </c>
      <c r="C3785" t="s">
        <v>285</v>
      </c>
      <c r="D3785" s="1" t="str">
        <f t="shared" si="108"/>
        <v>PRG-1023043</v>
      </c>
      <c r="E3785" t="s">
        <v>133</v>
      </c>
      <c r="F3785" t="s">
        <v>4</v>
      </c>
      <c r="G3785" t="str">
        <f>""</f>
        <v/>
      </c>
    </row>
    <row r="3786" spans="1:7" x14ac:dyDescent="0.25">
      <c r="A3786" t="s">
        <v>8</v>
      </c>
      <c r="B3786" s="1" t="str">
        <f>"000073634 - RICH FOODS-PIZZA STUDIO"</f>
        <v>000073634 - RICH FOODS-PIZZA STUDIO</v>
      </c>
      <c r="C3786" t="s">
        <v>285</v>
      </c>
      <c r="D3786" s="1" t="str">
        <f t="shared" si="108"/>
        <v>PRG-1023043</v>
      </c>
      <c r="E3786" t="s">
        <v>133</v>
      </c>
      <c r="F3786" t="s">
        <v>4</v>
      </c>
      <c r="G3786" t="str">
        <f>""</f>
        <v/>
      </c>
    </row>
    <row r="3787" spans="1:7" x14ac:dyDescent="0.25">
      <c r="A3787" t="s">
        <v>8</v>
      </c>
      <c r="B3787" s="1" t="str">
        <f>"000291797 - RICH PIZZA STUDIOS"</f>
        <v>000291797 - RICH PIZZA STUDIOS</v>
      </c>
      <c r="C3787" t="s">
        <v>2850</v>
      </c>
      <c r="D3787" s="1" t="str">
        <f t="shared" si="108"/>
        <v>PRG-1023043</v>
      </c>
      <c r="E3787" t="s">
        <v>133</v>
      </c>
      <c r="F3787" t="s">
        <v>4</v>
      </c>
      <c r="G3787" t="str">
        <f>""</f>
        <v/>
      </c>
    </row>
    <row r="3788" spans="1:7" x14ac:dyDescent="0.25">
      <c r="A3788" t="s">
        <v>8</v>
      </c>
      <c r="B3788" s="1" t="str">
        <f>"000295091 - PIZZA STUDIO   RICH'S"</f>
        <v>000295091 - PIZZA STUDIO   RICH'S</v>
      </c>
      <c r="C3788" t="s">
        <v>2898</v>
      </c>
      <c r="D3788" s="1" t="str">
        <f t="shared" si="108"/>
        <v>PRG-1023043</v>
      </c>
      <c r="E3788" t="s">
        <v>133</v>
      </c>
      <c r="F3788" t="s">
        <v>4</v>
      </c>
      <c r="G3788" t="str">
        <f>""</f>
        <v/>
      </c>
    </row>
    <row r="3789" spans="1:7" x14ac:dyDescent="0.25">
      <c r="A3789" t="s">
        <v>8</v>
      </c>
      <c r="B3789" s="1" t="str">
        <f>"000301880 - RICH FOODS(BB&amp;CC) PIZZA STUDIO"</f>
        <v>000301880 - RICH FOODS(BB&amp;CC) PIZZA STUDIO</v>
      </c>
      <c r="C3789" t="s">
        <v>2988</v>
      </c>
      <c r="D3789" s="1" t="str">
        <f t="shared" si="108"/>
        <v>PRG-1023043</v>
      </c>
      <c r="E3789" t="s">
        <v>133</v>
      </c>
      <c r="F3789" t="s">
        <v>4</v>
      </c>
      <c r="G3789" t="str">
        <f>""</f>
        <v/>
      </c>
    </row>
    <row r="3790" spans="1:7" x14ac:dyDescent="0.25">
      <c r="A3790" t="s">
        <v>8</v>
      </c>
      <c r="B3790" s="1" t="str">
        <f>"000314125 - RICH PRODUCTS PIZZA STUDIO"</f>
        <v>000314125 - RICH PRODUCTS PIZZA STUDIO</v>
      </c>
      <c r="C3790" t="s">
        <v>54</v>
      </c>
      <c r="D3790" s="1" t="str">
        <f t="shared" si="108"/>
        <v>PRG-1023043</v>
      </c>
      <c r="E3790" t="s">
        <v>133</v>
      </c>
      <c r="F3790" t="s">
        <v>4</v>
      </c>
      <c r="G3790" t="str">
        <f>""</f>
        <v/>
      </c>
    </row>
    <row r="3791" spans="1:7" x14ac:dyDescent="0.25">
      <c r="A3791" t="s">
        <v>8</v>
      </c>
      <c r="B3791" s="1" t="str">
        <f>"000318567 - PIZZA STUDIO   RICH'S"</f>
        <v>000318567 - PIZZA STUDIO   RICH'S</v>
      </c>
      <c r="C3791" t="s">
        <v>2898</v>
      </c>
      <c r="D3791" s="1" t="str">
        <f t="shared" si="108"/>
        <v>PRG-1023043</v>
      </c>
      <c r="E3791" t="s">
        <v>133</v>
      </c>
      <c r="F3791" t="s">
        <v>4</v>
      </c>
      <c r="G3791" t="str">
        <f>""</f>
        <v/>
      </c>
    </row>
    <row r="3792" spans="1:7" x14ac:dyDescent="0.25">
      <c r="A3792" t="s">
        <v>8</v>
      </c>
      <c r="B3792" s="1" t="str">
        <f>"000322074 - "</f>
        <v xml:space="preserve">000322074 - </v>
      </c>
      <c r="D3792" s="1" t="str">
        <f t="shared" si="108"/>
        <v>PRG-1023043</v>
      </c>
      <c r="E3792" t="s">
        <v>133</v>
      </c>
      <c r="F3792" t="s">
        <v>4</v>
      </c>
      <c r="G3792" t="str">
        <f>""</f>
        <v/>
      </c>
    </row>
    <row r="3793" spans="1:7" x14ac:dyDescent="0.25">
      <c r="A3793" t="s">
        <v>8</v>
      </c>
      <c r="B3793" s="1" t="str">
        <f>"000322342 - RICH FOODS-PIZZA STUDIO"</f>
        <v>000322342 - RICH FOODS-PIZZA STUDIO</v>
      </c>
      <c r="C3793" t="s">
        <v>285</v>
      </c>
      <c r="D3793" s="1" t="str">
        <f t="shared" si="108"/>
        <v>PRG-1023043</v>
      </c>
      <c r="E3793" t="s">
        <v>133</v>
      </c>
      <c r="F3793" t="s">
        <v>4</v>
      </c>
      <c r="G3793" t="str">
        <f>""</f>
        <v/>
      </c>
    </row>
    <row r="3794" spans="1:7" x14ac:dyDescent="0.25">
      <c r="A3794" t="s">
        <v>8</v>
      </c>
      <c r="B3794" s="1" t="str">
        <f>"000324705 - "</f>
        <v xml:space="preserve">000324705 - </v>
      </c>
      <c r="D3794" s="1" t="str">
        <f t="shared" si="108"/>
        <v>PRG-1023043</v>
      </c>
      <c r="E3794" t="s">
        <v>133</v>
      </c>
      <c r="F3794" t="s">
        <v>4</v>
      </c>
      <c r="G3794" t="str">
        <f>""</f>
        <v/>
      </c>
    </row>
    <row r="3795" spans="1:7" x14ac:dyDescent="0.25">
      <c r="A3795" t="s">
        <v>8</v>
      </c>
      <c r="B3795" s="1" t="str">
        <f>"000342933 - RICH PIZZA STUDIO"</f>
        <v>000342933 - RICH PIZZA STUDIO</v>
      </c>
      <c r="C3795" t="s">
        <v>3443</v>
      </c>
      <c r="D3795" s="1" t="str">
        <f t="shared" si="108"/>
        <v>PRG-1023043</v>
      </c>
      <c r="E3795" t="s">
        <v>133</v>
      </c>
      <c r="F3795" t="s">
        <v>4</v>
      </c>
      <c r="G3795" t="str">
        <f>""</f>
        <v/>
      </c>
    </row>
    <row r="3796" spans="1:7" x14ac:dyDescent="0.25">
      <c r="A3796" t="s">
        <v>8</v>
      </c>
      <c r="B3796" s="1" t="str">
        <f>"000344568 - "</f>
        <v xml:space="preserve">000344568 - </v>
      </c>
      <c r="D3796" s="1" t="str">
        <f t="shared" si="108"/>
        <v>PRG-1023043</v>
      </c>
      <c r="E3796" t="s">
        <v>133</v>
      </c>
      <c r="F3796" t="s">
        <v>4</v>
      </c>
      <c r="G3796" t="str">
        <f>""</f>
        <v/>
      </c>
    </row>
    <row r="3797" spans="1:7" x14ac:dyDescent="0.25">
      <c r="A3797" t="s">
        <v>8</v>
      </c>
      <c r="B3797" s="1" t="str">
        <f>"000344590 - RICH FOODS-PIZZA STUDIO"</f>
        <v>000344590 - RICH FOODS-PIZZA STUDIO</v>
      </c>
      <c r="C3797" t="s">
        <v>285</v>
      </c>
      <c r="D3797" s="1" t="str">
        <f t="shared" si="108"/>
        <v>PRG-1023043</v>
      </c>
      <c r="E3797" t="s">
        <v>133</v>
      </c>
      <c r="F3797" t="s">
        <v>4</v>
      </c>
      <c r="G3797" t="str">
        <f>""</f>
        <v/>
      </c>
    </row>
    <row r="3798" spans="1:7" x14ac:dyDescent="0.25">
      <c r="A3798" t="s">
        <v>8</v>
      </c>
      <c r="B3798" s="1" t="str">
        <f>"000348102 - RICH FOODS-PIZZA STUDIO"</f>
        <v>000348102 - RICH FOODS-PIZZA STUDIO</v>
      </c>
      <c r="C3798" t="s">
        <v>285</v>
      </c>
      <c r="D3798" s="1" t="str">
        <f t="shared" si="108"/>
        <v>PRG-1023043</v>
      </c>
      <c r="E3798" t="s">
        <v>133</v>
      </c>
      <c r="F3798" t="s">
        <v>4</v>
      </c>
      <c r="G3798" t="str">
        <f>""</f>
        <v/>
      </c>
    </row>
    <row r="3799" spans="1:7" x14ac:dyDescent="0.25">
      <c r="A3799" t="s">
        <v>8</v>
      </c>
      <c r="B3799" s="1" t="str">
        <f>"000354783 - "</f>
        <v xml:space="preserve">000354783 - </v>
      </c>
      <c r="D3799" s="1" t="str">
        <f t="shared" si="108"/>
        <v>PRG-1023043</v>
      </c>
      <c r="E3799" t="s">
        <v>133</v>
      </c>
      <c r="F3799" t="s">
        <v>4</v>
      </c>
      <c r="G3799" t="str">
        <f>""</f>
        <v/>
      </c>
    </row>
    <row r="3800" spans="1:7" x14ac:dyDescent="0.25">
      <c r="A3800" t="s">
        <v>8</v>
      </c>
      <c r="B3800" s="1" t="str">
        <f>"000356843 - "</f>
        <v xml:space="preserve">000356843 - </v>
      </c>
      <c r="D3800" s="1" t="str">
        <f t="shared" si="108"/>
        <v>PRG-1023043</v>
      </c>
      <c r="E3800" t="s">
        <v>133</v>
      </c>
      <c r="F3800" t="s">
        <v>4</v>
      </c>
      <c r="G3800" t="str">
        <f>""</f>
        <v/>
      </c>
    </row>
    <row r="3801" spans="1:7" x14ac:dyDescent="0.25">
      <c r="A3801" t="s">
        <v>8</v>
      </c>
      <c r="B3801" s="1" t="str">
        <f>"000371779 - RICH FOODS-PIZZA STUDIO"</f>
        <v>000371779 - RICH FOODS-PIZZA STUDIO</v>
      </c>
      <c r="C3801" t="s">
        <v>285</v>
      </c>
      <c r="D3801" s="1" t="str">
        <f t="shared" si="108"/>
        <v>PRG-1023043</v>
      </c>
      <c r="E3801" t="s">
        <v>133</v>
      </c>
      <c r="F3801" t="s">
        <v>4</v>
      </c>
      <c r="G3801" t="str">
        <f>""</f>
        <v/>
      </c>
    </row>
    <row r="3802" spans="1:7" x14ac:dyDescent="0.25">
      <c r="A3802" t="s">
        <v>8</v>
      </c>
      <c r="B3802" s="1" t="str">
        <f>"2000208916 - RICH'S AZ-PIZZA STUDIO"</f>
        <v>2000208916 - RICH'S AZ-PIZZA STUDIO</v>
      </c>
      <c r="C3802" t="s">
        <v>3950</v>
      </c>
      <c r="D3802" s="1" t="str">
        <f t="shared" si="108"/>
        <v>PRG-1023043</v>
      </c>
      <c r="E3802" t="s">
        <v>133</v>
      </c>
      <c r="F3802" t="s">
        <v>4</v>
      </c>
      <c r="G3802" t="str">
        <f>""</f>
        <v/>
      </c>
    </row>
    <row r="3803" spans="1:7" x14ac:dyDescent="0.25">
      <c r="A3803" t="s">
        <v>8</v>
      </c>
      <c r="B3803" s="1" t="str">
        <f>"2000329094 - RICH'S AZ-PIZZA STUDIO"</f>
        <v>2000329094 - RICH'S AZ-PIZZA STUDIO</v>
      </c>
      <c r="C3803" t="s">
        <v>3950</v>
      </c>
      <c r="D3803" s="1" t="str">
        <f t="shared" si="108"/>
        <v>PRG-1023043</v>
      </c>
      <c r="E3803" t="s">
        <v>133</v>
      </c>
      <c r="F3803" t="s">
        <v>4</v>
      </c>
      <c r="G3803" t="str">
        <f>""</f>
        <v/>
      </c>
    </row>
    <row r="3804" spans="1:7" x14ac:dyDescent="0.25">
      <c r="A3804" t="s">
        <v>8</v>
      </c>
      <c r="B3804" s="1" t="str">
        <f>"2000432466 - RICH'S AZ-PIZZA STUDIO"</f>
        <v>2000432466 - RICH'S AZ-PIZZA STUDIO</v>
      </c>
      <c r="C3804" t="s">
        <v>3950</v>
      </c>
      <c r="D3804" s="1" t="str">
        <f t="shared" si="108"/>
        <v>PRG-1023043</v>
      </c>
      <c r="E3804" t="s">
        <v>133</v>
      </c>
      <c r="F3804" t="s">
        <v>4</v>
      </c>
      <c r="G3804" t="str">
        <f>""</f>
        <v/>
      </c>
    </row>
    <row r="3805" spans="1:7" x14ac:dyDescent="0.25">
      <c r="A3805" t="s">
        <v>8</v>
      </c>
      <c r="B3805" s="1" t="str">
        <f>"S4H00C70"</f>
        <v>S4H00C70</v>
      </c>
      <c r="C3805" t="s">
        <v>5716</v>
      </c>
      <c r="D3805" s="1" t="str">
        <f>"PRG-1023056"</f>
        <v>PRG-1023056</v>
      </c>
      <c r="E3805" t="s">
        <v>5717</v>
      </c>
      <c r="F3805" t="s">
        <v>5</v>
      </c>
      <c r="G3805" t="str">
        <f>""</f>
        <v/>
      </c>
    </row>
    <row r="3806" spans="1:7" x14ac:dyDescent="0.25">
      <c r="A3806" t="s">
        <v>8</v>
      </c>
      <c r="B3806" s="1" t="str">
        <f>"000292349 - RICH PRODUCTS SPEEDI PIG"</f>
        <v>000292349 - RICH PRODUCTS SPEEDI PIG</v>
      </c>
      <c r="C3806" t="s">
        <v>2862</v>
      </c>
      <c r="D3806" s="1" t="str">
        <f>"PRG-1023070"</f>
        <v>PRG-1023070</v>
      </c>
      <c r="E3806" t="s">
        <v>2863</v>
      </c>
      <c r="F3806" t="s">
        <v>4</v>
      </c>
      <c r="G3806" t="str">
        <f>""</f>
        <v/>
      </c>
    </row>
    <row r="3807" spans="1:7" x14ac:dyDescent="0.25">
      <c r="A3807" t="s">
        <v>8</v>
      </c>
      <c r="B3807" s="1" t="str">
        <f>"000171220 - RICH CC SC PURCHASE ALLIANCE"</f>
        <v>000171220 - RICH CC SC PURCHASE ALLIANCE</v>
      </c>
      <c r="C3807" t="s">
        <v>1104</v>
      </c>
      <c r="D3807" s="1" t="str">
        <f>"PRG-1023129"</f>
        <v>PRG-1023129</v>
      </c>
      <c r="E3807" t="s">
        <v>1105</v>
      </c>
      <c r="F3807" t="s">
        <v>4</v>
      </c>
      <c r="G3807" t="str">
        <f>""</f>
        <v/>
      </c>
    </row>
    <row r="3808" spans="1:7" x14ac:dyDescent="0.25">
      <c r="A3808" t="s">
        <v>8</v>
      </c>
      <c r="B3808" s="1" t="str">
        <f>"000293780 - RICH MOE'S SUB SHOP"</f>
        <v>000293780 - RICH MOE'S SUB SHOP</v>
      </c>
      <c r="C3808" t="s">
        <v>2881</v>
      </c>
      <c r="D3808" s="1" t="str">
        <f>"PRG-1023147"</f>
        <v>PRG-1023147</v>
      </c>
      <c r="E3808" t="s">
        <v>2882</v>
      </c>
      <c r="F3808" t="s">
        <v>4</v>
      </c>
      <c r="G3808" t="str">
        <f>""</f>
        <v/>
      </c>
    </row>
    <row r="3809" spans="1:7" x14ac:dyDescent="0.25">
      <c r="A3809" t="s">
        <v>8</v>
      </c>
      <c r="B3809" s="1" t="str">
        <f>"000333611 - RICH FOOD AYRES HOTEL GROUP"</f>
        <v>000333611 - RICH FOOD AYRES HOTEL GROUP</v>
      </c>
      <c r="C3809" t="s">
        <v>3372</v>
      </c>
      <c r="D3809" s="1" t="str">
        <f>"PRG-1023153"</f>
        <v>PRG-1023153</v>
      </c>
      <c r="E3809" t="s">
        <v>741</v>
      </c>
      <c r="F3809" t="s">
        <v>4</v>
      </c>
      <c r="G3809" t="str">
        <f>""</f>
        <v/>
      </c>
    </row>
    <row r="3810" spans="1:7" x14ac:dyDescent="0.25">
      <c r="A3810" t="s">
        <v>8</v>
      </c>
      <c r="B3810" s="1" t="str">
        <f>"000333612 - RICH FOOD AYRES HOTEL GROUP"</f>
        <v>000333612 - RICH FOOD AYRES HOTEL GROUP</v>
      </c>
      <c r="C3810" t="s">
        <v>3372</v>
      </c>
      <c r="D3810" s="1" t="str">
        <f>"PRG-1023153"</f>
        <v>PRG-1023153</v>
      </c>
      <c r="E3810" t="s">
        <v>741</v>
      </c>
      <c r="F3810" t="s">
        <v>4</v>
      </c>
      <c r="G3810" t="str">
        <f>""</f>
        <v/>
      </c>
    </row>
    <row r="3811" spans="1:7" x14ac:dyDescent="0.25">
      <c r="A3811" t="s">
        <v>8</v>
      </c>
      <c r="B3811" s="1" t="str">
        <f>"000346068 - RICH  AYRES HOTEL"</f>
        <v>000346068 - RICH  AYRES HOTEL</v>
      </c>
      <c r="C3811" t="s">
        <v>3467</v>
      </c>
      <c r="D3811" s="1" t="str">
        <f>"PRG-1023153"</f>
        <v>PRG-1023153</v>
      </c>
      <c r="E3811" t="s">
        <v>741</v>
      </c>
      <c r="F3811" t="s">
        <v>4</v>
      </c>
      <c r="G3811" t="str">
        <f>""</f>
        <v/>
      </c>
    </row>
    <row r="3812" spans="1:7" x14ac:dyDescent="0.25">
      <c r="A3812" t="s">
        <v>8</v>
      </c>
      <c r="B3812" s="1" t="str">
        <f>"000348688 - RICH FOOD AYRES HOTEL GROUP"</f>
        <v>000348688 - RICH FOOD AYRES HOTEL GROUP</v>
      </c>
      <c r="C3812" t="s">
        <v>3372</v>
      </c>
      <c r="D3812" s="1" t="str">
        <f>"PRG-1023153"</f>
        <v>PRG-1023153</v>
      </c>
      <c r="E3812" t="s">
        <v>741</v>
      </c>
      <c r="F3812" t="s">
        <v>4</v>
      </c>
      <c r="G3812" t="str">
        <f>""</f>
        <v/>
      </c>
    </row>
    <row r="3813" spans="1:7" x14ac:dyDescent="0.25">
      <c r="A3813" t="s">
        <v>8</v>
      </c>
      <c r="B3813" s="1" t="str">
        <f>"000017256 - CASA DI BERTACCHI-SODEXO"</f>
        <v>000017256 - CASA DI BERTACCHI-SODEXO</v>
      </c>
      <c r="C3813" t="s">
        <v>378</v>
      </c>
      <c r="D3813" s="1" t="str">
        <f t="shared" ref="D3813:D3826" si="109">"PRG-1023154"</f>
        <v>PRG-1023154</v>
      </c>
      <c r="E3813" t="s">
        <v>36</v>
      </c>
      <c r="F3813" t="s">
        <v>4</v>
      </c>
      <c r="G3813" t="str">
        <f>""</f>
        <v/>
      </c>
    </row>
    <row r="3814" spans="1:7" x14ac:dyDescent="0.25">
      <c r="A3814" t="s">
        <v>8</v>
      </c>
      <c r="B3814" s="1" t="str">
        <f>"000127637 - CASA DI BERTACCHI-SODEXO"</f>
        <v>000127637 - CASA DI BERTACCHI-SODEXO</v>
      </c>
      <c r="C3814" t="s">
        <v>378</v>
      </c>
      <c r="D3814" s="1" t="str">
        <f t="shared" si="109"/>
        <v>PRG-1023154</v>
      </c>
      <c r="E3814" t="s">
        <v>36</v>
      </c>
      <c r="F3814" t="s">
        <v>4</v>
      </c>
      <c r="G3814" t="str">
        <f>""</f>
        <v/>
      </c>
    </row>
    <row r="3815" spans="1:7" x14ac:dyDescent="0.25">
      <c r="A3815" t="s">
        <v>8</v>
      </c>
      <c r="B3815" s="1" t="str">
        <f>"000190623 - CASA DI BERTACCHI-SODEXO"</f>
        <v>000190623 - CASA DI BERTACCHI-SODEXO</v>
      </c>
      <c r="C3815" t="s">
        <v>378</v>
      </c>
      <c r="D3815" s="1" t="str">
        <f t="shared" si="109"/>
        <v>PRG-1023154</v>
      </c>
      <c r="E3815" t="s">
        <v>36</v>
      </c>
      <c r="F3815" t="s">
        <v>4</v>
      </c>
      <c r="G3815" t="str">
        <f>""</f>
        <v/>
      </c>
    </row>
    <row r="3816" spans="1:7" x14ac:dyDescent="0.25">
      <c r="A3816" t="s">
        <v>8</v>
      </c>
      <c r="B3816" s="1" t="str">
        <f>"000191617 - CASA DI BERTACCHI-SODEXO"</f>
        <v>000191617 - CASA DI BERTACCHI-SODEXO</v>
      </c>
      <c r="C3816" t="s">
        <v>378</v>
      </c>
      <c r="D3816" s="1" t="str">
        <f t="shared" si="109"/>
        <v>PRG-1023154</v>
      </c>
      <c r="E3816" t="s">
        <v>36</v>
      </c>
      <c r="F3816" t="s">
        <v>4</v>
      </c>
      <c r="G3816" t="str">
        <f>""</f>
        <v/>
      </c>
    </row>
    <row r="3817" spans="1:7" x14ac:dyDescent="0.25">
      <c r="A3817" t="s">
        <v>8</v>
      </c>
      <c r="B3817" s="1" t="str">
        <f>"000191654 - CASA DI BERTACCHI-SODEXO"</f>
        <v>000191654 - CASA DI BERTACCHI-SODEXO</v>
      </c>
      <c r="C3817" t="s">
        <v>378</v>
      </c>
      <c r="D3817" s="1" t="str">
        <f t="shared" si="109"/>
        <v>PRG-1023154</v>
      </c>
      <c r="E3817" t="s">
        <v>36</v>
      </c>
      <c r="F3817" t="s">
        <v>4</v>
      </c>
      <c r="G3817" t="str">
        <f>""</f>
        <v/>
      </c>
    </row>
    <row r="3818" spans="1:7" x14ac:dyDescent="0.25">
      <c r="A3818" t="s">
        <v>8</v>
      </c>
      <c r="B3818" s="1" t="str">
        <f>"000192986 - CASA DI BERTACCHI-SODEXO"</f>
        <v>000192986 - CASA DI BERTACCHI-SODEXO</v>
      </c>
      <c r="C3818" t="s">
        <v>378</v>
      </c>
      <c r="D3818" s="1" t="str">
        <f t="shared" si="109"/>
        <v>PRG-1023154</v>
      </c>
      <c r="E3818" t="s">
        <v>36</v>
      </c>
      <c r="F3818" t="s">
        <v>4</v>
      </c>
      <c r="G3818" t="str">
        <f>""</f>
        <v/>
      </c>
    </row>
    <row r="3819" spans="1:7" x14ac:dyDescent="0.25">
      <c r="A3819" t="s">
        <v>8</v>
      </c>
      <c r="B3819" s="1" t="str">
        <f>"000199096 - CASA DI BERTACCHI-SODEXO"</f>
        <v>000199096 - CASA DI BERTACCHI-SODEXO</v>
      </c>
      <c r="C3819" t="s">
        <v>378</v>
      </c>
      <c r="D3819" s="1" t="str">
        <f t="shared" si="109"/>
        <v>PRG-1023154</v>
      </c>
      <c r="E3819" t="s">
        <v>36</v>
      </c>
      <c r="F3819" t="s">
        <v>4</v>
      </c>
      <c r="G3819" t="str">
        <f>""</f>
        <v/>
      </c>
    </row>
    <row r="3820" spans="1:7" x14ac:dyDescent="0.25">
      <c r="A3820" t="s">
        <v>8</v>
      </c>
      <c r="B3820" s="1" t="str">
        <f>"000215976 - CASA DI BERTACCHI-SODEXO"</f>
        <v>000215976 - CASA DI BERTACCHI-SODEXO</v>
      </c>
      <c r="C3820" t="s">
        <v>378</v>
      </c>
      <c r="D3820" s="1" t="str">
        <f t="shared" si="109"/>
        <v>PRG-1023154</v>
      </c>
      <c r="E3820" t="s">
        <v>36</v>
      </c>
      <c r="F3820" t="s">
        <v>4</v>
      </c>
      <c r="G3820" t="str">
        <f>""</f>
        <v/>
      </c>
    </row>
    <row r="3821" spans="1:7" x14ac:dyDescent="0.25">
      <c r="A3821" t="s">
        <v>8</v>
      </c>
      <c r="B3821" s="1" t="str">
        <f>"000218649 - CASA DI BERTACCHI-SODEXO"</f>
        <v>000218649 - CASA DI BERTACCHI-SODEXO</v>
      </c>
      <c r="C3821" t="s">
        <v>378</v>
      </c>
      <c r="D3821" s="1" t="str">
        <f t="shared" si="109"/>
        <v>PRG-1023154</v>
      </c>
      <c r="E3821" t="s">
        <v>36</v>
      </c>
      <c r="F3821" t="s">
        <v>4</v>
      </c>
      <c r="G3821" t="str">
        <f>""</f>
        <v/>
      </c>
    </row>
    <row r="3822" spans="1:7" x14ac:dyDescent="0.25">
      <c r="A3822" t="s">
        <v>8</v>
      </c>
      <c r="B3822" s="1" t="str">
        <f>"000220601 - CASA DI BERTACCHI-SODEXO"</f>
        <v>000220601 - CASA DI BERTACCHI-SODEXO</v>
      </c>
      <c r="C3822" t="s">
        <v>378</v>
      </c>
      <c r="D3822" s="1" t="str">
        <f t="shared" si="109"/>
        <v>PRG-1023154</v>
      </c>
      <c r="E3822" t="s">
        <v>36</v>
      </c>
      <c r="F3822" t="s">
        <v>4</v>
      </c>
      <c r="G3822" t="str">
        <f>""</f>
        <v/>
      </c>
    </row>
    <row r="3823" spans="1:7" x14ac:dyDescent="0.25">
      <c r="A3823" t="s">
        <v>8</v>
      </c>
      <c r="B3823" s="1" t="str">
        <f>"000223315 - CASA DI BERTACCHI-SODEXO"</f>
        <v>000223315 - CASA DI BERTACCHI-SODEXO</v>
      </c>
      <c r="C3823" t="s">
        <v>378</v>
      </c>
      <c r="D3823" s="1" t="str">
        <f t="shared" si="109"/>
        <v>PRG-1023154</v>
      </c>
      <c r="E3823" t="s">
        <v>36</v>
      </c>
      <c r="F3823" t="s">
        <v>4</v>
      </c>
      <c r="G3823" t="str">
        <f>""</f>
        <v/>
      </c>
    </row>
    <row r="3824" spans="1:7" x14ac:dyDescent="0.25">
      <c r="A3824" t="s">
        <v>8</v>
      </c>
      <c r="B3824" s="1" t="str">
        <f>"000243558 - CASA DI BERTACCHI-SODEXO"</f>
        <v>000243558 - CASA DI BERTACCHI-SODEXO</v>
      </c>
      <c r="C3824" t="s">
        <v>378</v>
      </c>
      <c r="D3824" s="1" t="str">
        <f t="shared" si="109"/>
        <v>PRG-1023154</v>
      </c>
      <c r="E3824" t="s">
        <v>36</v>
      </c>
      <c r="F3824" t="s">
        <v>4</v>
      </c>
      <c r="G3824" t="str">
        <f>""</f>
        <v/>
      </c>
    </row>
    <row r="3825" spans="1:7" x14ac:dyDescent="0.25">
      <c r="A3825" t="s">
        <v>8</v>
      </c>
      <c r="B3825" s="1" t="str">
        <f>"000261377 - Casa DI Bertacchi-Sodexo"</f>
        <v>000261377 - Casa DI Bertacchi-Sodexo</v>
      </c>
      <c r="C3825" t="s">
        <v>2281</v>
      </c>
      <c r="D3825" s="1" t="str">
        <f t="shared" si="109"/>
        <v>PRG-1023154</v>
      </c>
      <c r="E3825" t="s">
        <v>36</v>
      </c>
      <c r="F3825" t="s">
        <v>4</v>
      </c>
      <c r="G3825" t="str">
        <f>""</f>
        <v/>
      </c>
    </row>
    <row r="3826" spans="1:7" x14ac:dyDescent="0.25">
      <c r="A3826" t="s">
        <v>8</v>
      </c>
      <c r="B3826" s="1" t="str">
        <f>"000261502 - CASA DI BERTACCHI-SODEXO"</f>
        <v>000261502 - CASA DI BERTACCHI-SODEXO</v>
      </c>
      <c r="C3826" t="s">
        <v>378</v>
      </c>
      <c r="D3826" s="1" t="str">
        <f t="shared" si="109"/>
        <v>PRG-1023154</v>
      </c>
      <c r="E3826" t="s">
        <v>36</v>
      </c>
      <c r="F3826" t="s">
        <v>4</v>
      </c>
      <c r="G3826" t="str">
        <f>""</f>
        <v/>
      </c>
    </row>
    <row r="3827" spans="1:7" x14ac:dyDescent="0.25">
      <c r="A3827" t="s">
        <v>8</v>
      </c>
      <c r="B3827" s="1" t="str">
        <f>"2000224903 - RICH'S INTM-COWABUNGA BAY"</f>
        <v>2000224903 - RICH'S INTM-COWABUNGA BAY</v>
      </c>
      <c r="C3827" t="s">
        <v>3974</v>
      </c>
      <c r="D3827" s="1" t="str">
        <f>"PRG-1023185"</f>
        <v>PRG-1023185</v>
      </c>
      <c r="E3827" t="s">
        <v>3975</v>
      </c>
      <c r="F3827" t="s">
        <v>4</v>
      </c>
      <c r="G3827" t="str">
        <f>""</f>
        <v/>
      </c>
    </row>
    <row r="3828" spans="1:7" x14ac:dyDescent="0.25">
      <c r="A3828" t="s">
        <v>8</v>
      </c>
      <c r="B3828" s="1" t="str">
        <f>"6026S417"</f>
        <v>6026S417</v>
      </c>
      <c r="C3828" t="s">
        <v>5144</v>
      </c>
      <c r="D3828" s="1" t="str">
        <f>"PRG-1023192"</f>
        <v>PRG-1023192</v>
      </c>
      <c r="E3828" t="s">
        <v>5053</v>
      </c>
      <c r="F3828" t="s">
        <v>5</v>
      </c>
      <c r="G3828" t="str">
        <f>""</f>
        <v/>
      </c>
    </row>
    <row r="3829" spans="1:7" x14ac:dyDescent="0.25">
      <c r="A3829" t="s">
        <v>8</v>
      </c>
      <c r="B3829" s="1" t="str">
        <f>"000293779 - RICH COUNTRY CLUB OF LEAWOOD"</f>
        <v>000293779 - RICH COUNTRY CLUB OF LEAWOOD</v>
      </c>
      <c r="C3829" t="s">
        <v>2879</v>
      </c>
      <c r="D3829" s="1" t="str">
        <f>"PRG-1023196"</f>
        <v>PRG-1023196</v>
      </c>
      <c r="E3829" t="s">
        <v>2880</v>
      </c>
      <c r="F3829" t="s">
        <v>4</v>
      </c>
      <c r="G3829" t="str">
        <f>""</f>
        <v/>
      </c>
    </row>
    <row r="3830" spans="1:7" x14ac:dyDescent="0.25">
      <c r="A3830" t="s">
        <v>8</v>
      </c>
      <c r="B3830" s="1" t="str">
        <f>"31609424"</f>
        <v>31609424</v>
      </c>
      <c r="C3830" t="s">
        <v>4676</v>
      </c>
      <c r="D3830" s="1" t="str">
        <f>"PRG-1023201"</f>
        <v>PRG-1023201</v>
      </c>
      <c r="E3830" t="s">
        <v>4677</v>
      </c>
      <c r="F3830" t="s">
        <v>5</v>
      </c>
      <c r="G3830" t="str">
        <f>""</f>
        <v/>
      </c>
    </row>
    <row r="3831" spans="1:7" x14ac:dyDescent="0.25">
      <c r="A3831" t="s">
        <v>8</v>
      </c>
      <c r="B3831" s="1" t="str">
        <f>"000262630 - MATER ACADEMY   RICH"</f>
        <v>000262630 - MATER ACADEMY   RICH</v>
      </c>
      <c r="C3831" t="s">
        <v>2324</v>
      </c>
      <c r="D3831" s="1" t="str">
        <f>"PRG-1023209"</f>
        <v>PRG-1023209</v>
      </c>
      <c r="E3831" t="s">
        <v>2325</v>
      </c>
      <c r="F3831" t="s">
        <v>4</v>
      </c>
      <c r="G3831" t="str">
        <f>""</f>
        <v/>
      </c>
    </row>
    <row r="3832" spans="1:7" x14ac:dyDescent="0.25">
      <c r="A3832" t="s">
        <v>8</v>
      </c>
      <c r="B3832" s="1" t="str">
        <f>"000109916 - RICHS(06) - NCCNPA"</f>
        <v>000109916 - RICHS(06) - NCCNPA</v>
      </c>
      <c r="C3832" t="s">
        <v>830</v>
      </c>
      <c r="D3832" s="1" t="str">
        <f t="shared" ref="D3832:D3837" si="110">"PRG-1023216"</f>
        <v>PRG-1023216</v>
      </c>
      <c r="E3832" t="s">
        <v>831</v>
      </c>
      <c r="F3832" t="s">
        <v>4</v>
      </c>
      <c r="G3832" t="str">
        <f>""</f>
        <v/>
      </c>
    </row>
    <row r="3833" spans="1:7" x14ac:dyDescent="0.25">
      <c r="A3833" t="s">
        <v>8</v>
      </c>
      <c r="B3833" s="1" t="str">
        <f>"000109950 - RICHS(04) - NCCNPA"</f>
        <v>000109950 - RICHS(04) - NCCNPA</v>
      </c>
      <c r="C3833" t="s">
        <v>832</v>
      </c>
      <c r="D3833" s="1" t="str">
        <f t="shared" si="110"/>
        <v>PRG-1023216</v>
      </c>
      <c r="E3833" t="s">
        <v>831</v>
      </c>
      <c r="F3833" t="s">
        <v>4</v>
      </c>
      <c r="G3833" t="str">
        <f>""</f>
        <v/>
      </c>
    </row>
    <row r="3834" spans="1:7" x14ac:dyDescent="0.25">
      <c r="A3834" t="s">
        <v>8</v>
      </c>
      <c r="B3834" s="1" t="str">
        <f>"000224132 - RICHS(06) - NCCNPA"</f>
        <v>000224132 - RICHS(06) - NCCNPA</v>
      </c>
      <c r="C3834" t="s">
        <v>830</v>
      </c>
      <c r="D3834" s="1" t="str">
        <f t="shared" si="110"/>
        <v>PRG-1023216</v>
      </c>
      <c r="E3834" t="s">
        <v>831</v>
      </c>
      <c r="F3834" t="s">
        <v>4</v>
      </c>
      <c r="G3834" t="str">
        <f>""</f>
        <v/>
      </c>
    </row>
    <row r="3835" spans="1:7" x14ac:dyDescent="0.25">
      <c r="A3835" t="s">
        <v>8</v>
      </c>
      <c r="B3835" s="1" t="str">
        <f>"22501881"</f>
        <v>22501881</v>
      </c>
      <c r="C3835" t="s">
        <v>4343</v>
      </c>
      <c r="D3835" s="1" t="str">
        <f t="shared" si="110"/>
        <v>PRG-1023216</v>
      </c>
      <c r="E3835" t="s">
        <v>831</v>
      </c>
      <c r="F3835" t="s">
        <v>5</v>
      </c>
      <c r="G3835" t="str">
        <f>""</f>
        <v/>
      </c>
    </row>
    <row r="3836" spans="1:7" x14ac:dyDescent="0.25">
      <c r="A3836" t="s">
        <v>8</v>
      </c>
      <c r="B3836" s="1" t="str">
        <f>"22502069"</f>
        <v>22502069</v>
      </c>
      <c r="C3836" t="s">
        <v>4345</v>
      </c>
      <c r="D3836" s="1" t="str">
        <f t="shared" si="110"/>
        <v>PRG-1023216</v>
      </c>
      <c r="E3836" t="s">
        <v>831</v>
      </c>
      <c r="F3836" t="s">
        <v>5</v>
      </c>
      <c r="G3836" t="str">
        <f>""</f>
        <v/>
      </c>
    </row>
    <row r="3837" spans="1:7" x14ac:dyDescent="0.25">
      <c r="A3837" t="s">
        <v>8</v>
      </c>
      <c r="B3837" s="1" t="str">
        <f>"2250621O"</f>
        <v>2250621O</v>
      </c>
      <c r="C3837" t="s">
        <v>4360</v>
      </c>
      <c r="D3837" s="1" t="str">
        <f t="shared" si="110"/>
        <v>PRG-1023216</v>
      </c>
      <c r="E3837" t="s">
        <v>831</v>
      </c>
      <c r="F3837" t="s">
        <v>5</v>
      </c>
      <c r="G3837" t="str">
        <f>""</f>
        <v/>
      </c>
    </row>
    <row r="3838" spans="1:7" x14ac:dyDescent="0.25">
      <c r="A3838" t="s">
        <v>8</v>
      </c>
      <c r="B3838" s="1" t="str">
        <f>"2220B569"</f>
        <v>2220B569</v>
      </c>
      <c r="C3838" t="s">
        <v>4248</v>
      </c>
      <c r="D3838" s="1" t="str">
        <f>"PRG-1023217"</f>
        <v>PRG-1023217</v>
      </c>
      <c r="E3838" t="s">
        <v>4249</v>
      </c>
      <c r="F3838" t="s">
        <v>5</v>
      </c>
      <c r="G3838" t="str">
        <f>""</f>
        <v/>
      </c>
    </row>
    <row r="3839" spans="1:7" x14ac:dyDescent="0.25">
      <c r="A3839" t="s">
        <v>8</v>
      </c>
      <c r="B3839" s="1" t="str">
        <f>"2220B968"</f>
        <v>2220B968</v>
      </c>
      <c r="C3839" t="s">
        <v>4250</v>
      </c>
      <c r="D3839" s="1" t="str">
        <f>"PRG-1023217"</f>
        <v>PRG-1023217</v>
      </c>
      <c r="E3839" t="s">
        <v>4249</v>
      </c>
      <c r="F3839" t="s">
        <v>5</v>
      </c>
      <c r="G3839" t="str">
        <f>""</f>
        <v/>
      </c>
    </row>
    <row r="3840" spans="1:7" x14ac:dyDescent="0.25">
      <c r="A3840" t="s">
        <v>8</v>
      </c>
      <c r="B3840" s="1" t="str">
        <f>"000136895 - RICH PROD MONTEREY AT ENCINO"</f>
        <v>000136895 - RICH PROD MONTEREY AT ENCINO</v>
      </c>
      <c r="C3840" t="s">
        <v>961</v>
      </c>
      <c r="D3840" s="1" t="str">
        <f>"PRG-1023221"</f>
        <v>PRG-1023221</v>
      </c>
      <c r="E3840" t="s">
        <v>962</v>
      </c>
      <c r="F3840" t="s">
        <v>4</v>
      </c>
      <c r="G3840" t="str">
        <f>""</f>
        <v/>
      </c>
    </row>
    <row r="3841" spans="1:7" x14ac:dyDescent="0.25">
      <c r="A3841" t="s">
        <v>8</v>
      </c>
      <c r="B3841" s="1" t="str">
        <f>"000160012 - "</f>
        <v xml:space="preserve">000160012 - </v>
      </c>
      <c r="D3841" s="1" t="str">
        <f>"PRG-1023221"</f>
        <v>PRG-1023221</v>
      </c>
      <c r="E3841" t="s">
        <v>962</v>
      </c>
      <c r="F3841" t="s">
        <v>4</v>
      </c>
      <c r="G3841" t="str">
        <f>""</f>
        <v/>
      </c>
    </row>
    <row r="3842" spans="1:7" x14ac:dyDescent="0.25">
      <c r="A3842" t="s">
        <v>8</v>
      </c>
      <c r="B3842" s="1" t="str">
        <f>"S8U016M0"</f>
        <v>S8U016M0</v>
      </c>
      <c r="C3842" t="s">
        <v>6286</v>
      </c>
      <c r="D3842" s="1" t="str">
        <f>"PRG-1023256"</f>
        <v>PRG-1023256</v>
      </c>
      <c r="E3842" t="s">
        <v>6287</v>
      </c>
      <c r="F3842" t="s">
        <v>5</v>
      </c>
      <c r="G3842" t="str">
        <f>""</f>
        <v/>
      </c>
    </row>
    <row r="3843" spans="1:7" x14ac:dyDescent="0.25">
      <c r="A3843" t="s">
        <v>8</v>
      </c>
      <c r="B3843" s="1" t="str">
        <f>"S6I00RP0"</f>
        <v>S6I00RP0</v>
      </c>
      <c r="C3843" t="s">
        <v>6083</v>
      </c>
      <c r="D3843" s="1" t="str">
        <f>"PRG-1023299"</f>
        <v>PRG-1023299</v>
      </c>
      <c r="E3843" t="s">
        <v>6084</v>
      </c>
      <c r="F3843" t="s">
        <v>5</v>
      </c>
      <c r="G3843" t="str">
        <f>""</f>
        <v/>
      </c>
    </row>
    <row r="3844" spans="1:7" x14ac:dyDescent="0.25">
      <c r="A3844" t="s">
        <v>8</v>
      </c>
      <c r="B3844" s="1" t="str">
        <f>"000001437 - "</f>
        <v xml:space="preserve">000001437 - </v>
      </c>
      <c r="D3844" s="1" t="str">
        <f t="shared" ref="D3844:D3907" si="111">"PRG-1023313"</f>
        <v>PRG-1023313</v>
      </c>
      <c r="E3844" t="s">
        <v>87</v>
      </c>
      <c r="F3844" t="s">
        <v>4</v>
      </c>
      <c r="G3844" t="str">
        <f>""</f>
        <v/>
      </c>
    </row>
    <row r="3845" spans="1:7" x14ac:dyDescent="0.25">
      <c r="A3845" t="s">
        <v>8</v>
      </c>
      <c r="B3845" s="1" t="str">
        <f>"000002690 - RICH (BB CORE)-AFNAF"</f>
        <v>000002690 - RICH (BB CORE)-AFNAF</v>
      </c>
      <c r="C3845" t="s">
        <v>134</v>
      </c>
      <c r="D3845" s="1" t="str">
        <f t="shared" si="111"/>
        <v>PRG-1023313</v>
      </c>
      <c r="E3845" t="s">
        <v>87</v>
      </c>
      <c r="F3845" t="s">
        <v>4</v>
      </c>
      <c r="G3845" t="str">
        <f>""</f>
        <v/>
      </c>
    </row>
    <row r="3846" spans="1:7" x14ac:dyDescent="0.25">
      <c r="A3846" t="s">
        <v>8</v>
      </c>
      <c r="B3846" s="1" t="str">
        <f>"000004856 - RICH (BB CORE)-AFNAF"</f>
        <v>000004856 - RICH (BB CORE)-AFNAF</v>
      </c>
      <c r="C3846" t="s">
        <v>134</v>
      </c>
      <c r="D3846" s="1" t="str">
        <f t="shared" si="111"/>
        <v>PRG-1023313</v>
      </c>
      <c r="E3846" t="s">
        <v>87</v>
      </c>
      <c r="F3846" t="s">
        <v>4</v>
      </c>
      <c r="G3846" t="str">
        <f>""</f>
        <v/>
      </c>
    </row>
    <row r="3847" spans="1:7" x14ac:dyDescent="0.25">
      <c r="A3847" t="s">
        <v>8</v>
      </c>
      <c r="B3847" s="1" t="str">
        <f>"000007013 - RICH (BB NCORE)-AFNAF"</f>
        <v>000007013 - RICH (BB NCORE)-AFNAF</v>
      </c>
      <c r="C3847" t="s">
        <v>116</v>
      </c>
      <c r="D3847" s="1" t="str">
        <f t="shared" si="111"/>
        <v>PRG-1023313</v>
      </c>
      <c r="E3847" t="s">
        <v>87</v>
      </c>
      <c r="F3847" t="s">
        <v>4</v>
      </c>
      <c r="G3847" t="str">
        <f>""</f>
        <v/>
      </c>
    </row>
    <row r="3848" spans="1:7" x14ac:dyDescent="0.25">
      <c r="A3848" t="s">
        <v>8</v>
      </c>
      <c r="B3848" s="1" t="str">
        <f>"000007016 - RICH (BB CORE)-AFNAF"</f>
        <v>000007016 - RICH (BB CORE)-AFNAF</v>
      </c>
      <c r="C3848" t="s">
        <v>134</v>
      </c>
      <c r="D3848" s="1" t="str">
        <f t="shared" si="111"/>
        <v>PRG-1023313</v>
      </c>
      <c r="E3848" t="s">
        <v>87</v>
      </c>
      <c r="F3848" t="s">
        <v>4</v>
      </c>
      <c r="G3848" t="str">
        <f>""</f>
        <v/>
      </c>
    </row>
    <row r="3849" spans="1:7" x14ac:dyDescent="0.25">
      <c r="A3849" t="s">
        <v>8</v>
      </c>
      <c r="B3849" s="1" t="str">
        <f>"000013161 - "</f>
        <v xml:space="preserve">000013161 - </v>
      </c>
      <c r="D3849" s="1" t="str">
        <f t="shared" si="111"/>
        <v>PRG-1023313</v>
      </c>
      <c r="E3849" t="s">
        <v>87</v>
      </c>
      <c r="F3849" t="s">
        <v>4</v>
      </c>
      <c r="G3849" t="str">
        <f>""</f>
        <v/>
      </c>
    </row>
    <row r="3850" spans="1:7" x14ac:dyDescent="0.25">
      <c r="A3850" t="s">
        <v>8</v>
      </c>
      <c r="B3850" s="1" t="str">
        <f>"000013371 - RICH FOODS BB AFNAF DC"</f>
        <v>000013371 - RICH FOODS BB AFNAF DC</v>
      </c>
      <c r="C3850" t="s">
        <v>307</v>
      </c>
      <c r="D3850" s="1" t="str">
        <f t="shared" si="111"/>
        <v>PRG-1023313</v>
      </c>
      <c r="E3850" t="s">
        <v>87</v>
      </c>
      <c r="F3850" t="s">
        <v>4</v>
      </c>
      <c r="G3850" t="str">
        <f>""</f>
        <v/>
      </c>
    </row>
    <row r="3851" spans="1:7" x14ac:dyDescent="0.25">
      <c r="A3851" t="s">
        <v>8</v>
      </c>
      <c r="B3851" s="1" t="str">
        <f>"000015171 - "</f>
        <v xml:space="preserve">000015171 - </v>
      </c>
      <c r="D3851" s="1" t="str">
        <f t="shared" si="111"/>
        <v>PRG-1023313</v>
      </c>
      <c r="E3851" t="s">
        <v>87</v>
      </c>
      <c r="F3851" t="s">
        <v>4</v>
      </c>
      <c r="G3851" t="str">
        <f>""</f>
        <v/>
      </c>
    </row>
    <row r="3852" spans="1:7" x14ac:dyDescent="0.25">
      <c r="A3852" t="s">
        <v>8</v>
      </c>
      <c r="B3852" s="1" t="str">
        <f>"000015174 - "</f>
        <v xml:space="preserve">000015174 - </v>
      </c>
      <c r="D3852" s="1" t="str">
        <f t="shared" si="111"/>
        <v>PRG-1023313</v>
      </c>
      <c r="E3852" t="s">
        <v>87</v>
      </c>
      <c r="F3852" t="s">
        <v>4</v>
      </c>
      <c r="G3852" t="str">
        <f>""</f>
        <v/>
      </c>
    </row>
    <row r="3853" spans="1:7" x14ac:dyDescent="0.25">
      <c r="A3853" t="s">
        <v>8</v>
      </c>
      <c r="B3853" s="1" t="str">
        <f>"000023414 - RICH FOODS-AFNAF"</f>
        <v>000023414 - RICH FOODS-AFNAF</v>
      </c>
      <c r="C3853" t="s">
        <v>425</v>
      </c>
      <c r="D3853" s="1" t="str">
        <f t="shared" si="111"/>
        <v>PRG-1023313</v>
      </c>
      <c r="E3853" t="s">
        <v>87</v>
      </c>
      <c r="F3853" t="s">
        <v>4</v>
      </c>
      <c r="G3853" t="str">
        <f>""</f>
        <v/>
      </c>
    </row>
    <row r="3854" spans="1:7" x14ac:dyDescent="0.25">
      <c r="A3854" t="s">
        <v>8</v>
      </c>
      <c r="B3854" s="1" t="str">
        <f>"000040821 - RICH FOODS-AFNAF"</f>
        <v>000040821 - RICH FOODS-AFNAF</v>
      </c>
      <c r="C3854" t="s">
        <v>425</v>
      </c>
      <c r="D3854" s="1" t="str">
        <f t="shared" si="111"/>
        <v>PRG-1023313</v>
      </c>
      <c r="E3854" t="s">
        <v>87</v>
      </c>
      <c r="F3854" t="s">
        <v>4</v>
      </c>
      <c r="G3854" t="str">
        <f>""</f>
        <v/>
      </c>
    </row>
    <row r="3855" spans="1:7" x14ac:dyDescent="0.25">
      <c r="A3855" t="s">
        <v>8</v>
      </c>
      <c r="B3855" s="1" t="str">
        <f>"000047581 - RICH NCORE-AFNAF"</f>
        <v>000047581 - RICH NCORE-AFNAF</v>
      </c>
      <c r="C3855" t="s">
        <v>632</v>
      </c>
      <c r="D3855" s="1" t="str">
        <f t="shared" si="111"/>
        <v>PRG-1023313</v>
      </c>
      <c r="E3855" t="s">
        <v>87</v>
      </c>
      <c r="F3855" t="s">
        <v>4</v>
      </c>
      <c r="G3855" t="str">
        <f>""</f>
        <v/>
      </c>
    </row>
    <row r="3856" spans="1:7" x14ac:dyDescent="0.25">
      <c r="A3856" t="s">
        <v>8</v>
      </c>
      <c r="B3856" s="1" t="str">
        <f>"000054676 - RICHS (BB) CORE-AFNAF"</f>
        <v>000054676 - RICHS (BB) CORE-AFNAF</v>
      </c>
      <c r="C3856" t="s">
        <v>674</v>
      </c>
      <c r="D3856" s="1" t="str">
        <f t="shared" si="111"/>
        <v>PRG-1023313</v>
      </c>
      <c r="E3856" t="s">
        <v>87</v>
      </c>
      <c r="F3856" t="s">
        <v>4</v>
      </c>
      <c r="G3856" t="str">
        <f>""</f>
        <v/>
      </c>
    </row>
    <row r="3857" spans="1:7" x14ac:dyDescent="0.25">
      <c r="A3857" t="s">
        <v>8</v>
      </c>
      <c r="B3857" s="1" t="str">
        <f>"000055550 - RICHS (BB) CORE-AFNAF RETRO"</f>
        <v>000055550 - RICHS (BB) CORE-AFNAF RETRO</v>
      </c>
      <c r="C3857" t="s">
        <v>679</v>
      </c>
      <c r="D3857" s="1" t="str">
        <f t="shared" si="111"/>
        <v>PRG-1023313</v>
      </c>
      <c r="E3857" t="s">
        <v>87</v>
      </c>
      <c r="F3857" t="s">
        <v>4</v>
      </c>
      <c r="G3857" t="str">
        <f>""</f>
        <v/>
      </c>
    </row>
    <row r="3858" spans="1:7" x14ac:dyDescent="0.25">
      <c r="A3858" t="s">
        <v>8</v>
      </c>
      <c r="B3858" s="1" t="str">
        <f>"000073269 - RICH (BB CORE)-AFNAF"</f>
        <v>000073269 - RICH (BB CORE)-AFNAF</v>
      </c>
      <c r="C3858" t="s">
        <v>134</v>
      </c>
      <c r="D3858" s="1" t="str">
        <f t="shared" si="111"/>
        <v>PRG-1023313</v>
      </c>
      <c r="E3858" t="s">
        <v>87</v>
      </c>
      <c r="F3858" t="s">
        <v>4</v>
      </c>
      <c r="G3858" t="str">
        <f>""</f>
        <v/>
      </c>
    </row>
    <row r="3859" spans="1:7" x14ac:dyDescent="0.25">
      <c r="A3859" t="s">
        <v>8</v>
      </c>
      <c r="B3859" s="1" t="str">
        <f>"000107057 - RICH FOODS-AFNAF"</f>
        <v>000107057 - RICH FOODS-AFNAF</v>
      </c>
      <c r="C3859" t="s">
        <v>425</v>
      </c>
      <c r="D3859" s="1" t="str">
        <f t="shared" si="111"/>
        <v>PRG-1023313</v>
      </c>
      <c r="E3859" t="s">
        <v>87</v>
      </c>
      <c r="F3859" t="s">
        <v>4</v>
      </c>
      <c r="G3859" t="str">
        <f>""</f>
        <v/>
      </c>
    </row>
    <row r="3860" spans="1:7" x14ac:dyDescent="0.25">
      <c r="A3860" t="s">
        <v>8</v>
      </c>
      <c r="B3860" s="1" t="str">
        <f>"000115455 - RICH FOODS-AFNAF"</f>
        <v>000115455 - RICH FOODS-AFNAF</v>
      </c>
      <c r="C3860" t="s">
        <v>425</v>
      </c>
      <c r="D3860" s="1" t="str">
        <f t="shared" si="111"/>
        <v>PRG-1023313</v>
      </c>
      <c r="E3860" t="s">
        <v>87</v>
      </c>
      <c r="F3860" t="s">
        <v>4</v>
      </c>
      <c r="G3860" t="str">
        <f>""</f>
        <v/>
      </c>
    </row>
    <row r="3861" spans="1:7" x14ac:dyDescent="0.25">
      <c r="A3861" t="s">
        <v>8</v>
      </c>
      <c r="B3861" s="1" t="str">
        <f>"000119220 - RICH FOODS-AFNAF"</f>
        <v>000119220 - RICH FOODS-AFNAF</v>
      </c>
      <c r="C3861" t="s">
        <v>425</v>
      </c>
      <c r="D3861" s="1" t="str">
        <f t="shared" si="111"/>
        <v>PRG-1023313</v>
      </c>
      <c r="E3861" t="s">
        <v>87</v>
      </c>
      <c r="F3861" t="s">
        <v>4</v>
      </c>
      <c r="G3861" t="str">
        <f>""</f>
        <v/>
      </c>
    </row>
    <row r="3862" spans="1:7" x14ac:dyDescent="0.25">
      <c r="A3862" t="s">
        <v>8</v>
      </c>
      <c r="B3862" s="1" t="str">
        <f>"000122378 - RICH FOODS-AFNAF"</f>
        <v>000122378 - RICH FOODS-AFNAF</v>
      </c>
      <c r="C3862" t="s">
        <v>425</v>
      </c>
      <c r="D3862" s="1" t="str">
        <f t="shared" si="111"/>
        <v>PRG-1023313</v>
      </c>
      <c r="E3862" t="s">
        <v>87</v>
      </c>
      <c r="F3862" t="s">
        <v>4</v>
      </c>
      <c r="G3862" t="str">
        <f>""</f>
        <v/>
      </c>
    </row>
    <row r="3863" spans="1:7" x14ac:dyDescent="0.25">
      <c r="A3863" t="s">
        <v>8</v>
      </c>
      <c r="B3863" s="1" t="str">
        <f>"000123291 - RICH FOODS-HAGADONE"</f>
        <v>000123291 - RICH FOODS-HAGADONE</v>
      </c>
      <c r="C3863" t="s">
        <v>904</v>
      </c>
      <c r="D3863" s="1" t="str">
        <f t="shared" si="111"/>
        <v>PRG-1023313</v>
      </c>
      <c r="E3863" t="s">
        <v>87</v>
      </c>
      <c r="F3863" t="s">
        <v>4</v>
      </c>
      <c r="G3863" t="str">
        <f>""</f>
        <v/>
      </c>
    </row>
    <row r="3864" spans="1:7" x14ac:dyDescent="0.25">
      <c r="A3864" t="s">
        <v>8</v>
      </c>
      <c r="B3864" s="1" t="str">
        <f>"000128309 - RICH NCORE-AFNAF"</f>
        <v>000128309 - RICH NCORE-AFNAF</v>
      </c>
      <c r="C3864" t="s">
        <v>632</v>
      </c>
      <c r="D3864" s="1" t="str">
        <f t="shared" si="111"/>
        <v>PRG-1023313</v>
      </c>
      <c r="E3864" t="s">
        <v>87</v>
      </c>
      <c r="F3864" t="s">
        <v>4</v>
      </c>
      <c r="G3864" t="str">
        <f>""</f>
        <v/>
      </c>
    </row>
    <row r="3865" spans="1:7" x14ac:dyDescent="0.25">
      <c r="A3865" t="s">
        <v>8</v>
      </c>
      <c r="B3865" s="1" t="str">
        <f>"000129555 - RICH NCORE-AFNAF"</f>
        <v>000129555 - RICH NCORE-AFNAF</v>
      </c>
      <c r="C3865" t="s">
        <v>632</v>
      </c>
      <c r="D3865" s="1" t="str">
        <f t="shared" si="111"/>
        <v>PRG-1023313</v>
      </c>
      <c r="E3865" t="s">
        <v>87</v>
      </c>
      <c r="F3865" t="s">
        <v>4</v>
      </c>
      <c r="G3865" t="str">
        <f>""</f>
        <v/>
      </c>
    </row>
    <row r="3866" spans="1:7" x14ac:dyDescent="0.25">
      <c r="A3866" t="s">
        <v>8</v>
      </c>
      <c r="B3866" s="1" t="str">
        <f>"000131263 - RICH FOODS-AFNAF"</f>
        <v>000131263 - RICH FOODS-AFNAF</v>
      </c>
      <c r="C3866" t="s">
        <v>425</v>
      </c>
      <c r="D3866" s="1" t="str">
        <f t="shared" si="111"/>
        <v>PRG-1023313</v>
      </c>
      <c r="E3866" t="s">
        <v>87</v>
      </c>
      <c r="F3866" t="s">
        <v>4</v>
      </c>
      <c r="G3866" t="str">
        <f>""</f>
        <v/>
      </c>
    </row>
    <row r="3867" spans="1:7" x14ac:dyDescent="0.25">
      <c r="A3867" t="s">
        <v>8</v>
      </c>
      <c r="B3867" s="1" t="str">
        <f>"000132471 - RICH FOODS-AFNAF"</f>
        <v>000132471 - RICH FOODS-AFNAF</v>
      </c>
      <c r="C3867" t="s">
        <v>425</v>
      </c>
      <c r="D3867" s="1" t="str">
        <f t="shared" si="111"/>
        <v>PRG-1023313</v>
      </c>
      <c r="E3867" t="s">
        <v>87</v>
      </c>
      <c r="F3867" t="s">
        <v>4</v>
      </c>
      <c r="G3867" t="str">
        <f>""</f>
        <v/>
      </c>
    </row>
    <row r="3868" spans="1:7" x14ac:dyDescent="0.25">
      <c r="A3868" t="s">
        <v>8</v>
      </c>
      <c r="B3868" s="1" t="str">
        <f>"000136942 - RICH NCORE-AFNAF"</f>
        <v>000136942 - RICH NCORE-AFNAF</v>
      </c>
      <c r="C3868" t="s">
        <v>632</v>
      </c>
      <c r="D3868" s="1" t="str">
        <f t="shared" si="111"/>
        <v>PRG-1023313</v>
      </c>
      <c r="E3868" t="s">
        <v>87</v>
      </c>
      <c r="F3868" t="s">
        <v>4</v>
      </c>
      <c r="G3868" t="str">
        <f>""</f>
        <v/>
      </c>
    </row>
    <row r="3869" spans="1:7" x14ac:dyDescent="0.25">
      <c r="A3869" t="s">
        <v>8</v>
      </c>
      <c r="B3869" s="1" t="str">
        <f>"000138351 - RICH NCORE-AFNAF"</f>
        <v>000138351 - RICH NCORE-AFNAF</v>
      </c>
      <c r="C3869" t="s">
        <v>632</v>
      </c>
      <c r="D3869" s="1" t="str">
        <f t="shared" si="111"/>
        <v>PRG-1023313</v>
      </c>
      <c r="E3869" t="s">
        <v>87</v>
      </c>
      <c r="F3869" t="s">
        <v>4</v>
      </c>
      <c r="G3869" t="str">
        <f>""</f>
        <v/>
      </c>
    </row>
    <row r="3870" spans="1:7" x14ac:dyDescent="0.25">
      <c r="A3870" t="s">
        <v>8</v>
      </c>
      <c r="B3870" s="1" t="str">
        <f>"000143362 - RICHS (BB) CORE-AFNAF"</f>
        <v>000143362 - RICHS (BB) CORE-AFNAF</v>
      </c>
      <c r="C3870" t="s">
        <v>674</v>
      </c>
      <c r="D3870" s="1" t="str">
        <f t="shared" si="111"/>
        <v>PRG-1023313</v>
      </c>
      <c r="E3870" t="s">
        <v>87</v>
      </c>
      <c r="F3870" t="s">
        <v>4</v>
      </c>
      <c r="G3870" t="str">
        <f>""</f>
        <v/>
      </c>
    </row>
    <row r="3871" spans="1:7" x14ac:dyDescent="0.25">
      <c r="A3871" t="s">
        <v>8</v>
      </c>
      <c r="B3871" s="1" t="str">
        <f>"000143974 - RICHS (BB) CORE-AFNAF"</f>
        <v>000143974 - RICHS (BB) CORE-AFNAF</v>
      </c>
      <c r="C3871" t="s">
        <v>674</v>
      </c>
      <c r="D3871" s="1" t="str">
        <f t="shared" si="111"/>
        <v>PRG-1023313</v>
      </c>
      <c r="E3871" t="s">
        <v>87</v>
      </c>
      <c r="F3871" t="s">
        <v>4</v>
      </c>
      <c r="G3871" t="str">
        <f>""</f>
        <v/>
      </c>
    </row>
    <row r="3872" spans="1:7" x14ac:dyDescent="0.25">
      <c r="A3872" t="s">
        <v>8</v>
      </c>
      <c r="B3872" s="1" t="str">
        <f>"000148574 - RICH FOODS-AFNAF"</f>
        <v>000148574 - RICH FOODS-AFNAF</v>
      </c>
      <c r="C3872" t="s">
        <v>425</v>
      </c>
      <c r="D3872" s="1" t="str">
        <f t="shared" si="111"/>
        <v>PRG-1023313</v>
      </c>
      <c r="E3872" t="s">
        <v>87</v>
      </c>
      <c r="F3872" t="s">
        <v>4</v>
      </c>
      <c r="G3872" t="str">
        <f>""</f>
        <v/>
      </c>
    </row>
    <row r="3873" spans="1:7" x14ac:dyDescent="0.25">
      <c r="A3873" t="s">
        <v>8</v>
      </c>
      <c r="B3873" s="1" t="str">
        <f>"000154748 - "</f>
        <v xml:space="preserve">000154748 - </v>
      </c>
      <c r="D3873" s="1" t="str">
        <f t="shared" si="111"/>
        <v>PRG-1023313</v>
      </c>
      <c r="E3873" t="s">
        <v>87</v>
      </c>
      <c r="F3873" t="s">
        <v>4</v>
      </c>
      <c r="G3873" t="str">
        <f>""</f>
        <v/>
      </c>
    </row>
    <row r="3874" spans="1:7" x14ac:dyDescent="0.25">
      <c r="A3874" t="s">
        <v>8</v>
      </c>
      <c r="B3874" s="1" t="str">
        <f>"000160893 - "</f>
        <v xml:space="preserve">000160893 - </v>
      </c>
      <c r="D3874" s="1" t="str">
        <f t="shared" si="111"/>
        <v>PRG-1023313</v>
      </c>
      <c r="E3874" t="s">
        <v>87</v>
      </c>
      <c r="F3874" t="s">
        <v>4</v>
      </c>
      <c r="G3874" t="str">
        <f>""</f>
        <v/>
      </c>
    </row>
    <row r="3875" spans="1:7" x14ac:dyDescent="0.25">
      <c r="A3875" t="s">
        <v>8</v>
      </c>
      <c r="B3875" s="1" t="str">
        <f>"000164351 - "</f>
        <v xml:space="preserve">000164351 - </v>
      </c>
      <c r="D3875" s="1" t="str">
        <f t="shared" si="111"/>
        <v>PRG-1023313</v>
      </c>
      <c r="E3875" t="s">
        <v>87</v>
      </c>
      <c r="F3875" t="s">
        <v>4</v>
      </c>
      <c r="G3875" t="str">
        <f>""</f>
        <v/>
      </c>
    </row>
    <row r="3876" spans="1:7" x14ac:dyDescent="0.25">
      <c r="A3876" t="s">
        <v>8</v>
      </c>
      <c r="B3876" s="1" t="str">
        <f>"000170439 - RICH FOODS-AFNAF"</f>
        <v>000170439 - RICH FOODS-AFNAF</v>
      </c>
      <c r="C3876" t="s">
        <v>425</v>
      </c>
      <c r="D3876" s="1" t="str">
        <f t="shared" si="111"/>
        <v>PRG-1023313</v>
      </c>
      <c r="E3876" t="s">
        <v>87</v>
      </c>
      <c r="F3876" t="s">
        <v>4</v>
      </c>
      <c r="G3876" t="str">
        <f>""</f>
        <v/>
      </c>
    </row>
    <row r="3877" spans="1:7" x14ac:dyDescent="0.25">
      <c r="A3877" t="s">
        <v>8</v>
      </c>
      <c r="B3877" s="1" t="str">
        <f>"000177740 - "</f>
        <v xml:space="preserve">000177740 - </v>
      </c>
      <c r="D3877" s="1" t="str">
        <f t="shared" si="111"/>
        <v>PRG-1023313</v>
      </c>
      <c r="E3877" t="s">
        <v>87</v>
      </c>
      <c r="F3877" t="s">
        <v>4</v>
      </c>
      <c r="G3877" t="str">
        <f>""</f>
        <v/>
      </c>
    </row>
    <row r="3878" spans="1:7" x14ac:dyDescent="0.25">
      <c r="A3878" t="s">
        <v>8</v>
      </c>
      <c r="B3878" s="1" t="str">
        <f>"000189441 - RICH FOODS-AFNAF"</f>
        <v>000189441 - RICH FOODS-AFNAF</v>
      </c>
      <c r="C3878" t="s">
        <v>425</v>
      </c>
      <c r="D3878" s="1" t="str">
        <f t="shared" si="111"/>
        <v>PRG-1023313</v>
      </c>
      <c r="E3878" t="s">
        <v>87</v>
      </c>
      <c r="F3878" t="s">
        <v>4</v>
      </c>
      <c r="G3878" t="str">
        <f>""</f>
        <v/>
      </c>
    </row>
    <row r="3879" spans="1:7" x14ac:dyDescent="0.25">
      <c r="A3879" t="s">
        <v>8</v>
      </c>
      <c r="B3879" s="1" t="str">
        <f>"000197501 - RICH FOODS-AFNAF"</f>
        <v>000197501 - RICH FOODS-AFNAF</v>
      </c>
      <c r="C3879" t="s">
        <v>425</v>
      </c>
      <c r="D3879" s="1" t="str">
        <f t="shared" si="111"/>
        <v>PRG-1023313</v>
      </c>
      <c r="E3879" t="s">
        <v>87</v>
      </c>
      <c r="F3879" t="s">
        <v>4</v>
      </c>
      <c r="G3879" t="str">
        <f>""</f>
        <v/>
      </c>
    </row>
    <row r="3880" spans="1:7" x14ac:dyDescent="0.25">
      <c r="A3880" t="s">
        <v>8</v>
      </c>
      <c r="B3880" s="1" t="str">
        <f>"000204518 - RICH FOODS-AFNAF"</f>
        <v>000204518 - RICH FOODS-AFNAF</v>
      </c>
      <c r="C3880" t="s">
        <v>425</v>
      </c>
      <c r="D3880" s="1" t="str">
        <f t="shared" si="111"/>
        <v>PRG-1023313</v>
      </c>
      <c r="E3880" t="s">
        <v>87</v>
      </c>
      <c r="F3880" t="s">
        <v>4</v>
      </c>
      <c r="G3880" t="str">
        <f>""</f>
        <v/>
      </c>
    </row>
    <row r="3881" spans="1:7" x14ac:dyDescent="0.25">
      <c r="A3881" t="s">
        <v>8</v>
      </c>
      <c r="B3881" s="1" t="str">
        <f>"000208128 - RICH FOODS-AFNAF"</f>
        <v>000208128 - RICH FOODS-AFNAF</v>
      </c>
      <c r="C3881" t="s">
        <v>425</v>
      </c>
      <c r="D3881" s="1" t="str">
        <f t="shared" si="111"/>
        <v>PRG-1023313</v>
      </c>
      <c r="E3881" t="s">
        <v>87</v>
      </c>
      <c r="F3881" t="s">
        <v>4</v>
      </c>
      <c r="G3881" t="str">
        <f>""</f>
        <v/>
      </c>
    </row>
    <row r="3882" spans="1:7" x14ac:dyDescent="0.25">
      <c r="A3882" t="s">
        <v>8</v>
      </c>
      <c r="B3882" s="1" t="str">
        <f>"000210015 - RICH FOODS-AFNAF"</f>
        <v>000210015 - RICH FOODS-AFNAF</v>
      </c>
      <c r="C3882" t="s">
        <v>425</v>
      </c>
      <c r="D3882" s="1" t="str">
        <f t="shared" si="111"/>
        <v>PRG-1023313</v>
      </c>
      <c r="E3882" t="s">
        <v>87</v>
      </c>
      <c r="F3882" t="s">
        <v>4</v>
      </c>
      <c r="G3882" t="str">
        <f>""</f>
        <v/>
      </c>
    </row>
    <row r="3883" spans="1:7" x14ac:dyDescent="0.25">
      <c r="A3883" t="s">
        <v>8</v>
      </c>
      <c r="B3883" s="1" t="str">
        <f>"000210613 - RICH FOODS-AFNAF"</f>
        <v>000210613 - RICH FOODS-AFNAF</v>
      </c>
      <c r="C3883" t="s">
        <v>425</v>
      </c>
      <c r="D3883" s="1" t="str">
        <f t="shared" si="111"/>
        <v>PRG-1023313</v>
      </c>
      <c r="E3883" t="s">
        <v>87</v>
      </c>
      <c r="F3883" t="s">
        <v>4</v>
      </c>
      <c r="G3883" t="str">
        <f>""</f>
        <v/>
      </c>
    </row>
    <row r="3884" spans="1:7" x14ac:dyDescent="0.25">
      <c r="A3884" t="s">
        <v>8</v>
      </c>
      <c r="B3884" s="1" t="str">
        <f>"000214737 - RICH FOODS-AFNAF"</f>
        <v>000214737 - RICH FOODS-AFNAF</v>
      </c>
      <c r="C3884" t="s">
        <v>425</v>
      </c>
      <c r="D3884" s="1" t="str">
        <f t="shared" si="111"/>
        <v>PRG-1023313</v>
      </c>
      <c r="E3884" t="s">
        <v>87</v>
      </c>
      <c r="F3884" t="s">
        <v>4</v>
      </c>
      <c r="G3884" t="str">
        <f>""</f>
        <v/>
      </c>
    </row>
    <row r="3885" spans="1:7" x14ac:dyDescent="0.25">
      <c r="A3885" t="s">
        <v>8</v>
      </c>
      <c r="B3885" s="1" t="str">
        <f>"000214996 - RICH NCORE-AFNAF"</f>
        <v>000214996 - RICH NCORE-AFNAF</v>
      </c>
      <c r="C3885" t="s">
        <v>632</v>
      </c>
      <c r="D3885" s="1" t="str">
        <f t="shared" si="111"/>
        <v>PRG-1023313</v>
      </c>
      <c r="E3885" t="s">
        <v>87</v>
      </c>
      <c r="F3885" t="s">
        <v>4</v>
      </c>
      <c r="G3885" t="str">
        <f>""</f>
        <v/>
      </c>
    </row>
    <row r="3886" spans="1:7" x14ac:dyDescent="0.25">
      <c r="A3886" t="s">
        <v>8</v>
      </c>
      <c r="B3886" s="1" t="str">
        <f>"000215026 - AFNAF NC DPM RICHS"</f>
        <v>000215026 - AFNAF NC DPM RICHS</v>
      </c>
      <c r="C3886" t="s">
        <v>1513</v>
      </c>
      <c r="D3886" s="1" t="str">
        <f t="shared" si="111"/>
        <v>PRG-1023313</v>
      </c>
      <c r="E3886" t="s">
        <v>87</v>
      </c>
      <c r="F3886" t="s">
        <v>4</v>
      </c>
      <c r="G3886" t="str">
        <f>""</f>
        <v/>
      </c>
    </row>
    <row r="3887" spans="1:7" x14ac:dyDescent="0.25">
      <c r="A3887" t="s">
        <v>8</v>
      </c>
      <c r="B3887" s="1" t="str">
        <f>"000215420 - RICH NCORE-AFNAF"</f>
        <v>000215420 - RICH NCORE-AFNAF</v>
      </c>
      <c r="C3887" t="s">
        <v>632</v>
      </c>
      <c r="D3887" s="1" t="str">
        <f t="shared" si="111"/>
        <v>PRG-1023313</v>
      </c>
      <c r="E3887" t="s">
        <v>87</v>
      </c>
      <c r="F3887" t="s">
        <v>4</v>
      </c>
      <c r="G3887" t="str">
        <f>""</f>
        <v/>
      </c>
    </row>
    <row r="3888" spans="1:7" x14ac:dyDescent="0.25">
      <c r="A3888" t="s">
        <v>8</v>
      </c>
      <c r="B3888" s="1" t="str">
        <f>"000216782 - RICH NCORE-AFNAF"</f>
        <v>000216782 - RICH NCORE-AFNAF</v>
      </c>
      <c r="C3888" t="s">
        <v>632</v>
      </c>
      <c r="D3888" s="1" t="str">
        <f t="shared" si="111"/>
        <v>PRG-1023313</v>
      </c>
      <c r="E3888" t="s">
        <v>87</v>
      </c>
      <c r="F3888" t="s">
        <v>4</v>
      </c>
      <c r="G3888" t="str">
        <f>""</f>
        <v/>
      </c>
    </row>
    <row r="3889" spans="1:7" x14ac:dyDescent="0.25">
      <c r="A3889" t="s">
        <v>8</v>
      </c>
      <c r="B3889" s="1" t="str">
        <f>"000218977 - RICH FOODS-AFNAF"</f>
        <v>000218977 - RICH FOODS-AFNAF</v>
      </c>
      <c r="C3889" t="s">
        <v>425</v>
      </c>
      <c r="D3889" s="1" t="str">
        <f t="shared" si="111"/>
        <v>PRG-1023313</v>
      </c>
      <c r="E3889" t="s">
        <v>87</v>
      </c>
      <c r="F3889" t="s">
        <v>4</v>
      </c>
      <c r="G3889" t="str">
        <f>""</f>
        <v/>
      </c>
    </row>
    <row r="3890" spans="1:7" x14ac:dyDescent="0.25">
      <c r="A3890" t="s">
        <v>8</v>
      </c>
      <c r="B3890" s="1" t="str">
        <f>"000219971 - RICH FOODS-AFNAF"</f>
        <v>000219971 - RICH FOODS-AFNAF</v>
      </c>
      <c r="C3890" t="s">
        <v>425</v>
      </c>
      <c r="D3890" s="1" t="str">
        <f t="shared" si="111"/>
        <v>PRG-1023313</v>
      </c>
      <c r="E3890" t="s">
        <v>87</v>
      </c>
      <c r="F3890" t="s">
        <v>4</v>
      </c>
      <c r="G3890" t="str">
        <f>""</f>
        <v/>
      </c>
    </row>
    <row r="3891" spans="1:7" x14ac:dyDescent="0.25">
      <c r="A3891" t="s">
        <v>8</v>
      </c>
      <c r="B3891" s="1" t="str">
        <f>"000219974 - RICH FOODS-AFNAF"</f>
        <v>000219974 - RICH FOODS-AFNAF</v>
      </c>
      <c r="C3891" t="s">
        <v>425</v>
      </c>
      <c r="D3891" s="1" t="str">
        <f t="shared" si="111"/>
        <v>PRG-1023313</v>
      </c>
      <c r="E3891" t="s">
        <v>87</v>
      </c>
      <c r="F3891" t="s">
        <v>4</v>
      </c>
      <c r="G3891" t="str">
        <f>""</f>
        <v/>
      </c>
    </row>
    <row r="3892" spans="1:7" x14ac:dyDescent="0.25">
      <c r="A3892" t="s">
        <v>8</v>
      </c>
      <c r="B3892" s="1" t="str">
        <f>"000220826 - RICHS (BB) CORE-AFNAF"</f>
        <v>000220826 - RICHS (BB) CORE-AFNAF</v>
      </c>
      <c r="C3892" t="s">
        <v>674</v>
      </c>
      <c r="D3892" s="1" t="str">
        <f t="shared" si="111"/>
        <v>PRG-1023313</v>
      </c>
      <c r="E3892" t="s">
        <v>87</v>
      </c>
      <c r="F3892" t="s">
        <v>4</v>
      </c>
      <c r="G3892" t="str">
        <f>""</f>
        <v/>
      </c>
    </row>
    <row r="3893" spans="1:7" x14ac:dyDescent="0.25">
      <c r="A3893" t="s">
        <v>8</v>
      </c>
      <c r="B3893" s="1" t="str">
        <f>"000220828 - RICHS (BB) NON CORE-AFNAF"</f>
        <v>000220828 - RICHS (BB) NON CORE-AFNAF</v>
      </c>
      <c r="C3893" t="s">
        <v>1042</v>
      </c>
      <c r="D3893" s="1" t="str">
        <f t="shared" si="111"/>
        <v>PRG-1023313</v>
      </c>
      <c r="E3893" t="s">
        <v>87</v>
      </c>
      <c r="F3893" t="s">
        <v>4</v>
      </c>
      <c r="G3893" t="str">
        <f>""</f>
        <v/>
      </c>
    </row>
    <row r="3894" spans="1:7" x14ac:dyDescent="0.25">
      <c r="A3894" t="s">
        <v>8</v>
      </c>
      <c r="B3894" s="1" t="str">
        <f>"000221972 - RICHS (BB) NONCORE AFNAF"</f>
        <v>000221972 - RICHS (BB) NONCORE AFNAF</v>
      </c>
      <c r="C3894" t="s">
        <v>1614</v>
      </c>
      <c r="D3894" s="1" t="str">
        <f t="shared" si="111"/>
        <v>PRG-1023313</v>
      </c>
      <c r="E3894" t="s">
        <v>87</v>
      </c>
      <c r="F3894" t="s">
        <v>4</v>
      </c>
      <c r="G3894" t="str">
        <f>""</f>
        <v/>
      </c>
    </row>
    <row r="3895" spans="1:7" x14ac:dyDescent="0.25">
      <c r="A3895" t="s">
        <v>8</v>
      </c>
      <c r="B3895" s="1" t="str">
        <f>"000222862 - RICHS (BB) CORE-AFNAF"</f>
        <v>000222862 - RICHS (BB) CORE-AFNAF</v>
      </c>
      <c r="C3895" t="s">
        <v>674</v>
      </c>
      <c r="D3895" s="1" t="str">
        <f t="shared" si="111"/>
        <v>PRG-1023313</v>
      </c>
      <c r="E3895" t="s">
        <v>87</v>
      </c>
      <c r="F3895" t="s">
        <v>4</v>
      </c>
      <c r="G3895" t="str">
        <f>""</f>
        <v/>
      </c>
    </row>
    <row r="3896" spans="1:7" x14ac:dyDescent="0.25">
      <c r="A3896" t="s">
        <v>8</v>
      </c>
      <c r="B3896" s="1" t="str">
        <f>"000223432 - BB AFNAF DPM RICHS"</f>
        <v>000223432 - BB AFNAF DPM RICHS</v>
      </c>
      <c r="C3896" t="s">
        <v>1647</v>
      </c>
      <c r="D3896" s="1" t="str">
        <f t="shared" si="111"/>
        <v>PRG-1023313</v>
      </c>
      <c r="E3896" t="s">
        <v>87</v>
      </c>
      <c r="F3896" t="s">
        <v>4</v>
      </c>
      <c r="G3896" t="str">
        <f>""</f>
        <v/>
      </c>
    </row>
    <row r="3897" spans="1:7" x14ac:dyDescent="0.25">
      <c r="A3897" t="s">
        <v>8</v>
      </c>
      <c r="B3897" s="1" t="str">
        <f>"000226465 - RICH FOODS-AFNAF"</f>
        <v>000226465 - RICH FOODS-AFNAF</v>
      </c>
      <c r="C3897" t="s">
        <v>425</v>
      </c>
      <c r="D3897" s="1" t="str">
        <f t="shared" si="111"/>
        <v>PRG-1023313</v>
      </c>
      <c r="E3897" t="s">
        <v>87</v>
      </c>
      <c r="F3897" t="s">
        <v>4</v>
      </c>
      <c r="G3897" t="str">
        <f>""</f>
        <v/>
      </c>
    </row>
    <row r="3898" spans="1:7" x14ac:dyDescent="0.25">
      <c r="A3898" t="s">
        <v>8</v>
      </c>
      <c r="B3898" s="1" t="str">
        <f>"000226694 - RICH FOODS-AFNAF"</f>
        <v>000226694 - RICH FOODS-AFNAF</v>
      </c>
      <c r="C3898" t="s">
        <v>425</v>
      </c>
      <c r="D3898" s="1" t="str">
        <f t="shared" si="111"/>
        <v>PRG-1023313</v>
      </c>
      <c r="E3898" t="s">
        <v>87</v>
      </c>
      <c r="F3898" t="s">
        <v>4</v>
      </c>
      <c r="G3898" t="str">
        <f>""</f>
        <v/>
      </c>
    </row>
    <row r="3899" spans="1:7" x14ac:dyDescent="0.25">
      <c r="A3899" t="s">
        <v>8</v>
      </c>
      <c r="B3899" s="1" t="str">
        <f>"000227646 - RICH (BB NCORE)-AFNAF"</f>
        <v>000227646 - RICH (BB NCORE)-AFNAF</v>
      </c>
      <c r="C3899" t="s">
        <v>116</v>
      </c>
      <c r="D3899" s="1" t="str">
        <f t="shared" si="111"/>
        <v>PRG-1023313</v>
      </c>
      <c r="E3899" t="s">
        <v>87</v>
      </c>
      <c r="F3899" t="s">
        <v>4</v>
      </c>
      <c r="G3899" t="str">
        <f>""</f>
        <v/>
      </c>
    </row>
    <row r="3900" spans="1:7" x14ac:dyDescent="0.25">
      <c r="A3900" t="s">
        <v>8</v>
      </c>
      <c r="B3900" s="1" t="str">
        <f>"000227807 - RICH FOODS-AFNAF"</f>
        <v>000227807 - RICH FOODS-AFNAF</v>
      </c>
      <c r="C3900" t="s">
        <v>425</v>
      </c>
      <c r="D3900" s="1" t="str">
        <f t="shared" si="111"/>
        <v>PRG-1023313</v>
      </c>
      <c r="E3900" t="s">
        <v>87</v>
      </c>
      <c r="F3900" t="s">
        <v>4</v>
      </c>
      <c r="G3900" t="str">
        <f>""</f>
        <v/>
      </c>
    </row>
    <row r="3901" spans="1:7" x14ac:dyDescent="0.25">
      <c r="A3901" t="s">
        <v>8</v>
      </c>
      <c r="B3901" s="1" t="str">
        <f>"000228284 - RICH AFNAF OCOBUS"</f>
        <v>000228284 - RICH AFNAF OCOBUS</v>
      </c>
      <c r="C3901" t="s">
        <v>1724</v>
      </c>
      <c r="D3901" s="1" t="str">
        <f t="shared" si="111"/>
        <v>PRG-1023313</v>
      </c>
      <c r="E3901" t="s">
        <v>87</v>
      </c>
      <c r="F3901" t="s">
        <v>4</v>
      </c>
      <c r="G3901" t="str">
        <f>""</f>
        <v/>
      </c>
    </row>
    <row r="3902" spans="1:7" x14ac:dyDescent="0.25">
      <c r="A3902" t="s">
        <v>8</v>
      </c>
      <c r="B3902" s="1" t="str">
        <f>"000232026 - RICHS (BB) CORE-AFNAF"</f>
        <v>000232026 - RICHS (BB) CORE-AFNAF</v>
      </c>
      <c r="C3902" t="s">
        <v>674</v>
      </c>
      <c r="D3902" s="1" t="str">
        <f t="shared" si="111"/>
        <v>PRG-1023313</v>
      </c>
      <c r="E3902" t="s">
        <v>87</v>
      </c>
      <c r="F3902" t="s">
        <v>4</v>
      </c>
      <c r="G3902" t="str">
        <f>""</f>
        <v/>
      </c>
    </row>
    <row r="3903" spans="1:7" x14ac:dyDescent="0.25">
      <c r="A3903" t="s">
        <v>8</v>
      </c>
      <c r="B3903" s="1" t="str">
        <f>"000232274 - RICH NCORE-AFNAF"</f>
        <v>000232274 - RICH NCORE-AFNAF</v>
      </c>
      <c r="C3903" t="s">
        <v>632</v>
      </c>
      <c r="D3903" s="1" t="str">
        <f t="shared" si="111"/>
        <v>PRG-1023313</v>
      </c>
      <c r="E3903" t="s">
        <v>87</v>
      </c>
      <c r="F3903" t="s">
        <v>4</v>
      </c>
      <c r="G3903" t="str">
        <f>""</f>
        <v/>
      </c>
    </row>
    <row r="3904" spans="1:7" x14ac:dyDescent="0.25">
      <c r="A3904" t="s">
        <v>8</v>
      </c>
      <c r="B3904" s="1" t="str">
        <f>"000232491 - RICHS (BB) CORE-AFNAF"</f>
        <v>000232491 - RICHS (BB) CORE-AFNAF</v>
      </c>
      <c r="C3904" t="s">
        <v>674</v>
      </c>
      <c r="D3904" s="1" t="str">
        <f t="shared" si="111"/>
        <v>PRG-1023313</v>
      </c>
      <c r="E3904" t="s">
        <v>87</v>
      </c>
      <c r="F3904" t="s">
        <v>4</v>
      </c>
      <c r="G3904" t="str">
        <f>""</f>
        <v/>
      </c>
    </row>
    <row r="3905" spans="1:7" x14ac:dyDescent="0.25">
      <c r="A3905" t="s">
        <v>8</v>
      </c>
      <c r="B3905" s="1" t="str">
        <f>"000235565 - RICH (BB NCORE)-AFNAF"</f>
        <v>000235565 - RICH (BB NCORE)-AFNAF</v>
      </c>
      <c r="C3905" t="s">
        <v>116</v>
      </c>
      <c r="D3905" s="1" t="str">
        <f t="shared" si="111"/>
        <v>PRG-1023313</v>
      </c>
      <c r="E3905" t="s">
        <v>87</v>
      </c>
      <c r="F3905" t="s">
        <v>4</v>
      </c>
      <c r="G3905" t="str">
        <f>""</f>
        <v/>
      </c>
    </row>
    <row r="3906" spans="1:7" x14ac:dyDescent="0.25">
      <c r="A3906" t="s">
        <v>8</v>
      </c>
      <c r="B3906" s="1" t="str">
        <f>"000235568 - RICH (BB CORE)-AFNAF"</f>
        <v>000235568 - RICH (BB CORE)-AFNAF</v>
      </c>
      <c r="C3906" t="s">
        <v>134</v>
      </c>
      <c r="D3906" s="1" t="str">
        <f t="shared" si="111"/>
        <v>PRG-1023313</v>
      </c>
      <c r="E3906" t="s">
        <v>87</v>
      </c>
      <c r="F3906" t="s">
        <v>4</v>
      </c>
      <c r="G3906" t="str">
        <f>""</f>
        <v/>
      </c>
    </row>
    <row r="3907" spans="1:7" x14ac:dyDescent="0.25">
      <c r="A3907" t="s">
        <v>8</v>
      </c>
      <c r="B3907" s="1" t="str">
        <f>"000236314 - RICH FOODS-AFNAF"</f>
        <v>000236314 - RICH FOODS-AFNAF</v>
      </c>
      <c r="C3907" t="s">
        <v>425</v>
      </c>
      <c r="D3907" s="1" t="str">
        <f t="shared" si="111"/>
        <v>PRG-1023313</v>
      </c>
      <c r="E3907" t="s">
        <v>87</v>
      </c>
      <c r="F3907" t="s">
        <v>4</v>
      </c>
      <c r="G3907" t="str">
        <f>""</f>
        <v/>
      </c>
    </row>
    <row r="3908" spans="1:7" x14ac:dyDescent="0.25">
      <c r="A3908" t="s">
        <v>8</v>
      </c>
      <c r="B3908" s="1" t="str">
        <f>"000236617 - RICH FOODS-AFNAF"</f>
        <v>000236617 - RICH FOODS-AFNAF</v>
      </c>
      <c r="C3908" t="s">
        <v>425</v>
      </c>
      <c r="D3908" s="1" t="str">
        <f t="shared" ref="D3908:D3971" si="112">"PRG-1023313"</f>
        <v>PRG-1023313</v>
      </c>
      <c r="E3908" t="s">
        <v>87</v>
      </c>
      <c r="F3908" t="s">
        <v>4</v>
      </c>
      <c r="G3908" t="str">
        <f>""</f>
        <v/>
      </c>
    </row>
    <row r="3909" spans="1:7" x14ac:dyDescent="0.25">
      <c r="A3909" t="s">
        <v>8</v>
      </c>
      <c r="B3909" s="1" t="str">
        <f>"000236816 - RICH FOODS-AFNAF"</f>
        <v>000236816 - RICH FOODS-AFNAF</v>
      </c>
      <c r="C3909" t="s">
        <v>425</v>
      </c>
      <c r="D3909" s="1" t="str">
        <f t="shared" si="112"/>
        <v>PRG-1023313</v>
      </c>
      <c r="E3909" t="s">
        <v>87</v>
      </c>
      <c r="F3909" t="s">
        <v>4</v>
      </c>
      <c r="G3909" t="str">
        <f>""</f>
        <v/>
      </c>
    </row>
    <row r="3910" spans="1:7" x14ac:dyDescent="0.25">
      <c r="A3910" t="s">
        <v>8</v>
      </c>
      <c r="B3910" s="1" t="str">
        <f>"000238131 - RICH FOODS-AFNAF"</f>
        <v>000238131 - RICH FOODS-AFNAF</v>
      </c>
      <c r="C3910" t="s">
        <v>425</v>
      </c>
      <c r="D3910" s="1" t="str">
        <f t="shared" si="112"/>
        <v>PRG-1023313</v>
      </c>
      <c r="E3910" t="s">
        <v>87</v>
      </c>
      <c r="F3910" t="s">
        <v>4</v>
      </c>
      <c r="G3910" t="str">
        <f>""</f>
        <v/>
      </c>
    </row>
    <row r="3911" spans="1:7" x14ac:dyDescent="0.25">
      <c r="A3911" t="s">
        <v>8</v>
      </c>
      <c r="B3911" s="1" t="str">
        <f>"000238864 - RICHS (BB) CORE-AFNAF"</f>
        <v>000238864 - RICHS (BB) CORE-AFNAF</v>
      </c>
      <c r="C3911" t="s">
        <v>674</v>
      </c>
      <c r="D3911" s="1" t="str">
        <f t="shared" si="112"/>
        <v>PRG-1023313</v>
      </c>
      <c r="E3911" t="s">
        <v>87</v>
      </c>
      <c r="F3911" t="s">
        <v>4</v>
      </c>
      <c r="G3911" t="str">
        <f>""</f>
        <v/>
      </c>
    </row>
    <row r="3912" spans="1:7" x14ac:dyDescent="0.25">
      <c r="A3912" t="s">
        <v>8</v>
      </c>
      <c r="B3912" s="1" t="str">
        <f>"000238869 - RICHS (BB) NON CORE-AFNAF"</f>
        <v>000238869 - RICHS (BB) NON CORE-AFNAF</v>
      </c>
      <c r="C3912" t="s">
        <v>1042</v>
      </c>
      <c r="D3912" s="1" t="str">
        <f t="shared" si="112"/>
        <v>PRG-1023313</v>
      </c>
      <c r="E3912" t="s">
        <v>87</v>
      </c>
      <c r="F3912" t="s">
        <v>4</v>
      </c>
      <c r="G3912" t="str">
        <f>""</f>
        <v/>
      </c>
    </row>
    <row r="3913" spans="1:7" x14ac:dyDescent="0.25">
      <c r="A3913" t="s">
        <v>8</v>
      </c>
      <c r="B3913" s="1" t="str">
        <f>"000239955 - RICH FOODS-AFNAF"</f>
        <v>000239955 - RICH FOODS-AFNAF</v>
      </c>
      <c r="C3913" t="s">
        <v>425</v>
      </c>
      <c r="D3913" s="1" t="str">
        <f t="shared" si="112"/>
        <v>PRG-1023313</v>
      </c>
      <c r="E3913" t="s">
        <v>87</v>
      </c>
      <c r="F3913" t="s">
        <v>4</v>
      </c>
      <c r="G3913" t="str">
        <f>""</f>
        <v/>
      </c>
    </row>
    <row r="3914" spans="1:7" x14ac:dyDescent="0.25">
      <c r="A3914" t="s">
        <v>8</v>
      </c>
      <c r="B3914" s="1" t="str">
        <f>"000240426 - RICH (BB CORE)-AFNAF"</f>
        <v>000240426 - RICH (BB CORE)-AFNAF</v>
      </c>
      <c r="C3914" t="s">
        <v>134</v>
      </c>
      <c r="D3914" s="1" t="str">
        <f t="shared" si="112"/>
        <v>PRG-1023313</v>
      </c>
      <c r="E3914" t="s">
        <v>87</v>
      </c>
      <c r="F3914" t="s">
        <v>4</v>
      </c>
      <c r="G3914" t="str">
        <f>""</f>
        <v/>
      </c>
    </row>
    <row r="3915" spans="1:7" x14ac:dyDescent="0.25">
      <c r="A3915" t="s">
        <v>8</v>
      </c>
      <c r="B3915" s="1" t="str">
        <f>"000242178 - "</f>
        <v xml:space="preserve">000242178 - </v>
      </c>
      <c r="D3915" s="1" t="str">
        <f t="shared" si="112"/>
        <v>PRG-1023313</v>
      </c>
      <c r="E3915" t="s">
        <v>87</v>
      </c>
      <c r="F3915" t="s">
        <v>4</v>
      </c>
      <c r="G3915" t="str">
        <f>""</f>
        <v/>
      </c>
    </row>
    <row r="3916" spans="1:7" x14ac:dyDescent="0.25">
      <c r="A3916" t="s">
        <v>8</v>
      </c>
      <c r="B3916" s="1" t="str">
        <f>"000242899 - RICH (BB CORE)-AFNAF"</f>
        <v>000242899 - RICH (BB CORE)-AFNAF</v>
      </c>
      <c r="C3916" t="s">
        <v>134</v>
      </c>
      <c r="D3916" s="1" t="str">
        <f t="shared" si="112"/>
        <v>PRG-1023313</v>
      </c>
      <c r="E3916" t="s">
        <v>87</v>
      </c>
      <c r="F3916" t="s">
        <v>4</v>
      </c>
      <c r="G3916" t="str">
        <f>""</f>
        <v/>
      </c>
    </row>
    <row r="3917" spans="1:7" x14ac:dyDescent="0.25">
      <c r="A3917" t="s">
        <v>8</v>
      </c>
      <c r="B3917" s="1" t="str">
        <f>"000244335 - RICH FOODS-AFNAF"</f>
        <v>000244335 - RICH FOODS-AFNAF</v>
      </c>
      <c r="C3917" t="s">
        <v>425</v>
      </c>
      <c r="D3917" s="1" t="str">
        <f t="shared" si="112"/>
        <v>PRG-1023313</v>
      </c>
      <c r="E3917" t="s">
        <v>87</v>
      </c>
      <c r="F3917" t="s">
        <v>4</v>
      </c>
      <c r="G3917" t="str">
        <f>""</f>
        <v/>
      </c>
    </row>
    <row r="3918" spans="1:7" x14ac:dyDescent="0.25">
      <c r="A3918" t="s">
        <v>8</v>
      </c>
      <c r="B3918" s="1" t="str">
        <f>"000244373 - RICH AFNAF OCONUS"</f>
        <v>000244373 - RICH AFNAF OCONUS</v>
      </c>
      <c r="C3918" t="s">
        <v>1972</v>
      </c>
      <c r="D3918" s="1" t="str">
        <f t="shared" si="112"/>
        <v>PRG-1023313</v>
      </c>
      <c r="E3918" t="s">
        <v>87</v>
      </c>
      <c r="F3918" t="s">
        <v>4</v>
      </c>
      <c r="G3918" t="str">
        <f>""</f>
        <v/>
      </c>
    </row>
    <row r="3919" spans="1:7" x14ac:dyDescent="0.25">
      <c r="A3919" t="s">
        <v>8</v>
      </c>
      <c r="B3919" s="1" t="str">
        <f>"000244623 - RICH PRODUCTS AFNAF CORE BB"</f>
        <v>000244623 - RICH PRODUCTS AFNAF CORE BB</v>
      </c>
      <c r="C3919" t="s">
        <v>1985</v>
      </c>
      <c r="D3919" s="1" t="str">
        <f t="shared" si="112"/>
        <v>PRG-1023313</v>
      </c>
      <c r="E3919" t="s">
        <v>87</v>
      </c>
      <c r="F3919" t="s">
        <v>4</v>
      </c>
      <c r="G3919" t="str">
        <f>""</f>
        <v/>
      </c>
    </row>
    <row r="3920" spans="1:7" x14ac:dyDescent="0.25">
      <c r="A3920" t="s">
        <v>8</v>
      </c>
      <c r="B3920" s="1" t="str">
        <f>"000245776 - RICH NCORE-AFNAF"</f>
        <v>000245776 - RICH NCORE-AFNAF</v>
      </c>
      <c r="C3920" t="s">
        <v>632</v>
      </c>
      <c r="D3920" s="1" t="str">
        <f t="shared" si="112"/>
        <v>PRG-1023313</v>
      </c>
      <c r="E3920" t="s">
        <v>87</v>
      </c>
      <c r="F3920" t="s">
        <v>4</v>
      </c>
      <c r="G3920" t="str">
        <f>""</f>
        <v/>
      </c>
    </row>
    <row r="3921" spans="1:7" x14ac:dyDescent="0.25">
      <c r="A3921" t="s">
        <v>8</v>
      </c>
      <c r="B3921" s="1" t="str">
        <f>"000246342 - RICH FOODS-AFNAF"</f>
        <v>000246342 - RICH FOODS-AFNAF</v>
      </c>
      <c r="C3921" t="s">
        <v>425</v>
      </c>
      <c r="D3921" s="1" t="str">
        <f t="shared" si="112"/>
        <v>PRG-1023313</v>
      </c>
      <c r="E3921" t="s">
        <v>87</v>
      </c>
      <c r="F3921" t="s">
        <v>4</v>
      </c>
      <c r="G3921" t="str">
        <f>""</f>
        <v/>
      </c>
    </row>
    <row r="3922" spans="1:7" x14ac:dyDescent="0.25">
      <c r="A3922" t="s">
        <v>8</v>
      </c>
      <c r="B3922" s="1" t="str">
        <f>"000247100 - RICH (BB NCORE)-AFNAF"</f>
        <v>000247100 - RICH (BB NCORE)-AFNAF</v>
      </c>
      <c r="C3922" t="s">
        <v>116</v>
      </c>
      <c r="D3922" s="1" t="str">
        <f t="shared" si="112"/>
        <v>PRG-1023313</v>
      </c>
      <c r="E3922" t="s">
        <v>87</v>
      </c>
      <c r="F3922" t="s">
        <v>4</v>
      </c>
      <c r="G3922" t="str">
        <f>""</f>
        <v/>
      </c>
    </row>
    <row r="3923" spans="1:7" x14ac:dyDescent="0.25">
      <c r="A3923" t="s">
        <v>8</v>
      </c>
      <c r="B3923" s="1" t="str">
        <f>"000247499 - RICH NCORE-AFNAF"</f>
        <v>000247499 - RICH NCORE-AFNAF</v>
      </c>
      <c r="C3923" t="s">
        <v>632</v>
      </c>
      <c r="D3923" s="1" t="str">
        <f t="shared" si="112"/>
        <v>PRG-1023313</v>
      </c>
      <c r="E3923" t="s">
        <v>87</v>
      </c>
      <c r="F3923" t="s">
        <v>4</v>
      </c>
      <c r="G3923" t="str">
        <f>""</f>
        <v/>
      </c>
    </row>
    <row r="3924" spans="1:7" x14ac:dyDescent="0.25">
      <c r="A3924" t="s">
        <v>8</v>
      </c>
      <c r="B3924" s="1" t="str">
        <f>"000249091 - "</f>
        <v xml:space="preserve">000249091 - </v>
      </c>
      <c r="D3924" s="1" t="str">
        <f t="shared" si="112"/>
        <v>PRG-1023313</v>
      </c>
      <c r="E3924" t="s">
        <v>87</v>
      </c>
      <c r="F3924" t="s">
        <v>4</v>
      </c>
      <c r="G3924" t="str">
        <f>""</f>
        <v/>
      </c>
    </row>
    <row r="3925" spans="1:7" x14ac:dyDescent="0.25">
      <c r="A3925" t="s">
        <v>8</v>
      </c>
      <c r="B3925" s="1" t="str">
        <f>"000249645 - RICH (BB CORE)-AFNAF"</f>
        <v>000249645 - RICH (BB CORE)-AFNAF</v>
      </c>
      <c r="C3925" t="s">
        <v>134</v>
      </c>
      <c r="D3925" s="1" t="str">
        <f t="shared" si="112"/>
        <v>PRG-1023313</v>
      </c>
      <c r="E3925" t="s">
        <v>87</v>
      </c>
      <c r="F3925" t="s">
        <v>4</v>
      </c>
      <c r="G3925" t="str">
        <f>""</f>
        <v/>
      </c>
    </row>
    <row r="3926" spans="1:7" x14ac:dyDescent="0.25">
      <c r="A3926" t="s">
        <v>8</v>
      </c>
      <c r="B3926" s="1" t="str">
        <f>"000249805 - "</f>
        <v xml:space="preserve">000249805 - </v>
      </c>
      <c r="D3926" s="1" t="str">
        <f t="shared" si="112"/>
        <v>PRG-1023313</v>
      </c>
      <c r="E3926" t="s">
        <v>87</v>
      </c>
      <c r="F3926" t="s">
        <v>4</v>
      </c>
      <c r="G3926" t="str">
        <f>""</f>
        <v/>
      </c>
    </row>
    <row r="3927" spans="1:7" x14ac:dyDescent="0.25">
      <c r="A3927" t="s">
        <v>8</v>
      </c>
      <c r="B3927" s="1" t="str">
        <f>"000250133 - RICH NCORE-AFNAF"</f>
        <v>000250133 - RICH NCORE-AFNAF</v>
      </c>
      <c r="C3927" t="s">
        <v>632</v>
      </c>
      <c r="D3927" s="1" t="str">
        <f t="shared" si="112"/>
        <v>PRG-1023313</v>
      </c>
      <c r="E3927" t="s">
        <v>87</v>
      </c>
      <c r="F3927" t="s">
        <v>4</v>
      </c>
      <c r="G3927" t="str">
        <f>""</f>
        <v/>
      </c>
    </row>
    <row r="3928" spans="1:7" x14ac:dyDescent="0.25">
      <c r="A3928" t="s">
        <v>8</v>
      </c>
      <c r="B3928" s="1" t="str">
        <f>"000251165 - RICH (BB CORE)-AFNAF"</f>
        <v>000251165 - RICH (BB CORE)-AFNAF</v>
      </c>
      <c r="C3928" t="s">
        <v>134</v>
      </c>
      <c r="D3928" s="1" t="str">
        <f t="shared" si="112"/>
        <v>PRG-1023313</v>
      </c>
      <c r="E3928" t="s">
        <v>87</v>
      </c>
      <c r="F3928" t="s">
        <v>4</v>
      </c>
      <c r="G3928" t="str">
        <f>""</f>
        <v/>
      </c>
    </row>
    <row r="3929" spans="1:7" x14ac:dyDescent="0.25">
      <c r="A3929" t="s">
        <v>8</v>
      </c>
      <c r="B3929" s="1" t="str">
        <f>"000251616 - RICH FOODS-AFNAF"</f>
        <v>000251616 - RICH FOODS-AFNAF</v>
      </c>
      <c r="C3929" t="s">
        <v>425</v>
      </c>
      <c r="D3929" s="1" t="str">
        <f t="shared" si="112"/>
        <v>PRG-1023313</v>
      </c>
      <c r="E3929" t="s">
        <v>87</v>
      </c>
      <c r="F3929" t="s">
        <v>4</v>
      </c>
      <c r="G3929" t="str">
        <f>""</f>
        <v/>
      </c>
    </row>
    <row r="3930" spans="1:7" x14ac:dyDescent="0.25">
      <c r="A3930" t="s">
        <v>8</v>
      </c>
      <c r="B3930" s="1" t="str">
        <f>"000253976 - RICHS (BB) CORE-AFNAF"</f>
        <v>000253976 - RICHS (BB) CORE-AFNAF</v>
      </c>
      <c r="C3930" t="s">
        <v>674</v>
      </c>
      <c r="D3930" s="1" t="str">
        <f t="shared" si="112"/>
        <v>PRG-1023313</v>
      </c>
      <c r="E3930" t="s">
        <v>87</v>
      </c>
      <c r="F3930" t="s">
        <v>4</v>
      </c>
      <c r="G3930" t="str">
        <f>""</f>
        <v/>
      </c>
    </row>
    <row r="3931" spans="1:7" x14ac:dyDescent="0.25">
      <c r="A3931" t="s">
        <v>8</v>
      </c>
      <c r="B3931" s="1" t="str">
        <f>"000253978 - MONROE CITY SCHL RICH PRODS"</f>
        <v>000253978 - MONROE CITY SCHL RICH PRODS</v>
      </c>
      <c r="C3931" t="s">
        <v>1666</v>
      </c>
      <c r="D3931" s="1" t="str">
        <f t="shared" si="112"/>
        <v>PRG-1023313</v>
      </c>
      <c r="E3931" t="s">
        <v>87</v>
      </c>
      <c r="F3931" t="s">
        <v>4</v>
      </c>
      <c r="G3931" t="str">
        <f>""</f>
        <v/>
      </c>
    </row>
    <row r="3932" spans="1:7" x14ac:dyDescent="0.25">
      <c r="A3932" t="s">
        <v>8</v>
      </c>
      <c r="B3932" s="1" t="str">
        <f>"000254223 - RICHS (BB) CORE-AFNAF"</f>
        <v>000254223 - RICHS (BB) CORE-AFNAF</v>
      </c>
      <c r="C3932" t="s">
        <v>674</v>
      </c>
      <c r="D3932" s="1" t="str">
        <f t="shared" si="112"/>
        <v>PRG-1023313</v>
      </c>
      <c r="E3932" t="s">
        <v>87</v>
      </c>
      <c r="F3932" t="s">
        <v>4</v>
      </c>
      <c r="G3932" t="str">
        <f>""</f>
        <v/>
      </c>
    </row>
    <row r="3933" spans="1:7" x14ac:dyDescent="0.25">
      <c r="A3933" t="s">
        <v>8</v>
      </c>
      <c r="B3933" s="1" t="str">
        <f>"000254612 - RICHS (BB) CORE-AFNAF"</f>
        <v>000254612 - RICHS (BB) CORE-AFNAF</v>
      </c>
      <c r="C3933" t="s">
        <v>674</v>
      </c>
      <c r="D3933" s="1" t="str">
        <f t="shared" si="112"/>
        <v>PRG-1023313</v>
      </c>
      <c r="E3933" t="s">
        <v>87</v>
      </c>
      <c r="F3933" t="s">
        <v>4</v>
      </c>
      <c r="G3933" t="str">
        <f>""</f>
        <v/>
      </c>
    </row>
    <row r="3934" spans="1:7" x14ac:dyDescent="0.25">
      <c r="A3934" t="s">
        <v>8</v>
      </c>
      <c r="B3934" s="1" t="str">
        <f>"000254613 - RICHS (BB) NON CORE-AFNAF"</f>
        <v>000254613 - RICHS (BB) NON CORE-AFNAF</v>
      </c>
      <c r="C3934" t="s">
        <v>1042</v>
      </c>
      <c r="D3934" s="1" t="str">
        <f t="shared" si="112"/>
        <v>PRG-1023313</v>
      </c>
      <c r="E3934" t="s">
        <v>87</v>
      </c>
      <c r="F3934" t="s">
        <v>4</v>
      </c>
      <c r="G3934" t="str">
        <f>""</f>
        <v/>
      </c>
    </row>
    <row r="3935" spans="1:7" x14ac:dyDescent="0.25">
      <c r="A3935" t="s">
        <v>8</v>
      </c>
      <c r="B3935" s="1" t="str">
        <f>"000255822 - RICH NCORE-AFNAF"</f>
        <v>000255822 - RICH NCORE-AFNAF</v>
      </c>
      <c r="C3935" t="s">
        <v>632</v>
      </c>
      <c r="D3935" s="1" t="str">
        <f t="shared" si="112"/>
        <v>PRG-1023313</v>
      </c>
      <c r="E3935" t="s">
        <v>87</v>
      </c>
      <c r="F3935" t="s">
        <v>4</v>
      </c>
      <c r="G3935" t="str">
        <f>""</f>
        <v/>
      </c>
    </row>
    <row r="3936" spans="1:7" x14ac:dyDescent="0.25">
      <c r="A3936" t="s">
        <v>8</v>
      </c>
      <c r="B3936" s="1" t="str">
        <f>"000256053 - RICH (BB NCORE)-AFNAF"</f>
        <v>000256053 - RICH (BB NCORE)-AFNAF</v>
      </c>
      <c r="C3936" t="s">
        <v>2177</v>
      </c>
      <c r="D3936" s="1" t="str">
        <f t="shared" si="112"/>
        <v>PRG-1023313</v>
      </c>
      <c r="E3936" t="s">
        <v>87</v>
      </c>
      <c r="F3936" t="s">
        <v>4</v>
      </c>
      <c r="G3936" t="str">
        <f>""</f>
        <v/>
      </c>
    </row>
    <row r="3937" spans="1:7" x14ac:dyDescent="0.25">
      <c r="A3937" t="s">
        <v>8</v>
      </c>
      <c r="B3937" s="1" t="str">
        <f>"000256056 - RICH (BB CORE)-AFNAF"</f>
        <v>000256056 - RICH (BB CORE)-AFNAF</v>
      </c>
      <c r="C3937" t="s">
        <v>134</v>
      </c>
      <c r="D3937" s="1" t="str">
        <f t="shared" si="112"/>
        <v>PRG-1023313</v>
      </c>
      <c r="E3937" t="s">
        <v>87</v>
      </c>
      <c r="F3937" t="s">
        <v>4</v>
      </c>
      <c r="G3937" t="str">
        <f>""</f>
        <v/>
      </c>
    </row>
    <row r="3938" spans="1:7" x14ac:dyDescent="0.25">
      <c r="A3938" t="s">
        <v>8</v>
      </c>
      <c r="B3938" s="1" t="str">
        <f>"000256398 - RICHS (BB) CORE-AFNAF"</f>
        <v>000256398 - RICHS (BB) CORE-AFNAF</v>
      </c>
      <c r="C3938" t="s">
        <v>674</v>
      </c>
      <c r="D3938" s="1" t="str">
        <f t="shared" si="112"/>
        <v>PRG-1023313</v>
      </c>
      <c r="E3938" t="s">
        <v>87</v>
      </c>
      <c r="F3938" t="s">
        <v>4</v>
      </c>
      <c r="G3938" t="str">
        <f>""</f>
        <v/>
      </c>
    </row>
    <row r="3939" spans="1:7" x14ac:dyDescent="0.25">
      <c r="A3939" t="s">
        <v>8</v>
      </c>
      <c r="B3939" s="1" t="str">
        <f>"000256399 - RICHS (BB) NON CORE-AFNAF"</f>
        <v>000256399 - RICHS (BB) NON CORE-AFNAF</v>
      </c>
      <c r="C3939" t="s">
        <v>1042</v>
      </c>
      <c r="D3939" s="1" t="str">
        <f t="shared" si="112"/>
        <v>PRG-1023313</v>
      </c>
      <c r="E3939" t="s">
        <v>87</v>
      </c>
      <c r="F3939" t="s">
        <v>4</v>
      </c>
      <c r="G3939" t="str">
        <f>""</f>
        <v/>
      </c>
    </row>
    <row r="3940" spans="1:7" x14ac:dyDescent="0.25">
      <c r="A3940" t="s">
        <v>8</v>
      </c>
      <c r="B3940" s="1" t="str">
        <f>"000256569 - RICH FOODS-AFNAF"</f>
        <v>000256569 - RICH FOODS-AFNAF</v>
      </c>
      <c r="C3940" t="s">
        <v>425</v>
      </c>
      <c r="D3940" s="1" t="str">
        <f t="shared" si="112"/>
        <v>PRG-1023313</v>
      </c>
      <c r="E3940" t="s">
        <v>87</v>
      </c>
      <c r="F3940" t="s">
        <v>4</v>
      </c>
      <c r="G3940" t="str">
        <f>""</f>
        <v/>
      </c>
    </row>
    <row r="3941" spans="1:7" x14ac:dyDescent="0.25">
      <c r="A3941" t="s">
        <v>8</v>
      </c>
      <c r="B3941" s="1" t="str">
        <f>"000256734 - RICH FOODS-AFNAF"</f>
        <v>000256734 - RICH FOODS-AFNAF</v>
      </c>
      <c r="C3941" t="s">
        <v>425</v>
      </c>
      <c r="D3941" s="1" t="str">
        <f t="shared" si="112"/>
        <v>PRG-1023313</v>
      </c>
      <c r="E3941" t="s">
        <v>87</v>
      </c>
      <c r="F3941" t="s">
        <v>4</v>
      </c>
      <c r="G3941" t="str">
        <f>""</f>
        <v/>
      </c>
    </row>
    <row r="3942" spans="1:7" x14ac:dyDescent="0.25">
      <c r="A3942" t="s">
        <v>8</v>
      </c>
      <c r="B3942" s="1" t="str">
        <f>"000257206 - RICH CBB-AFNAF"</f>
        <v>000257206 - RICH CBB-AFNAF</v>
      </c>
      <c r="C3942" t="s">
        <v>638</v>
      </c>
      <c r="D3942" s="1" t="str">
        <f t="shared" si="112"/>
        <v>PRG-1023313</v>
      </c>
      <c r="E3942" t="s">
        <v>87</v>
      </c>
      <c r="F3942" t="s">
        <v>4</v>
      </c>
      <c r="G3942" t="str">
        <f>""</f>
        <v/>
      </c>
    </row>
    <row r="3943" spans="1:7" x14ac:dyDescent="0.25">
      <c r="A3943" t="s">
        <v>8</v>
      </c>
      <c r="B3943" s="1" t="str">
        <f>"000257207 - RICH NCORE-AFNAF"</f>
        <v>000257207 - RICH NCORE-AFNAF</v>
      </c>
      <c r="C3943" t="s">
        <v>632</v>
      </c>
      <c r="D3943" s="1" t="str">
        <f t="shared" si="112"/>
        <v>PRG-1023313</v>
      </c>
      <c r="E3943" t="s">
        <v>87</v>
      </c>
      <c r="F3943" t="s">
        <v>4</v>
      </c>
      <c r="G3943" t="str">
        <f>""</f>
        <v/>
      </c>
    </row>
    <row r="3944" spans="1:7" x14ac:dyDescent="0.25">
      <c r="A3944" t="s">
        <v>8</v>
      </c>
      <c r="B3944" s="1" t="str">
        <f>"000257375 - RICH FOODS-AFNAF"</f>
        <v>000257375 - RICH FOODS-AFNAF</v>
      </c>
      <c r="C3944" t="s">
        <v>425</v>
      </c>
      <c r="D3944" s="1" t="str">
        <f t="shared" si="112"/>
        <v>PRG-1023313</v>
      </c>
      <c r="E3944" t="s">
        <v>87</v>
      </c>
      <c r="F3944" t="s">
        <v>4</v>
      </c>
      <c r="G3944" t="str">
        <f>""</f>
        <v/>
      </c>
    </row>
    <row r="3945" spans="1:7" x14ac:dyDescent="0.25">
      <c r="A3945" t="s">
        <v>8</v>
      </c>
      <c r="B3945" s="1" t="str">
        <f>"000258620 - Rich-Forum"</f>
        <v>000258620 - Rich-Forum</v>
      </c>
      <c r="C3945" t="s">
        <v>770</v>
      </c>
      <c r="D3945" s="1" t="str">
        <f t="shared" si="112"/>
        <v>PRG-1023313</v>
      </c>
      <c r="E3945" t="s">
        <v>87</v>
      </c>
      <c r="F3945" t="s">
        <v>4</v>
      </c>
      <c r="G3945" t="str">
        <f>""</f>
        <v/>
      </c>
    </row>
    <row r="3946" spans="1:7" x14ac:dyDescent="0.25">
      <c r="A3946" t="s">
        <v>8</v>
      </c>
      <c r="B3946" s="1" t="str">
        <f>"000258621 - RICH CBB-AFNAF"</f>
        <v>000258621 - RICH CBB-AFNAF</v>
      </c>
      <c r="C3946" t="s">
        <v>638</v>
      </c>
      <c r="D3946" s="1" t="str">
        <f t="shared" si="112"/>
        <v>PRG-1023313</v>
      </c>
      <c r="E3946" t="s">
        <v>87</v>
      </c>
      <c r="F3946" t="s">
        <v>4</v>
      </c>
      <c r="G3946" t="str">
        <f>""</f>
        <v/>
      </c>
    </row>
    <row r="3947" spans="1:7" x14ac:dyDescent="0.25">
      <c r="A3947" t="s">
        <v>8</v>
      </c>
      <c r="B3947" s="1" t="str">
        <f>"000262139 - RICHS (BB) CORE-AFNAF"</f>
        <v>000262139 - RICHS (BB) CORE-AFNAF</v>
      </c>
      <c r="C3947" t="s">
        <v>674</v>
      </c>
      <c r="D3947" s="1" t="str">
        <f t="shared" si="112"/>
        <v>PRG-1023313</v>
      </c>
      <c r="E3947" t="s">
        <v>87</v>
      </c>
      <c r="F3947" t="s">
        <v>4</v>
      </c>
      <c r="G3947" t="str">
        <f>""</f>
        <v/>
      </c>
    </row>
    <row r="3948" spans="1:7" x14ac:dyDescent="0.25">
      <c r="A3948" t="s">
        <v>8</v>
      </c>
      <c r="B3948" s="1" t="str">
        <f>"000262947 - RICH (BB NCORE)-AFNAF"</f>
        <v>000262947 - RICH (BB NCORE)-AFNAF</v>
      </c>
      <c r="C3948" t="s">
        <v>116</v>
      </c>
      <c r="D3948" s="1" t="str">
        <f t="shared" si="112"/>
        <v>PRG-1023313</v>
      </c>
      <c r="E3948" t="s">
        <v>87</v>
      </c>
      <c r="F3948" t="s">
        <v>4</v>
      </c>
      <c r="G3948" t="str">
        <f>""</f>
        <v/>
      </c>
    </row>
    <row r="3949" spans="1:7" x14ac:dyDescent="0.25">
      <c r="A3949" t="s">
        <v>8</v>
      </c>
      <c r="B3949" s="1" t="str">
        <f>"000263157 - RICH FOODS-AFNAF"</f>
        <v>000263157 - RICH FOODS-AFNAF</v>
      </c>
      <c r="C3949" t="s">
        <v>425</v>
      </c>
      <c r="D3949" s="1" t="str">
        <f t="shared" si="112"/>
        <v>PRG-1023313</v>
      </c>
      <c r="E3949" t="s">
        <v>87</v>
      </c>
      <c r="F3949" t="s">
        <v>4</v>
      </c>
      <c r="G3949" t="str">
        <f>""</f>
        <v/>
      </c>
    </row>
    <row r="3950" spans="1:7" x14ac:dyDescent="0.25">
      <c r="A3950" t="s">
        <v>8</v>
      </c>
      <c r="B3950" s="1" t="str">
        <f>"000263602 - RICHS (BB) CORE-AFNAF"</f>
        <v>000263602 - RICHS (BB) CORE-AFNAF</v>
      </c>
      <c r="C3950" t="s">
        <v>674</v>
      </c>
      <c r="D3950" s="1" t="str">
        <f t="shared" si="112"/>
        <v>PRG-1023313</v>
      </c>
      <c r="E3950" t="s">
        <v>87</v>
      </c>
      <c r="F3950" t="s">
        <v>4</v>
      </c>
      <c r="G3950" t="str">
        <f>""</f>
        <v/>
      </c>
    </row>
    <row r="3951" spans="1:7" x14ac:dyDescent="0.25">
      <c r="A3951" t="s">
        <v>8</v>
      </c>
      <c r="B3951" s="1" t="str">
        <f>"000263603 - RICHS (BB) NON CORE-AFNAF"</f>
        <v>000263603 - RICHS (BB) NON CORE-AFNAF</v>
      </c>
      <c r="C3951" t="s">
        <v>1042</v>
      </c>
      <c r="D3951" s="1" t="str">
        <f t="shared" si="112"/>
        <v>PRG-1023313</v>
      </c>
      <c r="E3951" t="s">
        <v>87</v>
      </c>
      <c r="F3951" t="s">
        <v>4</v>
      </c>
      <c r="G3951" t="str">
        <f>""</f>
        <v/>
      </c>
    </row>
    <row r="3952" spans="1:7" x14ac:dyDescent="0.25">
      <c r="A3952" t="s">
        <v>8</v>
      </c>
      <c r="B3952" s="1" t="str">
        <f>"000264338 - RICH (BB NCORE)-AFNAF"</f>
        <v>000264338 - RICH (BB NCORE)-AFNAF</v>
      </c>
      <c r="C3952" t="s">
        <v>116</v>
      </c>
      <c r="D3952" s="1" t="str">
        <f t="shared" si="112"/>
        <v>PRG-1023313</v>
      </c>
      <c r="E3952" t="s">
        <v>87</v>
      </c>
      <c r="F3952" t="s">
        <v>4</v>
      </c>
      <c r="G3952" t="str">
        <f>""</f>
        <v/>
      </c>
    </row>
    <row r="3953" spans="1:7" x14ac:dyDescent="0.25">
      <c r="A3953" t="s">
        <v>8</v>
      </c>
      <c r="B3953" s="1" t="str">
        <f>"000264844 - RICHS (BB) CORE-AFNAF"</f>
        <v>000264844 - RICHS (BB) CORE-AFNAF</v>
      </c>
      <c r="C3953" t="s">
        <v>674</v>
      </c>
      <c r="D3953" s="1" t="str">
        <f t="shared" si="112"/>
        <v>PRG-1023313</v>
      </c>
      <c r="E3953" t="s">
        <v>87</v>
      </c>
      <c r="F3953" t="s">
        <v>4</v>
      </c>
      <c r="G3953" t="str">
        <f>""</f>
        <v/>
      </c>
    </row>
    <row r="3954" spans="1:7" x14ac:dyDescent="0.25">
      <c r="A3954" t="s">
        <v>8</v>
      </c>
      <c r="B3954" s="1" t="str">
        <f>"000266130 - "</f>
        <v xml:space="preserve">000266130 - </v>
      </c>
      <c r="D3954" s="1" t="str">
        <f t="shared" si="112"/>
        <v>PRG-1023313</v>
      </c>
      <c r="E3954" t="s">
        <v>87</v>
      </c>
      <c r="F3954" t="s">
        <v>4</v>
      </c>
      <c r="G3954" t="str">
        <f>""</f>
        <v/>
      </c>
    </row>
    <row r="3955" spans="1:7" x14ac:dyDescent="0.25">
      <c r="A3955" t="s">
        <v>8</v>
      </c>
      <c r="B3955" s="1" t="str">
        <f>"000267610 - "</f>
        <v xml:space="preserve">000267610 - </v>
      </c>
      <c r="D3955" s="1" t="str">
        <f t="shared" si="112"/>
        <v>PRG-1023313</v>
      </c>
      <c r="E3955" t="s">
        <v>87</v>
      </c>
      <c r="F3955" t="s">
        <v>4</v>
      </c>
      <c r="G3955" t="str">
        <f>""</f>
        <v/>
      </c>
    </row>
    <row r="3956" spans="1:7" x14ac:dyDescent="0.25">
      <c r="A3956" t="s">
        <v>8</v>
      </c>
      <c r="B3956" s="1" t="str">
        <f>"000269404 - RICH FOODS-AFNAF"</f>
        <v>000269404 - RICH FOODS-AFNAF</v>
      </c>
      <c r="C3956" t="s">
        <v>425</v>
      </c>
      <c r="D3956" s="1" t="str">
        <f t="shared" si="112"/>
        <v>PRG-1023313</v>
      </c>
      <c r="E3956" t="s">
        <v>87</v>
      </c>
      <c r="F3956" t="s">
        <v>4</v>
      </c>
      <c r="G3956" t="str">
        <f>""</f>
        <v/>
      </c>
    </row>
    <row r="3957" spans="1:7" x14ac:dyDescent="0.25">
      <c r="A3957" t="s">
        <v>8</v>
      </c>
      <c r="B3957" s="1" t="str">
        <f>"000269964 - RICH FOODS-AFNAF"</f>
        <v>000269964 - RICH FOODS-AFNAF</v>
      </c>
      <c r="C3957" t="s">
        <v>425</v>
      </c>
      <c r="D3957" s="1" t="str">
        <f t="shared" si="112"/>
        <v>PRG-1023313</v>
      </c>
      <c r="E3957" t="s">
        <v>87</v>
      </c>
      <c r="F3957" t="s">
        <v>4</v>
      </c>
      <c r="G3957" t="str">
        <f>""</f>
        <v/>
      </c>
    </row>
    <row r="3958" spans="1:7" x14ac:dyDescent="0.25">
      <c r="A3958" t="s">
        <v>8</v>
      </c>
      <c r="B3958" s="1" t="str">
        <f>"000271446 - RICH (BB NCORE)-AFNAF"</f>
        <v>000271446 - RICH (BB NCORE)-AFNAF</v>
      </c>
      <c r="C3958" t="s">
        <v>116</v>
      </c>
      <c r="D3958" s="1" t="str">
        <f t="shared" si="112"/>
        <v>PRG-1023313</v>
      </c>
      <c r="E3958" t="s">
        <v>87</v>
      </c>
      <c r="F3958" t="s">
        <v>4</v>
      </c>
      <c r="G3958" t="str">
        <f>""</f>
        <v/>
      </c>
    </row>
    <row r="3959" spans="1:7" x14ac:dyDescent="0.25">
      <c r="A3959" t="s">
        <v>8</v>
      </c>
      <c r="B3959" s="1" t="str">
        <f>"000272618 - "</f>
        <v xml:space="preserve">000272618 - </v>
      </c>
      <c r="D3959" s="1" t="str">
        <f t="shared" si="112"/>
        <v>PRG-1023313</v>
      </c>
      <c r="E3959" t="s">
        <v>87</v>
      </c>
      <c r="F3959" t="s">
        <v>4</v>
      </c>
      <c r="G3959" t="str">
        <f>""</f>
        <v/>
      </c>
    </row>
    <row r="3960" spans="1:7" x14ac:dyDescent="0.25">
      <c r="A3960" t="s">
        <v>8</v>
      </c>
      <c r="B3960" s="1" t="str">
        <f>"000272619 - "</f>
        <v xml:space="preserve">000272619 - </v>
      </c>
      <c r="D3960" s="1" t="str">
        <f t="shared" si="112"/>
        <v>PRG-1023313</v>
      </c>
      <c r="E3960" t="s">
        <v>87</v>
      </c>
      <c r="F3960" t="s">
        <v>4</v>
      </c>
      <c r="G3960" t="str">
        <f>""</f>
        <v/>
      </c>
    </row>
    <row r="3961" spans="1:7" x14ac:dyDescent="0.25">
      <c r="A3961" t="s">
        <v>8</v>
      </c>
      <c r="B3961" s="1" t="str">
        <f>"000273035 - RICH (BB NCORE)-AFNAF"</f>
        <v>000273035 - RICH (BB NCORE)-AFNAF</v>
      </c>
      <c r="C3961" t="s">
        <v>116</v>
      </c>
      <c r="D3961" s="1" t="str">
        <f t="shared" si="112"/>
        <v>PRG-1023313</v>
      </c>
      <c r="E3961" t="s">
        <v>87</v>
      </c>
      <c r="F3961" t="s">
        <v>4</v>
      </c>
      <c r="G3961" t="str">
        <f>""</f>
        <v/>
      </c>
    </row>
    <row r="3962" spans="1:7" x14ac:dyDescent="0.25">
      <c r="A3962" t="s">
        <v>8</v>
      </c>
      <c r="B3962" s="1" t="str">
        <f>"000273038 - RICH (BB CORE)-AFNAF"</f>
        <v>000273038 - RICH (BB CORE)-AFNAF</v>
      </c>
      <c r="C3962" t="s">
        <v>134</v>
      </c>
      <c r="D3962" s="1" t="str">
        <f t="shared" si="112"/>
        <v>PRG-1023313</v>
      </c>
      <c r="E3962" t="s">
        <v>87</v>
      </c>
      <c r="F3962" t="s">
        <v>4</v>
      </c>
      <c r="G3962" t="str">
        <f>""</f>
        <v/>
      </c>
    </row>
    <row r="3963" spans="1:7" x14ac:dyDescent="0.25">
      <c r="A3963" t="s">
        <v>8</v>
      </c>
      <c r="B3963" s="1" t="str">
        <f>"000274058 - RICH (BB CORE)-AFNAF"</f>
        <v>000274058 - RICH (BB CORE)-AFNAF</v>
      </c>
      <c r="C3963" t="s">
        <v>134</v>
      </c>
      <c r="D3963" s="1" t="str">
        <f t="shared" si="112"/>
        <v>PRG-1023313</v>
      </c>
      <c r="E3963" t="s">
        <v>87</v>
      </c>
      <c r="F3963" t="s">
        <v>4</v>
      </c>
      <c r="G3963" t="str">
        <f>""</f>
        <v/>
      </c>
    </row>
    <row r="3964" spans="1:7" x14ac:dyDescent="0.25">
      <c r="A3964" t="s">
        <v>8</v>
      </c>
      <c r="B3964" s="1" t="str">
        <f>"000276339 - RICH NCORE-AFNAF"</f>
        <v>000276339 - RICH NCORE-AFNAF</v>
      </c>
      <c r="C3964" t="s">
        <v>632</v>
      </c>
      <c r="D3964" s="1" t="str">
        <f t="shared" si="112"/>
        <v>PRG-1023313</v>
      </c>
      <c r="E3964" t="s">
        <v>87</v>
      </c>
      <c r="F3964" t="s">
        <v>4</v>
      </c>
      <c r="G3964" t="str">
        <f>""</f>
        <v/>
      </c>
    </row>
    <row r="3965" spans="1:7" x14ac:dyDescent="0.25">
      <c r="A3965" t="s">
        <v>8</v>
      </c>
      <c r="B3965" s="1" t="str">
        <f>"000276792 - MIL AFNAF - RICH FOODS"</f>
        <v>000276792 - MIL AFNAF - RICH FOODS</v>
      </c>
      <c r="C3965" t="s">
        <v>2587</v>
      </c>
      <c r="D3965" s="1" t="str">
        <f t="shared" si="112"/>
        <v>PRG-1023313</v>
      </c>
      <c r="E3965" t="s">
        <v>87</v>
      </c>
      <c r="F3965" t="s">
        <v>4</v>
      </c>
      <c r="G3965" t="str">
        <f>""</f>
        <v/>
      </c>
    </row>
    <row r="3966" spans="1:7" x14ac:dyDescent="0.25">
      <c r="A3966" t="s">
        <v>8</v>
      </c>
      <c r="B3966" s="1" t="str">
        <f>"000277602 - RICH FOODS-AFNAF"</f>
        <v>000277602 - RICH FOODS-AFNAF</v>
      </c>
      <c r="C3966" t="s">
        <v>425</v>
      </c>
      <c r="D3966" s="1" t="str">
        <f t="shared" si="112"/>
        <v>PRG-1023313</v>
      </c>
      <c r="E3966" t="s">
        <v>87</v>
      </c>
      <c r="F3966" t="s">
        <v>4</v>
      </c>
      <c r="G3966" t="str">
        <f>""</f>
        <v/>
      </c>
    </row>
    <row r="3967" spans="1:7" x14ac:dyDescent="0.25">
      <c r="A3967" t="s">
        <v>8</v>
      </c>
      <c r="B3967" s="1" t="str">
        <f>"000278655 - RICH (BB CORE)-AFNAF"</f>
        <v>000278655 - RICH (BB CORE)-AFNAF</v>
      </c>
      <c r="C3967" t="s">
        <v>134</v>
      </c>
      <c r="D3967" s="1" t="str">
        <f t="shared" si="112"/>
        <v>PRG-1023313</v>
      </c>
      <c r="E3967" t="s">
        <v>87</v>
      </c>
      <c r="F3967" t="s">
        <v>4</v>
      </c>
      <c r="G3967" t="str">
        <f>""</f>
        <v/>
      </c>
    </row>
    <row r="3968" spans="1:7" x14ac:dyDescent="0.25">
      <c r="A3968" t="s">
        <v>8</v>
      </c>
      <c r="B3968" s="1" t="str">
        <f>"000281160 - RICH FOODS-AFNAF"</f>
        <v>000281160 - RICH FOODS-AFNAF</v>
      </c>
      <c r="C3968" t="s">
        <v>425</v>
      </c>
      <c r="D3968" s="1" t="str">
        <f t="shared" si="112"/>
        <v>PRG-1023313</v>
      </c>
      <c r="E3968" t="s">
        <v>87</v>
      </c>
      <c r="F3968" t="s">
        <v>4</v>
      </c>
      <c r="G3968" t="str">
        <f>""</f>
        <v/>
      </c>
    </row>
    <row r="3969" spans="1:7" x14ac:dyDescent="0.25">
      <c r="A3969" t="s">
        <v>8</v>
      </c>
      <c r="B3969" s="1" t="str">
        <f>"000282203 - "</f>
        <v xml:space="preserve">000282203 - </v>
      </c>
      <c r="D3969" s="1" t="str">
        <f t="shared" si="112"/>
        <v>PRG-1023313</v>
      </c>
      <c r="E3969" t="s">
        <v>87</v>
      </c>
      <c r="F3969" t="s">
        <v>4</v>
      </c>
      <c r="G3969" t="str">
        <f>""</f>
        <v/>
      </c>
    </row>
    <row r="3970" spans="1:7" x14ac:dyDescent="0.25">
      <c r="A3970" t="s">
        <v>8</v>
      </c>
      <c r="B3970" s="1" t="str">
        <f>"000284508 - RICHS (BB) CORE-AFNAF"</f>
        <v>000284508 - RICHS (BB) CORE-AFNAF</v>
      </c>
      <c r="C3970" t="s">
        <v>674</v>
      </c>
      <c r="D3970" s="1" t="str">
        <f t="shared" si="112"/>
        <v>PRG-1023313</v>
      </c>
      <c r="E3970" t="s">
        <v>87</v>
      </c>
      <c r="F3970" t="s">
        <v>4</v>
      </c>
      <c r="G3970" t="str">
        <f>""</f>
        <v/>
      </c>
    </row>
    <row r="3971" spans="1:7" x14ac:dyDescent="0.25">
      <c r="A3971" t="s">
        <v>8</v>
      </c>
      <c r="B3971" s="1" t="str">
        <f>"000285083 - RICHS (BB) CORE-AFNAF"</f>
        <v>000285083 - RICHS (BB) CORE-AFNAF</v>
      </c>
      <c r="C3971" t="s">
        <v>674</v>
      </c>
      <c r="D3971" s="1" t="str">
        <f t="shared" si="112"/>
        <v>PRG-1023313</v>
      </c>
      <c r="E3971" t="s">
        <v>87</v>
      </c>
      <c r="F3971" t="s">
        <v>4</v>
      </c>
      <c r="G3971" t="str">
        <f>""</f>
        <v/>
      </c>
    </row>
    <row r="3972" spans="1:7" x14ac:dyDescent="0.25">
      <c r="A3972" t="s">
        <v>8</v>
      </c>
      <c r="B3972" s="1" t="str">
        <f>"000285842 - RICH FOODS-AFNAF"</f>
        <v>000285842 - RICH FOODS-AFNAF</v>
      </c>
      <c r="C3972" t="s">
        <v>425</v>
      </c>
      <c r="D3972" s="1" t="str">
        <f t="shared" ref="D3972:D4035" si="113">"PRG-1023313"</f>
        <v>PRG-1023313</v>
      </c>
      <c r="E3972" t="s">
        <v>87</v>
      </c>
      <c r="F3972" t="s">
        <v>4</v>
      </c>
      <c r="G3972" t="str">
        <f>""</f>
        <v/>
      </c>
    </row>
    <row r="3973" spans="1:7" x14ac:dyDescent="0.25">
      <c r="A3973" t="s">
        <v>8</v>
      </c>
      <c r="B3973" s="1" t="str">
        <f>"000285944 - RICH FOODS-AFNAF"</f>
        <v>000285944 - RICH FOODS-AFNAF</v>
      </c>
      <c r="C3973" t="s">
        <v>425</v>
      </c>
      <c r="D3973" s="1" t="str">
        <f t="shared" si="113"/>
        <v>PRG-1023313</v>
      </c>
      <c r="E3973" t="s">
        <v>87</v>
      </c>
      <c r="F3973" t="s">
        <v>4</v>
      </c>
      <c r="G3973" t="str">
        <f>""</f>
        <v/>
      </c>
    </row>
    <row r="3974" spans="1:7" x14ac:dyDescent="0.25">
      <c r="A3974" t="s">
        <v>8</v>
      </c>
      <c r="B3974" s="1" t="str">
        <f>"000286304 - RICH FOODS-AFNAF"</f>
        <v>000286304 - RICH FOODS-AFNAF</v>
      </c>
      <c r="C3974" t="s">
        <v>425</v>
      </c>
      <c r="D3974" s="1" t="str">
        <f t="shared" si="113"/>
        <v>PRG-1023313</v>
      </c>
      <c r="E3974" t="s">
        <v>87</v>
      </c>
      <c r="F3974" t="s">
        <v>4</v>
      </c>
      <c r="G3974" t="str">
        <f>""</f>
        <v/>
      </c>
    </row>
    <row r="3975" spans="1:7" x14ac:dyDescent="0.25">
      <c r="A3975" t="s">
        <v>8</v>
      </c>
      <c r="B3975" s="1" t="str">
        <f>"000290411 - RICH CBB-AFNAF"</f>
        <v>000290411 - RICH CBB-AFNAF</v>
      </c>
      <c r="C3975" t="s">
        <v>638</v>
      </c>
      <c r="D3975" s="1" t="str">
        <f t="shared" si="113"/>
        <v>PRG-1023313</v>
      </c>
      <c r="E3975" t="s">
        <v>87</v>
      </c>
      <c r="F3975" t="s">
        <v>4</v>
      </c>
      <c r="G3975" t="str">
        <f>""</f>
        <v/>
      </c>
    </row>
    <row r="3976" spans="1:7" x14ac:dyDescent="0.25">
      <c r="A3976" t="s">
        <v>8</v>
      </c>
      <c r="B3976" s="1" t="str">
        <f>"000290412 - RICH NCORE-AFNAF"</f>
        <v>000290412 - RICH NCORE-AFNAF</v>
      </c>
      <c r="C3976" t="s">
        <v>632</v>
      </c>
      <c r="D3976" s="1" t="str">
        <f t="shared" si="113"/>
        <v>PRG-1023313</v>
      </c>
      <c r="E3976" t="s">
        <v>87</v>
      </c>
      <c r="F3976" t="s">
        <v>4</v>
      </c>
      <c r="G3976" t="str">
        <f>""</f>
        <v/>
      </c>
    </row>
    <row r="3977" spans="1:7" x14ac:dyDescent="0.25">
      <c r="A3977" t="s">
        <v>8</v>
      </c>
      <c r="B3977" s="1" t="str">
        <f>"000291457 - RICHS BB-AFNAF"</f>
        <v>000291457 - RICHS BB-AFNAF</v>
      </c>
      <c r="C3977" t="s">
        <v>375</v>
      </c>
      <c r="D3977" s="1" t="str">
        <f t="shared" si="113"/>
        <v>PRG-1023313</v>
      </c>
      <c r="E3977" t="s">
        <v>87</v>
      </c>
      <c r="F3977" t="s">
        <v>4</v>
      </c>
      <c r="G3977" t="str">
        <f>""</f>
        <v/>
      </c>
    </row>
    <row r="3978" spans="1:7" x14ac:dyDescent="0.25">
      <c r="A3978" t="s">
        <v>8</v>
      </c>
      <c r="B3978" s="1" t="str">
        <f>"000292399 - RICH NCORE-AFNAF"</f>
        <v>000292399 - RICH NCORE-AFNAF</v>
      </c>
      <c r="C3978" t="s">
        <v>632</v>
      </c>
      <c r="D3978" s="1" t="str">
        <f t="shared" si="113"/>
        <v>PRG-1023313</v>
      </c>
      <c r="E3978" t="s">
        <v>87</v>
      </c>
      <c r="F3978" t="s">
        <v>4</v>
      </c>
      <c r="G3978" t="str">
        <f>""</f>
        <v/>
      </c>
    </row>
    <row r="3979" spans="1:7" x14ac:dyDescent="0.25">
      <c r="A3979" t="s">
        <v>8</v>
      </c>
      <c r="B3979" s="1" t="str">
        <f>"000294301 - "</f>
        <v xml:space="preserve">000294301 - </v>
      </c>
      <c r="D3979" s="1" t="str">
        <f t="shared" si="113"/>
        <v>PRG-1023313</v>
      </c>
      <c r="E3979" t="s">
        <v>87</v>
      </c>
      <c r="F3979" t="s">
        <v>4</v>
      </c>
      <c r="G3979" t="str">
        <f>""</f>
        <v/>
      </c>
    </row>
    <row r="3980" spans="1:7" x14ac:dyDescent="0.25">
      <c r="A3980" t="s">
        <v>8</v>
      </c>
      <c r="B3980" s="1" t="str">
        <f>"000294305 - "</f>
        <v xml:space="preserve">000294305 - </v>
      </c>
      <c r="D3980" s="1" t="str">
        <f t="shared" si="113"/>
        <v>PRG-1023313</v>
      </c>
      <c r="E3980" t="s">
        <v>87</v>
      </c>
      <c r="F3980" t="s">
        <v>4</v>
      </c>
      <c r="G3980" t="str">
        <f>""</f>
        <v/>
      </c>
    </row>
    <row r="3981" spans="1:7" x14ac:dyDescent="0.25">
      <c r="A3981" t="s">
        <v>8</v>
      </c>
      <c r="B3981" s="1" t="str">
        <f>"000295012 - RICHS (BB) CORE-AFNAF"</f>
        <v>000295012 - RICHS (BB) CORE-AFNAF</v>
      </c>
      <c r="C3981" t="s">
        <v>674</v>
      </c>
      <c r="D3981" s="1" t="str">
        <f t="shared" si="113"/>
        <v>PRG-1023313</v>
      </c>
      <c r="E3981" t="s">
        <v>87</v>
      </c>
      <c r="F3981" t="s">
        <v>4</v>
      </c>
      <c r="G3981" t="str">
        <f>""</f>
        <v/>
      </c>
    </row>
    <row r="3982" spans="1:7" x14ac:dyDescent="0.25">
      <c r="A3982" t="s">
        <v>8</v>
      </c>
      <c r="B3982" s="1" t="str">
        <f>"000297601 - RICH FOODS-AFNAF"</f>
        <v>000297601 - RICH FOODS-AFNAF</v>
      </c>
      <c r="C3982" t="s">
        <v>425</v>
      </c>
      <c r="D3982" s="1" t="str">
        <f t="shared" si="113"/>
        <v>PRG-1023313</v>
      </c>
      <c r="E3982" t="s">
        <v>87</v>
      </c>
      <c r="F3982" t="s">
        <v>4</v>
      </c>
      <c r="G3982" t="str">
        <f>""</f>
        <v/>
      </c>
    </row>
    <row r="3983" spans="1:7" x14ac:dyDescent="0.25">
      <c r="A3983" t="s">
        <v>8</v>
      </c>
      <c r="B3983" s="1" t="str">
        <f>"000298429 - RICHS (BB) CORE-AFNAF"</f>
        <v>000298429 - RICHS (BB) CORE-AFNAF</v>
      </c>
      <c r="C3983" t="s">
        <v>674</v>
      </c>
      <c r="D3983" s="1" t="str">
        <f t="shared" si="113"/>
        <v>PRG-1023313</v>
      </c>
      <c r="E3983" t="s">
        <v>87</v>
      </c>
      <c r="F3983" t="s">
        <v>4</v>
      </c>
      <c r="G3983" t="str">
        <f>""</f>
        <v/>
      </c>
    </row>
    <row r="3984" spans="1:7" x14ac:dyDescent="0.25">
      <c r="A3984" t="s">
        <v>8</v>
      </c>
      <c r="B3984" s="1" t="str">
        <f>"000300952 - RICHS (BB) CORE-AFNAF"</f>
        <v>000300952 - RICHS (BB) CORE-AFNAF</v>
      </c>
      <c r="C3984" t="s">
        <v>674</v>
      </c>
      <c r="D3984" s="1" t="str">
        <f t="shared" si="113"/>
        <v>PRG-1023313</v>
      </c>
      <c r="E3984" t="s">
        <v>87</v>
      </c>
      <c r="F3984" t="s">
        <v>4</v>
      </c>
      <c r="G3984" t="str">
        <f>""</f>
        <v/>
      </c>
    </row>
    <row r="3985" spans="1:7" x14ac:dyDescent="0.25">
      <c r="A3985" t="s">
        <v>8</v>
      </c>
      <c r="B3985" s="1" t="str">
        <f>"000300955 - RICHS (BB) NON CORE-AFNAF"</f>
        <v>000300955 - RICHS (BB) NON CORE-AFNAF</v>
      </c>
      <c r="C3985" t="s">
        <v>1042</v>
      </c>
      <c r="D3985" s="1" t="str">
        <f t="shared" si="113"/>
        <v>PRG-1023313</v>
      </c>
      <c r="E3985" t="s">
        <v>87</v>
      </c>
      <c r="F3985" t="s">
        <v>4</v>
      </c>
      <c r="G3985" t="str">
        <f>""</f>
        <v/>
      </c>
    </row>
    <row r="3986" spans="1:7" x14ac:dyDescent="0.25">
      <c r="A3986" t="s">
        <v>8</v>
      </c>
      <c r="B3986" s="1" t="str">
        <f>"000301782 - RICHS (BB) NCORE-AFNAF DPM"</f>
        <v>000301782 - RICHS (BB) NCORE-AFNAF DPM</v>
      </c>
      <c r="C3986" t="s">
        <v>2986</v>
      </c>
      <c r="D3986" s="1" t="str">
        <f t="shared" si="113"/>
        <v>PRG-1023313</v>
      </c>
      <c r="E3986" t="s">
        <v>87</v>
      </c>
      <c r="F3986" t="s">
        <v>4</v>
      </c>
      <c r="G3986" t="str">
        <f>""</f>
        <v/>
      </c>
    </row>
    <row r="3987" spans="1:7" x14ac:dyDescent="0.25">
      <c r="A3987" t="s">
        <v>8</v>
      </c>
      <c r="B3987" s="1" t="str">
        <f>"000303662 - RICH (BB CORE)-AFNAF"</f>
        <v>000303662 - RICH (BB CORE)-AFNAF</v>
      </c>
      <c r="C3987" t="s">
        <v>134</v>
      </c>
      <c r="D3987" s="1" t="str">
        <f t="shared" si="113"/>
        <v>PRG-1023313</v>
      </c>
      <c r="E3987" t="s">
        <v>87</v>
      </c>
      <c r="F3987" t="s">
        <v>4</v>
      </c>
      <c r="G3987" t="str">
        <f>""</f>
        <v/>
      </c>
    </row>
    <row r="3988" spans="1:7" x14ac:dyDescent="0.25">
      <c r="A3988" t="s">
        <v>8</v>
      </c>
      <c r="B3988" s="1" t="str">
        <f>"000305257 - RICH FOODS-AFNAF"</f>
        <v>000305257 - RICH FOODS-AFNAF</v>
      </c>
      <c r="C3988" t="s">
        <v>425</v>
      </c>
      <c r="D3988" s="1" t="str">
        <f t="shared" si="113"/>
        <v>PRG-1023313</v>
      </c>
      <c r="E3988" t="s">
        <v>87</v>
      </c>
      <c r="F3988" t="s">
        <v>4</v>
      </c>
      <c r="G3988" t="str">
        <f>""</f>
        <v/>
      </c>
    </row>
    <row r="3989" spans="1:7" x14ac:dyDescent="0.25">
      <c r="A3989" t="s">
        <v>8</v>
      </c>
      <c r="B3989" s="1" t="str">
        <f>"000307394 - RICH FOODS-AFNAF"</f>
        <v>000307394 - RICH FOODS-AFNAF</v>
      </c>
      <c r="C3989" t="s">
        <v>425</v>
      </c>
      <c r="D3989" s="1" t="str">
        <f t="shared" si="113"/>
        <v>PRG-1023313</v>
      </c>
      <c r="E3989" t="s">
        <v>87</v>
      </c>
      <c r="F3989" t="s">
        <v>4</v>
      </c>
      <c r="G3989" t="str">
        <f>""</f>
        <v/>
      </c>
    </row>
    <row r="3990" spans="1:7" x14ac:dyDescent="0.25">
      <c r="A3990" t="s">
        <v>8</v>
      </c>
      <c r="B3990" s="1" t="str">
        <f>"000312409 - RICH FOODS-AFNAF"</f>
        <v>000312409 - RICH FOODS-AFNAF</v>
      </c>
      <c r="C3990" t="s">
        <v>425</v>
      </c>
      <c r="D3990" s="1" t="str">
        <f t="shared" si="113"/>
        <v>PRG-1023313</v>
      </c>
      <c r="E3990" t="s">
        <v>87</v>
      </c>
      <c r="F3990" t="s">
        <v>4</v>
      </c>
      <c r="G3990" t="str">
        <f>""</f>
        <v/>
      </c>
    </row>
    <row r="3991" spans="1:7" x14ac:dyDescent="0.25">
      <c r="A3991" t="s">
        <v>8</v>
      </c>
      <c r="B3991" s="1" t="str">
        <f>"000313012 - "</f>
        <v xml:space="preserve">000313012 - </v>
      </c>
      <c r="D3991" s="1" t="str">
        <f t="shared" si="113"/>
        <v>PRG-1023313</v>
      </c>
      <c r="E3991" t="s">
        <v>87</v>
      </c>
      <c r="F3991" t="s">
        <v>4</v>
      </c>
      <c r="G3991" t="str">
        <f>""</f>
        <v/>
      </c>
    </row>
    <row r="3992" spans="1:7" x14ac:dyDescent="0.25">
      <c r="A3992" t="s">
        <v>8</v>
      </c>
      <c r="B3992" s="1" t="str">
        <f>"000313679 - RICH (BB NCORE)-AFNAF"</f>
        <v>000313679 - RICH (BB NCORE)-AFNAF</v>
      </c>
      <c r="C3992" t="s">
        <v>116</v>
      </c>
      <c r="D3992" s="1" t="str">
        <f t="shared" si="113"/>
        <v>PRG-1023313</v>
      </c>
      <c r="E3992" t="s">
        <v>87</v>
      </c>
      <c r="F3992" t="s">
        <v>4</v>
      </c>
      <c r="G3992" t="str">
        <f>""</f>
        <v/>
      </c>
    </row>
    <row r="3993" spans="1:7" x14ac:dyDescent="0.25">
      <c r="A3993" t="s">
        <v>8</v>
      </c>
      <c r="B3993" s="1" t="str">
        <f>"000314979 - RICH (BB CORE)-AFNAF"</f>
        <v>000314979 - RICH (BB CORE)-AFNAF</v>
      </c>
      <c r="C3993" t="s">
        <v>134</v>
      </c>
      <c r="D3993" s="1" t="str">
        <f t="shared" si="113"/>
        <v>PRG-1023313</v>
      </c>
      <c r="E3993" t="s">
        <v>87</v>
      </c>
      <c r="F3993" t="s">
        <v>4</v>
      </c>
      <c r="G3993" t="str">
        <f>""</f>
        <v/>
      </c>
    </row>
    <row r="3994" spans="1:7" x14ac:dyDescent="0.25">
      <c r="A3994" t="s">
        <v>8</v>
      </c>
      <c r="B3994" s="1" t="str">
        <f>"000315976 - RICH (BB CORE)-AFNAF"</f>
        <v>000315976 - RICH (BB CORE)-AFNAF</v>
      </c>
      <c r="C3994" t="s">
        <v>134</v>
      </c>
      <c r="D3994" s="1" t="str">
        <f t="shared" si="113"/>
        <v>PRG-1023313</v>
      </c>
      <c r="E3994" t="s">
        <v>87</v>
      </c>
      <c r="F3994" t="s">
        <v>4</v>
      </c>
      <c r="G3994" t="str">
        <f>""</f>
        <v/>
      </c>
    </row>
    <row r="3995" spans="1:7" x14ac:dyDescent="0.25">
      <c r="A3995" t="s">
        <v>8</v>
      </c>
      <c r="B3995" s="1" t="str">
        <f>"000319213 - RICH FOODS-AFNAF"</f>
        <v>000319213 - RICH FOODS-AFNAF</v>
      </c>
      <c r="C3995" t="s">
        <v>425</v>
      </c>
      <c r="D3995" s="1" t="str">
        <f t="shared" si="113"/>
        <v>PRG-1023313</v>
      </c>
      <c r="E3995" t="s">
        <v>87</v>
      </c>
      <c r="F3995" t="s">
        <v>4</v>
      </c>
      <c r="G3995" t="str">
        <f>""</f>
        <v/>
      </c>
    </row>
    <row r="3996" spans="1:7" x14ac:dyDescent="0.25">
      <c r="A3996" t="s">
        <v>8</v>
      </c>
      <c r="B3996" s="1" t="str">
        <f>"000321491 - "</f>
        <v xml:space="preserve">000321491 - </v>
      </c>
      <c r="D3996" s="1" t="str">
        <f t="shared" si="113"/>
        <v>PRG-1023313</v>
      </c>
      <c r="E3996" t="s">
        <v>87</v>
      </c>
      <c r="F3996" t="s">
        <v>4</v>
      </c>
      <c r="G3996" t="str">
        <f>""</f>
        <v/>
      </c>
    </row>
    <row r="3997" spans="1:7" x14ac:dyDescent="0.25">
      <c r="A3997" t="s">
        <v>8</v>
      </c>
      <c r="B3997" s="1" t="str">
        <f>"000321493 - "</f>
        <v xml:space="preserve">000321493 - </v>
      </c>
      <c r="D3997" s="1" t="str">
        <f t="shared" si="113"/>
        <v>PRG-1023313</v>
      </c>
      <c r="E3997" t="s">
        <v>87</v>
      </c>
      <c r="F3997" t="s">
        <v>4</v>
      </c>
      <c r="G3997" t="str">
        <f>""</f>
        <v/>
      </c>
    </row>
    <row r="3998" spans="1:7" x14ac:dyDescent="0.25">
      <c r="A3998" t="s">
        <v>8</v>
      </c>
      <c r="B3998" s="1" t="str">
        <f>"000322278 - "</f>
        <v xml:space="preserve">000322278 - </v>
      </c>
      <c r="D3998" s="1" t="str">
        <f t="shared" si="113"/>
        <v>PRG-1023313</v>
      </c>
      <c r="E3998" t="s">
        <v>87</v>
      </c>
      <c r="F3998" t="s">
        <v>4</v>
      </c>
      <c r="G3998" t="str">
        <f>""</f>
        <v/>
      </c>
    </row>
    <row r="3999" spans="1:7" x14ac:dyDescent="0.25">
      <c r="A3999" t="s">
        <v>8</v>
      </c>
      <c r="B3999" s="1" t="str">
        <f>"000322319 - RICH FOODS-AFNAF"</f>
        <v>000322319 - RICH FOODS-AFNAF</v>
      </c>
      <c r="C3999" t="s">
        <v>425</v>
      </c>
      <c r="D3999" s="1" t="str">
        <f t="shared" si="113"/>
        <v>PRG-1023313</v>
      </c>
      <c r="E3999" t="s">
        <v>87</v>
      </c>
      <c r="F3999" t="s">
        <v>4</v>
      </c>
      <c r="G3999" t="str">
        <f>""</f>
        <v/>
      </c>
    </row>
    <row r="4000" spans="1:7" x14ac:dyDescent="0.25">
      <c r="A4000" t="s">
        <v>8</v>
      </c>
      <c r="B4000" s="1" t="str">
        <f>"000322578 - RICH CBB-AFNAF"</f>
        <v>000322578 - RICH CBB-AFNAF</v>
      </c>
      <c r="C4000" t="s">
        <v>638</v>
      </c>
      <c r="D4000" s="1" t="str">
        <f t="shared" si="113"/>
        <v>PRG-1023313</v>
      </c>
      <c r="E4000" t="s">
        <v>87</v>
      </c>
      <c r="F4000" t="s">
        <v>4</v>
      </c>
      <c r="G4000" t="str">
        <f>""</f>
        <v/>
      </c>
    </row>
    <row r="4001" spans="1:7" x14ac:dyDescent="0.25">
      <c r="A4001" t="s">
        <v>8</v>
      </c>
      <c r="B4001" s="1" t="str">
        <f>"000322579 - RICH NCORE-AFNAF"</f>
        <v>000322579 - RICH NCORE-AFNAF</v>
      </c>
      <c r="C4001" t="s">
        <v>632</v>
      </c>
      <c r="D4001" s="1" t="str">
        <f t="shared" si="113"/>
        <v>PRG-1023313</v>
      </c>
      <c r="E4001" t="s">
        <v>87</v>
      </c>
      <c r="F4001" t="s">
        <v>4</v>
      </c>
      <c r="G4001" t="str">
        <f>""</f>
        <v/>
      </c>
    </row>
    <row r="4002" spans="1:7" x14ac:dyDescent="0.25">
      <c r="A4002" t="s">
        <v>8</v>
      </c>
      <c r="B4002" s="1" t="str">
        <f>"000324901 - RICH NCORE-AFNAF"</f>
        <v>000324901 - RICH NCORE-AFNAF</v>
      </c>
      <c r="C4002" t="s">
        <v>632</v>
      </c>
      <c r="D4002" s="1" t="str">
        <f t="shared" si="113"/>
        <v>PRG-1023313</v>
      </c>
      <c r="E4002" t="s">
        <v>87</v>
      </c>
      <c r="F4002" t="s">
        <v>4</v>
      </c>
      <c r="G4002" t="str">
        <f>""</f>
        <v/>
      </c>
    </row>
    <row r="4003" spans="1:7" x14ac:dyDescent="0.25">
      <c r="A4003" t="s">
        <v>8</v>
      </c>
      <c r="B4003" s="1" t="str">
        <f>"000324902 - RICH CBB-AFNAF"</f>
        <v>000324902 - RICH CBB-AFNAF</v>
      </c>
      <c r="C4003" t="s">
        <v>638</v>
      </c>
      <c r="D4003" s="1" t="str">
        <f t="shared" si="113"/>
        <v>PRG-1023313</v>
      </c>
      <c r="E4003" t="s">
        <v>87</v>
      </c>
      <c r="F4003" t="s">
        <v>4</v>
      </c>
      <c r="G4003" t="str">
        <f>""</f>
        <v/>
      </c>
    </row>
    <row r="4004" spans="1:7" x14ac:dyDescent="0.25">
      <c r="A4004" t="s">
        <v>8</v>
      </c>
      <c r="B4004" s="1" t="str">
        <f>"000326371 - "</f>
        <v xml:space="preserve">000326371 - </v>
      </c>
      <c r="D4004" s="1" t="str">
        <f t="shared" si="113"/>
        <v>PRG-1023313</v>
      </c>
      <c r="E4004" t="s">
        <v>87</v>
      </c>
      <c r="F4004" t="s">
        <v>4</v>
      </c>
      <c r="G4004" t="str">
        <f>""</f>
        <v/>
      </c>
    </row>
    <row r="4005" spans="1:7" x14ac:dyDescent="0.25">
      <c r="A4005" t="s">
        <v>8</v>
      </c>
      <c r="B4005" s="1" t="str">
        <f>"000328146 - RICH (BB NCORE)-AFNAF"</f>
        <v>000328146 - RICH (BB NCORE)-AFNAF</v>
      </c>
      <c r="C4005" t="s">
        <v>116</v>
      </c>
      <c r="D4005" s="1" t="str">
        <f t="shared" si="113"/>
        <v>PRG-1023313</v>
      </c>
      <c r="E4005" t="s">
        <v>87</v>
      </c>
      <c r="F4005" t="s">
        <v>4</v>
      </c>
      <c r="G4005" t="str">
        <f>""</f>
        <v/>
      </c>
    </row>
    <row r="4006" spans="1:7" x14ac:dyDescent="0.25">
      <c r="A4006" t="s">
        <v>8</v>
      </c>
      <c r="B4006" s="1" t="str">
        <f>"000328150 - RICH (BB CORE)-AFNAF"</f>
        <v>000328150 - RICH (BB CORE)-AFNAF</v>
      </c>
      <c r="C4006" t="s">
        <v>134</v>
      </c>
      <c r="D4006" s="1" t="str">
        <f t="shared" si="113"/>
        <v>PRG-1023313</v>
      </c>
      <c r="E4006" t="s">
        <v>87</v>
      </c>
      <c r="F4006" t="s">
        <v>4</v>
      </c>
      <c r="G4006" t="str">
        <f>""</f>
        <v/>
      </c>
    </row>
    <row r="4007" spans="1:7" x14ac:dyDescent="0.25">
      <c r="A4007" t="s">
        <v>8</v>
      </c>
      <c r="B4007" s="1" t="str">
        <f>"000328248 - "</f>
        <v xml:space="preserve">000328248 - </v>
      </c>
      <c r="D4007" s="1" t="str">
        <f t="shared" si="113"/>
        <v>PRG-1023313</v>
      </c>
      <c r="E4007" t="s">
        <v>87</v>
      </c>
      <c r="F4007" t="s">
        <v>4</v>
      </c>
      <c r="G4007" t="str">
        <f>""</f>
        <v/>
      </c>
    </row>
    <row r="4008" spans="1:7" x14ac:dyDescent="0.25">
      <c r="A4008" t="s">
        <v>8</v>
      </c>
      <c r="B4008" s="1" t="str">
        <f>"000329956 - RICH FOODS-AFNAF"</f>
        <v>000329956 - RICH FOODS-AFNAF</v>
      </c>
      <c r="C4008" t="s">
        <v>425</v>
      </c>
      <c r="D4008" s="1" t="str">
        <f t="shared" si="113"/>
        <v>PRG-1023313</v>
      </c>
      <c r="E4008" t="s">
        <v>87</v>
      </c>
      <c r="F4008" t="s">
        <v>4</v>
      </c>
      <c r="G4008" t="str">
        <f>""</f>
        <v/>
      </c>
    </row>
    <row r="4009" spans="1:7" x14ac:dyDescent="0.25">
      <c r="A4009" t="s">
        <v>8</v>
      </c>
      <c r="B4009" s="1" t="str">
        <f>"000332627 - RICHS (BB) CORE-AFNAF"</f>
        <v>000332627 - RICHS (BB) CORE-AFNAF</v>
      </c>
      <c r="C4009" t="s">
        <v>674</v>
      </c>
      <c r="D4009" s="1" t="str">
        <f t="shared" si="113"/>
        <v>PRG-1023313</v>
      </c>
      <c r="E4009" t="s">
        <v>87</v>
      </c>
      <c r="F4009" t="s">
        <v>4</v>
      </c>
      <c r="G4009" t="str">
        <f>""</f>
        <v/>
      </c>
    </row>
    <row r="4010" spans="1:7" x14ac:dyDescent="0.25">
      <c r="A4010" t="s">
        <v>8</v>
      </c>
      <c r="B4010" s="1" t="str">
        <f>"000332628 - RICHS (BB) NON CORE-AFNAF"</f>
        <v>000332628 - RICHS (BB) NON CORE-AFNAF</v>
      </c>
      <c r="C4010" t="s">
        <v>1042</v>
      </c>
      <c r="D4010" s="1" t="str">
        <f t="shared" si="113"/>
        <v>PRG-1023313</v>
      </c>
      <c r="E4010" t="s">
        <v>87</v>
      </c>
      <c r="F4010" t="s">
        <v>4</v>
      </c>
      <c r="G4010" t="str">
        <f>""</f>
        <v/>
      </c>
    </row>
    <row r="4011" spans="1:7" x14ac:dyDescent="0.25">
      <c r="A4011" t="s">
        <v>8</v>
      </c>
      <c r="B4011" s="1" t="str">
        <f>"000332908 - RICH FOODS-AFNAF"</f>
        <v>000332908 - RICH FOODS-AFNAF</v>
      </c>
      <c r="C4011" t="s">
        <v>425</v>
      </c>
      <c r="D4011" s="1" t="str">
        <f t="shared" si="113"/>
        <v>PRG-1023313</v>
      </c>
      <c r="E4011" t="s">
        <v>87</v>
      </c>
      <c r="F4011" t="s">
        <v>4</v>
      </c>
      <c r="G4011" t="str">
        <f>""</f>
        <v/>
      </c>
    </row>
    <row r="4012" spans="1:7" x14ac:dyDescent="0.25">
      <c r="A4012" t="s">
        <v>8</v>
      </c>
      <c r="B4012" s="1" t="str">
        <f>"000335094 - "</f>
        <v xml:space="preserve">000335094 - </v>
      </c>
      <c r="D4012" s="1" t="str">
        <f t="shared" si="113"/>
        <v>PRG-1023313</v>
      </c>
      <c r="E4012" t="s">
        <v>87</v>
      </c>
      <c r="F4012" t="s">
        <v>4</v>
      </c>
      <c r="G4012" t="str">
        <f>""</f>
        <v/>
      </c>
    </row>
    <row r="4013" spans="1:7" x14ac:dyDescent="0.25">
      <c r="A4013" t="s">
        <v>8</v>
      </c>
      <c r="B4013" s="1" t="str">
        <f>"000338331 - RICH NCORE-AFNAF"</f>
        <v>000338331 - RICH NCORE-AFNAF</v>
      </c>
      <c r="C4013" t="s">
        <v>632</v>
      </c>
      <c r="D4013" s="1" t="str">
        <f t="shared" si="113"/>
        <v>PRG-1023313</v>
      </c>
      <c r="E4013" t="s">
        <v>87</v>
      </c>
      <c r="F4013" t="s">
        <v>4</v>
      </c>
      <c r="G4013" t="str">
        <f>""</f>
        <v/>
      </c>
    </row>
    <row r="4014" spans="1:7" x14ac:dyDescent="0.25">
      <c r="A4014" t="s">
        <v>8</v>
      </c>
      <c r="B4014" s="1" t="str">
        <f>"000344054 - "</f>
        <v xml:space="preserve">000344054 - </v>
      </c>
      <c r="D4014" s="1" t="str">
        <f t="shared" si="113"/>
        <v>PRG-1023313</v>
      </c>
      <c r="E4014" t="s">
        <v>87</v>
      </c>
      <c r="F4014" t="s">
        <v>4</v>
      </c>
      <c r="G4014" t="str">
        <f>""</f>
        <v/>
      </c>
    </row>
    <row r="4015" spans="1:7" x14ac:dyDescent="0.25">
      <c r="A4015" t="s">
        <v>8</v>
      </c>
      <c r="B4015" s="1" t="str">
        <f>"000344057 - "</f>
        <v xml:space="preserve">000344057 - </v>
      </c>
      <c r="D4015" s="1" t="str">
        <f t="shared" si="113"/>
        <v>PRG-1023313</v>
      </c>
      <c r="E4015" t="s">
        <v>87</v>
      </c>
      <c r="F4015" t="s">
        <v>4</v>
      </c>
      <c r="G4015" t="str">
        <f>""</f>
        <v/>
      </c>
    </row>
    <row r="4016" spans="1:7" x14ac:dyDescent="0.25">
      <c r="A4016" t="s">
        <v>8</v>
      </c>
      <c r="B4016" s="1" t="str">
        <f>"000344721 - RICH (BB NCORE)-AFNAF"</f>
        <v>000344721 - RICH (BB NCORE)-AFNAF</v>
      </c>
      <c r="C4016" t="s">
        <v>116</v>
      </c>
      <c r="D4016" s="1" t="str">
        <f t="shared" si="113"/>
        <v>PRG-1023313</v>
      </c>
      <c r="E4016" t="s">
        <v>87</v>
      </c>
      <c r="F4016" t="s">
        <v>4</v>
      </c>
      <c r="G4016" t="str">
        <f>""</f>
        <v/>
      </c>
    </row>
    <row r="4017" spans="1:7" x14ac:dyDescent="0.25">
      <c r="A4017" t="s">
        <v>8</v>
      </c>
      <c r="B4017" s="1" t="str">
        <f>"000345325 - RICH FOODS-AFNAF"</f>
        <v>000345325 - RICH FOODS-AFNAF</v>
      </c>
      <c r="C4017" t="s">
        <v>425</v>
      </c>
      <c r="D4017" s="1" t="str">
        <f t="shared" si="113"/>
        <v>PRG-1023313</v>
      </c>
      <c r="E4017" t="s">
        <v>87</v>
      </c>
      <c r="F4017" t="s">
        <v>4</v>
      </c>
      <c r="G4017" t="str">
        <f>""</f>
        <v/>
      </c>
    </row>
    <row r="4018" spans="1:7" x14ac:dyDescent="0.25">
      <c r="A4018" t="s">
        <v>8</v>
      </c>
      <c r="B4018" s="1" t="str">
        <f>"000347572 - RICHS REGION 1"</f>
        <v>000347572 - RICHS REGION 1</v>
      </c>
      <c r="C4018" t="s">
        <v>3184</v>
      </c>
      <c r="D4018" s="1" t="str">
        <f t="shared" si="113"/>
        <v>PRG-1023313</v>
      </c>
      <c r="E4018" t="s">
        <v>87</v>
      </c>
      <c r="F4018" t="s">
        <v>4</v>
      </c>
      <c r="G4018" t="str">
        <f>""</f>
        <v/>
      </c>
    </row>
    <row r="4019" spans="1:7" x14ac:dyDescent="0.25">
      <c r="A4019" t="s">
        <v>8</v>
      </c>
      <c r="B4019" s="1" t="str">
        <f>"000347574 - RICHS (BB) NON CORE-AFNAF"</f>
        <v>000347574 - RICHS (BB) NON CORE-AFNAF</v>
      </c>
      <c r="C4019" t="s">
        <v>1042</v>
      </c>
      <c r="D4019" s="1" t="str">
        <f t="shared" si="113"/>
        <v>PRG-1023313</v>
      </c>
      <c r="E4019" t="s">
        <v>87</v>
      </c>
      <c r="F4019" t="s">
        <v>4</v>
      </c>
      <c r="G4019" t="str">
        <f>""</f>
        <v/>
      </c>
    </row>
    <row r="4020" spans="1:7" x14ac:dyDescent="0.25">
      <c r="A4020" t="s">
        <v>8</v>
      </c>
      <c r="B4020" s="1" t="str">
        <f>"000348713 - "</f>
        <v xml:space="preserve">000348713 - </v>
      </c>
      <c r="D4020" s="1" t="str">
        <f t="shared" si="113"/>
        <v>PRG-1023313</v>
      </c>
      <c r="E4020" t="s">
        <v>87</v>
      </c>
      <c r="F4020" t="s">
        <v>4</v>
      </c>
      <c r="G4020" t="str">
        <f>""</f>
        <v/>
      </c>
    </row>
    <row r="4021" spans="1:7" x14ac:dyDescent="0.25">
      <c r="A4021" t="s">
        <v>8</v>
      </c>
      <c r="B4021" s="1" t="str">
        <f>"000349721 - RICH FOODS-AFNAF"</f>
        <v>000349721 - RICH FOODS-AFNAF</v>
      </c>
      <c r="C4021" t="s">
        <v>425</v>
      </c>
      <c r="D4021" s="1" t="str">
        <f t="shared" si="113"/>
        <v>PRG-1023313</v>
      </c>
      <c r="E4021" t="s">
        <v>87</v>
      </c>
      <c r="F4021" t="s">
        <v>4</v>
      </c>
      <c r="G4021" t="str">
        <f>""</f>
        <v/>
      </c>
    </row>
    <row r="4022" spans="1:7" x14ac:dyDescent="0.25">
      <c r="A4022" t="s">
        <v>8</v>
      </c>
      <c r="B4022" s="1" t="str">
        <f>"000351695 - RICHS CORE BB(DPMRETRO)-AFNAF"</f>
        <v>000351695 - RICHS CORE BB(DPMRETRO)-AFNAF</v>
      </c>
      <c r="C4022" t="s">
        <v>3516</v>
      </c>
      <c r="D4022" s="1" t="str">
        <f t="shared" si="113"/>
        <v>PRG-1023313</v>
      </c>
      <c r="E4022" t="s">
        <v>87</v>
      </c>
      <c r="F4022" t="s">
        <v>4</v>
      </c>
      <c r="G4022" t="str">
        <f>""</f>
        <v/>
      </c>
    </row>
    <row r="4023" spans="1:7" x14ac:dyDescent="0.25">
      <c r="A4023" t="s">
        <v>8</v>
      </c>
      <c r="B4023" s="1" t="str">
        <f>"000351696 - RICHS NCORE BB(DPMRETRO)-AFNAF"</f>
        <v>000351696 - RICHS NCORE BB(DPMRETRO)-AFNAF</v>
      </c>
      <c r="C4023" t="s">
        <v>3517</v>
      </c>
      <c r="D4023" s="1" t="str">
        <f t="shared" si="113"/>
        <v>PRG-1023313</v>
      </c>
      <c r="E4023" t="s">
        <v>87</v>
      </c>
      <c r="F4023" t="s">
        <v>4</v>
      </c>
      <c r="G4023" t="str">
        <f>""</f>
        <v/>
      </c>
    </row>
    <row r="4024" spans="1:7" x14ac:dyDescent="0.25">
      <c r="A4024" t="s">
        <v>8</v>
      </c>
      <c r="B4024" s="1" t="str">
        <f>"000353943 - RICH NCORE-AFNAF"</f>
        <v>000353943 - RICH NCORE-AFNAF</v>
      </c>
      <c r="C4024" t="s">
        <v>632</v>
      </c>
      <c r="D4024" s="1" t="str">
        <f t="shared" si="113"/>
        <v>PRG-1023313</v>
      </c>
      <c r="E4024" t="s">
        <v>87</v>
      </c>
      <c r="F4024" t="s">
        <v>4</v>
      </c>
      <c r="G4024" t="str">
        <f>""</f>
        <v/>
      </c>
    </row>
    <row r="4025" spans="1:7" x14ac:dyDescent="0.25">
      <c r="A4025" t="s">
        <v>8</v>
      </c>
      <c r="B4025" s="1" t="str">
        <f>"000356311 - "</f>
        <v xml:space="preserve">000356311 - </v>
      </c>
      <c r="D4025" s="1" t="str">
        <f t="shared" si="113"/>
        <v>PRG-1023313</v>
      </c>
      <c r="E4025" t="s">
        <v>87</v>
      </c>
      <c r="F4025" t="s">
        <v>4</v>
      </c>
      <c r="G4025" t="str">
        <f>""</f>
        <v/>
      </c>
    </row>
    <row r="4026" spans="1:7" x14ac:dyDescent="0.25">
      <c r="A4026" t="s">
        <v>8</v>
      </c>
      <c r="B4026" s="1" t="str">
        <f>"000357819 - RICH (BB NCORE)-AFNAF"</f>
        <v>000357819 - RICH (BB NCORE)-AFNAF</v>
      </c>
      <c r="C4026" t="s">
        <v>116</v>
      </c>
      <c r="D4026" s="1" t="str">
        <f t="shared" si="113"/>
        <v>PRG-1023313</v>
      </c>
      <c r="E4026" t="s">
        <v>87</v>
      </c>
      <c r="F4026" t="s">
        <v>4</v>
      </c>
      <c r="G4026" t="str">
        <f>""</f>
        <v/>
      </c>
    </row>
    <row r="4027" spans="1:7" x14ac:dyDescent="0.25">
      <c r="A4027" t="s">
        <v>8</v>
      </c>
      <c r="B4027" s="1" t="str">
        <f>"000357822 - RICH (BB CORE)-AFNAF"</f>
        <v>000357822 - RICH (BB CORE)-AFNAF</v>
      </c>
      <c r="C4027" t="s">
        <v>134</v>
      </c>
      <c r="D4027" s="1" t="str">
        <f t="shared" si="113"/>
        <v>PRG-1023313</v>
      </c>
      <c r="E4027" t="s">
        <v>87</v>
      </c>
      <c r="F4027" t="s">
        <v>4</v>
      </c>
      <c r="G4027" t="str">
        <f>""</f>
        <v/>
      </c>
    </row>
    <row r="4028" spans="1:7" x14ac:dyDescent="0.25">
      <c r="A4028" t="s">
        <v>8</v>
      </c>
      <c r="B4028" s="1" t="str">
        <f>"000358742 - RICH (BB NCORE)-AFNAF"</f>
        <v>000358742 - RICH (BB NCORE)-AFNAF</v>
      </c>
      <c r="C4028" t="s">
        <v>116</v>
      </c>
      <c r="D4028" s="1" t="str">
        <f t="shared" si="113"/>
        <v>PRG-1023313</v>
      </c>
      <c r="E4028" t="s">
        <v>87</v>
      </c>
      <c r="F4028" t="s">
        <v>4</v>
      </c>
      <c r="G4028" t="str">
        <f>""</f>
        <v/>
      </c>
    </row>
    <row r="4029" spans="1:7" x14ac:dyDescent="0.25">
      <c r="A4029" t="s">
        <v>8</v>
      </c>
      <c r="B4029" s="1" t="str">
        <f>"000363173 - RICHS (BB) CORE-AFNAF"</f>
        <v>000363173 - RICHS (BB) CORE-AFNAF</v>
      </c>
      <c r="C4029" t="s">
        <v>674</v>
      </c>
      <c r="D4029" s="1" t="str">
        <f t="shared" si="113"/>
        <v>PRG-1023313</v>
      </c>
      <c r="E4029" t="s">
        <v>87</v>
      </c>
      <c r="F4029" t="s">
        <v>4</v>
      </c>
      <c r="G4029" t="str">
        <f>""</f>
        <v/>
      </c>
    </row>
    <row r="4030" spans="1:7" x14ac:dyDescent="0.25">
      <c r="A4030" t="s">
        <v>8</v>
      </c>
      <c r="B4030" s="1" t="str">
        <f>"000365916 - "</f>
        <v xml:space="preserve">000365916 - </v>
      </c>
      <c r="D4030" s="1" t="str">
        <f t="shared" si="113"/>
        <v>PRG-1023313</v>
      </c>
      <c r="E4030" t="s">
        <v>87</v>
      </c>
      <c r="F4030" t="s">
        <v>4</v>
      </c>
      <c r="G4030" t="str">
        <f>""</f>
        <v/>
      </c>
    </row>
    <row r="4031" spans="1:7" x14ac:dyDescent="0.25">
      <c r="A4031" t="s">
        <v>8</v>
      </c>
      <c r="B4031" s="1" t="str">
        <f>"000371155 - RICH (BB CORE)-AFNAF"</f>
        <v>000371155 - RICH (BB CORE)-AFNAF</v>
      </c>
      <c r="C4031" t="s">
        <v>134</v>
      </c>
      <c r="D4031" s="1" t="str">
        <f t="shared" si="113"/>
        <v>PRG-1023313</v>
      </c>
      <c r="E4031" t="s">
        <v>87</v>
      </c>
      <c r="F4031" t="s">
        <v>4</v>
      </c>
      <c r="G4031" t="str">
        <f>""</f>
        <v/>
      </c>
    </row>
    <row r="4032" spans="1:7" x14ac:dyDescent="0.25">
      <c r="A4032" t="s">
        <v>8</v>
      </c>
      <c r="B4032" s="1" t="str">
        <f>"000374656 - "</f>
        <v xml:space="preserve">000374656 - </v>
      </c>
      <c r="D4032" s="1" t="str">
        <f t="shared" si="113"/>
        <v>PRG-1023313</v>
      </c>
      <c r="E4032" t="s">
        <v>87</v>
      </c>
      <c r="F4032" t="s">
        <v>4</v>
      </c>
      <c r="G4032" t="str">
        <f>""</f>
        <v/>
      </c>
    </row>
    <row r="4033" spans="1:7" x14ac:dyDescent="0.25">
      <c r="A4033" t="s">
        <v>8</v>
      </c>
      <c r="B4033" s="1" t="str">
        <f>"000384079 - "</f>
        <v xml:space="preserve">000384079 - </v>
      </c>
      <c r="D4033" s="1" t="str">
        <f t="shared" si="113"/>
        <v>PRG-1023313</v>
      </c>
      <c r="E4033" t="s">
        <v>87</v>
      </c>
      <c r="F4033" t="s">
        <v>4</v>
      </c>
      <c r="G4033" t="str">
        <f>""</f>
        <v/>
      </c>
    </row>
    <row r="4034" spans="1:7" x14ac:dyDescent="0.25">
      <c r="A4034" t="s">
        <v>8</v>
      </c>
      <c r="B4034" s="1" t="str">
        <f>"000384083 - "</f>
        <v xml:space="preserve">000384083 - </v>
      </c>
      <c r="D4034" s="1" t="str">
        <f t="shared" si="113"/>
        <v>PRG-1023313</v>
      </c>
      <c r="E4034" t="s">
        <v>87</v>
      </c>
      <c r="F4034" t="s">
        <v>4</v>
      </c>
      <c r="G4034" t="str">
        <f>""</f>
        <v/>
      </c>
    </row>
    <row r="4035" spans="1:7" x14ac:dyDescent="0.25">
      <c r="A4035" t="s">
        <v>8</v>
      </c>
      <c r="B4035" s="1" t="str">
        <f>"000385276 - RICH (BB CORE)-AFNAF"</f>
        <v>000385276 - RICH (BB CORE)-AFNAF</v>
      </c>
      <c r="C4035" t="s">
        <v>134</v>
      </c>
      <c r="D4035" s="1" t="str">
        <f t="shared" si="113"/>
        <v>PRG-1023313</v>
      </c>
      <c r="E4035" t="s">
        <v>87</v>
      </c>
      <c r="F4035" t="s">
        <v>4</v>
      </c>
      <c r="G4035" t="str">
        <f>""</f>
        <v/>
      </c>
    </row>
    <row r="4036" spans="1:7" x14ac:dyDescent="0.25">
      <c r="A4036" t="s">
        <v>8</v>
      </c>
      <c r="B4036" s="1" t="str">
        <f>"2000161350 - RICH FOODS-MIL AF NON APPROP AFNAF"</f>
        <v>2000161350 - RICH FOODS-MIL AF NON APPROP AFNAF</v>
      </c>
      <c r="C4036" t="s">
        <v>3881</v>
      </c>
      <c r="D4036" s="1" t="str">
        <f t="shared" ref="D4036:D4044" si="114">"PRG-1023313"</f>
        <v>PRG-1023313</v>
      </c>
      <c r="E4036" t="s">
        <v>87</v>
      </c>
      <c r="F4036" t="s">
        <v>4</v>
      </c>
      <c r="G4036" t="str">
        <f>""</f>
        <v/>
      </c>
    </row>
    <row r="4037" spans="1:7" x14ac:dyDescent="0.25">
      <c r="A4037" t="s">
        <v>8</v>
      </c>
      <c r="B4037" s="1" t="str">
        <f>"2000267468 - RICH FOODS-MIL AF NON APPROP AFNAF"</f>
        <v>2000267468 - RICH FOODS-MIL AF NON APPROP AFNAF</v>
      </c>
      <c r="C4037" t="s">
        <v>3881</v>
      </c>
      <c r="D4037" s="1" t="str">
        <f t="shared" si="114"/>
        <v>PRG-1023313</v>
      </c>
      <c r="E4037" t="s">
        <v>87</v>
      </c>
      <c r="F4037" t="s">
        <v>4</v>
      </c>
      <c r="G4037" t="str">
        <f>""</f>
        <v/>
      </c>
    </row>
    <row r="4038" spans="1:7" x14ac:dyDescent="0.25">
      <c r="A4038" t="s">
        <v>8</v>
      </c>
      <c r="B4038" s="1" t="str">
        <f>"2000302785 - RICH FOODS-MIL AF NON APPROP AFNAF"</f>
        <v>2000302785 - RICH FOODS-MIL AF NON APPROP AFNAF</v>
      </c>
      <c r="C4038" t="s">
        <v>3881</v>
      </c>
      <c r="D4038" s="1" t="str">
        <f t="shared" si="114"/>
        <v>PRG-1023313</v>
      </c>
      <c r="E4038" t="s">
        <v>87</v>
      </c>
      <c r="F4038" t="s">
        <v>4</v>
      </c>
      <c r="G4038" t="str">
        <f>""</f>
        <v/>
      </c>
    </row>
    <row r="4039" spans="1:7" x14ac:dyDescent="0.25">
      <c r="A4039" t="s">
        <v>8</v>
      </c>
      <c r="B4039" s="1" t="str">
        <f>"2000311821 - RICH FOODS-MIL AF NON APPROP AFNAF"</f>
        <v>2000311821 - RICH FOODS-MIL AF NON APPROP AFNAF</v>
      </c>
      <c r="C4039" t="s">
        <v>3881</v>
      </c>
      <c r="D4039" s="1" t="str">
        <f t="shared" si="114"/>
        <v>PRG-1023313</v>
      </c>
      <c r="E4039" t="s">
        <v>87</v>
      </c>
      <c r="F4039" t="s">
        <v>4</v>
      </c>
      <c r="G4039" t="str">
        <f>""</f>
        <v/>
      </c>
    </row>
    <row r="4040" spans="1:7" x14ac:dyDescent="0.25">
      <c r="A4040" t="s">
        <v>8</v>
      </c>
      <c r="B4040" s="1" t="str">
        <f>"2000332339 - RICH FOODS-MIL AF NON APPROP AFNAF"</f>
        <v>2000332339 - RICH FOODS-MIL AF NON APPROP AFNAF</v>
      </c>
      <c r="C4040" t="s">
        <v>3881</v>
      </c>
      <c r="D4040" s="1" t="str">
        <f t="shared" si="114"/>
        <v>PRG-1023313</v>
      </c>
      <c r="E4040" t="s">
        <v>87</v>
      </c>
      <c r="F4040" t="s">
        <v>4</v>
      </c>
      <c r="G4040" t="str">
        <f>""</f>
        <v/>
      </c>
    </row>
    <row r="4041" spans="1:7" x14ac:dyDescent="0.25">
      <c r="A4041" t="s">
        <v>8</v>
      </c>
      <c r="B4041" s="1" t="str">
        <f>"2000341710 - RICH FOODS-MIL AF NON APPROP AFNAF"</f>
        <v>2000341710 - RICH FOODS-MIL AF NON APPROP AFNAF</v>
      </c>
      <c r="C4041" t="s">
        <v>3881</v>
      </c>
      <c r="D4041" s="1" t="str">
        <f t="shared" si="114"/>
        <v>PRG-1023313</v>
      </c>
      <c r="E4041" t="s">
        <v>87</v>
      </c>
      <c r="F4041" t="s">
        <v>4</v>
      </c>
      <c r="G4041" t="str">
        <f>""</f>
        <v/>
      </c>
    </row>
    <row r="4042" spans="1:7" x14ac:dyDescent="0.25">
      <c r="A4042" t="s">
        <v>8</v>
      </c>
      <c r="B4042" s="1" t="str">
        <f>"2000383720 - RICH FOODS-MIL AF NON APPROP AFNAF"</f>
        <v>2000383720 - RICH FOODS-MIL AF NON APPROP AFNAF</v>
      </c>
      <c r="C4042" t="s">
        <v>3881</v>
      </c>
      <c r="D4042" s="1" t="str">
        <f t="shared" si="114"/>
        <v>PRG-1023313</v>
      </c>
      <c r="E4042" t="s">
        <v>87</v>
      </c>
      <c r="F4042" t="s">
        <v>4</v>
      </c>
      <c r="G4042" t="str">
        <f>""</f>
        <v/>
      </c>
    </row>
    <row r="4043" spans="1:7" x14ac:dyDescent="0.25">
      <c r="A4043" t="s">
        <v>8</v>
      </c>
      <c r="B4043" s="1" t="str">
        <f>"2000429825 - RICH FOODS-MIL AF NON APPROP AFNAF"</f>
        <v>2000429825 - RICH FOODS-MIL AF NON APPROP AFNAF</v>
      </c>
      <c r="C4043" t="s">
        <v>3881</v>
      </c>
      <c r="D4043" s="1" t="str">
        <f t="shared" si="114"/>
        <v>PRG-1023313</v>
      </c>
      <c r="E4043" t="s">
        <v>87</v>
      </c>
      <c r="F4043" t="s">
        <v>4</v>
      </c>
      <c r="G4043" t="str">
        <f>""</f>
        <v/>
      </c>
    </row>
    <row r="4044" spans="1:7" x14ac:dyDescent="0.25">
      <c r="A4044" t="s">
        <v>8</v>
      </c>
      <c r="B4044" s="1" t="str">
        <f>"S1Z0BFB0"</f>
        <v>S1Z0BFB0</v>
      </c>
      <c r="C4044" t="s">
        <v>5367</v>
      </c>
      <c r="D4044" s="1" t="str">
        <f t="shared" si="114"/>
        <v>PRG-1023313</v>
      </c>
      <c r="E4044" t="s">
        <v>87</v>
      </c>
      <c r="F4044" t="s">
        <v>5</v>
      </c>
      <c r="G4044" t="str">
        <f>""</f>
        <v/>
      </c>
    </row>
    <row r="4045" spans="1:7" x14ac:dyDescent="0.25">
      <c r="A4045" t="s">
        <v>8</v>
      </c>
      <c r="B4045" s="1" t="str">
        <f>"2250415B"</f>
        <v>2250415B</v>
      </c>
      <c r="C4045" t="s">
        <v>4353</v>
      </c>
      <c r="D4045" s="1" t="str">
        <f>"PRG-1023329"</f>
        <v>PRG-1023329</v>
      </c>
      <c r="E4045" t="s">
        <v>4354</v>
      </c>
      <c r="F4045" t="s">
        <v>5</v>
      </c>
      <c r="G4045" t="str">
        <f>""</f>
        <v/>
      </c>
    </row>
    <row r="4046" spans="1:7" x14ac:dyDescent="0.25">
      <c r="A4046" t="s">
        <v>8</v>
      </c>
      <c r="B4046" s="1" t="str">
        <f>"32205138"</f>
        <v>32205138</v>
      </c>
      <c r="C4046" t="s">
        <v>4813</v>
      </c>
      <c r="D4046" s="1" t="str">
        <f>"PRG-1023333"</f>
        <v>PRG-1023333</v>
      </c>
      <c r="E4046" t="s">
        <v>4814</v>
      </c>
      <c r="F4046" t="s">
        <v>5</v>
      </c>
      <c r="G4046" t="str">
        <f>""</f>
        <v/>
      </c>
    </row>
    <row r="4047" spans="1:7" x14ac:dyDescent="0.25">
      <c r="A4047" t="s">
        <v>8</v>
      </c>
      <c r="B4047" s="1" t="str">
        <f>"3220C920"</f>
        <v>3220C920</v>
      </c>
      <c r="C4047" t="s">
        <v>4824</v>
      </c>
      <c r="D4047" s="1" t="str">
        <f>"PRG-1023333"</f>
        <v>PRG-1023333</v>
      </c>
      <c r="E4047" t="s">
        <v>4814</v>
      </c>
      <c r="F4047" t="s">
        <v>5</v>
      </c>
      <c r="G4047" t="str">
        <f>""</f>
        <v/>
      </c>
    </row>
    <row r="4048" spans="1:7" x14ac:dyDescent="0.25">
      <c r="A4048" t="s">
        <v>8</v>
      </c>
      <c r="B4048" s="1" t="str">
        <f>"000219668 - RICH COUNTRY ROADS"</f>
        <v>000219668 - RICH COUNTRY ROADS</v>
      </c>
      <c r="C4048" t="s">
        <v>1575</v>
      </c>
      <c r="D4048" s="1" t="str">
        <f>"PRG-1023412"</f>
        <v>PRG-1023412</v>
      </c>
      <c r="E4048" t="s">
        <v>1576</v>
      </c>
      <c r="F4048" t="s">
        <v>4</v>
      </c>
      <c r="G4048" t="str">
        <f>""</f>
        <v/>
      </c>
    </row>
    <row r="4049" spans="1:7" x14ac:dyDescent="0.25">
      <c r="A4049" t="s">
        <v>8</v>
      </c>
      <c r="B4049" s="1" t="str">
        <f>"000198011 - RICHS NEWPORT NEWS SCHOOLS"</f>
        <v>000198011 - RICHS NEWPORT NEWS SCHOOLS</v>
      </c>
      <c r="C4049" t="s">
        <v>1279</v>
      </c>
      <c r="D4049" s="1" t="str">
        <f>"PRG-1023463"</f>
        <v>PRG-1023463</v>
      </c>
      <c r="E4049" t="s">
        <v>1280</v>
      </c>
      <c r="F4049" t="s">
        <v>4</v>
      </c>
      <c r="G4049" t="str">
        <f>""</f>
        <v/>
      </c>
    </row>
    <row r="4050" spans="1:7" x14ac:dyDescent="0.25">
      <c r="A4050" t="s">
        <v>8</v>
      </c>
      <c r="B4050" s="1" t="str">
        <f>"000221706 - RICH'S FREDERICK"</f>
        <v>000221706 - RICH'S FREDERICK</v>
      </c>
      <c r="C4050" t="s">
        <v>1609</v>
      </c>
      <c r="D4050" s="1" t="str">
        <f>"PRG-1023464"</f>
        <v>PRG-1023464</v>
      </c>
      <c r="E4050" t="s">
        <v>1610</v>
      </c>
      <c r="F4050" t="s">
        <v>4</v>
      </c>
      <c r="G4050" t="str">
        <f>""</f>
        <v/>
      </c>
    </row>
    <row r="4051" spans="1:7" x14ac:dyDescent="0.25">
      <c r="A4051" t="s">
        <v>8</v>
      </c>
      <c r="B4051" s="1" t="str">
        <f>"000226067 - RICHS AMHERST"</f>
        <v>000226067 - RICHS AMHERST</v>
      </c>
      <c r="C4051" t="s">
        <v>1679</v>
      </c>
      <c r="D4051" s="1" t="str">
        <f>"PRG-1023472"</f>
        <v>PRG-1023472</v>
      </c>
      <c r="E4051" t="s">
        <v>1680</v>
      </c>
      <c r="F4051" t="s">
        <v>4</v>
      </c>
      <c r="G4051" t="str">
        <f>""</f>
        <v/>
      </c>
    </row>
    <row r="4052" spans="1:7" x14ac:dyDescent="0.25">
      <c r="A4052" t="s">
        <v>8</v>
      </c>
      <c r="B4052" s="1" t="str">
        <f>"000226244 - RICH CHARLOTTESVILLE"</f>
        <v>000226244 - RICH CHARLOTTESVILLE</v>
      </c>
      <c r="C4052" t="s">
        <v>1687</v>
      </c>
      <c r="D4052" s="1" t="str">
        <f>"PRG-1023473"</f>
        <v>PRG-1023473</v>
      </c>
      <c r="E4052" t="s">
        <v>1688</v>
      </c>
      <c r="F4052" t="s">
        <v>4</v>
      </c>
      <c r="G4052" t="str">
        <f>""</f>
        <v/>
      </c>
    </row>
    <row r="4053" spans="1:7" x14ac:dyDescent="0.25">
      <c r="A4053" t="s">
        <v>8</v>
      </c>
      <c r="B4053" s="1" t="str">
        <f>"2220F174"</f>
        <v>2220F174</v>
      </c>
      <c r="C4053" t="s">
        <v>4257</v>
      </c>
      <c r="D4053" s="1" t="str">
        <f>"PRG-1023501"</f>
        <v>PRG-1023501</v>
      </c>
      <c r="E4053" t="s">
        <v>4258</v>
      </c>
      <c r="F4053" t="s">
        <v>5</v>
      </c>
      <c r="G4053" t="str">
        <f>""</f>
        <v/>
      </c>
    </row>
    <row r="4054" spans="1:7" x14ac:dyDescent="0.25">
      <c r="A4054" t="s">
        <v>8</v>
      </c>
      <c r="B4054" s="1" t="str">
        <f>"2220C038"</f>
        <v>2220C038</v>
      </c>
      <c r="C4054" t="s">
        <v>4251</v>
      </c>
      <c r="D4054" s="1" t="str">
        <f>"PRG-1023507"</f>
        <v>PRG-1023507</v>
      </c>
      <c r="E4054" t="s">
        <v>4252</v>
      </c>
      <c r="F4054" t="s">
        <v>5</v>
      </c>
      <c r="G4054" t="str">
        <f>""</f>
        <v/>
      </c>
    </row>
    <row r="4055" spans="1:7" x14ac:dyDescent="0.25">
      <c r="A4055" t="s">
        <v>8</v>
      </c>
      <c r="B4055" s="1" t="str">
        <f>"2220F179"</f>
        <v>2220F179</v>
      </c>
      <c r="C4055" t="s">
        <v>4261</v>
      </c>
      <c r="D4055" s="1" t="str">
        <f>"PRG-1023510"</f>
        <v>PRG-1023510</v>
      </c>
      <c r="E4055" t="s">
        <v>4262</v>
      </c>
      <c r="F4055" t="s">
        <v>5</v>
      </c>
      <c r="G4055" t="str">
        <f>""</f>
        <v/>
      </c>
    </row>
    <row r="4056" spans="1:7" x14ac:dyDescent="0.25">
      <c r="A4056" t="s">
        <v>8</v>
      </c>
      <c r="B4056" s="1" t="str">
        <f>"2000197897 - RICH'S-STEAKENBURGER"</f>
        <v>2000197897 - RICH'S-STEAKENBURGER</v>
      </c>
      <c r="C4056" t="s">
        <v>3939</v>
      </c>
      <c r="D4056" s="1" t="str">
        <f>"PRG-1023545"</f>
        <v>PRG-1023545</v>
      </c>
      <c r="E4056" t="s">
        <v>3940</v>
      </c>
      <c r="F4056" t="s">
        <v>4</v>
      </c>
      <c r="G4056" t="str">
        <f>""</f>
        <v/>
      </c>
    </row>
    <row r="4057" spans="1:7" x14ac:dyDescent="0.25">
      <c r="A4057" t="s">
        <v>8</v>
      </c>
      <c r="B4057" s="1" t="str">
        <f>"2000228819 - RICH'S AZ-STEAKENBURGER"</f>
        <v>2000228819 - RICH'S AZ-STEAKENBURGER</v>
      </c>
      <c r="C4057" t="s">
        <v>3981</v>
      </c>
      <c r="D4057" s="1" t="str">
        <f>"PRG-1023545"</f>
        <v>PRG-1023545</v>
      </c>
      <c r="E4057" t="s">
        <v>3940</v>
      </c>
      <c r="F4057" t="s">
        <v>4</v>
      </c>
      <c r="G4057" t="str">
        <f>""</f>
        <v/>
      </c>
    </row>
    <row r="4058" spans="1:7" x14ac:dyDescent="0.25">
      <c r="A4058" t="s">
        <v>8</v>
      </c>
      <c r="B4058" s="1" t="str">
        <f>"000229987 - RICH PRODUCT   BCIU"</f>
        <v>000229987 - RICH PRODUCT   BCIU</v>
      </c>
      <c r="C4058" t="s">
        <v>1741</v>
      </c>
      <c r="D4058" s="1" t="str">
        <f>"PRG-1023549"</f>
        <v>PRG-1023549</v>
      </c>
      <c r="E4058" t="s">
        <v>1742</v>
      </c>
      <c r="F4058" t="s">
        <v>4</v>
      </c>
      <c r="G4058" t="str">
        <f>""</f>
        <v/>
      </c>
    </row>
    <row r="4059" spans="1:7" x14ac:dyDescent="0.25">
      <c r="A4059" t="s">
        <v>8</v>
      </c>
      <c r="B4059" s="1" t="str">
        <f>"2220558M"</f>
        <v>2220558M</v>
      </c>
      <c r="C4059" t="s">
        <v>4237</v>
      </c>
      <c r="D4059" s="1" t="str">
        <f>"PRG-1023563"</f>
        <v>PRG-1023563</v>
      </c>
      <c r="E4059" t="s">
        <v>4238</v>
      </c>
      <c r="F4059" t="s">
        <v>5</v>
      </c>
      <c r="G4059" t="str">
        <f>""</f>
        <v/>
      </c>
    </row>
    <row r="4060" spans="1:7" x14ac:dyDescent="0.25">
      <c r="A4060" t="s">
        <v>8</v>
      </c>
      <c r="B4060" s="1" t="str">
        <f>"2220G244"</f>
        <v>2220G244</v>
      </c>
      <c r="C4060" t="s">
        <v>4275</v>
      </c>
      <c r="D4060" s="1" t="str">
        <f>"PRG-1023565"</f>
        <v>PRG-1023565</v>
      </c>
      <c r="E4060" t="s">
        <v>4276</v>
      </c>
      <c r="F4060" t="s">
        <v>5</v>
      </c>
      <c r="G4060" t="str">
        <f>""</f>
        <v/>
      </c>
    </row>
    <row r="4061" spans="1:7" x14ac:dyDescent="0.25">
      <c r="A4061" t="s">
        <v>8</v>
      </c>
      <c r="B4061" s="1" t="str">
        <f>"2220K132"</f>
        <v>2220K132</v>
      </c>
      <c r="C4061" t="s">
        <v>4283</v>
      </c>
      <c r="D4061" s="1" t="str">
        <f>"PRG-1023565"</f>
        <v>PRG-1023565</v>
      </c>
      <c r="E4061" t="s">
        <v>4276</v>
      </c>
      <c r="F4061" t="s">
        <v>5</v>
      </c>
      <c r="G4061" t="str">
        <f>""</f>
        <v/>
      </c>
    </row>
    <row r="4062" spans="1:7" x14ac:dyDescent="0.25">
      <c r="A4062" t="s">
        <v>8</v>
      </c>
      <c r="B4062" s="1" t="str">
        <f>"2000183867 - RICH UCARE"</f>
        <v>2000183867 - RICH UCARE</v>
      </c>
      <c r="C4062" t="s">
        <v>3911</v>
      </c>
      <c r="D4062" s="1" t="str">
        <f>"PRG-1023566"</f>
        <v>PRG-1023566</v>
      </c>
      <c r="E4062" t="s">
        <v>3912</v>
      </c>
      <c r="F4062" t="s">
        <v>4</v>
      </c>
      <c r="G4062" t="str">
        <f>""</f>
        <v/>
      </c>
    </row>
    <row r="4063" spans="1:7" x14ac:dyDescent="0.25">
      <c r="A4063" t="s">
        <v>8</v>
      </c>
      <c r="B4063" s="1" t="str">
        <f>"2220M840"</f>
        <v>2220M840</v>
      </c>
      <c r="C4063" t="s">
        <v>4298</v>
      </c>
      <c r="D4063" s="1" t="str">
        <f>"PRG-1023568"</f>
        <v>PRG-1023568</v>
      </c>
      <c r="E4063" t="s">
        <v>4299</v>
      </c>
      <c r="F4063" t="s">
        <v>5</v>
      </c>
      <c r="G4063" t="str">
        <f>""</f>
        <v/>
      </c>
    </row>
    <row r="4064" spans="1:7" x14ac:dyDescent="0.25">
      <c r="A4064" t="s">
        <v>8</v>
      </c>
      <c r="B4064" s="1" t="str">
        <f>"2220558J"</f>
        <v>2220558J</v>
      </c>
      <c r="C4064" t="s">
        <v>4235</v>
      </c>
      <c r="D4064" s="1" t="str">
        <f>"PRG-1023569"</f>
        <v>PRG-1023569</v>
      </c>
      <c r="E4064" t="s">
        <v>4236</v>
      </c>
      <c r="F4064" t="s">
        <v>5</v>
      </c>
      <c r="G4064" t="str">
        <f>""</f>
        <v/>
      </c>
    </row>
    <row r="4065" spans="1:7" x14ac:dyDescent="0.25">
      <c r="A4065" t="s">
        <v>8</v>
      </c>
      <c r="B4065" s="1" t="str">
        <f>"2000188056 - RICH FOODS DEN-JEFFCO"</f>
        <v>2000188056 - RICH FOODS DEN-JEFFCO</v>
      </c>
      <c r="C4065" t="s">
        <v>3922</v>
      </c>
      <c r="D4065" s="1" t="str">
        <f>"PRG-1023577"</f>
        <v>PRG-1023577</v>
      </c>
      <c r="E4065" t="s">
        <v>3923</v>
      </c>
      <c r="F4065" t="s">
        <v>4</v>
      </c>
      <c r="G4065" t="str">
        <f>""</f>
        <v/>
      </c>
    </row>
    <row r="4066" spans="1:7" x14ac:dyDescent="0.25">
      <c r="A4066" t="s">
        <v>8</v>
      </c>
      <c r="B4066" s="1" t="str">
        <f>"000212161 - RICH NH BUYING GRP OVRD K-12"</f>
        <v>000212161 - RICH NH BUYING GRP OVRD K-12</v>
      </c>
      <c r="C4066" t="s">
        <v>1460</v>
      </c>
      <c r="D4066" s="1" t="str">
        <f>"PRG-1023586"</f>
        <v>PRG-1023586</v>
      </c>
      <c r="E4066" t="s">
        <v>1461</v>
      </c>
      <c r="F4066" t="s">
        <v>4</v>
      </c>
      <c r="G4066" t="str">
        <f>""</f>
        <v/>
      </c>
    </row>
    <row r="4067" spans="1:7" x14ac:dyDescent="0.25">
      <c r="A4067" t="s">
        <v>8</v>
      </c>
      <c r="B4067" s="1" t="str">
        <f>"000213609 - USDA RICH NH SCHOOLS"</f>
        <v>000213609 - USDA RICH NH SCHOOLS</v>
      </c>
      <c r="C4067" t="s">
        <v>1479</v>
      </c>
      <c r="D4067" s="1" t="str">
        <f>"PRG-1023586"</f>
        <v>PRG-1023586</v>
      </c>
      <c r="E4067" t="s">
        <v>1461</v>
      </c>
      <c r="F4067" t="s">
        <v>4</v>
      </c>
      <c r="G4067" t="str">
        <f>""</f>
        <v/>
      </c>
    </row>
    <row r="4068" spans="1:7" x14ac:dyDescent="0.25">
      <c r="A4068" t="s">
        <v>8</v>
      </c>
      <c r="B4068" s="1" t="str">
        <f>"000222318 - USDA RICH NH SCHOOLS"</f>
        <v>000222318 - USDA RICH NH SCHOOLS</v>
      </c>
      <c r="C4068" t="s">
        <v>1479</v>
      </c>
      <c r="D4068" s="1" t="str">
        <f>"PRG-1023586"</f>
        <v>PRG-1023586</v>
      </c>
      <c r="E4068" t="s">
        <v>1461</v>
      </c>
      <c r="F4068" t="s">
        <v>4</v>
      </c>
      <c r="G4068" t="str">
        <f>""</f>
        <v/>
      </c>
    </row>
    <row r="4069" spans="1:7" x14ac:dyDescent="0.25">
      <c r="A4069" t="s">
        <v>8</v>
      </c>
      <c r="B4069" s="1" t="str">
        <f>"2220L706"</f>
        <v>2220L706</v>
      </c>
      <c r="C4069" t="s">
        <v>4290</v>
      </c>
      <c r="D4069" s="1" t="str">
        <f>"PRG-1023588"</f>
        <v>PRG-1023588</v>
      </c>
      <c r="E4069" t="s">
        <v>4291</v>
      </c>
      <c r="F4069" t="s">
        <v>5</v>
      </c>
      <c r="G4069" t="str">
        <f>""</f>
        <v/>
      </c>
    </row>
    <row r="4070" spans="1:7" x14ac:dyDescent="0.25">
      <c r="A4070" t="s">
        <v>8</v>
      </c>
      <c r="B4070" s="1" t="str">
        <f>"2220A660"</f>
        <v>2220A660</v>
      </c>
      <c r="C4070" t="s">
        <v>4246</v>
      </c>
      <c r="D4070" s="1" t="str">
        <f>"PRG-1023592"</f>
        <v>PRG-1023592</v>
      </c>
      <c r="E4070" t="s">
        <v>4247</v>
      </c>
      <c r="F4070" t="s">
        <v>5</v>
      </c>
      <c r="G4070" t="str">
        <f>""</f>
        <v/>
      </c>
    </row>
    <row r="4071" spans="1:7" x14ac:dyDescent="0.25">
      <c r="A4071" t="s">
        <v>8</v>
      </c>
      <c r="B4071" s="1" t="str">
        <f>"2220L597"</f>
        <v>2220L597</v>
      </c>
      <c r="C4071" t="s">
        <v>4288</v>
      </c>
      <c r="D4071" s="1" t="str">
        <f>"PRG-1023596"</f>
        <v>PRG-1023596</v>
      </c>
      <c r="E4071" t="s">
        <v>4289</v>
      </c>
      <c r="F4071" t="s">
        <v>5</v>
      </c>
      <c r="G4071" t="str">
        <f>""</f>
        <v/>
      </c>
    </row>
    <row r="4072" spans="1:7" x14ac:dyDescent="0.25">
      <c r="A4072" t="s">
        <v>8</v>
      </c>
      <c r="B4072" s="1" t="str">
        <f>"000202452 - RICH-COLUMBIA UNIVERSITY"</f>
        <v>000202452 - RICH-COLUMBIA UNIVERSITY</v>
      </c>
      <c r="C4072" t="s">
        <v>1325</v>
      </c>
      <c r="D4072" s="1" t="str">
        <f>"PRG-1023597"</f>
        <v>PRG-1023597</v>
      </c>
      <c r="E4072" t="s">
        <v>1326</v>
      </c>
      <c r="F4072" t="s">
        <v>4</v>
      </c>
      <c r="G4072" t="str">
        <f>""</f>
        <v/>
      </c>
    </row>
    <row r="4073" spans="1:7" x14ac:dyDescent="0.25">
      <c r="A4073" t="s">
        <v>8</v>
      </c>
      <c r="B4073" s="1" t="str">
        <f>"2000193488 - RICHS FOODS ID-NAMPA SCHOOLS"</f>
        <v>2000193488 - RICHS FOODS ID-NAMPA SCHOOLS</v>
      </c>
      <c r="C4073" t="s">
        <v>3937</v>
      </c>
      <c r="D4073" s="1" t="str">
        <f>"PRG-1023605"</f>
        <v>PRG-1023605</v>
      </c>
      <c r="E4073" t="s">
        <v>3938</v>
      </c>
      <c r="F4073" t="s">
        <v>4</v>
      </c>
      <c r="G4073" t="str">
        <f>""</f>
        <v/>
      </c>
    </row>
    <row r="4074" spans="1:7" x14ac:dyDescent="0.25">
      <c r="A4074" t="s">
        <v>8</v>
      </c>
      <c r="B4074" s="1" t="str">
        <f>"2000174463 - RICH'S NTX-PROSPERING PALS"</f>
        <v>2000174463 - RICH'S NTX-PROSPERING PALS</v>
      </c>
      <c r="C4074" t="s">
        <v>3891</v>
      </c>
      <c r="D4074" s="1" t="str">
        <f>"PRG-1023610"</f>
        <v>PRG-1023610</v>
      </c>
      <c r="E4074" t="s">
        <v>3892</v>
      </c>
      <c r="F4074" t="s">
        <v>4</v>
      </c>
      <c r="G4074" t="str">
        <f>""</f>
        <v/>
      </c>
    </row>
    <row r="4075" spans="1:7" x14ac:dyDescent="0.25">
      <c r="A4075" t="s">
        <v>8</v>
      </c>
      <c r="B4075" s="1" t="str">
        <f>"2220J367"</f>
        <v>2220J367</v>
      </c>
      <c r="C4075" t="s">
        <v>4281</v>
      </c>
      <c r="D4075" s="1" t="str">
        <f>"PRG-1023621"</f>
        <v>PRG-1023621</v>
      </c>
      <c r="E4075" t="s">
        <v>4282</v>
      </c>
      <c r="F4075" t="s">
        <v>5</v>
      </c>
      <c r="G4075" t="str">
        <f>""</f>
        <v/>
      </c>
    </row>
    <row r="4076" spans="1:7" x14ac:dyDescent="0.25">
      <c r="A4076" t="s">
        <v>8</v>
      </c>
      <c r="B4076" s="1" t="str">
        <f>"000208469 - RICH FOODS-SYSCO SHARES"</f>
        <v>000208469 - RICH FOODS-SYSCO SHARES</v>
      </c>
      <c r="C4076" t="s">
        <v>1399</v>
      </c>
      <c r="D4076" s="1" t="str">
        <f>"PRG-1023626"</f>
        <v>PRG-1023626</v>
      </c>
      <c r="E4076" t="s">
        <v>1168</v>
      </c>
      <c r="F4076" t="s">
        <v>4</v>
      </c>
      <c r="G4076" t="str">
        <f>""</f>
        <v/>
      </c>
    </row>
    <row r="4077" spans="1:7" x14ac:dyDescent="0.25">
      <c r="A4077" t="s">
        <v>8</v>
      </c>
      <c r="B4077" s="1" t="str">
        <f>"000218927 - RICH FOODS-SYSCO SHARES"</f>
        <v>000218927 - RICH FOODS-SYSCO SHARES</v>
      </c>
      <c r="C4077" t="s">
        <v>1399</v>
      </c>
      <c r="D4077" s="1" t="str">
        <f>"PRG-1023626"</f>
        <v>PRG-1023626</v>
      </c>
      <c r="E4077" t="s">
        <v>1168</v>
      </c>
      <c r="F4077" t="s">
        <v>4</v>
      </c>
      <c r="G4077" t="str">
        <f>""</f>
        <v/>
      </c>
    </row>
    <row r="4078" spans="1:7" x14ac:dyDescent="0.25">
      <c r="A4078" t="s">
        <v>8</v>
      </c>
      <c r="B4078" s="1" t="str">
        <f>"000279121 - RICH FOODS-SYSCO SHARES"</f>
        <v>000279121 - RICH FOODS-SYSCO SHARES</v>
      </c>
      <c r="C4078" t="s">
        <v>1399</v>
      </c>
      <c r="D4078" s="1" t="str">
        <f>"PRG-1023626"</f>
        <v>PRG-1023626</v>
      </c>
      <c r="E4078" t="s">
        <v>1168</v>
      </c>
      <c r="F4078" t="s">
        <v>4</v>
      </c>
      <c r="G4078" t="str">
        <f>""</f>
        <v/>
      </c>
    </row>
    <row r="4079" spans="1:7" x14ac:dyDescent="0.25">
      <c r="A4079" t="s">
        <v>8</v>
      </c>
      <c r="B4079" s="1" t="str">
        <f>"000289370 - RICH FOODS-SYSCO SHARES"</f>
        <v>000289370 - RICH FOODS-SYSCO SHARES</v>
      </c>
      <c r="C4079" t="s">
        <v>1399</v>
      </c>
      <c r="D4079" s="1" t="str">
        <f>"PRG-1023626"</f>
        <v>PRG-1023626</v>
      </c>
      <c r="E4079" t="s">
        <v>1168</v>
      </c>
      <c r="F4079" t="s">
        <v>4</v>
      </c>
      <c r="G4079" t="str">
        <f>""</f>
        <v/>
      </c>
    </row>
    <row r="4080" spans="1:7" x14ac:dyDescent="0.25">
      <c r="A4080" t="s">
        <v>8</v>
      </c>
      <c r="B4080" s="1" t="str">
        <f>"000137200 - RICH PROD CASTLE PARK CAFE"</f>
        <v>000137200 - RICH PROD CASTLE PARK CAFE</v>
      </c>
      <c r="C4080" t="s">
        <v>963</v>
      </c>
      <c r="D4080" s="1" t="str">
        <f>"PRG-1023628"</f>
        <v>PRG-1023628</v>
      </c>
      <c r="E4080" t="s">
        <v>964</v>
      </c>
      <c r="F4080" t="s">
        <v>4</v>
      </c>
      <c r="G4080" t="str">
        <f>""</f>
        <v/>
      </c>
    </row>
    <row r="4081" spans="1:7" x14ac:dyDescent="0.25">
      <c r="A4081" t="s">
        <v>8</v>
      </c>
      <c r="B4081" s="1" t="str">
        <f>"000119649 - RICH'S PD1 HUNTS STEAK &amp; SEAFD"</f>
        <v>000119649 - RICH'S PD1 HUNTS STEAK &amp; SEAFD</v>
      </c>
      <c r="C4081" t="s">
        <v>883</v>
      </c>
      <c r="D4081" s="1" t="str">
        <f>"PRG-1023633"</f>
        <v>PRG-1023633</v>
      </c>
      <c r="E4081" t="s">
        <v>884</v>
      </c>
      <c r="F4081" t="s">
        <v>4</v>
      </c>
      <c r="G4081" t="str">
        <f>""</f>
        <v/>
      </c>
    </row>
    <row r="4082" spans="1:7" x14ac:dyDescent="0.25">
      <c r="A4082" t="s">
        <v>8</v>
      </c>
      <c r="B4082" s="1" t="str">
        <f>"3055E664"</f>
        <v>3055E664</v>
      </c>
      <c r="C4082" t="s">
        <v>4595</v>
      </c>
      <c r="D4082" s="1" t="str">
        <f>"PRG-1023637"</f>
        <v>PRG-1023637</v>
      </c>
      <c r="E4082" t="s">
        <v>4596</v>
      </c>
      <c r="F4082" t="s">
        <v>5</v>
      </c>
      <c r="G4082" t="str">
        <f>""</f>
        <v/>
      </c>
    </row>
    <row r="4083" spans="1:7" x14ac:dyDescent="0.25">
      <c r="A4083" t="s">
        <v>8</v>
      </c>
      <c r="B4083" s="1" t="str">
        <f>"3055G598"</f>
        <v>3055G598</v>
      </c>
      <c r="C4083" t="s">
        <v>4598</v>
      </c>
      <c r="D4083" s="1" t="str">
        <f>"PRG-1023637"</f>
        <v>PRG-1023637</v>
      </c>
      <c r="E4083" t="s">
        <v>4596</v>
      </c>
      <c r="F4083" t="s">
        <v>5</v>
      </c>
      <c r="G4083" t="str">
        <f>""</f>
        <v/>
      </c>
    </row>
    <row r="4084" spans="1:7" x14ac:dyDescent="0.25">
      <c r="A4084" t="s">
        <v>8</v>
      </c>
      <c r="B4084" s="1" t="str">
        <f>"3103D197"</f>
        <v>3103D197</v>
      </c>
      <c r="C4084" t="s">
        <v>4610</v>
      </c>
      <c r="D4084" s="1" t="str">
        <f>"PRG-1023637"</f>
        <v>PRG-1023637</v>
      </c>
      <c r="E4084" t="s">
        <v>4596</v>
      </c>
      <c r="F4084" t="s">
        <v>5</v>
      </c>
      <c r="G4084" t="str">
        <f>""</f>
        <v/>
      </c>
    </row>
    <row r="4085" spans="1:7" x14ac:dyDescent="0.25">
      <c r="A4085" t="s">
        <v>8</v>
      </c>
      <c r="B4085" s="1" t="str">
        <f>"3130B460"</f>
        <v>3130B460</v>
      </c>
      <c r="C4085" t="s">
        <v>4638</v>
      </c>
      <c r="D4085" s="1" t="str">
        <f>"PRG-1023637"</f>
        <v>PRG-1023637</v>
      </c>
      <c r="E4085" t="s">
        <v>4596</v>
      </c>
      <c r="F4085" t="s">
        <v>5</v>
      </c>
      <c r="G4085" t="str">
        <f>""</f>
        <v/>
      </c>
    </row>
    <row r="4086" spans="1:7" x14ac:dyDescent="0.25">
      <c r="A4086" t="s">
        <v>8</v>
      </c>
      <c r="B4086" s="1" t="str">
        <f>"3135C333"</f>
        <v>3135C333</v>
      </c>
      <c r="C4086" t="s">
        <v>4642</v>
      </c>
      <c r="D4086" s="1" t="str">
        <f>"PRG-1023643"</f>
        <v>PRG-1023643</v>
      </c>
      <c r="E4086" t="s">
        <v>4643</v>
      </c>
      <c r="F4086" t="s">
        <v>5</v>
      </c>
      <c r="G4086" t="str">
        <f>""</f>
        <v/>
      </c>
    </row>
    <row r="4087" spans="1:7" x14ac:dyDescent="0.25">
      <c r="A4087" t="s">
        <v>8</v>
      </c>
      <c r="B4087" s="1" t="str">
        <f>"000272948 - RICH PROD PBC SCHLS"</f>
        <v>000272948 - RICH PROD PBC SCHLS</v>
      </c>
      <c r="C4087" t="s">
        <v>2509</v>
      </c>
      <c r="D4087" s="1" t="str">
        <f>"PRG-1023647"</f>
        <v>PRG-1023647</v>
      </c>
      <c r="E4087" t="s">
        <v>2510</v>
      </c>
      <c r="F4087" t="s">
        <v>4</v>
      </c>
      <c r="G4087" t="str">
        <f>""</f>
        <v/>
      </c>
    </row>
    <row r="4088" spans="1:7" x14ac:dyDescent="0.25">
      <c r="A4088" t="s">
        <v>8</v>
      </c>
      <c r="B4088" s="1" t="str">
        <f>"000284035 - RICHS PBC USDA 110244"</f>
        <v>000284035 - RICHS PBC USDA 110244</v>
      </c>
      <c r="C4088" t="s">
        <v>2493</v>
      </c>
      <c r="D4088" s="1" t="str">
        <f>"PRG-1023647"</f>
        <v>PRG-1023647</v>
      </c>
      <c r="E4088" t="s">
        <v>2510</v>
      </c>
      <c r="F4088" t="s">
        <v>4</v>
      </c>
      <c r="G4088" t="str">
        <f>""</f>
        <v/>
      </c>
    </row>
    <row r="4089" spans="1:7" x14ac:dyDescent="0.25">
      <c r="A4089" t="s">
        <v>8</v>
      </c>
      <c r="B4089" s="1" t="str">
        <f>"3135D197"</f>
        <v>3135D197</v>
      </c>
      <c r="C4089" t="s">
        <v>4645</v>
      </c>
      <c r="D4089" s="1" t="str">
        <f>"PRG-1023650"</f>
        <v>PRG-1023650</v>
      </c>
      <c r="E4089" t="s">
        <v>4646</v>
      </c>
      <c r="F4089" t="s">
        <v>5</v>
      </c>
      <c r="G4089" t="str">
        <f>""</f>
        <v/>
      </c>
    </row>
    <row r="4090" spans="1:7" x14ac:dyDescent="0.25">
      <c r="A4090" t="s">
        <v>8</v>
      </c>
      <c r="B4090" s="1" t="str">
        <f>"31307022"</f>
        <v>31307022</v>
      </c>
      <c r="C4090" t="s">
        <v>4635</v>
      </c>
      <c r="D4090" s="1" t="str">
        <f>"PRG-1023655"</f>
        <v>PRG-1023655</v>
      </c>
      <c r="E4090" t="s">
        <v>4636</v>
      </c>
      <c r="F4090" t="s">
        <v>5</v>
      </c>
      <c r="G4090" t="str">
        <f>""</f>
        <v/>
      </c>
    </row>
    <row r="4091" spans="1:7" x14ac:dyDescent="0.25">
      <c r="A4091" t="s">
        <v>8</v>
      </c>
      <c r="B4091" s="1" t="str">
        <f>"2000188365 - RICH NTX-FRISCO ALLEN ISD"</f>
        <v>2000188365 - RICH NTX-FRISCO ALLEN ISD</v>
      </c>
      <c r="C4091" t="s">
        <v>3924</v>
      </c>
      <c r="D4091" s="1" t="str">
        <f>"PRG-1023679"</f>
        <v>PRG-1023679</v>
      </c>
      <c r="E4091" t="s">
        <v>3925</v>
      </c>
      <c r="F4091" t="s">
        <v>4</v>
      </c>
      <c r="G4091" t="str">
        <f>""</f>
        <v/>
      </c>
    </row>
    <row r="4092" spans="1:7" x14ac:dyDescent="0.25">
      <c r="A4092" t="s">
        <v>8</v>
      </c>
      <c r="B4092" s="1" t="str">
        <f>"000258153 - RICH PRODUCTS  LODI USD"</f>
        <v>000258153 - RICH PRODUCTS  LODI USD</v>
      </c>
      <c r="C4092" t="s">
        <v>2213</v>
      </c>
      <c r="D4092" s="1" t="str">
        <f>"PRG-1023717"</f>
        <v>PRG-1023717</v>
      </c>
      <c r="E4092" t="s">
        <v>2214</v>
      </c>
      <c r="F4092" t="s">
        <v>4</v>
      </c>
      <c r="G4092" t="str">
        <f>""</f>
        <v/>
      </c>
    </row>
    <row r="4093" spans="1:7" x14ac:dyDescent="0.25">
      <c r="A4093" t="s">
        <v>8</v>
      </c>
      <c r="B4093" s="1" t="str">
        <f>"000025185 - RICH PRODUCTS SBCUSD"</f>
        <v>000025185 - RICH PRODUCTS SBCUSD</v>
      </c>
      <c r="C4093" t="s">
        <v>443</v>
      </c>
      <c r="D4093" s="1" t="str">
        <f>"PRG-1023719"</f>
        <v>PRG-1023719</v>
      </c>
      <c r="E4093" t="s">
        <v>444</v>
      </c>
      <c r="F4093" t="s">
        <v>4</v>
      </c>
      <c r="G4093" t="str">
        <f>""</f>
        <v/>
      </c>
    </row>
    <row r="4094" spans="1:7" x14ac:dyDescent="0.25">
      <c r="A4094" t="s">
        <v>8</v>
      </c>
      <c r="B4094" s="1" t="str">
        <f>"000284651 - RICHS-DC MAINSTREET GRILL"</f>
        <v>000284651 - RICHS-DC MAINSTREET GRILL</v>
      </c>
      <c r="C4094" t="s">
        <v>2710</v>
      </c>
      <c r="D4094" s="1" t="str">
        <f>"PRG-1023738"</f>
        <v>PRG-1023738</v>
      </c>
      <c r="E4094" t="s">
        <v>2711</v>
      </c>
      <c r="F4094" t="s">
        <v>4</v>
      </c>
      <c r="G4094" t="str">
        <f>""</f>
        <v/>
      </c>
    </row>
    <row r="4095" spans="1:7" x14ac:dyDescent="0.25">
      <c r="A4095" t="s">
        <v>8</v>
      </c>
      <c r="B4095" s="1" t="str">
        <f>"2000341100 - RICH'S-NEPTUNE SUBMARINES"</f>
        <v>2000341100 - RICH'S-NEPTUNE SUBMARINES</v>
      </c>
      <c r="C4095" t="s">
        <v>83</v>
      </c>
      <c r="D4095" s="1" t="str">
        <f>"PRG-1023760"</f>
        <v>PRG-1023760</v>
      </c>
      <c r="E4095" t="s">
        <v>84</v>
      </c>
      <c r="F4095" t="s">
        <v>4</v>
      </c>
      <c r="G4095" t="str">
        <f>""</f>
        <v/>
      </c>
    </row>
    <row r="4096" spans="1:7" x14ac:dyDescent="0.25">
      <c r="A4096" t="s">
        <v>8</v>
      </c>
      <c r="B4096" s="1" t="str">
        <f>"2000397636 - RICH'S-NEPTUNE SUBMARINES"</f>
        <v>2000397636 - RICH'S-NEPTUNE SUBMARINES</v>
      </c>
      <c r="C4096" t="s">
        <v>83</v>
      </c>
      <c r="D4096" s="1" t="str">
        <f>"PRG-1023760"</f>
        <v>PRG-1023760</v>
      </c>
      <c r="E4096" t="s">
        <v>84</v>
      </c>
      <c r="F4096" t="s">
        <v>4</v>
      </c>
      <c r="G4096" t="str">
        <f>""</f>
        <v/>
      </c>
    </row>
    <row r="4097" spans="1:7" x14ac:dyDescent="0.25">
      <c r="A4097" t="s">
        <v>8</v>
      </c>
      <c r="B4097" s="1" t="str">
        <f>"2000448903 - RICH'S-NEPTUNE SUBMARINES"</f>
        <v>2000448903 - RICH'S-NEPTUNE SUBMARINES</v>
      </c>
      <c r="C4097" t="s">
        <v>83</v>
      </c>
      <c r="D4097" s="1" t="str">
        <f>"PRG-1023760"</f>
        <v>PRG-1023760</v>
      </c>
      <c r="E4097" t="s">
        <v>84</v>
      </c>
      <c r="F4097" t="s">
        <v>4</v>
      </c>
      <c r="G4097" t="str">
        <f>""</f>
        <v/>
      </c>
    </row>
    <row r="4098" spans="1:7" x14ac:dyDescent="0.25">
      <c r="A4098" t="s">
        <v>8</v>
      </c>
      <c r="B4098" s="1" t="str">
        <f>"000026295 - RICH FOODS-WHITSONS"</f>
        <v>000026295 - RICH FOODS-WHITSONS</v>
      </c>
      <c r="C4098" t="s">
        <v>446</v>
      </c>
      <c r="D4098" s="1" t="str">
        <f>"PRG-1023770"</f>
        <v>PRG-1023770</v>
      </c>
      <c r="E4098" t="s">
        <v>447</v>
      </c>
      <c r="F4098" t="s">
        <v>4</v>
      </c>
      <c r="G4098" t="str">
        <f>""</f>
        <v/>
      </c>
    </row>
    <row r="4099" spans="1:7" x14ac:dyDescent="0.25">
      <c r="A4099" t="s">
        <v>8</v>
      </c>
      <c r="B4099" s="1" t="str">
        <f>"000030780 - RICH'S-WHITSONS CULINARY ONLY"</f>
        <v>000030780 - RICH'S-WHITSONS CULINARY ONLY</v>
      </c>
      <c r="C4099" t="s">
        <v>493</v>
      </c>
      <c r="D4099" s="1" t="str">
        <f>"PRG-1023770"</f>
        <v>PRG-1023770</v>
      </c>
      <c r="E4099" t="s">
        <v>447</v>
      </c>
      <c r="F4099" t="s">
        <v>4</v>
      </c>
      <c r="G4099" t="str">
        <f>""</f>
        <v/>
      </c>
    </row>
    <row r="4100" spans="1:7" x14ac:dyDescent="0.25">
      <c r="A4100" t="s">
        <v>8</v>
      </c>
      <c r="B4100" s="1" t="str">
        <f>"000228246 - RICH FOODS-WHITSONS"</f>
        <v>000228246 - RICH FOODS-WHITSONS</v>
      </c>
      <c r="C4100" t="s">
        <v>446</v>
      </c>
      <c r="D4100" s="1" t="str">
        <f>"PRG-1023770"</f>
        <v>PRG-1023770</v>
      </c>
      <c r="E4100" t="s">
        <v>447</v>
      </c>
      <c r="F4100" t="s">
        <v>4</v>
      </c>
      <c r="G4100" t="str">
        <f>""</f>
        <v/>
      </c>
    </row>
    <row r="4101" spans="1:7" x14ac:dyDescent="0.25">
      <c r="A4101" t="s">
        <v>8</v>
      </c>
      <c r="B4101" s="1" t="str">
        <f>"000271969 - RICH PRODUCTS-OCNC"</f>
        <v>000271969 - RICH PRODUCTS-OCNC</v>
      </c>
      <c r="C4101" t="s">
        <v>2497</v>
      </c>
      <c r="D4101" s="1" t="str">
        <f>"PRG-1023794"</f>
        <v>PRG-1023794</v>
      </c>
      <c r="E4101" t="s">
        <v>2498</v>
      </c>
      <c r="F4101" t="s">
        <v>4</v>
      </c>
      <c r="G4101" t="str">
        <f>""</f>
        <v/>
      </c>
    </row>
    <row r="4102" spans="1:7" x14ac:dyDescent="0.25">
      <c r="A4102" t="s">
        <v>8</v>
      </c>
      <c r="B4102" s="1" t="str">
        <f>"000273832 - RICH PRODUCTS-BEAVERTON SD"</f>
        <v>000273832 - RICH PRODUCTS-BEAVERTON SD</v>
      </c>
      <c r="C4102" t="s">
        <v>2532</v>
      </c>
      <c r="D4102" s="1" t="str">
        <f>"PRG-1023794"</f>
        <v>PRG-1023794</v>
      </c>
      <c r="E4102" t="s">
        <v>2498</v>
      </c>
      <c r="F4102" t="s">
        <v>4</v>
      </c>
      <c r="G4102" t="str">
        <f>""</f>
        <v/>
      </c>
    </row>
    <row r="4103" spans="1:7" x14ac:dyDescent="0.25">
      <c r="A4103" t="s">
        <v>8</v>
      </c>
      <c r="B4103" s="1" t="str">
        <f>"000195266 - LUCKYS MRKT RICHS"</f>
        <v>000195266 - LUCKYS MRKT RICHS</v>
      </c>
      <c r="C4103" t="s">
        <v>1254</v>
      </c>
      <c r="D4103" s="1" t="str">
        <f>"PRG-1023809"</f>
        <v>PRG-1023809</v>
      </c>
      <c r="E4103" t="s">
        <v>1255</v>
      </c>
      <c r="F4103" t="s">
        <v>4</v>
      </c>
      <c r="G4103" t="str">
        <f>""</f>
        <v/>
      </c>
    </row>
    <row r="4104" spans="1:7" x14ac:dyDescent="0.25">
      <c r="A4104" t="s">
        <v>8</v>
      </c>
      <c r="B4104" s="1" t="str">
        <f>"000307470 - RICH'S AARON'S FAMILY FUN CTR"</f>
        <v>000307470 - RICH'S AARON'S FAMILY FUN CTR</v>
      </c>
      <c r="C4104" t="s">
        <v>3068</v>
      </c>
      <c r="D4104" s="1" t="str">
        <f>"PRG-1023838"</f>
        <v>PRG-1023838</v>
      </c>
      <c r="E4104" t="s">
        <v>3069</v>
      </c>
      <c r="F4104" t="s">
        <v>4</v>
      </c>
      <c r="G4104" t="str">
        <f>""</f>
        <v/>
      </c>
    </row>
    <row r="4105" spans="1:7" x14ac:dyDescent="0.25">
      <c r="A4105" t="s">
        <v>8</v>
      </c>
      <c r="B4105" s="1" t="str">
        <f>"000338030 - RICHS CASINO PAUMA"</f>
        <v>000338030 - RICHS CASINO PAUMA</v>
      </c>
      <c r="C4105" t="s">
        <v>3426</v>
      </c>
      <c r="D4105" s="1" t="str">
        <f>"PRG-1024067"</f>
        <v>PRG-1024067</v>
      </c>
      <c r="E4105" t="s">
        <v>3427</v>
      </c>
      <c r="F4105" t="s">
        <v>4</v>
      </c>
      <c r="G4105" t="str">
        <f>""</f>
        <v/>
      </c>
    </row>
    <row r="4106" spans="1:7" x14ac:dyDescent="0.25">
      <c r="A4106" t="s">
        <v>8</v>
      </c>
      <c r="B4106" s="1" t="str">
        <f>"000274872 - RICH RACCOON LODGE"</f>
        <v>000274872 - RICH RACCOON LODGE</v>
      </c>
      <c r="C4106" t="s">
        <v>2549</v>
      </c>
      <c r="D4106" s="1" t="str">
        <f>"PRG-1024070"</f>
        <v>PRG-1024070</v>
      </c>
      <c r="E4106" t="s">
        <v>2550</v>
      </c>
      <c r="F4106" t="s">
        <v>4</v>
      </c>
      <c r="G4106" t="str">
        <f>""</f>
        <v/>
      </c>
    </row>
    <row r="4107" spans="1:7" x14ac:dyDescent="0.25">
      <c r="A4107" t="s">
        <v>8</v>
      </c>
      <c r="B4107" s="1" t="str">
        <f>"000241432 - OTB RICH"</f>
        <v>000241432 - OTB RICH</v>
      </c>
      <c r="C4107" t="s">
        <v>1920</v>
      </c>
      <c r="D4107" s="1" t="str">
        <f>"PRG-1024094"</f>
        <v>PRG-1024094</v>
      </c>
      <c r="E4107" t="s">
        <v>1921</v>
      </c>
      <c r="F4107" t="s">
        <v>4</v>
      </c>
      <c r="G4107" t="str">
        <f>""</f>
        <v/>
      </c>
    </row>
    <row r="4108" spans="1:7" x14ac:dyDescent="0.25">
      <c r="A4108" t="s">
        <v>8</v>
      </c>
      <c r="B4108" s="1" t="str">
        <f>"000174604 - RICH PROD PD1 CARNIVAL CRUISE"</f>
        <v>000174604 - RICH PROD PD1 CARNIVAL CRUISE</v>
      </c>
      <c r="C4108" t="s">
        <v>1112</v>
      </c>
      <c r="D4108" s="1" t="str">
        <f t="shared" ref="D4108:D4128" si="115">"PRG-1024119"</f>
        <v>PRG-1024119</v>
      </c>
      <c r="E4108" t="s">
        <v>1113</v>
      </c>
      <c r="F4108" t="s">
        <v>4</v>
      </c>
      <c r="G4108" t="str">
        <f>""</f>
        <v/>
      </c>
    </row>
    <row r="4109" spans="1:7" x14ac:dyDescent="0.25">
      <c r="A4109" t="s">
        <v>8</v>
      </c>
      <c r="B4109" s="1" t="str">
        <f>"000189768 - RICH PROD PD1 CARNIVAL CRUISE"</f>
        <v>000189768 - RICH PROD PD1 CARNIVAL CRUISE</v>
      </c>
      <c r="C4109" t="s">
        <v>1112</v>
      </c>
      <c r="D4109" s="1" t="str">
        <f t="shared" si="115"/>
        <v>PRG-1024119</v>
      </c>
      <c r="E4109" t="s">
        <v>1113</v>
      </c>
      <c r="F4109" t="s">
        <v>4</v>
      </c>
      <c r="G4109" t="str">
        <f>""</f>
        <v/>
      </c>
    </row>
    <row r="4110" spans="1:7" x14ac:dyDescent="0.25">
      <c r="A4110" t="s">
        <v>8</v>
      </c>
      <c r="B4110" s="1" t="str">
        <f>"000204550 - RICHS-CARNIVAL"</f>
        <v>000204550 - RICHS-CARNIVAL</v>
      </c>
      <c r="C4110" t="s">
        <v>1354</v>
      </c>
      <c r="D4110" s="1" t="str">
        <f t="shared" si="115"/>
        <v>PRG-1024119</v>
      </c>
      <c r="E4110" t="s">
        <v>1113</v>
      </c>
      <c r="F4110" t="s">
        <v>4</v>
      </c>
      <c r="G4110" t="str">
        <f>""</f>
        <v/>
      </c>
    </row>
    <row r="4111" spans="1:7" x14ac:dyDescent="0.25">
      <c r="A4111" t="s">
        <v>8</v>
      </c>
      <c r="B4111" s="1" t="str">
        <f>"000227602 - CARNCORP   RICH"</f>
        <v>000227602 - CARNCORP   RICH</v>
      </c>
      <c r="C4111" t="s">
        <v>1710</v>
      </c>
      <c r="D4111" s="1" t="str">
        <f t="shared" si="115"/>
        <v>PRG-1024119</v>
      </c>
      <c r="E4111" t="s">
        <v>1113</v>
      </c>
      <c r="F4111" t="s">
        <v>4</v>
      </c>
      <c r="G4111" t="str">
        <f>""</f>
        <v/>
      </c>
    </row>
    <row r="4112" spans="1:7" x14ac:dyDescent="0.25">
      <c r="A4112" t="s">
        <v>8</v>
      </c>
      <c r="B4112" s="1" t="str">
        <f>"000279274 - APOLLO  RICH"</f>
        <v>000279274 - APOLLO  RICH</v>
      </c>
      <c r="C4112" t="s">
        <v>1929</v>
      </c>
      <c r="D4112" s="1" t="str">
        <f t="shared" si="115"/>
        <v>PRG-1024119</v>
      </c>
      <c r="E4112" t="s">
        <v>1113</v>
      </c>
      <c r="F4112" t="s">
        <v>4</v>
      </c>
      <c r="G4112" t="str">
        <f>""</f>
        <v/>
      </c>
    </row>
    <row r="4113" spans="1:7" x14ac:dyDescent="0.25">
      <c r="A4113" t="s">
        <v>8</v>
      </c>
      <c r="B4113" s="1" t="str">
        <f>"000280206 - APOLLO   RICH"</f>
        <v>000280206 - APOLLO   RICH</v>
      </c>
      <c r="C4113" t="s">
        <v>2638</v>
      </c>
      <c r="D4113" s="1" t="str">
        <f t="shared" si="115"/>
        <v>PRG-1024119</v>
      </c>
      <c r="E4113" t="s">
        <v>1113</v>
      </c>
      <c r="F4113" t="s">
        <v>4</v>
      </c>
      <c r="G4113" t="str">
        <f>""</f>
        <v/>
      </c>
    </row>
    <row r="4114" spans="1:7" x14ac:dyDescent="0.25">
      <c r="A4114" t="s">
        <v>8</v>
      </c>
      <c r="B4114" s="1" t="str">
        <f>"000286731 - APOLLO   RICH"</f>
        <v>000286731 - APOLLO   RICH</v>
      </c>
      <c r="C4114" t="s">
        <v>2638</v>
      </c>
      <c r="D4114" s="1" t="str">
        <f t="shared" si="115"/>
        <v>PRG-1024119</v>
      </c>
      <c r="E4114" t="s">
        <v>1113</v>
      </c>
      <c r="F4114" t="s">
        <v>4</v>
      </c>
      <c r="G4114" t="str">
        <f>""</f>
        <v/>
      </c>
    </row>
    <row r="4115" spans="1:7" x14ac:dyDescent="0.25">
      <c r="A4115" t="s">
        <v>8</v>
      </c>
      <c r="B4115" s="1" t="str">
        <f>"000304410 - CARNCORP-RICH PRODUCTS CORP"</f>
        <v>000304410 - CARNCORP-RICH PRODUCTS CORP</v>
      </c>
      <c r="C4115" t="s">
        <v>3022</v>
      </c>
      <c r="D4115" s="1" t="str">
        <f t="shared" si="115"/>
        <v>PRG-1024119</v>
      </c>
      <c r="E4115" t="s">
        <v>1113</v>
      </c>
      <c r="F4115" t="s">
        <v>4</v>
      </c>
      <c r="G4115" t="str">
        <f>""</f>
        <v/>
      </c>
    </row>
    <row r="4116" spans="1:7" x14ac:dyDescent="0.25">
      <c r="A4116" t="s">
        <v>8</v>
      </c>
      <c r="B4116" s="1" t="str">
        <f>"000305908 - CARNCORP   RICH"</f>
        <v>000305908 - CARNCORP   RICH</v>
      </c>
      <c r="C4116" t="s">
        <v>1710</v>
      </c>
      <c r="D4116" s="1" t="str">
        <f t="shared" si="115"/>
        <v>PRG-1024119</v>
      </c>
      <c r="E4116" t="s">
        <v>1113</v>
      </c>
      <c r="F4116" t="s">
        <v>4</v>
      </c>
      <c r="G4116" t="str">
        <f>""</f>
        <v/>
      </c>
    </row>
    <row r="4117" spans="1:7" x14ac:dyDescent="0.25">
      <c r="A4117" t="s">
        <v>8</v>
      </c>
      <c r="B4117" s="1" t="str">
        <f>"000316111 - CARNIVAL RICH PRODUCTS"</f>
        <v>000316111 - CARNIVAL RICH PRODUCTS</v>
      </c>
      <c r="C4117" t="s">
        <v>2919</v>
      </c>
      <c r="D4117" s="1" t="str">
        <f t="shared" si="115"/>
        <v>PRG-1024119</v>
      </c>
      <c r="E4117" t="s">
        <v>1113</v>
      </c>
      <c r="F4117" t="s">
        <v>4</v>
      </c>
      <c r="G4117" t="str">
        <f>""</f>
        <v/>
      </c>
    </row>
    <row r="4118" spans="1:7" x14ac:dyDescent="0.25">
      <c r="A4118" t="s">
        <v>8</v>
      </c>
      <c r="B4118" s="1" t="str">
        <f>"000316787 - RICHS DISNEY"</f>
        <v>000316787 - RICHS DISNEY</v>
      </c>
      <c r="C4118" t="s">
        <v>3191</v>
      </c>
      <c r="D4118" s="1" t="str">
        <f t="shared" si="115"/>
        <v>PRG-1024119</v>
      </c>
      <c r="E4118" t="s">
        <v>1113</v>
      </c>
      <c r="F4118" t="s">
        <v>4</v>
      </c>
      <c r="G4118" t="str">
        <f>""</f>
        <v/>
      </c>
    </row>
    <row r="4119" spans="1:7" x14ac:dyDescent="0.25">
      <c r="A4119" t="s">
        <v>8</v>
      </c>
      <c r="B4119" s="1" t="str">
        <f>"000324351 - CARNCORP-RICH PRODUCTS CORP"</f>
        <v>000324351 - CARNCORP-RICH PRODUCTS CORP</v>
      </c>
      <c r="C4119" t="s">
        <v>3022</v>
      </c>
      <c r="D4119" s="1" t="str">
        <f t="shared" si="115"/>
        <v>PRG-1024119</v>
      </c>
      <c r="E4119" t="s">
        <v>1113</v>
      </c>
      <c r="F4119" t="s">
        <v>4</v>
      </c>
      <c r="G4119" t="str">
        <f>""</f>
        <v/>
      </c>
    </row>
    <row r="4120" spans="1:7" x14ac:dyDescent="0.25">
      <c r="A4120" t="s">
        <v>8</v>
      </c>
      <c r="B4120" s="1" t="str">
        <f>"000335915 - CARNCORP   RICH PRODUCTS"</f>
        <v>000335915 - CARNCORP   RICH PRODUCTS</v>
      </c>
      <c r="C4120" t="s">
        <v>3401</v>
      </c>
      <c r="D4120" s="1" t="str">
        <f t="shared" si="115"/>
        <v>PRG-1024119</v>
      </c>
      <c r="E4120" t="s">
        <v>1113</v>
      </c>
      <c r="F4120" t="s">
        <v>4</v>
      </c>
      <c r="G4120" t="str">
        <f>""</f>
        <v/>
      </c>
    </row>
    <row r="4121" spans="1:7" x14ac:dyDescent="0.25">
      <c r="A4121" t="s">
        <v>8</v>
      </c>
      <c r="B4121" s="1" t="str">
        <f>"000337954 - RICH CARNIVAL HOLLAND"</f>
        <v>000337954 - RICH CARNIVAL HOLLAND</v>
      </c>
      <c r="C4121" t="s">
        <v>3425</v>
      </c>
      <c r="D4121" s="1" t="str">
        <f t="shared" si="115"/>
        <v>PRG-1024119</v>
      </c>
      <c r="E4121" t="s">
        <v>1113</v>
      </c>
      <c r="F4121" t="s">
        <v>4</v>
      </c>
      <c r="G4121" t="str">
        <f>""</f>
        <v/>
      </c>
    </row>
    <row r="4122" spans="1:7" x14ac:dyDescent="0.25">
      <c r="A4122" t="s">
        <v>8</v>
      </c>
      <c r="B4122" s="1" t="str">
        <f>"000358213 - RICH CCL HOLLAND FRZ GROCERY"</f>
        <v>000358213 - RICH CCL HOLLAND FRZ GROCERY</v>
      </c>
      <c r="C4122" t="s">
        <v>3572</v>
      </c>
      <c r="D4122" s="1" t="str">
        <f t="shared" si="115"/>
        <v>PRG-1024119</v>
      </c>
      <c r="E4122" t="s">
        <v>1113</v>
      </c>
      <c r="F4122" t="s">
        <v>4</v>
      </c>
      <c r="G4122" t="str">
        <f>""</f>
        <v/>
      </c>
    </row>
    <row r="4123" spans="1:7" x14ac:dyDescent="0.25">
      <c r="A4123" t="s">
        <v>8</v>
      </c>
      <c r="B4123" s="1" t="str">
        <f>"000365834 - "</f>
        <v xml:space="preserve">000365834 - </v>
      </c>
      <c r="D4123" s="1" t="str">
        <f t="shared" si="115"/>
        <v>PRG-1024119</v>
      </c>
      <c r="E4123" t="s">
        <v>1113</v>
      </c>
      <c r="F4123" t="s">
        <v>4</v>
      </c>
      <c r="G4123" t="str">
        <f>""</f>
        <v/>
      </c>
    </row>
    <row r="4124" spans="1:7" x14ac:dyDescent="0.25">
      <c r="A4124" t="s">
        <v>8</v>
      </c>
      <c r="B4124" s="1" t="str">
        <f>"000365835 - "</f>
        <v xml:space="preserve">000365835 - </v>
      </c>
      <c r="D4124" s="1" t="str">
        <f t="shared" si="115"/>
        <v>PRG-1024119</v>
      </c>
      <c r="E4124" t="s">
        <v>1113</v>
      </c>
      <c r="F4124" t="s">
        <v>4</v>
      </c>
      <c r="G4124" t="str">
        <f>""</f>
        <v/>
      </c>
    </row>
    <row r="4125" spans="1:7" x14ac:dyDescent="0.25">
      <c r="A4125" t="s">
        <v>8</v>
      </c>
      <c r="B4125" s="1" t="str">
        <f>"000380530 - "</f>
        <v xml:space="preserve">000380530 - </v>
      </c>
      <c r="D4125" s="1" t="str">
        <f t="shared" si="115"/>
        <v>PRG-1024119</v>
      </c>
      <c r="E4125" t="s">
        <v>1113</v>
      </c>
      <c r="F4125" t="s">
        <v>4</v>
      </c>
      <c r="G4125" t="str">
        <f>""</f>
        <v/>
      </c>
    </row>
    <row r="4126" spans="1:7" x14ac:dyDescent="0.25">
      <c r="A4126" t="s">
        <v>8</v>
      </c>
      <c r="B4126" s="1" t="str">
        <f>"000381940 - "</f>
        <v xml:space="preserve">000381940 - </v>
      </c>
      <c r="D4126" s="1" t="str">
        <f t="shared" si="115"/>
        <v>PRG-1024119</v>
      </c>
      <c r="E4126" t="s">
        <v>1113</v>
      </c>
      <c r="F4126" t="s">
        <v>4</v>
      </c>
      <c r="G4126" t="str">
        <f>""</f>
        <v/>
      </c>
    </row>
    <row r="4127" spans="1:7" x14ac:dyDescent="0.25">
      <c r="A4127" t="s">
        <v>8</v>
      </c>
      <c r="B4127" s="1" t="str">
        <f>"000402028 - RICH CCL HOLLAND"</f>
        <v>000402028 - RICH CCL HOLLAND</v>
      </c>
      <c r="C4127" t="s">
        <v>3720</v>
      </c>
      <c r="D4127" s="1" t="str">
        <f t="shared" si="115"/>
        <v>PRG-1024119</v>
      </c>
      <c r="E4127" t="s">
        <v>1113</v>
      </c>
      <c r="F4127" t="s">
        <v>4</v>
      </c>
      <c r="G4127" t="str">
        <f>""</f>
        <v/>
      </c>
    </row>
    <row r="4128" spans="1:7" x14ac:dyDescent="0.25">
      <c r="A4128" t="s">
        <v>8</v>
      </c>
      <c r="B4128" s="1" t="str">
        <f>"000402488 - RICH CCL HOLLAND"</f>
        <v>000402488 - RICH CCL HOLLAND</v>
      </c>
      <c r="C4128" t="s">
        <v>3720</v>
      </c>
      <c r="D4128" s="1" t="str">
        <f t="shared" si="115"/>
        <v>PRG-1024119</v>
      </c>
      <c r="E4128" t="s">
        <v>1113</v>
      </c>
      <c r="F4128" t="s">
        <v>4</v>
      </c>
      <c r="G4128" t="str">
        <f>""</f>
        <v/>
      </c>
    </row>
    <row r="4129" spans="1:7" x14ac:dyDescent="0.25">
      <c r="A4129" t="s">
        <v>8</v>
      </c>
      <c r="B4129" s="1" t="str">
        <f>"2110M661"</f>
        <v>2110M661</v>
      </c>
      <c r="C4129" t="s">
        <v>4127</v>
      </c>
      <c r="D4129" s="1" t="str">
        <f>"PRG-1024163"</f>
        <v>PRG-1024163</v>
      </c>
      <c r="E4129" t="s">
        <v>4128</v>
      </c>
      <c r="F4129" t="s">
        <v>5</v>
      </c>
      <c r="G4129" t="str">
        <f>""</f>
        <v/>
      </c>
    </row>
    <row r="4130" spans="1:7" x14ac:dyDescent="0.25">
      <c r="A4130" t="s">
        <v>8</v>
      </c>
      <c r="B4130" s="1" t="str">
        <f>"000111831 - RICHS - QUEEN STREET DELI"</f>
        <v>000111831 - RICHS - QUEEN STREET DELI</v>
      </c>
      <c r="C4130" t="s">
        <v>843</v>
      </c>
      <c r="D4130" s="1" t="str">
        <f>"PRG-1024177"</f>
        <v>PRG-1024177</v>
      </c>
      <c r="E4130" t="s">
        <v>844</v>
      </c>
      <c r="F4130" t="s">
        <v>4</v>
      </c>
      <c r="G4130" t="str">
        <f>""</f>
        <v/>
      </c>
    </row>
    <row r="4131" spans="1:7" x14ac:dyDescent="0.25">
      <c r="A4131" t="s">
        <v>8</v>
      </c>
      <c r="B4131" s="1" t="str">
        <f>"2000188400 - RICH ETX-MARSHALL ISD"</f>
        <v>2000188400 - RICH ETX-MARSHALL ISD</v>
      </c>
      <c r="C4131" t="s">
        <v>3926</v>
      </c>
      <c r="D4131" s="1" t="str">
        <f>"PRG-1024192"</f>
        <v>PRG-1024192</v>
      </c>
      <c r="E4131" t="s">
        <v>3927</v>
      </c>
      <c r="F4131" t="s">
        <v>4</v>
      </c>
      <c r="G4131" t="str">
        <f>""</f>
        <v/>
      </c>
    </row>
    <row r="4132" spans="1:7" x14ac:dyDescent="0.25">
      <c r="A4132" t="s">
        <v>8</v>
      </c>
      <c r="B4132" s="1" t="str">
        <f>"2000222218 - RICHS ETX-TEXARKANA ISD"</f>
        <v>2000222218 - RICHS ETX-TEXARKANA ISD</v>
      </c>
      <c r="C4132" t="s">
        <v>3964</v>
      </c>
      <c r="D4132" s="1" t="str">
        <f>"PRG-1024192"</f>
        <v>PRG-1024192</v>
      </c>
      <c r="E4132" t="s">
        <v>3927</v>
      </c>
      <c r="F4132" t="s">
        <v>4</v>
      </c>
      <c r="G4132" t="str">
        <f>""</f>
        <v/>
      </c>
    </row>
    <row r="4133" spans="1:7" x14ac:dyDescent="0.25">
      <c r="A4133" t="s">
        <v>8</v>
      </c>
      <c r="B4133" s="1" t="str">
        <f>"2000185565 - RICH'S PRODUCTS ETX-LONGVIEW ISD"</f>
        <v>2000185565 - RICH'S PRODUCTS ETX-LONGVIEW ISD</v>
      </c>
      <c r="C4133" t="s">
        <v>3914</v>
      </c>
      <c r="D4133" s="1" t="str">
        <f>"PRG-1024193"</f>
        <v>PRG-1024193</v>
      </c>
      <c r="E4133" t="s">
        <v>3915</v>
      </c>
      <c r="F4133" t="s">
        <v>4</v>
      </c>
      <c r="G4133" t="str">
        <f>""</f>
        <v/>
      </c>
    </row>
    <row r="4134" spans="1:7" x14ac:dyDescent="0.25">
      <c r="A4134" t="s">
        <v>8</v>
      </c>
      <c r="B4134" s="1" t="str">
        <f>"000211296 - JACKSON PUB SCHL RICH PRDTS"</f>
        <v>000211296 - JACKSON PUB SCHL RICH PRDTS</v>
      </c>
      <c r="C4134" t="s">
        <v>1445</v>
      </c>
      <c r="D4134" s="1" t="str">
        <f>"PRG-1024198"</f>
        <v>PRG-1024198</v>
      </c>
      <c r="E4134" t="s">
        <v>1446</v>
      </c>
      <c r="F4134" t="s">
        <v>4</v>
      </c>
      <c r="G4134" t="str">
        <f>""</f>
        <v/>
      </c>
    </row>
    <row r="4135" spans="1:7" x14ac:dyDescent="0.25">
      <c r="A4135" t="s">
        <v>8</v>
      </c>
      <c r="B4135" s="1" t="str">
        <f>"2000188749 - RICH'S OK-CITY PUBLIC SCHOOLS"</f>
        <v>2000188749 - RICH'S OK-CITY PUBLIC SCHOOLS</v>
      </c>
      <c r="C4135" t="s">
        <v>3929</v>
      </c>
      <c r="D4135" s="1" t="str">
        <f>"PRG-1024212"</f>
        <v>PRG-1024212</v>
      </c>
      <c r="E4135" t="s">
        <v>3930</v>
      </c>
      <c r="F4135" t="s">
        <v>4</v>
      </c>
      <c r="G4135" t="str">
        <f>""</f>
        <v/>
      </c>
    </row>
    <row r="4136" spans="1:7" x14ac:dyDescent="0.25">
      <c r="A4136" t="s">
        <v>8</v>
      </c>
      <c r="B4136" s="1" t="str">
        <f>"000249394 - RICH'S   BUC-EE'S"</f>
        <v>000249394 - RICH'S   BUC-EE'S</v>
      </c>
      <c r="C4136" t="s">
        <v>2068</v>
      </c>
      <c r="D4136" s="1" t="str">
        <f>"PRG-1024221"</f>
        <v>PRG-1024221</v>
      </c>
      <c r="E4136" t="s">
        <v>2069</v>
      </c>
      <c r="F4136" t="s">
        <v>4</v>
      </c>
      <c r="G4136" t="str">
        <f>""</f>
        <v/>
      </c>
    </row>
    <row r="4137" spans="1:7" x14ac:dyDescent="0.25">
      <c r="A4137" t="s">
        <v>8</v>
      </c>
      <c r="B4137" s="1" t="str">
        <f>"000290261 - HEAVENLY EDIBLES RICH PRODUCTS"</f>
        <v>000290261 - HEAVENLY EDIBLES RICH PRODUCTS</v>
      </c>
      <c r="C4137" t="s">
        <v>2822</v>
      </c>
      <c r="D4137" s="1" t="str">
        <f>"PRG-1024242"</f>
        <v>PRG-1024242</v>
      </c>
      <c r="E4137" t="s">
        <v>2823</v>
      </c>
      <c r="F4137" t="s">
        <v>4</v>
      </c>
      <c r="G4137" t="str">
        <f>""</f>
        <v/>
      </c>
    </row>
    <row r="4138" spans="1:7" x14ac:dyDescent="0.25">
      <c r="A4138" t="s">
        <v>8</v>
      </c>
      <c r="B4138" s="1" t="str">
        <f>"000226598 - RICH PRODUCTS OGS"</f>
        <v>000226598 - RICH PRODUCTS OGS</v>
      </c>
      <c r="C4138" t="s">
        <v>1698</v>
      </c>
      <c r="D4138" s="1" t="str">
        <f>"PRG-1024267"</f>
        <v>PRG-1024267</v>
      </c>
      <c r="E4138" t="s">
        <v>1699</v>
      </c>
      <c r="F4138" t="s">
        <v>4</v>
      </c>
      <c r="G4138" t="str">
        <f>""</f>
        <v/>
      </c>
    </row>
    <row r="4139" spans="1:7" x14ac:dyDescent="0.25">
      <c r="A4139" t="s">
        <v>8</v>
      </c>
      <c r="B4139" s="1" t="str">
        <f>"000229282 - RICH   OGS"</f>
        <v>000229282 - RICH   OGS</v>
      </c>
      <c r="C4139" t="s">
        <v>1734</v>
      </c>
      <c r="D4139" s="1" t="str">
        <f>"PRG-1024267"</f>
        <v>PRG-1024267</v>
      </c>
      <c r="E4139" t="s">
        <v>1699</v>
      </c>
      <c r="F4139" t="s">
        <v>4</v>
      </c>
      <c r="G4139" t="str">
        <f>""</f>
        <v/>
      </c>
    </row>
    <row r="4140" spans="1:7" x14ac:dyDescent="0.25">
      <c r="A4140" t="s">
        <v>8</v>
      </c>
      <c r="B4140" s="1" t="str">
        <f>"000337036 - RICH PRODUCTS CAJON VALLEY"</f>
        <v>000337036 - RICH PRODUCTS CAJON VALLEY</v>
      </c>
      <c r="C4140" t="s">
        <v>3411</v>
      </c>
      <c r="D4140" s="1" t="str">
        <f>"PRG-1024268"</f>
        <v>PRG-1024268</v>
      </c>
      <c r="E4140" t="s">
        <v>3412</v>
      </c>
      <c r="F4140" t="s">
        <v>4</v>
      </c>
      <c r="G4140" t="str">
        <f>""</f>
        <v/>
      </c>
    </row>
    <row r="4141" spans="1:7" x14ac:dyDescent="0.25">
      <c r="A4141" t="s">
        <v>8</v>
      </c>
      <c r="B4141" s="1" t="str">
        <f>"000337948 - RICH CAJON VALLEY USD"</f>
        <v>000337948 - RICH CAJON VALLEY USD</v>
      </c>
      <c r="C4141" t="s">
        <v>3424</v>
      </c>
      <c r="D4141" s="1" t="str">
        <f>"PRG-1024268"</f>
        <v>PRG-1024268</v>
      </c>
      <c r="E4141" t="s">
        <v>3412</v>
      </c>
      <c r="F4141" t="s">
        <v>4</v>
      </c>
      <c r="G4141" t="str">
        <f>""</f>
        <v/>
      </c>
    </row>
    <row r="4142" spans="1:7" x14ac:dyDescent="0.25">
      <c r="A4142" t="s">
        <v>8</v>
      </c>
      <c r="B4142" s="1" t="str">
        <f>"000259779 - RICH PRODUCTS  AMADOR COUNTY"</f>
        <v>000259779 - RICH PRODUCTS  AMADOR COUNTY</v>
      </c>
      <c r="C4142" t="s">
        <v>2252</v>
      </c>
      <c r="D4142" s="1" t="str">
        <f>"PRG-1024271"</f>
        <v>PRG-1024271</v>
      </c>
      <c r="E4142" t="s">
        <v>2253</v>
      </c>
      <c r="F4142" t="s">
        <v>4</v>
      </c>
      <c r="G4142" t="str">
        <f>""</f>
        <v/>
      </c>
    </row>
    <row r="4143" spans="1:7" x14ac:dyDescent="0.25">
      <c r="A4143" t="s">
        <v>8</v>
      </c>
      <c r="B4143" s="1" t="str">
        <f>"000334866 - RICH ESCONDIDO USD"</f>
        <v>000334866 - RICH ESCONDIDO USD</v>
      </c>
      <c r="C4143" t="s">
        <v>3390</v>
      </c>
      <c r="D4143" s="1" t="str">
        <f>"PRG-1024274"</f>
        <v>PRG-1024274</v>
      </c>
      <c r="E4143" t="s">
        <v>3391</v>
      </c>
      <c r="F4143" t="s">
        <v>4</v>
      </c>
      <c r="G4143" t="str">
        <f>""</f>
        <v/>
      </c>
    </row>
    <row r="4144" spans="1:7" x14ac:dyDescent="0.25">
      <c r="A4144" t="s">
        <v>8</v>
      </c>
      <c r="B4144" s="1" t="str">
        <f>"000272856 - RICH PRODUCTS-APPLEGATE"</f>
        <v>000272856 - RICH PRODUCTS-APPLEGATE</v>
      </c>
      <c r="C4144" t="s">
        <v>2507</v>
      </c>
      <c r="D4144" s="1" t="str">
        <f>"PRG-1024298"</f>
        <v>PRG-1024298</v>
      </c>
      <c r="E4144" t="s">
        <v>2508</v>
      </c>
      <c r="F4144" t="s">
        <v>4</v>
      </c>
      <c r="G4144" t="str">
        <f>""</f>
        <v/>
      </c>
    </row>
    <row r="4145" spans="1:7" x14ac:dyDescent="0.25">
      <c r="A4145" t="s">
        <v>8</v>
      </c>
      <c r="B4145" s="1" t="str">
        <f>"000019183 - CASA DI BERTACCHI-SODEXO"</f>
        <v>000019183 - CASA DI BERTACCHI-SODEXO</v>
      </c>
      <c r="C4145" t="s">
        <v>378</v>
      </c>
      <c r="D4145" s="1" t="str">
        <f t="shared" ref="D4145:D4172" si="116">"PRG-1024301"</f>
        <v>PRG-1024301</v>
      </c>
      <c r="E4145" t="s">
        <v>36</v>
      </c>
      <c r="F4145" t="s">
        <v>4</v>
      </c>
      <c r="G4145" t="str">
        <f>""</f>
        <v/>
      </c>
    </row>
    <row r="4146" spans="1:7" x14ac:dyDescent="0.25">
      <c r="A4146" t="s">
        <v>8</v>
      </c>
      <c r="B4146" s="1" t="str">
        <f>"000078509 - CASA DI BERTACCHI-SODEXO"</f>
        <v>000078509 - CASA DI BERTACCHI-SODEXO</v>
      </c>
      <c r="C4146" t="s">
        <v>378</v>
      </c>
      <c r="D4146" s="1" t="str">
        <f t="shared" si="116"/>
        <v>PRG-1024301</v>
      </c>
      <c r="E4146" t="s">
        <v>36</v>
      </c>
      <c r="F4146" t="s">
        <v>4</v>
      </c>
      <c r="G4146" t="str">
        <f>""</f>
        <v/>
      </c>
    </row>
    <row r="4147" spans="1:7" x14ac:dyDescent="0.25">
      <c r="A4147" t="s">
        <v>8</v>
      </c>
      <c r="B4147" s="1" t="str">
        <f>"000101288 - CASA DI BERTACCHI-SODEXO"</f>
        <v>000101288 - CASA DI BERTACCHI-SODEXO</v>
      </c>
      <c r="C4147" t="s">
        <v>378</v>
      </c>
      <c r="D4147" s="1" t="str">
        <f t="shared" si="116"/>
        <v>PRG-1024301</v>
      </c>
      <c r="E4147" t="s">
        <v>36</v>
      </c>
      <c r="F4147" t="s">
        <v>4</v>
      </c>
      <c r="G4147" t="str">
        <f>""</f>
        <v/>
      </c>
    </row>
    <row r="4148" spans="1:7" x14ac:dyDescent="0.25">
      <c r="A4148" t="s">
        <v>8</v>
      </c>
      <c r="B4148" s="1" t="str">
        <f>"000109607 - CASA DI BERTACCHI-SODEXO"</f>
        <v>000109607 - CASA DI BERTACCHI-SODEXO</v>
      </c>
      <c r="C4148" t="s">
        <v>378</v>
      </c>
      <c r="D4148" s="1" t="str">
        <f t="shared" si="116"/>
        <v>PRG-1024301</v>
      </c>
      <c r="E4148" t="s">
        <v>36</v>
      </c>
      <c r="F4148" t="s">
        <v>4</v>
      </c>
      <c r="G4148" t="str">
        <f>""</f>
        <v/>
      </c>
    </row>
    <row r="4149" spans="1:7" x14ac:dyDescent="0.25">
      <c r="A4149" t="s">
        <v>8</v>
      </c>
      <c r="B4149" s="1" t="str">
        <f>"000164355 - CASA DI BERTACCHI-SODEXO"</f>
        <v>000164355 - CASA DI BERTACCHI-SODEXO</v>
      </c>
      <c r="C4149" t="s">
        <v>378</v>
      </c>
      <c r="D4149" s="1" t="str">
        <f t="shared" si="116"/>
        <v>PRG-1024301</v>
      </c>
      <c r="E4149" t="s">
        <v>36</v>
      </c>
      <c r="F4149" t="s">
        <v>4</v>
      </c>
      <c r="G4149" t="str">
        <f>""</f>
        <v/>
      </c>
    </row>
    <row r="4150" spans="1:7" x14ac:dyDescent="0.25">
      <c r="A4150" t="s">
        <v>8</v>
      </c>
      <c r="B4150" s="1" t="str">
        <f>"000170279 - (L)CASA DI BERT-SODEXO(F)(OR)"</f>
        <v>000170279 - (L)CASA DI BERT-SODEXO(F)(OR)</v>
      </c>
      <c r="C4150" t="s">
        <v>1097</v>
      </c>
      <c r="D4150" s="1" t="str">
        <f t="shared" si="116"/>
        <v>PRG-1024301</v>
      </c>
      <c r="E4150" t="s">
        <v>36</v>
      </c>
      <c r="F4150" t="s">
        <v>4</v>
      </c>
      <c r="G4150" t="str">
        <f>""</f>
        <v/>
      </c>
    </row>
    <row r="4151" spans="1:7" x14ac:dyDescent="0.25">
      <c r="A4151" t="s">
        <v>8</v>
      </c>
      <c r="B4151" s="1" t="str">
        <f>"000174854 - CASA DI BERTACCHI-SODEXO"</f>
        <v>000174854 - CASA DI BERTACCHI-SODEXO</v>
      </c>
      <c r="C4151" t="s">
        <v>378</v>
      </c>
      <c r="D4151" s="1" t="str">
        <f t="shared" si="116"/>
        <v>PRG-1024301</v>
      </c>
      <c r="E4151" t="s">
        <v>36</v>
      </c>
      <c r="F4151" t="s">
        <v>4</v>
      </c>
      <c r="G4151" t="str">
        <f>""</f>
        <v/>
      </c>
    </row>
    <row r="4152" spans="1:7" x14ac:dyDescent="0.25">
      <c r="A4152" t="s">
        <v>8</v>
      </c>
      <c r="B4152" s="1" t="str">
        <f>"000182811 - CASA DI BERTACCHI-SODEXO"</f>
        <v>000182811 - CASA DI BERTACCHI-SODEXO</v>
      </c>
      <c r="C4152" t="s">
        <v>378</v>
      </c>
      <c r="D4152" s="1" t="str">
        <f t="shared" si="116"/>
        <v>PRG-1024301</v>
      </c>
      <c r="E4152" t="s">
        <v>36</v>
      </c>
      <c r="F4152" t="s">
        <v>4</v>
      </c>
      <c r="G4152" t="str">
        <f>""</f>
        <v/>
      </c>
    </row>
    <row r="4153" spans="1:7" x14ac:dyDescent="0.25">
      <c r="A4153" t="s">
        <v>8</v>
      </c>
      <c r="B4153" s="1" t="str">
        <f>"000198845 - CASA DI BERTACCHI-SODEXO"</f>
        <v>000198845 - CASA DI BERTACCHI-SODEXO</v>
      </c>
      <c r="C4153" t="s">
        <v>378</v>
      </c>
      <c r="D4153" s="1" t="str">
        <f t="shared" si="116"/>
        <v>PRG-1024301</v>
      </c>
      <c r="E4153" t="s">
        <v>36</v>
      </c>
      <c r="F4153" t="s">
        <v>4</v>
      </c>
      <c r="G4153" t="str">
        <f>""</f>
        <v/>
      </c>
    </row>
    <row r="4154" spans="1:7" x14ac:dyDescent="0.25">
      <c r="A4154" t="s">
        <v>8</v>
      </c>
      <c r="B4154" s="1" t="str">
        <f>"000203544 - CASA DI BERTACCHI-SODEXO"</f>
        <v>000203544 - CASA DI BERTACCHI-SODEXO</v>
      </c>
      <c r="C4154" t="s">
        <v>378</v>
      </c>
      <c r="D4154" s="1" t="str">
        <f t="shared" si="116"/>
        <v>PRG-1024301</v>
      </c>
      <c r="E4154" t="s">
        <v>36</v>
      </c>
      <c r="F4154" t="s">
        <v>4</v>
      </c>
      <c r="G4154" t="str">
        <f>""</f>
        <v/>
      </c>
    </row>
    <row r="4155" spans="1:7" x14ac:dyDescent="0.25">
      <c r="A4155" t="s">
        <v>8</v>
      </c>
      <c r="B4155" s="1" t="str">
        <f>"000203784 - CASA DI BERTACCHI-SODEXO"</f>
        <v>000203784 - CASA DI BERTACCHI-SODEXO</v>
      </c>
      <c r="C4155" t="s">
        <v>378</v>
      </c>
      <c r="D4155" s="1" t="str">
        <f t="shared" si="116"/>
        <v>PRG-1024301</v>
      </c>
      <c r="E4155" t="s">
        <v>36</v>
      </c>
      <c r="F4155" t="s">
        <v>4</v>
      </c>
      <c r="G4155" t="str">
        <f>""</f>
        <v/>
      </c>
    </row>
    <row r="4156" spans="1:7" x14ac:dyDescent="0.25">
      <c r="A4156" t="s">
        <v>8</v>
      </c>
      <c r="B4156" s="1" t="str">
        <f>"000204178 - CASA DI BERTACCHI-SODEXO"</f>
        <v>000204178 - CASA DI BERTACCHI-SODEXO</v>
      </c>
      <c r="C4156" t="s">
        <v>378</v>
      </c>
      <c r="D4156" s="1" t="str">
        <f t="shared" si="116"/>
        <v>PRG-1024301</v>
      </c>
      <c r="E4156" t="s">
        <v>36</v>
      </c>
      <c r="F4156" t="s">
        <v>4</v>
      </c>
      <c r="G4156" t="str">
        <f>""</f>
        <v/>
      </c>
    </row>
    <row r="4157" spans="1:7" x14ac:dyDescent="0.25">
      <c r="A4157" t="s">
        <v>8</v>
      </c>
      <c r="B4157" s="1" t="str">
        <f>"000208750 - CASA DI BERTACCHI-SODEXO"</f>
        <v>000208750 - CASA DI BERTACCHI-SODEXO</v>
      </c>
      <c r="C4157" t="s">
        <v>378</v>
      </c>
      <c r="D4157" s="1" t="str">
        <f t="shared" si="116"/>
        <v>PRG-1024301</v>
      </c>
      <c r="E4157" t="s">
        <v>36</v>
      </c>
      <c r="F4157" t="s">
        <v>4</v>
      </c>
      <c r="G4157" t="str">
        <f>""</f>
        <v/>
      </c>
    </row>
    <row r="4158" spans="1:7" x14ac:dyDescent="0.25">
      <c r="A4158" t="s">
        <v>8</v>
      </c>
      <c r="B4158" s="1" t="str">
        <f>"000213076 - CASA DI BERTACCHI-SODEXO"</f>
        <v>000213076 - CASA DI BERTACCHI-SODEXO</v>
      </c>
      <c r="C4158" t="s">
        <v>378</v>
      </c>
      <c r="D4158" s="1" t="str">
        <f t="shared" si="116"/>
        <v>PRG-1024301</v>
      </c>
      <c r="E4158" t="s">
        <v>36</v>
      </c>
      <c r="F4158" t="s">
        <v>4</v>
      </c>
      <c r="G4158" t="str">
        <f>""</f>
        <v/>
      </c>
    </row>
    <row r="4159" spans="1:7" x14ac:dyDescent="0.25">
      <c r="A4159" t="s">
        <v>8</v>
      </c>
      <c r="B4159" s="1" t="str">
        <f>"000221871 - CASA DI BERTACCHI-SODEXO"</f>
        <v>000221871 - CASA DI BERTACCHI-SODEXO</v>
      </c>
      <c r="C4159" t="s">
        <v>378</v>
      </c>
      <c r="D4159" s="1" t="str">
        <f t="shared" si="116"/>
        <v>PRG-1024301</v>
      </c>
      <c r="E4159" t="s">
        <v>36</v>
      </c>
      <c r="F4159" t="s">
        <v>4</v>
      </c>
      <c r="G4159" t="str">
        <f>""</f>
        <v/>
      </c>
    </row>
    <row r="4160" spans="1:7" x14ac:dyDescent="0.25">
      <c r="A4160" t="s">
        <v>8</v>
      </c>
      <c r="B4160" s="1" t="str">
        <f>"000222970 - CASA DI BERTACCHI-SODEXO"</f>
        <v>000222970 - CASA DI BERTACCHI-SODEXO</v>
      </c>
      <c r="C4160" t="s">
        <v>378</v>
      </c>
      <c r="D4160" s="1" t="str">
        <f t="shared" si="116"/>
        <v>PRG-1024301</v>
      </c>
      <c r="E4160" t="s">
        <v>36</v>
      </c>
      <c r="F4160" t="s">
        <v>4</v>
      </c>
      <c r="G4160" t="str">
        <f>""</f>
        <v/>
      </c>
    </row>
    <row r="4161" spans="1:7" x14ac:dyDescent="0.25">
      <c r="A4161" t="s">
        <v>8</v>
      </c>
      <c r="B4161" s="1" t="str">
        <f>"000229896 - CASA DI BERTACCHI-SODEXO"</f>
        <v>000229896 - CASA DI BERTACCHI-SODEXO</v>
      </c>
      <c r="C4161" t="s">
        <v>378</v>
      </c>
      <c r="D4161" s="1" t="str">
        <f t="shared" si="116"/>
        <v>PRG-1024301</v>
      </c>
      <c r="E4161" t="s">
        <v>36</v>
      </c>
      <c r="F4161" t="s">
        <v>4</v>
      </c>
      <c r="G4161" t="str">
        <f>""</f>
        <v/>
      </c>
    </row>
    <row r="4162" spans="1:7" x14ac:dyDescent="0.25">
      <c r="A4162" t="s">
        <v>8</v>
      </c>
      <c r="B4162" s="1" t="str">
        <f>"000231760 - CASA DI BERTACCHI-SODEXO"</f>
        <v>000231760 - CASA DI BERTACCHI-SODEXO</v>
      </c>
      <c r="C4162" t="s">
        <v>378</v>
      </c>
      <c r="D4162" s="1" t="str">
        <f t="shared" si="116"/>
        <v>PRG-1024301</v>
      </c>
      <c r="E4162" t="s">
        <v>36</v>
      </c>
      <c r="F4162" t="s">
        <v>4</v>
      </c>
      <c r="G4162" t="str">
        <f>""</f>
        <v/>
      </c>
    </row>
    <row r="4163" spans="1:7" x14ac:dyDescent="0.25">
      <c r="A4163" t="s">
        <v>8</v>
      </c>
      <c r="B4163" s="1" t="str">
        <f>"000233137 - CASA DI BERTACCHI-SODEXO"</f>
        <v>000233137 - CASA DI BERTACCHI-SODEXO</v>
      </c>
      <c r="C4163" t="s">
        <v>378</v>
      </c>
      <c r="D4163" s="1" t="str">
        <f t="shared" si="116"/>
        <v>PRG-1024301</v>
      </c>
      <c r="E4163" t="s">
        <v>36</v>
      </c>
      <c r="F4163" t="s">
        <v>4</v>
      </c>
      <c r="G4163" t="str">
        <f>""</f>
        <v/>
      </c>
    </row>
    <row r="4164" spans="1:7" x14ac:dyDescent="0.25">
      <c r="A4164" t="s">
        <v>8</v>
      </c>
      <c r="B4164" s="1" t="str">
        <f>"000247821 - CASA DI BERTACCHI-SODEXO"</f>
        <v>000247821 - CASA DI BERTACCHI-SODEXO</v>
      </c>
      <c r="C4164" t="s">
        <v>378</v>
      </c>
      <c r="D4164" s="1" t="str">
        <f t="shared" si="116"/>
        <v>PRG-1024301</v>
      </c>
      <c r="E4164" t="s">
        <v>36</v>
      </c>
      <c r="F4164" t="s">
        <v>4</v>
      </c>
      <c r="G4164" t="str">
        <f>""</f>
        <v/>
      </c>
    </row>
    <row r="4165" spans="1:7" x14ac:dyDescent="0.25">
      <c r="A4165" t="s">
        <v>8</v>
      </c>
      <c r="B4165" s="1" t="str">
        <f>"000247989 - CASA DI BERTACCHI-SODEXO"</f>
        <v>000247989 - CASA DI BERTACCHI-SODEXO</v>
      </c>
      <c r="C4165" t="s">
        <v>378</v>
      </c>
      <c r="D4165" s="1" t="str">
        <f t="shared" si="116"/>
        <v>PRG-1024301</v>
      </c>
      <c r="E4165" t="s">
        <v>36</v>
      </c>
      <c r="F4165" t="s">
        <v>4</v>
      </c>
      <c r="G4165" t="str">
        <f>""</f>
        <v/>
      </c>
    </row>
    <row r="4166" spans="1:7" x14ac:dyDescent="0.25">
      <c r="A4166" t="s">
        <v>8</v>
      </c>
      <c r="B4166" s="1" t="str">
        <f>"000251360 - CASA DI BERTACCHI-SODEXO"</f>
        <v>000251360 - CASA DI BERTACCHI-SODEXO</v>
      </c>
      <c r="C4166" t="s">
        <v>378</v>
      </c>
      <c r="D4166" s="1" t="str">
        <f t="shared" si="116"/>
        <v>PRG-1024301</v>
      </c>
      <c r="E4166" t="s">
        <v>36</v>
      </c>
      <c r="F4166" t="s">
        <v>4</v>
      </c>
      <c r="G4166" t="str">
        <f>""</f>
        <v/>
      </c>
    </row>
    <row r="4167" spans="1:7" x14ac:dyDescent="0.25">
      <c r="A4167" t="s">
        <v>8</v>
      </c>
      <c r="B4167" s="1" t="str">
        <f>"000263420 - CASA DI BERTACCHI-SODEXO"</f>
        <v>000263420 - CASA DI BERTACCHI-SODEXO</v>
      </c>
      <c r="C4167" t="s">
        <v>378</v>
      </c>
      <c r="D4167" s="1" t="str">
        <f t="shared" si="116"/>
        <v>PRG-1024301</v>
      </c>
      <c r="E4167" t="s">
        <v>36</v>
      </c>
      <c r="F4167" t="s">
        <v>4</v>
      </c>
      <c r="G4167" t="str">
        <f>""</f>
        <v/>
      </c>
    </row>
    <row r="4168" spans="1:7" x14ac:dyDescent="0.25">
      <c r="A4168" t="s">
        <v>8</v>
      </c>
      <c r="B4168" s="1" t="str">
        <f>"000273974 - CASA DI BERTACCHI-SODEXO"</f>
        <v>000273974 - CASA DI BERTACCHI-SODEXO</v>
      </c>
      <c r="C4168" t="s">
        <v>378</v>
      </c>
      <c r="D4168" s="1" t="str">
        <f t="shared" si="116"/>
        <v>PRG-1024301</v>
      </c>
      <c r="E4168" t="s">
        <v>36</v>
      </c>
      <c r="F4168" t="s">
        <v>4</v>
      </c>
      <c r="G4168" t="str">
        <f>""</f>
        <v/>
      </c>
    </row>
    <row r="4169" spans="1:7" x14ac:dyDescent="0.25">
      <c r="A4169" t="s">
        <v>8</v>
      </c>
      <c r="B4169" s="1" t="str">
        <f>"000277481 - CASA DI BERTACCHI-SODEXO"</f>
        <v>000277481 - CASA DI BERTACCHI-SODEXO</v>
      </c>
      <c r="C4169" t="s">
        <v>378</v>
      </c>
      <c r="D4169" s="1" t="str">
        <f t="shared" si="116"/>
        <v>PRG-1024301</v>
      </c>
      <c r="E4169" t="s">
        <v>36</v>
      </c>
      <c r="F4169" t="s">
        <v>4</v>
      </c>
      <c r="G4169" t="str">
        <f>""</f>
        <v/>
      </c>
    </row>
    <row r="4170" spans="1:7" x14ac:dyDescent="0.25">
      <c r="A4170" t="s">
        <v>8</v>
      </c>
      <c r="B4170" s="1" t="str">
        <f>"000299675 - CASA DI BERTACCHI-SODEXO"</f>
        <v>000299675 - CASA DI BERTACCHI-SODEXO</v>
      </c>
      <c r="C4170" t="s">
        <v>378</v>
      </c>
      <c r="D4170" s="1" t="str">
        <f t="shared" si="116"/>
        <v>PRG-1024301</v>
      </c>
      <c r="E4170" t="s">
        <v>36</v>
      </c>
      <c r="F4170" t="s">
        <v>4</v>
      </c>
      <c r="G4170" t="str">
        <f>""</f>
        <v/>
      </c>
    </row>
    <row r="4171" spans="1:7" x14ac:dyDescent="0.25">
      <c r="A4171" t="s">
        <v>8</v>
      </c>
      <c r="B4171" s="1" t="str">
        <f>"000314016 - CASA DI BERTACCHI-SODEXO"</f>
        <v>000314016 - CASA DI BERTACCHI-SODEXO</v>
      </c>
      <c r="C4171" t="s">
        <v>378</v>
      </c>
      <c r="D4171" s="1" t="str">
        <f t="shared" si="116"/>
        <v>PRG-1024301</v>
      </c>
      <c r="E4171" t="s">
        <v>36</v>
      </c>
      <c r="F4171" t="s">
        <v>4</v>
      </c>
      <c r="G4171" t="str">
        <f>""</f>
        <v/>
      </c>
    </row>
    <row r="4172" spans="1:7" x14ac:dyDescent="0.25">
      <c r="A4172" t="s">
        <v>8</v>
      </c>
      <c r="B4172" s="1" t="str">
        <f>"000327484 - CASA DI BERTACCHI-SODEXO"</f>
        <v>000327484 - CASA DI BERTACCHI-SODEXO</v>
      </c>
      <c r="C4172" t="s">
        <v>378</v>
      </c>
      <c r="D4172" s="1" t="str">
        <f t="shared" si="116"/>
        <v>PRG-1024301</v>
      </c>
      <c r="E4172" t="s">
        <v>36</v>
      </c>
      <c r="F4172" t="s">
        <v>4</v>
      </c>
      <c r="G4172" t="str">
        <f>""</f>
        <v/>
      </c>
    </row>
    <row r="4173" spans="1:7" x14ac:dyDescent="0.25">
      <c r="A4173" t="s">
        <v>8</v>
      </c>
      <c r="B4173" s="1" t="str">
        <f>"000244405 - RICH PROD MTVIEW COOP"</f>
        <v>000244405 - RICH PROD MTVIEW COOP</v>
      </c>
      <c r="C4173" t="s">
        <v>1973</v>
      </c>
      <c r="D4173" s="1" t="str">
        <f>"PRG-1024306"</f>
        <v>PRG-1024306</v>
      </c>
      <c r="E4173" t="s">
        <v>1974</v>
      </c>
      <c r="F4173" t="s">
        <v>4</v>
      </c>
      <c r="G4173" t="str">
        <f>""</f>
        <v/>
      </c>
    </row>
    <row r="4174" spans="1:7" x14ac:dyDescent="0.25">
      <c r="A4174" t="s">
        <v>8</v>
      </c>
      <c r="B4174" s="1" t="str">
        <f>"000265509 - RICH PRODUCTS CLOVIS USD"</f>
        <v>000265509 - RICH PRODUCTS CLOVIS USD</v>
      </c>
      <c r="C4174" t="s">
        <v>2384</v>
      </c>
      <c r="D4174" s="1" t="str">
        <f>"PRG-1024307"</f>
        <v>PRG-1024307</v>
      </c>
      <c r="E4174" t="s">
        <v>2385</v>
      </c>
      <c r="F4174" t="s">
        <v>4</v>
      </c>
      <c r="G4174" t="str">
        <f>""</f>
        <v/>
      </c>
    </row>
    <row r="4175" spans="1:7" x14ac:dyDescent="0.25">
      <c r="A4175" t="s">
        <v>8</v>
      </c>
      <c r="B4175" s="1" t="str">
        <f>"000008374 - MSFBG SCHOOLS RICH'S PRODUCTS"</f>
        <v>000008374 - MSFBG SCHOOLS RICH'S PRODUCTS</v>
      </c>
      <c r="C4175" t="s">
        <v>276</v>
      </c>
      <c r="D4175" s="1" t="str">
        <f>"PRG-1024312"</f>
        <v>PRG-1024312</v>
      </c>
      <c r="E4175" t="s">
        <v>277</v>
      </c>
      <c r="F4175" t="s">
        <v>4</v>
      </c>
      <c r="G4175" t="str">
        <f>""</f>
        <v/>
      </c>
    </row>
    <row r="4176" spans="1:7" x14ac:dyDescent="0.25">
      <c r="A4176" t="s">
        <v>8</v>
      </c>
      <c r="B4176" s="1" t="str">
        <f>"23509117"</f>
        <v>23509117</v>
      </c>
      <c r="C4176" t="s">
        <v>4517</v>
      </c>
      <c r="D4176" s="1" t="str">
        <f>"PRG-1024312"</f>
        <v>PRG-1024312</v>
      </c>
      <c r="E4176" t="s">
        <v>277</v>
      </c>
      <c r="F4176" t="s">
        <v>5</v>
      </c>
      <c r="G4176" t="str">
        <f>""</f>
        <v/>
      </c>
    </row>
    <row r="4177" spans="1:7" x14ac:dyDescent="0.25">
      <c r="A4177" t="s">
        <v>8</v>
      </c>
      <c r="B4177" s="1" t="str">
        <f>"000276519 - RICH JAVA CREW"</f>
        <v>000276519 - RICH JAVA CREW</v>
      </c>
      <c r="C4177" t="s">
        <v>2576</v>
      </c>
      <c r="D4177" s="1" t="str">
        <f>"PRG-1024326"</f>
        <v>PRG-1024326</v>
      </c>
      <c r="E4177" t="s">
        <v>2577</v>
      </c>
      <c r="F4177" t="s">
        <v>4</v>
      </c>
      <c r="G4177" t="str">
        <f>""</f>
        <v/>
      </c>
    </row>
    <row r="4178" spans="1:7" x14ac:dyDescent="0.25">
      <c r="A4178" t="s">
        <v>8</v>
      </c>
      <c r="B4178" s="1" t="str">
        <f>"000276984 - RICHS SKI BOWL"</f>
        <v>000276984 - RICHS SKI BOWL</v>
      </c>
      <c r="C4178" t="s">
        <v>2589</v>
      </c>
      <c r="D4178" s="1" t="str">
        <f>"PRG-1024329"</f>
        <v>PRG-1024329</v>
      </c>
      <c r="E4178" t="s">
        <v>2590</v>
      </c>
      <c r="F4178" t="s">
        <v>4</v>
      </c>
      <c r="G4178" t="str">
        <f>""</f>
        <v/>
      </c>
    </row>
    <row r="4179" spans="1:7" x14ac:dyDescent="0.25">
      <c r="A4179" t="s">
        <v>8</v>
      </c>
      <c r="B4179" s="1" t="str">
        <f>"2000183448 - RICH MESA"</f>
        <v>2000183448 - RICH MESA</v>
      </c>
      <c r="C4179" t="s">
        <v>3909</v>
      </c>
      <c r="D4179" s="1" t="str">
        <f>"PRG-1024344"</f>
        <v>PRG-1024344</v>
      </c>
      <c r="E4179" t="s">
        <v>3910</v>
      </c>
      <c r="F4179" t="s">
        <v>4</v>
      </c>
      <c r="G4179" t="str">
        <f>""</f>
        <v/>
      </c>
    </row>
    <row r="4180" spans="1:7" x14ac:dyDescent="0.25">
      <c r="A4180" t="s">
        <v>8</v>
      </c>
      <c r="B4180" s="1" t="str">
        <f>"2000208913 - RICH PRODUCTS CORP INTM-MESA SD"</f>
        <v>2000208913 - RICH PRODUCTS CORP INTM-MESA SD</v>
      </c>
      <c r="C4180" t="s">
        <v>3949</v>
      </c>
      <c r="D4180" s="1" t="str">
        <f>"PRG-1024344"</f>
        <v>PRG-1024344</v>
      </c>
      <c r="E4180" t="s">
        <v>3910</v>
      </c>
      <c r="F4180" t="s">
        <v>4</v>
      </c>
      <c r="G4180" t="str">
        <f>""</f>
        <v/>
      </c>
    </row>
    <row r="4181" spans="1:7" x14ac:dyDescent="0.25">
      <c r="A4181" t="s">
        <v>8</v>
      </c>
      <c r="B4181" s="1" t="str">
        <f>"000244915 - YUBA CITY USD RICH CC"</f>
        <v>000244915 - YUBA CITY USD RICH CC</v>
      </c>
      <c r="C4181" t="s">
        <v>1994</v>
      </c>
      <c r="D4181" s="1" t="str">
        <f>"PRG-1024387"</f>
        <v>PRG-1024387</v>
      </c>
      <c r="E4181" t="s">
        <v>1995</v>
      </c>
      <c r="F4181" t="s">
        <v>4</v>
      </c>
      <c r="G4181" t="str">
        <f>""</f>
        <v/>
      </c>
    </row>
    <row r="4182" spans="1:7" x14ac:dyDescent="0.25">
      <c r="A4182" t="s">
        <v>8</v>
      </c>
      <c r="B4182" s="1" t="str">
        <f>"2000198380 - RICHS INTM-BYU"</f>
        <v>2000198380 - RICHS INTM-BYU</v>
      </c>
      <c r="C4182" t="s">
        <v>3943</v>
      </c>
      <c r="D4182" s="1" t="str">
        <f>"PRG-1024391"</f>
        <v>PRG-1024391</v>
      </c>
      <c r="E4182" t="s">
        <v>3944</v>
      </c>
      <c r="F4182" t="s">
        <v>4</v>
      </c>
      <c r="G4182" t="str">
        <f>""</f>
        <v/>
      </c>
    </row>
    <row r="4183" spans="1:7" x14ac:dyDescent="0.25">
      <c r="A4183" t="s">
        <v>8</v>
      </c>
      <c r="B4183" s="1" t="str">
        <f>"2000213090 - RICHS INTM-ALL SKI ACCOUNTS"</f>
        <v>2000213090 - RICHS INTM-ALL SKI ACCOUNTS</v>
      </c>
      <c r="C4183" t="s">
        <v>3954</v>
      </c>
      <c r="D4183" s="1" t="str">
        <f>"PRG-1024391"</f>
        <v>PRG-1024391</v>
      </c>
      <c r="E4183" t="s">
        <v>3944</v>
      </c>
      <c r="F4183" t="s">
        <v>4</v>
      </c>
      <c r="G4183" t="str">
        <f>""</f>
        <v/>
      </c>
    </row>
    <row r="4184" spans="1:7" x14ac:dyDescent="0.25">
      <c r="A4184" t="s">
        <v>8</v>
      </c>
      <c r="B4184" s="1" t="str">
        <f>"2000188759 - RICH PRODUCTS CORPORATION WTX-AMARI"</f>
        <v>2000188759 - RICH PRODUCTS CORPORATION WTX-AMARI</v>
      </c>
      <c r="C4184" t="s">
        <v>3931</v>
      </c>
      <c r="D4184" s="1" t="str">
        <f>"PRG-1024428"</f>
        <v>PRG-1024428</v>
      </c>
      <c r="E4184" t="s">
        <v>3932</v>
      </c>
      <c r="F4184" t="s">
        <v>4</v>
      </c>
      <c r="G4184" t="str">
        <f>""</f>
        <v/>
      </c>
    </row>
    <row r="4185" spans="1:7" x14ac:dyDescent="0.25">
      <c r="A4185" t="s">
        <v>8</v>
      </c>
      <c r="B4185" s="1" t="str">
        <f>"2000186232 - RICHS ETX-REGION 8"</f>
        <v>2000186232 - RICHS ETX-REGION 8</v>
      </c>
      <c r="C4185" t="s">
        <v>3916</v>
      </c>
      <c r="D4185" s="1" t="str">
        <f>"PRG-1024430"</f>
        <v>PRG-1024430</v>
      </c>
      <c r="E4185" t="s">
        <v>3917</v>
      </c>
      <c r="F4185" t="s">
        <v>4</v>
      </c>
      <c r="G4185" t="str">
        <f>""</f>
        <v/>
      </c>
    </row>
    <row r="4186" spans="1:7" x14ac:dyDescent="0.25">
      <c r="A4186" t="s">
        <v>8</v>
      </c>
      <c r="B4186" s="1" t="str">
        <f>"000001024 - RICH'S SWEET DOUGH SODEXO"</f>
        <v>000001024 - RICH'S SWEET DOUGH SODEXO</v>
      </c>
      <c r="C4186" t="s">
        <v>76</v>
      </c>
      <c r="D4186" s="1" t="str">
        <f t="shared" ref="D4186:D4231" si="117">"PRG-1024481"</f>
        <v>PRG-1024481</v>
      </c>
      <c r="E4186" t="s">
        <v>77</v>
      </c>
      <c r="F4186" t="s">
        <v>4</v>
      </c>
      <c r="G4186" t="str">
        <f>""</f>
        <v/>
      </c>
    </row>
    <row r="4187" spans="1:7" x14ac:dyDescent="0.25">
      <c r="A4187" t="s">
        <v>8</v>
      </c>
      <c r="B4187" s="1" t="str">
        <f>"000028996 - RICH'S SWEET DOUGH-SODEXO"</f>
        <v>000028996 - RICH'S SWEET DOUGH-SODEXO</v>
      </c>
      <c r="C4187" t="s">
        <v>449</v>
      </c>
      <c r="D4187" s="1" t="str">
        <f t="shared" si="117"/>
        <v>PRG-1024481</v>
      </c>
      <c r="E4187" t="s">
        <v>77</v>
      </c>
      <c r="F4187" t="s">
        <v>4</v>
      </c>
      <c r="G4187" t="str">
        <f>""</f>
        <v/>
      </c>
    </row>
    <row r="4188" spans="1:7" x14ac:dyDescent="0.25">
      <c r="A4188" t="s">
        <v>8</v>
      </c>
      <c r="B4188" s="1" t="str">
        <f>"000088933 - RICH'S SWEET DOUGH-SODEXO"</f>
        <v>000088933 - RICH'S SWEET DOUGH-SODEXO</v>
      </c>
      <c r="C4188" t="s">
        <v>449</v>
      </c>
      <c r="D4188" s="1" t="str">
        <f t="shared" si="117"/>
        <v>PRG-1024481</v>
      </c>
      <c r="E4188" t="s">
        <v>77</v>
      </c>
      <c r="F4188" t="s">
        <v>4</v>
      </c>
      <c r="G4188" t="str">
        <f>""</f>
        <v/>
      </c>
    </row>
    <row r="4189" spans="1:7" x14ac:dyDescent="0.25">
      <c r="A4189" t="s">
        <v>8</v>
      </c>
      <c r="B4189" s="1" t="str">
        <f>"000111905 - RICH'S SWEET DOUGH-SODEXO"</f>
        <v>000111905 - RICH'S SWEET DOUGH-SODEXO</v>
      </c>
      <c r="C4189" t="s">
        <v>449</v>
      </c>
      <c r="D4189" s="1" t="str">
        <f t="shared" si="117"/>
        <v>PRG-1024481</v>
      </c>
      <c r="E4189" t="s">
        <v>77</v>
      </c>
      <c r="F4189" t="s">
        <v>4</v>
      </c>
      <c r="G4189" t="str">
        <f>""</f>
        <v/>
      </c>
    </row>
    <row r="4190" spans="1:7" x14ac:dyDescent="0.25">
      <c r="A4190" t="s">
        <v>8</v>
      </c>
      <c r="B4190" s="1" t="str">
        <f>"000120417 - RICH'S SWEET DOUGH-SODEXO"</f>
        <v>000120417 - RICH'S SWEET DOUGH-SODEXO</v>
      </c>
      <c r="C4190" t="s">
        <v>449</v>
      </c>
      <c r="D4190" s="1" t="str">
        <f t="shared" si="117"/>
        <v>PRG-1024481</v>
      </c>
      <c r="E4190" t="s">
        <v>77</v>
      </c>
      <c r="F4190" t="s">
        <v>4</v>
      </c>
      <c r="G4190" t="str">
        <f>""</f>
        <v/>
      </c>
    </row>
    <row r="4191" spans="1:7" x14ac:dyDescent="0.25">
      <c r="A4191" t="s">
        <v>8</v>
      </c>
      <c r="B4191" s="1" t="str">
        <f>"000123265 - RICHS SWEET DOUGH-SODEXO"</f>
        <v>000123265 - RICHS SWEET DOUGH-SODEXO</v>
      </c>
      <c r="C4191" t="s">
        <v>137</v>
      </c>
      <c r="D4191" s="1" t="str">
        <f t="shared" si="117"/>
        <v>PRG-1024481</v>
      </c>
      <c r="E4191" t="s">
        <v>77</v>
      </c>
      <c r="F4191" t="s">
        <v>4</v>
      </c>
      <c r="G4191" t="str">
        <f>""</f>
        <v/>
      </c>
    </row>
    <row r="4192" spans="1:7" x14ac:dyDescent="0.25">
      <c r="A4192" t="s">
        <v>8</v>
      </c>
      <c r="B4192" s="1" t="str">
        <f>"000165472 - RICHS SWEET DOUGH-SODEXO"</f>
        <v>000165472 - RICHS SWEET DOUGH-SODEXO</v>
      </c>
      <c r="C4192" t="s">
        <v>137</v>
      </c>
      <c r="D4192" s="1" t="str">
        <f t="shared" si="117"/>
        <v>PRG-1024481</v>
      </c>
      <c r="E4192" t="s">
        <v>77</v>
      </c>
      <c r="F4192" t="s">
        <v>4</v>
      </c>
      <c r="G4192" t="str">
        <f>""</f>
        <v/>
      </c>
    </row>
    <row r="4193" spans="1:7" x14ac:dyDescent="0.25">
      <c r="A4193" t="s">
        <v>8</v>
      </c>
      <c r="B4193" s="1" t="str">
        <f>"000175900 - RICH'S SWEET DOUGH-SODEXO"</f>
        <v>000175900 - RICH'S SWEET DOUGH-SODEXO</v>
      </c>
      <c r="C4193" t="s">
        <v>449</v>
      </c>
      <c r="D4193" s="1" t="str">
        <f t="shared" si="117"/>
        <v>PRG-1024481</v>
      </c>
      <c r="E4193" t="s">
        <v>77</v>
      </c>
      <c r="F4193" t="s">
        <v>4</v>
      </c>
      <c r="G4193" t="str">
        <f>""</f>
        <v/>
      </c>
    </row>
    <row r="4194" spans="1:7" x14ac:dyDescent="0.25">
      <c r="A4194" t="s">
        <v>8</v>
      </c>
      <c r="B4194" s="1" t="str">
        <f>"000177159 - RICH'S SWEET DOUGH-SODEXO"</f>
        <v>000177159 - RICH'S SWEET DOUGH-SODEXO</v>
      </c>
      <c r="C4194" t="s">
        <v>449</v>
      </c>
      <c r="D4194" s="1" t="str">
        <f t="shared" si="117"/>
        <v>PRG-1024481</v>
      </c>
      <c r="E4194" t="s">
        <v>77</v>
      </c>
      <c r="F4194" t="s">
        <v>4</v>
      </c>
      <c r="G4194" t="str">
        <f>""</f>
        <v/>
      </c>
    </row>
    <row r="4195" spans="1:7" x14ac:dyDescent="0.25">
      <c r="A4195" t="s">
        <v>8</v>
      </c>
      <c r="B4195" s="1" t="str">
        <f>"000177174 - (L)RICHS SWEET DOUGH-SODEX(OR)"</f>
        <v>000177174 - (L)RICHS SWEET DOUGH-SODEX(OR)</v>
      </c>
      <c r="C4195" t="s">
        <v>1122</v>
      </c>
      <c r="D4195" s="1" t="str">
        <f t="shared" si="117"/>
        <v>PRG-1024481</v>
      </c>
      <c r="E4195" t="s">
        <v>77</v>
      </c>
      <c r="F4195" t="s">
        <v>4</v>
      </c>
      <c r="G4195" t="str">
        <f>""</f>
        <v/>
      </c>
    </row>
    <row r="4196" spans="1:7" x14ac:dyDescent="0.25">
      <c r="A4196" t="s">
        <v>8</v>
      </c>
      <c r="B4196" s="1" t="str">
        <f>"000185102 - RICH'S SWEET DOUGH-SODEXO"</f>
        <v>000185102 - RICH'S SWEET DOUGH-SODEXO</v>
      </c>
      <c r="C4196" t="s">
        <v>449</v>
      </c>
      <c r="D4196" s="1" t="str">
        <f t="shared" si="117"/>
        <v>PRG-1024481</v>
      </c>
      <c r="E4196" t="s">
        <v>77</v>
      </c>
      <c r="F4196" t="s">
        <v>4</v>
      </c>
      <c r="G4196" t="str">
        <f>""</f>
        <v/>
      </c>
    </row>
    <row r="4197" spans="1:7" x14ac:dyDescent="0.25">
      <c r="A4197" t="s">
        <v>8</v>
      </c>
      <c r="B4197" s="1" t="str">
        <f>"000200134 - BB SODEXO FOB RICH SWEET DOUGH"</f>
        <v>000200134 - BB SODEXO FOB RICH SWEET DOUGH</v>
      </c>
      <c r="C4197" t="s">
        <v>1159</v>
      </c>
      <c r="D4197" s="1" t="str">
        <f t="shared" si="117"/>
        <v>PRG-1024481</v>
      </c>
      <c r="E4197" t="s">
        <v>77</v>
      </c>
      <c r="F4197" t="s">
        <v>4</v>
      </c>
      <c r="G4197" t="str">
        <f>""</f>
        <v/>
      </c>
    </row>
    <row r="4198" spans="1:7" x14ac:dyDescent="0.25">
      <c r="A4198" t="s">
        <v>8</v>
      </c>
      <c r="B4198" s="1" t="str">
        <f>"000201751 - RICH'S SWEET DOUGH-SODEXO"</f>
        <v>000201751 - RICH'S SWEET DOUGH-SODEXO</v>
      </c>
      <c r="C4198" t="s">
        <v>449</v>
      </c>
      <c r="D4198" s="1" t="str">
        <f t="shared" si="117"/>
        <v>PRG-1024481</v>
      </c>
      <c r="E4198" t="s">
        <v>77</v>
      </c>
      <c r="F4198" t="s">
        <v>4</v>
      </c>
      <c r="G4198" t="str">
        <f>""</f>
        <v/>
      </c>
    </row>
    <row r="4199" spans="1:7" x14ac:dyDescent="0.25">
      <c r="A4199" t="s">
        <v>8</v>
      </c>
      <c r="B4199" s="1" t="str">
        <f>"000202394 - RICH'S SWEET DOUGH-SODEXO"</f>
        <v>000202394 - RICH'S SWEET DOUGH-SODEXO</v>
      </c>
      <c r="C4199" t="s">
        <v>449</v>
      </c>
      <c r="D4199" s="1" t="str">
        <f t="shared" si="117"/>
        <v>PRG-1024481</v>
      </c>
      <c r="E4199" t="s">
        <v>77</v>
      </c>
      <c r="F4199" t="s">
        <v>4</v>
      </c>
      <c r="G4199" t="str">
        <f>""</f>
        <v/>
      </c>
    </row>
    <row r="4200" spans="1:7" x14ac:dyDescent="0.25">
      <c r="A4200" t="s">
        <v>8</v>
      </c>
      <c r="B4200" s="1" t="str">
        <f>"000203058 - RICH'S SWEET DOUGH-SODEXO"</f>
        <v>000203058 - RICH'S SWEET DOUGH-SODEXO</v>
      </c>
      <c r="C4200" t="s">
        <v>449</v>
      </c>
      <c r="D4200" s="1" t="str">
        <f t="shared" si="117"/>
        <v>PRG-1024481</v>
      </c>
      <c r="E4200" t="s">
        <v>77</v>
      </c>
      <c r="F4200" t="s">
        <v>4</v>
      </c>
      <c r="G4200" t="str">
        <f>""</f>
        <v/>
      </c>
    </row>
    <row r="4201" spans="1:7" x14ac:dyDescent="0.25">
      <c r="A4201" t="s">
        <v>8</v>
      </c>
      <c r="B4201" s="1" t="str">
        <f>"000203256 - RICH'S SWEET DOUGH-SODEXO"</f>
        <v>000203256 - RICH'S SWEET DOUGH-SODEXO</v>
      </c>
      <c r="C4201" t="s">
        <v>449</v>
      </c>
      <c r="D4201" s="1" t="str">
        <f t="shared" si="117"/>
        <v>PRG-1024481</v>
      </c>
      <c r="E4201" t="s">
        <v>77</v>
      </c>
      <c r="F4201" t="s">
        <v>4</v>
      </c>
      <c r="G4201" t="str">
        <f>""</f>
        <v/>
      </c>
    </row>
    <row r="4202" spans="1:7" x14ac:dyDescent="0.25">
      <c r="A4202" t="s">
        <v>8</v>
      </c>
      <c r="B4202" s="1" t="str">
        <f>"000209337 - RICH'S SWEET DOUGH-SODEXO"</f>
        <v>000209337 - RICH'S SWEET DOUGH-SODEXO</v>
      </c>
      <c r="C4202" t="s">
        <v>449</v>
      </c>
      <c r="D4202" s="1" t="str">
        <f t="shared" si="117"/>
        <v>PRG-1024481</v>
      </c>
      <c r="E4202" t="s">
        <v>77</v>
      </c>
      <c r="F4202" t="s">
        <v>4</v>
      </c>
      <c r="G4202" t="str">
        <f>""</f>
        <v/>
      </c>
    </row>
    <row r="4203" spans="1:7" x14ac:dyDescent="0.25">
      <c r="A4203" t="s">
        <v>8</v>
      </c>
      <c r="B4203" s="1" t="str">
        <f>"000209377 - RICHS SWEET DOUGH-SODEXO(20933"</f>
        <v>000209377 - RICHS SWEET DOUGH-SODEXO(20933</v>
      </c>
      <c r="C4203" t="s">
        <v>1422</v>
      </c>
      <c r="D4203" s="1" t="str">
        <f t="shared" si="117"/>
        <v>PRG-1024481</v>
      </c>
      <c r="E4203" t="s">
        <v>77</v>
      </c>
      <c r="F4203" t="s">
        <v>4</v>
      </c>
      <c r="G4203" t="str">
        <f>""</f>
        <v/>
      </c>
    </row>
    <row r="4204" spans="1:7" x14ac:dyDescent="0.25">
      <c r="A4204" t="s">
        <v>8</v>
      </c>
      <c r="B4204" s="1" t="str">
        <f>"000212466 - RICH'S SWEET DOUGH-SODEXO"</f>
        <v>000212466 - RICH'S SWEET DOUGH-SODEXO</v>
      </c>
      <c r="C4204" t="s">
        <v>449</v>
      </c>
      <c r="D4204" s="1" t="str">
        <f t="shared" si="117"/>
        <v>PRG-1024481</v>
      </c>
      <c r="E4204" t="s">
        <v>77</v>
      </c>
      <c r="F4204" t="s">
        <v>4</v>
      </c>
      <c r="G4204" t="str">
        <f>""</f>
        <v/>
      </c>
    </row>
    <row r="4205" spans="1:7" x14ac:dyDescent="0.25">
      <c r="A4205" t="s">
        <v>8</v>
      </c>
      <c r="B4205" s="1" t="str">
        <f>"000213229 - RICH'S SWEET DOUGH-SODEXO"</f>
        <v>000213229 - RICH'S SWEET DOUGH-SODEXO</v>
      </c>
      <c r="C4205" t="s">
        <v>449</v>
      </c>
      <c r="D4205" s="1" t="str">
        <f t="shared" si="117"/>
        <v>PRG-1024481</v>
      </c>
      <c r="E4205" t="s">
        <v>77</v>
      </c>
      <c r="F4205" t="s">
        <v>4</v>
      </c>
      <c r="G4205" t="str">
        <f>""</f>
        <v/>
      </c>
    </row>
    <row r="4206" spans="1:7" x14ac:dyDescent="0.25">
      <c r="A4206" t="s">
        <v>8</v>
      </c>
      <c r="B4206" s="1" t="str">
        <f>"000213671 - RICHS SWEET DOUGH-SODEXO"</f>
        <v>000213671 - RICHS SWEET DOUGH-SODEXO</v>
      </c>
      <c r="C4206" t="s">
        <v>137</v>
      </c>
      <c r="D4206" s="1" t="str">
        <f t="shared" si="117"/>
        <v>PRG-1024481</v>
      </c>
      <c r="E4206" t="s">
        <v>77</v>
      </c>
      <c r="F4206" t="s">
        <v>4</v>
      </c>
      <c r="G4206" t="str">
        <f>""</f>
        <v/>
      </c>
    </row>
    <row r="4207" spans="1:7" x14ac:dyDescent="0.25">
      <c r="A4207" t="s">
        <v>8</v>
      </c>
      <c r="B4207" s="1" t="str">
        <f>"000213829 - RICH'S SWEET DOUGH-SODEXO"</f>
        <v>000213829 - RICH'S SWEET DOUGH-SODEXO</v>
      </c>
      <c r="C4207" t="s">
        <v>449</v>
      </c>
      <c r="D4207" s="1" t="str">
        <f t="shared" si="117"/>
        <v>PRG-1024481</v>
      </c>
      <c r="E4207" t="s">
        <v>77</v>
      </c>
      <c r="F4207" t="s">
        <v>4</v>
      </c>
      <c r="G4207" t="str">
        <f>""</f>
        <v/>
      </c>
    </row>
    <row r="4208" spans="1:7" x14ac:dyDescent="0.25">
      <c r="A4208" t="s">
        <v>8</v>
      </c>
      <c r="B4208" s="1" t="str">
        <f>"000215093 - RICHS SWEET DOUGH-SODEXO"</f>
        <v>000215093 - RICHS SWEET DOUGH-SODEXO</v>
      </c>
      <c r="C4208" t="s">
        <v>137</v>
      </c>
      <c r="D4208" s="1" t="str">
        <f t="shared" si="117"/>
        <v>PRG-1024481</v>
      </c>
      <c r="E4208" t="s">
        <v>77</v>
      </c>
      <c r="F4208" t="s">
        <v>4</v>
      </c>
      <c r="G4208" t="str">
        <f>""</f>
        <v/>
      </c>
    </row>
    <row r="4209" spans="1:7" x14ac:dyDescent="0.25">
      <c r="A4209" t="s">
        <v>8</v>
      </c>
      <c r="B4209" s="1" t="str">
        <f>"000215308 - RICH'S SWEET DOUGH-SODEXO"</f>
        <v>000215308 - RICH'S SWEET DOUGH-SODEXO</v>
      </c>
      <c r="C4209" t="s">
        <v>449</v>
      </c>
      <c r="D4209" s="1" t="str">
        <f t="shared" si="117"/>
        <v>PRG-1024481</v>
      </c>
      <c r="E4209" t="s">
        <v>77</v>
      </c>
      <c r="F4209" t="s">
        <v>4</v>
      </c>
      <c r="G4209" t="str">
        <f>""</f>
        <v/>
      </c>
    </row>
    <row r="4210" spans="1:7" x14ac:dyDescent="0.25">
      <c r="A4210" t="s">
        <v>8</v>
      </c>
      <c r="B4210" s="1" t="str">
        <f>"000220034 - RICH'S SWEET DOUGH-SODEXO"</f>
        <v>000220034 - RICH'S SWEET DOUGH-SODEXO</v>
      </c>
      <c r="C4210" t="s">
        <v>449</v>
      </c>
      <c r="D4210" s="1" t="str">
        <f t="shared" si="117"/>
        <v>PRG-1024481</v>
      </c>
      <c r="E4210" t="s">
        <v>77</v>
      </c>
      <c r="F4210" t="s">
        <v>4</v>
      </c>
      <c r="G4210" t="str">
        <f>""</f>
        <v/>
      </c>
    </row>
    <row r="4211" spans="1:7" x14ac:dyDescent="0.25">
      <c r="A4211" t="s">
        <v>8</v>
      </c>
      <c r="B4211" s="1" t="str">
        <f>"000225002 - RICHS SWEET DOUGH-SODEXO"</f>
        <v>000225002 - RICHS SWEET DOUGH-SODEXO</v>
      </c>
      <c r="C4211" t="s">
        <v>137</v>
      </c>
      <c r="D4211" s="1" t="str">
        <f t="shared" si="117"/>
        <v>PRG-1024481</v>
      </c>
      <c r="E4211" t="s">
        <v>77</v>
      </c>
      <c r="F4211" t="s">
        <v>4</v>
      </c>
      <c r="G4211" t="str">
        <f>""</f>
        <v/>
      </c>
    </row>
    <row r="4212" spans="1:7" x14ac:dyDescent="0.25">
      <c r="A4212" t="s">
        <v>8</v>
      </c>
      <c r="B4212" s="1" t="str">
        <f>"000225473 - RICH'S SWEET DOUGH-SODEXO"</f>
        <v>000225473 - RICH'S SWEET DOUGH-SODEXO</v>
      </c>
      <c r="C4212" t="s">
        <v>449</v>
      </c>
      <c r="D4212" s="1" t="str">
        <f t="shared" si="117"/>
        <v>PRG-1024481</v>
      </c>
      <c r="E4212" t="s">
        <v>77</v>
      </c>
      <c r="F4212" t="s">
        <v>4</v>
      </c>
      <c r="G4212" t="str">
        <f>""</f>
        <v/>
      </c>
    </row>
    <row r="4213" spans="1:7" x14ac:dyDescent="0.25">
      <c r="A4213" t="s">
        <v>8</v>
      </c>
      <c r="B4213" s="1" t="str">
        <f>"000226813 - RICH'S SWEET DOUGH-SODEXO"</f>
        <v>000226813 - RICH'S SWEET DOUGH-SODEXO</v>
      </c>
      <c r="C4213" t="s">
        <v>449</v>
      </c>
      <c r="D4213" s="1" t="str">
        <f t="shared" si="117"/>
        <v>PRG-1024481</v>
      </c>
      <c r="E4213" t="s">
        <v>77</v>
      </c>
      <c r="F4213" t="s">
        <v>4</v>
      </c>
      <c r="G4213" t="str">
        <f>""</f>
        <v/>
      </c>
    </row>
    <row r="4214" spans="1:7" x14ac:dyDescent="0.25">
      <c r="A4214" t="s">
        <v>8</v>
      </c>
      <c r="B4214" s="1" t="str">
        <f>"000227558 - RICH'S SWEET DOUGH-SODEXO"</f>
        <v>000227558 - RICH'S SWEET DOUGH-SODEXO</v>
      </c>
      <c r="C4214" t="s">
        <v>449</v>
      </c>
      <c r="D4214" s="1" t="str">
        <f t="shared" si="117"/>
        <v>PRG-1024481</v>
      </c>
      <c r="E4214" t="s">
        <v>77</v>
      </c>
      <c r="F4214" t="s">
        <v>4</v>
      </c>
      <c r="G4214" t="str">
        <f>""</f>
        <v/>
      </c>
    </row>
    <row r="4215" spans="1:7" x14ac:dyDescent="0.25">
      <c r="A4215" t="s">
        <v>8</v>
      </c>
      <c r="B4215" s="1" t="str">
        <f>"000228486 - RICH'S SWEET DOUGH-SODEXO"</f>
        <v>000228486 - RICH'S SWEET DOUGH-SODEXO</v>
      </c>
      <c r="C4215" t="s">
        <v>449</v>
      </c>
      <c r="D4215" s="1" t="str">
        <f t="shared" si="117"/>
        <v>PRG-1024481</v>
      </c>
      <c r="E4215" t="s">
        <v>77</v>
      </c>
      <c r="F4215" t="s">
        <v>4</v>
      </c>
      <c r="G4215" t="str">
        <f>""</f>
        <v/>
      </c>
    </row>
    <row r="4216" spans="1:7" x14ac:dyDescent="0.25">
      <c r="A4216" t="s">
        <v>8</v>
      </c>
      <c r="B4216" s="1" t="str">
        <f>"000232455 - RICH'S SWEET DOUGH-SODEXO"</f>
        <v>000232455 - RICH'S SWEET DOUGH-SODEXO</v>
      </c>
      <c r="C4216" t="s">
        <v>449</v>
      </c>
      <c r="D4216" s="1" t="str">
        <f t="shared" si="117"/>
        <v>PRG-1024481</v>
      </c>
      <c r="E4216" t="s">
        <v>77</v>
      </c>
      <c r="F4216" t="s">
        <v>4</v>
      </c>
      <c r="G4216" t="str">
        <f>""</f>
        <v/>
      </c>
    </row>
    <row r="4217" spans="1:7" x14ac:dyDescent="0.25">
      <c r="A4217" t="s">
        <v>8</v>
      </c>
      <c r="B4217" s="1" t="str">
        <f>"000232984 - RICH'S SWEET DOUGH-SODEXO"</f>
        <v>000232984 - RICH'S SWEET DOUGH-SODEXO</v>
      </c>
      <c r="C4217" t="s">
        <v>449</v>
      </c>
      <c r="D4217" s="1" t="str">
        <f t="shared" si="117"/>
        <v>PRG-1024481</v>
      </c>
      <c r="E4217" t="s">
        <v>77</v>
      </c>
      <c r="F4217" t="s">
        <v>4</v>
      </c>
      <c r="G4217" t="str">
        <f>""</f>
        <v/>
      </c>
    </row>
    <row r="4218" spans="1:7" x14ac:dyDescent="0.25">
      <c r="A4218" t="s">
        <v>8</v>
      </c>
      <c r="B4218" s="1" t="str">
        <f>"000233536 - RICH'S SWEET DOUGH-SODEXO"</f>
        <v>000233536 - RICH'S SWEET DOUGH-SODEXO</v>
      </c>
      <c r="C4218" t="s">
        <v>449</v>
      </c>
      <c r="D4218" s="1" t="str">
        <f t="shared" si="117"/>
        <v>PRG-1024481</v>
      </c>
      <c r="E4218" t="s">
        <v>77</v>
      </c>
      <c r="F4218" t="s">
        <v>4</v>
      </c>
      <c r="G4218" t="str">
        <f>""</f>
        <v/>
      </c>
    </row>
    <row r="4219" spans="1:7" x14ac:dyDescent="0.25">
      <c r="A4219" t="s">
        <v>8</v>
      </c>
      <c r="B4219" s="1" t="str">
        <f>"000234285 - RICH'S SWEET DOUGH-SODEXO"</f>
        <v>000234285 - RICH'S SWEET DOUGH-SODEXO</v>
      </c>
      <c r="C4219" t="s">
        <v>449</v>
      </c>
      <c r="D4219" s="1" t="str">
        <f t="shared" si="117"/>
        <v>PRG-1024481</v>
      </c>
      <c r="E4219" t="s">
        <v>77</v>
      </c>
      <c r="F4219" t="s">
        <v>4</v>
      </c>
      <c r="G4219" t="str">
        <f>""</f>
        <v/>
      </c>
    </row>
    <row r="4220" spans="1:7" x14ac:dyDescent="0.25">
      <c r="A4220" t="s">
        <v>8</v>
      </c>
      <c r="B4220" s="1" t="str">
        <f>"000241562 - RICH'S SWEET DOUGH-SODEXO"</f>
        <v>000241562 - RICH'S SWEET DOUGH-SODEXO</v>
      </c>
      <c r="C4220" t="s">
        <v>449</v>
      </c>
      <c r="D4220" s="1" t="str">
        <f t="shared" si="117"/>
        <v>PRG-1024481</v>
      </c>
      <c r="E4220" t="s">
        <v>77</v>
      </c>
      <c r="F4220" t="s">
        <v>4</v>
      </c>
      <c r="G4220" t="str">
        <f>""</f>
        <v/>
      </c>
    </row>
    <row r="4221" spans="1:7" x14ac:dyDescent="0.25">
      <c r="A4221" t="s">
        <v>8</v>
      </c>
      <c r="B4221" s="1" t="str">
        <f>"000243205 - RICHS SWEET DOUGH-SODEXO"</f>
        <v>000243205 - RICHS SWEET DOUGH-SODEXO</v>
      </c>
      <c r="C4221" t="s">
        <v>137</v>
      </c>
      <c r="D4221" s="1" t="str">
        <f t="shared" si="117"/>
        <v>PRG-1024481</v>
      </c>
      <c r="E4221" t="s">
        <v>77</v>
      </c>
      <c r="F4221" t="s">
        <v>4</v>
      </c>
      <c r="G4221" t="str">
        <f>""</f>
        <v/>
      </c>
    </row>
    <row r="4222" spans="1:7" x14ac:dyDescent="0.25">
      <c r="A4222" t="s">
        <v>8</v>
      </c>
      <c r="B4222" s="1" t="str">
        <f>"000261782 - RICH SWEET DOUGH-SODEXO"</f>
        <v>000261782 - RICH SWEET DOUGH-SODEXO</v>
      </c>
      <c r="C4222" t="s">
        <v>384</v>
      </c>
      <c r="D4222" s="1" t="str">
        <f t="shared" si="117"/>
        <v>PRG-1024481</v>
      </c>
      <c r="E4222" t="s">
        <v>77</v>
      </c>
      <c r="F4222" t="s">
        <v>4</v>
      </c>
      <c r="G4222" t="str">
        <f>""</f>
        <v/>
      </c>
    </row>
    <row r="4223" spans="1:7" x14ac:dyDescent="0.25">
      <c r="A4223" t="s">
        <v>8</v>
      </c>
      <c r="B4223" s="1" t="str">
        <f>"000264584 - RICH'S SWEET DOUGH-SODEXO"</f>
        <v>000264584 - RICH'S SWEET DOUGH-SODEXO</v>
      </c>
      <c r="C4223" t="s">
        <v>449</v>
      </c>
      <c r="D4223" s="1" t="str">
        <f t="shared" si="117"/>
        <v>PRG-1024481</v>
      </c>
      <c r="E4223" t="s">
        <v>77</v>
      </c>
      <c r="F4223" t="s">
        <v>4</v>
      </c>
      <c r="G4223" t="str">
        <f>""</f>
        <v/>
      </c>
    </row>
    <row r="4224" spans="1:7" x14ac:dyDescent="0.25">
      <c r="A4224" t="s">
        <v>8</v>
      </c>
      <c r="B4224" s="1" t="str">
        <f>"000266112 - RICH'S SWEET DOUGH-SODEXO"</f>
        <v>000266112 - RICH'S SWEET DOUGH-SODEXO</v>
      </c>
      <c r="C4224" t="s">
        <v>449</v>
      </c>
      <c r="D4224" s="1" t="str">
        <f t="shared" si="117"/>
        <v>PRG-1024481</v>
      </c>
      <c r="E4224" t="s">
        <v>77</v>
      </c>
      <c r="F4224" t="s">
        <v>4</v>
      </c>
      <c r="G4224" t="str">
        <f>""</f>
        <v/>
      </c>
    </row>
    <row r="4225" spans="1:7" x14ac:dyDescent="0.25">
      <c r="A4225" t="s">
        <v>8</v>
      </c>
      <c r="B4225" s="1" t="str">
        <f>"000266800 - RICH'S SWEET DOUGH-SODEXO"</f>
        <v>000266800 - RICH'S SWEET DOUGH-SODEXO</v>
      </c>
      <c r="C4225" t="s">
        <v>449</v>
      </c>
      <c r="D4225" s="1" t="str">
        <f t="shared" si="117"/>
        <v>PRG-1024481</v>
      </c>
      <c r="E4225" t="s">
        <v>77</v>
      </c>
      <c r="F4225" t="s">
        <v>4</v>
      </c>
      <c r="G4225" t="str">
        <f>""</f>
        <v/>
      </c>
    </row>
    <row r="4226" spans="1:7" x14ac:dyDescent="0.25">
      <c r="A4226" t="s">
        <v>8</v>
      </c>
      <c r="B4226" s="1" t="str">
        <f>"000275150 - RICH'S SWEET DOUGH-SODEXO"</f>
        <v>000275150 - RICH'S SWEET DOUGH-SODEXO</v>
      </c>
      <c r="C4226" t="s">
        <v>449</v>
      </c>
      <c r="D4226" s="1" t="str">
        <f t="shared" si="117"/>
        <v>PRG-1024481</v>
      </c>
      <c r="E4226" t="s">
        <v>77</v>
      </c>
      <c r="F4226" t="s">
        <v>4</v>
      </c>
      <c r="G4226" t="str">
        <f>""</f>
        <v/>
      </c>
    </row>
    <row r="4227" spans="1:7" x14ac:dyDescent="0.25">
      <c r="A4227" t="s">
        <v>8</v>
      </c>
      <c r="B4227" s="1" t="str">
        <f>"000285367 - RICHS SWEET DOUGH-SODEXO"</f>
        <v>000285367 - RICHS SWEET DOUGH-SODEXO</v>
      </c>
      <c r="C4227" t="s">
        <v>137</v>
      </c>
      <c r="D4227" s="1" t="str">
        <f t="shared" si="117"/>
        <v>PRG-1024481</v>
      </c>
      <c r="E4227" t="s">
        <v>77</v>
      </c>
      <c r="F4227" t="s">
        <v>4</v>
      </c>
      <c r="G4227" t="str">
        <f>""</f>
        <v/>
      </c>
    </row>
    <row r="4228" spans="1:7" x14ac:dyDescent="0.25">
      <c r="A4228" t="s">
        <v>8</v>
      </c>
      <c r="B4228" s="1" t="str">
        <f>"000289230 - RICH'S SWEET DOUGH-SODEXO"</f>
        <v>000289230 - RICH'S SWEET DOUGH-SODEXO</v>
      </c>
      <c r="C4228" t="s">
        <v>449</v>
      </c>
      <c r="D4228" s="1" t="str">
        <f t="shared" si="117"/>
        <v>PRG-1024481</v>
      </c>
      <c r="E4228" t="s">
        <v>77</v>
      </c>
      <c r="F4228" t="s">
        <v>4</v>
      </c>
      <c r="G4228" t="str">
        <f>""</f>
        <v/>
      </c>
    </row>
    <row r="4229" spans="1:7" x14ac:dyDescent="0.25">
      <c r="A4229" t="s">
        <v>8</v>
      </c>
      <c r="B4229" s="1" t="str">
        <f>"000292386 - RICHS SWEET DOUGH-SODEXO"</f>
        <v>000292386 - RICHS SWEET DOUGH-SODEXO</v>
      </c>
      <c r="C4229" t="s">
        <v>137</v>
      </c>
      <c r="D4229" s="1" t="str">
        <f t="shared" si="117"/>
        <v>PRG-1024481</v>
      </c>
      <c r="E4229" t="s">
        <v>77</v>
      </c>
      <c r="F4229" t="s">
        <v>4</v>
      </c>
      <c r="G4229" t="str">
        <f>""</f>
        <v/>
      </c>
    </row>
    <row r="4230" spans="1:7" x14ac:dyDescent="0.25">
      <c r="A4230" t="s">
        <v>8</v>
      </c>
      <c r="B4230" s="1" t="str">
        <f>"000295347 - RICH'S SWEET DOUGH-SODEXO"</f>
        <v>000295347 - RICH'S SWEET DOUGH-SODEXO</v>
      </c>
      <c r="C4230" t="s">
        <v>449</v>
      </c>
      <c r="D4230" s="1" t="str">
        <f t="shared" si="117"/>
        <v>PRG-1024481</v>
      </c>
      <c r="E4230" t="s">
        <v>77</v>
      </c>
      <c r="F4230" t="s">
        <v>4</v>
      </c>
      <c r="G4230" t="str">
        <f>""</f>
        <v/>
      </c>
    </row>
    <row r="4231" spans="1:7" x14ac:dyDescent="0.25">
      <c r="A4231" t="s">
        <v>8</v>
      </c>
      <c r="B4231" s="1" t="str">
        <f>"000329557 - RICH'S SWEET DOUGH-SODEXO"</f>
        <v>000329557 - RICH'S SWEET DOUGH-SODEXO</v>
      </c>
      <c r="C4231" t="s">
        <v>449</v>
      </c>
      <c r="D4231" s="1" t="str">
        <f t="shared" si="117"/>
        <v>PRG-1024481</v>
      </c>
      <c r="E4231" t="s">
        <v>77</v>
      </c>
      <c r="F4231" t="s">
        <v>4</v>
      </c>
      <c r="G4231" t="str">
        <f>""</f>
        <v/>
      </c>
    </row>
    <row r="4232" spans="1:7" x14ac:dyDescent="0.25">
      <c r="A4232" t="s">
        <v>8</v>
      </c>
      <c r="B4232" s="1" t="str">
        <f>"000284942 - RICHS-DETWILERS"</f>
        <v>000284942 - RICHS-DETWILERS</v>
      </c>
      <c r="C4232" t="s">
        <v>2716</v>
      </c>
      <c r="D4232" s="1" t="str">
        <f>"PRG-1024482"</f>
        <v>PRG-1024482</v>
      </c>
      <c r="E4232" t="s">
        <v>2717</v>
      </c>
      <c r="F4232" t="s">
        <v>4</v>
      </c>
      <c r="G4232" t="str">
        <f>""</f>
        <v/>
      </c>
    </row>
    <row r="4233" spans="1:7" x14ac:dyDescent="0.25">
      <c r="A4233" t="s">
        <v>8</v>
      </c>
      <c r="B4233" s="1" t="str">
        <f>"000284943 - RICHS-DETWILERS"</f>
        <v>000284943 - RICHS-DETWILERS</v>
      </c>
      <c r="C4233" t="s">
        <v>2716</v>
      </c>
      <c r="D4233" s="1" t="str">
        <f>"PRG-1024482"</f>
        <v>PRG-1024482</v>
      </c>
      <c r="E4233" t="s">
        <v>2717</v>
      </c>
      <c r="F4233" t="s">
        <v>4</v>
      </c>
      <c r="G4233" t="str">
        <f>""</f>
        <v/>
      </c>
    </row>
    <row r="4234" spans="1:7" x14ac:dyDescent="0.25">
      <c r="A4234" t="s">
        <v>8</v>
      </c>
      <c r="B4234" s="1" t="str">
        <f>"000290018 - RICH OLATHE SCHOOLS"</f>
        <v>000290018 - RICH OLATHE SCHOOLS</v>
      </c>
      <c r="C4234" t="s">
        <v>2803</v>
      </c>
      <c r="D4234" s="1" t="str">
        <f>"PRG-1024502"</f>
        <v>PRG-1024502</v>
      </c>
      <c r="E4234" t="s">
        <v>2804</v>
      </c>
      <c r="F4234" t="s">
        <v>4</v>
      </c>
      <c r="G4234" t="str">
        <f>""</f>
        <v/>
      </c>
    </row>
    <row r="4235" spans="1:7" x14ac:dyDescent="0.25">
      <c r="A4235" t="s">
        <v>8</v>
      </c>
      <c r="B4235" s="1" t="str">
        <f>"000205253 - RICH-WORLD OF BEER"</f>
        <v>000205253 - RICH-WORLD OF BEER</v>
      </c>
      <c r="C4235" t="s">
        <v>1358</v>
      </c>
      <c r="D4235" s="1" t="str">
        <f t="shared" ref="D4235:D4240" si="118">"PRG-1024508"</f>
        <v>PRG-1024508</v>
      </c>
      <c r="E4235" t="s">
        <v>739</v>
      </c>
      <c r="F4235" t="s">
        <v>4</v>
      </c>
      <c r="G4235" t="str">
        <f>""</f>
        <v/>
      </c>
    </row>
    <row r="4236" spans="1:7" x14ac:dyDescent="0.25">
      <c r="A4236" t="s">
        <v>8</v>
      </c>
      <c r="B4236" s="1" t="str">
        <f>"000216654 - RICH'S WORLD OF BEER"</f>
        <v>000216654 - RICH'S WORLD OF BEER</v>
      </c>
      <c r="C4236" t="s">
        <v>1534</v>
      </c>
      <c r="D4236" s="1" t="str">
        <f t="shared" si="118"/>
        <v>PRG-1024508</v>
      </c>
      <c r="E4236" t="s">
        <v>739</v>
      </c>
      <c r="F4236" t="s">
        <v>4</v>
      </c>
      <c r="G4236" t="str">
        <f>""</f>
        <v/>
      </c>
    </row>
    <row r="4237" spans="1:7" x14ac:dyDescent="0.25">
      <c r="A4237" t="s">
        <v>8</v>
      </c>
      <c r="B4237" s="1" t="str">
        <f>"000257115 - WORLD OF BEER(DO)-RICH FOODS"</f>
        <v>000257115 - WORLD OF BEER(DO)-RICH FOODS</v>
      </c>
      <c r="C4237" t="s">
        <v>2203</v>
      </c>
      <c r="D4237" s="1" t="str">
        <f t="shared" si="118"/>
        <v>PRG-1024508</v>
      </c>
      <c r="E4237" t="s">
        <v>739</v>
      </c>
      <c r="F4237" t="s">
        <v>4</v>
      </c>
      <c r="G4237" t="str">
        <f>""</f>
        <v/>
      </c>
    </row>
    <row r="4238" spans="1:7" x14ac:dyDescent="0.25">
      <c r="A4238" t="s">
        <v>8</v>
      </c>
      <c r="B4238" s="1" t="str">
        <f>"000286363 - RICHS-WOB"</f>
        <v>000286363 - RICHS-WOB</v>
      </c>
      <c r="C4238" t="s">
        <v>2740</v>
      </c>
      <c r="D4238" s="1" t="str">
        <f t="shared" si="118"/>
        <v>PRG-1024508</v>
      </c>
      <c r="E4238" t="s">
        <v>739</v>
      </c>
      <c r="F4238" t="s">
        <v>4</v>
      </c>
      <c r="G4238" t="str">
        <f>""</f>
        <v/>
      </c>
    </row>
    <row r="4239" spans="1:7" x14ac:dyDescent="0.25">
      <c r="A4239" t="s">
        <v>8</v>
      </c>
      <c r="B4239" s="1" t="str">
        <f>"000287106 - RICH'S WORLD OF BEER"</f>
        <v>000287106 - RICH'S WORLD OF BEER</v>
      </c>
      <c r="C4239" t="s">
        <v>1534</v>
      </c>
      <c r="D4239" s="1" t="str">
        <f t="shared" si="118"/>
        <v>PRG-1024508</v>
      </c>
      <c r="E4239" t="s">
        <v>739</v>
      </c>
      <c r="F4239" t="s">
        <v>4</v>
      </c>
      <c r="G4239" t="str">
        <f>""</f>
        <v/>
      </c>
    </row>
    <row r="4240" spans="1:7" x14ac:dyDescent="0.25">
      <c r="A4240" t="s">
        <v>8</v>
      </c>
      <c r="B4240" s="1" t="str">
        <f>"000307559 - RICH PRODUCTS WORLD OF BEER"</f>
        <v>000307559 - RICH PRODUCTS WORLD OF BEER</v>
      </c>
      <c r="C4240" t="s">
        <v>738</v>
      </c>
      <c r="D4240" s="1" t="str">
        <f t="shared" si="118"/>
        <v>PRG-1024508</v>
      </c>
      <c r="E4240" t="s">
        <v>739</v>
      </c>
      <c r="F4240" t="s">
        <v>4</v>
      </c>
      <c r="G4240" t="str">
        <f>""</f>
        <v/>
      </c>
    </row>
    <row r="4241" spans="1:7" x14ac:dyDescent="0.25">
      <c r="A4241" t="s">
        <v>8</v>
      </c>
      <c r="B4241" s="1" t="str">
        <f>"000293740 - ANCHOR MENTAL HEALTH RICHS"</f>
        <v>000293740 - ANCHOR MENTAL HEALTH RICHS</v>
      </c>
      <c r="C4241" t="s">
        <v>2876</v>
      </c>
      <c r="D4241" s="1" t="str">
        <f>"PRG-1024510"</f>
        <v>PRG-1024510</v>
      </c>
      <c r="E4241" t="s">
        <v>2877</v>
      </c>
      <c r="F4241" t="s">
        <v>4</v>
      </c>
      <c r="G4241" t="str">
        <f>""</f>
        <v/>
      </c>
    </row>
    <row r="4242" spans="1:7" x14ac:dyDescent="0.25">
      <c r="A4242" t="s">
        <v>8</v>
      </c>
      <c r="B4242" s="1" t="str">
        <f>"000249123 - RICH PROD LYON CSD"</f>
        <v>000249123 - RICH PROD LYON CSD</v>
      </c>
      <c r="C4242" t="s">
        <v>2058</v>
      </c>
      <c r="D4242" s="1" t="str">
        <f>"PRG-1024522"</f>
        <v>PRG-1024522</v>
      </c>
      <c r="E4242" t="s">
        <v>2059</v>
      </c>
      <c r="F4242" t="s">
        <v>4</v>
      </c>
      <c r="G4242" t="str">
        <f>""</f>
        <v/>
      </c>
    </row>
    <row r="4243" spans="1:7" x14ac:dyDescent="0.25">
      <c r="A4243" t="s">
        <v>8</v>
      </c>
      <c r="B4243" s="1" t="str">
        <f>"000285947 - RICH'S-JOHNNY LEVEROCK'S CHAZE"</f>
        <v>000285947 - RICH'S-JOHNNY LEVEROCK'S CHAZE</v>
      </c>
      <c r="C4243" t="s">
        <v>2729</v>
      </c>
      <c r="D4243" s="1" t="str">
        <f>"PRG-1024532"</f>
        <v>PRG-1024532</v>
      </c>
      <c r="E4243" t="s">
        <v>2730</v>
      </c>
      <c r="F4243" t="s">
        <v>4</v>
      </c>
      <c r="G4243" t="str">
        <f>""</f>
        <v/>
      </c>
    </row>
    <row r="4244" spans="1:7" x14ac:dyDescent="0.25">
      <c r="A4244" t="s">
        <v>8</v>
      </c>
      <c r="B4244" s="1" t="str">
        <f>"000198242 - RICHS VB PORTS NTHUM SUFFOLK"</f>
        <v>000198242 - RICHS VB PORTS NTHUM SUFFOLK</v>
      </c>
      <c r="C4244" t="s">
        <v>1283</v>
      </c>
      <c r="D4244" s="1" t="str">
        <f>"PRG-1024615"</f>
        <v>PRG-1024615</v>
      </c>
      <c r="E4244" t="s">
        <v>1284</v>
      </c>
      <c r="F4244" t="s">
        <v>4</v>
      </c>
      <c r="G4244" t="str">
        <f>""</f>
        <v/>
      </c>
    </row>
    <row r="4245" spans="1:7" x14ac:dyDescent="0.25">
      <c r="A4245" t="s">
        <v>8</v>
      </c>
      <c r="B4245" s="1" t="str">
        <f>"000178624 - 1024667 FLAT IRON GRL RICH"</f>
        <v>000178624 - 1024667 FLAT IRON GRL RICH</v>
      </c>
      <c r="C4245" t="s">
        <v>1128</v>
      </c>
      <c r="D4245" s="1" t="str">
        <f>"PRG-1024667"</f>
        <v>PRG-1024667</v>
      </c>
      <c r="E4245" t="s">
        <v>1129</v>
      </c>
      <c r="F4245" t="s">
        <v>4</v>
      </c>
      <c r="G4245" t="str">
        <f>""</f>
        <v/>
      </c>
    </row>
    <row r="4246" spans="1:7" x14ac:dyDescent="0.25">
      <c r="A4246" t="s">
        <v>8</v>
      </c>
      <c r="B4246" s="1" t="str">
        <f>"000216910 - RICH FOODS BIG STEER"</f>
        <v>000216910 - RICH FOODS BIG STEER</v>
      </c>
      <c r="C4246" t="s">
        <v>1544</v>
      </c>
      <c r="D4246" s="1" t="str">
        <f>"PRG-1024683"</f>
        <v>PRG-1024683</v>
      </c>
      <c r="E4246" t="s">
        <v>1545</v>
      </c>
      <c r="F4246" t="s">
        <v>4</v>
      </c>
      <c r="G4246" t="str">
        <f>""</f>
        <v/>
      </c>
    </row>
    <row r="4247" spans="1:7" x14ac:dyDescent="0.25">
      <c r="A4247" t="s">
        <v>8</v>
      </c>
      <c r="B4247" s="1" t="str">
        <f>"000220079 - RICH FOODS BIG STEER"</f>
        <v>000220079 - RICH FOODS BIG STEER</v>
      </c>
      <c r="C4247" t="s">
        <v>1544</v>
      </c>
      <c r="D4247" s="1" t="str">
        <f>"PRG-1024683"</f>
        <v>PRG-1024683</v>
      </c>
      <c r="E4247" t="s">
        <v>1545</v>
      </c>
      <c r="F4247" t="s">
        <v>4</v>
      </c>
      <c r="G4247" t="str">
        <f>""</f>
        <v/>
      </c>
    </row>
    <row r="4248" spans="1:7" x14ac:dyDescent="0.25">
      <c r="A4248" t="s">
        <v>8</v>
      </c>
      <c r="B4248" s="1" t="str">
        <f>"000234002 - "</f>
        <v xml:space="preserve">000234002 - </v>
      </c>
      <c r="D4248" s="1" t="str">
        <f>"PRG-1024683"</f>
        <v>PRG-1024683</v>
      </c>
      <c r="E4248" t="s">
        <v>1545</v>
      </c>
      <c r="F4248" t="s">
        <v>4</v>
      </c>
      <c r="G4248" t="str">
        <f>""</f>
        <v/>
      </c>
    </row>
    <row r="4249" spans="1:7" x14ac:dyDescent="0.25">
      <c r="A4249" t="s">
        <v>8</v>
      </c>
      <c r="B4249" s="1" t="str">
        <f>"000238129 - RICH PRODUCT H&amp;H PURCHASING"</f>
        <v>000238129 - RICH PRODUCT H&amp;H PURCHASING</v>
      </c>
      <c r="C4249" t="s">
        <v>1877</v>
      </c>
      <c r="D4249" s="1" t="str">
        <f t="shared" ref="D4249:D4254" si="119">"PRG-1024721"</f>
        <v>PRG-1024721</v>
      </c>
      <c r="E4249" t="s">
        <v>1565</v>
      </c>
      <c r="F4249" t="s">
        <v>4</v>
      </c>
      <c r="G4249" t="str">
        <f>""</f>
        <v/>
      </c>
    </row>
    <row r="4250" spans="1:7" x14ac:dyDescent="0.25">
      <c r="A4250" t="s">
        <v>8</v>
      </c>
      <c r="B4250" s="1" t="str">
        <f>"000239418 - RICH PRODUCT H&amp;H PURCHASING"</f>
        <v>000239418 - RICH PRODUCT H&amp;H PURCHASING</v>
      </c>
      <c r="C4250" t="s">
        <v>1877</v>
      </c>
      <c r="D4250" s="1" t="str">
        <f t="shared" si="119"/>
        <v>PRG-1024721</v>
      </c>
      <c r="E4250" t="s">
        <v>1565</v>
      </c>
      <c r="F4250" t="s">
        <v>4</v>
      </c>
      <c r="G4250" t="str">
        <f>""</f>
        <v/>
      </c>
    </row>
    <row r="4251" spans="1:7" x14ac:dyDescent="0.25">
      <c r="A4251" t="s">
        <v>8</v>
      </c>
      <c r="B4251" s="1" t="str">
        <f>"000248767 - RICH PRODUCT H&amp;H PURCHASING"</f>
        <v>000248767 - RICH PRODUCT H&amp;H PURCHASING</v>
      </c>
      <c r="C4251" t="s">
        <v>1877</v>
      </c>
      <c r="D4251" s="1" t="str">
        <f t="shared" si="119"/>
        <v>PRG-1024721</v>
      </c>
      <c r="E4251" t="s">
        <v>1565</v>
      </c>
      <c r="F4251" t="s">
        <v>4</v>
      </c>
      <c r="G4251" t="str">
        <f>""</f>
        <v/>
      </c>
    </row>
    <row r="4252" spans="1:7" x14ac:dyDescent="0.25">
      <c r="A4252" t="s">
        <v>8</v>
      </c>
      <c r="B4252" s="1" t="str">
        <f>"000255653 - RICH   H&amp;H PURCHASING"</f>
        <v>000255653 - RICH   H&amp;H PURCHASING</v>
      </c>
      <c r="C4252" t="s">
        <v>2171</v>
      </c>
      <c r="D4252" s="1" t="str">
        <f t="shared" si="119"/>
        <v>PRG-1024721</v>
      </c>
      <c r="E4252" t="s">
        <v>1565</v>
      </c>
      <c r="F4252" t="s">
        <v>4</v>
      </c>
      <c r="G4252" t="str">
        <f>""</f>
        <v/>
      </c>
    </row>
    <row r="4253" spans="1:7" x14ac:dyDescent="0.25">
      <c r="A4253" t="s">
        <v>8</v>
      </c>
      <c r="B4253" s="1" t="str">
        <f>"000277505 - RICHS H&amp;H PURCHASING"</f>
        <v>000277505 - RICHS H&amp;H PURCHASING</v>
      </c>
      <c r="C4253" t="s">
        <v>2603</v>
      </c>
      <c r="D4253" s="1" t="str">
        <f t="shared" si="119"/>
        <v>PRG-1024721</v>
      </c>
      <c r="E4253" t="s">
        <v>1565</v>
      </c>
      <c r="F4253" t="s">
        <v>4</v>
      </c>
      <c r="G4253" t="str">
        <f>""</f>
        <v/>
      </c>
    </row>
    <row r="4254" spans="1:7" x14ac:dyDescent="0.25">
      <c r="A4254" t="s">
        <v>8</v>
      </c>
      <c r="B4254" s="1" t="str">
        <f>"000323285 - RICH H&amp;H PURCHASING"</f>
        <v>000323285 - RICH H&amp;H PURCHASING</v>
      </c>
      <c r="C4254" t="s">
        <v>3266</v>
      </c>
      <c r="D4254" s="1" t="str">
        <f t="shared" si="119"/>
        <v>PRG-1024721</v>
      </c>
      <c r="E4254" t="s">
        <v>1565</v>
      </c>
      <c r="F4254" t="s">
        <v>4</v>
      </c>
      <c r="G4254" t="str">
        <f>""</f>
        <v/>
      </c>
    </row>
    <row r="4255" spans="1:7" x14ac:dyDescent="0.25">
      <c r="A4255" t="s">
        <v>8</v>
      </c>
      <c r="B4255" s="1" t="str">
        <f>"2000222682 - RICHS DEN-AFFINITY GAMING"</f>
        <v>2000222682 - RICHS DEN-AFFINITY GAMING</v>
      </c>
      <c r="C4255" t="s">
        <v>3966</v>
      </c>
      <c r="D4255" s="1" t="str">
        <f>"PRG-1024729"</f>
        <v>PRG-1024729</v>
      </c>
      <c r="E4255" t="s">
        <v>3967</v>
      </c>
      <c r="F4255" t="s">
        <v>4</v>
      </c>
      <c r="G4255" t="str">
        <f>""</f>
        <v/>
      </c>
    </row>
    <row r="4256" spans="1:7" x14ac:dyDescent="0.25">
      <c r="A4256" t="s">
        <v>8</v>
      </c>
      <c r="B4256" s="1" t="str">
        <f>"S6I001V0"</f>
        <v>S6I001V0</v>
      </c>
      <c r="C4256" t="s">
        <v>6078</v>
      </c>
      <c r="D4256" s="1" t="str">
        <f>"PRG-1024729"</f>
        <v>PRG-1024729</v>
      </c>
      <c r="E4256" t="s">
        <v>3967</v>
      </c>
      <c r="F4256" t="s">
        <v>5</v>
      </c>
      <c r="G4256" t="str">
        <f>""</f>
        <v/>
      </c>
    </row>
    <row r="4257" spans="1:7" x14ac:dyDescent="0.25">
      <c r="A4257" t="s">
        <v>8</v>
      </c>
      <c r="B4257" s="1" t="str">
        <f>"S6I019B0"</f>
        <v>S6I019B0</v>
      </c>
      <c r="C4257" t="s">
        <v>6091</v>
      </c>
      <c r="D4257" s="1" t="str">
        <f>"PRG-1024729"</f>
        <v>PRG-1024729</v>
      </c>
      <c r="E4257" t="s">
        <v>3967</v>
      </c>
      <c r="F4257" t="s">
        <v>5</v>
      </c>
      <c r="G4257" t="str">
        <f>""</f>
        <v/>
      </c>
    </row>
    <row r="4258" spans="1:7" x14ac:dyDescent="0.25">
      <c r="A4258" t="s">
        <v>8</v>
      </c>
      <c r="B4258" s="1" t="str">
        <f>"S6V000V0"</f>
        <v>S6V000V0</v>
      </c>
      <c r="C4258" t="s">
        <v>6201</v>
      </c>
      <c r="D4258" s="1" t="str">
        <f>"PRG-1024729"</f>
        <v>PRG-1024729</v>
      </c>
      <c r="E4258" t="s">
        <v>3967</v>
      </c>
      <c r="F4258" t="s">
        <v>5</v>
      </c>
      <c r="G4258" t="str">
        <f>""</f>
        <v/>
      </c>
    </row>
    <row r="4259" spans="1:7" x14ac:dyDescent="0.25">
      <c r="A4259" t="s">
        <v>8</v>
      </c>
      <c r="B4259" s="1" t="str">
        <f>"000000285 - RICH'S-WINCHELL'S"</f>
        <v>000000285 - RICH'S-WINCHELL'S</v>
      </c>
      <c r="C4259" t="s">
        <v>29</v>
      </c>
      <c r="D4259" s="1" t="str">
        <f>"PRG-1024737"</f>
        <v>PRG-1024737</v>
      </c>
      <c r="E4259" t="s">
        <v>30</v>
      </c>
      <c r="F4259" t="s">
        <v>4</v>
      </c>
      <c r="G4259" t="str">
        <f>""</f>
        <v/>
      </c>
    </row>
    <row r="4260" spans="1:7" x14ac:dyDescent="0.25">
      <c r="A4260" t="s">
        <v>8</v>
      </c>
      <c r="B4260" s="1" t="str">
        <f>"2000234272 - RICH'S-WINCHELL'S"</f>
        <v>2000234272 - RICH'S-WINCHELL'S</v>
      </c>
      <c r="C4260" t="s">
        <v>29</v>
      </c>
      <c r="D4260" s="1" t="str">
        <f>"PRG-1024737"</f>
        <v>PRG-1024737</v>
      </c>
      <c r="E4260" t="s">
        <v>30</v>
      </c>
      <c r="F4260" t="s">
        <v>4</v>
      </c>
      <c r="G4260" t="str">
        <f>""</f>
        <v/>
      </c>
    </row>
    <row r="4261" spans="1:7" x14ac:dyDescent="0.25">
      <c r="A4261" t="s">
        <v>8</v>
      </c>
      <c r="B4261" s="1" t="str">
        <f>"2000327468 - RICH'S-WINCHELL'S"</f>
        <v>2000327468 - RICH'S-WINCHELL'S</v>
      </c>
      <c r="C4261" t="s">
        <v>29</v>
      </c>
      <c r="D4261" s="1" t="str">
        <f>"PRG-1024737"</f>
        <v>PRG-1024737</v>
      </c>
      <c r="E4261" t="s">
        <v>30</v>
      </c>
      <c r="F4261" t="s">
        <v>4</v>
      </c>
      <c r="G4261" t="str">
        <f>""</f>
        <v/>
      </c>
    </row>
    <row r="4262" spans="1:7" x14ac:dyDescent="0.25">
      <c r="A4262" t="s">
        <v>8</v>
      </c>
      <c r="B4262" s="1" t="str">
        <f>"000336088 - RICH SAN MARCOS USD"</f>
        <v>000336088 - RICH SAN MARCOS USD</v>
      </c>
      <c r="C4262" t="s">
        <v>3404</v>
      </c>
      <c r="D4262" s="1" t="str">
        <f>"PRG-1024743"</f>
        <v>PRG-1024743</v>
      </c>
      <c r="E4262" t="s">
        <v>3405</v>
      </c>
      <c r="F4262" t="s">
        <v>4</v>
      </c>
      <c r="G4262" t="str">
        <f>""</f>
        <v/>
      </c>
    </row>
    <row r="4263" spans="1:7" x14ac:dyDescent="0.25">
      <c r="A4263" t="s">
        <v>8</v>
      </c>
      <c r="B4263" s="1" t="str">
        <f>"000245266 - RICH'S LAKE TAHOE USD"</f>
        <v>000245266 - RICH'S LAKE TAHOE USD</v>
      </c>
      <c r="C4263" t="s">
        <v>1998</v>
      </c>
      <c r="D4263" s="1" t="str">
        <f>"PRG-1024755"</f>
        <v>PRG-1024755</v>
      </c>
      <c r="E4263" t="s">
        <v>1999</v>
      </c>
      <c r="F4263" t="s">
        <v>4</v>
      </c>
      <c r="G4263" t="str">
        <f>""</f>
        <v/>
      </c>
    </row>
    <row r="4264" spans="1:7" x14ac:dyDescent="0.25">
      <c r="A4264" t="s">
        <v>8</v>
      </c>
      <c r="B4264" s="1" t="str">
        <f>"000216393 - RICH FOODS-AVENDRA"</f>
        <v>000216393 - RICH FOODS-AVENDRA</v>
      </c>
      <c r="C4264" t="s">
        <v>1456</v>
      </c>
      <c r="D4264" s="1" t="str">
        <f>"PRG-1024809"</f>
        <v>PRG-1024809</v>
      </c>
      <c r="E4264" t="s">
        <v>1457</v>
      </c>
      <c r="F4264" t="s">
        <v>4</v>
      </c>
      <c r="G4264" t="str">
        <f>""</f>
        <v/>
      </c>
    </row>
    <row r="4265" spans="1:7" x14ac:dyDescent="0.25">
      <c r="A4265" t="s">
        <v>8</v>
      </c>
      <c r="B4265" s="1" t="str">
        <f>"000223186 - RICH FOODS-AVENDRA"</f>
        <v>000223186 - RICH FOODS-AVENDRA</v>
      </c>
      <c r="C4265" t="s">
        <v>1456</v>
      </c>
      <c r="D4265" s="1" t="str">
        <f>"PRG-1024809"</f>
        <v>PRG-1024809</v>
      </c>
      <c r="E4265" t="s">
        <v>1457</v>
      </c>
      <c r="F4265" t="s">
        <v>4</v>
      </c>
      <c r="G4265" t="str">
        <f>""</f>
        <v/>
      </c>
    </row>
    <row r="4266" spans="1:7" x14ac:dyDescent="0.25">
      <c r="A4266" t="s">
        <v>8</v>
      </c>
      <c r="B4266" s="1" t="str">
        <f>"000226418 - RICH CORE-AVENDRA"</f>
        <v>000226418 - RICH CORE-AVENDRA</v>
      </c>
      <c r="C4266" t="s">
        <v>1693</v>
      </c>
      <c r="D4266" s="1" t="str">
        <f>"PRG-1024809"</f>
        <v>PRG-1024809</v>
      </c>
      <c r="E4266" t="s">
        <v>1457</v>
      </c>
      <c r="F4266" t="s">
        <v>4</v>
      </c>
      <c r="G4266" t="str">
        <f>""</f>
        <v/>
      </c>
    </row>
    <row r="4267" spans="1:7" x14ac:dyDescent="0.25">
      <c r="A4267" t="s">
        <v>8</v>
      </c>
      <c r="B4267" s="1" t="str">
        <f>"000292221 - RICH FOODS-AVENDRA"</f>
        <v>000292221 - RICH FOODS-AVENDRA</v>
      </c>
      <c r="C4267" t="s">
        <v>1456</v>
      </c>
      <c r="D4267" s="1" t="str">
        <f>"PRG-1024809"</f>
        <v>PRG-1024809</v>
      </c>
      <c r="E4267" t="s">
        <v>1457</v>
      </c>
      <c r="F4267" t="s">
        <v>4</v>
      </c>
      <c r="G4267" t="str">
        <f>""</f>
        <v/>
      </c>
    </row>
    <row r="4268" spans="1:7" x14ac:dyDescent="0.25">
      <c r="A4268" t="s">
        <v>8</v>
      </c>
      <c r="B4268" s="1" t="str">
        <f>"000303303 - RICH CORE-AVENDRA"</f>
        <v>000303303 - RICH CORE-AVENDRA</v>
      </c>
      <c r="C4268" t="s">
        <v>1693</v>
      </c>
      <c r="D4268" s="1" t="str">
        <f>"PRG-1024809"</f>
        <v>PRG-1024809</v>
      </c>
      <c r="E4268" t="s">
        <v>1457</v>
      </c>
      <c r="F4268" t="s">
        <v>4</v>
      </c>
      <c r="G4268" t="str">
        <f>""</f>
        <v/>
      </c>
    </row>
    <row r="4269" spans="1:7" x14ac:dyDescent="0.25">
      <c r="A4269" t="s">
        <v>8</v>
      </c>
      <c r="B4269" s="1" t="str">
        <f>"000288776 - RICH PRODUCTS-AVENDRA"</f>
        <v>000288776 - RICH PRODUCTS-AVENDRA</v>
      </c>
      <c r="C4269" t="s">
        <v>2785</v>
      </c>
      <c r="D4269" s="1" t="str">
        <f>"PRG-1024812"</f>
        <v>PRG-1024812</v>
      </c>
      <c r="E4269" t="s">
        <v>1457</v>
      </c>
      <c r="F4269" t="s">
        <v>4</v>
      </c>
      <c r="G4269" t="str">
        <f>""</f>
        <v/>
      </c>
    </row>
    <row r="4270" spans="1:7" x14ac:dyDescent="0.25">
      <c r="A4270" t="s">
        <v>8</v>
      </c>
      <c r="B4270" s="1" t="str">
        <f>"000194725 - RICH COUNTRY KITCHEN"</f>
        <v>000194725 - RICH COUNTRY KITCHEN</v>
      </c>
      <c r="C4270" t="s">
        <v>1246</v>
      </c>
      <c r="D4270" s="1" t="str">
        <f>"PRG-1024816"</f>
        <v>PRG-1024816</v>
      </c>
      <c r="E4270" t="s">
        <v>1163</v>
      </c>
      <c r="F4270" t="s">
        <v>4</v>
      </c>
      <c r="G4270" t="str">
        <f>""</f>
        <v/>
      </c>
    </row>
    <row r="4271" spans="1:7" x14ac:dyDescent="0.25">
      <c r="A4271" t="s">
        <v>8</v>
      </c>
      <c r="B4271" s="1" t="str">
        <f>"3023B565"</f>
        <v>3023B565</v>
      </c>
      <c r="C4271" t="s">
        <v>4582</v>
      </c>
      <c r="D4271" s="1" t="str">
        <f>"PRG-1024822"</f>
        <v>PRG-1024822</v>
      </c>
      <c r="E4271" t="s">
        <v>4583</v>
      </c>
      <c r="F4271" t="s">
        <v>5</v>
      </c>
      <c r="G4271" t="str">
        <f>""</f>
        <v/>
      </c>
    </row>
    <row r="4272" spans="1:7" x14ac:dyDescent="0.25">
      <c r="A4272" t="s">
        <v>8</v>
      </c>
      <c r="B4272" s="1" t="str">
        <f>"3A04DK01"</f>
        <v>3A04DK01</v>
      </c>
      <c r="C4272" t="s">
        <v>4916</v>
      </c>
      <c r="D4272" s="1" t="str">
        <f t="shared" ref="D4272:D4277" si="120">"PRG-1024870"</f>
        <v>PRG-1024870</v>
      </c>
      <c r="E4272" t="s">
        <v>4917</v>
      </c>
      <c r="F4272" t="s">
        <v>5</v>
      </c>
      <c r="G4272" t="str">
        <f>""</f>
        <v/>
      </c>
    </row>
    <row r="4273" spans="1:7" x14ac:dyDescent="0.25">
      <c r="A4273" t="s">
        <v>8</v>
      </c>
      <c r="B4273" s="1" t="str">
        <f>"3A04DK02"</f>
        <v>3A04DK02</v>
      </c>
      <c r="C4273" t="s">
        <v>4916</v>
      </c>
      <c r="D4273" s="1" t="str">
        <f t="shared" si="120"/>
        <v>PRG-1024870</v>
      </c>
      <c r="E4273" t="s">
        <v>4917</v>
      </c>
      <c r="F4273" t="s">
        <v>5</v>
      </c>
      <c r="G4273" t="str">
        <f>""</f>
        <v/>
      </c>
    </row>
    <row r="4274" spans="1:7" x14ac:dyDescent="0.25">
      <c r="A4274" t="s">
        <v>8</v>
      </c>
      <c r="B4274" s="1" t="str">
        <f>"3A04W001"</f>
        <v>3A04W001</v>
      </c>
      <c r="C4274" t="s">
        <v>4916</v>
      </c>
      <c r="D4274" s="1" t="str">
        <f t="shared" si="120"/>
        <v>PRG-1024870</v>
      </c>
      <c r="E4274" t="s">
        <v>4917</v>
      </c>
      <c r="F4274" t="s">
        <v>5</v>
      </c>
      <c r="G4274" t="str">
        <f>""</f>
        <v/>
      </c>
    </row>
    <row r="4275" spans="1:7" x14ac:dyDescent="0.25">
      <c r="A4275" t="s">
        <v>8</v>
      </c>
      <c r="B4275" s="1" t="str">
        <f>"3A04W002"</f>
        <v>3A04W002</v>
      </c>
      <c r="C4275" t="s">
        <v>4916</v>
      </c>
      <c r="D4275" s="1" t="str">
        <f t="shared" si="120"/>
        <v>PRG-1024870</v>
      </c>
      <c r="E4275" t="s">
        <v>4917</v>
      </c>
      <c r="F4275" t="s">
        <v>5</v>
      </c>
      <c r="G4275" t="str">
        <f>""</f>
        <v/>
      </c>
    </row>
    <row r="4276" spans="1:7" x14ac:dyDescent="0.25">
      <c r="A4276" t="s">
        <v>8</v>
      </c>
      <c r="B4276" s="1" t="str">
        <f>"3A05O701"</f>
        <v>3A05O701</v>
      </c>
      <c r="C4276" t="s">
        <v>4916</v>
      </c>
      <c r="D4276" s="1" t="str">
        <f t="shared" si="120"/>
        <v>PRG-1024870</v>
      </c>
      <c r="E4276" t="s">
        <v>4917</v>
      </c>
      <c r="F4276" t="s">
        <v>5</v>
      </c>
      <c r="G4276" t="str">
        <f>""</f>
        <v/>
      </c>
    </row>
    <row r="4277" spans="1:7" x14ac:dyDescent="0.25">
      <c r="A4277" t="s">
        <v>8</v>
      </c>
      <c r="B4277" s="1" t="str">
        <f>"3A05O702"</f>
        <v>3A05O702</v>
      </c>
      <c r="C4277" t="s">
        <v>4916</v>
      </c>
      <c r="D4277" s="1" t="str">
        <f t="shared" si="120"/>
        <v>PRG-1024870</v>
      </c>
      <c r="E4277" t="s">
        <v>4917</v>
      </c>
      <c r="F4277" t="s">
        <v>5</v>
      </c>
      <c r="G4277" t="str">
        <f>""</f>
        <v/>
      </c>
    </row>
    <row r="4278" spans="1:7" x14ac:dyDescent="0.25">
      <c r="A4278" t="s">
        <v>8</v>
      </c>
      <c r="B4278" s="1" t="str">
        <f>"000288850 - RICHS-COLUMB CHA CHA ULELE"</f>
        <v>000288850 - RICHS-COLUMB CHA CHA ULELE</v>
      </c>
      <c r="C4278" t="s">
        <v>2786</v>
      </c>
      <c r="D4278" s="1" t="str">
        <f>"PRG-1024875"</f>
        <v>PRG-1024875</v>
      </c>
      <c r="E4278" t="s">
        <v>2787</v>
      </c>
      <c r="F4278" t="s">
        <v>4</v>
      </c>
      <c r="G4278" t="str">
        <f>""</f>
        <v/>
      </c>
    </row>
    <row r="4279" spans="1:7" x14ac:dyDescent="0.25">
      <c r="A4279" t="s">
        <v>8</v>
      </c>
      <c r="B4279" s="1" t="str">
        <f>"32305335"</f>
        <v>32305335</v>
      </c>
      <c r="C4279" t="s">
        <v>4875</v>
      </c>
      <c r="D4279" s="1" t="str">
        <f>"PRG-1024913"</f>
        <v>PRG-1024913</v>
      </c>
      <c r="E4279" t="s">
        <v>4876</v>
      </c>
      <c r="F4279" t="s">
        <v>5</v>
      </c>
      <c r="G4279" t="str">
        <f>""</f>
        <v/>
      </c>
    </row>
    <row r="4280" spans="1:7" x14ac:dyDescent="0.25">
      <c r="A4280" t="s">
        <v>8</v>
      </c>
      <c r="B4280" s="1" t="str">
        <f>"0248B204"</f>
        <v>0248B204</v>
      </c>
      <c r="C4280" t="s">
        <v>3759</v>
      </c>
      <c r="D4280" s="1" t="str">
        <f>"PRG-1024924"</f>
        <v>PRG-1024924</v>
      </c>
      <c r="E4280" t="s">
        <v>3760</v>
      </c>
      <c r="F4280" t="s">
        <v>5</v>
      </c>
      <c r="G4280" t="str">
        <f>""</f>
        <v/>
      </c>
    </row>
    <row r="4281" spans="1:7" x14ac:dyDescent="0.25">
      <c r="A4281" t="s">
        <v>8</v>
      </c>
      <c r="B4281" s="1" t="str">
        <f>"000345659 - RICH LEGOLAND"</f>
        <v>000345659 - RICH LEGOLAND</v>
      </c>
      <c r="C4281" t="s">
        <v>3462</v>
      </c>
      <c r="D4281" s="1" t="str">
        <f t="shared" ref="D4281:D4286" si="121">"PRG-1024934"</f>
        <v>PRG-1024934</v>
      </c>
      <c r="E4281" t="s">
        <v>3463</v>
      </c>
      <c r="F4281" t="s">
        <v>4</v>
      </c>
      <c r="G4281" t="str">
        <f>""</f>
        <v/>
      </c>
    </row>
    <row r="4282" spans="1:7" x14ac:dyDescent="0.25">
      <c r="A4282" t="s">
        <v>8</v>
      </c>
      <c r="B4282" s="1" t="str">
        <f>"000352941 - RICH LEGOLAND"</f>
        <v>000352941 - RICH LEGOLAND</v>
      </c>
      <c r="C4282" t="s">
        <v>3462</v>
      </c>
      <c r="D4282" s="1" t="str">
        <f t="shared" si="121"/>
        <v>PRG-1024934</v>
      </c>
      <c r="E4282" t="s">
        <v>3463</v>
      </c>
      <c r="F4282" t="s">
        <v>4</v>
      </c>
      <c r="G4282" t="str">
        <f>""</f>
        <v/>
      </c>
    </row>
    <row r="4283" spans="1:7" x14ac:dyDescent="0.25">
      <c r="A4283" t="s">
        <v>8</v>
      </c>
      <c r="B4283" s="1" t="str">
        <f>"000365519 - "</f>
        <v xml:space="preserve">000365519 - </v>
      </c>
      <c r="D4283" s="1" t="str">
        <f t="shared" si="121"/>
        <v>PRG-1024934</v>
      </c>
      <c r="E4283" t="s">
        <v>3463</v>
      </c>
      <c r="F4283" t="s">
        <v>4</v>
      </c>
      <c r="G4283" t="str">
        <f>""</f>
        <v/>
      </c>
    </row>
    <row r="4284" spans="1:7" x14ac:dyDescent="0.25">
      <c r="A4284" t="s">
        <v>8</v>
      </c>
      <c r="B4284" s="1" t="str">
        <f>"000385136 - "</f>
        <v xml:space="preserve">000385136 - </v>
      </c>
      <c r="D4284" s="1" t="str">
        <f t="shared" si="121"/>
        <v>PRG-1024934</v>
      </c>
      <c r="E4284" t="s">
        <v>3463</v>
      </c>
      <c r="F4284" t="s">
        <v>4</v>
      </c>
      <c r="G4284" t="str">
        <f>""</f>
        <v/>
      </c>
    </row>
    <row r="4285" spans="1:7" x14ac:dyDescent="0.25">
      <c r="A4285" t="s">
        <v>8</v>
      </c>
      <c r="B4285" s="1" t="str">
        <f>"000385737 - "</f>
        <v xml:space="preserve">000385737 - </v>
      </c>
      <c r="D4285" s="1" t="str">
        <f t="shared" si="121"/>
        <v>PRG-1024934</v>
      </c>
      <c r="E4285" t="s">
        <v>3463</v>
      </c>
      <c r="F4285" t="s">
        <v>4</v>
      </c>
      <c r="G4285" t="str">
        <f>""</f>
        <v/>
      </c>
    </row>
    <row r="4286" spans="1:7" x14ac:dyDescent="0.25">
      <c r="A4286" t="s">
        <v>8</v>
      </c>
      <c r="B4286" s="1" t="str">
        <f>"000404666 - RICH PRODUCTS-LEGOLAND"</f>
        <v>000404666 - RICH PRODUCTS-LEGOLAND</v>
      </c>
      <c r="C4286" t="s">
        <v>3649</v>
      </c>
      <c r="D4286" s="1" t="str">
        <f t="shared" si="121"/>
        <v>PRG-1024934</v>
      </c>
      <c r="E4286" t="s">
        <v>3463</v>
      </c>
      <c r="F4286" t="s">
        <v>4</v>
      </c>
      <c r="G4286" t="str">
        <f>""</f>
        <v/>
      </c>
    </row>
    <row r="4287" spans="1:7" x14ac:dyDescent="0.25">
      <c r="A4287" t="s">
        <v>8</v>
      </c>
      <c r="B4287" s="1" t="str">
        <f>"000023709 - CASA DIBERTACCHI-ARAMARK"</f>
        <v>000023709 - CASA DIBERTACCHI-ARAMARK</v>
      </c>
      <c r="C4287" t="s">
        <v>104</v>
      </c>
      <c r="D4287" s="1" t="str">
        <f t="shared" ref="D4287:D4318" si="122">"PRG-1024940"</f>
        <v>PRG-1024940</v>
      </c>
      <c r="E4287" t="s">
        <v>149</v>
      </c>
      <c r="F4287" t="s">
        <v>4</v>
      </c>
      <c r="G4287" t="str">
        <f>""</f>
        <v/>
      </c>
    </row>
    <row r="4288" spans="1:7" x14ac:dyDescent="0.25">
      <c r="A4288" t="s">
        <v>8</v>
      </c>
      <c r="B4288" s="1" t="str">
        <f>"000025048 - CASA DIBERTACCHI-ARAMARK"</f>
        <v>000025048 - CASA DIBERTACCHI-ARAMARK</v>
      </c>
      <c r="C4288" t="s">
        <v>104</v>
      </c>
      <c r="D4288" s="1" t="str">
        <f t="shared" si="122"/>
        <v>PRG-1024940</v>
      </c>
      <c r="E4288" t="s">
        <v>149</v>
      </c>
      <c r="F4288" t="s">
        <v>4</v>
      </c>
      <c r="G4288" t="str">
        <f>""</f>
        <v/>
      </c>
    </row>
    <row r="4289" spans="1:7" x14ac:dyDescent="0.25">
      <c r="A4289" t="s">
        <v>8</v>
      </c>
      <c r="B4289" s="1" t="str">
        <f>"000036457 - CASA DIBERTACCHI-MAIN ARAMARK"</f>
        <v>000036457 - CASA DIBERTACCHI-MAIN ARAMARK</v>
      </c>
      <c r="C4289" t="s">
        <v>148</v>
      </c>
      <c r="D4289" s="1" t="str">
        <f t="shared" si="122"/>
        <v>PRG-1024940</v>
      </c>
      <c r="E4289" t="s">
        <v>149</v>
      </c>
      <c r="F4289" t="s">
        <v>4</v>
      </c>
      <c r="G4289" t="str">
        <f>""</f>
        <v/>
      </c>
    </row>
    <row r="4290" spans="1:7" x14ac:dyDescent="0.25">
      <c r="A4290" t="s">
        <v>8</v>
      </c>
      <c r="B4290" s="1" t="str">
        <f>"000043207 - CASA DIBERTACCHI-MAIN ARAMARK"</f>
        <v>000043207 - CASA DIBERTACCHI-MAIN ARAMARK</v>
      </c>
      <c r="C4290" t="s">
        <v>148</v>
      </c>
      <c r="D4290" s="1" t="str">
        <f t="shared" si="122"/>
        <v>PRG-1024940</v>
      </c>
      <c r="E4290" t="s">
        <v>149</v>
      </c>
      <c r="F4290" t="s">
        <v>4</v>
      </c>
      <c r="G4290" t="str">
        <f>""</f>
        <v/>
      </c>
    </row>
    <row r="4291" spans="1:7" x14ac:dyDescent="0.25">
      <c r="A4291" t="s">
        <v>8</v>
      </c>
      <c r="B4291" s="1" t="str">
        <f>"000085473 - CASA DIBERTACCHI-ARAMARK"</f>
        <v>000085473 - CASA DIBERTACCHI-ARAMARK</v>
      </c>
      <c r="C4291" t="s">
        <v>104</v>
      </c>
      <c r="D4291" s="1" t="str">
        <f t="shared" si="122"/>
        <v>PRG-1024940</v>
      </c>
      <c r="E4291" t="s">
        <v>149</v>
      </c>
      <c r="F4291" t="s">
        <v>4</v>
      </c>
      <c r="G4291" t="str">
        <f>""</f>
        <v/>
      </c>
    </row>
    <row r="4292" spans="1:7" x14ac:dyDescent="0.25">
      <c r="A4292" t="s">
        <v>8</v>
      </c>
      <c r="B4292" s="1" t="str">
        <f>"000098330 - CASA DIBERTACCHI-ARAMARK"</f>
        <v>000098330 - CASA DIBERTACCHI-ARAMARK</v>
      </c>
      <c r="C4292" t="s">
        <v>104</v>
      </c>
      <c r="D4292" s="1" t="str">
        <f t="shared" si="122"/>
        <v>PRG-1024940</v>
      </c>
      <c r="E4292" t="s">
        <v>149</v>
      </c>
      <c r="F4292" t="s">
        <v>4</v>
      </c>
      <c r="G4292" t="str">
        <f>""</f>
        <v/>
      </c>
    </row>
    <row r="4293" spans="1:7" x14ac:dyDescent="0.25">
      <c r="A4293" t="s">
        <v>8</v>
      </c>
      <c r="B4293" s="1" t="str">
        <f>"000102355 - CASA DIBERTACCHI-MAIN ARAMARK"</f>
        <v>000102355 - CASA DIBERTACCHI-MAIN ARAMARK</v>
      </c>
      <c r="C4293" t="s">
        <v>148</v>
      </c>
      <c r="D4293" s="1" t="str">
        <f t="shared" si="122"/>
        <v>PRG-1024940</v>
      </c>
      <c r="E4293" t="s">
        <v>149</v>
      </c>
      <c r="F4293" t="s">
        <v>4</v>
      </c>
      <c r="G4293" t="str">
        <f>""</f>
        <v/>
      </c>
    </row>
    <row r="4294" spans="1:7" x14ac:dyDescent="0.25">
      <c r="A4294" t="s">
        <v>8</v>
      </c>
      <c r="B4294" s="1" t="str">
        <f>"000108466 - CASA DIBERTACCHI-ARAMARK"</f>
        <v>000108466 - CASA DIBERTACCHI-ARAMARK</v>
      </c>
      <c r="C4294" t="s">
        <v>104</v>
      </c>
      <c r="D4294" s="1" t="str">
        <f t="shared" si="122"/>
        <v>PRG-1024940</v>
      </c>
      <c r="E4294" t="s">
        <v>149</v>
      </c>
      <c r="F4294" t="s">
        <v>4</v>
      </c>
      <c r="G4294" t="str">
        <f>""</f>
        <v/>
      </c>
    </row>
    <row r="4295" spans="1:7" x14ac:dyDescent="0.25">
      <c r="A4295" t="s">
        <v>8</v>
      </c>
      <c r="B4295" s="1" t="str">
        <f>"000112014 - CASA DIBERTACCHI-MAIN ARAMARK"</f>
        <v>000112014 - CASA DIBERTACCHI-MAIN ARAMARK</v>
      </c>
      <c r="C4295" t="s">
        <v>148</v>
      </c>
      <c r="D4295" s="1" t="str">
        <f t="shared" si="122"/>
        <v>PRG-1024940</v>
      </c>
      <c r="E4295" t="s">
        <v>149</v>
      </c>
      <c r="F4295" t="s">
        <v>4</v>
      </c>
      <c r="G4295" t="str">
        <f>""</f>
        <v/>
      </c>
    </row>
    <row r="4296" spans="1:7" x14ac:dyDescent="0.25">
      <c r="A4296" t="s">
        <v>8</v>
      </c>
      <c r="B4296" s="1" t="str">
        <f>"000124530 - CASA DIBERTACCHI-MAIN ARAMARK"</f>
        <v>000124530 - CASA DIBERTACCHI-MAIN ARAMARK</v>
      </c>
      <c r="C4296" t="s">
        <v>148</v>
      </c>
      <c r="D4296" s="1" t="str">
        <f t="shared" si="122"/>
        <v>PRG-1024940</v>
      </c>
      <c r="E4296" t="s">
        <v>149</v>
      </c>
      <c r="F4296" t="s">
        <v>4</v>
      </c>
      <c r="G4296" t="str">
        <f>""</f>
        <v/>
      </c>
    </row>
    <row r="4297" spans="1:7" x14ac:dyDescent="0.25">
      <c r="A4297" t="s">
        <v>8</v>
      </c>
      <c r="B4297" s="1" t="str">
        <f>"000133986 - CASA DIBERTACCHI-ARAMARK"</f>
        <v>000133986 - CASA DIBERTACCHI-ARAMARK</v>
      </c>
      <c r="C4297" t="s">
        <v>104</v>
      </c>
      <c r="D4297" s="1" t="str">
        <f t="shared" si="122"/>
        <v>PRG-1024940</v>
      </c>
      <c r="E4297" t="s">
        <v>149</v>
      </c>
      <c r="F4297" t="s">
        <v>4</v>
      </c>
      <c r="G4297" t="str">
        <f>""</f>
        <v/>
      </c>
    </row>
    <row r="4298" spans="1:7" x14ac:dyDescent="0.25">
      <c r="A4298" t="s">
        <v>8</v>
      </c>
      <c r="B4298" s="1" t="str">
        <f>"000171926 - CASA DIBERTACCHI-ARAMARK"</f>
        <v>000171926 - CASA DIBERTACCHI-ARAMARK</v>
      </c>
      <c r="C4298" t="s">
        <v>104</v>
      </c>
      <c r="D4298" s="1" t="str">
        <f t="shared" si="122"/>
        <v>PRG-1024940</v>
      </c>
      <c r="E4298" t="s">
        <v>149</v>
      </c>
      <c r="F4298" t="s">
        <v>4</v>
      </c>
      <c r="G4298" t="str">
        <f>""</f>
        <v/>
      </c>
    </row>
    <row r="4299" spans="1:7" x14ac:dyDescent="0.25">
      <c r="A4299" t="s">
        <v>8</v>
      </c>
      <c r="B4299" s="1" t="str">
        <f>"000181371 - CASA DIBERTACCHI-ARAMARK"</f>
        <v>000181371 - CASA DIBERTACCHI-ARAMARK</v>
      </c>
      <c r="C4299" t="s">
        <v>104</v>
      </c>
      <c r="D4299" s="1" t="str">
        <f t="shared" si="122"/>
        <v>PRG-1024940</v>
      </c>
      <c r="E4299" t="s">
        <v>149</v>
      </c>
      <c r="F4299" t="s">
        <v>4</v>
      </c>
      <c r="G4299" t="str">
        <f>""</f>
        <v/>
      </c>
    </row>
    <row r="4300" spans="1:7" x14ac:dyDescent="0.25">
      <c r="A4300" t="s">
        <v>8</v>
      </c>
      <c r="B4300" s="1" t="str">
        <f>"000191050 - CASA DIBERTACCHI-MAIN ARAMARK"</f>
        <v>000191050 - CASA DIBERTACCHI-MAIN ARAMARK</v>
      </c>
      <c r="C4300" t="s">
        <v>148</v>
      </c>
      <c r="D4300" s="1" t="str">
        <f t="shared" si="122"/>
        <v>PRG-1024940</v>
      </c>
      <c r="E4300" t="s">
        <v>149</v>
      </c>
      <c r="F4300" t="s">
        <v>4</v>
      </c>
      <c r="G4300" t="str">
        <f>""</f>
        <v/>
      </c>
    </row>
    <row r="4301" spans="1:7" x14ac:dyDescent="0.25">
      <c r="A4301" t="s">
        <v>8</v>
      </c>
      <c r="B4301" s="1" t="str">
        <f>"000191066 - CASA DIBERTACCHI-MAIN ARAMARK"</f>
        <v>000191066 - CASA DIBERTACCHI-MAIN ARAMARK</v>
      </c>
      <c r="C4301" t="s">
        <v>148</v>
      </c>
      <c r="D4301" s="1" t="str">
        <f t="shared" si="122"/>
        <v>PRG-1024940</v>
      </c>
      <c r="E4301" t="s">
        <v>149</v>
      </c>
      <c r="F4301" t="s">
        <v>4</v>
      </c>
      <c r="G4301" t="str">
        <f>""</f>
        <v/>
      </c>
    </row>
    <row r="4302" spans="1:7" x14ac:dyDescent="0.25">
      <c r="A4302" t="s">
        <v>8</v>
      </c>
      <c r="B4302" s="1" t="str">
        <f>"000191516 - CASA DIBERTACCHI-ARAMARK"</f>
        <v>000191516 - CASA DIBERTACCHI-ARAMARK</v>
      </c>
      <c r="C4302" t="s">
        <v>104</v>
      </c>
      <c r="D4302" s="1" t="str">
        <f t="shared" si="122"/>
        <v>PRG-1024940</v>
      </c>
      <c r="E4302" t="s">
        <v>149</v>
      </c>
      <c r="F4302" t="s">
        <v>4</v>
      </c>
      <c r="G4302" t="str">
        <f>""</f>
        <v/>
      </c>
    </row>
    <row r="4303" spans="1:7" x14ac:dyDescent="0.25">
      <c r="A4303" t="s">
        <v>8</v>
      </c>
      <c r="B4303" s="1" t="str">
        <f>"000198305 - CASA DIBERTACCHI-MAIN ARAMARK"</f>
        <v>000198305 - CASA DIBERTACCHI-MAIN ARAMARK</v>
      </c>
      <c r="C4303" t="s">
        <v>148</v>
      </c>
      <c r="D4303" s="1" t="str">
        <f t="shared" si="122"/>
        <v>PRG-1024940</v>
      </c>
      <c r="E4303" t="s">
        <v>149</v>
      </c>
      <c r="F4303" t="s">
        <v>4</v>
      </c>
      <c r="G4303" t="str">
        <f>""</f>
        <v/>
      </c>
    </row>
    <row r="4304" spans="1:7" x14ac:dyDescent="0.25">
      <c r="A4304" t="s">
        <v>8</v>
      </c>
      <c r="B4304" s="1" t="str">
        <f>"000198869 - CASA DIBERTACCHI-ARAMARK"</f>
        <v>000198869 - CASA DIBERTACCHI-ARAMARK</v>
      </c>
      <c r="C4304" t="s">
        <v>104</v>
      </c>
      <c r="D4304" s="1" t="str">
        <f t="shared" si="122"/>
        <v>PRG-1024940</v>
      </c>
      <c r="E4304" t="s">
        <v>149</v>
      </c>
      <c r="F4304" t="s">
        <v>4</v>
      </c>
      <c r="G4304" t="str">
        <f>""</f>
        <v/>
      </c>
    </row>
    <row r="4305" spans="1:7" x14ac:dyDescent="0.25">
      <c r="A4305" t="s">
        <v>8</v>
      </c>
      <c r="B4305" s="1" t="str">
        <f>"000199026 - CASA DIBERTACCHI-ARAMARK"</f>
        <v>000199026 - CASA DIBERTACCHI-ARAMARK</v>
      </c>
      <c r="C4305" t="s">
        <v>104</v>
      </c>
      <c r="D4305" s="1" t="str">
        <f t="shared" si="122"/>
        <v>PRG-1024940</v>
      </c>
      <c r="E4305" t="s">
        <v>149</v>
      </c>
      <c r="F4305" t="s">
        <v>4</v>
      </c>
      <c r="G4305" t="str">
        <f>""</f>
        <v/>
      </c>
    </row>
    <row r="4306" spans="1:7" x14ac:dyDescent="0.25">
      <c r="A4306" t="s">
        <v>8</v>
      </c>
      <c r="B4306" s="1" t="str">
        <f>"000206028 - CASA DIBERTACCHI-ARAMARK"</f>
        <v>000206028 - CASA DIBERTACCHI-ARAMARK</v>
      </c>
      <c r="C4306" t="s">
        <v>104</v>
      </c>
      <c r="D4306" s="1" t="str">
        <f t="shared" si="122"/>
        <v>PRG-1024940</v>
      </c>
      <c r="E4306" t="s">
        <v>149</v>
      </c>
      <c r="F4306" t="s">
        <v>4</v>
      </c>
      <c r="G4306" t="str">
        <f>""</f>
        <v/>
      </c>
    </row>
    <row r="4307" spans="1:7" x14ac:dyDescent="0.25">
      <c r="A4307" t="s">
        <v>8</v>
      </c>
      <c r="B4307" s="1" t="str">
        <f>"000207724 - CASA DIBERTACCHI-ARAMARK"</f>
        <v>000207724 - CASA DIBERTACCHI-ARAMARK</v>
      </c>
      <c r="C4307" t="s">
        <v>104</v>
      </c>
      <c r="D4307" s="1" t="str">
        <f t="shared" si="122"/>
        <v>PRG-1024940</v>
      </c>
      <c r="E4307" t="s">
        <v>149</v>
      </c>
      <c r="F4307" t="s">
        <v>4</v>
      </c>
      <c r="G4307" t="str">
        <f>""</f>
        <v/>
      </c>
    </row>
    <row r="4308" spans="1:7" x14ac:dyDescent="0.25">
      <c r="A4308" t="s">
        <v>8</v>
      </c>
      <c r="B4308" s="1" t="str">
        <f>"000209345 - CASA DIBERTACCHI-ARAMARK"</f>
        <v>000209345 - CASA DIBERTACCHI-ARAMARK</v>
      </c>
      <c r="C4308" t="s">
        <v>104</v>
      </c>
      <c r="D4308" s="1" t="str">
        <f t="shared" si="122"/>
        <v>PRG-1024940</v>
      </c>
      <c r="E4308" t="s">
        <v>149</v>
      </c>
      <c r="F4308" t="s">
        <v>4</v>
      </c>
      <c r="G4308" t="str">
        <f>""</f>
        <v/>
      </c>
    </row>
    <row r="4309" spans="1:7" x14ac:dyDescent="0.25">
      <c r="A4309" t="s">
        <v>8</v>
      </c>
      <c r="B4309" s="1" t="str">
        <f>"000210571 - CASA DIBERTACCHI-MAIN ARAMARK"</f>
        <v>000210571 - CASA DIBERTACCHI-MAIN ARAMARK</v>
      </c>
      <c r="C4309" t="s">
        <v>148</v>
      </c>
      <c r="D4309" s="1" t="str">
        <f t="shared" si="122"/>
        <v>PRG-1024940</v>
      </c>
      <c r="E4309" t="s">
        <v>149</v>
      </c>
      <c r="F4309" t="s">
        <v>4</v>
      </c>
      <c r="G4309" t="str">
        <f>""</f>
        <v/>
      </c>
    </row>
    <row r="4310" spans="1:7" x14ac:dyDescent="0.25">
      <c r="A4310" t="s">
        <v>8</v>
      </c>
      <c r="B4310" s="1" t="str">
        <f>"000211687 - CASA DIBERTACCHI-ARAMARK"</f>
        <v>000211687 - CASA DIBERTACCHI-ARAMARK</v>
      </c>
      <c r="C4310" t="s">
        <v>104</v>
      </c>
      <c r="D4310" s="1" t="str">
        <f t="shared" si="122"/>
        <v>PRG-1024940</v>
      </c>
      <c r="E4310" t="s">
        <v>149</v>
      </c>
      <c r="F4310" t="s">
        <v>4</v>
      </c>
      <c r="G4310" t="str">
        <f>""</f>
        <v/>
      </c>
    </row>
    <row r="4311" spans="1:7" x14ac:dyDescent="0.25">
      <c r="A4311" t="s">
        <v>8</v>
      </c>
      <c r="B4311" s="1" t="str">
        <f>"000212132 - CASA DIBERTACCHI-MAIN ARAMARK"</f>
        <v>000212132 - CASA DIBERTACCHI-MAIN ARAMARK</v>
      </c>
      <c r="C4311" t="s">
        <v>148</v>
      </c>
      <c r="D4311" s="1" t="str">
        <f t="shared" si="122"/>
        <v>PRG-1024940</v>
      </c>
      <c r="E4311" t="s">
        <v>149</v>
      </c>
      <c r="F4311" t="s">
        <v>4</v>
      </c>
      <c r="G4311" t="str">
        <f>""</f>
        <v/>
      </c>
    </row>
    <row r="4312" spans="1:7" x14ac:dyDescent="0.25">
      <c r="A4312" t="s">
        <v>8</v>
      </c>
      <c r="B4312" s="1" t="str">
        <f>"000216533 - CASA DIBERTACCHI-ARAMARK"</f>
        <v>000216533 - CASA DIBERTACCHI-ARAMARK</v>
      </c>
      <c r="C4312" t="s">
        <v>104</v>
      </c>
      <c r="D4312" s="1" t="str">
        <f t="shared" si="122"/>
        <v>PRG-1024940</v>
      </c>
      <c r="E4312" t="s">
        <v>149</v>
      </c>
      <c r="F4312" t="s">
        <v>4</v>
      </c>
      <c r="G4312" t="str">
        <f>""</f>
        <v/>
      </c>
    </row>
    <row r="4313" spans="1:7" x14ac:dyDescent="0.25">
      <c r="A4313" t="s">
        <v>8</v>
      </c>
      <c r="B4313" s="1" t="str">
        <f>"000217732 - CASA DIBERTACCHI-MAIN ARAMARK"</f>
        <v>000217732 - CASA DIBERTACCHI-MAIN ARAMARK</v>
      </c>
      <c r="C4313" t="s">
        <v>148</v>
      </c>
      <c r="D4313" s="1" t="str">
        <f t="shared" si="122"/>
        <v>PRG-1024940</v>
      </c>
      <c r="E4313" t="s">
        <v>149</v>
      </c>
      <c r="F4313" t="s">
        <v>4</v>
      </c>
      <c r="G4313" t="str">
        <f>""</f>
        <v/>
      </c>
    </row>
    <row r="4314" spans="1:7" x14ac:dyDescent="0.25">
      <c r="A4314" t="s">
        <v>8</v>
      </c>
      <c r="B4314" s="1" t="str">
        <f>"000219801 - CASA DIBERTACCHI-MAIN ARAMARK"</f>
        <v>000219801 - CASA DIBERTACCHI-MAIN ARAMARK</v>
      </c>
      <c r="C4314" t="s">
        <v>148</v>
      </c>
      <c r="D4314" s="1" t="str">
        <f t="shared" si="122"/>
        <v>PRG-1024940</v>
      </c>
      <c r="E4314" t="s">
        <v>149</v>
      </c>
      <c r="F4314" t="s">
        <v>4</v>
      </c>
      <c r="G4314" t="str">
        <f>""</f>
        <v/>
      </c>
    </row>
    <row r="4315" spans="1:7" x14ac:dyDescent="0.25">
      <c r="A4315" t="s">
        <v>8</v>
      </c>
      <c r="B4315" s="1" t="str">
        <f>"000220903 - CASA DIBERTACCHI-ARAMARK"</f>
        <v>000220903 - CASA DIBERTACCHI-ARAMARK</v>
      </c>
      <c r="C4315" t="s">
        <v>104</v>
      </c>
      <c r="D4315" s="1" t="str">
        <f t="shared" si="122"/>
        <v>PRG-1024940</v>
      </c>
      <c r="E4315" t="s">
        <v>149</v>
      </c>
      <c r="F4315" t="s">
        <v>4</v>
      </c>
      <c r="G4315" t="str">
        <f>""</f>
        <v/>
      </c>
    </row>
    <row r="4316" spans="1:7" x14ac:dyDescent="0.25">
      <c r="A4316" t="s">
        <v>8</v>
      </c>
      <c r="B4316" s="1" t="str">
        <f>"000221490 - CASA DIBERTACCHI-ARAMARK"</f>
        <v>000221490 - CASA DIBERTACCHI-ARAMARK</v>
      </c>
      <c r="C4316" t="s">
        <v>104</v>
      </c>
      <c r="D4316" s="1" t="str">
        <f t="shared" si="122"/>
        <v>PRG-1024940</v>
      </c>
      <c r="E4316" t="s">
        <v>149</v>
      </c>
      <c r="F4316" t="s">
        <v>4</v>
      </c>
      <c r="G4316" t="str">
        <f>""</f>
        <v/>
      </c>
    </row>
    <row r="4317" spans="1:7" x14ac:dyDescent="0.25">
      <c r="A4317" t="s">
        <v>8</v>
      </c>
      <c r="B4317" s="1" t="str">
        <f>"000221903 - CASA DIBERTACCHI-MAIN ARAMARK"</f>
        <v>000221903 - CASA DIBERTACCHI-MAIN ARAMARK</v>
      </c>
      <c r="C4317" t="s">
        <v>148</v>
      </c>
      <c r="D4317" s="1" t="str">
        <f t="shared" si="122"/>
        <v>PRG-1024940</v>
      </c>
      <c r="E4317" t="s">
        <v>149</v>
      </c>
      <c r="F4317" t="s">
        <v>4</v>
      </c>
      <c r="G4317" t="str">
        <f>""</f>
        <v/>
      </c>
    </row>
    <row r="4318" spans="1:7" x14ac:dyDescent="0.25">
      <c r="A4318" t="s">
        <v>8</v>
      </c>
      <c r="B4318" s="1" t="str">
        <f>"000222929 - CASA DIBERTACCHI-MAIN ARAMARK"</f>
        <v>000222929 - CASA DIBERTACCHI-MAIN ARAMARK</v>
      </c>
      <c r="C4318" t="s">
        <v>148</v>
      </c>
      <c r="D4318" s="1" t="str">
        <f t="shared" si="122"/>
        <v>PRG-1024940</v>
      </c>
      <c r="E4318" t="s">
        <v>149</v>
      </c>
      <c r="F4318" t="s">
        <v>4</v>
      </c>
      <c r="G4318" t="str">
        <f>""</f>
        <v/>
      </c>
    </row>
    <row r="4319" spans="1:7" x14ac:dyDescent="0.25">
      <c r="A4319" t="s">
        <v>8</v>
      </c>
      <c r="B4319" s="1" t="str">
        <f>"000223776 - CASA DIBERTACCHI-MAIN ARAMARK"</f>
        <v>000223776 - CASA DIBERTACCHI-MAIN ARAMARK</v>
      </c>
      <c r="C4319" t="s">
        <v>148</v>
      </c>
      <c r="D4319" s="1" t="str">
        <f t="shared" ref="D4319:D4350" si="123">"PRG-1024940"</f>
        <v>PRG-1024940</v>
      </c>
      <c r="E4319" t="s">
        <v>149</v>
      </c>
      <c r="F4319" t="s">
        <v>4</v>
      </c>
      <c r="G4319" t="str">
        <f>""</f>
        <v/>
      </c>
    </row>
    <row r="4320" spans="1:7" x14ac:dyDescent="0.25">
      <c r="A4320" t="s">
        <v>8</v>
      </c>
      <c r="B4320" s="1" t="str">
        <f>"000223905 - CASA DIBERTACCHI-ARAMARK"</f>
        <v>000223905 - CASA DIBERTACCHI-ARAMARK</v>
      </c>
      <c r="C4320" t="s">
        <v>104</v>
      </c>
      <c r="D4320" s="1" t="str">
        <f t="shared" si="123"/>
        <v>PRG-1024940</v>
      </c>
      <c r="E4320" t="s">
        <v>149</v>
      </c>
      <c r="F4320" t="s">
        <v>4</v>
      </c>
      <c r="G4320" t="str">
        <f>""</f>
        <v/>
      </c>
    </row>
    <row r="4321" spans="1:7" x14ac:dyDescent="0.25">
      <c r="A4321" t="s">
        <v>8</v>
      </c>
      <c r="B4321" s="1" t="str">
        <f>"000224524 - CASA DIBERTACCHI-ARAMARK"</f>
        <v>000224524 - CASA DIBERTACCHI-ARAMARK</v>
      </c>
      <c r="C4321" t="s">
        <v>104</v>
      </c>
      <c r="D4321" s="1" t="str">
        <f t="shared" si="123"/>
        <v>PRG-1024940</v>
      </c>
      <c r="E4321" t="s">
        <v>149</v>
      </c>
      <c r="F4321" t="s">
        <v>4</v>
      </c>
      <c r="G4321" t="str">
        <f>""</f>
        <v/>
      </c>
    </row>
    <row r="4322" spans="1:7" x14ac:dyDescent="0.25">
      <c r="A4322" t="s">
        <v>8</v>
      </c>
      <c r="B4322" s="1" t="str">
        <f>"000228362 - CASA DIBERTACCHI-MAIN ARAMARK"</f>
        <v>000228362 - CASA DIBERTACCHI-MAIN ARAMARK</v>
      </c>
      <c r="C4322" t="s">
        <v>148</v>
      </c>
      <c r="D4322" s="1" t="str">
        <f t="shared" si="123"/>
        <v>PRG-1024940</v>
      </c>
      <c r="E4322" t="s">
        <v>149</v>
      </c>
      <c r="F4322" t="s">
        <v>4</v>
      </c>
      <c r="G4322" t="str">
        <f>""</f>
        <v/>
      </c>
    </row>
    <row r="4323" spans="1:7" x14ac:dyDescent="0.25">
      <c r="A4323" t="s">
        <v>8</v>
      </c>
      <c r="B4323" s="1" t="str">
        <f>"000228732 - CASA DIBERTACCHI-ARAMARK"</f>
        <v>000228732 - CASA DIBERTACCHI-ARAMARK</v>
      </c>
      <c r="C4323" t="s">
        <v>104</v>
      </c>
      <c r="D4323" s="1" t="str">
        <f t="shared" si="123"/>
        <v>PRG-1024940</v>
      </c>
      <c r="E4323" t="s">
        <v>149</v>
      </c>
      <c r="F4323" t="s">
        <v>4</v>
      </c>
      <c r="G4323" t="str">
        <f>""</f>
        <v/>
      </c>
    </row>
    <row r="4324" spans="1:7" x14ac:dyDescent="0.25">
      <c r="A4324" t="s">
        <v>8</v>
      </c>
      <c r="B4324" s="1" t="str">
        <f>"000228970 - CASA DIBERTACCHI-ARAMARK"</f>
        <v>000228970 - CASA DIBERTACCHI-ARAMARK</v>
      </c>
      <c r="C4324" t="s">
        <v>104</v>
      </c>
      <c r="D4324" s="1" t="str">
        <f t="shared" si="123"/>
        <v>PRG-1024940</v>
      </c>
      <c r="E4324" t="s">
        <v>149</v>
      </c>
      <c r="F4324" t="s">
        <v>4</v>
      </c>
      <c r="G4324" t="str">
        <f>""</f>
        <v/>
      </c>
    </row>
    <row r="4325" spans="1:7" x14ac:dyDescent="0.25">
      <c r="A4325" t="s">
        <v>8</v>
      </c>
      <c r="B4325" s="1" t="str">
        <f>"000229385 - CASA DIBERTACCHI-ARAMARK"</f>
        <v>000229385 - CASA DIBERTACCHI-ARAMARK</v>
      </c>
      <c r="C4325" t="s">
        <v>104</v>
      </c>
      <c r="D4325" s="1" t="str">
        <f t="shared" si="123"/>
        <v>PRG-1024940</v>
      </c>
      <c r="E4325" t="s">
        <v>149</v>
      </c>
      <c r="F4325" t="s">
        <v>4</v>
      </c>
      <c r="G4325" t="str">
        <f>""</f>
        <v/>
      </c>
    </row>
    <row r="4326" spans="1:7" x14ac:dyDescent="0.25">
      <c r="A4326" t="s">
        <v>8</v>
      </c>
      <c r="B4326" s="1" t="str">
        <f>"000230640 - Casa Dibertacchi-aramark"</f>
        <v>000230640 - Casa Dibertacchi-aramark</v>
      </c>
      <c r="C4326" t="s">
        <v>1756</v>
      </c>
      <c r="D4326" s="1" t="str">
        <f t="shared" si="123"/>
        <v>PRG-1024940</v>
      </c>
      <c r="E4326" t="s">
        <v>149</v>
      </c>
      <c r="F4326" t="s">
        <v>4</v>
      </c>
      <c r="G4326" t="str">
        <f>""</f>
        <v/>
      </c>
    </row>
    <row r="4327" spans="1:7" x14ac:dyDescent="0.25">
      <c r="A4327" t="s">
        <v>8</v>
      </c>
      <c r="B4327" s="1" t="str">
        <f>"000230797 - CASA DIBERTACCHI-ARAMARK"</f>
        <v>000230797 - CASA DIBERTACCHI-ARAMARK</v>
      </c>
      <c r="C4327" t="s">
        <v>104</v>
      </c>
      <c r="D4327" s="1" t="str">
        <f t="shared" si="123"/>
        <v>PRG-1024940</v>
      </c>
      <c r="E4327" t="s">
        <v>149</v>
      </c>
      <c r="F4327" t="s">
        <v>4</v>
      </c>
      <c r="G4327" t="str">
        <f>""</f>
        <v/>
      </c>
    </row>
    <row r="4328" spans="1:7" x14ac:dyDescent="0.25">
      <c r="A4328" t="s">
        <v>8</v>
      </c>
      <c r="B4328" s="1" t="str">
        <f>"000233713 - CASA DIBERTACCHI-MAIN ARAMARK"</f>
        <v>000233713 - CASA DIBERTACCHI-MAIN ARAMARK</v>
      </c>
      <c r="C4328" t="s">
        <v>148</v>
      </c>
      <c r="D4328" s="1" t="str">
        <f t="shared" si="123"/>
        <v>PRG-1024940</v>
      </c>
      <c r="E4328" t="s">
        <v>149</v>
      </c>
      <c r="F4328" t="s">
        <v>4</v>
      </c>
      <c r="G4328" t="str">
        <f>""</f>
        <v/>
      </c>
    </row>
    <row r="4329" spans="1:7" x14ac:dyDescent="0.25">
      <c r="A4329" t="s">
        <v>8</v>
      </c>
      <c r="B4329" s="1" t="str">
        <f>"000234222 - CASA DIBERTACCHI-MAIN ARAMARK"</f>
        <v>000234222 - CASA DIBERTACCHI-MAIN ARAMARK</v>
      </c>
      <c r="C4329" t="s">
        <v>148</v>
      </c>
      <c r="D4329" s="1" t="str">
        <f t="shared" si="123"/>
        <v>PRG-1024940</v>
      </c>
      <c r="E4329" t="s">
        <v>149</v>
      </c>
      <c r="F4329" t="s">
        <v>4</v>
      </c>
      <c r="G4329" t="str">
        <f>""</f>
        <v/>
      </c>
    </row>
    <row r="4330" spans="1:7" x14ac:dyDescent="0.25">
      <c r="A4330" t="s">
        <v>8</v>
      </c>
      <c r="B4330" s="1" t="str">
        <f>"000238277 - CASA DIBERTACCHI-ARAMARK"</f>
        <v>000238277 - CASA DIBERTACCHI-ARAMARK</v>
      </c>
      <c r="C4330" t="s">
        <v>104</v>
      </c>
      <c r="D4330" s="1" t="str">
        <f t="shared" si="123"/>
        <v>PRG-1024940</v>
      </c>
      <c r="E4330" t="s">
        <v>149</v>
      </c>
      <c r="F4330" t="s">
        <v>4</v>
      </c>
      <c r="G4330" t="str">
        <f>""</f>
        <v/>
      </c>
    </row>
    <row r="4331" spans="1:7" x14ac:dyDescent="0.25">
      <c r="A4331" t="s">
        <v>8</v>
      </c>
      <c r="B4331" s="1" t="str">
        <f>"000240509 - CASA DIBERTACCHI-MAIN ARAMARK"</f>
        <v>000240509 - CASA DIBERTACCHI-MAIN ARAMARK</v>
      </c>
      <c r="C4331" t="s">
        <v>148</v>
      </c>
      <c r="D4331" s="1" t="str">
        <f t="shared" si="123"/>
        <v>PRG-1024940</v>
      </c>
      <c r="E4331" t="s">
        <v>149</v>
      </c>
      <c r="F4331" t="s">
        <v>4</v>
      </c>
      <c r="G4331" t="str">
        <f>""</f>
        <v/>
      </c>
    </row>
    <row r="4332" spans="1:7" x14ac:dyDescent="0.25">
      <c r="A4332" t="s">
        <v>8</v>
      </c>
      <c r="B4332" s="1" t="str">
        <f>"000240645 - CASA DIBERTACCHI-MAIN ARAMARK"</f>
        <v>000240645 - CASA DIBERTACCHI-MAIN ARAMARK</v>
      </c>
      <c r="C4332" t="s">
        <v>148</v>
      </c>
      <c r="D4332" s="1" t="str">
        <f t="shared" si="123"/>
        <v>PRG-1024940</v>
      </c>
      <c r="E4332" t="s">
        <v>149</v>
      </c>
      <c r="F4332" t="s">
        <v>4</v>
      </c>
      <c r="G4332" t="str">
        <f>""</f>
        <v/>
      </c>
    </row>
    <row r="4333" spans="1:7" x14ac:dyDescent="0.25">
      <c r="A4333" t="s">
        <v>8</v>
      </c>
      <c r="B4333" s="1" t="str">
        <f>"000242159 - CASA DIBERTACCHI-ARAMARK"</f>
        <v>000242159 - CASA DIBERTACCHI-ARAMARK</v>
      </c>
      <c r="C4333" t="s">
        <v>104</v>
      </c>
      <c r="D4333" s="1" t="str">
        <f t="shared" si="123"/>
        <v>PRG-1024940</v>
      </c>
      <c r="E4333" t="s">
        <v>149</v>
      </c>
      <c r="F4333" t="s">
        <v>4</v>
      </c>
      <c r="G4333" t="str">
        <f>""</f>
        <v/>
      </c>
    </row>
    <row r="4334" spans="1:7" x14ac:dyDescent="0.25">
      <c r="A4334" t="s">
        <v>8</v>
      </c>
      <c r="B4334" s="1" t="str">
        <f>"000242740 - CASA DIBERTACCHI-MAIN ARAMARK"</f>
        <v>000242740 - CASA DIBERTACCHI-MAIN ARAMARK</v>
      </c>
      <c r="C4334" t="s">
        <v>148</v>
      </c>
      <c r="D4334" s="1" t="str">
        <f t="shared" si="123"/>
        <v>PRG-1024940</v>
      </c>
      <c r="E4334" t="s">
        <v>149</v>
      </c>
      <c r="F4334" t="s">
        <v>4</v>
      </c>
      <c r="G4334" t="str">
        <f>""</f>
        <v/>
      </c>
    </row>
    <row r="4335" spans="1:7" x14ac:dyDescent="0.25">
      <c r="A4335" t="s">
        <v>8</v>
      </c>
      <c r="B4335" s="1" t="str">
        <f>"000243479 - CASA DIBERTACCHI-MAIN ARAMARK"</f>
        <v>000243479 - CASA DIBERTACCHI-MAIN ARAMARK</v>
      </c>
      <c r="C4335" t="s">
        <v>148</v>
      </c>
      <c r="D4335" s="1" t="str">
        <f t="shared" si="123"/>
        <v>PRG-1024940</v>
      </c>
      <c r="E4335" t="s">
        <v>149</v>
      </c>
      <c r="F4335" t="s">
        <v>4</v>
      </c>
      <c r="G4335" t="str">
        <f>""</f>
        <v/>
      </c>
    </row>
    <row r="4336" spans="1:7" x14ac:dyDescent="0.25">
      <c r="A4336" t="s">
        <v>8</v>
      </c>
      <c r="B4336" s="1" t="str">
        <f>"000246605 - CASA DIBERTACCHI-MAIN ARAMARK"</f>
        <v>000246605 - CASA DIBERTACCHI-MAIN ARAMARK</v>
      </c>
      <c r="C4336" t="s">
        <v>148</v>
      </c>
      <c r="D4336" s="1" t="str">
        <f t="shared" si="123"/>
        <v>PRG-1024940</v>
      </c>
      <c r="E4336" t="s">
        <v>149</v>
      </c>
      <c r="F4336" t="s">
        <v>4</v>
      </c>
      <c r="G4336" t="str">
        <f>""</f>
        <v/>
      </c>
    </row>
    <row r="4337" spans="1:7" x14ac:dyDescent="0.25">
      <c r="A4337" t="s">
        <v>8</v>
      </c>
      <c r="B4337" s="1" t="str">
        <f>"000247587 - CASA DIBERTACCHI-MAIN ARAMARK"</f>
        <v>000247587 - CASA DIBERTACCHI-MAIN ARAMARK</v>
      </c>
      <c r="C4337" t="s">
        <v>148</v>
      </c>
      <c r="D4337" s="1" t="str">
        <f t="shared" si="123"/>
        <v>PRG-1024940</v>
      </c>
      <c r="E4337" t="s">
        <v>149</v>
      </c>
      <c r="F4337" t="s">
        <v>4</v>
      </c>
      <c r="G4337" t="str">
        <f>""</f>
        <v/>
      </c>
    </row>
    <row r="4338" spans="1:7" x14ac:dyDescent="0.25">
      <c r="A4338" t="s">
        <v>8</v>
      </c>
      <c r="B4338" s="1" t="str">
        <f>"000248611 - CASA DIBERTACCHI-MAIN ARAMARK"</f>
        <v>000248611 - CASA DIBERTACCHI-MAIN ARAMARK</v>
      </c>
      <c r="C4338" t="s">
        <v>148</v>
      </c>
      <c r="D4338" s="1" t="str">
        <f t="shared" si="123"/>
        <v>PRG-1024940</v>
      </c>
      <c r="E4338" t="s">
        <v>149</v>
      </c>
      <c r="F4338" t="s">
        <v>4</v>
      </c>
      <c r="G4338" t="str">
        <f>""</f>
        <v/>
      </c>
    </row>
    <row r="4339" spans="1:7" x14ac:dyDescent="0.25">
      <c r="A4339" t="s">
        <v>8</v>
      </c>
      <c r="B4339" s="1" t="str">
        <f>"000248976 - CASA DIBERTACCHI-MAIN ARAMARK"</f>
        <v>000248976 - CASA DIBERTACCHI-MAIN ARAMARK</v>
      </c>
      <c r="C4339" t="s">
        <v>148</v>
      </c>
      <c r="D4339" s="1" t="str">
        <f t="shared" si="123"/>
        <v>PRG-1024940</v>
      </c>
      <c r="E4339" t="s">
        <v>149</v>
      </c>
      <c r="F4339" t="s">
        <v>4</v>
      </c>
      <c r="G4339" t="str">
        <f>""</f>
        <v/>
      </c>
    </row>
    <row r="4340" spans="1:7" x14ac:dyDescent="0.25">
      <c r="A4340" t="s">
        <v>8</v>
      </c>
      <c r="B4340" s="1" t="str">
        <f>"000249419 - CASA DIBERTACCHI-MAIN ARAMARK"</f>
        <v>000249419 - CASA DIBERTACCHI-MAIN ARAMARK</v>
      </c>
      <c r="C4340" t="s">
        <v>148</v>
      </c>
      <c r="D4340" s="1" t="str">
        <f t="shared" si="123"/>
        <v>PRG-1024940</v>
      </c>
      <c r="E4340" t="s">
        <v>149</v>
      </c>
      <c r="F4340" t="s">
        <v>4</v>
      </c>
      <c r="G4340" t="str">
        <f>""</f>
        <v/>
      </c>
    </row>
    <row r="4341" spans="1:7" x14ac:dyDescent="0.25">
      <c r="A4341" t="s">
        <v>8</v>
      </c>
      <c r="B4341" s="1" t="str">
        <f>"000251396 - CASA DIBERTACCHI-ARAMARK"</f>
        <v>000251396 - CASA DIBERTACCHI-ARAMARK</v>
      </c>
      <c r="C4341" t="s">
        <v>104</v>
      </c>
      <c r="D4341" s="1" t="str">
        <f t="shared" si="123"/>
        <v>PRG-1024940</v>
      </c>
      <c r="E4341" t="s">
        <v>149</v>
      </c>
      <c r="F4341" t="s">
        <v>4</v>
      </c>
      <c r="G4341" t="str">
        <f>""</f>
        <v/>
      </c>
    </row>
    <row r="4342" spans="1:7" x14ac:dyDescent="0.25">
      <c r="A4342" t="s">
        <v>8</v>
      </c>
      <c r="B4342" s="1" t="str">
        <f>"000253560 - CASA DIBERTACCHI-MAIN ARAMARK"</f>
        <v>000253560 - CASA DIBERTACCHI-MAIN ARAMARK</v>
      </c>
      <c r="C4342" t="s">
        <v>148</v>
      </c>
      <c r="D4342" s="1" t="str">
        <f t="shared" si="123"/>
        <v>PRG-1024940</v>
      </c>
      <c r="E4342" t="s">
        <v>149</v>
      </c>
      <c r="F4342" t="s">
        <v>4</v>
      </c>
      <c r="G4342" t="str">
        <f>""</f>
        <v/>
      </c>
    </row>
    <row r="4343" spans="1:7" x14ac:dyDescent="0.25">
      <c r="A4343" t="s">
        <v>8</v>
      </c>
      <c r="B4343" s="1" t="str">
        <f>"000259329 - CASA DIBERTACCHI-ARAMARK"</f>
        <v>000259329 - CASA DIBERTACCHI-ARAMARK</v>
      </c>
      <c r="C4343" t="s">
        <v>104</v>
      </c>
      <c r="D4343" s="1" t="str">
        <f t="shared" si="123"/>
        <v>PRG-1024940</v>
      </c>
      <c r="E4343" t="s">
        <v>149</v>
      </c>
      <c r="F4343" t="s">
        <v>4</v>
      </c>
      <c r="G4343" t="str">
        <f>""</f>
        <v/>
      </c>
    </row>
    <row r="4344" spans="1:7" x14ac:dyDescent="0.25">
      <c r="A4344" t="s">
        <v>8</v>
      </c>
      <c r="B4344" s="1" t="str">
        <f>"000260279 - CASA DIBERTACCHI-ARAMARK"</f>
        <v>000260279 - CASA DIBERTACCHI-ARAMARK</v>
      </c>
      <c r="C4344" t="s">
        <v>104</v>
      </c>
      <c r="D4344" s="1" t="str">
        <f t="shared" si="123"/>
        <v>PRG-1024940</v>
      </c>
      <c r="E4344" t="s">
        <v>149</v>
      </c>
      <c r="F4344" t="s">
        <v>4</v>
      </c>
      <c r="G4344" t="str">
        <f>""</f>
        <v/>
      </c>
    </row>
    <row r="4345" spans="1:7" x14ac:dyDescent="0.25">
      <c r="A4345" t="s">
        <v>8</v>
      </c>
      <c r="B4345" s="1" t="str">
        <f>"000266107 - CASA DIBERTACCHI-MAIN ARAMARK"</f>
        <v>000266107 - CASA DIBERTACCHI-MAIN ARAMARK</v>
      </c>
      <c r="C4345" t="s">
        <v>148</v>
      </c>
      <c r="D4345" s="1" t="str">
        <f t="shared" si="123"/>
        <v>PRG-1024940</v>
      </c>
      <c r="E4345" t="s">
        <v>149</v>
      </c>
      <c r="F4345" t="s">
        <v>4</v>
      </c>
      <c r="G4345" t="str">
        <f>""</f>
        <v/>
      </c>
    </row>
    <row r="4346" spans="1:7" x14ac:dyDescent="0.25">
      <c r="A4346" t="s">
        <v>8</v>
      </c>
      <c r="B4346" s="1" t="str">
        <f>"000270293 - CASA DIBERTACCHI-ARAMARK"</f>
        <v>000270293 - CASA DIBERTACCHI-ARAMARK</v>
      </c>
      <c r="C4346" t="s">
        <v>104</v>
      </c>
      <c r="D4346" s="1" t="str">
        <f t="shared" si="123"/>
        <v>PRG-1024940</v>
      </c>
      <c r="E4346" t="s">
        <v>149</v>
      </c>
      <c r="F4346" t="s">
        <v>4</v>
      </c>
      <c r="G4346" t="str">
        <f>""</f>
        <v/>
      </c>
    </row>
    <row r="4347" spans="1:7" x14ac:dyDescent="0.25">
      <c r="A4347" t="s">
        <v>8</v>
      </c>
      <c r="B4347" s="1" t="str">
        <f>"000271103 - CASA DIBERTACCHI-ARAMARK"</f>
        <v>000271103 - CASA DIBERTACCHI-ARAMARK</v>
      </c>
      <c r="C4347" t="s">
        <v>104</v>
      </c>
      <c r="D4347" s="1" t="str">
        <f t="shared" si="123"/>
        <v>PRG-1024940</v>
      </c>
      <c r="E4347" t="s">
        <v>149</v>
      </c>
      <c r="F4347" t="s">
        <v>4</v>
      </c>
      <c r="G4347" t="str">
        <f>""</f>
        <v/>
      </c>
    </row>
    <row r="4348" spans="1:7" x14ac:dyDescent="0.25">
      <c r="A4348" t="s">
        <v>8</v>
      </c>
      <c r="B4348" s="1" t="str">
        <f>"000271692 - CASA DIBERTACCHI-ARAMARK"</f>
        <v>000271692 - CASA DIBERTACCHI-ARAMARK</v>
      </c>
      <c r="C4348" t="s">
        <v>104</v>
      </c>
      <c r="D4348" s="1" t="str">
        <f t="shared" si="123"/>
        <v>PRG-1024940</v>
      </c>
      <c r="E4348" t="s">
        <v>149</v>
      </c>
      <c r="F4348" t="s">
        <v>4</v>
      </c>
      <c r="G4348" t="str">
        <f>""</f>
        <v/>
      </c>
    </row>
    <row r="4349" spans="1:7" x14ac:dyDescent="0.25">
      <c r="A4349" t="s">
        <v>8</v>
      </c>
      <c r="B4349" s="1" t="str">
        <f>"000272092 - CASA DIBERTACCHI-MAIN ARAMARK"</f>
        <v>000272092 - CASA DIBERTACCHI-MAIN ARAMARK</v>
      </c>
      <c r="C4349" t="s">
        <v>148</v>
      </c>
      <c r="D4349" s="1" t="str">
        <f t="shared" si="123"/>
        <v>PRG-1024940</v>
      </c>
      <c r="E4349" t="s">
        <v>149</v>
      </c>
      <c r="F4349" t="s">
        <v>4</v>
      </c>
      <c r="G4349" t="str">
        <f>""</f>
        <v/>
      </c>
    </row>
    <row r="4350" spans="1:7" x14ac:dyDescent="0.25">
      <c r="A4350" t="s">
        <v>8</v>
      </c>
      <c r="B4350" s="1" t="str">
        <f>"000284444 - CASA DIBERTACCHI-ARAMARK"</f>
        <v>000284444 - CASA DIBERTACCHI-ARAMARK</v>
      </c>
      <c r="C4350" t="s">
        <v>104</v>
      </c>
      <c r="D4350" s="1" t="str">
        <f t="shared" si="123"/>
        <v>PRG-1024940</v>
      </c>
      <c r="E4350" t="s">
        <v>149</v>
      </c>
      <c r="F4350" t="s">
        <v>4</v>
      </c>
      <c r="G4350" t="str">
        <f>""</f>
        <v/>
      </c>
    </row>
    <row r="4351" spans="1:7" x14ac:dyDescent="0.25">
      <c r="A4351" t="s">
        <v>8</v>
      </c>
      <c r="B4351" s="1" t="str">
        <f>"000284532 - CASA DIBERTACCHI-MAIN ARAMARK"</f>
        <v>000284532 - CASA DIBERTACCHI-MAIN ARAMARK</v>
      </c>
      <c r="C4351" t="s">
        <v>148</v>
      </c>
      <c r="D4351" s="1" t="str">
        <f t="shared" ref="D4351:D4362" si="124">"PRG-1024940"</f>
        <v>PRG-1024940</v>
      </c>
      <c r="E4351" t="s">
        <v>149</v>
      </c>
      <c r="F4351" t="s">
        <v>4</v>
      </c>
      <c r="G4351" t="str">
        <f>""</f>
        <v/>
      </c>
    </row>
    <row r="4352" spans="1:7" x14ac:dyDescent="0.25">
      <c r="A4352" t="s">
        <v>8</v>
      </c>
      <c r="B4352" s="1" t="str">
        <f>"000289194 - CASA DIBERTACCHI-ARAMARK"</f>
        <v>000289194 - CASA DIBERTACCHI-ARAMARK</v>
      </c>
      <c r="C4352" t="s">
        <v>104</v>
      </c>
      <c r="D4352" s="1" t="str">
        <f t="shared" si="124"/>
        <v>PRG-1024940</v>
      </c>
      <c r="E4352" t="s">
        <v>149</v>
      </c>
      <c r="F4352" t="s">
        <v>4</v>
      </c>
      <c r="G4352" t="str">
        <f>""</f>
        <v/>
      </c>
    </row>
    <row r="4353" spans="1:7" x14ac:dyDescent="0.25">
      <c r="A4353" t="s">
        <v>8</v>
      </c>
      <c r="B4353" s="1" t="str">
        <f>"000293547 - CASA DIBERTACCHI-MAIN ARAMARK"</f>
        <v>000293547 - CASA DIBERTACCHI-MAIN ARAMARK</v>
      </c>
      <c r="C4353" t="s">
        <v>148</v>
      </c>
      <c r="D4353" s="1" t="str">
        <f t="shared" si="124"/>
        <v>PRG-1024940</v>
      </c>
      <c r="E4353" t="s">
        <v>149</v>
      </c>
      <c r="F4353" t="s">
        <v>4</v>
      </c>
      <c r="G4353" t="str">
        <f>""</f>
        <v/>
      </c>
    </row>
    <row r="4354" spans="1:7" x14ac:dyDescent="0.25">
      <c r="A4354" t="s">
        <v>8</v>
      </c>
      <c r="B4354" s="1" t="str">
        <f>"000296921 - CASA DIBERTACCHI-MAIN ARAMARK"</f>
        <v>000296921 - CASA DIBERTACCHI-MAIN ARAMARK</v>
      </c>
      <c r="C4354" t="s">
        <v>148</v>
      </c>
      <c r="D4354" s="1" t="str">
        <f t="shared" si="124"/>
        <v>PRG-1024940</v>
      </c>
      <c r="E4354" t="s">
        <v>149</v>
      </c>
      <c r="F4354" t="s">
        <v>4</v>
      </c>
      <c r="G4354" t="str">
        <f>""</f>
        <v/>
      </c>
    </row>
    <row r="4355" spans="1:7" x14ac:dyDescent="0.25">
      <c r="A4355" t="s">
        <v>8</v>
      </c>
      <c r="B4355" s="1" t="str">
        <f>"000299911 - CASA DIBERTACCHI-ARAMARK"</f>
        <v>000299911 - CASA DIBERTACCHI-ARAMARK</v>
      </c>
      <c r="C4355" t="s">
        <v>104</v>
      </c>
      <c r="D4355" s="1" t="str">
        <f t="shared" si="124"/>
        <v>PRG-1024940</v>
      </c>
      <c r="E4355" t="s">
        <v>149</v>
      </c>
      <c r="F4355" t="s">
        <v>4</v>
      </c>
      <c r="G4355" t="str">
        <f>""</f>
        <v/>
      </c>
    </row>
    <row r="4356" spans="1:7" x14ac:dyDescent="0.25">
      <c r="A4356" t="s">
        <v>8</v>
      </c>
      <c r="B4356" s="1" t="str">
        <f>"000307471 - CASA DIBERTACCHI-MAIN ARAMARK"</f>
        <v>000307471 - CASA DIBERTACCHI-MAIN ARAMARK</v>
      </c>
      <c r="C4356" t="s">
        <v>148</v>
      </c>
      <c r="D4356" s="1" t="str">
        <f t="shared" si="124"/>
        <v>PRG-1024940</v>
      </c>
      <c r="E4356" t="s">
        <v>149</v>
      </c>
      <c r="F4356" t="s">
        <v>4</v>
      </c>
      <c r="G4356" t="str">
        <f>""</f>
        <v/>
      </c>
    </row>
    <row r="4357" spans="1:7" x14ac:dyDescent="0.25">
      <c r="A4357" t="s">
        <v>8</v>
      </c>
      <c r="B4357" s="1" t="str">
        <f>"000309941 - CASA DIBERTACCHI-ARAMARK"</f>
        <v>000309941 - CASA DIBERTACCHI-ARAMARK</v>
      </c>
      <c r="C4357" t="s">
        <v>104</v>
      </c>
      <c r="D4357" s="1" t="str">
        <f t="shared" si="124"/>
        <v>PRG-1024940</v>
      </c>
      <c r="E4357" t="s">
        <v>149</v>
      </c>
      <c r="F4357" t="s">
        <v>4</v>
      </c>
      <c r="G4357" t="str">
        <f>""</f>
        <v/>
      </c>
    </row>
    <row r="4358" spans="1:7" x14ac:dyDescent="0.25">
      <c r="A4358" t="s">
        <v>8</v>
      </c>
      <c r="B4358" s="1" t="str">
        <f>"000315806 - CASA DIBERTACCHI-MAIN ARAMARK"</f>
        <v>000315806 - CASA DIBERTACCHI-MAIN ARAMARK</v>
      </c>
      <c r="C4358" t="s">
        <v>148</v>
      </c>
      <c r="D4358" s="1" t="str">
        <f t="shared" si="124"/>
        <v>PRG-1024940</v>
      </c>
      <c r="E4358" t="s">
        <v>149</v>
      </c>
      <c r="F4358" t="s">
        <v>4</v>
      </c>
      <c r="G4358" t="str">
        <f>""</f>
        <v/>
      </c>
    </row>
    <row r="4359" spans="1:7" x14ac:dyDescent="0.25">
      <c r="A4359" t="s">
        <v>8</v>
      </c>
      <c r="B4359" s="1" t="str">
        <f>"000320471 - CASA DIBERTACCHI-ARAMARK"</f>
        <v>000320471 - CASA DIBERTACCHI-ARAMARK</v>
      </c>
      <c r="C4359" t="s">
        <v>104</v>
      </c>
      <c r="D4359" s="1" t="str">
        <f t="shared" si="124"/>
        <v>PRG-1024940</v>
      </c>
      <c r="E4359" t="s">
        <v>149</v>
      </c>
      <c r="F4359" t="s">
        <v>4</v>
      </c>
      <c r="G4359" t="str">
        <f>""</f>
        <v/>
      </c>
    </row>
    <row r="4360" spans="1:7" x14ac:dyDescent="0.25">
      <c r="A4360" t="s">
        <v>8</v>
      </c>
      <c r="B4360" s="1" t="str">
        <f>"000327681 - CASA DIBERTACCHI-ARAMARK"</f>
        <v>000327681 - CASA DIBERTACCHI-ARAMARK</v>
      </c>
      <c r="C4360" t="s">
        <v>104</v>
      </c>
      <c r="D4360" s="1" t="str">
        <f t="shared" si="124"/>
        <v>PRG-1024940</v>
      </c>
      <c r="E4360" t="s">
        <v>149</v>
      </c>
      <c r="F4360" t="s">
        <v>4</v>
      </c>
      <c r="G4360" t="str">
        <f>""</f>
        <v/>
      </c>
    </row>
    <row r="4361" spans="1:7" x14ac:dyDescent="0.25">
      <c r="A4361" t="s">
        <v>8</v>
      </c>
      <c r="B4361" s="1" t="str">
        <f>"000332985 - CASA DIBERTACCHI-MAIN ARAMARK"</f>
        <v>000332985 - CASA DIBERTACCHI-MAIN ARAMARK</v>
      </c>
      <c r="C4361" t="s">
        <v>148</v>
      </c>
      <c r="D4361" s="1" t="str">
        <f t="shared" si="124"/>
        <v>PRG-1024940</v>
      </c>
      <c r="E4361" t="s">
        <v>149</v>
      </c>
      <c r="F4361" t="s">
        <v>4</v>
      </c>
      <c r="G4361" t="str">
        <f>""</f>
        <v/>
      </c>
    </row>
    <row r="4362" spans="1:7" x14ac:dyDescent="0.25">
      <c r="A4362" t="s">
        <v>8</v>
      </c>
      <c r="B4362" s="1" t="str">
        <f>"2000174732 - CASA DI BERTACCHI(RICH PRODUCTS)-AR"</f>
        <v>2000174732 - CASA DI BERTACCHI(RICH PRODUCTS)-AR</v>
      </c>
      <c r="C4362" t="s">
        <v>3893</v>
      </c>
      <c r="D4362" s="1" t="str">
        <f t="shared" si="124"/>
        <v>PRG-1024940</v>
      </c>
      <c r="E4362" t="s">
        <v>149</v>
      </c>
      <c r="F4362" t="s">
        <v>4</v>
      </c>
      <c r="G4362" t="str">
        <f>""</f>
        <v/>
      </c>
    </row>
    <row r="4363" spans="1:7" x14ac:dyDescent="0.25">
      <c r="A4363" t="s">
        <v>8</v>
      </c>
      <c r="B4363" s="1" t="str">
        <f>"000299127 - RICH'S KU"</f>
        <v>000299127 - RICH'S KU</v>
      </c>
      <c r="C4363" t="s">
        <v>2948</v>
      </c>
      <c r="D4363" s="1" t="str">
        <f>"PRG-1024954"</f>
        <v>PRG-1024954</v>
      </c>
      <c r="E4363" t="s">
        <v>2949</v>
      </c>
      <c r="F4363" t="s">
        <v>4</v>
      </c>
      <c r="G4363" t="str">
        <f>""</f>
        <v/>
      </c>
    </row>
    <row r="4364" spans="1:7" x14ac:dyDescent="0.25">
      <c r="A4364" t="s">
        <v>8</v>
      </c>
      <c r="B4364" s="1" t="str">
        <f>"000325389 - "</f>
        <v xml:space="preserve">000325389 - </v>
      </c>
      <c r="D4364" s="1" t="str">
        <f>"PRG-1024954"</f>
        <v>PRG-1024954</v>
      </c>
      <c r="E4364" t="s">
        <v>2949</v>
      </c>
      <c r="F4364" t="s">
        <v>4</v>
      </c>
      <c r="G4364" t="str">
        <f>""</f>
        <v/>
      </c>
    </row>
    <row r="4365" spans="1:7" x14ac:dyDescent="0.25">
      <c r="A4365" t="s">
        <v>8</v>
      </c>
      <c r="B4365" s="1" t="str">
        <f>"000223327 - RICH PRODUCTS-UPC SCHOOLS"</f>
        <v>000223327 - RICH PRODUCTS-UPC SCHOOLS</v>
      </c>
      <c r="C4365" t="s">
        <v>1644</v>
      </c>
      <c r="D4365" s="1" t="str">
        <f>"PRG-1024987"</f>
        <v>PRG-1024987</v>
      </c>
      <c r="E4365" t="s">
        <v>1645</v>
      </c>
      <c r="F4365" t="s">
        <v>4</v>
      </c>
      <c r="G4365" t="str">
        <f>""</f>
        <v/>
      </c>
    </row>
    <row r="4366" spans="1:7" x14ac:dyDescent="0.25">
      <c r="A4366" t="s">
        <v>8</v>
      </c>
      <c r="B4366" s="1" t="str">
        <f>"000236262 - RICH'S-FUNFEST"</f>
        <v>000236262 - RICH'S-FUNFEST</v>
      </c>
      <c r="C4366" t="s">
        <v>1846</v>
      </c>
      <c r="D4366" s="1" t="str">
        <f>"PRG-1025015"</f>
        <v>PRG-1025015</v>
      </c>
      <c r="E4366" t="s">
        <v>1847</v>
      </c>
      <c r="F4366" t="s">
        <v>4</v>
      </c>
      <c r="G4366" t="str">
        <f>""</f>
        <v/>
      </c>
    </row>
    <row r="4367" spans="1:7" x14ac:dyDescent="0.25">
      <c r="A4367" t="s">
        <v>8</v>
      </c>
      <c r="B4367" s="1" t="str">
        <f>"2000219465 - RICH PRODUCT CORP DEN-WINTER PARK"</f>
        <v>2000219465 - RICH PRODUCT CORP DEN-WINTER PARK</v>
      </c>
      <c r="C4367" t="s">
        <v>3959</v>
      </c>
      <c r="D4367" s="1" t="str">
        <f>"PRG-1025016"</f>
        <v>PRG-1025016</v>
      </c>
      <c r="E4367" t="s">
        <v>3960</v>
      </c>
      <c r="F4367" t="s">
        <v>4</v>
      </c>
      <c r="G4367" t="str">
        <f>""</f>
        <v/>
      </c>
    </row>
    <row r="4368" spans="1:7" x14ac:dyDescent="0.25">
      <c r="A4368" t="s">
        <v>8</v>
      </c>
      <c r="B4368" s="1" t="str">
        <f>"2000219466 - RICH PRODUCT CORP DEN-STEAMBOAT"</f>
        <v>2000219466 - RICH PRODUCT CORP DEN-STEAMBOAT</v>
      </c>
      <c r="C4368" t="s">
        <v>3961</v>
      </c>
      <c r="D4368" s="1" t="str">
        <f>"PRG-1025018"</f>
        <v>PRG-1025018</v>
      </c>
      <c r="E4368" t="s">
        <v>3962</v>
      </c>
      <c r="F4368" t="s">
        <v>4</v>
      </c>
      <c r="G4368" t="str">
        <f>""</f>
        <v/>
      </c>
    </row>
    <row r="4369" spans="1:7" x14ac:dyDescent="0.25">
      <c r="A4369" t="s">
        <v>8</v>
      </c>
      <c r="B4369" s="1" t="str">
        <f>"31603870"</f>
        <v>31603870</v>
      </c>
      <c r="C4369" t="s">
        <v>4670</v>
      </c>
      <c r="D4369" s="1" t="str">
        <f>"PRG-1025025"</f>
        <v>PRG-1025025</v>
      </c>
      <c r="E4369" t="s">
        <v>4671</v>
      </c>
      <c r="F4369" t="s">
        <v>5</v>
      </c>
      <c r="G4369" t="str">
        <f>""</f>
        <v/>
      </c>
    </row>
    <row r="4370" spans="1:7" x14ac:dyDescent="0.25">
      <c r="A4370" t="s">
        <v>8</v>
      </c>
      <c r="B4370" s="1" t="str">
        <f>"000011366 - METROMEDIA RICH'S PRODUCTS"</f>
        <v>000011366 - METROMEDIA RICH'S PRODUCTS</v>
      </c>
      <c r="C4370" t="s">
        <v>323</v>
      </c>
      <c r="D4370" s="1" t="str">
        <f>"PRG-1025083"</f>
        <v>PRG-1025083</v>
      </c>
      <c r="E4370" t="s">
        <v>207</v>
      </c>
      <c r="F4370" t="s">
        <v>4</v>
      </c>
      <c r="G4370" t="str">
        <f>""</f>
        <v/>
      </c>
    </row>
    <row r="4371" spans="1:7" x14ac:dyDescent="0.25">
      <c r="A4371" t="s">
        <v>8</v>
      </c>
      <c r="B4371" s="1" t="str">
        <f>"2180F673"</f>
        <v>2180F673</v>
      </c>
      <c r="C4371" t="s">
        <v>4207</v>
      </c>
      <c r="D4371" s="1" t="str">
        <f>"PRG-1025092"</f>
        <v>PRG-1025092</v>
      </c>
      <c r="E4371" t="s">
        <v>4208</v>
      </c>
      <c r="F4371" t="s">
        <v>5</v>
      </c>
      <c r="G4371" t="str">
        <f>""</f>
        <v/>
      </c>
    </row>
    <row r="4372" spans="1:7" x14ac:dyDescent="0.25">
      <c r="A4372" t="s">
        <v>8</v>
      </c>
      <c r="B4372" s="1" t="str">
        <f>"000167817 - RICH FOODS-RED ROBIN(GF)"</f>
        <v>000167817 - RICH FOODS-RED ROBIN(GF)</v>
      </c>
      <c r="C4372" t="s">
        <v>1081</v>
      </c>
      <c r="D4372" s="1" t="str">
        <f t="shared" ref="D4372:D4377" si="125">"PRG-1025095"</f>
        <v>PRG-1025095</v>
      </c>
      <c r="E4372" t="s">
        <v>1082</v>
      </c>
      <c r="F4372" t="s">
        <v>4</v>
      </c>
      <c r="G4372" t="str">
        <f>""</f>
        <v/>
      </c>
    </row>
    <row r="4373" spans="1:7" x14ac:dyDescent="0.25">
      <c r="A4373" t="s">
        <v>8</v>
      </c>
      <c r="B4373" s="1" t="str">
        <f>"2000171285 - RICHS GLUNTEN FREE ID NM WTX-RED RO"</f>
        <v>2000171285 - RICHS GLUNTEN FREE ID NM WTX-RED RO</v>
      </c>
      <c r="C4373" t="s">
        <v>3883</v>
      </c>
      <c r="D4373" s="1" t="str">
        <f t="shared" si="125"/>
        <v>PRG-1025095</v>
      </c>
      <c r="E4373" t="s">
        <v>1082</v>
      </c>
      <c r="F4373" t="s">
        <v>4</v>
      </c>
      <c r="G4373" t="str">
        <f>""</f>
        <v/>
      </c>
    </row>
    <row r="4374" spans="1:7" x14ac:dyDescent="0.25">
      <c r="A4374" t="s">
        <v>8</v>
      </c>
      <c r="B4374" s="1" t="str">
        <f>"2000223959 - RICHS GLUNTEN FREE-RED ROBIN"</f>
        <v>2000223959 - RICHS GLUNTEN FREE-RED ROBIN</v>
      </c>
      <c r="C4374" t="s">
        <v>3973</v>
      </c>
      <c r="D4374" s="1" t="str">
        <f t="shared" si="125"/>
        <v>PRG-1025095</v>
      </c>
      <c r="E4374" t="s">
        <v>1082</v>
      </c>
      <c r="F4374" t="s">
        <v>4</v>
      </c>
      <c r="G4374" t="str">
        <f>""</f>
        <v/>
      </c>
    </row>
    <row r="4375" spans="1:7" x14ac:dyDescent="0.25">
      <c r="A4375" t="s">
        <v>8</v>
      </c>
      <c r="B4375" s="1" t="str">
        <f>"21102833"</f>
        <v>21102833</v>
      </c>
      <c r="C4375" t="s">
        <v>4123</v>
      </c>
      <c r="D4375" s="1" t="str">
        <f t="shared" si="125"/>
        <v>PRG-1025095</v>
      </c>
      <c r="E4375" t="s">
        <v>1082</v>
      </c>
      <c r="F4375" t="s">
        <v>5</v>
      </c>
      <c r="G4375" t="str">
        <f>""</f>
        <v/>
      </c>
    </row>
    <row r="4376" spans="1:7" x14ac:dyDescent="0.25">
      <c r="A4376" t="s">
        <v>8</v>
      </c>
      <c r="B4376" s="1" t="str">
        <f>"2110A356"</f>
        <v>2110A356</v>
      </c>
      <c r="C4376" t="s">
        <v>4124</v>
      </c>
      <c r="D4376" s="1" t="str">
        <f t="shared" si="125"/>
        <v>PRG-1025095</v>
      </c>
      <c r="E4376" t="s">
        <v>1082</v>
      </c>
      <c r="F4376" t="s">
        <v>5</v>
      </c>
      <c r="G4376" t="str">
        <f>""</f>
        <v/>
      </c>
    </row>
    <row r="4377" spans="1:7" x14ac:dyDescent="0.25">
      <c r="A4377" t="s">
        <v>8</v>
      </c>
      <c r="B4377" s="1" t="str">
        <f>"41184428"</f>
        <v>41184428</v>
      </c>
      <c r="C4377" t="s">
        <v>4968</v>
      </c>
      <c r="D4377" s="1" t="str">
        <f t="shared" si="125"/>
        <v>PRG-1025095</v>
      </c>
      <c r="E4377" t="s">
        <v>1082</v>
      </c>
      <c r="F4377" t="s">
        <v>5</v>
      </c>
      <c r="G4377" t="str">
        <f>""</f>
        <v/>
      </c>
    </row>
    <row r="4378" spans="1:7" x14ac:dyDescent="0.25">
      <c r="A4378" t="s">
        <v>8</v>
      </c>
      <c r="B4378" s="1" t="str">
        <f>"000268956 - RICH PRODUCTS-LA MADELEINE"</f>
        <v>000268956 - RICH PRODUCTS-LA MADELEINE</v>
      </c>
      <c r="C4378" t="s">
        <v>139</v>
      </c>
      <c r="D4378" s="1" t="str">
        <f>"PRG-1025097"</f>
        <v>PRG-1025097</v>
      </c>
      <c r="E4378" t="s">
        <v>975</v>
      </c>
      <c r="F4378" t="s">
        <v>4</v>
      </c>
      <c r="G4378" t="str">
        <f>""</f>
        <v/>
      </c>
    </row>
    <row r="4379" spans="1:7" x14ac:dyDescent="0.25">
      <c r="A4379" t="s">
        <v>8</v>
      </c>
      <c r="B4379" s="1" t="str">
        <f>"000272456 - RICH PRODUCTS-LA MADELEINE"</f>
        <v>000272456 - RICH PRODUCTS-LA MADELEINE</v>
      </c>
      <c r="C4379" t="s">
        <v>139</v>
      </c>
      <c r="D4379" s="1" t="str">
        <f>"PRG-1025097"</f>
        <v>PRG-1025097</v>
      </c>
      <c r="E4379" t="s">
        <v>975</v>
      </c>
      <c r="F4379" t="s">
        <v>4</v>
      </c>
      <c r="G4379" t="str">
        <f>""</f>
        <v/>
      </c>
    </row>
    <row r="4380" spans="1:7" x14ac:dyDescent="0.25">
      <c r="A4380" t="s">
        <v>8</v>
      </c>
      <c r="B4380" s="1" t="str">
        <f>"000293385 - RICH PRODUCTS-LA MADELEINE"</f>
        <v>000293385 - RICH PRODUCTS-LA MADELEINE</v>
      </c>
      <c r="C4380" t="s">
        <v>139</v>
      </c>
      <c r="D4380" s="1" t="str">
        <f>"PRG-1025097"</f>
        <v>PRG-1025097</v>
      </c>
      <c r="E4380" t="s">
        <v>975</v>
      </c>
      <c r="F4380" t="s">
        <v>4</v>
      </c>
      <c r="G4380" t="str">
        <f>""</f>
        <v/>
      </c>
    </row>
    <row r="4381" spans="1:7" x14ac:dyDescent="0.25">
      <c r="A4381" t="s">
        <v>8</v>
      </c>
      <c r="B4381" s="1" t="str">
        <f>"000300360 - RICH PRODUCTS-LA MADELEINE"</f>
        <v>000300360 - RICH PRODUCTS-LA MADELEINE</v>
      </c>
      <c r="C4381" t="s">
        <v>139</v>
      </c>
      <c r="D4381" s="1" t="str">
        <f>"PRG-1025097"</f>
        <v>PRG-1025097</v>
      </c>
      <c r="E4381" t="s">
        <v>975</v>
      </c>
      <c r="F4381" t="s">
        <v>4</v>
      </c>
      <c r="G4381" t="str">
        <f>""</f>
        <v/>
      </c>
    </row>
    <row r="4382" spans="1:7" x14ac:dyDescent="0.25">
      <c r="A4382" t="s">
        <v>8</v>
      </c>
      <c r="B4382" s="1" t="str">
        <f>"2000223771 - RICH FOODS-LA MADELEINE"</f>
        <v>2000223771 - RICH FOODS-LA MADELEINE</v>
      </c>
      <c r="C4382" t="s">
        <v>130</v>
      </c>
      <c r="D4382" s="1" t="str">
        <f>"PRG-1025097"</f>
        <v>PRG-1025097</v>
      </c>
      <c r="E4382" t="s">
        <v>975</v>
      </c>
      <c r="F4382" t="s">
        <v>4</v>
      </c>
      <c r="G4382" t="str">
        <f>""</f>
        <v/>
      </c>
    </row>
    <row r="4383" spans="1:7" x14ac:dyDescent="0.25">
      <c r="A4383" t="s">
        <v>8</v>
      </c>
      <c r="B4383" s="1" t="str">
        <f>"2160A954"</f>
        <v>2160A954</v>
      </c>
      <c r="C4383" t="s">
        <v>4176</v>
      </c>
      <c r="D4383" s="1" t="str">
        <f>"PRG-1025123"</f>
        <v>PRG-1025123</v>
      </c>
      <c r="E4383" t="s">
        <v>4177</v>
      </c>
      <c r="F4383" t="s">
        <v>5</v>
      </c>
      <c r="G4383" t="str">
        <f>""</f>
        <v/>
      </c>
    </row>
    <row r="4384" spans="1:7" x14ac:dyDescent="0.25">
      <c r="A4384" t="s">
        <v>8</v>
      </c>
      <c r="B4384" s="1" t="str">
        <f>"000181397 - RICH FOODS-NUTRITION"</f>
        <v>000181397 - RICH FOODS-NUTRITION</v>
      </c>
      <c r="C4384" t="s">
        <v>505</v>
      </c>
      <c r="D4384" s="1" t="str">
        <f>"PRG-1025160"</f>
        <v>PRG-1025160</v>
      </c>
      <c r="E4384" t="s">
        <v>874</v>
      </c>
      <c r="F4384" t="s">
        <v>4</v>
      </c>
      <c r="G4384" t="str">
        <f>""</f>
        <v/>
      </c>
    </row>
    <row r="4385" spans="1:7" x14ac:dyDescent="0.25">
      <c r="A4385" t="s">
        <v>8</v>
      </c>
      <c r="B4385" s="1" t="str">
        <f>"000218908 - RICH FOODS-NUTRITION"</f>
        <v>000218908 - RICH FOODS-NUTRITION</v>
      </c>
      <c r="C4385" t="s">
        <v>505</v>
      </c>
      <c r="D4385" s="1" t="str">
        <f>"PRG-1025160"</f>
        <v>PRG-1025160</v>
      </c>
      <c r="E4385" t="s">
        <v>874</v>
      </c>
      <c r="F4385" t="s">
        <v>4</v>
      </c>
      <c r="G4385" t="str">
        <f>""</f>
        <v/>
      </c>
    </row>
    <row r="4386" spans="1:7" x14ac:dyDescent="0.25">
      <c r="A4386" t="s">
        <v>8</v>
      </c>
      <c r="B4386" s="1" t="str">
        <f>"2000226536 - RICH FOODS-NUTRITION SYSTEMS"</f>
        <v>2000226536 - RICH FOODS-NUTRITION SYSTEMS</v>
      </c>
      <c r="C4386" t="s">
        <v>873</v>
      </c>
      <c r="D4386" s="1" t="str">
        <f>"PRG-1025160"</f>
        <v>PRG-1025160</v>
      </c>
      <c r="E4386" t="s">
        <v>874</v>
      </c>
      <c r="F4386" t="s">
        <v>4</v>
      </c>
      <c r="G4386" t="str">
        <f>""</f>
        <v/>
      </c>
    </row>
    <row r="4387" spans="1:7" x14ac:dyDescent="0.25">
      <c r="A4387" t="s">
        <v>8</v>
      </c>
      <c r="B4387" s="1" t="str">
        <f>"000036323 - RICH PRODUCTS REST PARTNERS"</f>
        <v>000036323 - RICH PRODUCTS REST PARTNERS</v>
      </c>
      <c r="C4387" t="s">
        <v>536</v>
      </c>
      <c r="D4387" s="1" t="str">
        <f t="shared" ref="D4387:D4403" si="126">"PRG-1025200"</f>
        <v>PRG-1025200</v>
      </c>
      <c r="E4387" t="s">
        <v>537</v>
      </c>
      <c r="F4387" t="s">
        <v>4</v>
      </c>
      <c r="G4387" t="str">
        <f>""</f>
        <v/>
      </c>
    </row>
    <row r="4388" spans="1:7" x14ac:dyDescent="0.25">
      <c r="A4388" t="s">
        <v>8</v>
      </c>
      <c r="B4388" s="1" t="str">
        <f>"000179347 - RICH'S DC REST PRTNR POP"</f>
        <v>000179347 - RICH'S DC REST PRTNR POP</v>
      </c>
      <c r="C4388" t="s">
        <v>1130</v>
      </c>
      <c r="D4388" s="1" t="str">
        <f t="shared" si="126"/>
        <v>PRG-1025200</v>
      </c>
      <c r="E4388" t="s">
        <v>537</v>
      </c>
      <c r="F4388" t="s">
        <v>4</v>
      </c>
      <c r="G4388" t="str">
        <f>""</f>
        <v/>
      </c>
    </row>
    <row r="4389" spans="1:7" x14ac:dyDescent="0.25">
      <c r="A4389" t="s">
        <v>8</v>
      </c>
      <c r="B4389" s="1" t="str">
        <f>"000180066 - RICH'S DC REST PRTNR POP"</f>
        <v>000180066 - RICH'S DC REST PRTNR POP</v>
      </c>
      <c r="C4389" t="s">
        <v>1130</v>
      </c>
      <c r="D4389" s="1" t="str">
        <f t="shared" si="126"/>
        <v>PRG-1025200</v>
      </c>
      <c r="E4389" t="s">
        <v>537</v>
      </c>
      <c r="F4389" t="s">
        <v>4</v>
      </c>
      <c r="G4389" t="str">
        <f>""</f>
        <v/>
      </c>
    </row>
    <row r="4390" spans="1:7" x14ac:dyDescent="0.25">
      <c r="A4390" t="s">
        <v>8</v>
      </c>
      <c r="B4390" s="1" t="str">
        <f>"000191802 - RICH FOODS- RESTAURANT PARTNER"</f>
        <v>000191802 - RICH FOODS- RESTAURANT PARTNER</v>
      </c>
      <c r="C4390" t="s">
        <v>1217</v>
      </c>
      <c r="D4390" s="1" t="str">
        <f t="shared" si="126"/>
        <v>PRG-1025200</v>
      </c>
      <c r="E4390" t="s">
        <v>537</v>
      </c>
      <c r="F4390" t="s">
        <v>4</v>
      </c>
      <c r="G4390" t="str">
        <f>""</f>
        <v/>
      </c>
    </row>
    <row r="4391" spans="1:7" x14ac:dyDescent="0.25">
      <c r="A4391" t="s">
        <v>8</v>
      </c>
      <c r="B4391" s="1" t="str">
        <f>"000215636 - RPI RICHS FOODS"</f>
        <v>000215636 - RPI RICHS FOODS</v>
      </c>
      <c r="C4391" t="s">
        <v>1349</v>
      </c>
      <c r="D4391" s="1" t="str">
        <f t="shared" si="126"/>
        <v>PRG-1025200</v>
      </c>
      <c r="E4391" t="s">
        <v>537</v>
      </c>
      <c r="F4391" t="s">
        <v>4</v>
      </c>
      <c r="G4391" t="str">
        <f>""</f>
        <v/>
      </c>
    </row>
    <row r="4392" spans="1:7" x14ac:dyDescent="0.25">
      <c r="A4392" t="s">
        <v>8</v>
      </c>
      <c r="B4392" s="1" t="str">
        <f>"000222728 - RICH REST PARTNER NONCORE"</f>
        <v>000222728 - RICH REST PARTNER NONCORE</v>
      </c>
      <c r="C4392" t="s">
        <v>1634</v>
      </c>
      <c r="D4392" s="1" t="str">
        <f t="shared" si="126"/>
        <v>PRG-1025200</v>
      </c>
      <c r="E4392" t="s">
        <v>537</v>
      </c>
      <c r="F4392" t="s">
        <v>4</v>
      </c>
      <c r="G4392" t="str">
        <f>""</f>
        <v/>
      </c>
    </row>
    <row r="4393" spans="1:7" x14ac:dyDescent="0.25">
      <c r="A4393" t="s">
        <v>8</v>
      </c>
      <c r="B4393" s="1" t="str">
        <f>"000234200 - RICHS RESTAURANT PARTNERS"</f>
        <v>000234200 - RICHS RESTAURANT PARTNERS</v>
      </c>
      <c r="C4393" t="s">
        <v>1819</v>
      </c>
      <c r="D4393" s="1" t="str">
        <f t="shared" si="126"/>
        <v>PRG-1025200</v>
      </c>
      <c r="E4393" t="s">
        <v>537</v>
      </c>
      <c r="F4393" t="s">
        <v>4</v>
      </c>
      <c r="G4393" t="str">
        <f>""</f>
        <v/>
      </c>
    </row>
    <row r="4394" spans="1:7" x14ac:dyDescent="0.25">
      <c r="A4394" t="s">
        <v>8</v>
      </c>
      <c r="B4394" s="1" t="str">
        <f>"000238716 - RICH   RESTAURANT PARTNERS"</f>
        <v>000238716 - RICH   RESTAURANT PARTNERS</v>
      </c>
      <c r="C4394" t="s">
        <v>1885</v>
      </c>
      <c r="D4394" s="1" t="str">
        <f t="shared" si="126"/>
        <v>PRG-1025200</v>
      </c>
      <c r="E4394" t="s">
        <v>537</v>
      </c>
      <c r="F4394" t="s">
        <v>4</v>
      </c>
      <c r="G4394" t="str">
        <f>""</f>
        <v/>
      </c>
    </row>
    <row r="4395" spans="1:7" x14ac:dyDescent="0.25">
      <c r="A4395" t="s">
        <v>8</v>
      </c>
      <c r="B4395" s="1" t="str">
        <f>"000245289 - RICHS RESTAURANT PARTNERS"</f>
        <v>000245289 - RICHS RESTAURANT PARTNERS</v>
      </c>
      <c r="C4395" t="s">
        <v>1819</v>
      </c>
      <c r="D4395" s="1" t="str">
        <f t="shared" si="126"/>
        <v>PRG-1025200</v>
      </c>
      <c r="E4395" t="s">
        <v>537</v>
      </c>
      <c r="F4395" t="s">
        <v>4</v>
      </c>
      <c r="G4395" t="str">
        <f>""</f>
        <v/>
      </c>
    </row>
    <row r="4396" spans="1:7" x14ac:dyDescent="0.25">
      <c r="A4396" t="s">
        <v>8</v>
      </c>
      <c r="B4396" s="1" t="str">
        <f>"000301606 - RICH'S RESTAURANT PARTNERS"</f>
        <v>000301606 - RICH'S RESTAURANT PARTNERS</v>
      </c>
      <c r="C4396" t="s">
        <v>2984</v>
      </c>
      <c r="D4396" s="1" t="str">
        <f t="shared" si="126"/>
        <v>PRG-1025200</v>
      </c>
      <c r="E4396" t="s">
        <v>537</v>
      </c>
      <c r="F4396" t="s">
        <v>4</v>
      </c>
      <c r="G4396" t="str">
        <f>""</f>
        <v/>
      </c>
    </row>
    <row r="4397" spans="1:7" x14ac:dyDescent="0.25">
      <c r="A4397" t="s">
        <v>8</v>
      </c>
      <c r="B4397" s="1" t="str">
        <f>"000303291 - RICH RESTAURANT PARTNERS"</f>
        <v>000303291 - RICH RESTAURANT PARTNERS</v>
      </c>
      <c r="C4397" t="s">
        <v>1355</v>
      </c>
      <c r="D4397" s="1" t="str">
        <f t="shared" si="126"/>
        <v>PRG-1025200</v>
      </c>
      <c r="E4397" t="s">
        <v>537</v>
      </c>
      <c r="F4397" t="s">
        <v>4</v>
      </c>
      <c r="G4397" t="str">
        <f>""</f>
        <v/>
      </c>
    </row>
    <row r="4398" spans="1:7" x14ac:dyDescent="0.25">
      <c r="A4398" t="s">
        <v>8</v>
      </c>
      <c r="B4398" s="1" t="str">
        <f>"000313640 - RICH RESTAURANT PARTNERS"</f>
        <v>000313640 - RICH RESTAURANT PARTNERS</v>
      </c>
      <c r="C4398" t="s">
        <v>1355</v>
      </c>
      <c r="D4398" s="1" t="str">
        <f t="shared" si="126"/>
        <v>PRG-1025200</v>
      </c>
      <c r="E4398" t="s">
        <v>537</v>
      </c>
      <c r="F4398" t="s">
        <v>4</v>
      </c>
      <c r="G4398" t="str">
        <f>""</f>
        <v/>
      </c>
    </row>
    <row r="4399" spans="1:7" x14ac:dyDescent="0.25">
      <c r="A4399" t="s">
        <v>8</v>
      </c>
      <c r="B4399" s="1" t="str">
        <f>"000317859 - RICH FOODS GALV REST GRP #46"</f>
        <v>000317859 - RICH FOODS GALV REST GRP #46</v>
      </c>
      <c r="C4399" t="s">
        <v>3208</v>
      </c>
      <c r="D4399" s="1" t="str">
        <f t="shared" si="126"/>
        <v>PRG-1025200</v>
      </c>
      <c r="E4399" t="s">
        <v>537</v>
      </c>
      <c r="F4399" t="s">
        <v>4</v>
      </c>
      <c r="G4399" t="str">
        <f>""</f>
        <v/>
      </c>
    </row>
    <row r="4400" spans="1:7" x14ac:dyDescent="0.25">
      <c r="A4400" t="s">
        <v>8</v>
      </c>
      <c r="B4400" s="1" t="str">
        <f>"000319806 - RICH FDS REST PARTNERS"</f>
        <v>000319806 - RICH FDS REST PARTNERS</v>
      </c>
      <c r="C4400" t="s">
        <v>3234</v>
      </c>
      <c r="D4400" s="1" t="str">
        <f t="shared" si="126"/>
        <v>PRG-1025200</v>
      </c>
      <c r="E4400" t="s">
        <v>537</v>
      </c>
      <c r="F4400" t="s">
        <v>4</v>
      </c>
      <c r="G4400" t="str">
        <f>""</f>
        <v/>
      </c>
    </row>
    <row r="4401" spans="1:7" x14ac:dyDescent="0.25">
      <c r="A4401" t="s">
        <v>8</v>
      </c>
      <c r="B4401" s="1" t="str">
        <f>"000320289 - RICH FOODS GALV REST REVISED"</f>
        <v>000320289 - RICH FOODS GALV REST REVISED</v>
      </c>
      <c r="C4401" t="s">
        <v>3238</v>
      </c>
      <c r="D4401" s="1" t="str">
        <f t="shared" si="126"/>
        <v>PRG-1025200</v>
      </c>
      <c r="E4401" t="s">
        <v>537</v>
      </c>
      <c r="F4401" t="s">
        <v>4</v>
      </c>
      <c r="G4401" t="str">
        <f>""</f>
        <v/>
      </c>
    </row>
    <row r="4402" spans="1:7" x14ac:dyDescent="0.25">
      <c r="A4402" t="s">
        <v>8</v>
      </c>
      <c r="B4402" s="1" t="str">
        <f>"000337843 - RICH FDS NC RESTAURNT PRTNR"</f>
        <v>000337843 - RICH FDS NC RESTAURNT PRTNR</v>
      </c>
      <c r="C4402" t="s">
        <v>3422</v>
      </c>
      <c r="D4402" s="1" t="str">
        <f t="shared" si="126"/>
        <v>PRG-1025200</v>
      </c>
      <c r="E4402" t="s">
        <v>537</v>
      </c>
      <c r="F4402" t="s">
        <v>4</v>
      </c>
      <c r="G4402" t="str">
        <f>""</f>
        <v/>
      </c>
    </row>
    <row r="4403" spans="1:7" x14ac:dyDescent="0.25">
      <c r="A4403" t="s">
        <v>8</v>
      </c>
      <c r="B4403" s="1" t="str">
        <f>"2000226451 - RICH PRODUCTS-RESTAURANT PARTNERS"</f>
        <v>2000226451 - RICH PRODUCTS-RESTAURANT PARTNERS</v>
      </c>
      <c r="C4403" t="s">
        <v>3977</v>
      </c>
      <c r="D4403" s="1" t="str">
        <f t="shared" si="126"/>
        <v>PRG-1025200</v>
      </c>
      <c r="E4403" t="s">
        <v>537</v>
      </c>
      <c r="F4403" t="s">
        <v>4</v>
      </c>
      <c r="G4403" t="str">
        <f>""</f>
        <v/>
      </c>
    </row>
    <row r="4404" spans="1:7" x14ac:dyDescent="0.25">
      <c r="A4404" t="s">
        <v>8</v>
      </c>
      <c r="B4404" s="1" t="str">
        <f>"41465217"</f>
        <v>41465217</v>
      </c>
      <c r="C4404" t="s">
        <v>4994</v>
      </c>
      <c r="D4404" s="1" t="str">
        <f>"PRG-1025296"</f>
        <v>PRG-1025296</v>
      </c>
      <c r="E4404" t="s">
        <v>4995</v>
      </c>
      <c r="F4404" t="s">
        <v>5</v>
      </c>
      <c r="G4404" t="str">
        <f>""</f>
        <v/>
      </c>
    </row>
    <row r="4405" spans="1:7" x14ac:dyDescent="0.25">
      <c r="A4405" t="s">
        <v>8</v>
      </c>
      <c r="B4405" s="1" t="str">
        <f>"000187805 - RICH FOODS-IKEA LC"</f>
        <v>000187805 - RICH FOODS-IKEA LC</v>
      </c>
      <c r="C4405" t="s">
        <v>1186</v>
      </c>
      <c r="D4405" s="1" t="str">
        <f t="shared" ref="D4405:D4434" si="127">"PRG-1025320"</f>
        <v>PRG-1025320</v>
      </c>
      <c r="E4405" t="s">
        <v>464</v>
      </c>
      <c r="F4405" t="s">
        <v>4</v>
      </c>
      <c r="G4405" t="str">
        <f>""</f>
        <v/>
      </c>
    </row>
    <row r="4406" spans="1:7" x14ac:dyDescent="0.25">
      <c r="A4406" t="s">
        <v>8</v>
      </c>
      <c r="B4406" s="1" t="str">
        <f>"000204714 - RICH FOODS-IKEA LC"</f>
        <v>000204714 - RICH FOODS-IKEA LC</v>
      </c>
      <c r="C4406" t="s">
        <v>1186</v>
      </c>
      <c r="D4406" s="1" t="str">
        <f t="shared" si="127"/>
        <v>PRG-1025320</v>
      </c>
      <c r="E4406" t="s">
        <v>464</v>
      </c>
      <c r="F4406" t="s">
        <v>4</v>
      </c>
      <c r="G4406" t="str">
        <f>""</f>
        <v/>
      </c>
    </row>
    <row r="4407" spans="1:7" x14ac:dyDescent="0.25">
      <c r="A4407" t="s">
        <v>8</v>
      </c>
      <c r="B4407" s="1" t="str">
        <f>"000206350 - RICH FOODS-IKEA LC"</f>
        <v>000206350 - RICH FOODS-IKEA LC</v>
      </c>
      <c r="C4407" t="s">
        <v>1186</v>
      </c>
      <c r="D4407" s="1" t="str">
        <f t="shared" si="127"/>
        <v>PRG-1025320</v>
      </c>
      <c r="E4407" t="s">
        <v>464</v>
      </c>
      <c r="F4407" t="s">
        <v>4</v>
      </c>
      <c r="G4407" t="str">
        <f>""</f>
        <v/>
      </c>
    </row>
    <row r="4408" spans="1:7" x14ac:dyDescent="0.25">
      <c r="A4408" t="s">
        <v>8</v>
      </c>
      <c r="B4408" s="1" t="str">
        <f>"000217424 - RICH FOODS-IKEA LC"</f>
        <v>000217424 - RICH FOODS-IKEA LC</v>
      </c>
      <c r="C4408" t="s">
        <v>1186</v>
      </c>
      <c r="D4408" s="1" t="str">
        <f t="shared" si="127"/>
        <v>PRG-1025320</v>
      </c>
      <c r="E4408" t="s">
        <v>464</v>
      </c>
      <c r="F4408" t="s">
        <v>4</v>
      </c>
      <c r="G4408" t="str">
        <f>""</f>
        <v/>
      </c>
    </row>
    <row r="4409" spans="1:7" x14ac:dyDescent="0.25">
      <c r="A4409" t="s">
        <v>8</v>
      </c>
      <c r="B4409" s="1" t="str">
        <f>"000218984 - RICH FOODS-IKEA LC"</f>
        <v>000218984 - RICH FOODS-IKEA LC</v>
      </c>
      <c r="C4409" t="s">
        <v>1186</v>
      </c>
      <c r="D4409" s="1" t="str">
        <f t="shared" si="127"/>
        <v>PRG-1025320</v>
      </c>
      <c r="E4409" t="s">
        <v>464</v>
      </c>
      <c r="F4409" t="s">
        <v>4</v>
      </c>
      <c r="G4409" t="str">
        <f>""</f>
        <v/>
      </c>
    </row>
    <row r="4410" spans="1:7" x14ac:dyDescent="0.25">
      <c r="A4410" t="s">
        <v>8</v>
      </c>
      <c r="B4410" s="1" t="str">
        <f>"000224754 - RICH FOODS-IKEA LC"</f>
        <v>000224754 - RICH FOODS-IKEA LC</v>
      </c>
      <c r="C4410" t="s">
        <v>1186</v>
      </c>
      <c r="D4410" s="1" t="str">
        <f t="shared" si="127"/>
        <v>PRG-1025320</v>
      </c>
      <c r="E4410" t="s">
        <v>464</v>
      </c>
      <c r="F4410" t="s">
        <v>4</v>
      </c>
      <c r="G4410" t="str">
        <f>""</f>
        <v/>
      </c>
    </row>
    <row r="4411" spans="1:7" x14ac:dyDescent="0.25">
      <c r="A4411" t="s">
        <v>8</v>
      </c>
      <c r="B4411" s="1" t="str">
        <f>"000230897 - RICH FOODS-IKEA LC"</f>
        <v>000230897 - RICH FOODS-IKEA LC</v>
      </c>
      <c r="C4411" t="s">
        <v>1186</v>
      </c>
      <c r="D4411" s="1" t="str">
        <f t="shared" si="127"/>
        <v>PRG-1025320</v>
      </c>
      <c r="E4411" t="s">
        <v>464</v>
      </c>
      <c r="F4411" t="s">
        <v>4</v>
      </c>
      <c r="G4411" t="str">
        <f>""</f>
        <v/>
      </c>
    </row>
    <row r="4412" spans="1:7" x14ac:dyDescent="0.25">
      <c r="A4412" t="s">
        <v>8</v>
      </c>
      <c r="B4412" s="1" t="str">
        <f>"000238419 - "</f>
        <v xml:space="preserve">000238419 - </v>
      </c>
      <c r="D4412" s="1" t="str">
        <f t="shared" si="127"/>
        <v>PRG-1025320</v>
      </c>
      <c r="E4412" t="s">
        <v>464</v>
      </c>
      <c r="F4412" t="s">
        <v>4</v>
      </c>
      <c r="G4412" t="str">
        <f>""</f>
        <v/>
      </c>
    </row>
    <row r="4413" spans="1:7" x14ac:dyDescent="0.25">
      <c r="A4413" t="s">
        <v>8</v>
      </c>
      <c r="B4413" s="1" t="str">
        <f>"000243433 - RICH FOODS-IKEA LC"</f>
        <v>000243433 - RICH FOODS-IKEA LC</v>
      </c>
      <c r="C4413" t="s">
        <v>1186</v>
      </c>
      <c r="D4413" s="1" t="str">
        <f t="shared" si="127"/>
        <v>PRG-1025320</v>
      </c>
      <c r="E4413" t="s">
        <v>464</v>
      </c>
      <c r="F4413" t="s">
        <v>4</v>
      </c>
      <c r="G4413" t="str">
        <f>""</f>
        <v/>
      </c>
    </row>
    <row r="4414" spans="1:7" x14ac:dyDescent="0.25">
      <c r="A4414" t="s">
        <v>8</v>
      </c>
      <c r="B4414" s="1" t="str">
        <f>"000245636 - "</f>
        <v xml:space="preserve">000245636 - </v>
      </c>
      <c r="D4414" s="1" t="str">
        <f t="shared" si="127"/>
        <v>PRG-1025320</v>
      </c>
      <c r="E4414" t="s">
        <v>464</v>
      </c>
      <c r="F4414" t="s">
        <v>4</v>
      </c>
      <c r="G4414" t="str">
        <f>""</f>
        <v/>
      </c>
    </row>
    <row r="4415" spans="1:7" x14ac:dyDescent="0.25">
      <c r="A4415" t="s">
        <v>8</v>
      </c>
      <c r="B4415" s="1" t="str">
        <f>"000247070 - RICH FOODS-IKEA LC"</f>
        <v>000247070 - RICH FOODS-IKEA LC</v>
      </c>
      <c r="C4415" t="s">
        <v>1186</v>
      </c>
      <c r="D4415" s="1" t="str">
        <f t="shared" si="127"/>
        <v>PRG-1025320</v>
      </c>
      <c r="E4415" t="s">
        <v>464</v>
      </c>
      <c r="F4415" t="s">
        <v>4</v>
      </c>
      <c r="G4415" t="str">
        <f>""</f>
        <v/>
      </c>
    </row>
    <row r="4416" spans="1:7" x14ac:dyDescent="0.25">
      <c r="A4416" t="s">
        <v>8</v>
      </c>
      <c r="B4416" s="1" t="str">
        <f>"000250820 - RICH FOODS-IKEA LC"</f>
        <v>000250820 - RICH FOODS-IKEA LC</v>
      </c>
      <c r="C4416" t="s">
        <v>1186</v>
      </c>
      <c r="D4416" s="1" t="str">
        <f t="shared" si="127"/>
        <v>PRG-1025320</v>
      </c>
      <c r="E4416" t="s">
        <v>464</v>
      </c>
      <c r="F4416" t="s">
        <v>4</v>
      </c>
      <c r="G4416" t="str">
        <f>""</f>
        <v/>
      </c>
    </row>
    <row r="4417" spans="1:7" x14ac:dyDescent="0.25">
      <c r="A4417" t="s">
        <v>8</v>
      </c>
      <c r="B4417" s="1" t="str">
        <f>"000269060 - RICH FOODS-IKEA LC"</f>
        <v>000269060 - RICH FOODS-IKEA LC</v>
      </c>
      <c r="C4417" t="s">
        <v>1186</v>
      </c>
      <c r="D4417" s="1" t="str">
        <f t="shared" si="127"/>
        <v>PRG-1025320</v>
      </c>
      <c r="E4417" t="s">
        <v>464</v>
      </c>
      <c r="F4417" t="s">
        <v>4</v>
      </c>
      <c r="G4417" t="str">
        <f>""</f>
        <v/>
      </c>
    </row>
    <row r="4418" spans="1:7" x14ac:dyDescent="0.25">
      <c r="A4418" t="s">
        <v>8</v>
      </c>
      <c r="B4418" s="1" t="str">
        <f>"000278223 - RICH FOODS-IKEA LC"</f>
        <v>000278223 - RICH FOODS-IKEA LC</v>
      </c>
      <c r="C4418" t="s">
        <v>1186</v>
      </c>
      <c r="D4418" s="1" t="str">
        <f t="shared" si="127"/>
        <v>PRG-1025320</v>
      </c>
      <c r="E4418" t="s">
        <v>464</v>
      </c>
      <c r="F4418" t="s">
        <v>4</v>
      </c>
      <c r="G4418" t="str">
        <f>""</f>
        <v/>
      </c>
    </row>
    <row r="4419" spans="1:7" x14ac:dyDescent="0.25">
      <c r="A4419" t="s">
        <v>8</v>
      </c>
      <c r="B4419" s="1" t="str">
        <f>"000281496 - RICH FOODS-IKEA LC"</f>
        <v>000281496 - RICH FOODS-IKEA LC</v>
      </c>
      <c r="C4419" t="s">
        <v>1186</v>
      </c>
      <c r="D4419" s="1" t="str">
        <f t="shared" si="127"/>
        <v>PRG-1025320</v>
      </c>
      <c r="E4419" t="s">
        <v>464</v>
      </c>
      <c r="F4419" t="s">
        <v>4</v>
      </c>
      <c r="G4419" t="str">
        <f>""</f>
        <v/>
      </c>
    </row>
    <row r="4420" spans="1:7" x14ac:dyDescent="0.25">
      <c r="A4420" t="s">
        <v>8</v>
      </c>
      <c r="B4420" s="1" t="str">
        <f>"000287983 - RICH FOODS-IKEA LC"</f>
        <v>000287983 - RICH FOODS-IKEA LC</v>
      </c>
      <c r="C4420" t="s">
        <v>1186</v>
      </c>
      <c r="D4420" s="1" t="str">
        <f t="shared" si="127"/>
        <v>PRG-1025320</v>
      </c>
      <c r="E4420" t="s">
        <v>464</v>
      </c>
      <c r="F4420" t="s">
        <v>4</v>
      </c>
      <c r="G4420" t="str">
        <f>""</f>
        <v/>
      </c>
    </row>
    <row r="4421" spans="1:7" x14ac:dyDescent="0.25">
      <c r="A4421" t="s">
        <v>8</v>
      </c>
      <c r="B4421" s="1" t="str">
        <f>"000293439 - RICH FOODS-IKEA LC"</f>
        <v>000293439 - RICH FOODS-IKEA LC</v>
      </c>
      <c r="C4421" t="s">
        <v>1186</v>
      </c>
      <c r="D4421" s="1" t="str">
        <f t="shared" si="127"/>
        <v>PRG-1025320</v>
      </c>
      <c r="E4421" t="s">
        <v>464</v>
      </c>
      <c r="F4421" t="s">
        <v>4</v>
      </c>
      <c r="G4421" t="str">
        <f>""</f>
        <v/>
      </c>
    </row>
    <row r="4422" spans="1:7" x14ac:dyDescent="0.25">
      <c r="A4422" t="s">
        <v>8</v>
      </c>
      <c r="B4422" s="1" t="str">
        <f>"000294230 - RICH FOODS-IKEA LC"</f>
        <v>000294230 - RICH FOODS-IKEA LC</v>
      </c>
      <c r="C4422" t="s">
        <v>1186</v>
      </c>
      <c r="D4422" s="1" t="str">
        <f t="shared" si="127"/>
        <v>PRG-1025320</v>
      </c>
      <c r="E4422" t="s">
        <v>464</v>
      </c>
      <c r="F4422" t="s">
        <v>4</v>
      </c>
      <c r="G4422" t="str">
        <f>""</f>
        <v/>
      </c>
    </row>
    <row r="4423" spans="1:7" x14ac:dyDescent="0.25">
      <c r="A4423" t="s">
        <v>8</v>
      </c>
      <c r="B4423" s="1" t="str">
        <f>"000300445 - RICH FOODS-IKEA LC"</f>
        <v>000300445 - RICH FOODS-IKEA LC</v>
      </c>
      <c r="C4423" t="s">
        <v>1186</v>
      </c>
      <c r="D4423" s="1" t="str">
        <f t="shared" si="127"/>
        <v>PRG-1025320</v>
      </c>
      <c r="E4423" t="s">
        <v>464</v>
      </c>
      <c r="F4423" t="s">
        <v>4</v>
      </c>
      <c r="G4423" t="str">
        <f>""</f>
        <v/>
      </c>
    </row>
    <row r="4424" spans="1:7" x14ac:dyDescent="0.25">
      <c r="A4424" t="s">
        <v>8</v>
      </c>
      <c r="B4424" s="1" t="str">
        <f>"000303155 - RICH FOODS-IKEA LC"</f>
        <v>000303155 - RICH FOODS-IKEA LC</v>
      </c>
      <c r="C4424" t="s">
        <v>1186</v>
      </c>
      <c r="D4424" s="1" t="str">
        <f t="shared" si="127"/>
        <v>PRG-1025320</v>
      </c>
      <c r="E4424" t="s">
        <v>464</v>
      </c>
      <c r="F4424" t="s">
        <v>4</v>
      </c>
      <c r="G4424" t="str">
        <f>""</f>
        <v/>
      </c>
    </row>
    <row r="4425" spans="1:7" x14ac:dyDescent="0.25">
      <c r="A4425" t="s">
        <v>8</v>
      </c>
      <c r="B4425" s="1" t="str">
        <f>"000306308 - RICH FOODS-IKEA LC"</f>
        <v>000306308 - RICH FOODS-IKEA LC</v>
      </c>
      <c r="C4425" t="s">
        <v>1186</v>
      </c>
      <c r="D4425" s="1" t="str">
        <f t="shared" si="127"/>
        <v>PRG-1025320</v>
      </c>
      <c r="E4425" t="s">
        <v>464</v>
      </c>
      <c r="F4425" t="s">
        <v>4</v>
      </c>
      <c r="G4425" t="str">
        <f>""</f>
        <v/>
      </c>
    </row>
    <row r="4426" spans="1:7" x14ac:dyDescent="0.25">
      <c r="A4426" t="s">
        <v>8</v>
      </c>
      <c r="B4426" s="1" t="str">
        <f>"000307047 - RICH FOODS-IKEA LC"</f>
        <v>000307047 - RICH FOODS-IKEA LC</v>
      </c>
      <c r="C4426" t="s">
        <v>1186</v>
      </c>
      <c r="D4426" s="1" t="str">
        <f t="shared" si="127"/>
        <v>PRG-1025320</v>
      </c>
      <c r="E4426" t="s">
        <v>464</v>
      </c>
      <c r="F4426" t="s">
        <v>4</v>
      </c>
      <c r="G4426" t="str">
        <f>""</f>
        <v/>
      </c>
    </row>
    <row r="4427" spans="1:7" x14ac:dyDescent="0.25">
      <c r="A4427" t="s">
        <v>8</v>
      </c>
      <c r="B4427" s="1" t="str">
        <f>"000316116 - RICH FOODS-IKEA LC"</f>
        <v>000316116 - RICH FOODS-IKEA LC</v>
      </c>
      <c r="C4427" t="s">
        <v>1186</v>
      </c>
      <c r="D4427" s="1" t="str">
        <f t="shared" si="127"/>
        <v>PRG-1025320</v>
      </c>
      <c r="E4427" t="s">
        <v>464</v>
      </c>
      <c r="F4427" t="s">
        <v>4</v>
      </c>
      <c r="G4427" t="str">
        <f>""</f>
        <v/>
      </c>
    </row>
    <row r="4428" spans="1:7" x14ac:dyDescent="0.25">
      <c r="A4428" t="s">
        <v>8</v>
      </c>
      <c r="B4428" s="1" t="str">
        <f>"000326545 - RICH FOODS-IKEA LC"</f>
        <v>000326545 - RICH FOODS-IKEA LC</v>
      </c>
      <c r="C4428" t="s">
        <v>1186</v>
      </c>
      <c r="D4428" s="1" t="str">
        <f t="shared" si="127"/>
        <v>PRG-1025320</v>
      </c>
      <c r="E4428" t="s">
        <v>464</v>
      </c>
      <c r="F4428" t="s">
        <v>4</v>
      </c>
      <c r="G4428" t="str">
        <f>""</f>
        <v/>
      </c>
    </row>
    <row r="4429" spans="1:7" x14ac:dyDescent="0.25">
      <c r="A4429" t="s">
        <v>8</v>
      </c>
      <c r="B4429" s="1" t="str">
        <f>"000333834 - RICH FOODS-IKEA LC"</f>
        <v>000333834 - RICH FOODS-IKEA LC</v>
      </c>
      <c r="C4429" t="s">
        <v>1186</v>
      </c>
      <c r="D4429" s="1" t="str">
        <f t="shared" si="127"/>
        <v>PRG-1025320</v>
      </c>
      <c r="E4429" t="s">
        <v>464</v>
      </c>
      <c r="F4429" t="s">
        <v>4</v>
      </c>
      <c r="G4429" t="str">
        <f>""</f>
        <v/>
      </c>
    </row>
    <row r="4430" spans="1:7" x14ac:dyDescent="0.25">
      <c r="A4430" t="s">
        <v>8</v>
      </c>
      <c r="B4430" s="1" t="str">
        <f>"000334897 - RICH FOODS-IKEA LC"</f>
        <v>000334897 - RICH FOODS-IKEA LC</v>
      </c>
      <c r="C4430" t="s">
        <v>1186</v>
      </c>
      <c r="D4430" s="1" t="str">
        <f t="shared" si="127"/>
        <v>PRG-1025320</v>
      </c>
      <c r="E4430" t="s">
        <v>464</v>
      </c>
      <c r="F4430" t="s">
        <v>4</v>
      </c>
      <c r="G4430" t="str">
        <f>""</f>
        <v/>
      </c>
    </row>
    <row r="4431" spans="1:7" x14ac:dyDescent="0.25">
      <c r="A4431" t="s">
        <v>8</v>
      </c>
      <c r="B4431" s="1" t="str">
        <f>"000357405 - RICH FOODS-IKEA LC"</f>
        <v>000357405 - RICH FOODS-IKEA LC</v>
      </c>
      <c r="C4431" t="s">
        <v>1186</v>
      </c>
      <c r="D4431" s="1" t="str">
        <f t="shared" si="127"/>
        <v>PRG-1025320</v>
      </c>
      <c r="E4431" t="s">
        <v>464</v>
      </c>
      <c r="F4431" t="s">
        <v>4</v>
      </c>
      <c r="G4431" t="str">
        <f>""</f>
        <v/>
      </c>
    </row>
    <row r="4432" spans="1:7" x14ac:dyDescent="0.25">
      <c r="A4432" t="s">
        <v>8</v>
      </c>
      <c r="B4432" s="1" t="str">
        <f>"000365114 - RICH FOODS-IKEA LC"</f>
        <v>000365114 - RICH FOODS-IKEA LC</v>
      </c>
      <c r="C4432" t="s">
        <v>1186</v>
      </c>
      <c r="D4432" s="1" t="str">
        <f t="shared" si="127"/>
        <v>PRG-1025320</v>
      </c>
      <c r="E4432" t="s">
        <v>464</v>
      </c>
      <c r="F4432" t="s">
        <v>4</v>
      </c>
      <c r="G4432" t="str">
        <f>""</f>
        <v/>
      </c>
    </row>
    <row r="4433" spans="1:7" x14ac:dyDescent="0.25">
      <c r="A4433" t="s">
        <v>8</v>
      </c>
      <c r="B4433" s="1" t="str">
        <f>"2000223956 - RICH FOODS-IKEA"</f>
        <v>2000223956 - RICH FOODS-IKEA</v>
      </c>
      <c r="C4433" t="s">
        <v>3848</v>
      </c>
      <c r="D4433" s="1" t="str">
        <f t="shared" si="127"/>
        <v>PRG-1025320</v>
      </c>
      <c r="E4433" t="s">
        <v>464</v>
      </c>
      <c r="F4433" t="s">
        <v>4</v>
      </c>
      <c r="G4433" t="str">
        <f>""</f>
        <v/>
      </c>
    </row>
    <row r="4434" spans="1:7" x14ac:dyDescent="0.25">
      <c r="A4434" t="s">
        <v>8</v>
      </c>
      <c r="B4434" s="1" t="str">
        <f>"2000321240 - RICH FOODS-IKEA"</f>
        <v>2000321240 - RICH FOODS-IKEA</v>
      </c>
      <c r="C4434" t="s">
        <v>3848</v>
      </c>
      <c r="D4434" s="1" t="str">
        <f t="shared" si="127"/>
        <v>PRG-1025320</v>
      </c>
      <c r="E4434" t="s">
        <v>464</v>
      </c>
      <c r="F4434" t="s">
        <v>4</v>
      </c>
      <c r="G4434" t="str">
        <f>""</f>
        <v/>
      </c>
    </row>
    <row r="4435" spans="1:7" x14ac:dyDescent="0.25">
      <c r="A4435" t="s">
        <v>8</v>
      </c>
      <c r="B4435" s="1" t="str">
        <f>"000126993 - RICH FDS COUNTRY KITCHEN"</f>
        <v>000126993 - RICH FDS COUNTRY KITCHEN</v>
      </c>
      <c r="C4435" t="s">
        <v>918</v>
      </c>
      <c r="D4435" s="1" t="str">
        <f t="shared" ref="D4435:D4449" si="128">"PRG-1025448"</f>
        <v>PRG-1025448</v>
      </c>
      <c r="E4435" t="s">
        <v>502</v>
      </c>
      <c r="F4435" t="s">
        <v>4</v>
      </c>
      <c r="G4435" t="str">
        <f>""</f>
        <v/>
      </c>
    </row>
    <row r="4436" spans="1:7" x14ac:dyDescent="0.25">
      <c r="A4436" t="s">
        <v>8</v>
      </c>
      <c r="B4436" s="1" t="str">
        <f>"000128565 - RICH FOODS-COUNTRY KITCHEN"</f>
        <v>000128565 - RICH FOODS-COUNTRY KITCHEN</v>
      </c>
      <c r="C4436" t="s">
        <v>501</v>
      </c>
      <c r="D4436" s="1" t="str">
        <f t="shared" si="128"/>
        <v>PRG-1025448</v>
      </c>
      <c r="E4436" t="s">
        <v>502</v>
      </c>
      <c r="F4436" t="s">
        <v>4</v>
      </c>
      <c r="G4436" t="str">
        <f>""</f>
        <v/>
      </c>
    </row>
    <row r="4437" spans="1:7" x14ac:dyDescent="0.25">
      <c r="A4437" t="s">
        <v>8</v>
      </c>
      <c r="B4437" s="1" t="str">
        <f>"000201570 - CKI RICH"</f>
        <v>000201570 - CKI RICH</v>
      </c>
      <c r="C4437" t="s">
        <v>1162</v>
      </c>
      <c r="D4437" s="1" t="str">
        <f t="shared" si="128"/>
        <v>PRG-1025448</v>
      </c>
      <c r="E4437" t="s">
        <v>502</v>
      </c>
      <c r="F4437" t="s">
        <v>4</v>
      </c>
      <c r="G4437" t="str">
        <f>""</f>
        <v/>
      </c>
    </row>
    <row r="4438" spans="1:7" x14ac:dyDescent="0.25">
      <c r="A4438" t="s">
        <v>8</v>
      </c>
      <c r="B4438" s="1" t="str">
        <f>"000206353 - RICH COUNTRY KITCHEN"</f>
        <v>000206353 - RICH COUNTRY KITCHEN</v>
      </c>
      <c r="C4438" t="s">
        <v>1246</v>
      </c>
      <c r="D4438" s="1" t="str">
        <f t="shared" si="128"/>
        <v>PRG-1025448</v>
      </c>
      <c r="E4438" t="s">
        <v>502</v>
      </c>
      <c r="F4438" t="s">
        <v>4</v>
      </c>
      <c r="G4438" t="str">
        <f>""</f>
        <v/>
      </c>
    </row>
    <row r="4439" spans="1:7" x14ac:dyDescent="0.25">
      <c r="A4439" t="s">
        <v>8</v>
      </c>
      <c r="B4439" s="1" t="str">
        <f>"000222344 - RICH FOODS-COUNTRY KITCHEN"</f>
        <v>000222344 - RICH FOODS-COUNTRY KITCHEN</v>
      </c>
      <c r="C4439" t="s">
        <v>501</v>
      </c>
      <c r="D4439" s="1" t="str">
        <f t="shared" si="128"/>
        <v>PRG-1025448</v>
      </c>
      <c r="E4439" t="s">
        <v>502</v>
      </c>
      <c r="F4439" t="s">
        <v>4</v>
      </c>
      <c r="G4439" t="str">
        <f>""</f>
        <v/>
      </c>
    </row>
    <row r="4440" spans="1:7" x14ac:dyDescent="0.25">
      <c r="A4440" t="s">
        <v>8</v>
      </c>
      <c r="B4440" s="1" t="str">
        <f>"000230077 - RICH'S CKI"</f>
        <v>000230077 - RICH'S CKI</v>
      </c>
      <c r="C4440" t="s">
        <v>1744</v>
      </c>
      <c r="D4440" s="1" t="str">
        <f t="shared" si="128"/>
        <v>PRG-1025448</v>
      </c>
      <c r="E4440" t="s">
        <v>502</v>
      </c>
      <c r="F4440" t="s">
        <v>4</v>
      </c>
      <c r="G4440" t="str">
        <f>""</f>
        <v/>
      </c>
    </row>
    <row r="4441" spans="1:7" x14ac:dyDescent="0.25">
      <c r="A4441" t="s">
        <v>8</v>
      </c>
      <c r="B4441" s="1" t="str">
        <f>"000231435 - RICH FOODS-CKI"</f>
        <v>000231435 - RICH FOODS-CKI</v>
      </c>
      <c r="C4441" t="s">
        <v>1482</v>
      </c>
      <c r="D4441" s="1" t="str">
        <f t="shared" si="128"/>
        <v>PRG-1025448</v>
      </c>
      <c r="E4441" t="s">
        <v>502</v>
      </c>
      <c r="F4441" t="s">
        <v>4</v>
      </c>
      <c r="G4441" t="str">
        <f>""</f>
        <v/>
      </c>
    </row>
    <row r="4442" spans="1:7" x14ac:dyDescent="0.25">
      <c r="A4442" t="s">
        <v>8</v>
      </c>
      <c r="B4442" s="1" t="str">
        <f>"000232173 - RICH FOODS-COUNTRY KITCHEN"</f>
        <v>000232173 - RICH FOODS-COUNTRY KITCHEN</v>
      </c>
      <c r="C4442" t="s">
        <v>501</v>
      </c>
      <c r="D4442" s="1" t="str">
        <f t="shared" si="128"/>
        <v>PRG-1025448</v>
      </c>
      <c r="E4442" t="s">
        <v>502</v>
      </c>
      <c r="F4442" t="s">
        <v>4</v>
      </c>
      <c r="G4442" t="str">
        <f>""</f>
        <v/>
      </c>
    </row>
    <row r="4443" spans="1:7" x14ac:dyDescent="0.25">
      <c r="A4443" t="s">
        <v>8</v>
      </c>
      <c r="B4443" s="1" t="str">
        <f>"000280112 - RICH'S COUNTRY KITCHEN"</f>
        <v>000280112 - RICH'S COUNTRY KITCHEN</v>
      </c>
      <c r="C4443" t="s">
        <v>958</v>
      </c>
      <c r="D4443" s="1" t="str">
        <f t="shared" si="128"/>
        <v>PRG-1025448</v>
      </c>
      <c r="E4443" t="s">
        <v>502</v>
      </c>
      <c r="F4443" t="s">
        <v>4</v>
      </c>
      <c r="G4443" t="str">
        <f>""</f>
        <v/>
      </c>
    </row>
    <row r="4444" spans="1:7" x14ac:dyDescent="0.25">
      <c r="A4444" t="s">
        <v>8</v>
      </c>
      <c r="B4444" s="1" t="str">
        <f>"000292208 - RICH-COUNTRY KITCHEN"</f>
        <v>000292208 - RICH-COUNTRY KITCHEN</v>
      </c>
      <c r="C4444" t="s">
        <v>2291</v>
      </c>
      <c r="D4444" s="1" t="str">
        <f t="shared" si="128"/>
        <v>PRG-1025448</v>
      </c>
      <c r="E4444" t="s">
        <v>502</v>
      </c>
      <c r="F4444" t="s">
        <v>4</v>
      </c>
      <c r="G4444" t="str">
        <f>""</f>
        <v/>
      </c>
    </row>
    <row r="4445" spans="1:7" x14ac:dyDescent="0.25">
      <c r="A4445" t="s">
        <v>8</v>
      </c>
      <c r="B4445" s="1" t="str">
        <f>"000293716 - RICH FOODS-COUNTRY KITCHEN"</f>
        <v>000293716 - RICH FOODS-COUNTRY KITCHEN</v>
      </c>
      <c r="C4445" t="s">
        <v>501</v>
      </c>
      <c r="D4445" s="1" t="str">
        <f t="shared" si="128"/>
        <v>PRG-1025448</v>
      </c>
      <c r="E4445" t="s">
        <v>502</v>
      </c>
      <c r="F4445" t="s">
        <v>4</v>
      </c>
      <c r="G4445" t="str">
        <f>""</f>
        <v/>
      </c>
    </row>
    <row r="4446" spans="1:7" x14ac:dyDescent="0.25">
      <c r="A4446" t="s">
        <v>8</v>
      </c>
      <c r="B4446" s="1" t="str">
        <f>"000298570 - RICH FOODS COUNTRY KITCHEN"</f>
        <v>000298570 - RICH FOODS COUNTRY KITCHEN</v>
      </c>
      <c r="C4446" t="s">
        <v>1362</v>
      </c>
      <c r="D4446" s="1" t="str">
        <f t="shared" si="128"/>
        <v>PRG-1025448</v>
      </c>
      <c r="E4446" t="s">
        <v>502</v>
      </c>
      <c r="F4446" t="s">
        <v>4</v>
      </c>
      <c r="G4446" t="str">
        <f>""</f>
        <v/>
      </c>
    </row>
    <row r="4447" spans="1:7" x14ac:dyDescent="0.25">
      <c r="A4447" t="s">
        <v>8</v>
      </c>
      <c r="B4447" s="1" t="str">
        <f>"000300906 - RICH FOODS-COUNTRY KITCHEN"</f>
        <v>000300906 - RICH FOODS-COUNTRY KITCHEN</v>
      </c>
      <c r="C4447" t="s">
        <v>501</v>
      </c>
      <c r="D4447" s="1" t="str">
        <f t="shared" si="128"/>
        <v>PRG-1025448</v>
      </c>
      <c r="E4447" t="s">
        <v>502</v>
      </c>
      <c r="F4447" t="s">
        <v>4</v>
      </c>
      <c r="G4447" t="str">
        <f>""</f>
        <v/>
      </c>
    </row>
    <row r="4448" spans="1:7" x14ac:dyDescent="0.25">
      <c r="A4448" t="s">
        <v>8</v>
      </c>
      <c r="B4448" s="1" t="str">
        <f>"000321928 - RICH FDS COUNTRY KITCHEN"</f>
        <v>000321928 - RICH FDS COUNTRY KITCHEN</v>
      </c>
      <c r="C4448" t="s">
        <v>918</v>
      </c>
      <c r="D4448" s="1" t="str">
        <f t="shared" si="128"/>
        <v>PRG-1025448</v>
      </c>
      <c r="E4448" t="s">
        <v>502</v>
      </c>
      <c r="F4448" t="s">
        <v>4</v>
      </c>
      <c r="G4448" t="str">
        <f>""</f>
        <v/>
      </c>
    </row>
    <row r="4449" spans="1:7" x14ac:dyDescent="0.25">
      <c r="A4449" t="s">
        <v>8</v>
      </c>
      <c r="B4449" s="1" t="str">
        <f>"2000119694 - RICH'S-COUNTRY KITCHEN"</f>
        <v>2000119694 - RICH'S-COUNTRY KITCHEN</v>
      </c>
      <c r="C4449" t="s">
        <v>212</v>
      </c>
      <c r="D4449" s="1" t="str">
        <f t="shared" si="128"/>
        <v>PRG-1025448</v>
      </c>
      <c r="E4449" t="s">
        <v>502</v>
      </c>
      <c r="F4449" t="s">
        <v>4</v>
      </c>
      <c r="G4449" t="str">
        <f>""</f>
        <v/>
      </c>
    </row>
    <row r="4450" spans="1:7" x14ac:dyDescent="0.25">
      <c r="A4450" t="s">
        <v>8</v>
      </c>
      <c r="B4450" s="1" t="str">
        <f>"000355841 - RICH PROD CALIFORNIA GRILL"</f>
        <v>000355841 - RICH PROD CALIFORNIA GRILL</v>
      </c>
      <c r="C4450" t="s">
        <v>3559</v>
      </c>
      <c r="D4450" s="1" t="str">
        <f>"PRG-1025457"</f>
        <v>PRG-1025457</v>
      </c>
      <c r="E4450" t="s">
        <v>3560</v>
      </c>
      <c r="F4450" t="s">
        <v>4</v>
      </c>
      <c r="G4450" t="str">
        <f>""</f>
        <v/>
      </c>
    </row>
    <row r="4451" spans="1:7" x14ac:dyDescent="0.25">
      <c r="A4451" t="s">
        <v>8</v>
      </c>
      <c r="B4451" s="1" t="str">
        <f>"000102546 - "</f>
        <v xml:space="preserve">000102546 - </v>
      </c>
      <c r="D4451" s="1" t="str">
        <f t="shared" ref="D4451:D4456" si="129">"PRG-1025464"</f>
        <v>PRG-1025464</v>
      </c>
      <c r="E4451" t="s">
        <v>470</v>
      </c>
      <c r="F4451" t="s">
        <v>4</v>
      </c>
      <c r="G4451" t="str">
        <f>""</f>
        <v/>
      </c>
    </row>
    <row r="4452" spans="1:7" x14ac:dyDescent="0.25">
      <c r="A4452" t="s">
        <v>8</v>
      </c>
      <c r="B4452" s="1" t="str">
        <f>"000230864 - RICH'S  ASPEN CREEK"</f>
        <v>000230864 - RICH'S  ASPEN CREEK</v>
      </c>
      <c r="C4452" t="s">
        <v>1757</v>
      </c>
      <c r="D4452" s="1" t="str">
        <f t="shared" si="129"/>
        <v>PRG-1025464</v>
      </c>
      <c r="E4452" t="s">
        <v>470</v>
      </c>
      <c r="F4452" t="s">
        <v>4</v>
      </c>
      <c r="G4452" t="str">
        <f>""</f>
        <v/>
      </c>
    </row>
    <row r="4453" spans="1:7" x14ac:dyDescent="0.25">
      <c r="A4453" t="s">
        <v>8</v>
      </c>
      <c r="B4453" s="1" t="str">
        <f>"000239349 - RICH FOODS-AMERICAN CRUISE LI"</f>
        <v>000239349 - RICH FOODS-AMERICAN CRUISE LI</v>
      </c>
      <c r="C4453" t="s">
        <v>1895</v>
      </c>
      <c r="D4453" s="1" t="str">
        <f t="shared" si="129"/>
        <v>PRG-1025464</v>
      </c>
      <c r="E4453" t="s">
        <v>470</v>
      </c>
      <c r="F4453" t="s">
        <v>4</v>
      </c>
      <c r="G4453" t="str">
        <f>""</f>
        <v/>
      </c>
    </row>
    <row r="4454" spans="1:7" x14ac:dyDescent="0.25">
      <c r="A4454" t="s">
        <v>8</v>
      </c>
      <c r="B4454" s="1" t="str">
        <f>"000243581 - ASPEN CREEK RICH"</f>
        <v>000243581 - ASPEN CREEK RICH</v>
      </c>
      <c r="C4454" t="s">
        <v>1958</v>
      </c>
      <c r="D4454" s="1" t="str">
        <f t="shared" si="129"/>
        <v>PRG-1025464</v>
      </c>
      <c r="E4454" t="s">
        <v>470</v>
      </c>
      <c r="F4454" t="s">
        <v>4</v>
      </c>
      <c r="G4454" t="str">
        <f>""</f>
        <v/>
      </c>
    </row>
    <row r="4455" spans="1:7" x14ac:dyDescent="0.25">
      <c r="A4455" t="s">
        <v>8</v>
      </c>
      <c r="B4455" s="1" t="str">
        <f>"2000222430 - RICH PRODUCTS NTX-ASPEN CREEK"</f>
        <v>2000222430 - RICH PRODUCTS NTX-ASPEN CREEK</v>
      </c>
      <c r="C4455" t="s">
        <v>3965</v>
      </c>
      <c r="D4455" s="1" t="str">
        <f t="shared" si="129"/>
        <v>PRG-1025464</v>
      </c>
      <c r="E4455" t="s">
        <v>470</v>
      </c>
      <c r="F4455" t="s">
        <v>4</v>
      </c>
      <c r="G4455" t="str">
        <f>""</f>
        <v/>
      </c>
    </row>
    <row r="4456" spans="1:7" x14ac:dyDescent="0.25">
      <c r="A4456" t="s">
        <v>8</v>
      </c>
      <c r="B4456" s="1" t="str">
        <f>"2000308457 - "</f>
        <v xml:space="preserve">2000308457 - </v>
      </c>
      <c r="D4456" s="1" t="str">
        <f t="shared" si="129"/>
        <v>PRG-1025464</v>
      </c>
      <c r="E4456" t="s">
        <v>470</v>
      </c>
      <c r="F4456" t="s">
        <v>4</v>
      </c>
      <c r="G4456" t="str">
        <f>""</f>
        <v/>
      </c>
    </row>
    <row r="4457" spans="1:7" x14ac:dyDescent="0.25">
      <c r="A4457" t="s">
        <v>8</v>
      </c>
      <c r="B4457" s="1" t="str">
        <f>"000033901 - CASA DI BERTACCHI-SODEXO"</f>
        <v>000033901 - CASA DI BERTACCHI-SODEXO</v>
      </c>
      <c r="C4457" t="s">
        <v>378</v>
      </c>
      <c r="D4457" s="1" t="str">
        <f t="shared" ref="D4457:D4482" si="130">"PRG-1025541"</f>
        <v>PRG-1025541</v>
      </c>
      <c r="E4457" t="s">
        <v>36</v>
      </c>
      <c r="F4457" t="s">
        <v>4</v>
      </c>
      <c r="G4457" t="str">
        <f>""</f>
        <v/>
      </c>
    </row>
    <row r="4458" spans="1:7" x14ac:dyDescent="0.25">
      <c r="A4458" t="s">
        <v>8</v>
      </c>
      <c r="B4458" s="1" t="str">
        <f>"000093873 - CASA DI BERTACCHI-SODEXO"</f>
        <v>000093873 - CASA DI BERTACCHI-SODEXO</v>
      </c>
      <c r="C4458" t="s">
        <v>378</v>
      </c>
      <c r="D4458" s="1" t="str">
        <f t="shared" si="130"/>
        <v>PRG-1025541</v>
      </c>
      <c r="E4458" t="s">
        <v>36</v>
      </c>
      <c r="F4458" t="s">
        <v>4</v>
      </c>
      <c r="G4458" t="str">
        <f>""</f>
        <v/>
      </c>
    </row>
    <row r="4459" spans="1:7" x14ac:dyDescent="0.25">
      <c r="A4459" t="s">
        <v>8</v>
      </c>
      <c r="B4459" s="1" t="str">
        <f>"000124910 - CASA DI BERTACCHI-SODEXO"</f>
        <v>000124910 - CASA DI BERTACCHI-SODEXO</v>
      </c>
      <c r="C4459" t="s">
        <v>378</v>
      </c>
      <c r="D4459" s="1" t="str">
        <f t="shared" si="130"/>
        <v>PRG-1025541</v>
      </c>
      <c r="E4459" t="s">
        <v>36</v>
      </c>
      <c r="F4459" t="s">
        <v>4</v>
      </c>
      <c r="G4459" t="str">
        <f>""</f>
        <v/>
      </c>
    </row>
    <row r="4460" spans="1:7" x14ac:dyDescent="0.25">
      <c r="A4460" t="s">
        <v>8</v>
      </c>
      <c r="B4460" s="1" t="str">
        <f>"000129943 - CASA DI BERTACCHI-SODEXO"</f>
        <v>000129943 - CASA DI BERTACCHI-SODEXO</v>
      </c>
      <c r="C4460" t="s">
        <v>378</v>
      </c>
      <c r="D4460" s="1" t="str">
        <f t="shared" si="130"/>
        <v>PRG-1025541</v>
      </c>
      <c r="E4460" t="s">
        <v>36</v>
      </c>
      <c r="F4460" t="s">
        <v>4</v>
      </c>
      <c r="G4460" t="str">
        <f>""</f>
        <v/>
      </c>
    </row>
    <row r="4461" spans="1:7" x14ac:dyDescent="0.25">
      <c r="A4461" t="s">
        <v>8</v>
      </c>
      <c r="B4461" s="1" t="str">
        <f>"000181619 - CASA DI BERTACCHI-SODEXO"</f>
        <v>000181619 - CASA DI BERTACCHI-SODEXO</v>
      </c>
      <c r="C4461" t="s">
        <v>378</v>
      </c>
      <c r="D4461" s="1" t="str">
        <f t="shared" si="130"/>
        <v>PRG-1025541</v>
      </c>
      <c r="E4461" t="s">
        <v>36</v>
      </c>
      <c r="F4461" t="s">
        <v>4</v>
      </c>
      <c r="G4461" t="str">
        <f>""</f>
        <v/>
      </c>
    </row>
    <row r="4462" spans="1:7" x14ac:dyDescent="0.25">
      <c r="A4462" t="s">
        <v>8</v>
      </c>
      <c r="B4462" s="1" t="str">
        <f>"000182125 - CASA DI BERTACCHI-SODEXO"</f>
        <v>000182125 - CASA DI BERTACCHI-SODEXO</v>
      </c>
      <c r="C4462" t="s">
        <v>378</v>
      </c>
      <c r="D4462" s="1" t="str">
        <f t="shared" si="130"/>
        <v>PRG-1025541</v>
      </c>
      <c r="E4462" t="s">
        <v>36</v>
      </c>
      <c r="F4462" t="s">
        <v>4</v>
      </c>
      <c r="G4462" t="str">
        <f>""</f>
        <v/>
      </c>
    </row>
    <row r="4463" spans="1:7" x14ac:dyDescent="0.25">
      <c r="A4463" t="s">
        <v>8</v>
      </c>
      <c r="B4463" s="1" t="str">
        <f>"000213833 - CASA DI BERTACCHI-SODEXO"</f>
        <v>000213833 - CASA DI BERTACCHI-SODEXO</v>
      </c>
      <c r="C4463" t="s">
        <v>378</v>
      </c>
      <c r="D4463" s="1" t="str">
        <f t="shared" si="130"/>
        <v>PRG-1025541</v>
      </c>
      <c r="E4463" t="s">
        <v>36</v>
      </c>
      <c r="F4463" t="s">
        <v>4</v>
      </c>
      <c r="G4463" t="str">
        <f>""</f>
        <v/>
      </c>
    </row>
    <row r="4464" spans="1:7" x14ac:dyDescent="0.25">
      <c r="A4464" t="s">
        <v>8</v>
      </c>
      <c r="B4464" s="1" t="str">
        <f>"000216602 - CASA DI BERTACCHI-SODEXO"</f>
        <v>000216602 - CASA DI BERTACCHI-SODEXO</v>
      </c>
      <c r="C4464" t="s">
        <v>378</v>
      </c>
      <c r="D4464" s="1" t="str">
        <f t="shared" si="130"/>
        <v>PRG-1025541</v>
      </c>
      <c r="E4464" t="s">
        <v>36</v>
      </c>
      <c r="F4464" t="s">
        <v>4</v>
      </c>
      <c r="G4464" t="str">
        <f>""</f>
        <v/>
      </c>
    </row>
    <row r="4465" spans="1:7" x14ac:dyDescent="0.25">
      <c r="A4465" t="s">
        <v>8</v>
      </c>
      <c r="B4465" s="1" t="str">
        <f>"000217576 - CASA DI BERTACCHI-SODEXO"</f>
        <v>000217576 - CASA DI BERTACCHI-SODEXO</v>
      </c>
      <c r="C4465" t="s">
        <v>378</v>
      </c>
      <c r="D4465" s="1" t="str">
        <f t="shared" si="130"/>
        <v>PRG-1025541</v>
      </c>
      <c r="E4465" t="s">
        <v>36</v>
      </c>
      <c r="F4465" t="s">
        <v>4</v>
      </c>
      <c r="G4465" t="str">
        <f>""</f>
        <v/>
      </c>
    </row>
    <row r="4466" spans="1:7" x14ac:dyDescent="0.25">
      <c r="A4466" t="s">
        <v>8</v>
      </c>
      <c r="B4466" s="1" t="str">
        <f>"000220280 - CASA DI BERTACCHI-SODEXO"</f>
        <v>000220280 - CASA DI BERTACCHI-SODEXO</v>
      </c>
      <c r="C4466" t="s">
        <v>378</v>
      </c>
      <c r="D4466" s="1" t="str">
        <f t="shared" si="130"/>
        <v>PRG-1025541</v>
      </c>
      <c r="E4466" t="s">
        <v>36</v>
      </c>
      <c r="F4466" t="s">
        <v>4</v>
      </c>
      <c r="G4466" t="str">
        <f>""</f>
        <v/>
      </c>
    </row>
    <row r="4467" spans="1:7" x14ac:dyDescent="0.25">
      <c r="A4467" t="s">
        <v>8</v>
      </c>
      <c r="B4467" s="1" t="str">
        <f>"000225111 - CASA DI BERTACCHI-SODEXO"</f>
        <v>000225111 - CASA DI BERTACCHI-SODEXO</v>
      </c>
      <c r="C4467" t="s">
        <v>378</v>
      </c>
      <c r="D4467" s="1" t="str">
        <f t="shared" si="130"/>
        <v>PRG-1025541</v>
      </c>
      <c r="E4467" t="s">
        <v>36</v>
      </c>
      <c r="F4467" t="s">
        <v>4</v>
      </c>
      <c r="G4467" t="str">
        <f>""</f>
        <v/>
      </c>
    </row>
    <row r="4468" spans="1:7" x14ac:dyDescent="0.25">
      <c r="A4468" t="s">
        <v>8</v>
      </c>
      <c r="B4468" s="1" t="str">
        <f>"000233265 - CASA DI BERTACCHI-SODEXO"</f>
        <v>000233265 - CASA DI BERTACCHI-SODEXO</v>
      </c>
      <c r="C4468" t="s">
        <v>378</v>
      </c>
      <c r="D4468" s="1" t="str">
        <f t="shared" si="130"/>
        <v>PRG-1025541</v>
      </c>
      <c r="E4468" t="s">
        <v>36</v>
      </c>
      <c r="F4468" t="s">
        <v>4</v>
      </c>
      <c r="G4468" t="str">
        <f>""</f>
        <v/>
      </c>
    </row>
    <row r="4469" spans="1:7" x14ac:dyDescent="0.25">
      <c r="A4469" t="s">
        <v>8</v>
      </c>
      <c r="B4469" s="1" t="str">
        <f>"000238124 - CASA DI BERTACCHI-SODEXO"</f>
        <v>000238124 - CASA DI BERTACCHI-SODEXO</v>
      </c>
      <c r="C4469" t="s">
        <v>378</v>
      </c>
      <c r="D4469" s="1" t="str">
        <f t="shared" si="130"/>
        <v>PRG-1025541</v>
      </c>
      <c r="E4469" t="s">
        <v>36</v>
      </c>
      <c r="F4469" t="s">
        <v>4</v>
      </c>
      <c r="G4469" t="str">
        <f>""</f>
        <v/>
      </c>
    </row>
    <row r="4470" spans="1:7" x14ac:dyDescent="0.25">
      <c r="A4470" t="s">
        <v>8</v>
      </c>
      <c r="B4470" s="1" t="str">
        <f>"000238698 - CASA DI BERTACCHI-SODEXO"</f>
        <v>000238698 - CASA DI BERTACCHI-SODEXO</v>
      </c>
      <c r="C4470" t="s">
        <v>378</v>
      </c>
      <c r="D4470" s="1" t="str">
        <f t="shared" si="130"/>
        <v>PRG-1025541</v>
      </c>
      <c r="E4470" t="s">
        <v>36</v>
      </c>
      <c r="F4470" t="s">
        <v>4</v>
      </c>
      <c r="G4470" t="str">
        <f>""</f>
        <v/>
      </c>
    </row>
    <row r="4471" spans="1:7" x14ac:dyDescent="0.25">
      <c r="A4471" t="s">
        <v>8</v>
      </c>
      <c r="B4471" s="1" t="str">
        <f>"000254628 - CASA DI BERTACCHI-SODEXO"</f>
        <v>000254628 - CASA DI BERTACCHI-SODEXO</v>
      </c>
      <c r="C4471" t="s">
        <v>378</v>
      </c>
      <c r="D4471" s="1" t="str">
        <f t="shared" si="130"/>
        <v>PRG-1025541</v>
      </c>
      <c r="E4471" t="s">
        <v>36</v>
      </c>
      <c r="F4471" t="s">
        <v>4</v>
      </c>
      <c r="G4471" t="str">
        <f>""</f>
        <v/>
      </c>
    </row>
    <row r="4472" spans="1:7" x14ac:dyDescent="0.25">
      <c r="A4472" t="s">
        <v>8</v>
      </c>
      <c r="B4472" s="1" t="str">
        <f>"000262179 - CASA DI BERTACCHI-SODEXO"</f>
        <v>000262179 - CASA DI BERTACCHI-SODEXO</v>
      </c>
      <c r="C4472" t="s">
        <v>378</v>
      </c>
      <c r="D4472" s="1" t="str">
        <f t="shared" si="130"/>
        <v>PRG-1025541</v>
      </c>
      <c r="E4472" t="s">
        <v>36</v>
      </c>
      <c r="F4472" t="s">
        <v>4</v>
      </c>
      <c r="G4472" t="str">
        <f>""</f>
        <v/>
      </c>
    </row>
    <row r="4473" spans="1:7" x14ac:dyDescent="0.25">
      <c r="A4473" t="s">
        <v>8</v>
      </c>
      <c r="B4473" s="1" t="str">
        <f>"000271851 - CASA DI BERTACCHI-SODEXO"</f>
        <v>000271851 - CASA DI BERTACCHI-SODEXO</v>
      </c>
      <c r="C4473" t="s">
        <v>378</v>
      </c>
      <c r="D4473" s="1" t="str">
        <f t="shared" si="130"/>
        <v>PRG-1025541</v>
      </c>
      <c r="E4473" t="s">
        <v>36</v>
      </c>
      <c r="F4473" t="s">
        <v>4</v>
      </c>
      <c r="G4473" t="str">
        <f>""</f>
        <v/>
      </c>
    </row>
    <row r="4474" spans="1:7" x14ac:dyDescent="0.25">
      <c r="A4474" t="s">
        <v>8</v>
      </c>
      <c r="B4474" s="1" t="str">
        <f>"000281814 - CASA DI BERTACCHI-SODEXO"</f>
        <v>000281814 - CASA DI BERTACCHI-SODEXO</v>
      </c>
      <c r="C4474" t="s">
        <v>378</v>
      </c>
      <c r="D4474" s="1" t="str">
        <f t="shared" si="130"/>
        <v>PRG-1025541</v>
      </c>
      <c r="E4474" t="s">
        <v>36</v>
      </c>
      <c r="F4474" t="s">
        <v>4</v>
      </c>
      <c r="G4474" t="str">
        <f>""</f>
        <v/>
      </c>
    </row>
    <row r="4475" spans="1:7" x14ac:dyDescent="0.25">
      <c r="A4475" t="s">
        <v>8</v>
      </c>
      <c r="B4475" s="1" t="str">
        <f>"000284069 - CASA DI BERTACCHI-SODEXO"</f>
        <v>000284069 - CASA DI BERTACCHI-SODEXO</v>
      </c>
      <c r="C4475" t="s">
        <v>378</v>
      </c>
      <c r="D4475" s="1" t="str">
        <f t="shared" si="130"/>
        <v>PRG-1025541</v>
      </c>
      <c r="E4475" t="s">
        <v>36</v>
      </c>
      <c r="F4475" t="s">
        <v>4</v>
      </c>
      <c r="G4475" t="str">
        <f>""</f>
        <v/>
      </c>
    </row>
    <row r="4476" spans="1:7" x14ac:dyDescent="0.25">
      <c r="A4476" t="s">
        <v>8</v>
      </c>
      <c r="B4476" s="1" t="str">
        <f>"000290276 - CASA DI BERTACCHI-SODEXO"</f>
        <v>000290276 - CASA DI BERTACCHI-SODEXO</v>
      </c>
      <c r="C4476" t="s">
        <v>378</v>
      </c>
      <c r="D4476" s="1" t="str">
        <f t="shared" si="130"/>
        <v>PRG-1025541</v>
      </c>
      <c r="E4476" t="s">
        <v>36</v>
      </c>
      <c r="F4476" t="s">
        <v>4</v>
      </c>
      <c r="G4476" t="str">
        <f>""</f>
        <v/>
      </c>
    </row>
    <row r="4477" spans="1:7" x14ac:dyDescent="0.25">
      <c r="A4477" t="s">
        <v>8</v>
      </c>
      <c r="B4477" s="1" t="str">
        <f>"000292699 - CASA DI BERTACCHI-SODEXO"</f>
        <v>000292699 - CASA DI BERTACCHI-SODEXO</v>
      </c>
      <c r="C4477" t="s">
        <v>378</v>
      </c>
      <c r="D4477" s="1" t="str">
        <f t="shared" si="130"/>
        <v>PRG-1025541</v>
      </c>
      <c r="E4477" t="s">
        <v>36</v>
      </c>
      <c r="F4477" t="s">
        <v>4</v>
      </c>
      <c r="G4477" t="str">
        <f>""</f>
        <v/>
      </c>
    </row>
    <row r="4478" spans="1:7" x14ac:dyDescent="0.25">
      <c r="A4478" t="s">
        <v>8</v>
      </c>
      <c r="B4478" s="1" t="str">
        <f>"000302978 - CASA DI BERTACCHI-SODEXO"</f>
        <v>000302978 - CASA DI BERTACCHI-SODEXO</v>
      </c>
      <c r="C4478" t="s">
        <v>378</v>
      </c>
      <c r="D4478" s="1" t="str">
        <f t="shared" si="130"/>
        <v>PRG-1025541</v>
      </c>
      <c r="E4478" t="s">
        <v>36</v>
      </c>
      <c r="F4478" t="s">
        <v>4</v>
      </c>
      <c r="G4478" t="str">
        <f>""</f>
        <v/>
      </c>
    </row>
    <row r="4479" spans="1:7" x14ac:dyDescent="0.25">
      <c r="A4479" t="s">
        <v>8</v>
      </c>
      <c r="B4479" s="1" t="str">
        <f>"000321429 - CASA DI BERTACCHI-SODEXO"</f>
        <v>000321429 - CASA DI BERTACCHI-SODEXO</v>
      </c>
      <c r="C4479" t="s">
        <v>378</v>
      </c>
      <c r="D4479" s="1" t="str">
        <f t="shared" si="130"/>
        <v>PRG-1025541</v>
      </c>
      <c r="E4479" t="s">
        <v>36</v>
      </c>
      <c r="F4479" t="s">
        <v>4</v>
      </c>
      <c r="G4479" t="str">
        <f>""</f>
        <v/>
      </c>
    </row>
    <row r="4480" spans="1:7" x14ac:dyDescent="0.25">
      <c r="A4480" t="s">
        <v>8</v>
      </c>
      <c r="B4480" s="1" t="str">
        <f>"000336382 - CASA DI BERTACCHI-SODEXO"</f>
        <v>000336382 - CASA DI BERTACCHI-SODEXO</v>
      </c>
      <c r="C4480" t="s">
        <v>378</v>
      </c>
      <c r="D4480" s="1" t="str">
        <f t="shared" si="130"/>
        <v>PRG-1025541</v>
      </c>
      <c r="E4480" t="s">
        <v>36</v>
      </c>
      <c r="F4480" t="s">
        <v>4</v>
      </c>
      <c r="G4480" t="str">
        <f>""</f>
        <v/>
      </c>
    </row>
    <row r="4481" spans="1:7" x14ac:dyDescent="0.25">
      <c r="A4481" t="s">
        <v>8</v>
      </c>
      <c r="B4481" s="1" t="str">
        <f>"000343099 - CASA DI BERTACCHI-SODEXO"</f>
        <v>000343099 - CASA DI BERTACCHI-SODEXO</v>
      </c>
      <c r="C4481" t="s">
        <v>378</v>
      </c>
      <c r="D4481" s="1" t="str">
        <f t="shared" si="130"/>
        <v>PRG-1025541</v>
      </c>
      <c r="E4481" t="s">
        <v>36</v>
      </c>
      <c r="F4481" t="s">
        <v>4</v>
      </c>
      <c r="G4481" t="str">
        <f>""</f>
        <v/>
      </c>
    </row>
    <row r="4482" spans="1:7" x14ac:dyDescent="0.25">
      <c r="A4482" t="s">
        <v>8</v>
      </c>
      <c r="B4482" s="1" t="str">
        <f>"2000125748 - CASA DI(MEATBALLS)-SODEXO"</f>
        <v>2000125748 - CASA DI(MEATBALLS)-SODEXO</v>
      </c>
      <c r="C4482" t="s">
        <v>3839</v>
      </c>
      <c r="D4482" s="1" t="str">
        <f t="shared" si="130"/>
        <v>PRG-1025541</v>
      </c>
      <c r="E4482" t="s">
        <v>36</v>
      </c>
      <c r="F4482" t="s">
        <v>4</v>
      </c>
      <c r="G4482" t="str">
        <f>""</f>
        <v/>
      </c>
    </row>
    <row r="4483" spans="1:7" x14ac:dyDescent="0.25">
      <c r="A4483" t="s">
        <v>8</v>
      </c>
      <c r="B4483" s="1" t="str">
        <f>"60297612"</f>
        <v>60297612</v>
      </c>
      <c r="C4483" t="s">
        <v>5243</v>
      </c>
      <c r="D4483" s="1" t="str">
        <f>"PRG-1025545"</f>
        <v>PRG-1025545</v>
      </c>
      <c r="E4483" t="s">
        <v>5244</v>
      </c>
      <c r="F4483" t="s">
        <v>5</v>
      </c>
      <c r="G4483" t="str">
        <f>""</f>
        <v/>
      </c>
    </row>
    <row r="4484" spans="1:7" x14ac:dyDescent="0.25">
      <c r="A4484" t="s">
        <v>8</v>
      </c>
      <c r="B4484" s="1" t="str">
        <f>"000094249 - RICH RICH PRODUCTS CO OVATIONS"</f>
        <v>000094249 - RICH RICH PRODUCTS CO OVATIONS</v>
      </c>
      <c r="C4484" t="s">
        <v>780</v>
      </c>
      <c r="D4484" s="1" t="str">
        <f>"PRG-1025555"</f>
        <v>PRG-1025555</v>
      </c>
      <c r="E4484" t="s">
        <v>781</v>
      </c>
      <c r="F4484" t="s">
        <v>4</v>
      </c>
      <c r="G4484" t="str">
        <f>""</f>
        <v/>
      </c>
    </row>
    <row r="4485" spans="1:7" x14ac:dyDescent="0.25">
      <c r="A4485" t="s">
        <v>8</v>
      </c>
      <c r="B4485" s="1" t="str">
        <f>"000096440 - RICH OVATIONS"</f>
        <v>000096440 - RICH OVATIONS</v>
      </c>
      <c r="C4485" t="s">
        <v>785</v>
      </c>
      <c r="D4485" s="1" t="str">
        <f>"PRG-1025555"</f>
        <v>PRG-1025555</v>
      </c>
      <c r="E4485" t="s">
        <v>781</v>
      </c>
      <c r="F4485" t="s">
        <v>4</v>
      </c>
      <c r="G4485" t="str">
        <f>""</f>
        <v/>
      </c>
    </row>
    <row r="4486" spans="1:7" x14ac:dyDescent="0.25">
      <c r="A4486" t="s">
        <v>8</v>
      </c>
      <c r="B4486" s="1" t="str">
        <f>"000096667 - RICH OVATIONS"</f>
        <v>000096667 - RICH OVATIONS</v>
      </c>
      <c r="C4486" t="s">
        <v>785</v>
      </c>
      <c r="D4486" s="1" t="str">
        <f>"PRG-1025555"</f>
        <v>PRG-1025555</v>
      </c>
      <c r="E4486" t="s">
        <v>781</v>
      </c>
      <c r="F4486" t="s">
        <v>4</v>
      </c>
      <c r="G4486" t="str">
        <f>""</f>
        <v/>
      </c>
    </row>
    <row r="4487" spans="1:7" x14ac:dyDescent="0.25">
      <c r="A4487" t="s">
        <v>8</v>
      </c>
      <c r="B4487" s="1" t="str">
        <f>"000103920 - RICH OVATIONS"</f>
        <v>000103920 - RICH OVATIONS</v>
      </c>
      <c r="C4487" t="s">
        <v>785</v>
      </c>
      <c r="D4487" s="1" t="str">
        <f>"PRG-1025555"</f>
        <v>PRG-1025555</v>
      </c>
      <c r="E4487" t="s">
        <v>781</v>
      </c>
      <c r="F4487" t="s">
        <v>4</v>
      </c>
      <c r="G4487" t="str">
        <f>""</f>
        <v/>
      </c>
    </row>
    <row r="4488" spans="1:7" x14ac:dyDescent="0.25">
      <c r="A4488" t="s">
        <v>8</v>
      </c>
      <c r="B4488" s="1" t="str">
        <f>"000111019 - RICH OVATIONS"</f>
        <v>000111019 - RICH OVATIONS</v>
      </c>
      <c r="C4488" t="s">
        <v>785</v>
      </c>
      <c r="D4488" s="1" t="str">
        <f>"PRG-1025555"</f>
        <v>PRG-1025555</v>
      </c>
      <c r="E4488" t="s">
        <v>781</v>
      </c>
      <c r="F4488" t="s">
        <v>4</v>
      </c>
      <c r="G4488" t="str">
        <f>""</f>
        <v/>
      </c>
    </row>
    <row r="4489" spans="1:7" x14ac:dyDescent="0.25">
      <c r="A4489" t="s">
        <v>8</v>
      </c>
      <c r="B4489" s="1" t="str">
        <f>"6026XW37"</f>
        <v>6026XW37</v>
      </c>
      <c r="C4489" t="s">
        <v>5176</v>
      </c>
      <c r="D4489" s="1" t="str">
        <f>"PRG-1025561"</f>
        <v>PRG-1025561</v>
      </c>
      <c r="E4489" t="s">
        <v>5177</v>
      </c>
      <c r="F4489" t="s">
        <v>5</v>
      </c>
      <c r="G4489" t="str">
        <f>""</f>
        <v/>
      </c>
    </row>
    <row r="4490" spans="1:7" x14ac:dyDescent="0.25">
      <c r="A4490" t="s">
        <v>8</v>
      </c>
      <c r="B4490" s="1" t="str">
        <f>"000216968 - TX ROADHOUSE RICH PRODUCTS"</f>
        <v>000216968 - TX ROADHOUSE RICH PRODUCTS</v>
      </c>
      <c r="C4490" t="s">
        <v>1547</v>
      </c>
      <c r="D4490" s="1" t="str">
        <f>"PRG-1025565"</f>
        <v>PRG-1025565</v>
      </c>
      <c r="E4490" t="s">
        <v>1548</v>
      </c>
      <c r="F4490" t="s">
        <v>4</v>
      </c>
      <c r="G4490" t="str">
        <f>""</f>
        <v/>
      </c>
    </row>
    <row r="4491" spans="1:7" x14ac:dyDescent="0.25">
      <c r="A4491" t="s">
        <v>8</v>
      </c>
      <c r="B4491" s="1" t="str">
        <f>"000006835 - RICH PRODUCTS HSRG"</f>
        <v>000006835 - RICH PRODUCTS HSRG</v>
      </c>
      <c r="C4491" t="s">
        <v>247</v>
      </c>
      <c r="D4491" s="1" t="str">
        <f>"PRG-1025569"</f>
        <v>PRG-1025569</v>
      </c>
      <c r="E4491" t="s">
        <v>248</v>
      </c>
      <c r="F4491" t="s">
        <v>4</v>
      </c>
      <c r="G4491" t="str">
        <f>""</f>
        <v/>
      </c>
    </row>
    <row r="4492" spans="1:7" x14ac:dyDescent="0.25">
      <c r="A4492" t="s">
        <v>8</v>
      </c>
      <c r="B4492" s="1" t="str">
        <f>"000010847 - RICH FOODS-HSRG"</f>
        <v>000010847 - RICH FOODS-HSRG</v>
      </c>
      <c r="C4492" t="s">
        <v>317</v>
      </c>
      <c r="D4492" s="1" t="str">
        <f>"PRG-1025569"</f>
        <v>PRG-1025569</v>
      </c>
      <c r="E4492" t="s">
        <v>248</v>
      </c>
      <c r="F4492" t="s">
        <v>4</v>
      </c>
      <c r="G4492" t="str">
        <f>""</f>
        <v/>
      </c>
    </row>
    <row r="4493" spans="1:7" x14ac:dyDescent="0.25">
      <c r="A4493" t="s">
        <v>8</v>
      </c>
      <c r="B4493" s="1" t="str">
        <f>"2000225871 - RICH FOODS-HSRG"</f>
        <v>2000225871 - RICH FOODS-HSRG</v>
      </c>
      <c r="C4493" t="s">
        <v>317</v>
      </c>
      <c r="D4493" s="1" t="str">
        <f>"PRG-1025569"</f>
        <v>PRG-1025569</v>
      </c>
      <c r="E4493" t="s">
        <v>248</v>
      </c>
      <c r="F4493" t="s">
        <v>4</v>
      </c>
      <c r="G4493" t="str">
        <f>""</f>
        <v/>
      </c>
    </row>
    <row r="4494" spans="1:7" x14ac:dyDescent="0.25">
      <c r="A4494" t="s">
        <v>8</v>
      </c>
      <c r="B4494" s="1" t="str">
        <f>"000273121 - RICH COLONIAL BOWL"</f>
        <v>000273121 - RICH COLONIAL BOWL</v>
      </c>
      <c r="C4494" t="s">
        <v>2516</v>
      </c>
      <c r="D4494" s="1" t="str">
        <f>"PRG-1025709"</f>
        <v>PRG-1025709</v>
      </c>
      <c r="E4494" t="s">
        <v>2517</v>
      </c>
      <c r="F4494" t="s">
        <v>4</v>
      </c>
      <c r="G4494" t="str">
        <f>""</f>
        <v/>
      </c>
    </row>
    <row r="4495" spans="1:7" x14ac:dyDescent="0.25">
      <c r="A4495" t="s">
        <v>8</v>
      </c>
      <c r="B4495" s="1" t="str">
        <f>"000238358 - RICH FOODS   AMER FD &amp; VND"</f>
        <v>000238358 - RICH FOODS   AMER FD &amp; VND</v>
      </c>
      <c r="C4495" t="s">
        <v>1880</v>
      </c>
      <c r="D4495" s="1" t="str">
        <f>"PRG-1025723"</f>
        <v>PRG-1025723</v>
      </c>
      <c r="E4495" t="s">
        <v>1881</v>
      </c>
      <c r="F4495" t="s">
        <v>4</v>
      </c>
      <c r="G4495" t="str">
        <f>""</f>
        <v/>
      </c>
    </row>
    <row r="4496" spans="1:7" x14ac:dyDescent="0.25">
      <c r="A4496" t="s">
        <v>8</v>
      </c>
      <c r="B4496" s="1" t="str">
        <f>"000291917 - RICH-DC KOBE"</f>
        <v>000291917 - RICH-DC KOBE</v>
      </c>
      <c r="C4496" t="s">
        <v>2852</v>
      </c>
      <c r="D4496" s="1" t="str">
        <f>"PRG-1025724"</f>
        <v>PRG-1025724</v>
      </c>
      <c r="E4496" t="s">
        <v>2853</v>
      </c>
      <c r="F4496" t="s">
        <v>4</v>
      </c>
      <c r="G4496" t="str">
        <f>""</f>
        <v/>
      </c>
    </row>
    <row r="4497" spans="1:7" x14ac:dyDescent="0.25">
      <c r="A4497" t="s">
        <v>8</v>
      </c>
      <c r="B4497" s="1" t="str">
        <f>"000349438 - "</f>
        <v xml:space="preserve">000349438 - </v>
      </c>
      <c r="D4497" s="1" t="str">
        <f>"PRG-1025724"</f>
        <v>PRG-1025724</v>
      </c>
      <c r="E4497" t="s">
        <v>2853</v>
      </c>
      <c r="F4497" t="s">
        <v>4</v>
      </c>
      <c r="G4497" t="str">
        <f>""</f>
        <v/>
      </c>
    </row>
    <row r="4498" spans="1:7" x14ac:dyDescent="0.25">
      <c r="A4498" t="s">
        <v>8</v>
      </c>
      <c r="B4498" s="1" t="str">
        <f>"000235893 - IHOP MARCH 2015"</f>
        <v>000235893 - IHOP MARCH 2015</v>
      </c>
      <c r="C4498" t="s">
        <v>1844</v>
      </c>
      <c r="D4498" s="1" t="str">
        <f>"PRG-1025784"</f>
        <v>PRG-1025784</v>
      </c>
      <c r="E4498" t="s">
        <v>1845</v>
      </c>
      <c r="F4498" t="s">
        <v>4</v>
      </c>
      <c r="G4498" t="str">
        <f>""</f>
        <v/>
      </c>
    </row>
    <row r="4499" spans="1:7" x14ac:dyDescent="0.25">
      <c r="A4499" t="s">
        <v>8</v>
      </c>
      <c r="B4499" s="1" t="str">
        <f>"000248733 - IHOP RICH'S"</f>
        <v>000248733 - IHOP RICH'S</v>
      </c>
      <c r="C4499" t="s">
        <v>1729</v>
      </c>
      <c r="D4499" s="1" t="str">
        <f>"PRG-1025784"</f>
        <v>PRG-1025784</v>
      </c>
      <c r="E4499" t="s">
        <v>1845</v>
      </c>
      <c r="F4499" t="s">
        <v>4</v>
      </c>
      <c r="G4499" t="str">
        <f>""</f>
        <v/>
      </c>
    </row>
    <row r="4500" spans="1:7" x14ac:dyDescent="0.25">
      <c r="A4500" t="s">
        <v>8</v>
      </c>
      <c r="B4500" s="1" t="str">
        <f>"000251748 - RICH PRODUCTS      IHOP NOV 15"</f>
        <v>000251748 - RICH PRODUCTS      IHOP NOV 15</v>
      </c>
      <c r="C4500" t="s">
        <v>2118</v>
      </c>
      <c r="D4500" s="1" t="str">
        <f>"PRG-1025784"</f>
        <v>PRG-1025784</v>
      </c>
      <c r="E4500" t="s">
        <v>1845</v>
      </c>
      <c r="F4500" t="s">
        <v>4</v>
      </c>
      <c r="G4500" t="str">
        <f>""</f>
        <v/>
      </c>
    </row>
    <row r="4501" spans="1:7" x14ac:dyDescent="0.25">
      <c r="A4501" t="s">
        <v>8</v>
      </c>
      <c r="B4501" s="1" t="str">
        <f>"000303349 - RICH IHOP"</f>
        <v>000303349 - RICH IHOP</v>
      </c>
      <c r="C4501" t="s">
        <v>2637</v>
      </c>
      <c r="D4501" s="1" t="str">
        <f>"PRG-1025784"</f>
        <v>PRG-1025784</v>
      </c>
      <c r="E4501" t="s">
        <v>1845</v>
      </c>
      <c r="F4501" t="s">
        <v>4</v>
      </c>
      <c r="G4501" t="str">
        <f>""</f>
        <v/>
      </c>
    </row>
    <row r="4502" spans="1:7" x14ac:dyDescent="0.25">
      <c r="A4502" t="s">
        <v>8</v>
      </c>
      <c r="B4502" s="1" t="str">
        <f>"000320025 - RICH PRODUCTS IHOP"</f>
        <v>000320025 - RICH PRODUCTS IHOP</v>
      </c>
      <c r="C4502" t="s">
        <v>550</v>
      </c>
      <c r="D4502" s="1" t="str">
        <f>"PRG-1025784"</f>
        <v>PRG-1025784</v>
      </c>
      <c r="E4502" t="s">
        <v>1845</v>
      </c>
      <c r="F4502" t="s">
        <v>4</v>
      </c>
      <c r="G4502" t="str">
        <f>""</f>
        <v/>
      </c>
    </row>
    <row r="4503" spans="1:7" x14ac:dyDescent="0.25">
      <c r="A4503" t="s">
        <v>8</v>
      </c>
      <c r="B4503" s="1" t="str">
        <f>"2350B829"</f>
        <v>2350B829</v>
      </c>
      <c r="C4503" t="s">
        <v>4526</v>
      </c>
      <c r="D4503" s="1" t="str">
        <f>"PRG-1025785"</f>
        <v>PRG-1025785</v>
      </c>
      <c r="E4503" t="s">
        <v>4527</v>
      </c>
      <c r="F4503" t="s">
        <v>5</v>
      </c>
      <c r="G4503" t="str">
        <f>""</f>
        <v/>
      </c>
    </row>
    <row r="4504" spans="1:7" x14ac:dyDescent="0.25">
      <c r="A4504" t="s">
        <v>8</v>
      </c>
      <c r="B4504" s="1" t="str">
        <f>"000314974 - RICH FOODS-PALACE ENT"</f>
        <v>000314974 - RICH FOODS-PALACE ENT</v>
      </c>
      <c r="C4504" t="s">
        <v>572</v>
      </c>
      <c r="D4504" s="1" t="str">
        <f>"PRG-1025881"</f>
        <v>PRG-1025881</v>
      </c>
      <c r="E4504" t="s">
        <v>573</v>
      </c>
      <c r="F4504" t="s">
        <v>4</v>
      </c>
      <c r="G4504" t="str">
        <f>""</f>
        <v/>
      </c>
    </row>
    <row r="4505" spans="1:7" x14ac:dyDescent="0.25">
      <c r="A4505" t="s">
        <v>8</v>
      </c>
      <c r="B4505" s="1" t="str">
        <f>"S1Z0O3J0"</f>
        <v>S1Z0O3J0</v>
      </c>
      <c r="C4505" t="s">
        <v>5426</v>
      </c>
      <c r="D4505" s="1" t="str">
        <f>"PRG-1025990"</f>
        <v>PRG-1025990</v>
      </c>
      <c r="E4505" t="s">
        <v>5427</v>
      </c>
      <c r="F4505" t="s">
        <v>5</v>
      </c>
      <c r="G4505" t="str">
        <f>""</f>
        <v/>
      </c>
    </row>
    <row r="4506" spans="1:7" x14ac:dyDescent="0.25">
      <c r="A4506" t="s">
        <v>8</v>
      </c>
      <c r="B4506" s="1" t="str">
        <f>"S5Z01040"</f>
        <v>S5Z01040</v>
      </c>
      <c r="C4506" t="s">
        <v>5955</v>
      </c>
      <c r="D4506" s="1" t="str">
        <f>"PRG-1025990"</f>
        <v>PRG-1025990</v>
      </c>
      <c r="E4506" t="s">
        <v>5427</v>
      </c>
      <c r="F4506" t="s">
        <v>5</v>
      </c>
      <c r="G4506" t="str">
        <f>""</f>
        <v/>
      </c>
    </row>
    <row r="4507" spans="1:7" x14ac:dyDescent="0.25">
      <c r="A4507" t="s">
        <v>8</v>
      </c>
      <c r="B4507" s="1" t="str">
        <f>"S6Q001U0"</f>
        <v>S6Q001U0</v>
      </c>
      <c r="C4507" t="s">
        <v>6194</v>
      </c>
      <c r="D4507" s="1" t="str">
        <f>"PRG-1025990"</f>
        <v>PRG-1025990</v>
      </c>
      <c r="E4507" t="s">
        <v>5427</v>
      </c>
      <c r="F4507" t="s">
        <v>5</v>
      </c>
      <c r="G4507" t="str">
        <f>""</f>
        <v/>
      </c>
    </row>
    <row r="4508" spans="1:7" x14ac:dyDescent="0.25">
      <c r="A4508" t="s">
        <v>8</v>
      </c>
      <c r="B4508" s="1" t="str">
        <f>"000250741 - HENRY DOORLY ZOO RICHES"</f>
        <v>000250741 - HENRY DOORLY ZOO RICHES</v>
      </c>
      <c r="C4508" t="s">
        <v>2102</v>
      </c>
      <c r="D4508" s="1" t="str">
        <f>"PRG-1026037"</f>
        <v>PRG-1026037</v>
      </c>
      <c r="E4508" t="s">
        <v>2103</v>
      </c>
      <c r="F4508" t="s">
        <v>4</v>
      </c>
      <c r="G4508" t="str">
        <f>""</f>
        <v/>
      </c>
    </row>
    <row r="4509" spans="1:7" x14ac:dyDescent="0.25">
      <c r="A4509" t="s">
        <v>8</v>
      </c>
      <c r="B4509" s="1" t="str">
        <f>"2250E155"</f>
        <v>2250E155</v>
      </c>
      <c r="C4509" t="s">
        <v>4365</v>
      </c>
      <c r="D4509" s="1" t="str">
        <f>"PRG-1026039"</f>
        <v>PRG-1026039</v>
      </c>
      <c r="E4509" t="s">
        <v>4366</v>
      </c>
      <c r="F4509" t="s">
        <v>5</v>
      </c>
      <c r="G4509" t="str">
        <f>""</f>
        <v/>
      </c>
    </row>
    <row r="4510" spans="1:7" x14ac:dyDescent="0.25">
      <c r="A4510" t="s">
        <v>8</v>
      </c>
      <c r="B4510" s="1" t="str">
        <f>"2000249993 - RICHS-M RESORT"</f>
        <v>2000249993 - RICHS-M RESORT</v>
      </c>
      <c r="C4510" t="s">
        <v>3994</v>
      </c>
      <c r="D4510" s="1" t="str">
        <f>"PRG-1026044"</f>
        <v>PRG-1026044</v>
      </c>
      <c r="E4510" t="s">
        <v>352</v>
      </c>
      <c r="F4510" t="s">
        <v>4</v>
      </c>
      <c r="G4510" t="str">
        <f>""</f>
        <v/>
      </c>
    </row>
    <row r="4511" spans="1:7" x14ac:dyDescent="0.25">
      <c r="A4511" t="s">
        <v>8</v>
      </c>
      <c r="B4511" s="1" t="str">
        <f>"2000332233 - RICH'S-JW MARRIOTT"</f>
        <v>2000332233 - RICH'S-JW MARRIOTT</v>
      </c>
      <c r="C4511" t="s">
        <v>4038</v>
      </c>
      <c r="D4511" s="1" t="str">
        <f>"PRG-1026049"</f>
        <v>PRG-1026049</v>
      </c>
      <c r="E4511" t="s">
        <v>4039</v>
      </c>
      <c r="F4511" t="s">
        <v>4</v>
      </c>
      <c r="G4511" t="str">
        <f>""</f>
        <v/>
      </c>
    </row>
    <row r="4512" spans="1:7" x14ac:dyDescent="0.25">
      <c r="A4512" t="s">
        <v>8</v>
      </c>
      <c r="B4512" s="1" t="str">
        <f>"4100C971"</f>
        <v>4100C971</v>
      </c>
      <c r="C4512" t="s">
        <v>4940</v>
      </c>
      <c r="D4512" s="1" t="str">
        <f>"PRG-1026049"</f>
        <v>PRG-1026049</v>
      </c>
      <c r="E4512" t="s">
        <v>4039</v>
      </c>
      <c r="F4512" t="s">
        <v>5</v>
      </c>
      <c r="G4512" t="str">
        <f>""</f>
        <v/>
      </c>
    </row>
    <row r="4513" spans="1:7" x14ac:dyDescent="0.25">
      <c r="A4513" t="s">
        <v>8</v>
      </c>
      <c r="B4513" s="1" t="str">
        <f>"000001346 - RICH FOODS COLD STONE"</f>
        <v>000001346 - RICH FOODS COLD STONE</v>
      </c>
      <c r="C4513" t="s">
        <v>85</v>
      </c>
      <c r="D4513" s="1" t="str">
        <f t="shared" ref="D4513:D4544" si="131">"PRG-1026064"</f>
        <v>PRG-1026064</v>
      </c>
      <c r="E4513" t="s">
        <v>86</v>
      </c>
      <c r="F4513" t="s">
        <v>4</v>
      </c>
      <c r="G4513" t="str">
        <f>""</f>
        <v/>
      </c>
    </row>
    <row r="4514" spans="1:7" x14ac:dyDescent="0.25">
      <c r="A4514" t="s">
        <v>8</v>
      </c>
      <c r="B4514" s="1" t="str">
        <f>"000002067 - RICH FOODS NORTL-COLD STONE"</f>
        <v>000002067 - RICH FOODS NORTL-COLD STONE</v>
      </c>
      <c r="C4514" t="s">
        <v>110</v>
      </c>
      <c r="D4514" s="1" t="str">
        <f t="shared" si="131"/>
        <v>PRG-1026064</v>
      </c>
      <c r="E4514" t="s">
        <v>86</v>
      </c>
      <c r="F4514" t="s">
        <v>4</v>
      </c>
      <c r="G4514" t="str">
        <f>""</f>
        <v/>
      </c>
    </row>
    <row r="4515" spans="1:7" x14ac:dyDescent="0.25">
      <c r="A4515" t="s">
        <v>8</v>
      </c>
      <c r="B4515" s="1" t="str">
        <f>"000092784 - RICH FOODS NORTL-COLD STONE"</f>
        <v>000092784 - RICH FOODS NORTL-COLD STONE</v>
      </c>
      <c r="C4515" t="s">
        <v>110</v>
      </c>
      <c r="D4515" s="1" t="str">
        <f t="shared" si="131"/>
        <v>PRG-1026064</v>
      </c>
      <c r="E4515" t="s">
        <v>86</v>
      </c>
      <c r="F4515" t="s">
        <v>4</v>
      </c>
      <c r="G4515" t="str">
        <f>""</f>
        <v/>
      </c>
    </row>
    <row r="4516" spans="1:7" x14ac:dyDescent="0.25">
      <c r="A4516" t="s">
        <v>8</v>
      </c>
      <c r="B4516" s="1" t="str">
        <f>"000108321 - RICH FOODS NORTL-COLD STONE"</f>
        <v>000108321 - RICH FOODS NORTL-COLD STONE</v>
      </c>
      <c r="C4516" t="s">
        <v>110</v>
      </c>
      <c r="D4516" s="1" t="str">
        <f t="shared" si="131"/>
        <v>PRG-1026064</v>
      </c>
      <c r="E4516" t="s">
        <v>86</v>
      </c>
      <c r="F4516" t="s">
        <v>4</v>
      </c>
      <c r="G4516" t="str">
        <f>""</f>
        <v/>
      </c>
    </row>
    <row r="4517" spans="1:7" x14ac:dyDescent="0.25">
      <c r="A4517" t="s">
        <v>8</v>
      </c>
      <c r="B4517" s="1" t="str">
        <f>"000111385 - RICH FOODS NONRTL-COLD STONE"</f>
        <v>000111385 - RICH FOODS NONRTL-COLD STONE</v>
      </c>
      <c r="C4517" t="s">
        <v>842</v>
      </c>
      <c r="D4517" s="1" t="str">
        <f t="shared" si="131"/>
        <v>PRG-1026064</v>
      </c>
      <c r="E4517" t="s">
        <v>86</v>
      </c>
      <c r="F4517" t="s">
        <v>4</v>
      </c>
      <c r="G4517" t="str">
        <f>""</f>
        <v/>
      </c>
    </row>
    <row r="4518" spans="1:7" x14ac:dyDescent="0.25">
      <c r="A4518" t="s">
        <v>8</v>
      </c>
      <c r="B4518" s="1" t="str">
        <f>"000118515 - RICH FOODS NONRETAIL-COLDSTONE"</f>
        <v>000118515 - RICH FOODS NONRETAIL-COLDSTONE</v>
      </c>
      <c r="C4518" t="s">
        <v>875</v>
      </c>
      <c r="D4518" s="1" t="str">
        <f t="shared" si="131"/>
        <v>PRG-1026064</v>
      </c>
      <c r="E4518" t="s">
        <v>86</v>
      </c>
      <c r="F4518" t="s">
        <v>4</v>
      </c>
      <c r="G4518" t="str">
        <f>""</f>
        <v/>
      </c>
    </row>
    <row r="4519" spans="1:7" x14ac:dyDescent="0.25">
      <c r="A4519" t="s">
        <v>8</v>
      </c>
      <c r="B4519" s="1" t="str">
        <f>"000127626 - RICH FOODS NORTL-COLD STONE"</f>
        <v>000127626 - RICH FOODS NORTL-COLD STONE</v>
      </c>
      <c r="C4519" t="s">
        <v>110</v>
      </c>
      <c r="D4519" s="1" t="str">
        <f t="shared" si="131"/>
        <v>PRG-1026064</v>
      </c>
      <c r="E4519" t="s">
        <v>86</v>
      </c>
      <c r="F4519" t="s">
        <v>4</v>
      </c>
      <c r="G4519" t="str">
        <f>""</f>
        <v/>
      </c>
    </row>
    <row r="4520" spans="1:7" x14ac:dyDescent="0.25">
      <c r="A4520" t="s">
        <v>8</v>
      </c>
      <c r="B4520" s="1" t="str">
        <f>"000129545 - RICH FOODS NORTL-COLD STONE"</f>
        <v>000129545 - RICH FOODS NORTL-COLD STONE</v>
      </c>
      <c r="C4520" t="s">
        <v>110</v>
      </c>
      <c r="D4520" s="1" t="str">
        <f t="shared" si="131"/>
        <v>PRG-1026064</v>
      </c>
      <c r="E4520" t="s">
        <v>86</v>
      </c>
      <c r="F4520" t="s">
        <v>4</v>
      </c>
      <c r="G4520" t="str">
        <f>""</f>
        <v/>
      </c>
    </row>
    <row r="4521" spans="1:7" x14ac:dyDescent="0.25">
      <c r="A4521" t="s">
        <v>8</v>
      </c>
      <c r="B4521" s="1" t="str">
        <f>"000132492 - RICH FOODS NONRTL-COLD STONE"</f>
        <v>000132492 - RICH FOODS NONRTL-COLD STONE</v>
      </c>
      <c r="C4521" t="s">
        <v>842</v>
      </c>
      <c r="D4521" s="1" t="str">
        <f t="shared" si="131"/>
        <v>PRG-1026064</v>
      </c>
      <c r="E4521" t="s">
        <v>86</v>
      </c>
      <c r="F4521" t="s">
        <v>4</v>
      </c>
      <c r="G4521" t="str">
        <f>""</f>
        <v/>
      </c>
    </row>
    <row r="4522" spans="1:7" x14ac:dyDescent="0.25">
      <c r="A4522" t="s">
        <v>8</v>
      </c>
      <c r="B4522" s="1" t="str">
        <f>"000139183 - "</f>
        <v xml:space="preserve">000139183 - </v>
      </c>
      <c r="D4522" s="1" t="str">
        <f t="shared" si="131"/>
        <v>PRG-1026064</v>
      </c>
      <c r="E4522" t="s">
        <v>86</v>
      </c>
      <c r="F4522" t="s">
        <v>4</v>
      </c>
      <c r="G4522" t="str">
        <f>""</f>
        <v/>
      </c>
    </row>
    <row r="4523" spans="1:7" x14ac:dyDescent="0.25">
      <c r="A4523" t="s">
        <v>8</v>
      </c>
      <c r="B4523" s="1" t="str">
        <f>"000146115 - RICH FOODS NORTL-COLD STONE"</f>
        <v>000146115 - RICH FOODS NORTL-COLD STONE</v>
      </c>
      <c r="C4523" t="s">
        <v>110</v>
      </c>
      <c r="D4523" s="1" t="str">
        <f t="shared" si="131"/>
        <v>PRG-1026064</v>
      </c>
      <c r="E4523" t="s">
        <v>86</v>
      </c>
      <c r="F4523" t="s">
        <v>4</v>
      </c>
      <c r="G4523" t="str">
        <f>""</f>
        <v/>
      </c>
    </row>
    <row r="4524" spans="1:7" x14ac:dyDescent="0.25">
      <c r="A4524" t="s">
        <v>8</v>
      </c>
      <c r="B4524" s="1" t="str">
        <f>"000149780 - RICH FOODS NONRTL-COLD STONE"</f>
        <v>000149780 - RICH FOODS NONRTL-COLD STONE</v>
      </c>
      <c r="C4524" t="s">
        <v>842</v>
      </c>
      <c r="D4524" s="1" t="str">
        <f t="shared" si="131"/>
        <v>PRG-1026064</v>
      </c>
      <c r="E4524" t="s">
        <v>86</v>
      </c>
      <c r="F4524" t="s">
        <v>4</v>
      </c>
      <c r="G4524" t="str">
        <f>""</f>
        <v/>
      </c>
    </row>
    <row r="4525" spans="1:7" x14ac:dyDescent="0.25">
      <c r="A4525" t="s">
        <v>8</v>
      </c>
      <c r="B4525" s="1" t="str">
        <f>"000158451 - "</f>
        <v xml:space="preserve">000158451 - </v>
      </c>
      <c r="D4525" s="1" t="str">
        <f t="shared" si="131"/>
        <v>PRG-1026064</v>
      </c>
      <c r="E4525" t="s">
        <v>86</v>
      </c>
      <c r="F4525" t="s">
        <v>4</v>
      </c>
      <c r="G4525" t="str">
        <f>""</f>
        <v/>
      </c>
    </row>
    <row r="4526" spans="1:7" x14ac:dyDescent="0.25">
      <c r="A4526" t="s">
        <v>8</v>
      </c>
      <c r="B4526" s="1" t="str">
        <f>"000203777 - RICH FOODS NORTL-COLD STONE"</f>
        <v>000203777 - RICH FOODS NORTL-COLD STONE</v>
      </c>
      <c r="C4526" t="s">
        <v>110</v>
      </c>
      <c r="D4526" s="1" t="str">
        <f t="shared" si="131"/>
        <v>PRG-1026064</v>
      </c>
      <c r="E4526" t="s">
        <v>86</v>
      </c>
      <c r="F4526" t="s">
        <v>4</v>
      </c>
      <c r="G4526" t="str">
        <f>""</f>
        <v/>
      </c>
    </row>
    <row r="4527" spans="1:7" x14ac:dyDescent="0.25">
      <c r="A4527" t="s">
        <v>8</v>
      </c>
      <c r="B4527" s="1" t="str">
        <f>"000205279 - BB COLDSTONE FOB RICHS"</f>
        <v>000205279 - BB COLDSTONE FOB RICHS</v>
      </c>
      <c r="C4527" t="s">
        <v>1361</v>
      </c>
      <c r="D4527" s="1" t="str">
        <f t="shared" si="131"/>
        <v>PRG-1026064</v>
      </c>
      <c r="E4527" t="s">
        <v>86</v>
      </c>
      <c r="F4527" t="s">
        <v>4</v>
      </c>
      <c r="G4527" t="str">
        <f>""</f>
        <v/>
      </c>
    </row>
    <row r="4528" spans="1:7" x14ac:dyDescent="0.25">
      <c r="A4528" t="s">
        <v>8</v>
      </c>
      <c r="B4528" s="1" t="str">
        <f>"000209607 - COLDSTONE FOB RICHS"</f>
        <v>000209607 - COLDSTONE FOB RICHS</v>
      </c>
      <c r="C4528" t="s">
        <v>1424</v>
      </c>
      <c r="D4528" s="1" t="str">
        <f t="shared" si="131"/>
        <v>PRG-1026064</v>
      </c>
      <c r="E4528" t="s">
        <v>86</v>
      </c>
      <c r="F4528" t="s">
        <v>4</v>
      </c>
      <c r="G4528" t="str">
        <f>""</f>
        <v/>
      </c>
    </row>
    <row r="4529" spans="1:7" x14ac:dyDescent="0.25">
      <c r="A4529" t="s">
        <v>8</v>
      </c>
      <c r="B4529" s="1" t="str">
        <f>"000219444 - RICH FOODS NONRETAIL-COLDSTONE"</f>
        <v>000219444 - RICH FOODS NONRETAIL-COLDSTONE</v>
      </c>
      <c r="C4529" t="s">
        <v>875</v>
      </c>
      <c r="D4529" s="1" t="str">
        <f t="shared" si="131"/>
        <v>PRG-1026064</v>
      </c>
      <c r="E4529" t="s">
        <v>86</v>
      </c>
      <c r="F4529" t="s">
        <v>4</v>
      </c>
      <c r="G4529" t="str">
        <f>""</f>
        <v/>
      </c>
    </row>
    <row r="4530" spans="1:7" x14ac:dyDescent="0.25">
      <c r="A4530" t="s">
        <v>8</v>
      </c>
      <c r="B4530" s="1" t="str">
        <f>"000223390 - RICH FOODS NORTL-COLD STONE"</f>
        <v>000223390 - RICH FOODS NORTL-COLD STONE</v>
      </c>
      <c r="C4530" t="s">
        <v>110</v>
      </c>
      <c r="D4530" s="1" t="str">
        <f t="shared" si="131"/>
        <v>PRG-1026064</v>
      </c>
      <c r="E4530" t="s">
        <v>86</v>
      </c>
      <c r="F4530" t="s">
        <v>4</v>
      </c>
      <c r="G4530" t="str">
        <f>""</f>
        <v/>
      </c>
    </row>
    <row r="4531" spans="1:7" x14ac:dyDescent="0.25">
      <c r="A4531" t="s">
        <v>8</v>
      </c>
      <c r="B4531" s="1" t="str">
        <f>"000224231 - RICH FOODS NONRTL-COLD STONE"</f>
        <v>000224231 - RICH FOODS NONRTL-COLD STONE</v>
      </c>
      <c r="C4531" t="s">
        <v>842</v>
      </c>
      <c r="D4531" s="1" t="str">
        <f t="shared" si="131"/>
        <v>PRG-1026064</v>
      </c>
      <c r="E4531" t="s">
        <v>86</v>
      </c>
      <c r="F4531" t="s">
        <v>4</v>
      </c>
      <c r="G4531" t="str">
        <f>""</f>
        <v/>
      </c>
    </row>
    <row r="4532" spans="1:7" x14ac:dyDescent="0.25">
      <c r="A4532" t="s">
        <v>8</v>
      </c>
      <c r="B4532" s="1" t="str">
        <f>"000227105 - RICH FOODS NONRTL-COLD STONE"</f>
        <v>000227105 - RICH FOODS NONRTL-COLD STONE</v>
      </c>
      <c r="C4532" t="s">
        <v>842</v>
      </c>
      <c r="D4532" s="1" t="str">
        <f t="shared" si="131"/>
        <v>PRG-1026064</v>
      </c>
      <c r="E4532" t="s">
        <v>86</v>
      </c>
      <c r="F4532" t="s">
        <v>4</v>
      </c>
      <c r="G4532" t="str">
        <f>""</f>
        <v/>
      </c>
    </row>
    <row r="4533" spans="1:7" x14ac:dyDescent="0.25">
      <c r="A4533" t="s">
        <v>8</v>
      </c>
      <c r="B4533" s="1" t="str">
        <f>"000231683 - RICH FOODS NONRETAIL-COLDSTONE"</f>
        <v>000231683 - RICH FOODS NONRETAIL-COLDSTONE</v>
      </c>
      <c r="C4533" t="s">
        <v>875</v>
      </c>
      <c r="D4533" s="1" t="str">
        <f t="shared" si="131"/>
        <v>PRG-1026064</v>
      </c>
      <c r="E4533" t="s">
        <v>86</v>
      </c>
      <c r="F4533" t="s">
        <v>4</v>
      </c>
      <c r="G4533" t="str">
        <f>""</f>
        <v/>
      </c>
    </row>
    <row r="4534" spans="1:7" x14ac:dyDescent="0.25">
      <c r="A4534" t="s">
        <v>8</v>
      </c>
      <c r="B4534" s="1" t="str">
        <f>"000233332 - RICH FOODS NORTL-COLD STONE"</f>
        <v>000233332 - RICH FOODS NORTL-COLD STONE</v>
      </c>
      <c r="C4534" t="s">
        <v>110</v>
      </c>
      <c r="D4534" s="1" t="str">
        <f t="shared" si="131"/>
        <v>PRG-1026064</v>
      </c>
      <c r="E4534" t="s">
        <v>86</v>
      </c>
      <c r="F4534" t="s">
        <v>4</v>
      </c>
      <c r="G4534" t="str">
        <f>""</f>
        <v/>
      </c>
    </row>
    <row r="4535" spans="1:7" x14ac:dyDescent="0.25">
      <c r="A4535" t="s">
        <v>8</v>
      </c>
      <c r="B4535" s="1" t="str">
        <f>"000234659 - "</f>
        <v xml:space="preserve">000234659 - </v>
      </c>
      <c r="D4535" s="1" t="str">
        <f t="shared" si="131"/>
        <v>PRG-1026064</v>
      </c>
      <c r="E4535" t="s">
        <v>86</v>
      </c>
      <c r="F4535" t="s">
        <v>4</v>
      </c>
      <c r="G4535" t="str">
        <f>""</f>
        <v/>
      </c>
    </row>
    <row r="4536" spans="1:7" x14ac:dyDescent="0.25">
      <c r="A4536" t="s">
        <v>8</v>
      </c>
      <c r="B4536" s="1" t="str">
        <f>"000237393 - RICH FOODS NONRTL-COLD STONE"</f>
        <v>000237393 - RICH FOODS NONRTL-COLD STONE</v>
      </c>
      <c r="C4536" t="s">
        <v>842</v>
      </c>
      <c r="D4536" s="1" t="str">
        <f t="shared" si="131"/>
        <v>PRG-1026064</v>
      </c>
      <c r="E4536" t="s">
        <v>86</v>
      </c>
      <c r="F4536" t="s">
        <v>4</v>
      </c>
      <c r="G4536" t="str">
        <f>""</f>
        <v/>
      </c>
    </row>
    <row r="4537" spans="1:7" x14ac:dyDescent="0.25">
      <c r="A4537" t="s">
        <v>8</v>
      </c>
      <c r="B4537" s="1" t="str">
        <f>"000243072 - RICH FOODS NORTL-COLD STONE"</f>
        <v>000243072 - RICH FOODS NORTL-COLD STONE</v>
      </c>
      <c r="C4537" t="s">
        <v>110</v>
      </c>
      <c r="D4537" s="1" t="str">
        <f t="shared" si="131"/>
        <v>PRG-1026064</v>
      </c>
      <c r="E4537" t="s">
        <v>86</v>
      </c>
      <c r="F4537" t="s">
        <v>4</v>
      </c>
      <c r="G4537" t="str">
        <f>""</f>
        <v/>
      </c>
    </row>
    <row r="4538" spans="1:7" x14ac:dyDescent="0.25">
      <c r="A4538" t="s">
        <v>8</v>
      </c>
      <c r="B4538" s="1" t="str">
        <f>"000246092 - "</f>
        <v xml:space="preserve">000246092 - </v>
      </c>
      <c r="D4538" s="1" t="str">
        <f t="shared" si="131"/>
        <v>PRG-1026064</v>
      </c>
      <c r="E4538" t="s">
        <v>86</v>
      </c>
      <c r="F4538" t="s">
        <v>4</v>
      </c>
      <c r="G4538" t="str">
        <f>""</f>
        <v/>
      </c>
    </row>
    <row r="4539" spans="1:7" x14ac:dyDescent="0.25">
      <c r="A4539" t="s">
        <v>8</v>
      </c>
      <c r="B4539" s="1" t="str">
        <f>"000247945 - RICH FOODS NONRTL-COLD STONE"</f>
        <v>000247945 - RICH FOODS NONRTL-COLD STONE</v>
      </c>
      <c r="C4539" t="s">
        <v>842</v>
      </c>
      <c r="D4539" s="1" t="str">
        <f t="shared" si="131"/>
        <v>PRG-1026064</v>
      </c>
      <c r="E4539" t="s">
        <v>86</v>
      </c>
      <c r="F4539" t="s">
        <v>4</v>
      </c>
      <c r="G4539" t="str">
        <f>""</f>
        <v/>
      </c>
    </row>
    <row r="4540" spans="1:7" x14ac:dyDescent="0.25">
      <c r="A4540" t="s">
        <v>8</v>
      </c>
      <c r="B4540" s="1" t="str">
        <f>"000253617 - RICH FOODS NORTL-COLD STONE"</f>
        <v>000253617 - RICH FOODS NORTL-COLD STONE</v>
      </c>
      <c r="C4540" t="s">
        <v>110</v>
      </c>
      <c r="D4540" s="1" t="str">
        <f t="shared" si="131"/>
        <v>PRG-1026064</v>
      </c>
      <c r="E4540" t="s">
        <v>86</v>
      </c>
      <c r="F4540" t="s">
        <v>4</v>
      </c>
      <c r="G4540" t="str">
        <f>""</f>
        <v/>
      </c>
    </row>
    <row r="4541" spans="1:7" x14ac:dyDescent="0.25">
      <c r="A4541" t="s">
        <v>8</v>
      </c>
      <c r="B4541" s="1" t="str">
        <f>"000258367 - RICH FOODS NONRTL-COLD STONE"</f>
        <v>000258367 - RICH FOODS NONRTL-COLD STONE</v>
      </c>
      <c r="C4541" t="s">
        <v>842</v>
      </c>
      <c r="D4541" s="1" t="str">
        <f t="shared" si="131"/>
        <v>PRG-1026064</v>
      </c>
      <c r="E4541" t="s">
        <v>86</v>
      </c>
      <c r="F4541" t="s">
        <v>4</v>
      </c>
      <c r="G4541" t="str">
        <f>""</f>
        <v/>
      </c>
    </row>
    <row r="4542" spans="1:7" x14ac:dyDescent="0.25">
      <c r="A4542" t="s">
        <v>8</v>
      </c>
      <c r="B4542" s="1" t="str">
        <f>"000261492 - RICH FOODS NORTL-COLD STONE"</f>
        <v>000261492 - RICH FOODS NORTL-COLD STONE</v>
      </c>
      <c r="C4542" t="s">
        <v>110</v>
      </c>
      <c r="D4542" s="1" t="str">
        <f t="shared" si="131"/>
        <v>PRG-1026064</v>
      </c>
      <c r="E4542" t="s">
        <v>86</v>
      </c>
      <c r="F4542" t="s">
        <v>4</v>
      </c>
      <c r="G4542" t="str">
        <f>""</f>
        <v/>
      </c>
    </row>
    <row r="4543" spans="1:7" x14ac:dyDescent="0.25">
      <c r="A4543" t="s">
        <v>8</v>
      </c>
      <c r="B4543" s="1" t="str">
        <f>"000263408 - RICH FOODS NORTL-COLD STONE"</f>
        <v>000263408 - RICH FOODS NORTL-COLD STONE</v>
      </c>
      <c r="C4543" t="s">
        <v>110</v>
      </c>
      <c r="D4543" s="1" t="str">
        <f t="shared" si="131"/>
        <v>PRG-1026064</v>
      </c>
      <c r="E4543" t="s">
        <v>86</v>
      </c>
      <c r="F4543" t="s">
        <v>4</v>
      </c>
      <c r="G4543" t="str">
        <f>""</f>
        <v/>
      </c>
    </row>
    <row r="4544" spans="1:7" x14ac:dyDescent="0.25">
      <c r="A4544" t="s">
        <v>8</v>
      </c>
      <c r="B4544" s="1" t="str">
        <f>"000269199 - "</f>
        <v xml:space="preserve">000269199 - </v>
      </c>
      <c r="D4544" s="1" t="str">
        <f t="shared" si="131"/>
        <v>PRG-1026064</v>
      </c>
      <c r="E4544" t="s">
        <v>86</v>
      </c>
      <c r="F4544" t="s">
        <v>4</v>
      </c>
      <c r="G4544" t="str">
        <f>""</f>
        <v/>
      </c>
    </row>
    <row r="4545" spans="1:7" x14ac:dyDescent="0.25">
      <c r="A4545" t="s">
        <v>8</v>
      </c>
      <c r="B4545" s="1" t="str">
        <f>"000283338 - RICH FOODS NORTL-COLD STONE"</f>
        <v>000283338 - RICH FOODS NORTL-COLD STONE</v>
      </c>
      <c r="C4545" t="s">
        <v>110</v>
      </c>
      <c r="D4545" s="1" t="str">
        <f t="shared" ref="D4545:D4571" si="132">"PRG-1026064"</f>
        <v>PRG-1026064</v>
      </c>
      <c r="E4545" t="s">
        <v>86</v>
      </c>
      <c r="F4545" t="s">
        <v>4</v>
      </c>
      <c r="G4545" t="str">
        <f>""</f>
        <v/>
      </c>
    </row>
    <row r="4546" spans="1:7" x14ac:dyDescent="0.25">
      <c r="A4546" t="s">
        <v>8</v>
      </c>
      <c r="B4546" s="1" t="str">
        <f>"000284568 - RICH FOODS NORTL-COLD STONE"</f>
        <v>000284568 - RICH FOODS NORTL-COLD STONE</v>
      </c>
      <c r="C4546" t="s">
        <v>110</v>
      </c>
      <c r="D4546" s="1" t="str">
        <f t="shared" si="132"/>
        <v>PRG-1026064</v>
      </c>
      <c r="E4546" t="s">
        <v>86</v>
      </c>
      <c r="F4546" t="s">
        <v>4</v>
      </c>
      <c r="G4546" t="str">
        <f>""</f>
        <v/>
      </c>
    </row>
    <row r="4547" spans="1:7" x14ac:dyDescent="0.25">
      <c r="A4547" t="s">
        <v>8</v>
      </c>
      <c r="B4547" s="1" t="str">
        <f>"000286928 - RICH FOODS NONRTL-COLD STONE"</f>
        <v>000286928 - RICH FOODS NONRTL-COLD STONE</v>
      </c>
      <c r="C4547" t="s">
        <v>842</v>
      </c>
      <c r="D4547" s="1" t="str">
        <f t="shared" si="132"/>
        <v>PRG-1026064</v>
      </c>
      <c r="E4547" t="s">
        <v>86</v>
      </c>
      <c r="F4547" t="s">
        <v>4</v>
      </c>
      <c r="G4547" t="str">
        <f>""</f>
        <v/>
      </c>
    </row>
    <row r="4548" spans="1:7" x14ac:dyDescent="0.25">
      <c r="A4548" t="s">
        <v>8</v>
      </c>
      <c r="B4548" s="1" t="str">
        <f>"000289113 - RICH FOODS NONRTL-COLD STONE"</f>
        <v>000289113 - RICH FOODS NONRTL-COLD STONE</v>
      </c>
      <c r="C4548" t="s">
        <v>842</v>
      </c>
      <c r="D4548" s="1" t="str">
        <f t="shared" si="132"/>
        <v>PRG-1026064</v>
      </c>
      <c r="E4548" t="s">
        <v>86</v>
      </c>
      <c r="F4548" t="s">
        <v>4</v>
      </c>
      <c r="G4548" t="str">
        <f>""</f>
        <v/>
      </c>
    </row>
    <row r="4549" spans="1:7" x14ac:dyDescent="0.25">
      <c r="A4549" t="s">
        <v>8</v>
      </c>
      <c r="B4549" s="1" t="str">
        <f>"000289271 - RICH FOODS NORTL-COLD STONE"</f>
        <v>000289271 - RICH FOODS NORTL-COLD STONE</v>
      </c>
      <c r="C4549" t="s">
        <v>110</v>
      </c>
      <c r="D4549" s="1" t="str">
        <f t="shared" si="132"/>
        <v>PRG-1026064</v>
      </c>
      <c r="E4549" t="s">
        <v>86</v>
      </c>
      <c r="F4549" t="s">
        <v>4</v>
      </c>
      <c r="G4549" t="str">
        <f>""</f>
        <v/>
      </c>
    </row>
    <row r="4550" spans="1:7" x14ac:dyDescent="0.25">
      <c r="A4550" t="s">
        <v>8</v>
      </c>
      <c r="B4550" s="1" t="str">
        <f>"000295614 - RICH FOODS NONRETAIL-COLDSTONE"</f>
        <v>000295614 - RICH FOODS NONRETAIL-COLDSTONE</v>
      </c>
      <c r="C4550" t="s">
        <v>875</v>
      </c>
      <c r="D4550" s="1" t="str">
        <f t="shared" si="132"/>
        <v>PRG-1026064</v>
      </c>
      <c r="E4550" t="s">
        <v>86</v>
      </c>
      <c r="F4550" t="s">
        <v>4</v>
      </c>
      <c r="G4550" t="str">
        <f>""</f>
        <v/>
      </c>
    </row>
    <row r="4551" spans="1:7" x14ac:dyDescent="0.25">
      <c r="A4551" t="s">
        <v>8</v>
      </c>
      <c r="B4551" s="1" t="str">
        <f>"000295631 - RICH FOODS NONRTL-COLD STONE"</f>
        <v>000295631 - RICH FOODS NONRTL-COLD STONE</v>
      </c>
      <c r="C4551" t="s">
        <v>842</v>
      </c>
      <c r="D4551" s="1" t="str">
        <f t="shared" si="132"/>
        <v>PRG-1026064</v>
      </c>
      <c r="E4551" t="s">
        <v>86</v>
      </c>
      <c r="F4551" t="s">
        <v>4</v>
      </c>
      <c r="G4551" t="str">
        <f>""</f>
        <v/>
      </c>
    </row>
    <row r="4552" spans="1:7" x14ac:dyDescent="0.25">
      <c r="A4552" t="s">
        <v>8</v>
      </c>
      <c r="B4552" s="1" t="str">
        <f>"000299636 - "</f>
        <v xml:space="preserve">000299636 - </v>
      </c>
      <c r="D4552" s="1" t="str">
        <f t="shared" si="132"/>
        <v>PRG-1026064</v>
      </c>
      <c r="E4552" t="s">
        <v>86</v>
      </c>
      <c r="F4552" t="s">
        <v>4</v>
      </c>
      <c r="G4552" t="str">
        <f>""</f>
        <v/>
      </c>
    </row>
    <row r="4553" spans="1:7" x14ac:dyDescent="0.25">
      <c r="A4553" t="s">
        <v>8</v>
      </c>
      <c r="B4553" s="1" t="str">
        <f>"000299660 - RICH FOODS NORTL-COLD STONE"</f>
        <v>000299660 - RICH FOODS NORTL-COLD STONE</v>
      </c>
      <c r="C4553" t="s">
        <v>110</v>
      </c>
      <c r="D4553" s="1" t="str">
        <f t="shared" si="132"/>
        <v>PRG-1026064</v>
      </c>
      <c r="E4553" t="s">
        <v>86</v>
      </c>
      <c r="F4553" t="s">
        <v>4</v>
      </c>
      <c r="G4553" t="str">
        <f>""</f>
        <v/>
      </c>
    </row>
    <row r="4554" spans="1:7" x14ac:dyDescent="0.25">
      <c r="A4554" t="s">
        <v>8</v>
      </c>
      <c r="B4554" s="1" t="str">
        <f>"000302249 - RICH FOODS NORTL-COLD STONE"</f>
        <v>000302249 - RICH FOODS NORTL-COLD STONE</v>
      </c>
      <c r="C4554" t="s">
        <v>110</v>
      </c>
      <c r="D4554" s="1" t="str">
        <f t="shared" si="132"/>
        <v>PRG-1026064</v>
      </c>
      <c r="E4554" t="s">
        <v>86</v>
      </c>
      <c r="F4554" t="s">
        <v>4</v>
      </c>
      <c r="G4554" t="str">
        <f>""</f>
        <v/>
      </c>
    </row>
    <row r="4555" spans="1:7" x14ac:dyDescent="0.25">
      <c r="A4555" t="s">
        <v>8</v>
      </c>
      <c r="B4555" s="1" t="str">
        <f>"000309026 - RICH FOODS NONRETAIL-COLDSTONE"</f>
        <v>000309026 - RICH FOODS NONRETAIL-COLDSTONE</v>
      </c>
      <c r="C4555" t="s">
        <v>875</v>
      </c>
      <c r="D4555" s="1" t="str">
        <f t="shared" si="132"/>
        <v>PRG-1026064</v>
      </c>
      <c r="E4555" t="s">
        <v>86</v>
      </c>
      <c r="F4555" t="s">
        <v>4</v>
      </c>
      <c r="G4555" t="str">
        <f>""</f>
        <v/>
      </c>
    </row>
    <row r="4556" spans="1:7" x14ac:dyDescent="0.25">
      <c r="A4556" t="s">
        <v>8</v>
      </c>
      <c r="B4556" s="1" t="str">
        <f>"000314002 - RICH FOODS NORTL-COLD STONE"</f>
        <v>000314002 - RICH FOODS NORTL-COLD STONE</v>
      </c>
      <c r="C4556" t="s">
        <v>110</v>
      </c>
      <c r="D4556" s="1" t="str">
        <f t="shared" si="132"/>
        <v>PRG-1026064</v>
      </c>
      <c r="E4556" t="s">
        <v>86</v>
      </c>
      <c r="F4556" t="s">
        <v>4</v>
      </c>
      <c r="G4556" t="str">
        <f>""</f>
        <v/>
      </c>
    </row>
    <row r="4557" spans="1:7" x14ac:dyDescent="0.25">
      <c r="A4557" t="s">
        <v>8</v>
      </c>
      <c r="B4557" s="1" t="str">
        <f>"000317968 - "</f>
        <v xml:space="preserve">000317968 - </v>
      </c>
      <c r="D4557" s="1" t="str">
        <f t="shared" si="132"/>
        <v>PRG-1026064</v>
      </c>
      <c r="E4557" t="s">
        <v>86</v>
      </c>
      <c r="F4557" t="s">
        <v>4</v>
      </c>
      <c r="G4557" t="str">
        <f>""</f>
        <v/>
      </c>
    </row>
    <row r="4558" spans="1:7" x14ac:dyDescent="0.25">
      <c r="A4558" t="s">
        <v>8</v>
      </c>
      <c r="B4558" s="1" t="str">
        <f>"000320825 - RICH FOODS NONRTL-COLD STONE"</f>
        <v>000320825 - RICH FOODS NONRTL-COLD STONE</v>
      </c>
      <c r="C4558" t="s">
        <v>842</v>
      </c>
      <c r="D4558" s="1" t="str">
        <f t="shared" si="132"/>
        <v>PRG-1026064</v>
      </c>
      <c r="E4558" t="s">
        <v>86</v>
      </c>
      <c r="F4558" t="s">
        <v>4</v>
      </c>
      <c r="G4558" t="str">
        <f>""</f>
        <v/>
      </c>
    </row>
    <row r="4559" spans="1:7" x14ac:dyDescent="0.25">
      <c r="A4559" t="s">
        <v>8</v>
      </c>
      <c r="B4559" s="1" t="str">
        <f>"000326202 - RICH FOODS NORTL-COLD STONE"</f>
        <v>000326202 - RICH FOODS NORTL-COLD STONE</v>
      </c>
      <c r="C4559" t="s">
        <v>110</v>
      </c>
      <c r="D4559" s="1" t="str">
        <f t="shared" si="132"/>
        <v>PRG-1026064</v>
      </c>
      <c r="E4559" t="s">
        <v>86</v>
      </c>
      <c r="F4559" t="s">
        <v>4</v>
      </c>
      <c r="G4559" t="str">
        <f>""</f>
        <v/>
      </c>
    </row>
    <row r="4560" spans="1:7" x14ac:dyDescent="0.25">
      <c r="A4560" t="s">
        <v>8</v>
      </c>
      <c r="B4560" s="1" t="str">
        <f>"000331464 - "</f>
        <v xml:space="preserve">000331464 - </v>
      </c>
      <c r="D4560" s="1" t="str">
        <f t="shared" si="132"/>
        <v>PRG-1026064</v>
      </c>
      <c r="E4560" t="s">
        <v>86</v>
      </c>
      <c r="F4560" t="s">
        <v>4</v>
      </c>
      <c r="G4560" t="str">
        <f>""</f>
        <v/>
      </c>
    </row>
    <row r="4561" spans="1:7" x14ac:dyDescent="0.25">
      <c r="A4561" t="s">
        <v>8</v>
      </c>
      <c r="B4561" s="1" t="str">
        <f>"000331780 - RICH FOODS NONRTL-COLD STONE"</f>
        <v>000331780 - RICH FOODS NONRTL-COLD STONE</v>
      </c>
      <c r="C4561" t="s">
        <v>842</v>
      </c>
      <c r="D4561" s="1" t="str">
        <f t="shared" si="132"/>
        <v>PRG-1026064</v>
      </c>
      <c r="E4561" t="s">
        <v>86</v>
      </c>
      <c r="F4561" t="s">
        <v>4</v>
      </c>
      <c r="G4561" t="str">
        <f>""</f>
        <v/>
      </c>
    </row>
    <row r="4562" spans="1:7" x14ac:dyDescent="0.25">
      <c r="A4562" t="s">
        <v>8</v>
      </c>
      <c r="B4562" s="1" t="str">
        <f>"000341470 - RICH FOODS NORTL-COLD STONE"</f>
        <v>000341470 - RICH FOODS NORTL-COLD STONE</v>
      </c>
      <c r="C4562" t="s">
        <v>110</v>
      </c>
      <c r="D4562" s="1" t="str">
        <f t="shared" si="132"/>
        <v>PRG-1026064</v>
      </c>
      <c r="E4562" t="s">
        <v>86</v>
      </c>
      <c r="F4562" t="s">
        <v>4</v>
      </c>
      <c r="G4562" t="str">
        <f>""</f>
        <v/>
      </c>
    </row>
    <row r="4563" spans="1:7" x14ac:dyDescent="0.25">
      <c r="A4563" t="s">
        <v>8</v>
      </c>
      <c r="B4563" s="1" t="str">
        <f>"000343810 - RICH FOODS NONRETAIL-COLDSTONE"</f>
        <v>000343810 - RICH FOODS NONRETAIL-COLDSTONE</v>
      </c>
      <c r="C4563" t="s">
        <v>875</v>
      </c>
      <c r="D4563" s="1" t="str">
        <f t="shared" si="132"/>
        <v>PRG-1026064</v>
      </c>
      <c r="E4563" t="s">
        <v>86</v>
      </c>
      <c r="F4563" t="s">
        <v>4</v>
      </c>
      <c r="G4563" t="str">
        <f>""</f>
        <v/>
      </c>
    </row>
    <row r="4564" spans="1:7" x14ac:dyDescent="0.25">
      <c r="A4564" t="s">
        <v>8</v>
      </c>
      <c r="B4564" s="1" t="str">
        <f>"000346812 - RICH FOODS NORTL-COLD STONE"</f>
        <v>000346812 - RICH FOODS NORTL-COLD STONE</v>
      </c>
      <c r="C4564" t="s">
        <v>110</v>
      </c>
      <c r="D4564" s="1" t="str">
        <f t="shared" si="132"/>
        <v>PRG-1026064</v>
      </c>
      <c r="E4564" t="s">
        <v>86</v>
      </c>
      <c r="F4564" t="s">
        <v>4</v>
      </c>
      <c r="G4564" t="str">
        <f>""</f>
        <v/>
      </c>
    </row>
    <row r="4565" spans="1:7" x14ac:dyDescent="0.25">
      <c r="A4565" t="s">
        <v>8</v>
      </c>
      <c r="B4565" s="1" t="str">
        <f>"000347254 - RICH FOODS NONRTL-COLD STONE"</f>
        <v>000347254 - RICH FOODS NONRTL-COLD STONE</v>
      </c>
      <c r="C4565" t="s">
        <v>842</v>
      </c>
      <c r="D4565" s="1" t="str">
        <f t="shared" si="132"/>
        <v>PRG-1026064</v>
      </c>
      <c r="E4565" t="s">
        <v>86</v>
      </c>
      <c r="F4565" t="s">
        <v>4</v>
      </c>
      <c r="G4565" t="str">
        <f>""</f>
        <v/>
      </c>
    </row>
    <row r="4566" spans="1:7" x14ac:dyDescent="0.25">
      <c r="A4566" t="s">
        <v>8</v>
      </c>
      <c r="B4566" s="1" t="str">
        <f>"000351110 - RICH FOODS NONRTL-COLD STONE"</f>
        <v>000351110 - RICH FOODS NONRTL-COLD STONE</v>
      </c>
      <c r="C4566" t="s">
        <v>842</v>
      </c>
      <c r="D4566" s="1" t="str">
        <f t="shared" si="132"/>
        <v>PRG-1026064</v>
      </c>
      <c r="E4566" t="s">
        <v>86</v>
      </c>
      <c r="F4566" t="s">
        <v>4</v>
      </c>
      <c r="G4566" t="str">
        <f>""</f>
        <v/>
      </c>
    </row>
    <row r="4567" spans="1:7" x14ac:dyDescent="0.25">
      <c r="A4567" t="s">
        <v>8</v>
      </c>
      <c r="B4567" s="1" t="str">
        <f>"000351586 - RICH COLD STONE"</f>
        <v>000351586 - RICH COLD STONE</v>
      </c>
      <c r="C4567" t="s">
        <v>3515</v>
      </c>
      <c r="D4567" s="1" t="str">
        <f t="shared" si="132"/>
        <v>PRG-1026064</v>
      </c>
      <c r="E4567" t="s">
        <v>86</v>
      </c>
      <c r="F4567" t="s">
        <v>4</v>
      </c>
      <c r="G4567" t="str">
        <f>""</f>
        <v/>
      </c>
    </row>
    <row r="4568" spans="1:7" x14ac:dyDescent="0.25">
      <c r="A4568" t="s">
        <v>8</v>
      </c>
      <c r="B4568" s="1" t="str">
        <f>"000359154 - RICH FOODS NONRETAIL-COLDSTONE"</f>
        <v>000359154 - RICH FOODS NONRETAIL-COLDSTONE</v>
      </c>
      <c r="C4568" t="s">
        <v>875</v>
      </c>
      <c r="D4568" s="1" t="str">
        <f t="shared" si="132"/>
        <v>PRG-1026064</v>
      </c>
      <c r="E4568" t="s">
        <v>86</v>
      </c>
      <c r="F4568" t="s">
        <v>4</v>
      </c>
      <c r="G4568" t="str">
        <f>""</f>
        <v/>
      </c>
    </row>
    <row r="4569" spans="1:7" x14ac:dyDescent="0.25">
      <c r="A4569" t="s">
        <v>8</v>
      </c>
      <c r="B4569" s="1" t="str">
        <f>"2000253310 - RICH FOOD NO RTL-COLD STONE"</f>
        <v>2000253310 - RICH FOOD NO RTL-COLD STONE</v>
      </c>
      <c r="C4569" t="s">
        <v>3997</v>
      </c>
      <c r="D4569" s="1" t="str">
        <f t="shared" si="132"/>
        <v>PRG-1026064</v>
      </c>
      <c r="E4569" t="s">
        <v>86</v>
      </c>
      <c r="F4569" t="s">
        <v>4</v>
      </c>
      <c r="G4569" t="str">
        <f>""</f>
        <v/>
      </c>
    </row>
    <row r="4570" spans="1:7" x14ac:dyDescent="0.25">
      <c r="A4570" t="s">
        <v>8</v>
      </c>
      <c r="B4570" s="1" t="str">
        <f>"2000274121 - RICH FOODS NONRTL-COLD STONE"</f>
        <v>2000274121 - RICH FOODS NONRTL-COLD STONE</v>
      </c>
      <c r="C4570" t="s">
        <v>842</v>
      </c>
      <c r="D4570" s="1" t="str">
        <f t="shared" si="132"/>
        <v>PRG-1026064</v>
      </c>
      <c r="E4570" t="s">
        <v>86</v>
      </c>
      <c r="F4570" t="s">
        <v>4</v>
      </c>
      <c r="G4570" t="str">
        <f>""</f>
        <v/>
      </c>
    </row>
    <row r="4571" spans="1:7" x14ac:dyDescent="0.25">
      <c r="A4571" t="s">
        <v>8</v>
      </c>
      <c r="B4571" s="1" t="str">
        <f>"2000328368 - RICH FOODS NONRTL-COLD STONE"</f>
        <v>2000328368 - RICH FOODS NONRTL-COLD STONE</v>
      </c>
      <c r="C4571" t="s">
        <v>842</v>
      </c>
      <c r="D4571" s="1" t="str">
        <f t="shared" si="132"/>
        <v>PRG-1026064</v>
      </c>
      <c r="E4571" t="s">
        <v>86</v>
      </c>
      <c r="F4571" t="s">
        <v>4</v>
      </c>
      <c r="G4571" t="str">
        <f>""</f>
        <v/>
      </c>
    </row>
    <row r="4572" spans="1:7" x14ac:dyDescent="0.25">
      <c r="A4572" t="s">
        <v>8</v>
      </c>
      <c r="B4572" s="1" t="str">
        <f>"000304665 - RICH   PRESTIGE FOODS"</f>
        <v>000304665 - RICH   PRESTIGE FOODS</v>
      </c>
      <c r="C4572" t="s">
        <v>3026</v>
      </c>
      <c r="D4572" s="1" t="str">
        <f>"PRG-1026072"</f>
        <v>PRG-1026072</v>
      </c>
      <c r="E4572" t="s">
        <v>3027</v>
      </c>
      <c r="F4572" t="s">
        <v>4</v>
      </c>
      <c r="G4572" t="str">
        <f>""</f>
        <v/>
      </c>
    </row>
    <row r="4573" spans="1:7" x14ac:dyDescent="0.25">
      <c r="A4573" t="s">
        <v>8</v>
      </c>
      <c r="B4573" s="1" t="str">
        <f>"000314087 - RICH   PRESTIGE FOODS"</f>
        <v>000314087 - RICH   PRESTIGE FOODS</v>
      </c>
      <c r="C4573" t="s">
        <v>3026</v>
      </c>
      <c r="D4573" s="1" t="str">
        <f>"PRG-1026072"</f>
        <v>PRG-1026072</v>
      </c>
      <c r="E4573" t="s">
        <v>3027</v>
      </c>
      <c r="F4573" t="s">
        <v>4</v>
      </c>
      <c r="G4573" t="str">
        <f>""</f>
        <v/>
      </c>
    </row>
    <row r="4574" spans="1:7" x14ac:dyDescent="0.25">
      <c r="A4574" t="s">
        <v>8</v>
      </c>
      <c r="B4574" s="1" t="str">
        <f>"000232317 - BRICK OVEN &amp; FRAZIER-RICH"</f>
        <v>000232317 - BRICK OVEN &amp; FRAZIER-RICH</v>
      </c>
      <c r="C4574" t="s">
        <v>1781</v>
      </c>
      <c r="D4574" s="1" t="str">
        <f>"PRG-1026073"</f>
        <v>PRG-1026073</v>
      </c>
      <c r="E4574" t="s">
        <v>1782</v>
      </c>
      <c r="F4574" t="s">
        <v>4</v>
      </c>
      <c r="G4574" t="str">
        <f>""</f>
        <v/>
      </c>
    </row>
    <row r="4575" spans="1:7" x14ac:dyDescent="0.25">
      <c r="A4575" t="s">
        <v>8</v>
      </c>
      <c r="B4575" s="1" t="str">
        <f>"000243470 - BRICK OVEN &amp; FRAZIER-RICH"</f>
        <v>000243470 - BRICK OVEN &amp; FRAZIER-RICH</v>
      </c>
      <c r="C4575" t="s">
        <v>1781</v>
      </c>
      <c r="D4575" s="1" t="str">
        <f>"PRG-1026073"</f>
        <v>PRG-1026073</v>
      </c>
      <c r="E4575" t="s">
        <v>1782</v>
      </c>
      <c r="F4575" t="s">
        <v>4</v>
      </c>
      <c r="G4575" t="str">
        <f>""</f>
        <v/>
      </c>
    </row>
    <row r="4576" spans="1:7" x14ac:dyDescent="0.25">
      <c r="A4576" t="s">
        <v>8</v>
      </c>
      <c r="B4576" s="1" t="str">
        <f>"S9D000P0"</f>
        <v>S9D000P0</v>
      </c>
      <c r="C4576" t="s">
        <v>6322</v>
      </c>
      <c r="D4576" s="1" t="str">
        <f>"PRG-1026106"</f>
        <v>PRG-1026106</v>
      </c>
      <c r="E4576" t="s">
        <v>6323</v>
      </c>
      <c r="F4576" t="s">
        <v>5</v>
      </c>
      <c r="G4576" t="str">
        <f>""</f>
        <v/>
      </c>
    </row>
    <row r="4577" spans="1:7" x14ac:dyDescent="0.25">
      <c r="A4577" t="s">
        <v>8</v>
      </c>
      <c r="B4577" s="1" t="str">
        <f>"000244978 - RICHS DC-DARIEN LAKE"</f>
        <v>000244978 - RICHS DC-DARIEN LAKE</v>
      </c>
      <c r="C4577" t="s">
        <v>1996</v>
      </c>
      <c r="D4577" s="1" t="str">
        <f>"PRG-1026129"</f>
        <v>PRG-1026129</v>
      </c>
      <c r="E4577" t="s">
        <v>1997</v>
      </c>
      <c r="F4577" t="s">
        <v>4</v>
      </c>
      <c r="G4577" t="str">
        <f>""</f>
        <v/>
      </c>
    </row>
    <row r="4578" spans="1:7" x14ac:dyDescent="0.25">
      <c r="A4578" t="s">
        <v>8</v>
      </c>
      <c r="B4578" s="1" t="str">
        <f>"000264608 - RICHS DC-DARIEN LAKE"</f>
        <v>000264608 - RICHS DC-DARIEN LAKE</v>
      </c>
      <c r="C4578" t="s">
        <v>1996</v>
      </c>
      <c r="D4578" s="1" t="str">
        <f>"PRG-1026129"</f>
        <v>PRG-1026129</v>
      </c>
      <c r="E4578" t="s">
        <v>1997</v>
      </c>
      <c r="F4578" t="s">
        <v>4</v>
      </c>
      <c r="G4578" t="str">
        <f>""</f>
        <v/>
      </c>
    </row>
    <row r="4579" spans="1:7" x14ac:dyDescent="0.25">
      <c r="A4579" t="s">
        <v>8</v>
      </c>
      <c r="B4579" s="1" t="str">
        <f>"000284694 - RICH'S HARRY O B B"</f>
        <v>000284694 - RICH'S HARRY O B B</v>
      </c>
      <c r="C4579" t="s">
        <v>2713</v>
      </c>
      <c r="D4579" s="1" t="str">
        <f>"PRG-1026131"</f>
        <v>PRG-1026131</v>
      </c>
      <c r="E4579" t="s">
        <v>2714</v>
      </c>
      <c r="F4579" t="s">
        <v>4</v>
      </c>
      <c r="G4579" t="str">
        <f>""</f>
        <v/>
      </c>
    </row>
    <row r="4580" spans="1:7" x14ac:dyDescent="0.25">
      <c r="A4580" t="s">
        <v>8</v>
      </c>
      <c r="B4580" s="1" t="str">
        <f>"000030031 - RICH BREAD &amp; ROLLS-SODEXO"</f>
        <v>000030031 - RICH BREAD &amp; ROLLS-SODEXO</v>
      </c>
      <c r="C4580" t="s">
        <v>141</v>
      </c>
      <c r="D4580" s="1" t="str">
        <f t="shared" ref="D4580:D4611" si="133">"PRG-1026135"</f>
        <v>PRG-1026135</v>
      </c>
      <c r="E4580" t="s">
        <v>46</v>
      </c>
      <c r="F4580" t="s">
        <v>4</v>
      </c>
      <c r="G4580" t="str">
        <f>""</f>
        <v/>
      </c>
    </row>
    <row r="4581" spans="1:7" x14ac:dyDescent="0.25">
      <c r="A4581" t="s">
        <v>8</v>
      </c>
      <c r="B4581" s="1" t="str">
        <f>"000030850 - RICH BREAD &amp; ROLLS-SODEXO"</f>
        <v>000030850 - RICH BREAD &amp; ROLLS-SODEXO</v>
      </c>
      <c r="C4581" t="s">
        <v>141</v>
      </c>
      <c r="D4581" s="1" t="str">
        <f t="shared" si="133"/>
        <v>PRG-1026135</v>
      </c>
      <c r="E4581" t="s">
        <v>46</v>
      </c>
      <c r="F4581" t="s">
        <v>4</v>
      </c>
      <c r="G4581" t="str">
        <f>""</f>
        <v/>
      </c>
    </row>
    <row r="4582" spans="1:7" x14ac:dyDescent="0.25">
      <c r="A4582" t="s">
        <v>8</v>
      </c>
      <c r="B4582" s="1" t="str">
        <f>"000093782 - RICH BREAD &amp; ROLLS-SODEXO"</f>
        <v>000093782 - RICH BREAD &amp; ROLLS-SODEXO</v>
      </c>
      <c r="C4582" t="s">
        <v>141</v>
      </c>
      <c r="D4582" s="1" t="str">
        <f t="shared" si="133"/>
        <v>PRG-1026135</v>
      </c>
      <c r="E4582" t="s">
        <v>46</v>
      </c>
      <c r="F4582" t="s">
        <v>4</v>
      </c>
      <c r="G4582" t="str">
        <f>""</f>
        <v/>
      </c>
    </row>
    <row r="4583" spans="1:7" x14ac:dyDescent="0.25">
      <c r="A4583" t="s">
        <v>8</v>
      </c>
      <c r="B4583" s="1" t="str">
        <f>"000105377 - RICH BREAD &amp; ROLLS-SODEXO"</f>
        <v>000105377 - RICH BREAD &amp; ROLLS-SODEXO</v>
      </c>
      <c r="C4583" t="s">
        <v>141</v>
      </c>
      <c r="D4583" s="1" t="str">
        <f t="shared" si="133"/>
        <v>PRG-1026135</v>
      </c>
      <c r="E4583" t="s">
        <v>46</v>
      </c>
      <c r="F4583" t="s">
        <v>4</v>
      </c>
      <c r="G4583" t="str">
        <f>""</f>
        <v/>
      </c>
    </row>
    <row r="4584" spans="1:7" x14ac:dyDescent="0.25">
      <c r="A4584" t="s">
        <v>8</v>
      </c>
      <c r="B4584" s="1" t="str">
        <f>"000106423 - RICH BREAD &amp; ROLLS-SODEXO"</f>
        <v>000106423 - RICH BREAD &amp; ROLLS-SODEXO</v>
      </c>
      <c r="C4584" t="s">
        <v>141</v>
      </c>
      <c r="D4584" s="1" t="str">
        <f t="shared" si="133"/>
        <v>PRG-1026135</v>
      </c>
      <c r="E4584" t="s">
        <v>46</v>
      </c>
      <c r="F4584" t="s">
        <v>4</v>
      </c>
      <c r="G4584" t="str">
        <f>""</f>
        <v/>
      </c>
    </row>
    <row r="4585" spans="1:7" x14ac:dyDescent="0.25">
      <c r="A4585" t="s">
        <v>8</v>
      </c>
      <c r="B4585" s="1" t="str">
        <f>"000116603 - RICH BREAD &amp; ROLLS-SODEXO"</f>
        <v>000116603 - RICH BREAD &amp; ROLLS-SODEXO</v>
      </c>
      <c r="C4585" t="s">
        <v>141</v>
      </c>
      <c r="D4585" s="1" t="str">
        <f t="shared" si="133"/>
        <v>PRG-1026135</v>
      </c>
      <c r="E4585" t="s">
        <v>46</v>
      </c>
      <c r="F4585" t="s">
        <v>4</v>
      </c>
      <c r="G4585" t="str">
        <f>""</f>
        <v/>
      </c>
    </row>
    <row r="4586" spans="1:7" x14ac:dyDescent="0.25">
      <c r="A4586" t="s">
        <v>8</v>
      </c>
      <c r="B4586" s="1" t="str">
        <f>"000124853 - RICH BREAD &amp; ROLLS-SODEXO"</f>
        <v>000124853 - RICH BREAD &amp; ROLLS-SODEXO</v>
      </c>
      <c r="C4586" t="s">
        <v>141</v>
      </c>
      <c r="D4586" s="1" t="str">
        <f t="shared" si="133"/>
        <v>PRG-1026135</v>
      </c>
      <c r="E4586" t="s">
        <v>46</v>
      </c>
      <c r="F4586" t="s">
        <v>4</v>
      </c>
      <c r="G4586" t="str">
        <f>""</f>
        <v/>
      </c>
    </row>
    <row r="4587" spans="1:7" x14ac:dyDescent="0.25">
      <c r="A4587" t="s">
        <v>8</v>
      </c>
      <c r="B4587" s="1" t="str">
        <f>"000129890 - RICH BREAD &amp; ROLLS-SODEXO"</f>
        <v>000129890 - RICH BREAD &amp; ROLLS-SODEXO</v>
      </c>
      <c r="C4587" t="s">
        <v>141</v>
      </c>
      <c r="D4587" s="1" t="str">
        <f t="shared" si="133"/>
        <v>PRG-1026135</v>
      </c>
      <c r="E4587" t="s">
        <v>46</v>
      </c>
      <c r="F4587" t="s">
        <v>4</v>
      </c>
      <c r="G4587" t="str">
        <f>""</f>
        <v/>
      </c>
    </row>
    <row r="4588" spans="1:7" x14ac:dyDescent="0.25">
      <c r="A4588" t="s">
        <v>8</v>
      </c>
      <c r="B4588" s="1" t="str">
        <f>"000142448 - RICH BREAD &amp; ROLLS-SODEXO"</f>
        <v>000142448 - RICH BREAD &amp; ROLLS-SODEXO</v>
      </c>
      <c r="C4588" t="s">
        <v>141</v>
      </c>
      <c r="D4588" s="1" t="str">
        <f t="shared" si="133"/>
        <v>PRG-1026135</v>
      </c>
      <c r="E4588" t="s">
        <v>46</v>
      </c>
      <c r="F4588" t="s">
        <v>4</v>
      </c>
      <c r="G4588" t="str">
        <f>""</f>
        <v/>
      </c>
    </row>
    <row r="4589" spans="1:7" x14ac:dyDescent="0.25">
      <c r="A4589" t="s">
        <v>8</v>
      </c>
      <c r="B4589" s="1" t="str">
        <f>"000143640 - RICH BREAD &amp; ROLLS-SODEXO"</f>
        <v>000143640 - RICH BREAD &amp; ROLLS-SODEXO</v>
      </c>
      <c r="C4589" t="s">
        <v>141</v>
      </c>
      <c r="D4589" s="1" t="str">
        <f t="shared" si="133"/>
        <v>PRG-1026135</v>
      </c>
      <c r="E4589" t="s">
        <v>46</v>
      </c>
      <c r="F4589" t="s">
        <v>4</v>
      </c>
      <c r="G4589" t="str">
        <f>""</f>
        <v/>
      </c>
    </row>
    <row r="4590" spans="1:7" x14ac:dyDescent="0.25">
      <c r="A4590" t="s">
        <v>8</v>
      </c>
      <c r="B4590" s="1" t="str">
        <f>"000169917 - RICH BREAD &amp; ROLLS-SODEXO"</f>
        <v>000169917 - RICH BREAD &amp; ROLLS-SODEXO</v>
      </c>
      <c r="C4590" t="s">
        <v>141</v>
      </c>
      <c r="D4590" s="1" t="str">
        <f t="shared" si="133"/>
        <v>PRG-1026135</v>
      </c>
      <c r="E4590" t="s">
        <v>46</v>
      </c>
      <c r="F4590" t="s">
        <v>4</v>
      </c>
      <c r="G4590" t="str">
        <f>""</f>
        <v/>
      </c>
    </row>
    <row r="4591" spans="1:7" x14ac:dyDescent="0.25">
      <c r="A4591" t="s">
        <v>8</v>
      </c>
      <c r="B4591" s="1" t="str">
        <f>"000170967 - RICH BREAD &amp; ROLLS-SODEXO"</f>
        <v>000170967 - RICH BREAD &amp; ROLLS-SODEXO</v>
      </c>
      <c r="C4591" t="s">
        <v>141</v>
      </c>
      <c r="D4591" s="1" t="str">
        <f t="shared" si="133"/>
        <v>PRG-1026135</v>
      </c>
      <c r="E4591" t="s">
        <v>46</v>
      </c>
      <c r="F4591" t="s">
        <v>4</v>
      </c>
      <c r="G4591" t="str">
        <f>""</f>
        <v/>
      </c>
    </row>
    <row r="4592" spans="1:7" x14ac:dyDescent="0.25">
      <c r="A4592" t="s">
        <v>8</v>
      </c>
      <c r="B4592" s="1" t="str">
        <f>"000181571 - RICH BREAD &amp; ROLLS-SODEXO"</f>
        <v>000181571 - RICH BREAD &amp; ROLLS-SODEXO</v>
      </c>
      <c r="C4592" t="s">
        <v>141</v>
      </c>
      <c r="D4592" s="1" t="str">
        <f t="shared" si="133"/>
        <v>PRG-1026135</v>
      </c>
      <c r="E4592" t="s">
        <v>46</v>
      </c>
      <c r="F4592" t="s">
        <v>4</v>
      </c>
      <c r="G4592" t="str">
        <f>""</f>
        <v/>
      </c>
    </row>
    <row r="4593" spans="1:7" x14ac:dyDescent="0.25">
      <c r="A4593" t="s">
        <v>8</v>
      </c>
      <c r="B4593" s="1" t="str">
        <f>"000182083 - RICH BREAD &amp; ROLLS-SODEXO"</f>
        <v>000182083 - RICH BREAD &amp; ROLLS-SODEXO</v>
      </c>
      <c r="C4593" t="s">
        <v>141</v>
      </c>
      <c r="D4593" s="1" t="str">
        <f t="shared" si="133"/>
        <v>PRG-1026135</v>
      </c>
      <c r="E4593" t="s">
        <v>46</v>
      </c>
      <c r="F4593" t="s">
        <v>4</v>
      </c>
      <c r="G4593" t="str">
        <f>""</f>
        <v/>
      </c>
    </row>
    <row r="4594" spans="1:7" x14ac:dyDescent="0.25">
      <c r="A4594" t="s">
        <v>8</v>
      </c>
      <c r="B4594" s="1" t="str">
        <f>"000182156 - (L)RICH BREAD(SODEXO-183372)"</f>
        <v>000182156 - (L)RICH BREAD(SODEXO-183372)</v>
      </c>
      <c r="C4594" t="s">
        <v>1148</v>
      </c>
      <c r="D4594" s="1" t="str">
        <f t="shared" si="133"/>
        <v>PRG-1026135</v>
      </c>
      <c r="E4594" t="s">
        <v>46</v>
      </c>
      <c r="F4594" t="s">
        <v>4</v>
      </c>
      <c r="G4594" t="str">
        <f>""</f>
        <v/>
      </c>
    </row>
    <row r="4595" spans="1:7" x14ac:dyDescent="0.25">
      <c r="A4595" t="s">
        <v>8</v>
      </c>
      <c r="B4595" s="1" t="str">
        <f>"000189886 - RICH BREAD &amp; ROLLS-SODEXO"</f>
        <v>000189886 - RICH BREAD &amp; ROLLS-SODEXO</v>
      </c>
      <c r="C4595" t="s">
        <v>141</v>
      </c>
      <c r="D4595" s="1" t="str">
        <f t="shared" si="133"/>
        <v>PRG-1026135</v>
      </c>
      <c r="E4595" t="s">
        <v>46</v>
      </c>
      <c r="F4595" t="s">
        <v>4</v>
      </c>
      <c r="G4595" t="str">
        <f>""</f>
        <v/>
      </c>
    </row>
    <row r="4596" spans="1:7" x14ac:dyDescent="0.25">
      <c r="A4596" t="s">
        <v>8</v>
      </c>
      <c r="B4596" s="1" t="str">
        <f>"000190956 - RICH BREAD &amp; ROLLS-SODEXO"</f>
        <v>000190956 - RICH BREAD &amp; ROLLS-SODEXO</v>
      </c>
      <c r="C4596" t="s">
        <v>141</v>
      </c>
      <c r="D4596" s="1" t="str">
        <f t="shared" si="133"/>
        <v>PRG-1026135</v>
      </c>
      <c r="E4596" t="s">
        <v>46</v>
      </c>
      <c r="F4596" t="s">
        <v>4</v>
      </c>
      <c r="G4596" t="str">
        <f>""</f>
        <v/>
      </c>
    </row>
    <row r="4597" spans="1:7" x14ac:dyDescent="0.25">
      <c r="A4597" t="s">
        <v>8</v>
      </c>
      <c r="B4597" s="1" t="str">
        <f>"000201138 - BB SODEXO FOB RICH BREAD ROLLS"</f>
        <v>000201138 - BB SODEXO FOB RICH BREAD ROLLS</v>
      </c>
      <c r="C4597" t="s">
        <v>1310</v>
      </c>
      <c r="D4597" s="1" t="str">
        <f t="shared" si="133"/>
        <v>PRG-1026135</v>
      </c>
      <c r="E4597" t="s">
        <v>46</v>
      </c>
      <c r="F4597" t="s">
        <v>4</v>
      </c>
      <c r="G4597" t="str">
        <f>""</f>
        <v/>
      </c>
    </row>
    <row r="4598" spans="1:7" x14ac:dyDescent="0.25">
      <c r="A4598" t="s">
        <v>8</v>
      </c>
      <c r="B4598" s="1" t="str">
        <f>"000202518 - BB SODEXO FOB RICH BREAD ROLLS"</f>
        <v>000202518 - BB SODEXO FOB RICH BREAD ROLLS</v>
      </c>
      <c r="C4598" t="s">
        <v>1310</v>
      </c>
      <c r="D4598" s="1" t="str">
        <f t="shared" si="133"/>
        <v>PRG-1026135</v>
      </c>
      <c r="E4598" t="s">
        <v>46</v>
      </c>
      <c r="F4598" t="s">
        <v>4</v>
      </c>
      <c r="G4598" t="str">
        <f>""</f>
        <v/>
      </c>
    </row>
    <row r="4599" spans="1:7" x14ac:dyDescent="0.25">
      <c r="A4599" t="s">
        <v>8</v>
      </c>
      <c r="B4599" s="1" t="str">
        <f>"000205451 - RICH BREAD &amp; ROLLS-SODEXO"</f>
        <v>000205451 - RICH BREAD &amp; ROLLS-SODEXO</v>
      </c>
      <c r="C4599" t="s">
        <v>141</v>
      </c>
      <c r="D4599" s="1" t="str">
        <f t="shared" si="133"/>
        <v>PRG-1026135</v>
      </c>
      <c r="E4599" t="s">
        <v>46</v>
      </c>
      <c r="F4599" t="s">
        <v>4</v>
      </c>
      <c r="G4599" t="str">
        <f>""</f>
        <v/>
      </c>
    </row>
    <row r="4600" spans="1:7" x14ac:dyDescent="0.25">
      <c r="A4600" t="s">
        <v>8</v>
      </c>
      <c r="B4600" s="1" t="str">
        <f>"000206564 - RICH BREAD &amp; ROLLS-SODEXO"</f>
        <v>000206564 - RICH BREAD &amp; ROLLS-SODEXO</v>
      </c>
      <c r="C4600" t="s">
        <v>141</v>
      </c>
      <c r="D4600" s="1" t="str">
        <f t="shared" si="133"/>
        <v>PRG-1026135</v>
      </c>
      <c r="E4600" t="s">
        <v>46</v>
      </c>
      <c r="F4600" t="s">
        <v>4</v>
      </c>
      <c r="G4600" t="str">
        <f>""</f>
        <v/>
      </c>
    </row>
    <row r="4601" spans="1:7" x14ac:dyDescent="0.25">
      <c r="A4601" t="s">
        <v>8</v>
      </c>
      <c r="B4601" s="1" t="str">
        <f>"000207016 - RICH BREAD &amp; ROLLS-SODEXO"</f>
        <v>000207016 - RICH BREAD &amp; ROLLS-SODEXO</v>
      </c>
      <c r="C4601" t="s">
        <v>141</v>
      </c>
      <c r="D4601" s="1" t="str">
        <f t="shared" si="133"/>
        <v>PRG-1026135</v>
      </c>
      <c r="E4601" t="s">
        <v>46</v>
      </c>
      <c r="F4601" t="s">
        <v>4</v>
      </c>
      <c r="G4601" t="str">
        <f>""</f>
        <v/>
      </c>
    </row>
    <row r="4602" spans="1:7" x14ac:dyDescent="0.25">
      <c r="A4602" t="s">
        <v>8</v>
      </c>
      <c r="B4602" s="1" t="str">
        <f>"000208274 - RICH BREAD &amp; ROLLS-SODEXO"</f>
        <v>000208274 - RICH BREAD &amp; ROLLS-SODEXO</v>
      </c>
      <c r="C4602" t="s">
        <v>141</v>
      </c>
      <c r="D4602" s="1" t="str">
        <f t="shared" si="133"/>
        <v>PRG-1026135</v>
      </c>
      <c r="E4602" t="s">
        <v>46</v>
      </c>
      <c r="F4602" t="s">
        <v>4</v>
      </c>
      <c r="G4602" t="str">
        <f>""</f>
        <v/>
      </c>
    </row>
    <row r="4603" spans="1:7" x14ac:dyDescent="0.25">
      <c r="A4603" t="s">
        <v>8</v>
      </c>
      <c r="B4603" s="1" t="str">
        <f>"000209167 - RICH BREAD &amp; ROLLS-SODEXO"</f>
        <v>000209167 - RICH BREAD &amp; ROLLS-SODEXO</v>
      </c>
      <c r="C4603" t="s">
        <v>141</v>
      </c>
      <c r="D4603" s="1" t="str">
        <f t="shared" si="133"/>
        <v>PRG-1026135</v>
      </c>
      <c r="E4603" t="s">
        <v>46</v>
      </c>
      <c r="F4603" t="s">
        <v>4</v>
      </c>
      <c r="G4603" t="str">
        <f>""</f>
        <v/>
      </c>
    </row>
    <row r="4604" spans="1:7" x14ac:dyDescent="0.25">
      <c r="A4604" t="s">
        <v>8</v>
      </c>
      <c r="B4604" s="1" t="str">
        <f>"000211068 - RICH BREAD &amp; ROLLS-SODEXO"</f>
        <v>000211068 - RICH BREAD &amp; ROLLS-SODEXO</v>
      </c>
      <c r="C4604" t="s">
        <v>141</v>
      </c>
      <c r="D4604" s="1" t="str">
        <f t="shared" si="133"/>
        <v>PRG-1026135</v>
      </c>
      <c r="E4604" t="s">
        <v>46</v>
      </c>
      <c r="F4604" t="s">
        <v>4</v>
      </c>
      <c r="G4604" t="str">
        <f>""</f>
        <v/>
      </c>
    </row>
    <row r="4605" spans="1:7" x14ac:dyDescent="0.25">
      <c r="A4605" t="s">
        <v>8</v>
      </c>
      <c r="B4605" s="1" t="str">
        <f>"000214836 - RICH BREAD &amp; ROLLS-SODEXO"</f>
        <v>000214836 - RICH BREAD &amp; ROLLS-SODEXO</v>
      </c>
      <c r="C4605" t="s">
        <v>141</v>
      </c>
      <c r="D4605" s="1" t="str">
        <f t="shared" si="133"/>
        <v>PRG-1026135</v>
      </c>
      <c r="E4605" t="s">
        <v>46</v>
      </c>
      <c r="F4605" t="s">
        <v>4</v>
      </c>
      <c r="G4605" t="str">
        <f>""</f>
        <v/>
      </c>
    </row>
    <row r="4606" spans="1:7" x14ac:dyDescent="0.25">
      <c r="A4606" t="s">
        <v>8</v>
      </c>
      <c r="B4606" s="1" t="str">
        <f>"000214890 - RICH BREAD &amp; ROLLS-SODEXO"</f>
        <v>000214890 - RICH BREAD &amp; ROLLS-SODEXO</v>
      </c>
      <c r="C4606" t="s">
        <v>141</v>
      </c>
      <c r="D4606" s="1" t="str">
        <f t="shared" si="133"/>
        <v>PRG-1026135</v>
      </c>
      <c r="E4606" t="s">
        <v>46</v>
      </c>
      <c r="F4606" t="s">
        <v>4</v>
      </c>
      <c r="G4606" t="str">
        <f>""</f>
        <v/>
      </c>
    </row>
    <row r="4607" spans="1:7" x14ac:dyDescent="0.25">
      <c r="A4607" t="s">
        <v>8</v>
      </c>
      <c r="B4607" s="1" t="str">
        <f>"000215050 - RICH BREAD &amp; ROLL-SODEXO(21489"</f>
        <v>000215050 - RICH BREAD &amp; ROLL-SODEXO(21489</v>
      </c>
      <c r="C4607" t="s">
        <v>1516</v>
      </c>
      <c r="D4607" s="1" t="str">
        <f t="shared" si="133"/>
        <v>PRG-1026135</v>
      </c>
      <c r="E4607" t="s">
        <v>46</v>
      </c>
      <c r="F4607" t="s">
        <v>4</v>
      </c>
      <c r="G4607" t="str">
        <f>""</f>
        <v/>
      </c>
    </row>
    <row r="4608" spans="1:7" x14ac:dyDescent="0.25">
      <c r="A4608" t="s">
        <v>8</v>
      </c>
      <c r="B4608" s="1" t="str">
        <f>"000216025 - RICH BREAD &amp; ROLLS-SODEXO"</f>
        <v>000216025 - RICH BREAD &amp; ROLLS-SODEXO</v>
      </c>
      <c r="C4608" t="s">
        <v>141</v>
      </c>
      <c r="D4608" s="1" t="str">
        <f t="shared" si="133"/>
        <v>PRG-1026135</v>
      </c>
      <c r="E4608" t="s">
        <v>46</v>
      </c>
      <c r="F4608" t="s">
        <v>4</v>
      </c>
      <c r="G4608" t="str">
        <f>""</f>
        <v/>
      </c>
    </row>
    <row r="4609" spans="1:7" x14ac:dyDescent="0.25">
      <c r="A4609" t="s">
        <v>8</v>
      </c>
      <c r="B4609" s="1" t="str">
        <f>"000216549 - RICH BREAD &amp; ROLLS-SODEXO"</f>
        <v>000216549 - RICH BREAD &amp; ROLLS-SODEXO</v>
      </c>
      <c r="C4609" t="s">
        <v>141</v>
      </c>
      <c r="D4609" s="1" t="str">
        <f t="shared" si="133"/>
        <v>PRG-1026135</v>
      </c>
      <c r="E4609" t="s">
        <v>46</v>
      </c>
      <c r="F4609" t="s">
        <v>4</v>
      </c>
      <c r="G4609" t="str">
        <f>""</f>
        <v/>
      </c>
    </row>
    <row r="4610" spans="1:7" x14ac:dyDescent="0.25">
      <c r="A4610" t="s">
        <v>8</v>
      </c>
      <c r="B4610" s="1" t="str">
        <f>"000217531 - RICH BREAD &amp; ROLLS-SODEXO"</f>
        <v>000217531 - RICH BREAD &amp; ROLLS-SODEXO</v>
      </c>
      <c r="C4610" t="s">
        <v>141</v>
      </c>
      <c r="D4610" s="1" t="str">
        <f t="shared" si="133"/>
        <v>PRG-1026135</v>
      </c>
      <c r="E4610" t="s">
        <v>46</v>
      </c>
      <c r="F4610" t="s">
        <v>4</v>
      </c>
      <c r="G4610" t="str">
        <f>""</f>
        <v/>
      </c>
    </row>
    <row r="4611" spans="1:7" x14ac:dyDescent="0.25">
      <c r="A4611" t="s">
        <v>8</v>
      </c>
      <c r="B4611" s="1" t="str">
        <f>"000218498 - RICH BREAD &amp; ROLLS-SODEXO"</f>
        <v>000218498 - RICH BREAD &amp; ROLLS-SODEXO</v>
      </c>
      <c r="C4611" t="s">
        <v>141</v>
      </c>
      <c r="D4611" s="1" t="str">
        <f t="shared" si="133"/>
        <v>PRG-1026135</v>
      </c>
      <c r="E4611" t="s">
        <v>46</v>
      </c>
      <c r="F4611" t="s">
        <v>4</v>
      </c>
      <c r="G4611" t="str">
        <f>""</f>
        <v/>
      </c>
    </row>
    <row r="4612" spans="1:7" x14ac:dyDescent="0.25">
      <c r="A4612" t="s">
        <v>8</v>
      </c>
      <c r="B4612" s="1" t="str">
        <f>"000219930 - RICH BREAD &amp; ROLLS-SODEXO"</f>
        <v>000219930 - RICH BREAD &amp; ROLLS-SODEXO</v>
      </c>
      <c r="C4612" t="s">
        <v>141</v>
      </c>
      <c r="D4612" s="1" t="str">
        <f t="shared" ref="D4612:D4643" si="134">"PRG-1026135"</f>
        <v>PRG-1026135</v>
      </c>
      <c r="E4612" t="s">
        <v>46</v>
      </c>
      <c r="F4612" t="s">
        <v>4</v>
      </c>
      <c r="G4612" t="str">
        <f>""</f>
        <v/>
      </c>
    </row>
    <row r="4613" spans="1:7" x14ac:dyDescent="0.25">
      <c r="A4613" t="s">
        <v>8</v>
      </c>
      <c r="B4613" s="1" t="str">
        <f>"000220226 - RICH BREAD &amp; ROLLS-SODEXO"</f>
        <v>000220226 - RICH BREAD &amp; ROLLS-SODEXO</v>
      </c>
      <c r="C4613" t="s">
        <v>141</v>
      </c>
      <c r="D4613" s="1" t="str">
        <f t="shared" si="134"/>
        <v>PRG-1026135</v>
      </c>
      <c r="E4613" t="s">
        <v>46</v>
      </c>
      <c r="F4613" t="s">
        <v>4</v>
      </c>
      <c r="G4613" t="str">
        <f>""</f>
        <v/>
      </c>
    </row>
    <row r="4614" spans="1:7" x14ac:dyDescent="0.25">
      <c r="A4614" t="s">
        <v>8</v>
      </c>
      <c r="B4614" s="1" t="str">
        <f>"000221113 - RICH BREAD &amp; ROLLS-SODEXO"</f>
        <v>000221113 - RICH BREAD &amp; ROLLS-SODEXO</v>
      </c>
      <c r="C4614" t="s">
        <v>141</v>
      </c>
      <c r="D4614" s="1" t="str">
        <f t="shared" si="134"/>
        <v>PRG-1026135</v>
      </c>
      <c r="E4614" t="s">
        <v>46</v>
      </c>
      <c r="F4614" t="s">
        <v>4</v>
      </c>
      <c r="G4614" t="str">
        <f>""</f>
        <v/>
      </c>
    </row>
    <row r="4615" spans="1:7" x14ac:dyDescent="0.25">
      <c r="A4615" t="s">
        <v>8</v>
      </c>
      <c r="B4615" s="1" t="str">
        <f>"000221235 - RICH BREAD &amp; ROLLS-SODEXO"</f>
        <v>000221235 - RICH BREAD &amp; ROLLS-SODEXO</v>
      </c>
      <c r="C4615" t="s">
        <v>141</v>
      </c>
      <c r="D4615" s="1" t="str">
        <f t="shared" si="134"/>
        <v>PRG-1026135</v>
      </c>
      <c r="E4615" t="s">
        <v>46</v>
      </c>
      <c r="F4615" t="s">
        <v>4</v>
      </c>
      <c r="G4615" t="str">
        <f>""</f>
        <v/>
      </c>
    </row>
    <row r="4616" spans="1:7" x14ac:dyDescent="0.25">
      <c r="A4616" t="s">
        <v>8</v>
      </c>
      <c r="B4616" s="1" t="str">
        <f>"000221483 - RICH BREAD &amp; ROLLS-SODEXO"</f>
        <v>000221483 - RICH BREAD &amp; ROLLS-SODEXO</v>
      </c>
      <c r="C4616" t="s">
        <v>141</v>
      </c>
      <c r="D4616" s="1" t="str">
        <f t="shared" si="134"/>
        <v>PRG-1026135</v>
      </c>
      <c r="E4616" t="s">
        <v>46</v>
      </c>
      <c r="F4616" t="s">
        <v>4</v>
      </c>
      <c r="G4616" t="str">
        <f>""</f>
        <v/>
      </c>
    </row>
    <row r="4617" spans="1:7" x14ac:dyDescent="0.25">
      <c r="A4617" t="s">
        <v>8</v>
      </c>
      <c r="B4617" s="1" t="str">
        <f>"000223668 - RICH BREAD &amp; ROLLS-SODEXO"</f>
        <v>000223668 - RICH BREAD &amp; ROLLS-SODEXO</v>
      </c>
      <c r="C4617" t="s">
        <v>141</v>
      </c>
      <c r="D4617" s="1" t="str">
        <f t="shared" si="134"/>
        <v>PRG-1026135</v>
      </c>
      <c r="E4617" t="s">
        <v>46</v>
      </c>
      <c r="F4617" t="s">
        <v>4</v>
      </c>
      <c r="G4617" t="str">
        <f>""</f>
        <v/>
      </c>
    </row>
    <row r="4618" spans="1:7" x14ac:dyDescent="0.25">
      <c r="A4618" t="s">
        <v>8</v>
      </c>
      <c r="B4618" s="1" t="str">
        <f>"000225055 - RICH BREAD &amp; ROLLS-SODEXO"</f>
        <v>000225055 - RICH BREAD &amp; ROLLS-SODEXO</v>
      </c>
      <c r="C4618" t="s">
        <v>141</v>
      </c>
      <c r="D4618" s="1" t="str">
        <f t="shared" si="134"/>
        <v>PRG-1026135</v>
      </c>
      <c r="E4618" t="s">
        <v>46</v>
      </c>
      <c r="F4618" t="s">
        <v>4</v>
      </c>
      <c r="G4618" t="str">
        <f>""</f>
        <v/>
      </c>
    </row>
    <row r="4619" spans="1:7" x14ac:dyDescent="0.25">
      <c r="A4619" t="s">
        <v>8</v>
      </c>
      <c r="B4619" s="1" t="str">
        <f>"000226333 - RICH BREAD &amp; ROLLS-SODEXO"</f>
        <v>000226333 - RICH BREAD &amp; ROLLS-SODEXO</v>
      </c>
      <c r="C4619" t="s">
        <v>141</v>
      </c>
      <c r="D4619" s="1" t="str">
        <f t="shared" si="134"/>
        <v>PRG-1026135</v>
      </c>
      <c r="E4619" t="s">
        <v>46</v>
      </c>
      <c r="F4619" t="s">
        <v>4</v>
      </c>
      <c r="G4619" t="str">
        <f>""</f>
        <v/>
      </c>
    </row>
    <row r="4620" spans="1:7" x14ac:dyDescent="0.25">
      <c r="A4620" t="s">
        <v>8</v>
      </c>
      <c r="B4620" s="1" t="str">
        <f>"000229723 - RICH BREAD &amp; ROLLS-SODEXO"</f>
        <v>000229723 - RICH BREAD &amp; ROLLS-SODEXO</v>
      </c>
      <c r="C4620" t="s">
        <v>141</v>
      </c>
      <c r="D4620" s="1" t="str">
        <f t="shared" si="134"/>
        <v>PRG-1026135</v>
      </c>
      <c r="E4620" t="s">
        <v>46</v>
      </c>
      <c r="F4620" t="s">
        <v>4</v>
      </c>
      <c r="G4620" t="str">
        <f>""</f>
        <v/>
      </c>
    </row>
    <row r="4621" spans="1:7" x14ac:dyDescent="0.25">
      <c r="A4621" t="s">
        <v>8</v>
      </c>
      <c r="B4621" s="1" t="str">
        <f>"000230989 - RICH BREAD &amp; ROLLS-SODEXO"</f>
        <v>000230989 - RICH BREAD &amp; ROLLS-SODEXO</v>
      </c>
      <c r="C4621" t="s">
        <v>141</v>
      </c>
      <c r="D4621" s="1" t="str">
        <f t="shared" si="134"/>
        <v>PRG-1026135</v>
      </c>
      <c r="E4621" t="s">
        <v>46</v>
      </c>
      <c r="F4621" t="s">
        <v>4</v>
      </c>
      <c r="G4621" t="str">
        <f>""</f>
        <v/>
      </c>
    </row>
    <row r="4622" spans="1:7" x14ac:dyDescent="0.25">
      <c r="A4622" t="s">
        <v>8</v>
      </c>
      <c r="B4622" s="1" t="str">
        <f>"000232521 - RICH BREAD &amp; ROLLS-SODEXO"</f>
        <v>000232521 - RICH BREAD &amp; ROLLS-SODEXO</v>
      </c>
      <c r="C4622" t="s">
        <v>141</v>
      </c>
      <c r="D4622" s="1" t="str">
        <f t="shared" si="134"/>
        <v>PRG-1026135</v>
      </c>
      <c r="E4622" t="s">
        <v>46</v>
      </c>
      <c r="F4622" t="s">
        <v>4</v>
      </c>
      <c r="G4622" t="str">
        <f>""</f>
        <v/>
      </c>
    </row>
    <row r="4623" spans="1:7" x14ac:dyDescent="0.25">
      <c r="A4623" t="s">
        <v>8</v>
      </c>
      <c r="B4623" s="1" t="str">
        <f>"000233011 - RICH BREAD &amp; ROLLS-SODEXO"</f>
        <v>000233011 - RICH BREAD &amp; ROLLS-SODEXO</v>
      </c>
      <c r="C4623" t="s">
        <v>141</v>
      </c>
      <c r="D4623" s="1" t="str">
        <f t="shared" si="134"/>
        <v>PRG-1026135</v>
      </c>
      <c r="E4623" t="s">
        <v>46</v>
      </c>
      <c r="F4623" t="s">
        <v>4</v>
      </c>
      <c r="G4623" t="str">
        <f>""</f>
        <v/>
      </c>
    </row>
    <row r="4624" spans="1:7" x14ac:dyDescent="0.25">
      <c r="A4624" t="s">
        <v>8</v>
      </c>
      <c r="B4624" s="1" t="str">
        <f>"000233214 - RICH BREAD &amp; ROLLS-SODEXO"</f>
        <v>000233214 - RICH BREAD &amp; ROLLS-SODEXO</v>
      </c>
      <c r="C4624" t="s">
        <v>141</v>
      </c>
      <c r="D4624" s="1" t="str">
        <f t="shared" si="134"/>
        <v>PRG-1026135</v>
      </c>
      <c r="E4624" t="s">
        <v>46</v>
      </c>
      <c r="F4624" t="s">
        <v>4</v>
      </c>
      <c r="G4624" t="str">
        <f>""</f>
        <v/>
      </c>
    </row>
    <row r="4625" spans="1:7" x14ac:dyDescent="0.25">
      <c r="A4625" t="s">
        <v>8</v>
      </c>
      <c r="B4625" s="1" t="str">
        <f>"000234352 - RICH BREAD &amp; ROLLS-SODEXO"</f>
        <v>000234352 - RICH BREAD &amp; ROLLS-SODEXO</v>
      </c>
      <c r="C4625" t="s">
        <v>141</v>
      </c>
      <c r="D4625" s="1" t="str">
        <f t="shared" si="134"/>
        <v>PRG-1026135</v>
      </c>
      <c r="E4625" t="s">
        <v>46</v>
      </c>
      <c r="F4625" t="s">
        <v>4</v>
      </c>
      <c r="G4625" t="str">
        <f>""</f>
        <v/>
      </c>
    </row>
    <row r="4626" spans="1:7" x14ac:dyDescent="0.25">
      <c r="A4626" t="s">
        <v>8</v>
      </c>
      <c r="B4626" s="1" t="str">
        <f>"000234426 - RICH BREAD &amp; ROLLS-SODEXO"</f>
        <v>000234426 - RICH BREAD &amp; ROLLS-SODEXO</v>
      </c>
      <c r="C4626" t="s">
        <v>141</v>
      </c>
      <c r="D4626" s="1" t="str">
        <f t="shared" si="134"/>
        <v>PRG-1026135</v>
      </c>
      <c r="E4626" t="s">
        <v>46</v>
      </c>
      <c r="F4626" t="s">
        <v>4</v>
      </c>
      <c r="G4626" t="str">
        <f>""</f>
        <v/>
      </c>
    </row>
    <row r="4627" spans="1:7" x14ac:dyDescent="0.25">
      <c r="A4627" t="s">
        <v>8</v>
      </c>
      <c r="B4627" s="1" t="str">
        <f>"000238057 - RICH BREAD &amp; ROLLS-SODEXO"</f>
        <v>000238057 - RICH BREAD &amp; ROLLS-SODEXO</v>
      </c>
      <c r="C4627" t="s">
        <v>141</v>
      </c>
      <c r="D4627" s="1" t="str">
        <f t="shared" si="134"/>
        <v>PRG-1026135</v>
      </c>
      <c r="E4627" t="s">
        <v>46</v>
      </c>
      <c r="F4627" t="s">
        <v>4</v>
      </c>
      <c r="G4627" t="str">
        <f>""</f>
        <v/>
      </c>
    </row>
    <row r="4628" spans="1:7" x14ac:dyDescent="0.25">
      <c r="A4628" t="s">
        <v>8</v>
      </c>
      <c r="B4628" s="1" t="str">
        <f>"000238641 - RICH BREAD &amp; ROLLS-SODEXO"</f>
        <v>000238641 - RICH BREAD &amp; ROLLS-SODEXO</v>
      </c>
      <c r="C4628" t="s">
        <v>141</v>
      </c>
      <c r="D4628" s="1" t="str">
        <f t="shared" si="134"/>
        <v>PRG-1026135</v>
      </c>
      <c r="E4628" t="s">
        <v>46</v>
      </c>
      <c r="F4628" t="s">
        <v>4</v>
      </c>
      <c r="G4628" t="str">
        <f>""</f>
        <v/>
      </c>
    </row>
    <row r="4629" spans="1:7" x14ac:dyDescent="0.25">
      <c r="A4629" t="s">
        <v>8</v>
      </c>
      <c r="B4629" s="1" t="str">
        <f>"000238962 - RICH BREAD &amp; ROLLS-SODEXO"</f>
        <v>000238962 - RICH BREAD &amp; ROLLS-SODEXO</v>
      </c>
      <c r="C4629" t="s">
        <v>141</v>
      </c>
      <c r="D4629" s="1" t="str">
        <f t="shared" si="134"/>
        <v>PRG-1026135</v>
      </c>
      <c r="E4629" t="s">
        <v>46</v>
      </c>
      <c r="F4629" t="s">
        <v>4</v>
      </c>
      <c r="G4629" t="str">
        <f>""</f>
        <v/>
      </c>
    </row>
    <row r="4630" spans="1:7" x14ac:dyDescent="0.25">
      <c r="A4630" t="s">
        <v>8</v>
      </c>
      <c r="B4630" s="1" t="str">
        <f>"000239145 - RICH BREAD &amp; ROLLS-SODEXO"</f>
        <v>000239145 - RICH BREAD &amp; ROLLS-SODEXO</v>
      </c>
      <c r="C4630" t="s">
        <v>141</v>
      </c>
      <c r="D4630" s="1" t="str">
        <f t="shared" si="134"/>
        <v>PRG-1026135</v>
      </c>
      <c r="E4630" t="s">
        <v>46</v>
      </c>
      <c r="F4630" t="s">
        <v>4</v>
      </c>
      <c r="G4630" t="str">
        <f>""</f>
        <v/>
      </c>
    </row>
    <row r="4631" spans="1:7" x14ac:dyDescent="0.25">
      <c r="A4631" t="s">
        <v>8</v>
      </c>
      <c r="B4631" s="1" t="str">
        <f>"000239214 - RICH BREAD &amp; ROLLS-SODEXO"</f>
        <v>000239214 - RICH BREAD &amp; ROLLS-SODEXO</v>
      </c>
      <c r="C4631" t="s">
        <v>141</v>
      </c>
      <c r="D4631" s="1" t="str">
        <f t="shared" si="134"/>
        <v>PRG-1026135</v>
      </c>
      <c r="E4631" t="s">
        <v>46</v>
      </c>
      <c r="F4631" t="s">
        <v>4</v>
      </c>
      <c r="G4631" t="str">
        <f>""</f>
        <v/>
      </c>
    </row>
    <row r="4632" spans="1:7" x14ac:dyDescent="0.25">
      <c r="A4632" t="s">
        <v>8</v>
      </c>
      <c r="B4632" s="1" t="str">
        <f>"000240090 - RICH BREAD &amp; ROLLS-SODEXO"</f>
        <v>000240090 - RICH BREAD &amp; ROLLS-SODEXO</v>
      </c>
      <c r="C4632" t="s">
        <v>141</v>
      </c>
      <c r="D4632" s="1" t="str">
        <f t="shared" si="134"/>
        <v>PRG-1026135</v>
      </c>
      <c r="E4632" t="s">
        <v>46</v>
      </c>
      <c r="F4632" t="s">
        <v>4</v>
      </c>
      <c r="G4632" t="str">
        <f>""</f>
        <v/>
      </c>
    </row>
    <row r="4633" spans="1:7" x14ac:dyDescent="0.25">
      <c r="A4633" t="s">
        <v>8</v>
      </c>
      <c r="B4633" s="1" t="str">
        <f>"000240125 - RICH BREAD &amp; ROLLS-SODEXO"</f>
        <v>000240125 - RICH BREAD &amp; ROLLS-SODEXO</v>
      </c>
      <c r="C4633" t="s">
        <v>141</v>
      </c>
      <c r="D4633" s="1" t="str">
        <f t="shared" si="134"/>
        <v>PRG-1026135</v>
      </c>
      <c r="E4633" t="s">
        <v>46</v>
      </c>
      <c r="F4633" t="s">
        <v>4</v>
      </c>
      <c r="G4633" t="str">
        <f>""</f>
        <v/>
      </c>
    </row>
    <row r="4634" spans="1:7" x14ac:dyDescent="0.25">
      <c r="A4634" t="s">
        <v>8</v>
      </c>
      <c r="B4634" s="1" t="str">
        <f>"000240258 - RICH BREAD &amp; ROLLS-SODEXO"</f>
        <v>000240258 - RICH BREAD &amp; ROLLS-SODEXO</v>
      </c>
      <c r="C4634" t="s">
        <v>141</v>
      </c>
      <c r="D4634" s="1" t="str">
        <f t="shared" si="134"/>
        <v>PRG-1026135</v>
      </c>
      <c r="E4634" t="s">
        <v>46</v>
      </c>
      <c r="F4634" t="s">
        <v>4</v>
      </c>
      <c r="G4634" t="str">
        <f>""</f>
        <v/>
      </c>
    </row>
    <row r="4635" spans="1:7" x14ac:dyDescent="0.25">
      <c r="A4635" t="s">
        <v>8</v>
      </c>
      <c r="B4635" s="1" t="str">
        <f>"000240321 - RICH BREAD &amp; ROLLS-SODEXO"</f>
        <v>000240321 - RICH BREAD &amp; ROLLS-SODEXO</v>
      </c>
      <c r="C4635" t="s">
        <v>141</v>
      </c>
      <c r="D4635" s="1" t="str">
        <f t="shared" si="134"/>
        <v>PRG-1026135</v>
      </c>
      <c r="E4635" t="s">
        <v>46</v>
      </c>
      <c r="F4635" t="s">
        <v>4</v>
      </c>
      <c r="G4635" t="str">
        <f>""</f>
        <v/>
      </c>
    </row>
    <row r="4636" spans="1:7" x14ac:dyDescent="0.25">
      <c r="A4636" t="s">
        <v>8</v>
      </c>
      <c r="B4636" s="1" t="str">
        <f>"000241396 - RICH BREAD &amp; ROLLS-SODEXO"</f>
        <v>000241396 - RICH BREAD &amp; ROLLS-SODEXO</v>
      </c>
      <c r="C4636" t="s">
        <v>141</v>
      </c>
      <c r="D4636" s="1" t="str">
        <f t="shared" si="134"/>
        <v>PRG-1026135</v>
      </c>
      <c r="E4636" t="s">
        <v>46</v>
      </c>
      <c r="F4636" t="s">
        <v>4</v>
      </c>
      <c r="G4636" t="str">
        <f>""</f>
        <v/>
      </c>
    </row>
    <row r="4637" spans="1:7" x14ac:dyDescent="0.25">
      <c r="A4637" t="s">
        <v>8</v>
      </c>
      <c r="B4637" s="1" t="str">
        <f>"000245982 - RICH BREAD &amp; ROLLS-SODEXO"</f>
        <v>000245982 - RICH BREAD &amp; ROLLS-SODEXO</v>
      </c>
      <c r="C4637" t="s">
        <v>141</v>
      </c>
      <c r="D4637" s="1" t="str">
        <f t="shared" si="134"/>
        <v>PRG-1026135</v>
      </c>
      <c r="E4637" t="s">
        <v>46</v>
      </c>
      <c r="F4637" t="s">
        <v>4</v>
      </c>
      <c r="G4637" t="str">
        <f>""</f>
        <v/>
      </c>
    </row>
    <row r="4638" spans="1:7" x14ac:dyDescent="0.25">
      <c r="A4638" t="s">
        <v>8</v>
      </c>
      <c r="B4638" s="1" t="str">
        <f>"000249225 - RICH BREAD &amp; ROLLS-SODEXO"</f>
        <v>000249225 - RICH BREAD &amp; ROLLS-SODEXO</v>
      </c>
      <c r="C4638" t="s">
        <v>141</v>
      </c>
      <c r="D4638" s="1" t="str">
        <f t="shared" si="134"/>
        <v>PRG-1026135</v>
      </c>
      <c r="E4638" t="s">
        <v>46</v>
      </c>
      <c r="F4638" t="s">
        <v>4</v>
      </c>
      <c r="G4638" t="str">
        <f>""</f>
        <v/>
      </c>
    </row>
    <row r="4639" spans="1:7" x14ac:dyDescent="0.25">
      <c r="A4639" t="s">
        <v>8</v>
      </c>
      <c r="B4639" s="1" t="str">
        <f>"000254537 - RICH BREAD &amp; ROLLS-SODEXO"</f>
        <v>000254537 - RICH BREAD &amp; ROLLS-SODEXO</v>
      </c>
      <c r="C4639" t="s">
        <v>141</v>
      </c>
      <c r="D4639" s="1" t="str">
        <f t="shared" si="134"/>
        <v>PRG-1026135</v>
      </c>
      <c r="E4639" t="s">
        <v>46</v>
      </c>
      <c r="F4639" t="s">
        <v>4</v>
      </c>
      <c r="G4639" t="str">
        <f>""</f>
        <v/>
      </c>
    </row>
    <row r="4640" spans="1:7" x14ac:dyDescent="0.25">
      <c r="A4640" t="s">
        <v>8</v>
      </c>
      <c r="B4640" s="1" t="str">
        <f>"000256247 - RICH BREAD &amp; ROLLS-SODEXO"</f>
        <v>000256247 - RICH BREAD &amp; ROLLS-SODEXO</v>
      </c>
      <c r="C4640" t="s">
        <v>141</v>
      </c>
      <c r="D4640" s="1" t="str">
        <f t="shared" si="134"/>
        <v>PRG-1026135</v>
      </c>
      <c r="E4640" t="s">
        <v>46</v>
      </c>
      <c r="F4640" t="s">
        <v>4</v>
      </c>
      <c r="G4640" t="str">
        <f>""</f>
        <v/>
      </c>
    </row>
    <row r="4641" spans="1:7" x14ac:dyDescent="0.25">
      <c r="A4641" t="s">
        <v>8</v>
      </c>
      <c r="B4641" s="1" t="str">
        <f>"000262117 - RICH BREAD &amp; ROLLS-SODEXO"</f>
        <v>000262117 - RICH BREAD &amp; ROLLS-SODEXO</v>
      </c>
      <c r="C4641" t="s">
        <v>141</v>
      </c>
      <c r="D4641" s="1" t="str">
        <f t="shared" si="134"/>
        <v>PRG-1026135</v>
      </c>
      <c r="E4641" t="s">
        <v>46</v>
      </c>
      <c r="F4641" t="s">
        <v>4</v>
      </c>
      <c r="G4641" t="str">
        <f>""</f>
        <v/>
      </c>
    </row>
    <row r="4642" spans="1:7" x14ac:dyDescent="0.25">
      <c r="A4642" t="s">
        <v>8</v>
      </c>
      <c r="B4642" s="1" t="str">
        <f>"000263644 - RICH BREAD &amp; ROLLS-SODEXO"</f>
        <v>000263644 - RICH BREAD &amp; ROLLS-SODEXO</v>
      </c>
      <c r="C4642" t="s">
        <v>141</v>
      </c>
      <c r="D4642" s="1" t="str">
        <f t="shared" si="134"/>
        <v>PRG-1026135</v>
      </c>
      <c r="E4642" t="s">
        <v>46</v>
      </c>
      <c r="F4642" t="s">
        <v>4</v>
      </c>
      <c r="G4642" t="str">
        <f>""</f>
        <v/>
      </c>
    </row>
    <row r="4643" spans="1:7" x14ac:dyDescent="0.25">
      <c r="A4643" t="s">
        <v>8</v>
      </c>
      <c r="B4643" s="1" t="str">
        <f>"000271066 - RICH BREAD &amp; ROLLS-SODEXO"</f>
        <v>000271066 - RICH BREAD &amp; ROLLS-SODEXO</v>
      </c>
      <c r="C4643" t="s">
        <v>141</v>
      </c>
      <c r="D4643" s="1" t="str">
        <f t="shared" si="134"/>
        <v>PRG-1026135</v>
      </c>
      <c r="E4643" t="s">
        <v>46</v>
      </c>
      <c r="F4643" t="s">
        <v>4</v>
      </c>
      <c r="G4643" t="str">
        <f>""</f>
        <v/>
      </c>
    </row>
    <row r="4644" spans="1:7" x14ac:dyDescent="0.25">
      <c r="A4644" t="s">
        <v>8</v>
      </c>
      <c r="B4644" s="1" t="str">
        <f>"000271800 - RICH BREAD &amp; ROLLS-SODEXO"</f>
        <v>000271800 - RICH BREAD &amp; ROLLS-SODEXO</v>
      </c>
      <c r="C4644" t="s">
        <v>141</v>
      </c>
      <c r="D4644" s="1" t="str">
        <f t="shared" ref="D4644:D4675" si="135">"PRG-1026135"</f>
        <v>PRG-1026135</v>
      </c>
      <c r="E4644" t="s">
        <v>46</v>
      </c>
      <c r="F4644" t="s">
        <v>4</v>
      </c>
      <c r="G4644" t="str">
        <f>""</f>
        <v/>
      </c>
    </row>
    <row r="4645" spans="1:7" x14ac:dyDescent="0.25">
      <c r="A4645" t="s">
        <v>8</v>
      </c>
      <c r="B4645" s="1" t="str">
        <f>"000272372 - RICH BREAD &amp; ROLLS-SODEXO"</f>
        <v>000272372 - RICH BREAD &amp; ROLLS-SODEXO</v>
      </c>
      <c r="C4645" t="s">
        <v>141</v>
      </c>
      <c r="D4645" s="1" t="str">
        <f t="shared" si="135"/>
        <v>PRG-1026135</v>
      </c>
      <c r="E4645" t="s">
        <v>46</v>
      </c>
      <c r="F4645" t="s">
        <v>4</v>
      </c>
      <c r="G4645" t="str">
        <f>""</f>
        <v/>
      </c>
    </row>
    <row r="4646" spans="1:7" x14ac:dyDescent="0.25">
      <c r="A4646" t="s">
        <v>8</v>
      </c>
      <c r="B4646" s="1" t="str">
        <f>"000273666 - RICH BREAD &amp; ROLLS-SODEXO"</f>
        <v>000273666 - RICH BREAD &amp; ROLLS-SODEXO</v>
      </c>
      <c r="C4646" t="s">
        <v>141</v>
      </c>
      <c r="D4646" s="1" t="str">
        <f t="shared" si="135"/>
        <v>PRG-1026135</v>
      </c>
      <c r="E4646" t="s">
        <v>46</v>
      </c>
      <c r="F4646" t="s">
        <v>4</v>
      </c>
      <c r="G4646" t="str">
        <f>""</f>
        <v/>
      </c>
    </row>
    <row r="4647" spans="1:7" x14ac:dyDescent="0.25">
      <c r="A4647" t="s">
        <v>8</v>
      </c>
      <c r="B4647" s="1" t="str">
        <f>"000275503 - RICH BREAD &amp; ROLLS-SODEXO"</f>
        <v>000275503 - RICH BREAD &amp; ROLLS-SODEXO</v>
      </c>
      <c r="C4647" t="s">
        <v>141</v>
      </c>
      <c r="D4647" s="1" t="str">
        <f t="shared" si="135"/>
        <v>PRG-1026135</v>
      </c>
      <c r="E4647" t="s">
        <v>46</v>
      </c>
      <c r="F4647" t="s">
        <v>4</v>
      </c>
      <c r="G4647" t="str">
        <f>""</f>
        <v/>
      </c>
    </row>
    <row r="4648" spans="1:7" x14ac:dyDescent="0.25">
      <c r="A4648" t="s">
        <v>8</v>
      </c>
      <c r="B4648" s="1" t="str">
        <f>"000277921 - RICH BREAD &amp; ROLLS-SODEXO"</f>
        <v>000277921 - RICH BREAD &amp; ROLLS-SODEXO</v>
      </c>
      <c r="C4648" t="s">
        <v>141</v>
      </c>
      <c r="D4648" s="1" t="str">
        <f t="shared" si="135"/>
        <v>PRG-1026135</v>
      </c>
      <c r="E4648" t="s">
        <v>46</v>
      </c>
      <c r="F4648" t="s">
        <v>4</v>
      </c>
      <c r="G4648" t="str">
        <f>""</f>
        <v/>
      </c>
    </row>
    <row r="4649" spans="1:7" x14ac:dyDescent="0.25">
      <c r="A4649" t="s">
        <v>8</v>
      </c>
      <c r="B4649" s="1" t="str">
        <f>"000280306 - RICH BREAD &amp; ROLLS-SODEXO"</f>
        <v>000280306 - RICH BREAD &amp; ROLLS-SODEXO</v>
      </c>
      <c r="C4649" t="s">
        <v>141</v>
      </c>
      <c r="D4649" s="1" t="str">
        <f t="shared" si="135"/>
        <v>PRG-1026135</v>
      </c>
      <c r="E4649" t="s">
        <v>46</v>
      </c>
      <c r="F4649" t="s">
        <v>4</v>
      </c>
      <c r="G4649" t="str">
        <f>""</f>
        <v/>
      </c>
    </row>
    <row r="4650" spans="1:7" x14ac:dyDescent="0.25">
      <c r="A4650" t="s">
        <v>8</v>
      </c>
      <c r="B4650" s="1" t="str">
        <f>"000280957 - RICH BREAD &amp; ROLLS-SODEXO"</f>
        <v>000280957 - RICH BREAD &amp; ROLLS-SODEXO</v>
      </c>
      <c r="C4650" t="s">
        <v>141</v>
      </c>
      <c r="D4650" s="1" t="str">
        <f t="shared" si="135"/>
        <v>PRG-1026135</v>
      </c>
      <c r="E4650" t="s">
        <v>46</v>
      </c>
      <c r="F4650" t="s">
        <v>4</v>
      </c>
      <c r="G4650" t="str">
        <f>""</f>
        <v/>
      </c>
    </row>
    <row r="4651" spans="1:7" x14ac:dyDescent="0.25">
      <c r="A4651" t="s">
        <v>8</v>
      </c>
      <c r="B4651" s="1" t="str">
        <f>"000281767 - RICH BREAD &amp; ROLLS-SODEXO"</f>
        <v>000281767 - RICH BREAD &amp; ROLLS-SODEXO</v>
      </c>
      <c r="C4651" t="s">
        <v>141</v>
      </c>
      <c r="D4651" s="1" t="str">
        <f t="shared" si="135"/>
        <v>PRG-1026135</v>
      </c>
      <c r="E4651" t="s">
        <v>46</v>
      </c>
      <c r="F4651" t="s">
        <v>4</v>
      </c>
      <c r="G4651" t="str">
        <f>""</f>
        <v/>
      </c>
    </row>
    <row r="4652" spans="1:7" x14ac:dyDescent="0.25">
      <c r="A4652" t="s">
        <v>8</v>
      </c>
      <c r="B4652" s="1" t="str">
        <f>"000283472 - RICH BREAD &amp; ROLLS-SODEXO"</f>
        <v>000283472 - RICH BREAD &amp; ROLLS-SODEXO</v>
      </c>
      <c r="C4652" t="s">
        <v>141</v>
      </c>
      <c r="D4652" s="1" t="str">
        <f t="shared" si="135"/>
        <v>PRG-1026135</v>
      </c>
      <c r="E4652" t="s">
        <v>46</v>
      </c>
      <c r="F4652" t="s">
        <v>4</v>
      </c>
      <c r="G4652" t="str">
        <f>""</f>
        <v/>
      </c>
    </row>
    <row r="4653" spans="1:7" x14ac:dyDescent="0.25">
      <c r="A4653" t="s">
        <v>8</v>
      </c>
      <c r="B4653" s="1" t="str">
        <f>"000284009 - RICH BREAD &amp; ROLLS-SODEXO"</f>
        <v>000284009 - RICH BREAD &amp; ROLLS-SODEXO</v>
      </c>
      <c r="C4653" t="s">
        <v>141</v>
      </c>
      <c r="D4653" s="1" t="str">
        <f t="shared" si="135"/>
        <v>PRG-1026135</v>
      </c>
      <c r="E4653" t="s">
        <v>46</v>
      </c>
      <c r="F4653" t="s">
        <v>4</v>
      </c>
      <c r="G4653" t="str">
        <f>""</f>
        <v/>
      </c>
    </row>
    <row r="4654" spans="1:7" x14ac:dyDescent="0.25">
      <c r="A4654" t="s">
        <v>8</v>
      </c>
      <c r="B4654" s="1" t="str">
        <f>"000285731 - RICH BREAD &amp; ROLLS-SODEXO"</f>
        <v>000285731 - RICH BREAD &amp; ROLLS-SODEXO</v>
      </c>
      <c r="C4654" t="s">
        <v>141</v>
      </c>
      <c r="D4654" s="1" t="str">
        <f t="shared" si="135"/>
        <v>PRG-1026135</v>
      </c>
      <c r="E4654" t="s">
        <v>46</v>
      </c>
      <c r="F4654" t="s">
        <v>4</v>
      </c>
      <c r="G4654" t="str">
        <f>""</f>
        <v/>
      </c>
    </row>
    <row r="4655" spans="1:7" x14ac:dyDescent="0.25">
      <c r="A4655" t="s">
        <v>8</v>
      </c>
      <c r="B4655" s="1" t="str">
        <f>"000290230 - RICH BREAD &amp; ROLLS-SODEXO"</f>
        <v>000290230 - RICH BREAD &amp; ROLLS-SODEXO</v>
      </c>
      <c r="C4655" t="s">
        <v>141</v>
      </c>
      <c r="D4655" s="1" t="str">
        <f t="shared" si="135"/>
        <v>PRG-1026135</v>
      </c>
      <c r="E4655" t="s">
        <v>46</v>
      </c>
      <c r="F4655" t="s">
        <v>4</v>
      </c>
      <c r="G4655" t="str">
        <f>""</f>
        <v/>
      </c>
    </row>
    <row r="4656" spans="1:7" x14ac:dyDescent="0.25">
      <c r="A4656" t="s">
        <v>8</v>
      </c>
      <c r="B4656" s="1" t="str">
        <f>"000291723 - RICH BREAD &amp; ROLLS-SODEXO"</f>
        <v>000291723 - RICH BREAD &amp; ROLLS-SODEXO</v>
      </c>
      <c r="C4656" t="s">
        <v>141</v>
      </c>
      <c r="D4656" s="1" t="str">
        <f t="shared" si="135"/>
        <v>PRG-1026135</v>
      </c>
      <c r="E4656" t="s">
        <v>46</v>
      </c>
      <c r="F4656" t="s">
        <v>4</v>
      </c>
      <c r="G4656" t="str">
        <f>""</f>
        <v/>
      </c>
    </row>
    <row r="4657" spans="1:7" x14ac:dyDescent="0.25">
      <c r="A4657" t="s">
        <v>8</v>
      </c>
      <c r="B4657" s="1" t="str">
        <f>"000292628 - RICH BREAD &amp; ROLLS-SODEXO"</f>
        <v>000292628 - RICH BREAD &amp; ROLLS-SODEXO</v>
      </c>
      <c r="C4657" t="s">
        <v>141</v>
      </c>
      <c r="D4657" s="1" t="str">
        <f t="shared" si="135"/>
        <v>PRG-1026135</v>
      </c>
      <c r="E4657" t="s">
        <v>46</v>
      </c>
      <c r="F4657" t="s">
        <v>4</v>
      </c>
      <c r="G4657" t="str">
        <f>""</f>
        <v/>
      </c>
    </row>
    <row r="4658" spans="1:7" x14ac:dyDescent="0.25">
      <c r="A4658" t="s">
        <v>8</v>
      </c>
      <c r="B4658" s="1" t="str">
        <f>"000294302 - RICH BREAD &amp; ROLLS-SODEXO"</f>
        <v>000294302 - RICH BREAD &amp; ROLLS-SODEXO</v>
      </c>
      <c r="C4658" t="s">
        <v>141</v>
      </c>
      <c r="D4658" s="1" t="str">
        <f t="shared" si="135"/>
        <v>PRG-1026135</v>
      </c>
      <c r="E4658" t="s">
        <v>46</v>
      </c>
      <c r="F4658" t="s">
        <v>4</v>
      </c>
      <c r="G4658" t="str">
        <f>""</f>
        <v/>
      </c>
    </row>
    <row r="4659" spans="1:7" x14ac:dyDescent="0.25">
      <c r="A4659" t="s">
        <v>8</v>
      </c>
      <c r="B4659" s="1" t="str">
        <f>"000296008 - RICH BREAD &amp; ROLLS-SODEXO"</f>
        <v>000296008 - RICH BREAD &amp; ROLLS-SODEXO</v>
      </c>
      <c r="C4659" t="s">
        <v>141</v>
      </c>
      <c r="D4659" s="1" t="str">
        <f t="shared" si="135"/>
        <v>PRG-1026135</v>
      </c>
      <c r="E4659" t="s">
        <v>46</v>
      </c>
      <c r="F4659" t="s">
        <v>4</v>
      </c>
      <c r="G4659" t="str">
        <f>""</f>
        <v/>
      </c>
    </row>
    <row r="4660" spans="1:7" x14ac:dyDescent="0.25">
      <c r="A4660" t="s">
        <v>8</v>
      </c>
      <c r="B4660" s="1" t="str">
        <f>"000297589 - RICH BREAD &amp; ROLLS-SODEXO"</f>
        <v>000297589 - RICH BREAD &amp; ROLLS-SODEXO</v>
      </c>
      <c r="C4660" t="s">
        <v>141</v>
      </c>
      <c r="D4660" s="1" t="str">
        <f t="shared" si="135"/>
        <v>PRG-1026135</v>
      </c>
      <c r="E4660" t="s">
        <v>46</v>
      </c>
      <c r="F4660" t="s">
        <v>4</v>
      </c>
      <c r="G4660" t="str">
        <f>""</f>
        <v/>
      </c>
    </row>
    <row r="4661" spans="1:7" x14ac:dyDescent="0.25">
      <c r="A4661" t="s">
        <v>8</v>
      </c>
      <c r="B4661" s="1" t="str">
        <f>"000298084 - RICH BREAD &amp; ROLLS-SODEXO"</f>
        <v>000298084 - RICH BREAD &amp; ROLLS-SODEXO</v>
      </c>
      <c r="C4661" t="s">
        <v>141</v>
      </c>
      <c r="D4661" s="1" t="str">
        <f t="shared" si="135"/>
        <v>PRG-1026135</v>
      </c>
      <c r="E4661" t="s">
        <v>46</v>
      </c>
      <c r="F4661" t="s">
        <v>4</v>
      </c>
      <c r="G4661" t="str">
        <f>""</f>
        <v/>
      </c>
    </row>
    <row r="4662" spans="1:7" x14ac:dyDescent="0.25">
      <c r="A4662" t="s">
        <v>8</v>
      </c>
      <c r="B4662" s="1" t="str">
        <f>"000302825 - RICH BREAD &amp; ROLLS-SODEXO"</f>
        <v>000302825 - RICH BREAD &amp; ROLLS-SODEXO</v>
      </c>
      <c r="C4662" t="s">
        <v>141</v>
      </c>
      <c r="D4662" s="1" t="str">
        <f t="shared" si="135"/>
        <v>PRG-1026135</v>
      </c>
      <c r="E4662" t="s">
        <v>46</v>
      </c>
      <c r="F4662" t="s">
        <v>4</v>
      </c>
      <c r="G4662" t="str">
        <f>""</f>
        <v/>
      </c>
    </row>
    <row r="4663" spans="1:7" x14ac:dyDescent="0.25">
      <c r="A4663" t="s">
        <v>8</v>
      </c>
      <c r="B4663" s="1" t="str">
        <f>"000308650 - RICH BREAD &amp; ROLLS-SODEXO"</f>
        <v>000308650 - RICH BREAD &amp; ROLLS-SODEXO</v>
      </c>
      <c r="C4663" t="s">
        <v>141</v>
      </c>
      <c r="D4663" s="1" t="str">
        <f t="shared" si="135"/>
        <v>PRG-1026135</v>
      </c>
      <c r="E4663" t="s">
        <v>46</v>
      </c>
      <c r="F4663" t="s">
        <v>4</v>
      </c>
      <c r="G4663" t="str">
        <f>""</f>
        <v/>
      </c>
    </row>
    <row r="4664" spans="1:7" x14ac:dyDescent="0.25">
      <c r="A4664" t="s">
        <v>8</v>
      </c>
      <c r="B4664" s="1" t="str">
        <f>"000310051 - RICH BREAD &amp; ROLLS-SODEXO"</f>
        <v>000310051 - RICH BREAD &amp; ROLLS-SODEXO</v>
      </c>
      <c r="C4664" t="s">
        <v>141</v>
      </c>
      <c r="D4664" s="1" t="str">
        <f t="shared" si="135"/>
        <v>PRG-1026135</v>
      </c>
      <c r="E4664" t="s">
        <v>46</v>
      </c>
      <c r="F4664" t="s">
        <v>4</v>
      </c>
      <c r="G4664" t="str">
        <f>""</f>
        <v/>
      </c>
    </row>
    <row r="4665" spans="1:7" x14ac:dyDescent="0.25">
      <c r="A4665" t="s">
        <v>8</v>
      </c>
      <c r="B4665" s="1" t="str">
        <f>"000311062 - RICH BREAD &amp; ROLLS-SODEXO"</f>
        <v>000311062 - RICH BREAD &amp; ROLLS-SODEXO</v>
      </c>
      <c r="C4665" t="s">
        <v>141</v>
      </c>
      <c r="D4665" s="1" t="str">
        <f t="shared" si="135"/>
        <v>PRG-1026135</v>
      </c>
      <c r="E4665" t="s">
        <v>46</v>
      </c>
      <c r="F4665" t="s">
        <v>4</v>
      </c>
      <c r="G4665" t="str">
        <f>""</f>
        <v/>
      </c>
    </row>
    <row r="4666" spans="1:7" x14ac:dyDescent="0.25">
      <c r="A4666" t="s">
        <v>8</v>
      </c>
      <c r="B4666" s="1" t="str">
        <f>"000312739 - RICH BREAD &amp; ROLLS-SODEXO"</f>
        <v>000312739 - RICH BREAD &amp; ROLLS-SODEXO</v>
      </c>
      <c r="C4666" t="s">
        <v>141</v>
      </c>
      <c r="D4666" s="1" t="str">
        <f t="shared" si="135"/>
        <v>PRG-1026135</v>
      </c>
      <c r="E4666" t="s">
        <v>46</v>
      </c>
      <c r="F4666" t="s">
        <v>4</v>
      </c>
      <c r="G4666" t="str">
        <f>""</f>
        <v/>
      </c>
    </row>
    <row r="4667" spans="1:7" x14ac:dyDescent="0.25">
      <c r="A4667" t="s">
        <v>8</v>
      </c>
      <c r="B4667" s="1" t="str">
        <f>"000321356 - RICH BREAD &amp; ROLLS-SODEXO"</f>
        <v>000321356 - RICH BREAD &amp; ROLLS-SODEXO</v>
      </c>
      <c r="C4667" t="s">
        <v>141</v>
      </c>
      <c r="D4667" s="1" t="str">
        <f t="shared" si="135"/>
        <v>PRG-1026135</v>
      </c>
      <c r="E4667" t="s">
        <v>46</v>
      </c>
      <c r="F4667" t="s">
        <v>4</v>
      </c>
      <c r="G4667" t="str">
        <f>""</f>
        <v/>
      </c>
    </row>
    <row r="4668" spans="1:7" x14ac:dyDescent="0.25">
      <c r="A4668" t="s">
        <v>8</v>
      </c>
      <c r="B4668" s="1" t="str">
        <f>"000322837 - RICH BREAD &amp; ROLLS-SODEXO"</f>
        <v>000322837 - RICH BREAD &amp; ROLLS-SODEXO</v>
      </c>
      <c r="C4668" t="s">
        <v>141</v>
      </c>
      <c r="D4668" s="1" t="str">
        <f t="shared" si="135"/>
        <v>PRG-1026135</v>
      </c>
      <c r="E4668" t="s">
        <v>46</v>
      </c>
      <c r="F4668" t="s">
        <v>4</v>
      </c>
      <c r="G4668" t="str">
        <f>""</f>
        <v/>
      </c>
    </row>
    <row r="4669" spans="1:7" x14ac:dyDescent="0.25">
      <c r="A4669" t="s">
        <v>8</v>
      </c>
      <c r="B4669" s="1" t="str">
        <f>"000336310 - RICH BREAD &amp; ROLLS-SODEXO"</f>
        <v>000336310 - RICH BREAD &amp; ROLLS-SODEXO</v>
      </c>
      <c r="C4669" t="s">
        <v>141</v>
      </c>
      <c r="D4669" s="1" t="str">
        <f t="shared" si="135"/>
        <v>PRG-1026135</v>
      </c>
      <c r="E4669" t="s">
        <v>46</v>
      </c>
      <c r="F4669" t="s">
        <v>4</v>
      </c>
      <c r="G4669" t="str">
        <f>""</f>
        <v/>
      </c>
    </row>
    <row r="4670" spans="1:7" x14ac:dyDescent="0.25">
      <c r="A4670" t="s">
        <v>8</v>
      </c>
      <c r="B4670" s="1" t="str">
        <f>"000338034 - RICH BREAD &amp; ROLLS-SODEXO"</f>
        <v>000338034 - RICH BREAD &amp; ROLLS-SODEXO</v>
      </c>
      <c r="C4670" t="s">
        <v>141</v>
      </c>
      <c r="D4670" s="1" t="str">
        <f t="shared" si="135"/>
        <v>PRG-1026135</v>
      </c>
      <c r="E4670" t="s">
        <v>46</v>
      </c>
      <c r="F4670" t="s">
        <v>4</v>
      </c>
      <c r="G4670" t="str">
        <f>""</f>
        <v/>
      </c>
    </row>
    <row r="4671" spans="1:7" x14ac:dyDescent="0.25">
      <c r="A4671" t="s">
        <v>8</v>
      </c>
      <c r="B4671" s="1" t="str">
        <f>"000343039 - RICH BREAD &amp; ROLLS-SODEXO"</f>
        <v>000343039 - RICH BREAD &amp; ROLLS-SODEXO</v>
      </c>
      <c r="C4671" t="s">
        <v>141</v>
      </c>
      <c r="D4671" s="1" t="str">
        <f t="shared" si="135"/>
        <v>PRG-1026135</v>
      </c>
      <c r="E4671" t="s">
        <v>46</v>
      </c>
      <c r="F4671" t="s">
        <v>4</v>
      </c>
      <c r="G4671" t="str">
        <f>""</f>
        <v/>
      </c>
    </row>
    <row r="4672" spans="1:7" x14ac:dyDescent="0.25">
      <c r="A4672" t="s">
        <v>8</v>
      </c>
      <c r="B4672" s="1" t="str">
        <f>"000344279 - RICH BREAD &amp; ROLLS-SODEXO"</f>
        <v>000344279 - RICH BREAD &amp; ROLLS-SODEXO</v>
      </c>
      <c r="C4672" t="s">
        <v>141</v>
      </c>
      <c r="D4672" s="1" t="str">
        <f t="shared" si="135"/>
        <v>PRG-1026135</v>
      </c>
      <c r="E4672" t="s">
        <v>46</v>
      </c>
      <c r="F4672" t="s">
        <v>4</v>
      </c>
      <c r="G4672" t="str">
        <f>""</f>
        <v/>
      </c>
    </row>
    <row r="4673" spans="1:7" x14ac:dyDescent="0.25">
      <c r="A4673" t="s">
        <v>8</v>
      </c>
      <c r="B4673" s="1" t="str">
        <f>"2000187269 - RICHS BREAD-SODEXO"</f>
        <v>2000187269 - RICHS BREAD-SODEXO</v>
      </c>
      <c r="C4673" t="s">
        <v>3827</v>
      </c>
      <c r="D4673" s="1" t="str">
        <f t="shared" si="135"/>
        <v>PRG-1026135</v>
      </c>
      <c r="E4673" t="s">
        <v>46</v>
      </c>
      <c r="F4673" t="s">
        <v>4</v>
      </c>
      <c r="G4673" t="str">
        <f>""</f>
        <v/>
      </c>
    </row>
    <row r="4674" spans="1:7" x14ac:dyDescent="0.25">
      <c r="A4674" t="s">
        <v>8</v>
      </c>
      <c r="B4674" s="1" t="str">
        <f>"2000192531 - RICH'S-OK SDX K-12"</f>
        <v>2000192531 - RICH'S-OK SDX K-12</v>
      </c>
      <c r="C4674" t="s">
        <v>3936</v>
      </c>
      <c r="D4674" s="1" t="str">
        <f t="shared" si="135"/>
        <v>PRG-1026135</v>
      </c>
      <c r="E4674" t="s">
        <v>46</v>
      </c>
      <c r="F4674" t="s">
        <v>4</v>
      </c>
      <c r="G4674" t="str">
        <f>""</f>
        <v/>
      </c>
    </row>
    <row r="4675" spans="1:7" x14ac:dyDescent="0.25">
      <c r="A4675" t="s">
        <v>8</v>
      </c>
      <c r="B4675" s="1" t="str">
        <f>"2000231791 - RICHS BREAD-SODEXO"</f>
        <v>2000231791 - RICHS BREAD-SODEXO</v>
      </c>
      <c r="C4675" t="s">
        <v>3827</v>
      </c>
      <c r="D4675" s="1" t="str">
        <f t="shared" si="135"/>
        <v>PRG-1026135</v>
      </c>
      <c r="E4675" t="s">
        <v>46</v>
      </c>
      <c r="F4675" t="s">
        <v>4</v>
      </c>
      <c r="G4675" t="str">
        <f>""</f>
        <v/>
      </c>
    </row>
    <row r="4676" spans="1:7" x14ac:dyDescent="0.25">
      <c r="A4676" t="s">
        <v>8</v>
      </c>
      <c r="B4676" s="1" t="str">
        <f>"000000481 - RICH PIZ &amp; ICING SODEXO AK MIX"</f>
        <v>000000481 - RICH PIZ &amp; ICING SODEXO AK MIX</v>
      </c>
      <c r="C4676" t="s">
        <v>47</v>
      </c>
      <c r="D4676" s="1" t="str">
        <f t="shared" ref="D4676:D4707" si="136">"PRG-1026136"</f>
        <v>PRG-1026136</v>
      </c>
      <c r="E4676" t="s">
        <v>48</v>
      </c>
      <c r="F4676" t="s">
        <v>4</v>
      </c>
      <c r="G4676" t="str">
        <f>""</f>
        <v/>
      </c>
    </row>
    <row r="4677" spans="1:7" x14ac:dyDescent="0.25">
      <c r="A4677" t="s">
        <v>8</v>
      </c>
      <c r="B4677" s="1" t="str">
        <f>"000029535 - RICHS PIZZA DGH &amp; ICING-SODEXO"</f>
        <v>000029535 - RICHS PIZZA DGH &amp; ICING-SODEXO</v>
      </c>
      <c r="C4677" t="s">
        <v>489</v>
      </c>
      <c r="D4677" s="1" t="str">
        <f t="shared" si="136"/>
        <v>PRG-1026136</v>
      </c>
      <c r="E4677" t="s">
        <v>48</v>
      </c>
      <c r="F4677" t="s">
        <v>4</v>
      </c>
      <c r="G4677" t="str">
        <f>""</f>
        <v/>
      </c>
    </row>
    <row r="4678" spans="1:7" x14ac:dyDescent="0.25">
      <c r="A4678" t="s">
        <v>8</v>
      </c>
      <c r="B4678" s="1" t="str">
        <f>"000033127 - RICHS PIZZA DGH &amp; ICING-SODEXO"</f>
        <v>000033127 - RICHS PIZZA DGH &amp; ICING-SODEXO</v>
      </c>
      <c r="C4678" t="s">
        <v>489</v>
      </c>
      <c r="D4678" s="1" t="str">
        <f t="shared" si="136"/>
        <v>PRG-1026136</v>
      </c>
      <c r="E4678" t="s">
        <v>48</v>
      </c>
      <c r="F4678" t="s">
        <v>4</v>
      </c>
      <c r="G4678" t="str">
        <f>""</f>
        <v/>
      </c>
    </row>
    <row r="4679" spans="1:7" x14ac:dyDescent="0.25">
      <c r="A4679" t="s">
        <v>8</v>
      </c>
      <c r="B4679" s="1" t="str">
        <f>"000093099 - RICHS PIZZA DGH &amp; ICING-SODEXO"</f>
        <v>000093099 - RICHS PIZZA DGH &amp; ICING-SODEXO</v>
      </c>
      <c r="C4679" t="s">
        <v>489</v>
      </c>
      <c r="D4679" s="1" t="str">
        <f t="shared" si="136"/>
        <v>PRG-1026136</v>
      </c>
      <c r="E4679" t="s">
        <v>48</v>
      </c>
      <c r="F4679" t="s">
        <v>4</v>
      </c>
      <c r="G4679" t="str">
        <f>""</f>
        <v/>
      </c>
    </row>
    <row r="4680" spans="1:7" x14ac:dyDescent="0.25">
      <c r="A4680" t="s">
        <v>8</v>
      </c>
      <c r="B4680" s="1" t="str">
        <f>"000104787 - RICHS PIZZA DGH &amp; ICING-SODEXO"</f>
        <v>000104787 - RICHS PIZZA DGH &amp; ICING-SODEXO</v>
      </c>
      <c r="C4680" t="s">
        <v>489</v>
      </c>
      <c r="D4680" s="1" t="str">
        <f t="shared" si="136"/>
        <v>PRG-1026136</v>
      </c>
      <c r="E4680" t="s">
        <v>48</v>
      </c>
      <c r="F4680" t="s">
        <v>4</v>
      </c>
      <c r="G4680" t="str">
        <f>""</f>
        <v/>
      </c>
    </row>
    <row r="4681" spans="1:7" x14ac:dyDescent="0.25">
      <c r="A4681" t="s">
        <v>8</v>
      </c>
      <c r="B4681" s="1" t="str">
        <f>"000107824 - RICHS PIZZA DOUGH BB-SODEXO"</f>
        <v>000107824 - RICHS PIZZA DOUGH BB-SODEXO</v>
      </c>
      <c r="C4681" t="s">
        <v>582</v>
      </c>
      <c r="D4681" s="1" t="str">
        <f t="shared" si="136"/>
        <v>PRG-1026136</v>
      </c>
      <c r="E4681" t="s">
        <v>48</v>
      </c>
      <c r="F4681" t="s">
        <v>4</v>
      </c>
      <c r="G4681" t="str">
        <f>""</f>
        <v/>
      </c>
    </row>
    <row r="4682" spans="1:7" x14ac:dyDescent="0.25">
      <c r="A4682" t="s">
        <v>8</v>
      </c>
      <c r="B4682" s="1" t="str">
        <f>"000116044 - RICHS PIZZA DGH &amp; ICING-SODEXO"</f>
        <v>000116044 - RICHS PIZZA DGH &amp; ICING-SODEXO</v>
      </c>
      <c r="C4682" t="s">
        <v>489</v>
      </c>
      <c r="D4682" s="1" t="str">
        <f t="shared" si="136"/>
        <v>PRG-1026136</v>
      </c>
      <c r="E4682" t="s">
        <v>48</v>
      </c>
      <c r="F4682" t="s">
        <v>4</v>
      </c>
      <c r="G4682" t="str">
        <f>""</f>
        <v/>
      </c>
    </row>
    <row r="4683" spans="1:7" x14ac:dyDescent="0.25">
      <c r="A4683" t="s">
        <v>8</v>
      </c>
      <c r="B4683" s="1" t="str">
        <f>"000116678 - RICHS PIZZA DOUGH BB-SODEXO"</f>
        <v>000116678 - RICHS PIZZA DOUGH BB-SODEXO</v>
      </c>
      <c r="C4683" t="s">
        <v>582</v>
      </c>
      <c r="D4683" s="1" t="str">
        <f t="shared" si="136"/>
        <v>PRG-1026136</v>
      </c>
      <c r="E4683" t="s">
        <v>48</v>
      </c>
      <c r="F4683" t="s">
        <v>4</v>
      </c>
      <c r="G4683" t="str">
        <f>""</f>
        <v/>
      </c>
    </row>
    <row r="4684" spans="1:7" x14ac:dyDescent="0.25">
      <c r="A4684" t="s">
        <v>8</v>
      </c>
      <c r="B4684" s="1" t="str">
        <f>"000124201 - RICHS PIZZA DGH &amp; ICING-SODEXO"</f>
        <v>000124201 - RICHS PIZZA DGH &amp; ICING-SODEXO</v>
      </c>
      <c r="C4684" t="s">
        <v>489</v>
      </c>
      <c r="D4684" s="1" t="str">
        <f t="shared" si="136"/>
        <v>PRG-1026136</v>
      </c>
      <c r="E4684" t="s">
        <v>48</v>
      </c>
      <c r="F4684" t="s">
        <v>4</v>
      </c>
      <c r="G4684" t="str">
        <f>""</f>
        <v/>
      </c>
    </row>
    <row r="4685" spans="1:7" x14ac:dyDescent="0.25">
      <c r="A4685" t="s">
        <v>8</v>
      </c>
      <c r="B4685" s="1" t="str">
        <f>"000126207 - RICHS PIZZA DGH &amp; ICING-SODEXO"</f>
        <v>000126207 - RICHS PIZZA DGH &amp; ICING-SODEXO</v>
      </c>
      <c r="C4685" t="s">
        <v>489</v>
      </c>
      <c r="D4685" s="1" t="str">
        <f t="shared" si="136"/>
        <v>PRG-1026136</v>
      </c>
      <c r="E4685" t="s">
        <v>48</v>
      </c>
      <c r="F4685" t="s">
        <v>4</v>
      </c>
      <c r="G4685" t="str">
        <f>""</f>
        <v/>
      </c>
    </row>
    <row r="4686" spans="1:7" x14ac:dyDescent="0.25">
      <c r="A4686" t="s">
        <v>8</v>
      </c>
      <c r="B4686" s="1" t="str">
        <f>"000129320 - RICHS PIZZA DGH &amp; ICING-SODEXO"</f>
        <v>000129320 - RICHS PIZZA DGH &amp; ICING-SODEXO</v>
      </c>
      <c r="C4686" t="s">
        <v>489</v>
      </c>
      <c r="D4686" s="1" t="str">
        <f t="shared" si="136"/>
        <v>PRG-1026136</v>
      </c>
      <c r="E4686" t="s">
        <v>48</v>
      </c>
      <c r="F4686" t="s">
        <v>4</v>
      </c>
      <c r="G4686" t="str">
        <f>""</f>
        <v/>
      </c>
    </row>
    <row r="4687" spans="1:7" x14ac:dyDescent="0.25">
      <c r="A4687" t="s">
        <v>8</v>
      </c>
      <c r="B4687" s="1" t="str">
        <f>"000138539 - RICHS PIZZA DOUGH BB-SODEXO"</f>
        <v>000138539 - RICHS PIZZA DOUGH BB-SODEXO</v>
      </c>
      <c r="C4687" t="s">
        <v>582</v>
      </c>
      <c r="D4687" s="1" t="str">
        <f t="shared" si="136"/>
        <v>PRG-1026136</v>
      </c>
      <c r="E4687" t="s">
        <v>48</v>
      </c>
      <c r="F4687" t="s">
        <v>4</v>
      </c>
      <c r="G4687" t="str">
        <f>""</f>
        <v/>
      </c>
    </row>
    <row r="4688" spans="1:7" x14ac:dyDescent="0.25">
      <c r="A4688" t="s">
        <v>8</v>
      </c>
      <c r="B4688" s="1" t="str">
        <f>"000141708 - RICHS PIZZA DGH &amp; ICING-SODEXO"</f>
        <v>000141708 - RICHS PIZZA DGH &amp; ICING-SODEXO</v>
      </c>
      <c r="C4688" t="s">
        <v>489</v>
      </c>
      <c r="D4688" s="1" t="str">
        <f t="shared" si="136"/>
        <v>PRG-1026136</v>
      </c>
      <c r="E4688" t="s">
        <v>48</v>
      </c>
      <c r="F4688" t="s">
        <v>4</v>
      </c>
      <c r="G4688" t="str">
        <f>""</f>
        <v/>
      </c>
    </row>
    <row r="4689" spans="1:7" x14ac:dyDescent="0.25">
      <c r="A4689" t="s">
        <v>8</v>
      </c>
      <c r="B4689" s="1" t="str">
        <f>"000165629 - RICHS PIZZA DOUGH&amp;ICING-SODEXO"</f>
        <v>000165629 - RICHS PIZZA DOUGH&amp;ICING-SODEXO</v>
      </c>
      <c r="C4689" t="s">
        <v>288</v>
      </c>
      <c r="D4689" s="1" t="str">
        <f t="shared" si="136"/>
        <v>PRG-1026136</v>
      </c>
      <c r="E4689" t="s">
        <v>48</v>
      </c>
      <c r="F4689" t="s">
        <v>4</v>
      </c>
      <c r="G4689" t="str">
        <f>""</f>
        <v/>
      </c>
    </row>
    <row r="4690" spans="1:7" x14ac:dyDescent="0.25">
      <c r="A4690" t="s">
        <v>8</v>
      </c>
      <c r="B4690" s="1" t="str">
        <f>"000169365 - RICHS PIZZA DGH &amp; ICING-SODEXO"</f>
        <v>000169365 - RICHS PIZZA DGH &amp; ICING-SODEXO</v>
      </c>
      <c r="C4690" t="s">
        <v>489</v>
      </c>
      <c r="D4690" s="1" t="str">
        <f t="shared" si="136"/>
        <v>PRG-1026136</v>
      </c>
      <c r="E4690" t="s">
        <v>48</v>
      </c>
      <c r="F4690" t="s">
        <v>4</v>
      </c>
      <c r="G4690" t="str">
        <f>""</f>
        <v/>
      </c>
    </row>
    <row r="4691" spans="1:7" x14ac:dyDescent="0.25">
      <c r="A4691" t="s">
        <v>8</v>
      </c>
      <c r="B4691" s="1" t="str">
        <f>"000176270 - RICHS PIZZA DOUGH&amp;ICING-SODEXO"</f>
        <v>000176270 - RICHS PIZZA DOUGH&amp;ICING-SODEXO</v>
      </c>
      <c r="C4691" t="s">
        <v>288</v>
      </c>
      <c r="D4691" s="1" t="str">
        <f t="shared" si="136"/>
        <v>PRG-1026136</v>
      </c>
      <c r="E4691" t="s">
        <v>48</v>
      </c>
      <c r="F4691" t="s">
        <v>4</v>
      </c>
      <c r="G4691" t="str">
        <f>""</f>
        <v/>
      </c>
    </row>
    <row r="4692" spans="1:7" x14ac:dyDescent="0.25">
      <c r="A4692" t="s">
        <v>8</v>
      </c>
      <c r="B4692" s="1" t="str">
        <f>"000180779 - RICHS PIZZA DGH &amp; ICING-SODEXO"</f>
        <v>000180779 - RICHS PIZZA DGH &amp; ICING-SODEXO</v>
      </c>
      <c r="C4692" t="s">
        <v>489</v>
      </c>
      <c r="D4692" s="1" t="str">
        <f t="shared" si="136"/>
        <v>PRG-1026136</v>
      </c>
      <c r="E4692" t="s">
        <v>48</v>
      </c>
      <c r="F4692" t="s">
        <v>4</v>
      </c>
      <c r="G4692" t="str">
        <f>""</f>
        <v/>
      </c>
    </row>
    <row r="4693" spans="1:7" x14ac:dyDescent="0.25">
      <c r="A4693" t="s">
        <v>8</v>
      </c>
      <c r="B4693" s="1" t="str">
        <f>"000181442 - RICHS PIZZA DGH &amp; ICING-SODEXO"</f>
        <v>000181442 - RICHS PIZZA DGH &amp; ICING-SODEXO</v>
      </c>
      <c r="C4693" t="s">
        <v>489</v>
      </c>
      <c r="D4693" s="1" t="str">
        <f t="shared" si="136"/>
        <v>PRG-1026136</v>
      </c>
      <c r="E4693" t="s">
        <v>48</v>
      </c>
      <c r="F4693" t="s">
        <v>4</v>
      </c>
      <c r="G4693" t="str">
        <f>""</f>
        <v/>
      </c>
    </row>
    <row r="4694" spans="1:7" x14ac:dyDescent="0.25">
      <c r="A4694" t="s">
        <v>8</v>
      </c>
      <c r="B4694" s="1" t="str">
        <f>"000189032 - RICHS PIZZA DGH &amp; ICING-SODEXO"</f>
        <v>000189032 - RICHS PIZZA DGH &amp; ICING-SODEXO</v>
      </c>
      <c r="C4694" t="s">
        <v>489</v>
      </c>
      <c r="D4694" s="1" t="str">
        <f t="shared" si="136"/>
        <v>PRG-1026136</v>
      </c>
      <c r="E4694" t="s">
        <v>48</v>
      </c>
      <c r="F4694" t="s">
        <v>4</v>
      </c>
      <c r="G4694" t="str">
        <f>""</f>
        <v/>
      </c>
    </row>
    <row r="4695" spans="1:7" x14ac:dyDescent="0.25">
      <c r="A4695" t="s">
        <v>8</v>
      </c>
      <c r="B4695" s="1" t="str">
        <f>"000196812 - RICHS PIZZA DOUGH BB-SODEXO"</f>
        <v>000196812 - RICHS PIZZA DOUGH BB-SODEXO</v>
      </c>
      <c r="C4695" t="s">
        <v>582</v>
      </c>
      <c r="D4695" s="1" t="str">
        <f t="shared" si="136"/>
        <v>PRG-1026136</v>
      </c>
      <c r="E4695" t="s">
        <v>48</v>
      </c>
      <c r="F4695" t="s">
        <v>4</v>
      </c>
      <c r="G4695" t="str">
        <f>""</f>
        <v/>
      </c>
    </row>
    <row r="4696" spans="1:7" x14ac:dyDescent="0.25">
      <c r="A4696" t="s">
        <v>8</v>
      </c>
      <c r="B4696" s="1" t="str">
        <f>"000197407 - RICHS PIZZA DOUGH BB-SODEXO"</f>
        <v>000197407 - RICHS PIZZA DOUGH BB-SODEXO</v>
      </c>
      <c r="C4696" t="s">
        <v>582</v>
      </c>
      <c r="D4696" s="1" t="str">
        <f t="shared" si="136"/>
        <v>PRG-1026136</v>
      </c>
      <c r="E4696" t="s">
        <v>48</v>
      </c>
      <c r="F4696" t="s">
        <v>4</v>
      </c>
      <c r="G4696" t="str">
        <f>""</f>
        <v/>
      </c>
    </row>
    <row r="4697" spans="1:7" x14ac:dyDescent="0.25">
      <c r="A4697" t="s">
        <v>8</v>
      </c>
      <c r="B4697" s="1" t="str">
        <f>"000200133 - BB SODEXO FOB RICH DOUGH ICING"</f>
        <v>000200133 - BB SODEXO FOB RICH DOUGH ICING</v>
      </c>
      <c r="C4697" t="s">
        <v>1299</v>
      </c>
      <c r="D4697" s="1" t="str">
        <f t="shared" si="136"/>
        <v>PRG-1026136</v>
      </c>
      <c r="E4697" t="s">
        <v>48</v>
      </c>
      <c r="F4697" t="s">
        <v>4</v>
      </c>
      <c r="G4697" t="str">
        <f>""</f>
        <v/>
      </c>
    </row>
    <row r="4698" spans="1:7" x14ac:dyDescent="0.25">
      <c r="A4698" t="s">
        <v>8</v>
      </c>
      <c r="B4698" s="1" t="str">
        <f>"000201878 - RICHS PIZZA DOUGH&amp;ICING-SODEXO"</f>
        <v>000201878 - RICHS PIZZA DOUGH&amp;ICING-SODEXO</v>
      </c>
      <c r="C4698" t="s">
        <v>288</v>
      </c>
      <c r="D4698" s="1" t="str">
        <f t="shared" si="136"/>
        <v>PRG-1026136</v>
      </c>
      <c r="E4698" t="s">
        <v>48</v>
      </c>
      <c r="F4698" t="s">
        <v>4</v>
      </c>
      <c r="G4698" t="str">
        <f>""</f>
        <v/>
      </c>
    </row>
    <row r="4699" spans="1:7" x14ac:dyDescent="0.25">
      <c r="A4699" t="s">
        <v>8</v>
      </c>
      <c r="B4699" s="1" t="str">
        <f>"000203543 - BB SODEXO FOB RICH PIZ DGH ICN"</f>
        <v>000203543 - BB SODEXO FOB RICH PIZ DGH ICN</v>
      </c>
      <c r="C4699" t="s">
        <v>1340</v>
      </c>
      <c r="D4699" s="1" t="str">
        <f t="shared" si="136"/>
        <v>PRG-1026136</v>
      </c>
      <c r="E4699" t="s">
        <v>48</v>
      </c>
      <c r="F4699" t="s">
        <v>4</v>
      </c>
      <c r="G4699" t="str">
        <f>""</f>
        <v/>
      </c>
    </row>
    <row r="4700" spans="1:7" x14ac:dyDescent="0.25">
      <c r="A4700" t="s">
        <v>8</v>
      </c>
      <c r="B4700" s="1" t="str">
        <f>"000204929 - RICH PROD.-AVI"</f>
        <v>000204929 - RICH PROD.-AVI</v>
      </c>
      <c r="C4700" t="s">
        <v>1356</v>
      </c>
      <c r="D4700" s="1" t="str">
        <f t="shared" si="136"/>
        <v>PRG-1026136</v>
      </c>
      <c r="E4700" t="s">
        <v>48</v>
      </c>
      <c r="F4700" t="s">
        <v>4</v>
      </c>
      <c r="G4700" t="str">
        <f>""</f>
        <v/>
      </c>
    </row>
    <row r="4701" spans="1:7" x14ac:dyDescent="0.25">
      <c r="A4701" t="s">
        <v>8</v>
      </c>
      <c r="B4701" s="1" t="str">
        <f>"000205446 - RICHS PIZZA DGH &amp; ICING-SODEXO"</f>
        <v>000205446 - RICHS PIZZA DGH &amp; ICING-SODEXO</v>
      </c>
      <c r="C4701" t="s">
        <v>489</v>
      </c>
      <c r="D4701" s="1" t="str">
        <f t="shared" si="136"/>
        <v>PRG-1026136</v>
      </c>
      <c r="E4701" t="s">
        <v>48</v>
      </c>
      <c r="F4701" t="s">
        <v>4</v>
      </c>
      <c r="G4701" t="str">
        <f>""</f>
        <v/>
      </c>
    </row>
    <row r="4702" spans="1:7" x14ac:dyDescent="0.25">
      <c r="A4702" t="s">
        <v>8</v>
      </c>
      <c r="B4702" s="1" t="str">
        <f>"000207549 - RICHS PIZZA DGH &amp; ICING-SODEXO"</f>
        <v>000207549 - RICHS PIZZA DGH &amp; ICING-SODEXO</v>
      </c>
      <c r="C4702" t="s">
        <v>489</v>
      </c>
      <c r="D4702" s="1" t="str">
        <f t="shared" si="136"/>
        <v>PRG-1026136</v>
      </c>
      <c r="E4702" t="s">
        <v>48</v>
      </c>
      <c r="F4702" t="s">
        <v>4</v>
      </c>
      <c r="G4702" t="str">
        <f>""</f>
        <v/>
      </c>
    </row>
    <row r="4703" spans="1:7" x14ac:dyDescent="0.25">
      <c r="A4703" t="s">
        <v>8</v>
      </c>
      <c r="B4703" s="1" t="str">
        <f>"000208445 - RICHS PIZZA DGH &amp; ICING-SODEXO"</f>
        <v>000208445 - RICHS PIZZA DGH &amp; ICING-SODEXO</v>
      </c>
      <c r="C4703" t="s">
        <v>489</v>
      </c>
      <c r="D4703" s="1" t="str">
        <f t="shared" si="136"/>
        <v>PRG-1026136</v>
      </c>
      <c r="E4703" t="s">
        <v>48</v>
      </c>
      <c r="F4703" t="s">
        <v>4</v>
      </c>
      <c r="G4703" t="str">
        <f>""</f>
        <v/>
      </c>
    </row>
    <row r="4704" spans="1:7" x14ac:dyDescent="0.25">
      <c r="A4704" t="s">
        <v>8</v>
      </c>
      <c r="B4704" s="1" t="str">
        <f>"000213083 - RICHS PIZZA DGH &amp; ICING-SODEXO"</f>
        <v>000213083 - RICHS PIZZA DGH &amp; ICING-SODEXO</v>
      </c>
      <c r="C4704" t="s">
        <v>489</v>
      </c>
      <c r="D4704" s="1" t="str">
        <f t="shared" si="136"/>
        <v>PRG-1026136</v>
      </c>
      <c r="E4704" t="s">
        <v>48</v>
      </c>
      <c r="F4704" t="s">
        <v>4</v>
      </c>
      <c r="G4704" t="str">
        <f>""</f>
        <v/>
      </c>
    </row>
    <row r="4705" spans="1:7" x14ac:dyDescent="0.25">
      <c r="A4705" t="s">
        <v>8</v>
      </c>
      <c r="B4705" s="1" t="str">
        <f>"000213095 - RICHS PIZZA&amp;ICING-SODEXO(21308"</f>
        <v>000213095 - RICHS PIZZA&amp;ICING-SODEXO(21308</v>
      </c>
      <c r="C4705" t="s">
        <v>1473</v>
      </c>
      <c r="D4705" s="1" t="str">
        <f t="shared" si="136"/>
        <v>PRG-1026136</v>
      </c>
      <c r="E4705" t="s">
        <v>48</v>
      </c>
      <c r="F4705" t="s">
        <v>4</v>
      </c>
      <c r="G4705" t="str">
        <f>""</f>
        <v/>
      </c>
    </row>
    <row r="4706" spans="1:7" x14ac:dyDescent="0.25">
      <c r="A4706" t="s">
        <v>8</v>
      </c>
      <c r="B4706" s="1" t="str">
        <f>"000214191 - RICHS PIZZA DGH &amp; ICING-SODEXO"</f>
        <v>000214191 - RICHS PIZZA DGH &amp; ICING-SODEXO</v>
      </c>
      <c r="C4706" t="s">
        <v>489</v>
      </c>
      <c r="D4706" s="1" t="str">
        <f t="shared" si="136"/>
        <v>PRG-1026136</v>
      </c>
      <c r="E4706" t="s">
        <v>48</v>
      </c>
      <c r="F4706" t="s">
        <v>4</v>
      </c>
      <c r="G4706" t="str">
        <f>""</f>
        <v/>
      </c>
    </row>
    <row r="4707" spans="1:7" x14ac:dyDescent="0.25">
      <c r="A4707" t="s">
        <v>8</v>
      </c>
      <c r="B4707" s="1" t="str">
        <f>"000215115 - USDA RICH SODEXO (RI-L28190)"</f>
        <v>000215115 - USDA RICH SODEXO (RI-L28190)</v>
      </c>
      <c r="C4707" t="s">
        <v>1519</v>
      </c>
      <c r="D4707" s="1" t="str">
        <f t="shared" si="136"/>
        <v>PRG-1026136</v>
      </c>
      <c r="E4707" t="s">
        <v>48</v>
      </c>
      <c r="F4707" t="s">
        <v>4</v>
      </c>
      <c r="G4707" t="str">
        <f>""</f>
        <v/>
      </c>
    </row>
    <row r="4708" spans="1:7" x14ac:dyDescent="0.25">
      <c r="A4708" t="s">
        <v>8</v>
      </c>
      <c r="B4708" s="1" t="str">
        <f>"000216010 - RICHS PIZZA DGH &amp; ICING-SODEXO"</f>
        <v>000216010 - RICHS PIZZA DGH &amp; ICING-SODEXO</v>
      </c>
      <c r="C4708" t="s">
        <v>489</v>
      </c>
      <c r="D4708" s="1" t="str">
        <f t="shared" ref="D4708:D4739" si="137">"PRG-1026136"</f>
        <v>PRG-1026136</v>
      </c>
      <c r="E4708" t="s">
        <v>48</v>
      </c>
      <c r="F4708" t="s">
        <v>4</v>
      </c>
      <c r="G4708" t="str">
        <f>""</f>
        <v/>
      </c>
    </row>
    <row r="4709" spans="1:7" x14ac:dyDescent="0.25">
      <c r="A4709" t="s">
        <v>8</v>
      </c>
      <c r="B4709" s="1" t="str">
        <f>"000216890 - RICHS PIZZA DGH &amp; ICING-SODEXO"</f>
        <v>000216890 - RICHS PIZZA DGH &amp; ICING-SODEXO</v>
      </c>
      <c r="C4709" t="s">
        <v>489</v>
      </c>
      <c r="D4709" s="1" t="str">
        <f t="shared" si="137"/>
        <v>PRG-1026136</v>
      </c>
      <c r="E4709" t="s">
        <v>48</v>
      </c>
      <c r="F4709" t="s">
        <v>4</v>
      </c>
      <c r="G4709" t="str">
        <f>""</f>
        <v/>
      </c>
    </row>
    <row r="4710" spans="1:7" x14ac:dyDescent="0.25">
      <c r="A4710" t="s">
        <v>8</v>
      </c>
      <c r="B4710" s="1" t="str">
        <f>"000216916 - RICHS PIZZA DOUGH BB-SODEXO"</f>
        <v>000216916 - RICHS PIZZA DOUGH BB-SODEXO</v>
      </c>
      <c r="C4710" t="s">
        <v>582</v>
      </c>
      <c r="D4710" s="1" t="str">
        <f t="shared" si="137"/>
        <v>PRG-1026136</v>
      </c>
      <c r="E4710" t="s">
        <v>48</v>
      </c>
      <c r="F4710" t="s">
        <v>4</v>
      </c>
      <c r="G4710" t="str">
        <f>""</f>
        <v/>
      </c>
    </row>
    <row r="4711" spans="1:7" x14ac:dyDescent="0.25">
      <c r="A4711" t="s">
        <v>8</v>
      </c>
      <c r="B4711" s="1" t="str">
        <f>"000217443 - RICHS PIZZA DOUGH BB-SODEXO"</f>
        <v>000217443 - RICHS PIZZA DOUGH BB-SODEXO</v>
      </c>
      <c r="C4711" t="s">
        <v>582</v>
      </c>
      <c r="D4711" s="1" t="str">
        <f t="shared" si="137"/>
        <v>PRG-1026136</v>
      </c>
      <c r="E4711" t="s">
        <v>48</v>
      </c>
      <c r="F4711" t="s">
        <v>4</v>
      </c>
      <c r="G4711" t="str">
        <f>""</f>
        <v/>
      </c>
    </row>
    <row r="4712" spans="1:7" x14ac:dyDescent="0.25">
      <c r="A4712" t="s">
        <v>8</v>
      </c>
      <c r="B4712" s="1" t="str">
        <f>"000218905 - RICHS PIZZA DGH &amp; ICING-SODEXO"</f>
        <v>000218905 - RICHS PIZZA DGH &amp; ICING-SODEXO</v>
      </c>
      <c r="C4712" t="s">
        <v>489</v>
      </c>
      <c r="D4712" s="1" t="str">
        <f t="shared" si="137"/>
        <v>PRG-1026136</v>
      </c>
      <c r="E4712" t="s">
        <v>48</v>
      </c>
      <c r="F4712" t="s">
        <v>4</v>
      </c>
      <c r="G4712" t="str">
        <f>""</f>
        <v/>
      </c>
    </row>
    <row r="4713" spans="1:7" x14ac:dyDescent="0.25">
      <c r="A4713" t="s">
        <v>8</v>
      </c>
      <c r="B4713" s="1" t="str">
        <f>"000219220 - RICHS PIZZA DGH &amp; ICING-SODEXO"</f>
        <v>000219220 - RICHS PIZZA DGH &amp; ICING-SODEXO</v>
      </c>
      <c r="C4713" t="s">
        <v>489</v>
      </c>
      <c r="D4713" s="1" t="str">
        <f t="shared" si="137"/>
        <v>PRG-1026136</v>
      </c>
      <c r="E4713" t="s">
        <v>48</v>
      </c>
      <c r="F4713" t="s">
        <v>4</v>
      </c>
      <c r="G4713" t="str">
        <f>""</f>
        <v/>
      </c>
    </row>
    <row r="4714" spans="1:7" x14ac:dyDescent="0.25">
      <c r="A4714" t="s">
        <v>8</v>
      </c>
      <c r="B4714" s="1" t="str">
        <f>"000219513 - RICHS PIZZA DGH &amp; ICING-SODEXO"</f>
        <v>000219513 - RICHS PIZZA DGH &amp; ICING-SODEXO</v>
      </c>
      <c r="C4714" t="s">
        <v>489</v>
      </c>
      <c r="D4714" s="1" t="str">
        <f t="shared" si="137"/>
        <v>PRG-1026136</v>
      </c>
      <c r="E4714" t="s">
        <v>48</v>
      </c>
      <c r="F4714" t="s">
        <v>4</v>
      </c>
      <c r="G4714" t="str">
        <f>""</f>
        <v/>
      </c>
    </row>
    <row r="4715" spans="1:7" x14ac:dyDescent="0.25">
      <c r="A4715" t="s">
        <v>8</v>
      </c>
      <c r="B4715" s="1" t="str">
        <f>"000220514 - RICHS PIZZA DGH &amp; ICING-SODEXO"</f>
        <v>000220514 - RICHS PIZZA DGH &amp; ICING-SODEXO</v>
      </c>
      <c r="C4715" t="s">
        <v>489</v>
      </c>
      <c r="D4715" s="1" t="str">
        <f t="shared" si="137"/>
        <v>PRG-1026136</v>
      </c>
      <c r="E4715" t="s">
        <v>48</v>
      </c>
      <c r="F4715" t="s">
        <v>4</v>
      </c>
      <c r="G4715" t="str">
        <f>""</f>
        <v/>
      </c>
    </row>
    <row r="4716" spans="1:7" x14ac:dyDescent="0.25">
      <c r="A4716" t="s">
        <v>8</v>
      </c>
      <c r="B4716" s="1" t="str">
        <f>"000224402 - RICHS PIZZA DGH &amp; ICING-SODEXO"</f>
        <v>000224402 - RICHS PIZZA DGH &amp; ICING-SODEXO</v>
      </c>
      <c r="C4716" t="s">
        <v>489</v>
      </c>
      <c r="D4716" s="1" t="str">
        <f t="shared" si="137"/>
        <v>PRG-1026136</v>
      </c>
      <c r="E4716" t="s">
        <v>48</v>
      </c>
      <c r="F4716" t="s">
        <v>4</v>
      </c>
      <c r="G4716" t="str">
        <f>""</f>
        <v/>
      </c>
    </row>
    <row r="4717" spans="1:7" x14ac:dyDescent="0.25">
      <c r="A4717" t="s">
        <v>8</v>
      </c>
      <c r="B4717" s="1" t="str">
        <f>"000226783 - RICHS PIZZA DOUGH BB-SODEXO"</f>
        <v>000226783 - RICHS PIZZA DOUGH BB-SODEXO</v>
      </c>
      <c r="C4717" t="s">
        <v>582</v>
      </c>
      <c r="D4717" s="1" t="str">
        <f t="shared" si="137"/>
        <v>PRG-1026136</v>
      </c>
      <c r="E4717" t="s">
        <v>48</v>
      </c>
      <c r="F4717" t="s">
        <v>4</v>
      </c>
      <c r="G4717" t="str">
        <f>""</f>
        <v/>
      </c>
    </row>
    <row r="4718" spans="1:7" x14ac:dyDescent="0.25">
      <c r="A4718" t="s">
        <v>8</v>
      </c>
      <c r="B4718" s="1" t="str">
        <f>"000227137 - RICHS PIZZA DOUGH BB-SODEXO"</f>
        <v>000227137 - RICHS PIZZA DOUGH BB-SODEXO</v>
      </c>
      <c r="C4718" t="s">
        <v>582</v>
      </c>
      <c r="D4718" s="1" t="str">
        <f t="shared" si="137"/>
        <v>PRG-1026136</v>
      </c>
      <c r="E4718" t="s">
        <v>48</v>
      </c>
      <c r="F4718" t="s">
        <v>4</v>
      </c>
      <c r="G4718" t="str">
        <f>""</f>
        <v/>
      </c>
    </row>
    <row r="4719" spans="1:7" x14ac:dyDescent="0.25">
      <c r="A4719" t="s">
        <v>8</v>
      </c>
      <c r="B4719" s="1" t="str">
        <f>"000228475 - RICHS PIZZA DOUGH BB-SODEXO"</f>
        <v>000228475 - RICHS PIZZA DOUGH BB-SODEXO</v>
      </c>
      <c r="C4719" t="s">
        <v>582</v>
      </c>
      <c r="D4719" s="1" t="str">
        <f t="shared" si="137"/>
        <v>PRG-1026136</v>
      </c>
      <c r="E4719" t="s">
        <v>48</v>
      </c>
      <c r="F4719" t="s">
        <v>4</v>
      </c>
      <c r="G4719" t="str">
        <f>""</f>
        <v/>
      </c>
    </row>
    <row r="4720" spans="1:7" x14ac:dyDescent="0.25">
      <c r="A4720" t="s">
        <v>8</v>
      </c>
      <c r="B4720" s="1" t="str">
        <f>"000229023 - RICHS PIZZA DGH &amp; ICING-SODEXO"</f>
        <v>000229023 - RICHS PIZZA DGH &amp; ICING-SODEXO</v>
      </c>
      <c r="C4720" t="s">
        <v>489</v>
      </c>
      <c r="D4720" s="1" t="str">
        <f t="shared" si="137"/>
        <v>PRG-1026136</v>
      </c>
      <c r="E4720" t="s">
        <v>48</v>
      </c>
      <c r="F4720" t="s">
        <v>4</v>
      </c>
      <c r="G4720" t="str">
        <f>""</f>
        <v/>
      </c>
    </row>
    <row r="4721" spans="1:7" x14ac:dyDescent="0.25">
      <c r="A4721" t="s">
        <v>8</v>
      </c>
      <c r="B4721" s="1" t="str">
        <f>"000229819 - RICHS PIZZA DOUGH BB-SODEXO"</f>
        <v>000229819 - RICHS PIZZA DOUGH BB-SODEXO</v>
      </c>
      <c r="C4721" t="s">
        <v>582</v>
      </c>
      <c r="D4721" s="1" t="str">
        <f t="shared" si="137"/>
        <v>PRG-1026136</v>
      </c>
      <c r="E4721" t="s">
        <v>48</v>
      </c>
      <c r="F4721" t="s">
        <v>4</v>
      </c>
      <c r="G4721" t="str">
        <f>""</f>
        <v/>
      </c>
    </row>
    <row r="4722" spans="1:7" x14ac:dyDescent="0.25">
      <c r="A4722" t="s">
        <v>8</v>
      </c>
      <c r="B4722" s="1" t="str">
        <f>"000230221 - RICHS PIZZA DGH &amp; ICING-SODEXO"</f>
        <v>000230221 - RICHS PIZZA DGH &amp; ICING-SODEXO</v>
      </c>
      <c r="C4722" t="s">
        <v>489</v>
      </c>
      <c r="D4722" s="1" t="str">
        <f t="shared" si="137"/>
        <v>PRG-1026136</v>
      </c>
      <c r="E4722" t="s">
        <v>48</v>
      </c>
      <c r="F4722" t="s">
        <v>4</v>
      </c>
      <c r="G4722" t="str">
        <f>""</f>
        <v/>
      </c>
    </row>
    <row r="4723" spans="1:7" x14ac:dyDescent="0.25">
      <c r="A4723" t="s">
        <v>8</v>
      </c>
      <c r="B4723" s="1" t="str">
        <f>"000231755 - RICHS PIZZA DGH &amp; ICING-SODEXO"</f>
        <v>000231755 - RICHS PIZZA DGH &amp; ICING-SODEXO</v>
      </c>
      <c r="C4723" t="s">
        <v>489</v>
      </c>
      <c r="D4723" s="1" t="str">
        <f t="shared" si="137"/>
        <v>PRG-1026136</v>
      </c>
      <c r="E4723" t="s">
        <v>48</v>
      </c>
      <c r="F4723" t="s">
        <v>4</v>
      </c>
      <c r="G4723" t="str">
        <f>""</f>
        <v/>
      </c>
    </row>
    <row r="4724" spans="1:7" x14ac:dyDescent="0.25">
      <c r="A4724" t="s">
        <v>8</v>
      </c>
      <c r="B4724" s="1" t="str">
        <f>"000232232 - RICHS PIZZA DGH &amp; ICING-SODEXO"</f>
        <v>000232232 - RICHS PIZZA DGH &amp; ICING-SODEXO</v>
      </c>
      <c r="C4724" t="s">
        <v>489</v>
      </c>
      <c r="D4724" s="1" t="str">
        <f t="shared" si="137"/>
        <v>PRG-1026136</v>
      </c>
      <c r="E4724" t="s">
        <v>48</v>
      </c>
      <c r="F4724" t="s">
        <v>4</v>
      </c>
      <c r="G4724" t="str">
        <f>""</f>
        <v/>
      </c>
    </row>
    <row r="4725" spans="1:7" x14ac:dyDescent="0.25">
      <c r="A4725" t="s">
        <v>8</v>
      </c>
      <c r="B4725" s="1" t="str">
        <f>"000232470 - RICHS PIZZA DGH &amp; ICING-SODEXO"</f>
        <v>000232470 - RICHS PIZZA DGH &amp; ICING-SODEXO</v>
      </c>
      <c r="C4725" t="s">
        <v>489</v>
      </c>
      <c r="D4725" s="1" t="str">
        <f t="shared" si="137"/>
        <v>PRG-1026136</v>
      </c>
      <c r="E4725" t="s">
        <v>48</v>
      </c>
      <c r="F4725" t="s">
        <v>4</v>
      </c>
      <c r="G4725" t="str">
        <f>""</f>
        <v/>
      </c>
    </row>
    <row r="4726" spans="1:7" x14ac:dyDescent="0.25">
      <c r="A4726" t="s">
        <v>8</v>
      </c>
      <c r="B4726" s="1" t="str">
        <f>"000232548 - RICHS PIZZA DGH &amp; ICING-SODEXO"</f>
        <v>000232548 - RICHS PIZZA DGH &amp; ICING-SODEXO</v>
      </c>
      <c r="C4726" t="s">
        <v>489</v>
      </c>
      <c r="D4726" s="1" t="str">
        <f t="shared" si="137"/>
        <v>PRG-1026136</v>
      </c>
      <c r="E4726" t="s">
        <v>48</v>
      </c>
      <c r="F4726" t="s">
        <v>4</v>
      </c>
      <c r="G4726" t="str">
        <f>""</f>
        <v/>
      </c>
    </row>
    <row r="4727" spans="1:7" x14ac:dyDescent="0.25">
      <c r="A4727" t="s">
        <v>8</v>
      </c>
      <c r="B4727" s="1" t="str">
        <f>"000233856 - RICHS PIZZA DOUGH BB-SODEXO"</f>
        <v>000233856 - RICHS PIZZA DOUGH BB-SODEXO</v>
      </c>
      <c r="C4727" t="s">
        <v>582</v>
      </c>
      <c r="D4727" s="1" t="str">
        <f t="shared" si="137"/>
        <v>PRG-1026136</v>
      </c>
      <c r="E4727" t="s">
        <v>48</v>
      </c>
      <c r="F4727" t="s">
        <v>4</v>
      </c>
      <c r="G4727" t="str">
        <f>""</f>
        <v/>
      </c>
    </row>
    <row r="4728" spans="1:7" x14ac:dyDescent="0.25">
      <c r="A4728" t="s">
        <v>8</v>
      </c>
      <c r="B4728" s="1" t="str">
        <f>"000234458 - RICHS PIZZA DOUGH&amp;ICING-SODEXO"</f>
        <v>000234458 - RICHS PIZZA DOUGH&amp;ICING-SODEXO</v>
      </c>
      <c r="C4728" t="s">
        <v>288</v>
      </c>
      <c r="D4728" s="1" t="str">
        <f t="shared" si="137"/>
        <v>PRG-1026136</v>
      </c>
      <c r="E4728" t="s">
        <v>48</v>
      </c>
      <c r="F4728" t="s">
        <v>4</v>
      </c>
      <c r="G4728" t="str">
        <f>""</f>
        <v/>
      </c>
    </row>
    <row r="4729" spans="1:7" x14ac:dyDescent="0.25">
      <c r="A4729" t="s">
        <v>8</v>
      </c>
      <c r="B4729" s="1" t="str">
        <f>"000237776 - RICHS PIZZA DGH &amp; ICING-SODEXO"</f>
        <v>000237776 - RICHS PIZZA DGH &amp; ICING-SODEXO</v>
      </c>
      <c r="C4729" t="s">
        <v>489</v>
      </c>
      <c r="D4729" s="1" t="str">
        <f t="shared" si="137"/>
        <v>PRG-1026136</v>
      </c>
      <c r="E4729" t="s">
        <v>48</v>
      </c>
      <c r="F4729" t="s">
        <v>4</v>
      </c>
      <c r="G4729" t="str">
        <f>""</f>
        <v/>
      </c>
    </row>
    <row r="4730" spans="1:7" x14ac:dyDescent="0.25">
      <c r="A4730" t="s">
        <v>8</v>
      </c>
      <c r="B4730" s="1" t="str">
        <f>"000238219 - RICHS PIZZA DGH &amp; ICING-SODEXO"</f>
        <v>000238219 - RICHS PIZZA DGH &amp; ICING-SODEXO</v>
      </c>
      <c r="C4730" t="s">
        <v>489</v>
      </c>
      <c r="D4730" s="1" t="str">
        <f t="shared" si="137"/>
        <v>PRG-1026136</v>
      </c>
      <c r="E4730" t="s">
        <v>48</v>
      </c>
      <c r="F4730" t="s">
        <v>4</v>
      </c>
      <c r="G4730" t="str">
        <f>""</f>
        <v/>
      </c>
    </row>
    <row r="4731" spans="1:7" x14ac:dyDescent="0.25">
      <c r="A4731" t="s">
        <v>8</v>
      </c>
      <c r="B4731" s="1" t="str">
        <f>"000238553 - RICHS PIZZA DGH &amp; ICING-SODEXO"</f>
        <v>000238553 - RICHS PIZZA DGH &amp; ICING-SODEXO</v>
      </c>
      <c r="C4731" t="s">
        <v>489</v>
      </c>
      <c r="D4731" s="1" t="str">
        <f t="shared" si="137"/>
        <v>PRG-1026136</v>
      </c>
      <c r="E4731" t="s">
        <v>48</v>
      </c>
      <c r="F4731" t="s">
        <v>4</v>
      </c>
      <c r="G4731" t="str">
        <f>""</f>
        <v/>
      </c>
    </row>
    <row r="4732" spans="1:7" x14ac:dyDescent="0.25">
      <c r="A4732" t="s">
        <v>8</v>
      </c>
      <c r="B4732" s="1" t="str">
        <f>"000239504 - RICHS PIZZA DGH &amp; ICING-SODEXO"</f>
        <v>000239504 - RICHS PIZZA DGH &amp; ICING-SODEXO</v>
      </c>
      <c r="C4732" t="s">
        <v>489</v>
      </c>
      <c r="D4732" s="1" t="str">
        <f t="shared" si="137"/>
        <v>PRG-1026136</v>
      </c>
      <c r="E4732" t="s">
        <v>48</v>
      </c>
      <c r="F4732" t="s">
        <v>4</v>
      </c>
      <c r="G4732" t="str">
        <f>""</f>
        <v/>
      </c>
    </row>
    <row r="4733" spans="1:7" x14ac:dyDescent="0.25">
      <c r="A4733" t="s">
        <v>8</v>
      </c>
      <c r="B4733" s="1" t="str">
        <f>"000241847 - RICHS PIZZA DOUGH BB-SODEXO"</f>
        <v>000241847 - RICHS PIZZA DOUGH BB-SODEXO</v>
      </c>
      <c r="C4733" t="s">
        <v>582</v>
      </c>
      <c r="D4733" s="1" t="str">
        <f t="shared" si="137"/>
        <v>PRG-1026136</v>
      </c>
      <c r="E4733" t="s">
        <v>48</v>
      </c>
      <c r="F4733" t="s">
        <v>4</v>
      </c>
      <c r="G4733" t="str">
        <f>""</f>
        <v/>
      </c>
    </row>
    <row r="4734" spans="1:7" x14ac:dyDescent="0.25">
      <c r="A4734" t="s">
        <v>8</v>
      </c>
      <c r="B4734" s="1" t="str">
        <f>"000245303 - RICHS PIZZA DGH &amp; ICING-SODEXO"</f>
        <v>000245303 - RICHS PIZZA DGH &amp; ICING-SODEXO</v>
      </c>
      <c r="C4734" t="s">
        <v>489</v>
      </c>
      <c r="D4734" s="1" t="str">
        <f t="shared" si="137"/>
        <v>PRG-1026136</v>
      </c>
      <c r="E4734" t="s">
        <v>48</v>
      </c>
      <c r="F4734" t="s">
        <v>4</v>
      </c>
      <c r="G4734" t="str">
        <f>""</f>
        <v/>
      </c>
    </row>
    <row r="4735" spans="1:7" x14ac:dyDescent="0.25">
      <c r="A4735" t="s">
        <v>8</v>
      </c>
      <c r="B4735" s="1" t="str">
        <f>"000245858 - RICHS PIZZA DOUGH BB-SODEXO"</f>
        <v>000245858 - RICHS PIZZA DOUGH BB-SODEXO</v>
      </c>
      <c r="C4735" t="s">
        <v>582</v>
      </c>
      <c r="D4735" s="1" t="str">
        <f t="shared" si="137"/>
        <v>PRG-1026136</v>
      </c>
      <c r="E4735" t="s">
        <v>48</v>
      </c>
      <c r="F4735" t="s">
        <v>4</v>
      </c>
      <c r="G4735" t="str">
        <f>""</f>
        <v/>
      </c>
    </row>
    <row r="4736" spans="1:7" x14ac:dyDescent="0.25">
      <c r="A4736" t="s">
        <v>8</v>
      </c>
      <c r="B4736" s="1" t="str">
        <f>"000247721 - RICHS PIZZA DOUGH BB-SODEXO"</f>
        <v>000247721 - RICHS PIZZA DOUGH BB-SODEXO</v>
      </c>
      <c r="C4736" t="s">
        <v>582</v>
      </c>
      <c r="D4736" s="1" t="str">
        <f t="shared" si="137"/>
        <v>PRG-1026136</v>
      </c>
      <c r="E4736" t="s">
        <v>48</v>
      </c>
      <c r="F4736" t="s">
        <v>4</v>
      </c>
      <c r="G4736" t="str">
        <f>""</f>
        <v/>
      </c>
    </row>
    <row r="4737" spans="1:7" x14ac:dyDescent="0.25">
      <c r="A4737" t="s">
        <v>8</v>
      </c>
      <c r="B4737" s="1" t="str">
        <f>"000248320 - RICHS PIZZA DGH &amp; ICING-SODEXO"</f>
        <v>000248320 - RICHS PIZZA DGH &amp; ICING-SODEXO</v>
      </c>
      <c r="C4737" t="s">
        <v>489</v>
      </c>
      <c r="D4737" s="1" t="str">
        <f t="shared" si="137"/>
        <v>PRG-1026136</v>
      </c>
      <c r="E4737" t="s">
        <v>48</v>
      </c>
      <c r="F4737" t="s">
        <v>4</v>
      </c>
      <c r="G4737" t="str">
        <f>""</f>
        <v/>
      </c>
    </row>
    <row r="4738" spans="1:7" x14ac:dyDescent="0.25">
      <c r="A4738" t="s">
        <v>8</v>
      </c>
      <c r="B4738" s="1" t="str">
        <f>"000248898 - RICHS PIZZA DOUGH BB-SODEXO"</f>
        <v>000248898 - RICHS PIZZA DOUGH BB-SODEXO</v>
      </c>
      <c r="C4738" t="s">
        <v>582</v>
      </c>
      <c r="D4738" s="1" t="str">
        <f t="shared" si="137"/>
        <v>PRG-1026136</v>
      </c>
      <c r="E4738" t="s">
        <v>48</v>
      </c>
      <c r="F4738" t="s">
        <v>4</v>
      </c>
      <c r="G4738" t="str">
        <f>""</f>
        <v/>
      </c>
    </row>
    <row r="4739" spans="1:7" x14ac:dyDescent="0.25">
      <c r="A4739" t="s">
        <v>8</v>
      </c>
      <c r="B4739" s="1" t="str">
        <f>"000250300 - RICHS PIZZA DOUGH BB-SODEXO"</f>
        <v>000250300 - RICHS PIZZA DOUGH BB-SODEXO</v>
      </c>
      <c r="C4739" t="s">
        <v>582</v>
      </c>
      <c r="D4739" s="1" t="str">
        <f t="shared" si="137"/>
        <v>PRG-1026136</v>
      </c>
      <c r="E4739" t="s">
        <v>48</v>
      </c>
      <c r="F4739" t="s">
        <v>4</v>
      </c>
      <c r="G4739" t="str">
        <f>""</f>
        <v/>
      </c>
    </row>
    <row r="4740" spans="1:7" x14ac:dyDescent="0.25">
      <c r="A4740" t="s">
        <v>8</v>
      </c>
      <c r="B4740" s="1" t="str">
        <f>"000253613 - RICHS PIZZA DGH &amp; ICING-SODEXO"</f>
        <v>000253613 - RICHS PIZZA DGH &amp; ICING-SODEXO</v>
      </c>
      <c r="C4740" t="s">
        <v>489</v>
      </c>
      <c r="D4740" s="1" t="str">
        <f t="shared" ref="D4740:D4768" si="138">"PRG-1026136"</f>
        <v>PRG-1026136</v>
      </c>
      <c r="E4740" t="s">
        <v>48</v>
      </c>
      <c r="F4740" t="s">
        <v>4</v>
      </c>
      <c r="G4740" t="str">
        <f>""</f>
        <v/>
      </c>
    </row>
    <row r="4741" spans="1:7" x14ac:dyDescent="0.25">
      <c r="A4741" t="s">
        <v>8</v>
      </c>
      <c r="B4741" s="1" t="str">
        <f>"000254886 - RICHS PIZZA DOUGH BB-SODEXO"</f>
        <v>000254886 - RICHS PIZZA DOUGH BB-SODEXO</v>
      </c>
      <c r="C4741" t="s">
        <v>582</v>
      </c>
      <c r="D4741" s="1" t="str">
        <f t="shared" si="138"/>
        <v>PRG-1026136</v>
      </c>
      <c r="E4741" t="s">
        <v>48</v>
      </c>
      <c r="F4741" t="s">
        <v>4</v>
      </c>
      <c r="G4741" t="str">
        <f>""</f>
        <v/>
      </c>
    </row>
    <row r="4742" spans="1:7" x14ac:dyDescent="0.25">
      <c r="A4742" t="s">
        <v>8</v>
      </c>
      <c r="B4742" s="1" t="str">
        <f>"000256068 - RICHS PIZZA DOUGH BB-SODEXO"</f>
        <v>000256068 - RICHS PIZZA DOUGH BB-SODEXO</v>
      </c>
      <c r="C4742" t="s">
        <v>582</v>
      </c>
      <c r="D4742" s="1" t="str">
        <f t="shared" si="138"/>
        <v>PRG-1026136</v>
      </c>
      <c r="E4742" t="s">
        <v>48</v>
      </c>
      <c r="F4742" t="s">
        <v>4</v>
      </c>
      <c r="G4742" t="str">
        <f>""</f>
        <v/>
      </c>
    </row>
    <row r="4743" spans="1:7" x14ac:dyDescent="0.25">
      <c r="A4743" t="s">
        <v>8</v>
      </c>
      <c r="B4743" s="1" t="str">
        <f>"000258816 - RICHS PIZZA DOUGH BB-SODEXO"</f>
        <v>000258816 - RICHS PIZZA DOUGH BB-SODEXO</v>
      </c>
      <c r="C4743" t="s">
        <v>582</v>
      </c>
      <c r="D4743" s="1" t="str">
        <f t="shared" si="138"/>
        <v>PRG-1026136</v>
      </c>
      <c r="E4743" t="s">
        <v>48</v>
      </c>
      <c r="F4743" t="s">
        <v>4</v>
      </c>
      <c r="G4743" t="str">
        <f>""</f>
        <v/>
      </c>
    </row>
    <row r="4744" spans="1:7" x14ac:dyDescent="0.25">
      <c r="A4744" t="s">
        <v>8</v>
      </c>
      <c r="B4744" s="1" t="str">
        <f>"000261269 - RICHS PIZZA DGH &amp; ICING-SODEXO"</f>
        <v>000261269 - RICHS PIZZA DGH &amp; ICING-SODEXO</v>
      </c>
      <c r="C4744" t="s">
        <v>489</v>
      </c>
      <c r="D4744" s="1" t="str">
        <f t="shared" si="138"/>
        <v>PRG-1026136</v>
      </c>
      <c r="E4744" t="s">
        <v>48</v>
      </c>
      <c r="F4744" t="s">
        <v>4</v>
      </c>
      <c r="G4744" t="str">
        <f>""</f>
        <v/>
      </c>
    </row>
    <row r="4745" spans="1:7" x14ac:dyDescent="0.25">
      <c r="A4745" t="s">
        <v>8</v>
      </c>
      <c r="B4745" s="1" t="str">
        <f>"000270527 - RICHS PIZZA DGH &amp; ICING-SODEXO"</f>
        <v>000270527 - RICHS PIZZA DGH &amp; ICING-SODEXO</v>
      </c>
      <c r="C4745" t="s">
        <v>489</v>
      </c>
      <c r="D4745" s="1" t="str">
        <f t="shared" si="138"/>
        <v>PRG-1026136</v>
      </c>
      <c r="E4745" t="s">
        <v>48</v>
      </c>
      <c r="F4745" t="s">
        <v>4</v>
      </c>
      <c r="G4745" t="str">
        <f>""</f>
        <v/>
      </c>
    </row>
    <row r="4746" spans="1:7" x14ac:dyDescent="0.25">
      <c r="A4746" t="s">
        <v>8</v>
      </c>
      <c r="B4746" s="1" t="str">
        <f>"000270881 - RICHS PIZZA DGH &amp; ICING-SODEXO"</f>
        <v>000270881 - RICHS PIZZA DGH &amp; ICING-SODEXO</v>
      </c>
      <c r="C4746" t="s">
        <v>489</v>
      </c>
      <c r="D4746" s="1" t="str">
        <f t="shared" si="138"/>
        <v>PRG-1026136</v>
      </c>
      <c r="E4746" t="s">
        <v>48</v>
      </c>
      <c r="F4746" t="s">
        <v>4</v>
      </c>
      <c r="G4746" t="str">
        <f>""</f>
        <v/>
      </c>
    </row>
    <row r="4747" spans="1:7" x14ac:dyDescent="0.25">
      <c r="A4747" t="s">
        <v>8</v>
      </c>
      <c r="B4747" s="1" t="str">
        <f>"000279102 - RICHS PIZZA DGH &amp; ICING-SODEXO"</f>
        <v>000279102 - RICHS PIZZA DGH &amp; ICING-SODEXO</v>
      </c>
      <c r="C4747" t="s">
        <v>489</v>
      </c>
      <c r="D4747" s="1" t="str">
        <f t="shared" si="138"/>
        <v>PRG-1026136</v>
      </c>
      <c r="E4747" t="s">
        <v>48</v>
      </c>
      <c r="F4747" t="s">
        <v>4</v>
      </c>
      <c r="G4747" t="str">
        <f>""</f>
        <v/>
      </c>
    </row>
    <row r="4748" spans="1:7" x14ac:dyDescent="0.25">
      <c r="A4748" t="s">
        <v>8</v>
      </c>
      <c r="B4748" s="1" t="str">
        <f>"000279541 - RICHS PIZZA DGH &amp; ICING-SODEXO"</f>
        <v>000279541 - RICHS PIZZA DGH &amp; ICING-SODEXO</v>
      </c>
      <c r="C4748" t="s">
        <v>489</v>
      </c>
      <c r="D4748" s="1" t="str">
        <f t="shared" si="138"/>
        <v>PRG-1026136</v>
      </c>
      <c r="E4748" t="s">
        <v>48</v>
      </c>
      <c r="F4748" t="s">
        <v>4</v>
      </c>
      <c r="G4748" t="str">
        <f>""</f>
        <v/>
      </c>
    </row>
    <row r="4749" spans="1:7" x14ac:dyDescent="0.25">
      <c r="A4749" t="s">
        <v>8</v>
      </c>
      <c r="B4749" s="1" t="str">
        <f>"000281147 - RICHS PIZZA DGH &amp; ICING-SODEXO"</f>
        <v>000281147 - RICHS PIZZA DGH &amp; ICING-SODEXO</v>
      </c>
      <c r="C4749" t="s">
        <v>489</v>
      </c>
      <c r="D4749" s="1" t="str">
        <f t="shared" si="138"/>
        <v>PRG-1026136</v>
      </c>
      <c r="E4749" t="s">
        <v>48</v>
      </c>
      <c r="F4749" t="s">
        <v>4</v>
      </c>
      <c r="G4749" t="str">
        <f>""</f>
        <v/>
      </c>
    </row>
    <row r="4750" spans="1:7" x14ac:dyDescent="0.25">
      <c r="A4750" t="s">
        <v>8</v>
      </c>
      <c r="B4750" s="1" t="str">
        <f>"000282988 - RICHS PIZZA DGH &amp; ICING-SODEXO"</f>
        <v>000282988 - RICHS PIZZA DGH &amp; ICING-SODEXO</v>
      </c>
      <c r="C4750" t="s">
        <v>489</v>
      </c>
      <c r="D4750" s="1" t="str">
        <f t="shared" si="138"/>
        <v>PRG-1026136</v>
      </c>
      <c r="E4750" t="s">
        <v>48</v>
      </c>
      <c r="F4750" t="s">
        <v>4</v>
      </c>
      <c r="G4750" t="str">
        <f>""</f>
        <v/>
      </c>
    </row>
    <row r="4751" spans="1:7" x14ac:dyDescent="0.25">
      <c r="A4751" t="s">
        <v>8</v>
      </c>
      <c r="B4751" s="1" t="str">
        <f>"000289349 - RICHS PIZZA DGH &amp; ICING-SODEXO"</f>
        <v>000289349 - RICHS PIZZA DGH &amp; ICING-SODEXO</v>
      </c>
      <c r="C4751" t="s">
        <v>489</v>
      </c>
      <c r="D4751" s="1" t="str">
        <f t="shared" si="138"/>
        <v>PRG-1026136</v>
      </c>
      <c r="E4751" t="s">
        <v>48</v>
      </c>
      <c r="F4751" t="s">
        <v>4</v>
      </c>
      <c r="G4751" t="str">
        <f>""</f>
        <v/>
      </c>
    </row>
    <row r="4752" spans="1:7" x14ac:dyDescent="0.25">
      <c r="A4752" t="s">
        <v>8</v>
      </c>
      <c r="B4752" s="1" t="str">
        <f>"000289842 - RICHS PIZZA DOUGH BB-SODEXO"</f>
        <v>000289842 - RICHS PIZZA DOUGH BB-SODEXO</v>
      </c>
      <c r="C4752" t="s">
        <v>582</v>
      </c>
      <c r="D4752" s="1" t="str">
        <f t="shared" si="138"/>
        <v>PRG-1026136</v>
      </c>
      <c r="E4752" t="s">
        <v>48</v>
      </c>
      <c r="F4752" t="s">
        <v>4</v>
      </c>
      <c r="G4752" t="str">
        <f>""</f>
        <v/>
      </c>
    </row>
    <row r="4753" spans="1:7" x14ac:dyDescent="0.25">
      <c r="A4753" t="s">
        <v>8</v>
      </c>
      <c r="B4753" s="1" t="str">
        <f>"000291621 - RICHS PIZZA DGH &amp; ICING-SODEXO"</f>
        <v>000291621 - RICHS PIZZA DGH &amp; ICING-SODEXO</v>
      </c>
      <c r="C4753" t="s">
        <v>489</v>
      </c>
      <c r="D4753" s="1" t="str">
        <f t="shared" si="138"/>
        <v>PRG-1026136</v>
      </c>
      <c r="E4753" t="s">
        <v>48</v>
      </c>
      <c r="F4753" t="s">
        <v>4</v>
      </c>
      <c r="G4753" t="str">
        <f>""</f>
        <v/>
      </c>
    </row>
    <row r="4754" spans="1:7" x14ac:dyDescent="0.25">
      <c r="A4754" t="s">
        <v>8</v>
      </c>
      <c r="B4754" s="1" t="str">
        <f>"000292619 - RICHS PIZZA DOUGH BB-SODEXO"</f>
        <v>000292619 - RICHS PIZZA DOUGH BB-SODEXO</v>
      </c>
      <c r="C4754" t="s">
        <v>582</v>
      </c>
      <c r="D4754" s="1" t="str">
        <f t="shared" si="138"/>
        <v>PRG-1026136</v>
      </c>
      <c r="E4754" t="s">
        <v>48</v>
      </c>
      <c r="F4754" t="s">
        <v>4</v>
      </c>
      <c r="G4754" t="str">
        <f>""</f>
        <v/>
      </c>
    </row>
    <row r="4755" spans="1:7" x14ac:dyDescent="0.25">
      <c r="A4755" t="s">
        <v>8</v>
      </c>
      <c r="B4755" s="1" t="str">
        <f>"000294978 - RICHS PIZZA DGH &amp; ICING-SODEXO"</f>
        <v>000294978 - RICHS PIZZA DGH &amp; ICING-SODEXO</v>
      </c>
      <c r="C4755" t="s">
        <v>489</v>
      </c>
      <c r="D4755" s="1" t="str">
        <f t="shared" si="138"/>
        <v>PRG-1026136</v>
      </c>
      <c r="E4755" t="s">
        <v>48</v>
      </c>
      <c r="F4755" t="s">
        <v>4</v>
      </c>
      <c r="G4755" t="str">
        <f>""</f>
        <v/>
      </c>
    </row>
    <row r="4756" spans="1:7" x14ac:dyDescent="0.25">
      <c r="A4756" t="s">
        <v>8</v>
      </c>
      <c r="B4756" s="1" t="str">
        <f>"000297194 - RICHS PIZZA DGH &amp; ICING-SODEXO"</f>
        <v>000297194 - RICHS PIZZA DGH &amp; ICING-SODEXO</v>
      </c>
      <c r="C4756" t="s">
        <v>489</v>
      </c>
      <c r="D4756" s="1" t="str">
        <f t="shared" si="138"/>
        <v>PRG-1026136</v>
      </c>
      <c r="E4756" t="s">
        <v>48</v>
      </c>
      <c r="F4756" t="s">
        <v>4</v>
      </c>
      <c r="G4756" t="str">
        <f>""</f>
        <v/>
      </c>
    </row>
    <row r="4757" spans="1:7" x14ac:dyDescent="0.25">
      <c r="A4757" t="s">
        <v>8</v>
      </c>
      <c r="B4757" s="1" t="str">
        <f>"000301886 - RICHS PIZZA DGH &amp; ICING-SODEXO"</f>
        <v>000301886 - RICHS PIZZA DGH &amp; ICING-SODEXO</v>
      </c>
      <c r="C4757" t="s">
        <v>489</v>
      </c>
      <c r="D4757" s="1" t="str">
        <f t="shared" si="138"/>
        <v>PRG-1026136</v>
      </c>
      <c r="E4757" t="s">
        <v>48</v>
      </c>
      <c r="F4757" t="s">
        <v>4</v>
      </c>
      <c r="G4757" t="str">
        <f>""</f>
        <v/>
      </c>
    </row>
    <row r="4758" spans="1:7" x14ac:dyDescent="0.25">
      <c r="A4758" t="s">
        <v>8</v>
      </c>
      <c r="B4758" s="1" t="str">
        <f>"000304005 - RICHS PIZZA DOUGH BB-SODEXO"</f>
        <v>000304005 - RICHS PIZZA DOUGH BB-SODEXO</v>
      </c>
      <c r="C4758" t="s">
        <v>582</v>
      </c>
      <c r="D4758" s="1" t="str">
        <f t="shared" si="138"/>
        <v>PRG-1026136</v>
      </c>
      <c r="E4758" t="s">
        <v>48</v>
      </c>
      <c r="F4758" t="s">
        <v>4</v>
      </c>
      <c r="G4758" t="str">
        <f>""</f>
        <v/>
      </c>
    </row>
    <row r="4759" spans="1:7" x14ac:dyDescent="0.25">
      <c r="A4759" t="s">
        <v>8</v>
      </c>
      <c r="B4759" s="1" t="str">
        <f>"000305557 - RICHS PIZZA DOUGH BB-SODEXO"</f>
        <v>000305557 - RICHS PIZZA DOUGH BB-SODEXO</v>
      </c>
      <c r="C4759" t="s">
        <v>582</v>
      </c>
      <c r="D4759" s="1" t="str">
        <f t="shared" si="138"/>
        <v>PRG-1026136</v>
      </c>
      <c r="E4759" t="s">
        <v>48</v>
      </c>
      <c r="F4759" t="s">
        <v>4</v>
      </c>
      <c r="G4759" t="str">
        <f>""</f>
        <v/>
      </c>
    </row>
    <row r="4760" spans="1:7" x14ac:dyDescent="0.25">
      <c r="A4760" t="s">
        <v>8</v>
      </c>
      <c r="B4760" s="1" t="str">
        <f>"000307731 - RICHS PIZZA DGH &amp; ICING-SODEXO"</f>
        <v>000307731 - RICHS PIZZA DGH &amp; ICING-SODEXO</v>
      </c>
      <c r="C4760" t="s">
        <v>489</v>
      </c>
      <c r="D4760" s="1" t="str">
        <f t="shared" si="138"/>
        <v>PRG-1026136</v>
      </c>
      <c r="E4760" t="s">
        <v>48</v>
      </c>
      <c r="F4760" t="s">
        <v>4</v>
      </c>
      <c r="G4760" t="str">
        <f>""</f>
        <v/>
      </c>
    </row>
    <row r="4761" spans="1:7" x14ac:dyDescent="0.25">
      <c r="A4761" t="s">
        <v>8</v>
      </c>
      <c r="B4761" s="1" t="str">
        <f>"000310023 - RICHS PIZZA DGH &amp; ICING-SODEXO"</f>
        <v>000310023 - RICHS PIZZA DGH &amp; ICING-SODEXO</v>
      </c>
      <c r="C4761" t="s">
        <v>489</v>
      </c>
      <c r="D4761" s="1" t="str">
        <f t="shared" si="138"/>
        <v>PRG-1026136</v>
      </c>
      <c r="E4761" t="s">
        <v>48</v>
      </c>
      <c r="F4761" t="s">
        <v>4</v>
      </c>
      <c r="G4761" t="str">
        <f>""</f>
        <v/>
      </c>
    </row>
    <row r="4762" spans="1:7" x14ac:dyDescent="0.25">
      <c r="A4762" t="s">
        <v>8</v>
      </c>
      <c r="B4762" s="1" t="str">
        <f>"000315021 - RICHS PIZZA DOUGH BB-SODEXO"</f>
        <v>000315021 - RICHS PIZZA DOUGH BB-SODEXO</v>
      </c>
      <c r="C4762" t="s">
        <v>582</v>
      </c>
      <c r="D4762" s="1" t="str">
        <f t="shared" si="138"/>
        <v>PRG-1026136</v>
      </c>
      <c r="E4762" t="s">
        <v>48</v>
      </c>
      <c r="F4762" t="s">
        <v>4</v>
      </c>
      <c r="G4762" t="str">
        <f>""</f>
        <v/>
      </c>
    </row>
    <row r="4763" spans="1:7" x14ac:dyDescent="0.25">
      <c r="A4763" t="s">
        <v>8</v>
      </c>
      <c r="B4763" s="1" t="str">
        <f>"000320504 - RICHS PIZZA DGH &amp; ICING-SODEXO"</f>
        <v>000320504 - RICHS PIZZA DGH &amp; ICING-SODEXO</v>
      </c>
      <c r="C4763" t="s">
        <v>489</v>
      </c>
      <c r="D4763" s="1" t="str">
        <f t="shared" si="138"/>
        <v>PRG-1026136</v>
      </c>
      <c r="E4763" t="s">
        <v>48</v>
      </c>
      <c r="F4763" t="s">
        <v>4</v>
      </c>
      <c r="G4763" t="str">
        <f>""</f>
        <v/>
      </c>
    </row>
    <row r="4764" spans="1:7" x14ac:dyDescent="0.25">
      <c r="A4764" t="s">
        <v>8</v>
      </c>
      <c r="B4764" s="1" t="str">
        <f>"000325190 - RICHS PIZZA DOUGH BB-SODEXO"</f>
        <v>000325190 - RICHS PIZZA DOUGH BB-SODEXO</v>
      </c>
      <c r="C4764" t="s">
        <v>582</v>
      </c>
      <c r="D4764" s="1" t="str">
        <f t="shared" si="138"/>
        <v>PRG-1026136</v>
      </c>
      <c r="E4764" t="s">
        <v>48</v>
      </c>
      <c r="F4764" t="s">
        <v>4</v>
      </c>
      <c r="G4764" t="str">
        <f>""</f>
        <v/>
      </c>
    </row>
    <row r="4765" spans="1:7" x14ac:dyDescent="0.25">
      <c r="A4765" t="s">
        <v>8</v>
      </c>
      <c r="B4765" s="1" t="str">
        <f>"000335328 - RICHS PIZZA DGH &amp; ICING-SODEXO"</f>
        <v>000335328 - RICHS PIZZA DGH &amp; ICING-SODEXO</v>
      </c>
      <c r="C4765" t="s">
        <v>489</v>
      </c>
      <c r="D4765" s="1" t="str">
        <f t="shared" si="138"/>
        <v>PRG-1026136</v>
      </c>
      <c r="E4765" t="s">
        <v>48</v>
      </c>
      <c r="F4765" t="s">
        <v>4</v>
      </c>
      <c r="G4765" t="str">
        <f>""</f>
        <v/>
      </c>
    </row>
    <row r="4766" spans="1:7" x14ac:dyDescent="0.25">
      <c r="A4766" t="s">
        <v>8</v>
      </c>
      <c r="B4766" s="1" t="str">
        <f>"000342391 - RICHS PIZZA DGH &amp; ICING-SODEXO"</f>
        <v>000342391 - RICHS PIZZA DGH &amp; ICING-SODEXO</v>
      </c>
      <c r="C4766" t="s">
        <v>489</v>
      </c>
      <c r="D4766" s="1" t="str">
        <f t="shared" si="138"/>
        <v>PRG-1026136</v>
      </c>
      <c r="E4766" t="s">
        <v>48</v>
      </c>
      <c r="F4766" t="s">
        <v>4</v>
      </c>
      <c r="G4766" t="str">
        <f>""</f>
        <v/>
      </c>
    </row>
    <row r="4767" spans="1:7" x14ac:dyDescent="0.25">
      <c r="A4767" t="s">
        <v>8</v>
      </c>
      <c r="B4767" s="1" t="str">
        <f>"000356255 - RICHS PIZZA DOUGH BB-SODEXO"</f>
        <v>000356255 - RICHS PIZZA DOUGH BB-SODEXO</v>
      </c>
      <c r="C4767" t="s">
        <v>582</v>
      </c>
      <c r="D4767" s="1" t="str">
        <f t="shared" si="138"/>
        <v>PRG-1026136</v>
      </c>
      <c r="E4767" t="s">
        <v>48</v>
      </c>
      <c r="F4767" t="s">
        <v>4</v>
      </c>
      <c r="G4767" t="str">
        <f>""</f>
        <v/>
      </c>
    </row>
    <row r="4768" spans="1:7" x14ac:dyDescent="0.25">
      <c r="A4768" t="s">
        <v>8</v>
      </c>
      <c r="B4768" s="1" t="str">
        <f>"2000207305 - RICHS PIZZA-SODEXO"</f>
        <v>2000207305 - RICHS PIZZA-SODEXO</v>
      </c>
      <c r="C4768" t="s">
        <v>3828</v>
      </c>
      <c r="D4768" s="1" t="str">
        <f t="shared" si="138"/>
        <v>PRG-1026136</v>
      </c>
      <c r="E4768" t="s">
        <v>48</v>
      </c>
      <c r="F4768" t="s">
        <v>4</v>
      </c>
      <c r="G4768" t="str">
        <f>""</f>
        <v/>
      </c>
    </row>
    <row r="4769" spans="1:7" x14ac:dyDescent="0.25">
      <c r="A4769" t="s">
        <v>8</v>
      </c>
      <c r="B4769" s="1" t="str">
        <f>"000222335 - RICH PRODUCTS PARX"</f>
        <v>000222335 - RICH PRODUCTS PARX</v>
      </c>
      <c r="C4769" t="s">
        <v>1620</v>
      </c>
      <c r="D4769" s="1" t="str">
        <f>"PRG-1026143"</f>
        <v>PRG-1026143</v>
      </c>
      <c r="E4769" t="s">
        <v>1621</v>
      </c>
      <c r="F4769" t="s">
        <v>4</v>
      </c>
      <c r="G4769" t="str">
        <f>""</f>
        <v/>
      </c>
    </row>
    <row r="4770" spans="1:7" x14ac:dyDescent="0.25">
      <c r="A4770" t="s">
        <v>8</v>
      </c>
      <c r="B4770" s="1" t="str">
        <f>"000244490 - RICH PARX"</f>
        <v>000244490 - RICH PARX</v>
      </c>
      <c r="C4770" t="s">
        <v>1977</v>
      </c>
      <c r="D4770" s="1" t="str">
        <f>"PRG-1026143"</f>
        <v>PRG-1026143</v>
      </c>
      <c r="E4770" t="s">
        <v>1621</v>
      </c>
      <c r="F4770" t="s">
        <v>4</v>
      </c>
      <c r="G4770" t="str">
        <f>""</f>
        <v/>
      </c>
    </row>
    <row r="4771" spans="1:7" x14ac:dyDescent="0.25">
      <c r="A4771" t="s">
        <v>8</v>
      </c>
      <c r="B4771" s="1" t="str">
        <f>"000029262 - RICH FOODS-CENTERPLATE"</f>
        <v>000029262 - RICH FOODS-CENTERPLATE</v>
      </c>
      <c r="C4771" t="s">
        <v>242</v>
      </c>
      <c r="D4771" s="1" t="str">
        <f t="shared" ref="D4771:D4802" si="139">"PRG-1026154"</f>
        <v>PRG-1026154</v>
      </c>
      <c r="E4771" t="s">
        <v>485</v>
      </c>
      <c r="F4771" t="s">
        <v>4</v>
      </c>
      <c r="G4771" t="str">
        <f>""</f>
        <v/>
      </c>
    </row>
    <row r="4772" spans="1:7" x14ac:dyDescent="0.25">
      <c r="A4772" t="s">
        <v>8</v>
      </c>
      <c r="B4772" s="1" t="str">
        <f>"000033942 - RICH FOODS NCORE-CENTERPLATE"</f>
        <v>000033942 - RICH FOODS NCORE-CENTERPLATE</v>
      </c>
      <c r="C4772" t="s">
        <v>512</v>
      </c>
      <c r="D4772" s="1" t="str">
        <f t="shared" si="139"/>
        <v>PRG-1026154</v>
      </c>
      <c r="E4772" t="s">
        <v>485</v>
      </c>
      <c r="F4772" t="s">
        <v>4</v>
      </c>
      <c r="G4772" t="str">
        <f>""</f>
        <v/>
      </c>
    </row>
    <row r="4773" spans="1:7" x14ac:dyDescent="0.25">
      <c r="A4773" t="s">
        <v>8</v>
      </c>
      <c r="B4773" s="1" t="str">
        <f>"000039007 - RICH FOODS NCORE-CENTERPLATE"</f>
        <v>000039007 - RICH FOODS NCORE-CENTERPLATE</v>
      </c>
      <c r="C4773" t="s">
        <v>512</v>
      </c>
      <c r="D4773" s="1" t="str">
        <f t="shared" si="139"/>
        <v>PRG-1026154</v>
      </c>
      <c r="E4773" t="s">
        <v>485</v>
      </c>
      <c r="F4773" t="s">
        <v>4</v>
      </c>
      <c r="G4773" t="str">
        <f>""</f>
        <v/>
      </c>
    </row>
    <row r="4774" spans="1:7" x14ac:dyDescent="0.25">
      <c r="A4774" t="s">
        <v>8</v>
      </c>
      <c r="B4774" s="1" t="str">
        <f>"000115621 - RICH FOODS-CENTERPLATE"</f>
        <v>000115621 - RICH FOODS-CENTERPLATE</v>
      </c>
      <c r="C4774" t="s">
        <v>242</v>
      </c>
      <c r="D4774" s="1" t="str">
        <f t="shared" si="139"/>
        <v>PRG-1026154</v>
      </c>
      <c r="E4774" t="s">
        <v>485</v>
      </c>
      <c r="F4774" t="s">
        <v>4</v>
      </c>
      <c r="G4774" t="str">
        <f>""</f>
        <v/>
      </c>
    </row>
    <row r="4775" spans="1:7" x14ac:dyDescent="0.25">
      <c r="A4775" t="s">
        <v>8</v>
      </c>
      <c r="B4775" s="1" t="str">
        <f>"000121475 - RICH FOODS NCORE-CENTERPLATE"</f>
        <v>000121475 - RICH FOODS NCORE-CENTERPLATE</v>
      </c>
      <c r="C4775" t="s">
        <v>512</v>
      </c>
      <c r="D4775" s="1" t="str">
        <f t="shared" si="139"/>
        <v>PRG-1026154</v>
      </c>
      <c r="E4775" t="s">
        <v>485</v>
      </c>
      <c r="F4775" t="s">
        <v>4</v>
      </c>
      <c r="G4775" t="str">
        <f>""</f>
        <v/>
      </c>
    </row>
    <row r="4776" spans="1:7" x14ac:dyDescent="0.25">
      <c r="A4776" t="s">
        <v>8</v>
      </c>
      <c r="B4776" s="1" t="str">
        <f>"000127714 - RICH FOODS NCORE-CENTERPLATE"</f>
        <v>000127714 - RICH FOODS NCORE-CENTERPLATE</v>
      </c>
      <c r="C4776" t="s">
        <v>512</v>
      </c>
      <c r="D4776" s="1" t="str">
        <f t="shared" si="139"/>
        <v>PRG-1026154</v>
      </c>
      <c r="E4776" t="s">
        <v>485</v>
      </c>
      <c r="F4776" t="s">
        <v>4</v>
      </c>
      <c r="G4776" t="str">
        <f>""</f>
        <v/>
      </c>
    </row>
    <row r="4777" spans="1:7" x14ac:dyDescent="0.25">
      <c r="A4777" t="s">
        <v>8</v>
      </c>
      <c r="B4777" s="1" t="str">
        <f>"000134235 - RICH FOODS NCORE-CENTERPLATE"</f>
        <v>000134235 - RICH FOODS NCORE-CENTERPLATE</v>
      </c>
      <c r="C4777" t="s">
        <v>512</v>
      </c>
      <c r="D4777" s="1" t="str">
        <f t="shared" si="139"/>
        <v>PRG-1026154</v>
      </c>
      <c r="E4777" t="s">
        <v>485</v>
      </c>
      <c r="F4777" t="s">
        <v>4</v>
      </c>
      <c r="G4777" t="str">
        <f>""</f>
        <v/>
      </c>
    </row>
    <row r="4778" spans="1:7" x14ac:dyDescent="0.25">
      <c r="A4778" t="s">
        <v>8</v>
      </c>
      <c r="B4778" s="1" t="str">
        <f>"000139466 - RICH FOODS NCORE-CENTERPLATE"</f>
        <v>000139466 - RICH FOODS NCORE-CENTERPLATE</v>
      </c>
      <c r="C4778" t="s">
        <v>512</v>
      </c>
      <c r="D4778" s="1" t="str">
        <f t="shared" si="139"/>
        <v>PRG-1026154</v>
      </c>
      <c r="E4778" t="s">
        <v>485</v>
      </c>
      <c r="F4778" t="s">
        <v>4</v>
      </c>
      <c r="G4778" t="str">
        <f>""</f>
        <v/>
      </c>
    </row>
    <row r="4779" spans="1:7" x14ac:dyDescent="0.25">
      <c r="A4779" t="s">
        <v>8</v>
      </c>
      <c r="B4779" s="1" t="str">
        <f>"000169020 - RICH FOODS-CENTERPLATE"</f>
        <v>000169020 - RICH FOODS-CENTERPLATE</v>
      </c>
      <c r="C4779" t="s">
        <v>242</v>
      </c>
      <c r="D4779" s="1" t="str">
        <f t="shared" si="139"/>
        <v>PRG-1026154</v>
      </c>
      <c r="E4779" t="s">
        <v>485</v>
      </c>
      <c r="F4779" t="s">
        <v>4</v>
      </c>
      <c r="G4779" t="str">
        <f>""</f>
        <v/>
      </c>
    </row>
    <row r="4780" spans="1:7" x14ac:dyDescent="0.25">
      <c r="A4780" t="s">
        <v>8</v>
      </c>
      <c r="B4780" s="1" t="str">
        <f>"000180988 - RICH FOODS-CENTERPLATE"</f>
        <v>000180988 - RICH FOODS-CENTERPLATE</v>
      </c>
      <c r="C4780" t="s">
        <v>242</v>
      </c>
      <c r="D4780" s="1" t="str">
        <f t="shared" si="139"/>
        <v>PRG-1026154</v>
      </c>
      <c r="E4780" t="s">
        <v>485</v>
      </c>
      <c r="F4780" t="s">
        <v>4</v>
      </c>
      <c r="G4780" t="str">
        <f>""</f>
        <v/>
      </c>
    </row>
    <row r="4781" spans="1:7" x14ac:dyDescent="0.25">
      <c r="A4781" t="s">
        <v>8</v>
      </c>
      <c r="B4781" s="1" t="str">
        <f>"000187765 - RICH FOODS NCORE-CENTERPLATE"</f>
        <v>000187765 - RICH FOODS NCORE-CENTERPLATE</v>
      </c>
      <c r="C4781" t="s">
        <v>512</v>
      </c>
      <c r="D4781" s="1" t="str">
        <f t="shared" si="139"/>
        <v>PRG-1026154</v>
      </c>
      <c r="E4781" t="s">
        <v>485</v>
      </c>
      <c r="F4781" t="s">
        <v>4</v>
      </c>
      <c r="G4781" t="str">
        <f>""</f>
        <v/>
      </c>
    </row>
    <row r="4782" spans="1:7" x14ac:dyDescent="0.25">
      <c r="A4782" t="s">
        <v>8</v>
      </c>
      <c r="B4782" s="1" t="str">
        <f>"000204629 - RICH FOODS-CENTERPLATE"</f>
        <v>000204629 - RICH FOODS-CENTERPLATE</v>
      </c>
      <c r="C4782" t="s">
        <v>242</v>
      </c>
      <c r="D4782" s="1" t="str">
        <f t="shared" si="139"/>
        <v>PRG-1026154</v>
      </c>
      <c r="E4782" t="s">
        <v>485</v>
      </c>
      <c r="F4782" t="s">
        <v>4</v>
      </c>
      <c r="G4782" t="str">
        <f>""</f>
        <v/>
      </c>
    </row>
    <row r="4783" spans="1:7" x14ac:dyDescent="0.25">
      <c r="A4783" t="s">
        <v>8</v>
      </c>
      <c r="B4783" s="1" t="str">
        <f>"000207043 - RICH FOODS-CENTERPLATE"</f>
        <v>000207043 - RICH FOODS-CENTERPLATE</v>
      </c>
      <c r="C4783" t="s">
        <v>242</v>
      </c>
      <c r="D4783" s="1" t="str">
        <f t="shared" si="139"/>
        <v>PRG-1026154</v>
      </c>
      <c r="E4783" t="s">
        <v>485</v>
      </c>
      <c r="F4783" t="s">
        <v>4</v>
      </c>
      <c r="G4783" t="str">
        <f>""</f>
        <v/>
      </c>
    </row>
    <row r="4784" spans="1:7" x14ac:dyDescent="0.25">
      <c r="A4784" t="s">
        <v>8</v>
      </c>
      <c r="B4784" s="1" t="str">
        <f>"000208205 - RICH FOODS-CENTERPLATE"</f>
        <v>000208205 - RICH FOODS-CENTERPLATE</v>
      </c>
      <c r="C4784" t="s">
        <v>242</v>
      </c>
      <c r="D4784" s="1" t="str">
        <f t="shared" si="139"/>
        <v>PRG-1026154</v>
      </c>
      <c r="E4784" t="s">
        <v>485</v>
      </c>
      <c r="F4784" t="s">
        <v>4</v>
      </c>
      <c r="G4784" t="str">
        <f>""</f>
        <v/>
      </c>
    </row>
    <row r="4785" spans="1:7" x14ac:dyDescent="0.25">
      <c r="A4785" t="s">
        <v>8</v>
      </c>
      <c r="B4785" s="1" t="str">
        <f>"000209790 - RICH FOODS NCORE-CENTERPLATE"</f>
        <v>000209790 - RICH FOODS NCORE-CENTERPLATE</v>
      </c>
      <c r="C4785" t="s">
        <v>512</v>
      </c>
      <c r="D4785" s="1" t="str">
        <f t="shared" si="139"/>
        <v>PRG-1026154</v>
      </c>
      <c r="E4785" t="s">
        <v>485</v>
      </c>
      <c r="F4785" t="s">
        <v>4</v>
      </c>
      <c r="G4785" t="str">
        <f>""</f>
        <v/>
      </c>
    </row>
    <row r="4786" spans="1:7" x14ac:dyDescent="0.25">
      <c r="A4786" t="s">
        <v>8</v>
      </c>
      <c r="B4786" s="1" t="str">
        <f>"000213782 - RICH FOODS-CENTERPLATE"</f>
        <v>000213782 - RICH FOODS-CENTERPLATE</v>
      </c>
      <c r="C4786" t="s">
        <v>242</v>
      </c>
      <c r="D4786" s="1" t="str">
        <f t="shared" si="139"/>
        <v>PRG-1026154</v>
      </c>
      <c r="E4786" t="s">
        <v>485</v>
      </c>
      <c r="F4786" t="s">
        <v>4</v>
      </c>
      <c r="G4786" t="str">
        <f>""</f>
        <v/>
      </c>
    </row>
    <row r="4787" spans="1:7" x14ac:dyDescent="0.25">
      <c r="A4787" t="s">
        <v>8</v>
      </c>
      <c r="B4787" s="1" t="str">
        <f>"000213958 - RICH FOODS NCORE-CENTERPLATE"</f>
        <v>000213958 - RICH FOODS NCORE-CENTERPLATE</v>
      </c>
      <c r="C4787" t="s">
        <v>512</v>
      </c>
      <c r="D4787" s="1" t="str">
        <f t="shared" si="139"/>
        <v>PRG-1026154</v>
      </c>
      <c r="E4787" t="s">
        <v>485</v>
      </c>
      <c r="F4787" t="s">
        <v>4</v>
      </c>
      <c r="G4787" t="str">
        <f>""</f>
        <v/>
      </c>
    </row>
    <row r="4788" spans="1:7" x14ac:dyDescent="0.25">
      <c r="A4788" t="s">
        <v>8</v>
      </c>
      <c r="B4788" s="1" t="str">
        <f>"000214877 - RICH FOODS NCORE-CENTERPLATE"</f>
        <v>000214877 - RICH FOODS NCORE-CENTERPLATE</v>
      </c>
      <c r="C4788" t="s">
        <v>512</v>
      </c>
      <c r="D4788" s="1" t="str">
        <f t="shared" si="139"/>
        <v>PRG-1026154</v>
      </c>
      <c r="E4788" t="s">
        <v>485</v>
      </c>
      <c r="F4788" t="s">
        <v>4</v>
      </c>
      <c r="G4788" t="str">
        <f>""</f>
        <v/>
      </c>
    </row>
    <row r="4789" spans="1:7" x14ac:dyDescent="0.25">
      <c r="A4789" t="s">
        <v>8</v>
      </c>
      <c r="B4789" s="1" t="str">
        <f>"000216146 - RICH FOODS NCORE-CENTERPLATE"</f>
        <v>000216146 - RICH FOODS NCORE-CENTERPLATE</v>
      </c>
      <c r="C4789" t="s">
        <v>512</v>
      </c>
      <c r="D4789" s="1" t="str">
        <f t="shared" si="139"/>
        <v>PRG-1026154</v>
      </c>
      <c r="E4789" t="s">
        <v>485</v>
      </c>
      <c r="F4789" t="s">
        <v>4</v>
      </c>
      <c r="G4789" t="str">
        <f>""</f>
        <v/>
      </c>
    </row>
    <row r="4790" spans="1:7" x14ac:dyDescent="0.25">
      <c r="A4790" t="s">
        <v>8</v>
      </c>
      <c r="B4790" s="1" t="str">
        <f>"000218263 - RICH FOODS-CENTERPLATE"</f>
        <v>000218263 - RICH FOODS-CENTERPLATE</v>
      </c>
      <c r="C4790" t="s">
        <v>242</v>
      </c>
      <c r="D4790" s="1" t="str">
        <f t="shared" si="139"/>
        <v>PRG-1026154</v>
      </c>
      <c r="E4790" t="s">
        <v>485</v>
      </c>
      <c r="F4790" t="s">
        <v>4</v>
      </c>
      <c r="G4790" t="str">
        <f>""</f>
        <v/>
      </c>
    </row>
    <row r="4791" spans="1:7" x14ac:dyDescent="0.25">
      <c r="A4791" t="s">
        <v>8</v>
      </c>
      <c r="B4791" s="1" t="str">
        <f>"000223861 - RICH FOODS NCORE-CENTERPLATE"</f>
        <v>000223861 - RICH FOODS NCORE-CENTERPLATE</v>
      </c>
      <c r="C4791" t="s">
        <v>512</v>
      </c>
      <c r="D4791" s="1" t="str">
        <f t="shared" si="139"/>
        <v>PRG-1026154</v>
      </c>
      <c r="E4791" t="s">
        <v>485</v>
      </c>
      <c r="F4791" t="s">
        <v>4</v>
      </c>
      <c r="G4791" t="str">
        <f>""</f>
        <v/>
      </c>
    </row>
    <row r="4792" spans="1:7" x14ac:dyDescent="0.25">
      <c r="A4792" t="s">
        <v>8</v>
      </c>
      <c r="B4792" s="1" t="str">
        <f>"000224967 - RICH FOODS NCORE-CENTERPLATE"</f>
        <v>000224967 - RICH FOODS NCORE-CENTERPLATE</v>
      </c>
      <c r="C4792" t="s">
        <v>512</v>
      </c>
      <c r="D4792" s="1" t="str">
        <f t="shared" si="139"/>
        <v>PRG-1026154</v>
      </c>
      <c r="E4792" t="s">
        <v>485</v>
      </c>
      <c r="F4792" t="s">
        <v>4</v>
      </c>
      <c r="G4792" t="str">
        <f>""</f>
        <v/>
      </c>
    </row>
    <row r="4793" spans="1:7" x14ac:dyDescent="0.25">
      <c r="A4793" t="s">
        <v>8</v>
      </c>
      <c r="B4793" s="1" t="str">
        <f>"000225847 - RICH FOODS NCORE-CENTERPLATE"</f>
        <v>000225847 - RICH FOODS NCORE-CENTERPLATE</v>
      </c>
      <c r="C4793" t="s">
        <v>512</v>
      </c>
      <c r="D4793" s="1" t="str">
        <f t="shared" si="139"/>
        <v>PRG-1026154</v>
      </c>
      <c r="E4793" t="s">
        <v>485</v>
      </c>
      <c r="F4793" t="s">
        <v>4</v>
      </c>
      <c r="G4793" t="str">
        <f>""</f>
        <v/>
      </c>
    </row>
    <row r="4794" spans="1:7" x14ac:dyDescent="0.25">
      <c r="A4794" t="s">
        <v>8</v>
      </c>
      <c r="B4794" s="1" t="str">
        <f>"000226102 - RICH FOODS NCORE-CENTERPLATE"</f>
        <v>000226102 - RICH FOODS NCORE-CENTERPLATE</v>
      </c>
      <c r="C4794" t="s">
        <v>512</v>
      </c>
      <c r="D4794" s="1" t="str">
        <f t="shared" si="139"/>
        <v>PRG-1026154</v>
      </c>
      <c r="E4794" t="s">
        <v>485</v>
      </c>
      <c r="F4794" t="s">
        <v>4</v>
      </c>
      <c r="G4794" t="str">
        <f>""</f>
        <v/>
      </c>
    </row>
    <row r="4795" spans="1:7" x14ac:dyDescent="0.25">
      <c r="A4795" t="s">
        <v>8</v>
      </c>
      <c r="B4795" s="1" t="str">
        <f>"000229731 - RICH FOODS-CENTERPLATE"</f>
        <v>000229731 - RICH FOODS-CENTERPLATE</v>
      </c>
      <c r="C4795" t="s">
        <v>242</v>
      </c>
      <c r="D4795" s="1" t="str">
        <f t="shared" si="139"/>
        <v>PRG-1026154</v>
      </c>
      <c r="E4795" t="s">
        <v>485</v>
      </c>
      <c r="F4795" t="s">
        <v>4</v>
      </c>
      <c r="G4795" t="str">
        <f>""</f>
        <v/>
      </c>
    </row>
    <row r="4796" spans="1:7" x14ac:dyDescent="0.25">
      <c r="A4796" t="s">
        <v>8</v>
      </c>
      <c r="B4796" s="1" t="str">
        <f>"000230459 - RICH FOODS NCORE-CENTERPLATE"</f>
        <v>000230459 - RICH FOODS NCORE-CENTERPLATE</v>
      </c>
      <c r="C4796" t="s">
        <v>512</v>
      </c>
      <c r="D4796" s="1" t="str">
        <f t="shared" si="139"/>
        <v>PRG-1026154</v>
      </c>
      <c r="E4796" t="s">
        <v>485</v>
      </c>
      <c r="F4796" t="s">
        <v>4</v>
      </c>
      <c r="G4796" t="str">
        <f>""</f>
        <v/>
      </c>
    </row>
    <row r="4797" spans="1:7" x14ac:dyDescent="0.25">
      <c r="A4797" t="s">
        <v>8</v>
      </c>
      <c r="B4797" s="1" t="str">
        <f>"000231716 - RICH FOODS-CENTERPLATE"</f>
        <v>000231716 - RICH FOODS-CENTERPLATE</v>
      </c>
      <c r="C4797" t="s">
        <v>242</v>
      </c>
      <c r="D4797" s="1" t="str">
        <f t="shared" si="139"/>
        <v>PRG-1026154</v>
      </c>
      <c r="E4797" t="s">
        <v>485</v>
      </c>
      <c r="F4797" t="s">
        <v>4</v>
      </c>
      <c r="G4797" t="str">
        <f>""</f>
        <v/>
      </c>
    </row>
    <row r="4798" spans="1:7" x14ac:dyDescent="0.25">
      <c r="A4798" t="s">
        <v>8</v>
      </c>
      <c r="B4798" s="1" t="str">
        <f>"000236894 - RICH FOODS NCORE-CENTERPLATE"</f>
        <v>000236894 - RICH FOODS NCORE-CENTERPLATE</v>
      </c>
      <c r="C4798" t="s">
        <v>512</v>
      </c>
      <c r="D4798" s="1" t="str">
        <f t="shared" si="139"/>
        <v>PRG-1026154</v>
      </c>
      <c r="E4798" t="s">
        <v>485</v>
      </c>
      <c r="F4798" t="s">
        <v>4</v>
      </c>
      <c r="G4798" t="str">
        <f>""</f>
        <v/>
      </c>
    </row>
    <row r="4799" spans="1:7" x14ac:dyDescent="0.25">
      <c r="A4799" t="s">
        <v>8</v>
      </c>
      <c r="B4799" s="1" t="str">
        <f>"000237832 - RICH FOODS NCORE-CENTERPLATE"</f>
        <v>000237832 - RICH FOODS NCORE-CENTERPLATE</v>
      </c>
      <c r="C4799" t="s">
        <v>512</v>
      </c>
      <c r="D4799" s="1" t="str">
        <f t="shared" si="139"/>
        <v>PRG-1026154</v>
      </c>
      <c r="E4799" t="s">
        <v>485</v>
      </c>
      <c r="F4799" t="s">
        <v>4</v>
      </c>
      <c r="G4799" t="str">
        <f>""</f>
        <v/>
      </c>
    </row>
    <row r="4800" spans="1:7" x14ac:dyDescent="0.25">
      <c r="A4800" t="s">
        <v>8</v>
      </c>
      <c r="B4800" s="1" t="str">
        <f>"000238072 - RICH FOODS-CENTERPLATE"</f>
        <v>000238072 - RICH FOODS-CENTERPLATE</v>
      </c>
      <c r="C4800" t="s">
        <v>242</v>
      </c>
      <c r="D4800" s="1" t="str">
        <f t="shared" si="139"/>
        <v>PRG-1026154</v>
      </c>
      <c r="E4800" t="s">
        <v>485</v>
      </c>
      <c r="F4800" t="s">
        <v>4</v>
      </c>
      <c r="G4800" t="str">
        <f>""</f>
        <v/>
      </c>
    </row>
    <row r="4801" spans="1:7" x14ac:dyDescent="0.25">
      <c r="A4801" t="s">
        <v>8</v>
      </c>
      <c r="B4801" s="1" t="str">
        <f>"000238431 - RICH FOODS NCORE-CENTERPLATE"</f>
        <v>000238431 - RICH FOODS NCORE-CENTERPLATE</v>
      </c>
      <c r="C4801" t="s">
        <v>512</v>
      </c>
      <c r="D4801" s="1" t="str">
        <f t="shared" si="139"/>
        <v>PRG-1026154</v>
      </c>
      <c r="E4801" t="s">
        <v>485</v>
      </c>
      <c r="F4801" t="s">
        <v>4</v>
      </c>
      <c r="G4801" t="str">
        <f>""</f>
        <v/>
      </c>
    </row>
    <row r="4802" spans="1:7" x14ac:dyDescent="0.25">
      <c r="A4802" t="s">
        <v>8</v>
      </c>
      <c r="B4802" s="1" t="str">
        <f>"000239008 - RICH FOODS NCORE-CENTERPLATE"</f>
        <v>000239008 - RICH FOODS NCORE-CENTERPLATE</v>
      </c>
      <c r="C4802" t="s">
        <v>512</v>
      </c>
      <c r="D4802" s="1" t="str">
        <f t="shared" si="139"/>
        <v>PRG-1026154</v>
      </c>
      <c r="E4802" t="s">
        <v>485</v>
      </c>
      <c r="F4802" t="s">
        <v>4</v>
      </c>
      <c r="G4802" t="str">
        <f>""</f>
        <v/>
      </c>
    </row>
    <row r="4803" spans="1:7" x14ac:dyDescent="0.25">
      <c r="A4803" t="s">
        <v>8</v>
      </c>
      <c r="B4803" s="1" t="str">
        <f>"000239078 - RICH FOODS-CENTERPLATE"</f>
        <v>000239078 - RICH FOODS-CENTERPLATE</v>
      </c>
      <c r="C4803" t="s">
        <v>242</v>
      </c>
      <c r="D4803" s="1" t="str">
        <f t="shared" ref="D4803:D4838" si="140">"PRG-1026154"</f>
        <v>PRG-1026154</v>
      </c>
      <c r="E4803" t="s">
        <v>485</v>
      </c>
      <c r="F4803" t="s">
        <v>4</v>
      </c>
      <c r="G4803" t="str">
        <f>""</f>
        <v/>
      </c>
    </row>
    <row r="4804" spans="1:7" x14ac:dyDescent="0.25">
      <c r="A4804" t="s">
        <v>8</v>
      </c>
      <c r="B4804" s="1" t="str">
        <f>"000243321 - RICH FOODS NCORE-CENTERPLATE"</f>
        <v>000243321 - RICH FOODS NCORE-CENTERPLATE</v>
      </c>
      <c r="C4804" t="s">
        <v>512</v>
      </c>
      <c r="D4804" s="1" t="str">
        <f t="shared" si="140"/>
        <v>PRG-1026154</v>
      </c>
      <c r="E4804" t="s">
        <v>485</v>
      </c>
      <c r="F4804" t="s">
        <v>4</v>
      </c>
      <c r="G4804" t="str">
        <f>""</f>
        <v/>
      </c>
    </row>
    <row r="4805" spans="1:7" x14ac:dyDescent="0.25">
      <c r="A4805" t="s">
        <v>8</v>
      </c>
      <c r="B4805" s="1" t="str">
        <f>"000243695 - RICH FOODS NCORE-CENTERPLATE"</f>
        <v>000243695 - RICH FOODS NCORE-CENTERPLATE</v>
      </c>
      <c r="C4805" t="s">
        <v>512</v>
      </c>
      <c r="D4805" s="1" t="str">
        <f t="shared" si="140"/>
        <v>PRG-1026154</v>
      </c>
      <c r="E4805" t="s">
        <v>485</v>
      </c>
      <c r="F4805" t="s">
        <v>4</v>
      </c>
      <c r="G4805" t="str">
        <f>""</f>
        <v/>
      </c>
    </row>
    <row r="4806" spans="1:7" x14ac:dyDescent="0.25">
      <c r="A4806" t="s">
        <v>8</v>
      </c>
      <c r="B4806" s="1" t="str">
        <f>"000244597 - RICH FOODS NCORE-CENTERPLATE"</f>
        <v>000244597 - RICH FOODS NCORE-CENTERPLATE</v>
      </c>
      <c r="C4806" t="s">
        <v>512</v>
      </c>
      <c r="D4806" s="1" t="str">
        <f t="shared" si="140"/>
        <v>PRG-1026154</v>
      </c>
      <c r="E4806" t="s">
        <v>485</v>
      </c>
      <c r="F4806" t="s">
        <v>4</v>
      </c>
      <c r="G4806" t="str">
        <f>""</f>
        <v/>
      </c>
    </row>
    <row r="4807" spans="1:7" x14ac:dyDescent="0.25">
      <c r="A4807" t="s">
        <v>8</v>
      </c>
      <c r="B4807" s="1" t="str">
        <f>"000244865 - RICH FOODS-CENTERPLATE"</f>
        <v>000244865 - RICH FOODS-CENTERPLATE</v>
      </c>
      <c r="C4807" t="s">
        <v>242</v>
      </c>
      <c r="D4807" s="1" t="str">
        <f t="shared" si="140"/>
        <v>PRG-1026154</v>
      </c>
      <c r="E4807" t="s">
        <v>485</v>
      </c>
      <c r="F4807" t="s">
        <v>4</v>
      </c>
      <c r="G4807" t="str">
        <f>""</f>
        <v/>
      </c>
    </row>
    <row r="4808" spans="1:7" x14ac:dyDescent="0.25">
      <c r="A4808" t="s">
        <v>8</v>
      </c>
      <c r="B4808" s="1" t="str">
        <f>"000245006 - RICH FOODS NCORE-CENTERPLATE"</f>
        <v>000245006 - RICH FOODS NCORE-CENTERPLATE</v>
      </c>
      <c r="C4808" t="s">
        <v>512</v>
      </c>
      <c r="D4808" s="1" t="str">
        <f t="shared" si="140"/>
        <v>PRG-1026154</v>
      </c>
      <c r="E4808" t="s">
        <v>485</v>
      </c>
      <c r="F4808" t="s">
        <v>4</v>
      </c>
      <c r="G4808" t="str">
        <f>""</f>
        <v/>
      </c>
    </row>
    <row r="4809" spans="1:7" x14ac:dyDescent="0.25">
      <c r="A4809" t="s">
        <v>8</v>
      </c>
      <c r="B4809" s="1" t="str">
        <f>"000245272 - RICH FOODS NCORE-CENTERPLATE"</f>
        <v>000245272 - RICH FOODS NCORE-CENTERPLATE</v>
      </c>
      <c r="C4809" t="s">
        <v>512</v>
      </c>
      <c r="D4809" s="1" t="str">
        <f t="shared" si="140"/>
        <v>PRG-1026154</v>
      </c>
      <c r="E4809" t="s">
        <v>485</v>
      </c>
      <c r="F4809" t="s">
        <v>4</v>
      </c>
      <c r="G4809" t="str">
        <f>""</f>
        <v/>
      </c>
    </row>
    <row r="4810" spans="1:7" x14ac:dyDescent="0.25">
      <c r="A4810" t="s">
        <v>8</v>
      </c>
      <c r="B4810" s="1" t="str">
        <f>"000246333 - RICH FOODS NCORE-CENTERPLATE"</f>
        <v>000246333 - RICH FOODS NCORE-CENTERPLATE</v>
      </c>
      <c r="C4810" t="s">
        <v>512</v>
      </c>
      <c r="D4810" s="1" t="str">
        <f t="shared" si="140"/>
        <v>PRG-1026154</v>
      </c>
      <c r="E4810" t="s">
        <v>485</v>
      </c>
      <c r="F4810" t="s">
        <v>4</v>
      </c>
      <c r="G4810" t="str">
        <f>""</f>
        <v/>
      </c>
    </row>
    <row r="4811" spans="1:7" x14ac:dyDescent="0.25">
      <c r="A4811" t="s">
        <v>8</v>
      </c>
      <c r="B4811" s="1" t="str">
        <f>"000249583 - RICH FOODS NCORE-CENTERPLATE"</f>
        <v>000249583 - RICH FOODS NCORE-CENTERPLATE</v>
      </c>
      <c r="C4811" t="s">
        <v>512</v>
      </c>
      <c r="D4811" s="1" t="str">
        <f t="shared" si="140"/>
        <v>PRG-1026154</v>
      </c>
      <c r="E4811" t="s">
        <v>485</v>
      </c>
      <c r="F4811" t="s">
        <v>4</v>
      </c>
      <c r="G4811" t="str">
        <f>""</f>
        <v/>
      </c>
    </row>
    <row r="4812" spans="1:7" x14ac:dyDescent="0.25">
      <c r="A4812" t="s">
        <v>8</v>
      </c>
      <c r="B4812" s="1" t="str">
        <f>"000250654 - RICH FOODS NCORE-CENTERPLATE"</f>
        <v>000250654 - RICH FOODS NCORE-CENTERPLATE</v>
      </c>
      <c r="C4812" t="s">
        <v>512</v>
      </c>
      <c r="D4812" s="1" t="str">
        <f t="shared" si="140"/>
        <v>PRG-1026154</v>
      </c>
      <c r="E4812" t="s">
        <v>485</v>
      </c>
      <c r="F4812" t="s">
        <v>4</v>
      </c>
      <c r="G4812" t="str">
        <f>""</f>
        <v/>
      </c>
    </row>
    <row r="4813" spans="1:7" x14ac:dyDescent="0.25">
      <c r="A4813" t="s">
        <v>8</v>
      </c>
      <c r="B4813" s="1" t="str">
        <f>"000252492 - RICH FOODS NCORE-CENTERPLATE"</f>
        <v>000252492 - RICH FOODS NCORE-CENTERPLATE</v>
      </c>
      <c r="C4813" t="s">
        <v>512</v>
      </c>
      <c r="D4813" s="1" t="str">
        <f t="shared" si="140"/>
        <v>PRG-1026154</v>
      </c>
      <c r="E4813" t="s">
        <v>485</v>
      </c>
      <c r="F4813" t="s">
        <v>4</v>
      </c>
      <c r="G4813" t="str">
        <f>""</f>
        <v/>
      </c>
    </row>
    <row r="4814" spans="1:7" x14ac:dyDescent="0.25">
      <c r="A4814" t="s">
        <v>8</v>
      </c>
      <c r="B4814" s="1" t="str">
        <f>"000252681 - RICH FOODS NCORE-CENTERPLATE"</f>
        <v>000252681 - RICH FOODS NCORE-CENTERPLATE</v>
      </c>
      <c r="C4814" t="s">
        <v>512</v>
      </c>
      <c r="D4814" s="1" t="str">
        <f t="shared" si="140"/>
        <v>PRG-1026154</v>
      </c>
      <c r="E4814" t="s">
        <v>485</v>
      </c>
      <c r="F4814" t="s">
        <v>4</v>
      </c>
      <c r="G4814" t="str">
        <f>""</f>
        <v/>
      </c>
    </row>
    <row r="4815" spans="1:7" x14ac:dyDescent="0.25">
      <c r="A4815" t="s">
        <v>8</v>
      </c>
      <c r="B4815" s="1" t="str">
        <f>"000253076 - RICH FOODS-CENTERPLATE"</f>
        <v>000253076 - RICH FOODS-CENTERPLATE</v>
      </c>
      <c r="C4815" t="s">
        <v>242</v>
      </c>
      <c r="D4815" s="1" t="str">
        <f t="shared" si="140"/>
        <v>PRG-1026154</v>
      </c>
      <c r="E4815" t="s">
        <v>485</v>
      </c>
      <c r="F4815" t="s">
        <v>4</v>
      </c>
      <c r="G4815" t="str">
        <f>""</f>
        <v/>
      </c>
    </row>
    <row r="4816" spans="1:7" x14ac:dyDescent="0.25">
      <c r="A4816" t="s">
        <v>8</v>
      </c>
      <c r="B4816" s="1" t="str">
        <f>"000253374 - RICH FOODS NCORE-CENTERPLATE"</f>
        <v>000253374 - RICH FOODS NCORE-CENTERPLATE</v>
      </c>
      <c r="C4816" t="s">
        <v>512</v>
      </c>
      <c r="D4816" s="1" t="str">
        <f t="shared" si="140"/>
        <v>PRG-1026154</v>
      </c>
      <c r="E4816" t="s">
        <v>485</v>
      </c>
      <c r="F4816" t="s">
        <v>4</v>
      </c>
      <c r="G4816" t="str">
        <f>""</f>
        <v/>
      </c>
    </row>
    <row r="4817" spans="1:7" x14ac:dyDescent="0.25">
      <c r="A4817" t="s">
        <v>8</v>
      </c>
      <c r="B4817" s="1" t="str">
        <f>"000255585 - RICH FOODS NCORE-CENTERPLATE"</f>
        <v>000255585 - RICH FOODS NCORE-CENTERPLATE</v>
      </c>
      <c r="C4817" t="s">
        <v>512</v>
      </c>
      <c r="D4817" s="1" t="str">
        <f t="shared" si="140"/>
        <v>PRG-1026154</v>
      </c>
      <c r="E4817" t="s">
        <v>485</v>
      </c>
      <c r="F4817" t="s">
        <v>4</v>
      </c>
      <c r="G4817" t="str">
        <f>""</f>
        <v/>
      </c>
    </row>
    <row r="4818" spans="1:7" x14ac:dyDescent="0.25">
      <c r="A4818" t="s">
        <v>8</v>
      </c>
      <c r="B4818" s="1" t="str">
        <f>"000256594 - RICH FOODS NCORE-CENTERPLATE"</f>
        <v>000256594 - RICH FOODS NCORE-CENTERPLATE</v>
      </c>
      <c r="C4818" t="s">
        <v>512</v>
      </c>
      <c r="D4818" s="1" t="str">
        <f t="shared" si="140"/>
        <v>PRG-1026154</v>
      </c>
      <c r="E4818" t="s">
        <v>485</v>
      </c>
      <c r="F4818" t="s">
        <v>4</v>
      </c>
      <c r="G4818" t="str">
        <f>""</f>
        <v/>
      </c>
    </row>
    <row r="4819" spans="1:7" x14ac:dyDescent="0.25">
      <c r="A4819" t="s">
        <v>8</v>
      </c>
      <c r="B4819" s="1" t="str">
        <f>"000258142 - RICH FOODS NCORE-CENTERPLATE"</f>
        <v>000258142 - RICH FOODS NCORE-CENTERPLATE</v>
      </c>
      <c r="C4819" t="s">
        <v>512</v>
      </c>
      <c r="D4819" s="1" t="str">
        <f t="shared" si="140"/>
        <v>PRG-1026154</v>
      </c>
      <c r="E4819" t="s">
        <v>485</v>
      </c>
      <c r="F4819" t="s">
        <v>4</v>
      </c>
      <c r="G4819" t="str">
        <f>""</f>
        <v/>
      </c>
    </row>
    <row r="4820" spans="1:7" x14ac:dyDescent="0.25">
      <c r="A4820" t="s">
        <v>8</v>
      </c>
      <c r="B4820" s="1" t="str">
        <f>"000260755 - RICH FOODS-CENTERPLATE"</f>
        <v>000260755 - RICH FOODS-CENTERPLATE</v>
      </c>
      <c r="C4820" t="s">
        <v>242</v>
      </c>
      <c r="D4820" s="1" t="str">
        <f t="shared" si="140"/>
        <v>PRG-1026154</v>
      </c>
      <c r="E4820" t="s">
        <v>485</v>
      </c>
      <c r="F4820" t="s">
        <v>4</v>
      </c>
      <c r="G4820" t="str">
        <f>""</f>
        <v/>
      </c>
    </row>
    <row r="4821" spans="1:7" x14ac:dyDescent="0.25">
      <c r="A4821" t="s">
        <v>8</v>
      </c>
      <c r="B4821" s="1" t="str">
        <f>"000261811 - RICH FOODS NCORE-CENTERPLATE"</f>
        <v>000261811 - RICH FOODS NCORE-CENTERPLATE</v>
      </c>
      <c r="C4821" t="s">
        <v>512</v>
      </c>
      <c r="D4821" s="1" t="str">
        <f t="shared" si="140"/>
        <v>PRG-1026154</v>
      </c>
      <c r="E4821" t="s">
        <v>485</v>
      </c>
      <c r="F4821" t="s">
        <v>4</v>
      </c>
      <c r="G4821" t="str">
        <f>""</f>
        <v/>
      </c>
    </row>
    <row r="4822" spans="1:7" x14ac:dyDescent="0.25">
      <c r="A4822" t="s">
        <v>8</v>
      </c>
      <c r="B4822" s="1" t="str">
        <f>"000268828 - RICH FOODS NCORE-CENTERPLATE"</f>
        <v>000268828 - RICH FOODS NCORE-CENTERPLATE</v>
      </c>
      <c r="C4822" t="s">
        <v>512</v>
      </c>
      <c r="D4822" s="1" t="str">
        <f t="shared" si="140"/>
        <v>PRG-1026154</v>
      </c>
      <c r="E4822" t="s">
        <v>485</v>
      </c>
      <c r="F4822" t="s">
        <v>4</v>
      </c>
      <c r="G4822" t="str">
        <f>""</f>
        <v/>
      </c>
    </row>
    <row r="4823" spans="1:7" x14ac:dyDescent="0.25">
      <c r="A4823" t="s">
        <v>8</v>
      </c>
      <c r="B4823" s="1" t="str">
        <f>"000270135 - RICH FOODS-CENTERPLATE"</f>
        <v>000270135 - RICH FOODS-CENTERPLATE</v>
      </c>
      <c r="C4823" t="s">
        <v>242</v>
      </c>
      <c r="D4823" s="1" t="str">
        <f t="shared" si="140"/>
        <v>PRG-1026154</v>
      </c>
      <c r="E4823" t="s">
        <v>485</v>
      </c>
      <c r="F4823" t="s">
        <v>4</v>
      </c>
      <c r="G4823" t="str">
        <f>""</f>
        <v/>
      </c>
    </row>
    <row r="4824" spans="1:7" x14ac:dyDescent="0.25">
      <c r="A4824" t="s">
        <v>8</v>
      </c>
      <c r="B4824" s="1" t="str">
        <f>"000271501 - RICH FOODS NCORE-CENTERPLATE"</f>
        <v>000271501 - RICH FOODS NCORE-CENTERPLATE</v>
      </c>
      <c r="C4824" t="s">
        <v>512</v>
      </c>
      <c r="D4824" s="1" t="str">
        <f t="shared" si="140"/>
        <v>PRG-1026154</v>
      </c>
      <c r="E4824" t="s">
        <v>485</v>
      </c>
      <c r="F4824" t="s">
        <v>4</v>
      </c>
      <c r="G4824" t="str">
        <f>""</f>
        <v/>
      </c>
    </row>
    <row r="4825" spans="1:7" x14ac:dyDescent="0.25">
      <c r="A4825" t="s">
        <v>8</v>
      </c>
      <c r="B4825" s="1" t="str">
        <f>"000275656 - RICH FOODS NCORE-CENTERPLATE"</f>
        <v>000275656 - RICH FOODS NCORE-CENTERPLATE</v>
      </c>
      <c r="C4825" t="s">
        <v>512</v>
      </c>
      <c r="D4825" s="1" t="str">
        <f t="shared" si="140"/>
        <v>PRG-1026154</v>
      </c>
      <c r="E4825" t="s">
        <v>485</v>
      </c>
      <c r="F4825" t="s">
        <v>4</v>
      </c>
      <c r="G4825" t="str">
        <f>""</f>
        <v/>
      </c>
    </row>
    <row r="4826" spans="1:7" x14ac:dyDescent="0.25">
      <c r="A4826" t="s">
        <v>8</v>
      </c>
      <c r="B4826" s="1" t="str">
        <f>"000288799 - RICH FOODS-CENTERPLATE"</f>
        <v>000288799 - RICH FOODS-CENTERPLATE</v>
      </c>
      <c r="C4826" t="s">
        <v>242</v>
      </c>
      <c r="D4826" s="1" t="str">
        <f t="shared" si="140"/>
        <v>PRG-1026154</v>
      </c>
      <c r="E4826" t="s">
        <v>485</v>
      </c>
      <c r="F4826" t="s">
        <v>4</v>
      </c>
      <c r="G4826" t="str">
        <f>""</f>
        <v/>
      </c>
    </row>
    <row r="4827" spans="1:7" x14ac:dyDescent="0.25">
      <c r="A4827" t="s">
        <v>8</v>
      </c>
      <c r="B4827" s="1" t="str">
        <f>"000289438 - RICH FOODS NCORE-CENTERPLATE"</f>
        <v>000289438 - RICH FOODS NCORE-CENTERPLATE</v>
      </c>
      <c r="C4827" t="s">
        <v>512</v>
      </c>
      <c r="D4827" s="1" t="str">
        <f t="shared" si="140"/>
        <v>PRG-1026154</v>
      </c>
      <c r="E4827" t="s">
        <v>485</v>
      </c>
      <c r="F4827" t="s">
        <v>4</v>
      </c>
      <c r="G4827" t="str">
        <f>""</f>
        <v/>
      </c>
    </row>
    <row r="4828" spans="1:7" x14ac:dyDescent="0.25">
      <c r="A4828" t="s">
        <v>8</v>
      </c>
      <c r="B4828" s="1" t="str">
        <f>"000291000 - RICH FOODS-CENTERPLATE"</f>
        <v>000291000 - RICH FOODS-CENTERPLATE</v>
      </c>
      <c r="C4828" t="s">
        <v>242</v>
      </c>
      <c r="D4828" s="1" t="str">
        <f t="shared" si="140"/>
        <v>PRG-1026154</v>
      </c>
      <c r="E4828" t="s">
        <v>485</v>
      </c>
      <c r="F4828" t="s">
        <v>4</v>
      </c>
      <c r="G4828" t="str">
        <f>""</f>
        <v/>
      </c>
    </row>
    <row r="4829" spans="1:7" x14ac:dyDescent="0.25">
      <c r="A4829" t="s">
        <v>8</v>
      </c>
      <c r="B4829" s="1" t="str">
        <f>"000294292 - RICH FOODS-CENTERPLATE"</f>
        <v>000294292 - RICH FOODS-CENTERPLATE</v>
      </c>
      <c r="C4829" t="s">
        <v>242</v>
      </c>
      <c r="D4829" s="1" t="str">
        <f t="shared" si="140"/>
        <v>PRG-1026154</v>
      </c>
      <c r="E4829" t="s">
        <v>485</v>
      </c>
      <c r="F4829" t="s">
        <v>4</v>
      </c>
      <c r="G4829" t="str">
        <f>""</f>
        <v/>
      </c>
    </row>
    <row r="4830" spans="1:7" x14ac:dyDescent="0.25">
      <c r="A4830" t="s">
        <v>8</v>
      </c>
      <c r="B4830" s="1" t="str">
        <f>"000300384 - RICH FOODS NCORE-CENTERPLATE"</f>
        <v>000300384 - RICH FOODS NCORE-CENTERPLATE</v>
      </c>
      <c r="C4830" t="s">
        <v>512</v>
      </c>
      <c r="D4830" s="1" t="str">
        <f t="shared" si="140"/>
        <v>PRG-1026154</v>
      </c>
      <c r="E4830" t="s">
        <v>485</v>
      </c>
      <c r="F4830" t="s">
        <v>4</v>
      </c>
      <c r="G4830" t="str">
        <f>""</f>
        <v/>
      </c>
    </row>
    <row r="4831" spans="1:7" x14ac:dyDescent="0.25">
      <c r="A4831" t="s">
        <v>8</v>
      </c>
      <c r="B4831" s="1" t="str">
        <f>"000307154 - RICH FOODS-CENTERPLATE"</f>
        <v>000307154 - RICH FOODS-CENTERPLATE</v>
      </c>
      <c r="C4831" t="s">
        <v>242</v>
      </c>
      <c r="D4831" s="1" t="str">
        <f t="shared" si="140"/>
        <v>PRG-1026154</v>
      </c>
      <c r="E4831" t="s">
        <v>485</v>
      </c>
      <c r="F4831" t="s">
        <v>4</v>
      </c>
      <c r="G4831" t="str">
        <f>""</f>
        <v/>
      </c>
    </row>
    <row r="4832" spans="1:7" x14ac:dyDescent="0.25">
      <c r="A4832" t="s">
        <v>8</v>
      </c>
      <c r="B4832" s="1" t="str">
        <f>"000311859 - RICH FOODS NCORE-CENTERPLATE"</f>
        <v>000311859 - RICH FOODS NCORE-CENTERPLATE</v>
      </c>
      <c r="C4832" t="s">
        <v>512</v>
      </c>
      <c r="D4832" s="1" t="str">
        <f t="shared" si="140"/>
        <v>PRG-1026154</v>
      </c>
      <c r="E4832" t="s">
        <v>485</v>
      </c>
      <c r="F4832" t="s">
        <v>4</v>
      </c>
      <c r="G4832" t="str">
        <f>""</f>
        <v/>
      </c>
    </row>
    <row r="4833" spans="1:7" x14ac:dyDescent="0.25">
      <c r="A4833" t="s">
        <v>8</v>
      </c>
      <c r="B4833" s="1" t="str">
        <f>"000334690 - RICH FOODS-CENTERPLATE"</f>
        <v>000334690 - RICH FOODS-CENTERPLATE</v>
      </c>
      <c r="C4833" t="s">
        <v>242</v>
      </c>
      <c r="D4833" s="1" t="str">
        <f t="shared" si="140"/>
        <v>PRG-1026154</v>
      </c>
      <c r="E4833" t="s">
        <v>485</v>
      </c>
      <c r="F4833" t="s">
        <v>4</v>
      </c>
      <c r="G4833" t="str">
        <f>""</f>
        <v/>
      </c>
    </row>
    <row r="4834" spans="1:7" x14ac:dyDescent="0.25">
      <c r="A4834" t="s">
        <v>8</v>
      </c>
      <c r="B4834" s="1" t="str">
        <f>"000343857 - RICH FOODS NCORE-CENTERPLATE"</f>
        <v>000343857 - RICH FOODS NCORE-CENTERPLATE</v>
      </c>
      <c r="C4834" t="s">
        <v>512</v>
      </c>
      <c r="D4834" s="1" t="str">
        <f t="shared" si="140"/>
        <v>PRG-1026154</v>
      </c>
      <c r="E4834" t="s">
        <v>485</v>
      </c>
      <c r="F4834" t="s">
        <v>4</v>
      </c>
      <c r="G4834" t="str">
        <f>""</f>
        <v/>
      </c>
    </row>
    <row r="4835" spans="1:7" x14ac:dyDescent="0.25">
      <c r="A4835" t="s">
        <v>8</v>
      </c>
      <c r="B4835" s="1" t="str">
        <f>"000353089 - RICH FOODS NCORE-CENTERPLATE"</f>
        <v>000353089 - RICH FOODS NCORE-CENTERPLATE</v>
      </c>
      <c r="C4835" t="s">
        <v>512</v>
      </c>
      <c r="D4835" s="1" t="str">
        <f t="shared" si="140"/>
        <v>PRG-1026154</v>
      </c>
      <c r="E4835" t="s">
        <v>485</v>
      </c>
      <c r="F4835" t="s">
        <v>4</v>
      </c>
      <c r="G4835" t="str">
        <f>""</f>
        <v/>
      </c>
    </row>
    <row r="4836" spans="1:7" x14ac:dyDescent="0.25">
      <c r="A4836" t="s">
        <v>8</v>
      </c>
      <c r="B4836" s="1" t="str">
        <f>"000357126 - RICH FOODS NCORE-CENTERPLATE"</f>
        <v>000357126 - RICH FOODS NCORE-CENTERPLATE</v>
      </c>
      <c r="C4836" t="s">
        <v>512</v>
      </c>
      <c r="D4836" s="1" t="str">
        <f t="shared" si="140"/>
        <v>PRG-1026154</v>
      </c>
      <c r="E4836" t="s">
        <v>485</v>
      </c>
      <c r="F4836" t="s">
        <v>4</v>
      </c>
      <c r="G4836" t="str">
        <f>""</f>
        <v/>
      </c>
    </row>
    <row r="4837" spans="1:7" x14ac:dyDescent="0.25">
      <c r="A4837" t="s">
        <v>8</v>
      </c>
      <c r="B4837" s="1" t="str">
        <f>"2000227183 - RICH FOODS-CENTERPLATE (VSA)"</f>
        <v>2000227183 - RICH FOODS-CENTERPLATE (VSA)</v>
      </c>
      <c r="C4837" t="s">
        <v>3841</v>
      </c>
      <c r="D4837" s="1" t="str">
        <f t="shared" si="140"/>
        <v>PRG-1026154</v>
      </c>
      <c r="E4837" t="s">
        <v>485</v>
      </c>
      <c r="F4837" t="s">
        <v>4</v>
      </c>
      <c r="G4837" t="str">
        <f>""</f>
        <v/>
      </c>
    </row>
    <row r="4838" spans="1:7" x14ac:dyDescent="0.25">
      <c r="A4838" t="s">
        <v>8</v>
      </c>
      <c r="B4838" s="1" t="str">
        <f>"2000261981 - RICH FOODS-CENTERPLATE (VSA)"</f>
        <v>2000261981 - RICH FOODS-CENTERPLATE (VSA)</v>
      </c>
      <c r="C4838" t="s">
        <v>3841</v>
      </c>
      <c r="D4838" s="1" t="str">
        <f t="shared" si="140"/>
        <v>PRG-1026154</v>
      </c>
      <c r="E4838" t="s">
        <v>485</v>
      </c>
      <c r="F4838" t="s">
        <v>4</v>
      </c>
      <c r="G4838" t="str">
        <f>""</f>
        <v/>
      </c>
    </row>
    <row r="4839" spans="1:7" x14ac:dyDescent="0.25">
      <c r="A4839" t="s">
        <v>8</v>
      </c>
      <c r="B4839" s="1" t="str">
        <f>"000292952 - RICH-NATURES FOOD PATCH"</f>
        <v>000292952 - RICH-NATURES FOOD PATCH</v>
      </c>
      <c r="C4839" t="s">
        <v>2871</v>
      </c>
      <c r="D4839" s="1" t="str">
        <f>"PRG-1026171"</f>
        <v>PRG-1026171</v>
      </c>
      <c r="E4839" t="s">
        <v>2196</v>
      </c>
      <c r="F4839" t="s">
        <v>4</v>
      </c>
      <c r="G4839" t="str">
        <f>""</f>
        <v/>
      </c>
    </row>
    <row r="4840" spans="1:7" x14ac:dyDescent="0.25">
      <c r="A4840" t="s">
        <v>8</v>
      </c>
      <c r="B4840" s="1" t="str">
        <f>"000292953 - RICH(R)-NATURES FOOD PATCH"</f>
        <v>000292953 - RICH(R)-NATURES FOOD PATCH</v>
      </c>
      <c r="C4840" t="s">
        <v>2872</v>
      </c>
      <c r="D4840" s="1" t="str">
        <f>"PRG-1026171"</f>
        <v>PRG-1026171</v>
      </c>
      <c r="E4840" t="s">
        <v>2196</v>
      </c>
      <c r="F4840" t="s">
        <v>4</v>
      </c>
      <c r="G4840" t="str">
        <f>""</f>
        <v/>
      </c>
    </row>
    <row r="4841" spans="1:7" x14ac:dyDescent="0.25">
      <c r="A4841" t="s">
        <v>8</v>
      </c>
      <c r="B4841" s="1" t="str">
        <f>"000236583 - RICH CARMEL CAFE"</f>
        <v>000236583 - RICH CARMEL CAFE</v>
      </c>
      <c r="C4841" t="s">
        <v>1852</v>
      </c>
      <c r="D4841" s="1" t="str">
        <f>"PRG-1026254"</f>
        <v>PRG-1026254</v>
      </c>
      <c r="E4841" t="s">
        <v>1339</v>
      </c>
      <c r="F4841" t="s">
        <v>4</v>
      </c>
      <c r="G4841" t="str">
        <f>""</f>
        <v/>
      </c>
    </row>
    <row r="4842" spans="1:7" x14ac:dyDescent="0.25">
      <c r="A4842" t="s">
        <v>8</v>
      </c>
      <c r="B4842" s="1" t="str">
        <f>"000289940 - RICHS FOODS-CARMEL CAFE"</f>
        <v>000289940 - RICHS FOODS-CARMEL CAFE</v>
      </c>
      <c r="C4842" t="s">
        <v>2801</v>
      </c>
      <c r="D4842" s="1" t="str">
        <f>"PRG-1026254"</f>
        <v>PRG-1026254</v>
      </c>
      <c r="E4842" t="s">
        <v>1339</v>
      </c>
      <c r="F4842" t="s">
        <v>4</v>
      </c>
      <c r="G4842" t="str">
        <f>""</f>
        <v/>
      </c>
    </row>
    <row r="4843" spans="1:7" x14ac:dyDescent="0.25">
      <c r="A4843" t="s">
        <v>8</v>
      </c>
      <c r="B4843" s="1" t="str">
        <f>"000292263 - RICHS FOODS-CARMEL CAFE"</f>
        <v>000292263 - RICHS FOODS-CARMEL CAFE</v>
      </c>
      <c r="C4843" t="s">
        <v>2801</v>
      </c>
      <c r="D4843" s="1" t="str">
        <f>"PRG-1026254"</f>
        <v>PRG-1026254</v>
      </c>
      <c r="E4843" t="s">
        <v>1339</v>
      </c>
      <c r="F4843" t="s">
        <v>4</v>
      </c>
      <c r="G4843" t="str">
        <f>""</f>
        <v/>
      </c>
    </row>
    <row r="4844" spans="1:7" x14ac:dyDescent="0.25">
      <c r="A4844" t="s">
        <v>8</v>
      </c>
      <c r="B4844" s="1" t="str">
        <f>"000304721 - RICH   LANIER ISLAND RESORTS"</f>
        <v>000304721 - RICH   LANIER ISLAND RESORTS</v>
      </c>
      <c r="C4844" t="s">
        <v>3028</v>
      </c>
      <c r="D4844" s="1" t="str">
        <f>"PRG-1026275"</f>
        <v>PRG-1026275</v>
      </c>
      <c r="E4844" t="s">
        <v>3029</v>
      </c>
      <c r="F4844" t="s">
        <v>4</v>
      </c>
      <c r="G4844" t="str">
        <f>""</f>
        <v/>
      </c>
    </row>
    <row r="4845" spans="1:7" x14ac:dyDescent="0.25">
      <c r="A4845" t="s">
        <v>8</v>
      </c>
      <c r="B4845" s="1" t="str">
        <f>"S4H00480"</f>
        <v>S4H00480</v>
      </c>
      <c r="C4845" t="s">
        <v>5708</v>
      </c>
      <c r="D4845" s="1" t="str">
        <f>"PRG-1026323"</f>
        <v>PRG-1026323</v>
      </c>
      <c r="E4845" t="s">
        <v>5709</v>
      </c>
      <c r="F4845" t="s">
        <v>5</v>
      </c>
      <c r="G4845" t="str">
        <f>""</f>
        <v/>
      </c>
    </row>
    <row r="4846" spans="1:7" x14ac:dyDescent="0.25">
      <c r="A4846" t="s">
        <v>8</v>
      </c>
      <c r="B4846" s="1" t="str">
        <f>"S3V00160"</f>
        <v>S3V00160</v>
      </c>
      <c r="C4846" t="s">
        <v>5626</v>
      </c>
      <c r="D4846" s="1" t="str">
        <f>"PRG-1026401"</f>
        <v>PRG-1026401</v>
      </c>
      <c r="E4846" t="s">
        <v>5627</v>
      </c>
      <c r="F4846" t="s">
        <v>5</v>
      </c>
      <c r="G4846" t="str">
        <f>""</f>
        <v/>
      </c>
    </row>
    <row r="4847" spans="1:7" x14ac:dyDescent="0.25">
      <c r="A4847" t="s">
        <v>8</v>
      </c>
      <c r="B4847" s="1" t="str">
        <f>"000251103 - RICHS CORNER MARKETS"</f>
        <v>000251103 - RICHS CORNER MARKETS</v>
      </c>
      <c r="C4847" t="s">
        <v>2107</v>
      </c>
      <c r="D4847" s="1" t="str">
        <f>"PRG-1026406"</f>
        <v>PRG-1026406</v>
      </c>
      <c r="E4847" t="s">
        <v>2108</v>
      </c>
      <c r="F4847" t="s">
        <v>4</v>
      </c>
      <c r="G4847" t="str">
        <f>""</f>
        <v/>
      </c>
    </row>
    <row r="4848" spans="1:7" x14ac:dyDescent="0.25">
      <c r="A4848" t="s">
        <v>8</v>
      </c>
      <c r="B4848" s="1" t="str">
        <f>"000236282 - RICHS DC -TULLYS"</f>
        <v>000236282 - RICHS DC -TULLYS</v>
      </c>
      <c r="C4848" t="s">
        <v>1848</v>
      </c>
      <c r="D4848" s="1" t="str">
        <f>"PRG-1026465"</f>
        <v>PRG-1026465</v>
      </c>
      <c r="E4848" t="s">
        <v>1849</v>
      </c>
      <c r="F4848" t="s">
        <v>4</v>
      </c>
      <c r="G4848" t="str">
        <f>""</f>
        <v/>
      </c>
    </row>
    <row r="4849" spans="1:7" x14ac:dyDescent="0.25">
      <c r="A4849" t="s">
        <v>8</v>
      </c>
      <c r="B4849" s="1" t="str">
        <f>"000215041 - RICH 4 RIVERS BBQ"</f>
        <v>000215041 - RICH 4 RIVERS BBQ</v>
      </c>
      <c r="C4849" t="s">
        <v>1514</v>
      </c>
      <c r="D4849" s="1" t="str">
        <f t="shared" ref="D4849:D4856" si="141">"PRG-1026468"</f>
        <v>PRG-1026468</v>
      </c>
      <c r="E4849" t="s">
        <v>1515</v>
      </c>
      <c r="F4849" t="s">
        <v>4</v>
      </c>
      <c r="G4849" t="str">
        <f>""</f>
        <v/>
      </c>
    </row>
    <row r="4850" spans="1:7" x14ac:dyDescent="0.25">
      <c r="A4850" t="s">
        <v>8</v>
      </c>
      <c r="B4850" s="1" t="str">
        <f>"000249798 - RICH 4 RIVERS"</f>
        <v>000249798 - RICH 4 RIVERS</v>
      </c>
      <c r="C4850" t="s">
        <v>2082</v>
      </c>
      <c r="D4850" s="1" t="str">
        <f t="shared" si="141"/>
        <v>PRG-1026468</v>
      </c>
      <c r="E4850" t="s">
        <v>1515</v>
      </c>
      <c r="F4850" t="s">
        <v>4</v>
      </c>
      <c r="G4850" t="str">
        <f>""</f>
        <v/>
      </c>
    </row>
    <row r="4851" spans="1:7" x14ac:dyDescent="0.25">
      <c r="A4851" t="s">
        <v>8</v>
      </c>
      <c r="B4851" s="1" t="str">
        <f>"000262500 - RICH FOODS-RTPT 4RIVERS"</f>
        <v>000262500 - RICH FOODS-RTPT 4RIVERS</v>
      </c>
      <c r="C4851" t="s">
        <v>2319</v>
      </c>
      <c r="D4851" s="1" t="str">
        <f t="shared" si="141"/>
        <v>PRG-1026468</v>
      </c>
      <c r="E4851" t="s">
        <v>1515</v>
      </c>
      <c r="F4851" t="s">
        <v>4</v>
      </c>
      <c r="G4851" t="str">
        <f>""</f>
        <v/>
      </c>
    </row>
    <row r="4852" spans="1:7" x14ac:dyDescent="0.25">
      <c r="A4852" t="s">
        <v>8</v>
      </c>
      <c r="B4852" s="1" t="str">
        <f>"000294474 - RICH PRODUCTS BB 4RIVERS COOP"</f>
        <v>000294474 - RICH PRODUCTS BB 4RIVERS COOP</v>
      </c>
      <c r="C4852" t="s">
        <v>2891</v>
      </c>
      <c r="D4852" s="1" t="str">
        <f t="shared" si="141"/>
        <v>PRG-1026468</v>
      </c>
      <c r="E4852" t="s">
        <v>1515</v>
      </c>
      <c r="F4852" t="s">
        <v>4</v>
      </c>
      <c r="G4852" t="str">
        <f>""</f>
        <v/>
      </c>
    </row>
    <row r="4853" spans="1:7" x14ac:dyDescent="0.25">
      <c r="A4853" t="s">
        <v>8</v>
      </c>
      <c r="B4853" s="1" t="str">
        <f>"000349187 - "</f>
        <v xml:space="preserve">000349187 - </v>
      </c>
      <c r="D4853" s="1" t="str">
        <f t="shared" si="141"/>
        <v>PRG-1026468</v>
      </c>
      <c r="E4853" t="s">
        <v>1515</v>
      </c>
      <c r="F4853" t="s">
        <v>4</v>
      </c>
      <c r="G4853" t="str">
        <f>""</f>
        <v/>
      </c>
    </row>
    <row r="4854" spans="1:7" x14ac:dyDescent="0.25">
      <c r="A4854" t="s">
        <v>8</v>
      </c>
      <c r="B4854" s="1" t="str">
        <f>"000367378 - RICH FOODS-RTPT 4RIVERS"</f>
        <v>000367378 - RICH FOODS-RTPT 4RIVERS</v>
      </c>
      <c r="C4854" t="s">
        <v>2319</v>
      </c>
      <c r="D4854" s="1" t="str">
        <f t="shared" si="141"/>
        <v>PRG-1026468</v>
      </c>
      <c r="E4854" t="s">
        <v>1515</v>
      </c>
      <c r="F4854" t="s">
        <v>4</v>
      </c>
      <c r="G4854" t="str">
        <f>""</f>
        <v/>
      </c>
    </row>
    <row r="4855" spans="1:7" x14ac:dyDescent="0.25">
      <c r="A4855" t="s">
        <v>8</v>
      </c>
      <c r="B4855" s="1" t="str">
        <f>"324389 - "</f>
        <v xml:space="preserve">324389 - </v>
      </c>
      <c r="D4855" s="1" t="str">
        <f t="shared" si="141"/>
        <v>PRG-1026468</v>
      </c>
      <c r="E4855" t="s">
        <v>1515</v>
      </c>
      <c r="F4855" t="s">
        <v>4</v>
      </c>
      <c r="G4855" t="str">
        <f>""</f>
        <v/>
      </c>
    </row>
    <row r="4856" spans="1:7" x14ac:dyDescent="0.25">
      <c r="A4856" t="s">
        <v>8</v>
      </c>
      <c r="B4856" s="1" t="str">
        <f>"367378 - "</f>
        <v xml:space="preserve">367378 - </v>
      </c>
      <c r="D4856" s="1" t="str">
        <f t="shared" si="141"/>
        <v>PRG-1026468</v>
      </c>
      <c r="E4856" t="s">
        <v>1515</v>
      </c>
      <c r="F4856" t="s">
        <v>4</v>
      </c>
      <c r="G4856" t="str">
        <f>""</f>
        <v/>
      </c>
    </row>
    <row r="4857" spans="1:7" x14ac:dyDescent="0.25">
      <c r="A4857" t="s">
        <v>8</v>
      </c>
      <c r="B4857" s="1" t="str">
        <f>"000031458 - RICH PRODUCT CORP-BOWLMOR"</f>
        <v>000031458 - RICH PRODUCT CORP-BOWLMOR</v>
      </c>
      <c r="C4857" t="s">
        <v>498</v>
      </c>
      <c r="D4857" s="1" t="str">
        <f t="shared" ref="D4857:D4880" si="142">"PRG-1026511"</f>
        <v>PRG-1026511</v>
      </c>
      <c r="E4857" t="s">
        <v>499</v>
      </c>
      <c r="F4857" t="s">
        <v>4</v>
      </c>
      <c r="G4857" t="str">
        <f>""</f>
        <v/>
      </c>
    </row>
    <row r="4858" spans="1:7" x14ac:dyDescent="0.25">
      <c r="A4858" t="s">
        <v>8</v>
      </c>
      <c r="B4858" s="1" t="str">
        <f>"000059503 - RICH FOODS-BOWLMOR"</f>
        <v>000059503 - RICH FOODS-BOWLMOR</v>
      </c>
      <c r="C4858" t="s">
        <v>577</v>
      </c>
      <c r="D4858" s="1" t="str">
        <f t="shared" si="142"/>
        <v>PRG-1026511</v>
      </c>
      <c r="E4858" t="s">
        <v>499</v>
      </c>
      <c r="F4858" t="s">
        <v>4</v>
      </c>
      <c r="G4858" t="str">
        <f>""</f>
        <v/>
      </c>
    </row>
    <row r="4859" spans="1:7" x14ac:dyDescent="0.25">
      <c r="A4859" t="s">
        <v>8</v>
      </c>
      <c r="B4859" s="1" t="str">
        <f>"000212230 - RICH PRODUCT CORP-BOWLMOR"</f>
        <v>000212230 - RICH PRODUCT CORP-BOWLMOR</v>
      </c>
      <c r="C4859" t="s">
        <v>498</v>
      </c>
      <c r="D4859" s="1" t="str">
        <f t="shared" si="142"/>
        <v>PRG-1026511</v>
      </c>
      <c r="E4859" t="s">
        <v>499</v>
      </c>
      <c r="F4859" t="s">
        <v>4</v>
      </c>
      <c r="G4859" t="str">
        <f>""</f>
        <v/>
      </c>
    </row>
    <row r="4860" spans="1:7" x14ac:dyDescent="0.25">
      <c r="A4860" t="s">
        <v>8</v>
      </c>
      <c r="B4860" s="1" t="str">
        <f>"000235896 - RICH FOODS-BOWLMOR"</f>
        <v>000235896 - RICH FOODS-BOWLMOR</v>
      </c>
      <c r="C4860" t="s">
        <v>577</v>
      </c>
      <c r="D4860" s="1" t="str">
        <f t="shared" si="142"/>
        <v>PRG-1026511</v>
      </c>
      <c r="E4860" t="s">
        <v>499</v>
      </c>
      <c r="F4860" t="s">
        <v>4</v>
      </c>
      <c r="G4860" t="str">
        <f>""</f>
        <v/>
      </c>
    </row>
    <row r="4861" spans="1:7" x14ac:dyDescent="0.25">
      <c r="A4861" t="s">
        <v>8</v>
      </c>
      <c r="B4861" s="1" t="str">
        <f>"000240960 - RICH PRODUCT CORP-BOWLMOR"</f>
        <v>000240960 - RICH PRODUCT CORP-BOWLMOR</v>
      </c>
      <c r="C4861" t="s">
        <v>498</v>
      </c>
      <c r="D4861" s="1" t="str">
        <f t="shared" si="142"/>
        <v>PRG-1026511</v>
      </c>
      <c r="E4861" t="s">
        <v>499</v>
      </c>
      <c r="F4861" t="s">
        <v>4</v>
      </c>
      <c r="G4861" t="str">
        <f>""</f>
        <v/>
      </c>
    </row>
    <row r="4862" spans="1:7" x14ac:dyDescent="0.25">
      <c r="A4862" t="s">
        <v>8</v>
      </c>
      <c r="B4862" s="1" t="str">
        <f>"000242114 - RICH PRODUCT CORP-BOWLMOR"</f>
        <v>000242114 - RICH PRODUCT CORP-BOWLMOR</v>
      </c>
      <c r="C4862" t="s">
        <v>498</v>
      </c>
      <c r="D4862" s="1" t="str">
        <f t="shared" si="142"/>
        <v>PRG-1026511</v>
      </c>
      <c r="E4862" t="s">
        <v>499</v>
      </c>
      <c r="F4862" t="s">
        <v>4</v>
      </c>
      <c r="G4862" t="str">
        <f>""</f>
        <v/>
      </c>
    </row>
    <row r="4863" spans="1:7" x14ac:dyDescent="0.25">
      <c r="A4863" t="s">
        <v>8</v>
      </c>
      <c r="B4863" s="1" t="str">
        <f>"000242304 - RICH PRODUCT CORP-BOWLMOR"</f>
        <v>000242304 - RICH PRODUCT CORP-BOWLMOR</v>
      </c>
      <c r="C4863" t="s">
        <v>498</v>
      </c>
      <c r="D4863" s="1" t="str">
        <f t="shared" si="142"/>
        <v>PRG-1026511</v>
      </c>
      <c r="E4863" t="s">
        <v>499</v>
      </c>
      <c r="F4863" t="s">
        <v>4</v>
      </c>
      <c r="G4863" t="str">
        <f>""</f>
        <v/>
      </c>
    </row>
    <row r="4864" spans="1:7" x14ac:dyDescent="0.25">
      <c r="A4864" t="s">
        <v>8</v>
      </c>
      <c r="B4864" s="1" t="str">
        <f>"000243600 - RICH FOODS-BOWLMOR"</f>
        <v>000243600 - RICH FOODS-BOWLMOR</v>
      </c>
      <c r="C4864" t="s">
        <v>577</v>
      </c>
      <c r="D4864" s="1" t="str">
        <f t="shared" si="142"/>
        <v>PRG-1026511</v>
      </c>
      <c r="E4864" t="s">
        <v>499</v>
      </c>
      <c r="F4864" t="s">
        <v>4</v>
      </c>
      <c r="G4864" t="str">
        <f>""</f>
        <v/>
      </c>
    </row>
    <row r="4865" spans="1:7" x14ac:dyDescent="0.25">
      <c r="A4865" t="s">
        <v>8</v>
      </c>
      <c r="B4865" s="1" t="str">
        <f>"000249515 - RICH PRODUCT   BCIU"</f>
        <v>000249515 - RICH PRODUCT   BCIU</v>
      </c>
      <c r="C4865" t="s">
        <v>1741</v>
      </c>
      <c r="D4865" s="1" t="str">
        <f t="shared" si="142"/>
        <v>PRG-1026511</v>
      </c>
      <c r="E4865" t="s">
        <v>499</v>
      </c>
      <c r="F4865" t="s">
        <v>4</v>
      </c>
      <c r="G4865" t="str">
        <f>""</f>
        <v/>
      </c>
    </row>
    <row r="4866" spans="1:7" x14ac:dyDescent="0.25">
      <c r="A4866" t="s">
        <v>8</v>
      </c>
      <c r="B4866" s="1" t="str">
        <f>"000253532 - RICH FOODS-BOWLMOR"</f>
        <v>000253532 - RICH FOODS-BOWLMOR</v>
      </c>
      <c r="C4866" t="s">
        <v>577</v>
      </c>
      <c r="D4866" s="1" t="str">
        <f t="shared" si="142"/>
        <v>PRG-1026511</v>
      </c>
      <c r="E4866" t="s">
        <v>499</v>
      </c>
      <c r="F4866" t="s">
        <v>4</v>
      </c>
      <c r="G4866" t="str">
        <f>""</f>
        <v/>
      </c>
    </row>
    <row r="4867" spans="1:7" x14ac:dyDescent="0.25">
      <c r="A4867" t="s">
        <v>8</v>
      </c>
      <c r="B4867" s="1" t="str">
        <f>"000264820 - RICH PRODUCT CORP-BOWLMOR"</f>
        <v>000264820 - RICH PRODUCT CORP-BOWLMOR</v>
      </c>
      <c r="C4867" t="s">
        <v>498</v>
      </c>
      <c r="D4867" s="1" t="str">
        <f t="shared" si="142"/>
        <v>PRG-1026511</v>
      </c>
      <c r="E4867" t="s">
        <v>499</v>
      </c>
      <c r="F4867" t="s">
        <v>4</v>
      </c>
      <c r="G4867" t="str">
        <f>""</f>
        <v/>
      </c>
    </row>
    <row r="4868" spans="1:7" x14ac:dyDescent="0.25">
      <c r="A4868" t="s">
        <v>8</v>
      </c>
      <c r="B4868" s="1" t="str">
        <f>"000273683 - RICH FOODS-BOWLMOR"</f>
        <v>000273683 - RICH FOODS-BOWLMOR</v>
      </c>
      <c r="C4868" t="s">
        <v>577</v>
      </c>
      <c r="D4868" s="1" t="str">
        <f t="shared" si="142"/>
        <v>PRG-1026511</v>
      </c>
      <c r="E4868" t="s">
        <v>499</v>
      </c>
      <c r="F4868" t="s">
        <v>4</v>
      </c>
      <c r="G4868" t="str">
        <f>""</f>
        <v/>
      </c>
    </row>
    <row r="4869" spans="1:7" x14ac:dyDescent="0.25">
      <c r="A4869" t="s">
        <v>8</v>
      </c>
      <c r="B4869" s="1" t="str">
        <f>"000275305 - RICH FOODS-BOWLMOR"</f>
        <v>000275305 - RICH FOODS-BOWLMOR</v>
      </c>
      <c r="C4869" t="s">
        <v>577</v>
      </c>
      <c r="D4869" s="1" t="str">
        <f t="shared" si="142"/>
        <v>PRG-1026511</v>
      </c>
      <c r="E4869" t="s">
        <v>499</v>
      </c>
      <c r="F4869" t="s">
        <v>4</v>
      </c>
      <c r="G4869" t="str">
        <f>""</f>
        <v/>
      </c>
    </row>
    <row r="4870" spans="1:7" x14ac:dyDescent="0.25">
      <c r="A4870" t="s">
        <v>8</v>
      </c>
      <c r="B4870" s="1" t="str">
        <f>"000279946 - RICH PRODUCT CORP-BOWLMOR"</f>
        <v>000279946 - RICH PRODUCT CORP-BOWLMOR</v>
      </c>
      <c r="C4870" t="s">
        <v>498</v>
      </c>
      <c r="D4870" s="1" t="str">
        <f t="shared" si="142"/>
        <v>PRG-1026511</v>
      </c>
      <c r="E4870" t="s">
        <v>499</v>
      </c>
      <c r="F4870" t="s">
        <v>4</v>
      </c>
      <c r="G4870" t="str">
        <f>""</f>
        <v/>
      </c>
    </row>
    <row r="4871" spans="1:7" x14ac:dyDescent="0.25">
      <c r="A4871" t="s">
        <v>8</v>
      </c>
      <c r="B4871" s="1" t="str">
        <f>"000298896 - RICH PRODUCT CORP-BOWLMOR"</f>
        <v>000298896 - RICH PRODUCT CORP-BOWLMOR</v>
      </c>
      <c r="C4871" t="s">
        <v>498</v>
      </c>
      <c r="D4871" s="1" t="str">
        <f t="shared" si="142"/>
        <v>PRG-1026511</v>
      </c>
      <c r="E4871" t="s">
        <v>499</v>
      </c>
      <c r="F4871" t="s">
        <v>4</v>
      </c>
      <c r="G4871" t="str">
        <f>""</f>
        <v/>
      </c>
    </row>
    <row r="4872" spans="1:7" x14ac:dyDescent="0.25">
      <c r="A4872" t="s">
        <v>8</v>
      </c>
      <c r="B4872" s="1" t="str">
        <f>"000304386 - RICH FOODS-BOWLMOR"</f>
        <v>000304386 - RICH FOODS-BOWLMOR</v>
      </c>
      <c r="C4872" t="s">
        <v>577</v>
      </c>
      <c r="D4872" s="1" t="str">
        <f t="shared" si="142"/>
        <v>PRG-1026511</v>
      </c>
      <c r="E4872" t="s">
        <v>499</v>
      </c>
      <c r="F4872" t="s">
        <v>4</v>
      </c>
      <c r="G4872" t="str">
        <f>""</f>
        <v/>
      </c>
    </row>
    <row r="4873" spans="1:7" x14ac:dyDescent="0.25">
      <c r="A4873" t="s">
        <v>8</v>
      </c>
      <c r="B4873" s="1" t="str">
        <f>"000311007 - RICH PRODUCT CORP-BOWLMOR"</f>
        <v>000311007 - RICH PRODUCT CORP-BOWLMOR</v>
      </c>
      <c r="C4873" t="s">
        <v>498</v>
      </c>
      <c r="D4873" s="1" t="str">
        <f t="shared" si="142"/>
        <v>PRG-1026511</v>
      </c>
      <c r="E4873" t="s">
        <v>499</v>
      </c>
      <c r="F4873" t="s">
        <v>4</v>
      </c>
      <c r="G4873" t="str">
        <f>""</f>
        <v/>
      </c>
    </row>
    <row r="4874" spans="1:7" x14ac:dyDescent="0.25">
      <c r="A4874" t="s">
        <v>8</v>
      </c>
      <c r="B4874" s="1" t="str">
        <f>"000335399 - RICH FOODS-BOWLMOR"</f>
        <v>000335399 - RICH FOODS-BOWLMOR</v>
      </c>
      <c r="C4874" t="s">
        <v>577</v>
      </c>
      <c r="D4874" s="1" t="str">
        <f t="shared" si="142"/>
        <v>PRG-1026511</v>
      </c>
      <c r="E4874" t="s">
        <v>499</v>
      </c>
      <c r="F4874" t="s">
        <v>4</v>
      </c>
      <c r="G4874" t="str">
        <f>""</f>
        <v/>
      </c>
    </row>
    <row r="4875" spans="1:7" x14ac:dyDescent="0.25">
      <c r="A4875" t="s">
        <v>8</v>
      </c>
      <c r="B4875" s="1" t="str">
        <f>"000339259 - RICH PRODUCT CORP-BOWLMOR"</f>
        <v>000339259 - RICH PRODUCT CORP-BOWLMOR</v>
      </c>
      <c r="C4875" t="s">
        <v>498</v>
      </c>
      <c r="D4875" s="1" t="str">
        <f t="shared" si="142"/>
        <v>PRG-1026511</v>
      </c>
      <c r="E4875" t="s">
        <v>499</v>
      </c>
      <c r="F4875" t="s">
        <v>4</v>
      </c>
      <c r="G4875" t="str">
        <f>""</f>
        <v/>
      </c>
    </row>
    <row r="4876" spans="1:7" x14ac:dyDescent="0.25">
      <c r="A4876" t="s">
        <v>8</v>
      </c>
      <c r="B4876" s="1" t="str">
        <f>"000344907 - RICH FOODS-BOWLMOR"</f>
        <v>000344907 - RICH FOODS-BOWLMOR</v>
      </c>
      <c r="C4876" t="s">
        <v>577</v>
      </c>
      <c r="D4876" s="1" t="str">
        <f t="shared" si="142"/>
        <v>PRG-1026511</v>
      </c>
      <c r="E4876" t="s">
        <v>499</v>
      </c>
      <c r="F4876" t="s">
        <v>4</v>
      </c>
      <c r="G4876" t="str">
        <f>""</f>
        <v/>
      </c>
    </row>
    <row r="4877" spans="1:7" x14ac:dyDescent="0.25">
      <c r="A4877" t="s">
        <v>8</v>
      </c>
      <c r="B4877" s="1" t="str">
        <f>"000355100 - "</f>
        <v xml:space="preserve">000355100 - </v>
      </c>
      <c r="D4877" s="1" t="str">
        <f t="shared" si="142"/>
        <v>PRG-1026511</v>
      </c>
      <c r="E4877" t="s">
        <v>499</v>
      </c>
      <c r="F4877" t="s">
        <v>4</v>
      </c>
      <c r="G4877" t="str">
        <f>""</f>
        <v/>
      </c>
    </row>
    <row r="4878" spans="1:7" x14ac:dyDescent="0.25">
      <c r="A4878" t="s">
        <v>8</v>
      </c>
      <c r="B4878" s="1" t="str">
        <f>"000358660 - RICH FOODS-BOWLMOR"</f>
        <v>000358660 - RICH FOODS-BOWLMOR</v>
      </c>
      <c r="C4878" t="s">
        <v>577</v>
      </c>
      <c r="D4878" s="1" t="str">
        <f t="shared" si="142"/>
        <v>PRG-1026511</v>
      </c>
      <c r="E4878" t="s">
        <v>499</v>
      </c>
      <c r="F4878" t="s">
        <v>4</v>
      </c>
      <c r="G4878" t="str">
        <f>""</f>
        <v/>
      </c>
    </row>
    <row r="4879" spans="1:7" x14ac:dyDescent="0.25">
      <c r="A4879" t="s">
        <v>8</v>
      </c>
      <c r="B4879" s="1" t="str">
        <f>"000372057 - RICH FOODS-BOWLMOR"</f>
        <v>000372057 - RICH FOODS-BOWLMOR</v>
      </c>
      <c r="C4879" t="s">
        <v>577</v>
      </c>
      <c r="D4879" s="1" t="str">
        <f t="shared" si="142"/>
        <v>PRG-1026511</v>
      </c>
      <c r="E4879" t="s">
        <v>499</v>
      </c>
      <c r="F4879" t="s">
        <v>4</v>
      </c>
      <c r="G4879" t="str">
        <f>""</f>
        <v/>
      </c>
    </row>
    <row r="4880" spans="1:7" x14ac:dyDescent="0.25">
      <c r="A4880" t="s">
        <v>8</v>
      </c>
      <c r="B4880" s="1" t="str">
        <f>"000386171 - RICH FOODS-BOWLMOR"</f>
        <v>000386171 - RICH FOODS-BOWLMOR</v>
      </c>
      <c r="C4880" t="s">
        <v>577</v>
      </c>
      <c r="D4880" s="1" t="str">
        <f t="shared" si="142"/>
        <v>PRG-1026511</v>
      </c>
      <c r="E4880" t="s">
        <v>499</v>
      </c>
      <c r="F4880" t="s">
        <v>4</v>
      </c>
      <c r="G4880" t="str">
        <f>""</f>
        <v/>
      </c>
    </row>
    <row r="4881" spans="1:7" x14ac:dyDescent="0.25">
      <c r="A4881" t="s">
        <v>8</v>
      </c>
      <c r="B4881" s="1" t="str">
        <f>"6026RJ13"</f>
        <v>6026RJ13</v>
      </c>
      <c r="C4881" t="s">
        <v>5126</v>
      </c>
      <c r="D4881" s="1" t="str">
        <f>"PRG-1026533"</f>
        <v>PRG-1026533</v>
      </c>
      <c r="E4881" t="s">
        <v>5127</v>
      </c>
      <c r="F4881" t="s">
        <v>5</v>
      </c>
      <c r="G4881" t="str">
        <f>""</f>
        <v/>
      </c>
    </row>
    <row r="4882" spans="1:7" x14ac:dyDescent="0.25">
      <c r="A4882" t="s">
        <v>8</v>
      </c>
      <c r="B4882" s="1" t="str">
        <f>"000251272 - RICHES BREWSKYS"</f>
        <v>000251272 - RICHES BREWSKYS</v>
      </c>
      <c r="C4882" t="s">
        <v>2110</v>
      </c>
      <c r="D4882" s="1" t="str">
        <f>"PRG-1026637"</f>
        <v>PRG-1026637</v>
      </c>
      <c r="E4882" t="s">
        <v>2111</v>
      </c>
      <c r="F4882" t="s">
        <v>4</v>
      </c>
      <c r="G4882" t="str">
        <f>""</f>
        <v/>
      </c>
    </row>
    <row r="4883" spans="1:7" x14ac:dyDescent="0.25">
      <c r="A4883" t="s">
        <v>8</v>
      </c>
      <c r="B4883" s="1" t="str">
        <f>"2000243021 - RICH FOODS-OSAGE CASINO"</f>
        <v>2000243021 - RICH FOODS-OSAGE CASINO</v>
      </c>
      <c r="C4883" t="s">
        <v>9</v>
      </c>
      <c r="D4883" s="1" t="str">
        <f>"PRG-1026647"</f>
        <v>PRG-1026647</v>
      </c>
      <c r="E4883" t="s">
        <v>10</v>
      </c>
      <c r="F4883" t="s">
        <v>4</v>
      </c>
      <c r="G4883" t="str">
        <f>""</f>
        <v/>
      </c>
    </row>
    <row r="4884" spans="1:7" x14ac:dyDescent="0.25">
      <c r="A4884" t="s">
        <v>8</v>
      </c>
      <c r="B4884" s="1" t="str">
        <f>"2000239828 - RICH'S-JIFFY TRIP"</f>
        <v>2000239828 - RICH'S-JIFFY TRIP</v>
      </c>
      <c r="C4884" t="s">
        <v>72</v>
      </c>
      <c r="D4884" s="1" t="str">
        <f>"PRG-1026648"</f>
        <v>PRG-1026648</v>
      </c>
      <c r="E4884" t="s">
        <v>73</v>
      </c>
      <c r="F4884" t="s">
        <v>4</v>
      </c>
      <c r="G4884" t="str">
        <f>""</f>
        <v/>
      </c>
    </row>
    <row r="4885" spans="1:7" x14ac:dyDescent="0.25">
      <c r="A4885" t="s">
        <v>8</v>
      </c>
      <c r="B4885" s="1" t="str">
        <f>"2000438475 - RICH'S-JIFFY TRIP"</f>
        <v>2000438475 - RICH'S-JIFFY TRIP</v>
      </c>
      <c r="C4885" t="s">
        <v>72</v>
      </c>
      <c r="D4885" s="1" t="str">
        <f>"PRG-1026648"</f>
        <v>PRG-1026648</v>
      </c>
      <c r="E4885" t="s">
        <v>73</v>
      </c>
      <c r="F4885" t="s">
        <v>4</v>
      </c>
      <c r="G4885" t="str">
        <f>""</f>
        <v/>
      </c>
    </row>
    <row r="4886" spans="1:7" x14ac:dyDescent="0.25">
      <c r="A4886" t="s">
        <v>8</v>
      </c>
      <c r="B4886" s="1" t="str">
        <f>"000295082 - RICH'S-ENT SRC 1 SOBIKS"</f>
        <v>000295082 - RICH'S-ENT SRC 1 SOBIKS</v>
      </c>
      <c r="C4886" t="s">
        <v>2896</v>
      </c>
      <c r="D4886" s="1" t="str">
        <f>"PRG-1026666"</f>
        <v>PRG-1026666</v>
      </c>
      <c r="E4886" t="s">
        <v>2897</v>
      </c>
      <c r="F4886" t="s">
        <v>4</v>
      </c>
      <c r="G4886" t="str">
        <f>""</f>
        <v/>
      </c>
    </row>
    <row r="4887" spans="1:7" x14ac:dyDescent="0.25">
      <c r="A4887" t="s">
        <v>8</v>
      </c>
      <c r="B4887" s="1" t="str">
        <f>"000322255 - "</f>
        <v xml:space="preserve">000322255 - </v>
      </c>
      <c r="D4887" s="1" t="str">
        <f>"PRG-1026666"</f>
        <v>PRG-1026666</v>
      </c>
      <c r="E4887" t="s">
        <v>2897</v>
      </c>
      <c r="F4887" t="s">
        <v>4</v>
      </c>
      <c r="G4887" t="str">
        <f>""</f>
        <v/>
      </c>
    </row>
    <row r="4888" spans="1:7" x14ac:dyDescent="0.25">
      <c r="A4888" t="s">
        <v>8</v>
      </c>
      <c r="B4888" s="1" t="str">
        <f>"000266174 - RICH KRUSH BURGER"</f>
        <v>000266174 - RICH KRUSH BURGER</v>
      </c>
      <c r="C4888" t="s">
        <v>2393</v>
      </c>
      <c r="D4888" s="1" t="str">
        <f>"PRG-1026714"</f>
        <v>PRG-1026714</v>
      </c>
      <c r="E4888" t="s">
        <v>2394</v>
      </c>
      <c r="F4888" t="s">
        <v>4</v>
      </c>
      <c r="G4888" t="str">
        <f>""</f>
        <v/>
      </c>
    </row>
    <row r="4889" spans="1:7" x14ac:dyDescent="0.25">
      <c r="A4889" t="s">
        <v>8</v>
      </c>
      <c r="B4889" s="1" t="str">
        <f>"000311613 - RICHS FOODS HLSR"</f>
        <v>000311613 - RICHS FOODS HLSR</v>
      </c>
      <c r="C4889" t="s">
        <v>3123</v>
      </c>
      <c r="D4889" s="1" t="str">
        <f>"PRG-1026736"</f>
        <v>PRG-1026736</v>
      </c>
      <c r="E4889" t="s">
        <v>3124</v>
      </c>
      <c r="F4889" t="s">
        <v>4</v>
      </c>
      <c r="G4889" t="str">
        <f>""</f>
        <v/>
      </c>
    </row>
    <row r="4890" spans="1:7" x14ac:dyDescent="0.25">
      <c r="A4890" t="s">
        <v>8</v>
      </c>
      <c r="B4890" s="1" t="str">
        <f>"21402041"</f>
        <v>21402041</v>
      </c>
      <c r="C4890" t="s">
        <v>4159</v>
      </c>
      <c r="D4890" s="1" t="str">
        <f>"PRG-1026746"</f>
        <v>PRG-1026746</v>
      </c>
      <c r="E4890" t="s">
        <v>4160</v>
      </c>
      <c r="F4890" t="s">
        <v>5</v>
      </c>
      <c r="G4890" t="str">
        <f>""</f>
        <v/>
      </c>
    </row>
    <row r="4891" spans="1:7" x14ac:dyDescent="0.25">
      <c r="A4891" t="s">
        <v>8</v>
      </c>
      <c r="B4891" s="1" t="str">
        <f>"000001027 - RICH'S TOPPINGS SODEXO"</f>
        <v>000001027 - RICH'S TOPPINGS SODEXO</v>
      </c>
      <c r="C4891" t="s">
        <v>78</v>
      </c>
      <c r="D4891" s="1" t="str">
        <f>"PRG-1026763"</f>
        <v>PRG-1026763</v>
      </c>
      <c r="E4891" t="s">
        <v>79</v>
      </c>
      <c r="F4891" t="s">
        <v>4</v>
      </c>
      <c r="G4891" t="str">
        <f>""</f>
        <v/>
      </c>
    </row>
    <row r="4892" spans="1:7" x14ac:dyDescent="0.25">
      <c r="A4892" t="s">
        <v>8</v>
      </c>
      <c r="B4892" s="1" t="str">
        <f>"000002973 - RICH'S TOPPINGS-SODEXO"</f>
        <v>000002973 - RICH'S TOPPINGS-SODEXO</v>
      </c>
      <c r="C4892" t="s">
        <v>142</v>
      </c>
      <c r="D4892" s="1" t="str">
        <f>"PRG-1026763"</f>
        <v>PRG-1026763</v>
      </c>
      <c r="E4892" t="s">
        <v>79</v>
      </c>
      <c r="F4892" t="s">
        <v>4</v>
      </c>
      <c r="G4892" t="str">
        <f>""</f>
        <v/>
      </c>
    </row>
    <row r="4893" spans="1:7" x14ac:dyDescent="0.25">
      <c r="A4893" t="s">
        <v>8</v>
      </c>
      <c r="B4893" s="1" t="str">
        <f>"000232429 - RICH'S TOPPINGS-SODEXO"</f>
        <v>000232429 - RICH'S TOPPINGS-SODEXO</v>
      </c>
      <c r="C4893" t="s">
        <v>142</v>
      </c>
      <c r="D4893" s="1" t="str">
        <f>"PRG-1026763"</f>
        <v>PRG-1026763</v>
      </c>
      <c r="E4893" t="s">
        <v>79</v>
      </c>
      <c r="F4893" t="s">
        <v>4</v>
      </c>
      <c r="G4893" t="str">
        <f>""</f>
        <v/>
      </c>
    </row>
    <row r="4894" spans="1:7" x14ac:dyDescent="0.25">
      <c r="A4894" t="s">
        <v>8</v>
      </c>
      <c r="B4894" s="1" t="str">
        <f>"000280394 - RICH'S TOPPINGS-SODEXO"</f>
        <v>000280394 - RICH'S TOPPINGS-SODEXO</v>
      </c>
      <c r="C4894" t="s">
        <v>142</v>
      </c>
      <c r="D4894" s="1" t="str">
        <f>"PRG-1026763"</f>
        <v>PRG-1026763</v>
      </c>
      <c r="E4894" t="s">
        <v>79</v>
      </c>
      <c r="F4894" t="s">
        <v>4</v>
      </c>
      <c r="G4894" t="str">
        <f>""</f>
        <v/>
      </c>
    </row>
    <row r="4895" spans="1:7" x14ac:dyDescent="0.25">
      <c r="A4895" t="s">
        <v>8</v>
      </c>
      <c r="B4895" s="1" t="str">
        <f>"000292307 - RICH'S TOPPINGS-SODEXO FIX"</f>
        <v>000292307 - RICH'S TOPPINGS-SODEXO FIX</v>
      </c>
      <c r="C4895" t="s">
        <v>2861</v>
      </c>
      <c r="D4895" s="1" t="str">
        <f>"PRG-1026763"</f>
        <v>PRG-1026763</v>
      </c>
      <c r="E4895" t="s">
        <v>79</v>
      </c>
      <c r="F4895" t="s">
        <v>4</v>
      </c>
      <c r="G4895" t="str">
        <f>""</f>
        <v/>
      </c>
    </row>
    <row r="4896" spans="1:7" x14ac:dyDescent="0.25">
      <c r="A4896" t="s">
        <v>8</v>
      </c>
      <c r="B4896" s="1" t="str">
        <f>"000282983 - RICH HEIDI'S OF GRESHAM"</f>
        <v>000282983 - RICH HEIDI'S OF GRESHAM</v>
      </c>
      <c r="C4896" t="s">
        <v>2677</v>
      </c>
      <c r="D4896" s="1" t="str">
        <f>"PRG-1026764"</f>
        <v>PRG-1026764</v>
      </c>
      <c r="E4896" t="s">
        <v>2678</v>
      </c>
      <c r="F4896" t="s">
        <v>4</v>
      </c>
      <c r="G4896" t="str">
        <f>""</f>
        <v/>
      </c>
    </row>
    <row r="4897" spans="1:7" x14ac:dyDescent="0.25">
      <c r="A4897" t="s">
        <v>8</v>
      </c>
      <c r="B4897" s="1" t="str">
        <f>"000240620 - "</f>
        <v xml:space="preserve">000240620 - </v>
      </c>
      <c r="D4897" s="1" t="str">
        <f>"PRG-1026777"</f>
        <v>PRG-1026777</v>
      </c>
      <c r="E4897" t="s">
        <v>1909</v>
      </c>
      <c r="F4897" t="s">
        <v>4</v>
      </c>
      <c r="G4897" t="str">
        <f>""</f>
        <v/>
      </c>
    </row>
    <row r="4898" spans="1:7" x14ac:dyDescent="0.25">
      <c r="A4898" t="s">
        <v>8</v>
      </c>
      <c r="B4898" s="1" t="str">
        <f>"S8S002T0"</f>
        <v>S8S002T0</v>
      </c>
      <c r="C4898" t="s">
        <v>6271</v>
      </c>
      <c r="D4898" s="1" t="str">
        <f>"PRG-1026779"</f>
        <v>PRG-1026779</v>
      </c>
      <c r="E4898" t="s">
        <v>6272</v>
      </c>
      <c r="F4898" t="s">
        <v>5</v>
      </c>
      <c r="G4898" t="str">
        <f>""</f>
        <v/>
      </c>
    </row>
    <row r="4899" spans="1:7" x14ac:dyDescent="0.25">
      <c r="A4899" t="s">
        <v>8</v>
      </c>
      <c r="B4899" s="1" t="str">
        <f>"000243503 - RICH PRODUCTS   FY15 FSH ALLOW"</f>
        <v>000243503 - RICH PRODUCTS   FY15 FSH ALLOW</v>
      </c>
      <c r="C4899" t="s">
        <v>1956</v>
      </c>
      <c r="D4899" s="1" t="str">
        <f>"PRG-1026781"</f>
        <v>PRG-1026781</v>
      </c>
      <c r="E4899" t="s">
        <v>1957</v>
      </c>
      <c r="F4899" t="s">
        <v>4</v>
      </c>
      <c r="G4899" t="str">
        <f>""</f>
        <v/>
      </c>
    </row>
    <row r="4900" spans="1:7" x14ac:dyDescent="0.25">
      <c r="A4900" t="s">
        <v>8</v>
      </c>
      <c r="B4900" s="1" t="str">
        <f>"000345879 - RICH SAN DIEGO ZOO"</f>
        <v>000345879 - RICH SAN DIEGO ZOO</v>
      </c>
      <c r="C4900" t="s">
        <v>3464</v>
      </c>
      <c r="D4900" s="1" t="str">
        <f>"PRG-1026783"</f>
        <v>PRG-1026783</v>
      </c>
      <c r="E4900" t="s">
        <v>3465</v>
      </c>
      <c r="F4900" t="s">
        <v>4</v>
      </c>
      <c r="G4900" t="str">
        <f>""</f>
        <v/>
      </c>
    </row>
    <row r="4901" spans="1:7" x14ac:dyDescent="0.25">
      <c r="A4901" t="s">
        <v>8</v>
      </c>
      <c r="B4901" s="1" t="str">
        <f>"000365511 - "</f>
        <v xml:space="preserve">000365511 - </v>
      </c>
      <c r="D4901" s="1" t="str">
        <f>"PRG-1026783"</f>
        <v>PRG-1026783</v>
      </c>
      <c r="E4901" t="s">
        <v>3465</v>
      </c>
      <c r="F4901" t="s">
        <v>4</v>
      </c>
      <c r="G4901" t="str">
        <f>""</f>
        <v/>
      </c>
    </row>
    <row r="4902" spans="1:7" x14ac:dyDescent="0.25">
      <c r="A4902" t="s">
        <v>8</v>
      </c>
      <c r="B4902" s="1" t="str">
        <f>"3160A827"</f>
        <v>3160A827</v>
      </c>
      <c r="C4902" t="s">
        <v>4678</v>
      </c>
      <c r="D4902" s="1" t="str">
        <f>"PRG-1026802"</f>
        <v>PRG-1026802</v>
      </c>
      <c r="E4902" t="s">
        <v>4679</v>
      </c>
      <c r="F4902" t="s">
        <v>5</v>
      </c>
      <c r="G4902" t="str">
        <f>""</f>
        <v/>
      </c>
    </row>
    <row r="4903" spans="1:7" x14ac:dyDescent="0.25">
      <c r="A4903" t="s">
        <v>8</v>
      </c>
      <c r="B4903" s="1" t="str">
        <f>"S9U001V0"</f>
        <v>S9U001V0</v>
      </c>
      <c r="C4903" t="s">
        <v>6372</v>
      </c>
      <c r="D4903" s="1" t="str">
        <f>"PRG-1026812"</f>
        <v>PRG-1026812</v>
      </c>
      <c r="E4903" t="s">
        <v>6373</v>
      </c>
      <c r="F4903" t="s">
        <v>5</v>
      </c>
      <c r="G4903" t="str">
        <f>""</f>
        <v/>
      </c>
    </row>
    <row r="4904" spans="1:7" x14ac:dyDescent="0.25">
      <c r="A4904" t="s">
        <v>8</v>
      </c>
      <c r="B4904" s="1" t="str">
        <f>"000127185 - RICH FOOD-BEEF O BRADY"</f>
        <v>000127185 - RICH FOOD-BEEF O BRADY</v>
      </c>
      <c r="C4904" t="s">
        <v>92</v>
      </c>
      <c r="D4904" s="1" t="str">
        <f t="shared" ref="D4904:D4914" si="143">"PRG-1026846"</f>
        <v>PRG-1026846</v>
      </c>
      <c r="E4904" t="s">
        <v>291</v>
      </c>
      <c r="F4904" t="s">
        <v>4</v>
      </c>
      <c r="G4904" t="str">
        <f>""</f>
        <v/>
      </c>
    </row>
    <row r="4905" spans="1:7" x14ac:dyDescent="0.25">
      <c r="A4905" t="s">
        <v>8</v>
      </c>
      <c r="B4905" s="1" t="str">
        <f>"000136494 - RICH FOOD-BEEF O BRADY"</f>
        <v>000136494 - RICH FOOD-BEEF O BRADY</v>
      </c>
      <c r="C4905" t="s">
        <v>92</v>
      </c>
      <c r="D4905" s="1" t="str">
        <f t="shared" si="143"/>
        <v>PRG-1026846</v>
      </c>
      <c r="E4905" t="s">
        <v>291</v>
      </c>
      <c r="F4905" t="s">
        <v>4</v>
      </c>
      <c r="G4905" t="str">
        <f>""</f>
        <v/>
      </c>
    </row>
    <row r="4906" spans="1:7" x14ac:dyDescent="0.25">
      <c r="A4906" t="s">
        <v>8</v>
      </c>
      <c r="B4906" s="1" t="str">
        <f>"000219160 - RICH FOOD-BEEF O BRADY"</f>
        <v>000219160 - RICH FOOD-BEEF O BRADY</v>
      </c>
      <c r="C4906" t="s">
        <v>92</v>
      </c>
      <c r="D4906" s="1" t="str">
        <f t="shared" si="143"/>
        <v>PRG-1026846</v>
      </c>
      <c r="E4906" t="s">
        <v>291</v>
      </c>
      <c r="F4906" t="s">
        <v>4</v>
      </c>
      <c r="G4906" t="str">
        <f>""</f>
        <v/>
      </c>
    </row>
    <row r="4907" spans="1:7" x14ac:dyDescent="0.25">
      <c r="A4907" t="s">
        <v>8</v>
      </c>
      <c r="B4907" s="1" t="str">
        <f>"000227991 - RICH FOOD-BEEF O BRADY"</f>
        <v>000227991 - RICH FOOD-BEEF O BRADY</v>
      </c>
      <c r="C4907" t="s">
        <v>92</v>
      </c>
      <c r="D4907" s="1" t="str">
        <f t="shared" si="143"/>
        <v>PRG-1026846</v>
      </c>
      <c r="E4907" t="s">
        <v>291</v>
      </c>
      <c r="F4907" t="s">
        <v>4</v>
      </c>
      <c r="G4907" t="str">
        <f>""</f>
        <v/>
      </c>
    </row>
    <row r="4908" spans="1:7" x14ac:dyDescent="0.25">
      <c r="A4908" t="s">
        <v>8</v>
      </c>
      <c r="B4908" s="1" t="str">
        <f>"000233163 - RICH FOOD-BEEF O BRADY"</f>
        <v>000233163 - RICH FOOD-BEEF O BRADY</v>
      </c>
      <c r="C4908" t="s">
        <v>92</v>
      </c>
      <c r="D4908" s="1" t="str">
        <f t="shared" si="143"/>
        <v>PRG-1026846</v>
      </c>
      <c r="E4908" t="s">
        <v>291</v>
      </c>
      <c r="F4908" t="s">
        <v>4</v>
      </c>
      <c r="G4908" t="str">
        <f>""</f>
        <v/>
      </c>
    </row>
    <row r="4909" spans="1:7" x14ac:dyDescent="0.25">
      <c r="A4909" t="s">
        <v>8</v>
      </c>
      <c r="B4909" s="1" t="str">
        <f>"000234752 - RICH FOOD-BEEF O BRADY"</f>
        <v>000234752 - RICH FOOD-BEEF O BRADY</v>
      </c>
      <c r="C4909" t="s">
        <v>92</v>
      </c>
      <c r="D4909" s="1" t="str">
        <f t="shared" si="143"/>
        <v>PRG-1026846</v>
      </c>
      <c r="E4909" t="s">
        <v>291</v>
      </c>
      <c r="F4909" t="s">
        <v>4</v>
      </c>
      <c r="G4909" t="str">
        <f>""</f>
        <v/>
      </c>
    </row>
    <row r="4910" spans="1:7" x14ac:dyDescent="0.25">
      <c r="A4910" t="s">
        <v>8</v>
      </c>
      <c r="B4910" s="1" t="str">
        <f>"000245152 - RICH FOOD-BEEF O BRADY"</f>
        <v>000245152 - RICH FOOD-BEEF O BRADY</v>
      </c>
      <c r="C4910" t="s">
        <v>92</v>
      </c>
      <c r="D4910" s="1" t="str">
        <f t="shared" si="143"/>
        <v>PRG-1026846</v>
      </c>
      <c r="E4910" t="s">
        <v>291</v>
      </c>
      <c r="F4910" t="s">
        <v>4</v>
      </c>
      <c r="G4910" t="str">
        <f>""</f>
        <v/>
      </c>
    </row>
    <row r="4911" spans="1:7" x14ac:dyDescent="0.25">
      <c r="A4911" t="s">
        <v>8</v>
      </c>
      <c r="B4911" s="1" t="str">
        <f>"000247747 - RICH FOOD-BEEF O BRADY"</f>
        <v>000247747 - RICH FOOD-BEEF O BRADY</v>
      </c>
      <c r="C4911" t="s">
        <v>92</v>
      </c>
      <c r="D4911" s="1" t="str">
        <f t="shared" si="143"/>
        <v>PRG-1026846</v>
      </c>
      <c r="E4911" t="s">
        <v>291</v>
      </c>
      <c r="F4911" t="s">
        <v>4</v>
      </c>
      <c r="G4911" t="str">
        <f>""</f>
        <v/>
      </c>
    </row>
    <row r="4912" spans="1:7" x14ac:dyDescent="0.25">
      <c r="A4912" t="s">
        <v>8</v>
      </c>
      <c r="B4912" s="1" t="str">
        <f>"000284340 - RICH FOOD-BEEF O BRADY"</f>
        <v>000284340 - RICH FOOD-BEEF O BRADY</v>
      </c>
      <c r="C4912" t="s">
        <v>92</v>
      </c>
      <c r="D4912" s="1" t="str">
        <f t="shared" si="143"/>
        <v>PRG-1026846</v>
      </c>
      <c r="E4912" t="s">
        <v>291</v>
      </c>
      <c r="F4912" t="s">
        <v>4</v>
      </c>
      <c r="G4912" t="str">
        <f>""</f>
        <v/>
      </c>
    </row>
    <row r="4913" spans="1:7" x14ac:dyDescent="0.25">
      <c r="A4913" t="s">
        <v>8</v>
      </c>
      <c r="B4913" s="1" t="str">
        <f>"2000241632 - RICH FOODS-BEEF O BRADY'S"</f>
        <v>2000241632 - RICH FOODS-BEEF O BRADY'S</v>
      </c>
      <c r="C4913" t="s">
        <v>3990</v>
      </c>
      <c r="D4913" s="1" t="str">
        <f t="shared" si="143"/>
        <v>PRG-1026846</v>
      </c>
      <c r="E4913" t="s">
        <v>291</v>
      </c>
      <c r="F4913" t="s">
        <v>4</v>
      </c>
      <c r="G4913" t="str">
        <f>""</f>
        <v/>
      </c>
    </row>
    <row r="4914" spans="1:7" x14ac:dyDescent="0.25">
      <c r="A4914" t="s">
        <v>8</v>
      </c>
      <c r="B4914" s="1" t="str">
        <f>"2000302638 - RICH FOODS-BEEF O BRADY'S"</f>
        <v>2000302638 - RICH FOODS-BEEF O BRADY'S</v>
      </c>
      <c r="C4914" t="s">
        <v>3990</v>
      </c>
      <c r="D4914" s="1" t="str">
        <f t="shared" si="143"/>
        <v>PRG-1026846</v>
      </c>
      <c r="E4914" t="s">
        <v>291</v>
      </c>
      <c r="F4914" t="s">
        <v>4</v>
      </c>
      <c r="G4914" t="str">
        <f>""</f>
        <v/>
      </c>
    </row>
    <row r="4915" spans="1:7" x14ac:dyDescent="0.25">
      <c r="A4915" t="s">
        <v>8</v>
      </c>
      <c r="B4915" s="1" t="str">
        <f>"S2Z001U0"</f>
        <v>S2Z001U0</v>
      </c>
      <c r="C4915" t="s">
        <v>5587</v>
      </c>
      <c r="D4915" s="1" t="str">
        <f>"PRG-1026869"</f>
        <v>PRG-1026869</v>
      </c>
      <c r="E4915" t="s">
        <v>5588</v>
      </c>
      <c r="F4915" t="s">
        <v>5</v>
      </c>
      <c r="G4915" t="str">
        <f>""</f>
        <v/>
      </c>
    </row>
    <row r="4916" spans="1:7" x14ac:dyDescent="0.25">
      <c r="A4916" t="s">
        <v>8</v>
      </c>
      <c r="B4916" s="1" t="str">
        <f>"S3M00BT0"</f>
        <v>S3M00BT0</v>
      </c>
      <c r="C4916" t="s">
        <v>5613</v>
      </c>
      <c r="D4916" s="1" t="str">
        <f>"PRG-1026877"</f>
        <v>PRG-1026877</v>
      </c>
      <c r="E4916" t="s">
        <v>5614</v>
      </c>
      <c r="F4916" t="s">
        <v>5</v>
      </c>
      <c r="G4916" t="str">
        <f>""</f>
        <v/>
      </c>
    </row>
    <row r="4917" spans="1:7" x14ac:dyDescent="0.25">
      <c r="A4917" t="s">
        <v>8</v>
      </c>
      <c r="B4917" s="1" t="str">
        <f>"000283638 - RICH WILD RIVER"</f>
        <v>000283638 - RICH WILD RIVER</v>
      </c>
      <c r="C4917" t="s">
        <v>2693</v>
      </c>
      <c r="D4917" s="1" t="str">
        <f>"PRG-1026985"</f>
        <v>PRG-1026985</v>
      </c>
      <c r="E4917" t="s">
        <v>2694</v>
      </c>
      <c r="F4917" t="s">
        <v>4</v>
      </c>
      <c r="G4917" t="str">
        <f>""</f>
        <v/>
      </c>
    </row>
    <row r="4918" spans="1:7" x14ac:dyDescent="0.25">
      <c r="A4918" t="s">
        <v>8</v>
      </c>
      <c r="B4918" s="1" t="str">
        <f>"000128067 - RICH'S-BAMBOO &amp; HOLIDAY SUNSPR"</f>
        <v>000128067 - RICH'S-BAMBOO &amp; HOLIDAY SUNSPR</v>
      </c>
      <c r="C4918" t="s">
        <v>925</v>
      </c>
      <c r="D4918" s="1" t="str">
        <f>"PRG-1027031"</f>
        <v>PRG-1027031</v>
      </c>
      <c r="E4918" t="s">
        <v>926</v>
      </c>
      <c r="F4918" t="s">
        <v>4</v>
      </c>
      <c r="G4918" t="str">
        <f>""</f>
        <v/>
      </c>
    </row>
    <row r="4919" spans="1:7" x14ac:dyDescent="0.25">
      <c r="A4919" t="s">
        <v>8</v>
      </c>
      <c r="B4919" s="1" t="str">
        <f>"S9D002F0"</f>
        <v>S9D002F0</v>
      </c>
      <c r="C4919" t="s">
        <v>6326</v>
      </c>
      <c r="D4919" s="1" t="str">
        <f>"PRG-1027034"</f>
        <v>PRG-1027034</v>
      </c>
      <c r="E4919" t="s">
        <v>6327</v>
      </c>
      <c r="F4919" t="s">
        <v>5</v>
      </c>
      <c r="G4919" t="str">
        <f>""</f>
        <v/>
      </c>
    </row>
    <row r="4920" spans="1:7" x14ac:dyDescent="0.25">
      <c r="A4920" t="s">
        <v>8</v>
      </c>
      <c r="B4920" s="1" t="str">
        <f>"000201135 - CASA DI BERTACCHI-SODEXO"</f>
        <v>000201135 - CASA DI BERTACCHI-SODEXO</v>
      </c>
      <c r="C4920" t="s">
        <v>378</v>
      </c>
      <c r="D4920" s="1" t="str">
        <f>"PRG-1027096"</f>
        <v>PRG-1027096</v>
      </c>
      <c r="E4920" t="s">
        <v>36</v>
      </c>
      <c r="F4920" t="s">
        <v>4</v>
      </c>
      <c r="G4920" t="str">
        <f>""</f>
        <v/>
      </c>
    </row>
    <row r="4921" spans="1:7" x14ac:dyDescent="0.25">
      <c r="A4921" t="s">
        <v>8</v>
      </c>
      <c r="B4921" s="1" t="str">
        <f>"000229769 - CASA DI BERTACCHI-SODEXO"</f>
        <v>000229769 - CASA DI BERTACCHI-SODEXO</v>
      </c>
      <c r="C4921" t="s">
        <v>378</v>
      </c>
      <c r="D4921" s="1" t="str">
        <f>"PRG-1027096"</f>
        <v>PRG-1027096</v>
      </c>
      <c r="E4921" t="s">
        <v>36</v>
      </c>
      <c r="F4921" t="s">
        <v>4</v>
      </c>
      <c r="G4921" t="str">
        <f>""</f>
        <v/>
      </c>
    </row>
    <row r="4922" spans="1:7" x14ac:dyDescent="0.25">
      <c r="A4922" t="s">
        <v>8</v>
      </c>
      <c r="B4922" s="1" t="str">
        <f>"000275581 - CASA DI BERTACCHI-SODEXO"</f>
        <v>000275581 - CASA DI BERTACCHI-SODEXO</v>
      </c>
      <c r="C4922" t="s">
        <v>378</v>
      </c>
      <c r="D4922" s="1" t="str">
        <f>"PRG-1027096"</f>
        <v>PRG-1027096</v>
      </c>
      <c r="E4922" t="s">
        <v>36</v>
      </c>
      <c r="F4922" t="s">
        <v>4</v>
      </c>
      <c r="G4922" t="str">
        <f>""</f>
        <v/>
      </c>
    </row>
    <row r="4923" spans="1:7" x14ac:dyDescent="0.25">
      <c r="A4923" t="s">
        <v>8</v>
      </c>
      <c r="B4923" s="1" t="str">
        <f>"2000231088 - CASA DI(MEATBALLS)-SODEXO"</f>
        <v>2000231088 - CASA DI(MEATBALLS)-SODEXO</v>
      </c>
      <c r="C4923" t="s">
        <v>3839</v>
      </c>
      <c r="D4923" s="1" t="str">
        <f>"PRG-1027096"</f>
        <v>PRG-1027096</v>
      </c>
      <c r="E4923" t="s">
        <v>36</v>
      </c>
      <c r="F4923" t="s">
        <v>4</v>
      </c>
      <c r="G4923" t="str">
        <f>""</f>
        <v/>
      </c>
    </row>
    <row r="4924" spans="1:7" x14ac:dyDescent="0.25">
      <c r="A4924" t="s">
        <v>8</v>
      </c>
      <c r="B4924" s="1" t="str">
        <f>"000000342 - CASA DI BERTAC SODEXO AKXDOCK"</f>
        <v>000000342 - CASA DI BERTAC SODEXO AKXDOCK</v>
      </c>
      <c r="C4924" t="s">
        <v>35</v>
      </c>
      <c r="D4924" s="1" t="str">
        <f t="shared" ref="D4924:D4968" si="144">"PRG-1027097"</f>
        <v>PRG-1027097</v>
      </c>
      <c r="E4924" t="s">
        <v>36</v>
      </c>
      <c r="F4924" t="s">
        <v>4</v>
      </c>
      <c r="G4924" t="str">
        <f>""</f>
        <v/>
      </c>
    </row>
    <row r="4925" spans="1:7" x14ac:dyDescent="0.25">
      <c r="A4925" t="s">
        <v>8</v>
      </c>
      <c r="B4925" s="1" t="str">
        <f>"000003027 - CASA DI BERTAC SODEXO AKMIXED"</f>
        <v>000003027 - CASA DI BERTAC SODEXO AKMIXED</v>
      </c>
      <c r="C4925" t="s">
        <v>144</v>
      </c>
      <c r="D4925" s="1" t="str">
        <f t="shared" si="144"/>
        <v>PRG-1027097</v>
      </c>
      <c r="E4925" t="s">
        <v>36</v>
      </c>
      <c r="F4925" t="s">
        <v>4</v>
      </c>
      <c r="G4925" t="str">
        <f>""</f>
        <v/>
      </c>
    </row>
    <row r="4926" spans="1:7" x14ac:dyDescent="0.25">
      <c r="A4926" t="s">
        <v>8</v>
      </c>
      <c r="B4926" s="1" t="str">
        <f>"000030067 - CASA DI BERTACCHI-SODEXO"</f>
        <v>000030067 - CASA DI BERTACCHI-SODEXO</v>
      </c>
      <c r="C4926" t="s">
        <v>378</v>
      </c>
      <c r="D4926" s="1" t="str">
        <f t="shared" si="144"/>
        <v>PRG-1027097</v>
      </c>
      <c r="E4926" t="s">
        <v>36</v>
      </c>
      <c r="F4926" t="s">
        <v>4</v>
      </c>
      <c r="G4926" t="str">
        <f>""</f>
        <v/>
      </c>
    </row>
    <row r="4927" spans="1:7" x14ac:dyDescent="0.25">
      <c r="A4927" t="s">
        <v>8</v>
      </c>
      <c r="B4927" s="1" t="str">
        <f>"000038771 - CASA DI BERTACCHI-SODEXO"</f>
        <v>000038771 - CASA DI BERTACCHI-SODEXO</v>
      </c>
      <c r="C4927" t="s">
        <v>378</v>
      </c>
      <c r="D4927" s="1" t="str">
        <f t="shared" si="144"/>
        <v>PRG-1027097</v>
      </c>
      <c r="E4927" t="s">
        <v>36</v>
      </c>
      <c r="F4927" t="s">
        <v>4</v>
      </c>
      <c r="G4927" t="str">
        <f>""</f>
        <v/>
      </c>
    </row>
    <row r="4928" spans="1:7" x14ac:dyDescent="0.25">
      <c r="A4928" t="s">
        <v>8</v>
      </c>
      <c r="B4928" s="1" t="str">
        <f>"000098285 - CASA DI BERTACCHI-SODEXO"</f>
        <v>000098285 - CASA DI BERTACCHI-SODEXO</v>
      </c>
      <c r="C4928" t="s">
        <v>378</v>
      </c>
      <c r="D4928" s="1" t="str">
        <f t="shared" si="144"/>
        <v>PRG-1027097</v>
      </c>
      <c r="E4928" t="s">
        <v>36</v>
      </c>
      <c r="F4928" t="s">
        <v>4</v>
      </c>
      <c r="G4928" t="str">
        <f>""</f>
        <v/>
      </c>
    </row>
    <row r="4929" spans="1:7" x14ac:dyDescent="0.25">
      <c r="A4929" t="s">
        <v>8</v>
      </c>
      <c r="B4929" s="1" t="str">
        <f>"000105424 - CASA DI BERTACCHI-SODEXO"</f>
        <v>000105424 - CASA DI BERTACCHI-SODEXO</v>
      </c>
      <c r="C4929" t="s">
        <v>378</v>
      </c>
      <c r="D4929" s="1" t="str">
        <f t="shared" si="144"/>
        <v>PRG-1027097</v>
      </c>
      <c r="E4929" t="s">
        <v>36</v>
      </c>
      <c r="F4929" t="s">
        <v>4</v>
      </c>
      <c r="G4929" t="str">
        <f>""</f>
        <v/>
      </c>
    </row>
    <row r="4930" spans="1:7" x14ac:dyDescent="0.25">
      <c r="A4930" t="s">
        <v>8</v>
      </c>
      <c r="B4930" s="1" t="str">
        <f>"000126714 - CASA DI BERTACCHI-SODEXO"</f>
        <v>000126714 - CASA DI BERTACCHI-SODEXO</v>
      </c>
      <c r="C4930" t="s">
        <v>378</v>
      </c>
      <c r="D4930" s="1" t="str">
        <f t="shared" si="144"/>
        <v>PRG-1027097</v>
      </c>
      <c r="E4930" t="s">
        <v>36</v>
      </c>
      <c r="F4930" t="s">
        <v>4</v>
      </c>
      <c r="G4930" t="str">
        <f>""</f>
        <v/>
      </c>
    </row>
    <row r="4931" spans="1:7" x14ac:dyDescent="0.25">
      <c r="A4931" t="s">
        <v>8</v>
      </c>
      <c r="B4931" s="1" t="str">
        <f>"000129694 - CASA DI BERTACCHI-SODEXO"</f>
        <v>000129694 - CASA DI BERTACCHI-SODEXO</v>
      </c>
      <c r="C4931" t="s">
        <v>378</v>
      </c>
      <c r="D4931" s="1" t="str">
        <f t="shared" si="144"/>
        <v>PRG-1027097</v>
      </c>
      <c r="E4931" t="s">
        <v>36</v>
      </c>
      <c r="F4931" t="s">
        <v>4</v>
      </c>
      <c r="G4931" t="str">
        <f>""</f>
        <v/>
      </c>
    </row>
    <row r="4932" spans="1:7" x14ac:dyDescent="0.25">
      <c r="A4932" t="s">
        <v>8</v>
      </c>
      <c r="B4932" s="1" t="str">
        <f>"000130176 - CASA DI BERTACCHI-SODEXO"</f>
        <v>000130176 - CASA DI BERTACCHI-SODEXO</v>
      </c>
      <c r="C4932" t="s">
        <v>378</v>
      </c>
      <c r="D4932" s="1" t="str">
        <f t="shared" si="144"/>
        <v>PRG-1027097</v>
      </c>
      <c r="E4932" t="s">
        <v>36</v>
      </c>
      <c r="F4932" t="s">
        <v>4</v>
      </c>
      <c r="G4932" t="str">
        <f>""</f>
        <v/>
      </c>
    </row>
    <row r="4933" spans="1:7" x14ac:dyDescent="0.25">
      <c r="A4933" t="s">
        <v>8</v>
      </c>
      <c r="B4933" s="1" t="str">
        <f>"000133621 - CASA DI BERTACCHI-SODEXO"</f>
        <v>000133621 - CASA DI BERTACCHI-SODEXO</v>
      </c>
      <c r="C4933" t="s">
        <v>378</v>
      </c>
      <c r="D4933" s="1" t="str">
        <f t="shared" si="144"/>
        <v>PRG-1027097</v>
      </c>
      <c r="E4933" t="s">
        <v>36</v>
      </c>
      <c r="F4933" t="s">
        <v>4</v>
      </c>
      <c r="G4933" t="str">
        <f>""</f>
        <v/>
      </c>
    </row>
    <row r="4934" spans="1:7" x14ac:dyDescent="0.25">
      <c r="A4934" t="s">
        <v>8</v>
      </c>
      <c r="B4934" s="1" t="str">
        <f>"000142509 - CASA DI BERTACCHI-SODEXO"</f>
        <v>000142509 - CASA DI BERTACCHI-SODEXO</v>
      </c>
      <c r="C4934" t="s">
        <v>378</v>
      </c>
      <c r="D4934" s="1" t="str">
        <f t="shared" si="144"/>
        <v>PRG-1027097</v>
      </c>
      <c r="E4934" t="s">
        <v>36</v>
      </c>
      <c r="F4934" t="s">
        <v>4</v>
      </c>
      <c r="G4934" t="str">
        <f>""</f>
        <v/>
      </c>
    </row>
    <row r="4935" spans="1:7" x14ac:dyDescent="0.25">
      <c r="A4935" t="s">
        <v>8</v>
      </c>
      <c r="B4935" s="1" t="str">
        <f>"000146907 - CASA DI BERTACCHI-SODEXO"</f>
        <v>000146907 - CASA DI BERTACCHI-SODEXO</v>
      </c>
      <c r="C4935" t="s">
        <v>378</v>
      </c>
      <c r="D4935" s="1" t="str">
        <f t="shared" si="144"/>
        <v>PRG-1027097</v>
      </c>
      <c r="E4935" t="s">
        <v>36</v>
      </c>
      <c r="F4935" t="s">
        <v>4</v>
      </c>
      <c r="G4935" t="str">
        <f>""</f>
        <v/>
      </c>
    </row>
    <row r="4936" spans="1:7" x14ac:dyDescent="0.25">
      <c r="A4936" t="s">
        <v>8</v>
      </c>
      <c r="B4936" s="1" t="str">
        <f>"000173223 - CASA DIBERTACCHI-ARAMARK"</f>
        <v>000173223 - CASA DIBERTACCHI-ARAMARK</v>
      </c>
      <c r="C4936" t="s">
        <v>104</v>
      </c>
      <c r="D4936" s="1" t="str">
        <f t="shared" si="144"/>
        <v>PRG-1027097</v>
      </c>
      <c r="E4936" t="s">
        <v>36</v>
      </c>
      <c r="F4936" t="s">
        <v>4</v>
      </c>
      <c r="G4936" t="str">
        <f>""</f>
        <v/>
      </c>
    </row>
    <row r="4937" spans="1:7" x14ac:dyDescent="0.25">
      <c r="A4937" t="s">
        <v>8</v>
      </c>
      <c r="B4937" s="1" t="str">
        <f>"000173958 - CASA DI BERTACCHI-SODEXO"</f>
        <v>000173958 - CASA DI BERTACCHI-SODEXO</v>
      </c>
      <c r="C4937" t="s">
        <v>378</v>
      </c>
      <c r="D4937" s="1" t="str">
        <f t="shared" si="144"/>
        <v>PRG-1027097</v>
      </c>
      <c r="E4937" t="s">
        <v>36</v>
      </c>
      <c r="F4937" t="s">
        <v>4</v>
      </c>
      <c r="G4937" t="str">
        <f>""</f>
        <v/>
      </c>
    </row>
    <row r="4938" spans="1:7" x14ac:dyDescent="0.25">
      <c r="A4938" t="s">
        <v>8</v>
      </c>
      <c r="B4938" s="1" t="str">
        <f>"000186749 - CASA DI BERTACCHI-SODEXO"</f>
        <v>000186749 - CASA DI BERTACCHI-SODEXO</v>
      </c>
      <c r="C4938" t="s">
        <v>378</v>
      </c>
      <c r="D4938" s="1" t="str">
        <f t="shared" si="144"/>
        <v>PRG-1027097</v>
      </c>
      <c r="E4938" t="s">
        <v>36</v>
      </c>
      <c r="F4938" t="s">
        <v>4</v>
      </c>
      <c r="G4938" t="str">
        <f>""</f>
        <v/>
      </c>
    </row>
    <row r="4939" spans="1:7" x14ac:dyDescent="0.25">
      <c r="A4939" t="s">
        <v>8</v>
      </c>
      <c r="B4939" s="1" t="str">
        <f>"000186927 - CASA DI BERTACCHI-SODEXO"</f>
        <v>000186927 - CASA DI BERTACCHI-SODEXO</v>
      </c>
      <c r="C4939" t="s">
        <v>378</v>
      </c>
      <c r="D4939" s="1" t="str">
        <f t="shared" si="144"/>
        <v>PRG-1027097</v>
      </c>
      <c r="E4939" t="s">
        <v>36</v>
      </c>
      <c r="F4939" t="s">
        <v>4</v>
      </c>
      <c r="G4939" t="str">
        <f>""</f>
        <v/>
      </c>
    </row>
    <row r="4940" spans="1:7" x14ac:dyDescent="0.25">
      <c r="A4940" t="s">
        <v>8</v>
      </c>
      <c r="B4940" s="1" t="str">
        <f>"000189940 - CASA DI BERTACCHI-SODEXO"</f>
        <v>000189940 - CASA DI BERTACCHI-SODEXO</v>
      </c>
      <c r="C4940" t="s">
        <v>378</v>
      </c>
      <c r="D4940" s="1" t="str">
        <f t="shared" si="144"/>
        <v>PRG-1027097</v>
      </c>
      <c r="E4940" t="s">
        <v>36</v>
      </c>
      <c r="F4940" t="s">
        <v>4</v>
      </c>
      <c r="G4940" t="str">
        <f>""</f>
        <v/>
      </c>
    </row>
    <row r="4941" spans="1:7" x14ac:dyDescent="0.25">
      <c r="A4941" t="s">
        <v>8</v>
      </c>
      <c r="B4941" s="1" t="str">
        <f>"000206152 - CASA DI BERTACCHI-SODEXO"</f>
        <v>000206152 - CASA DI BERTACCHI-SODEXO</v>
      </c>
      <c r="C4941" t="s">
        <v>378</v>
      </c>
      <c r="D4941" s="1" t="str">
        <f t="shared" si="144"/>
        <v>PRG-1027097</v>
      </c>
      <c r="E4941" t="s">
        <v>36</v>
      </c>
      <c r="F4941" t="s">
        <v>4</v>
      </c>
      <c r="G4941" t="str">
        <f>""</f>
        <v/>
      </c>
    </row>
    <row r="4942" spans="1:7" x14ac:dyDescent="0.25">
      <c r="A4942" t="s">
        <v>8</v>
      </c>
      <c r="B4942" s="1" t="str">
        <f>"000208333 - CASA DI BERTACCHI-SODEXO"</f>
        <v>000208333 - CASA DI BERTACCHI-SODEXO</v>
      </c>
      <c r="C4942" t="s">
        <v>378</v>
      </c>
      <c r="D4942" s="1" t="str">
        <f t="shared" si="144"/>
        <v>PRG-1027097</v>
      </c>
      <c r="E4942" t="s">
        <v>36</v>
      </c>
      <c r="F4942" t="s">
        <v>4</v>
      </c>
      <c r="G4942" t="str">
        <f>""</f>
        <v/>
      </c>
    </row>
    <row r="4943" spans="1:7" x14ac:dyDescent="0.25">
      <c r="A4943" t="s">
        <v>8</v>
      </c>
      <c r="B4943" s="1" t="str">
        <f>"000220427 - CASA DI BERTACCHI-SODEXO"</f>
        <v>000220427 - CASA DI BERTACCHI-SODEXO</v>
      </c>
      <c r="C4943" t="s">
        <v>378</v>
      </c>
      <c r="D4943" s="1" t="str">
        <f t="shared" si="144"/>
        <v>PRG-1027097</v>
      </c>
      <c r="E4943" t="s">
        <v>36</v>
      </c>
      <c r="F4943" t="s">
        <v>4</v>
      </c>
      <c r="G4943" t="str">
        <f>""</f>
        <v/>
      </c>
    </row>
    <row r="4944" spans="1:7" x14ac:dyDescent="0.25">
      <c r="A4944" t="s">
        <v>8</v>
      </c>
      <c r="B4944" s="1" t="str">
        <f>"000221405 - CASA DI BERTACCHI-SODEXO"</f>
        <v>000221405 - CASA DI BERTACCHI-SODEXO</v>
      </c>
      <c r="C4944" t="s">
        <v>378</v>
      </c>
      <c r="D4944" s="1" t="str">
        <f t="shared" si="144"/>
        <v>PRG-1027097</v>
      </c>
      <c r="E4944" t="s">
        <v>36</v>
      </c>
      <c r="F4944" t="s">
        <v>4</v>
      </c>
      <c r="G4944" t="str">
        <f>""</f>
        <v/>
      </c>
    </row>
    <row r="4945" spans="1:7" x14ac:dyDescent="0.25">
      <c r="A4945" t="s">
        <v>8</v>
      </c>
      <c r="B4945" s="1" t="str">
        <f>"000224245 - CASA DI BERTACCHI-SODEXO"</f>
        <v>000224245 - CASA DI BERTACCHI-SODEXO</v>
      </c>
      <c r="C4945" t="s">
        <v>378</v>
      </c>
      <c r="D4945" s="1" t="str">
        <f t="shared" si="144"/>
        <v>PRG-1027097</v>
      </c>
      <c r="E4945" t="s">
        <v>36</v>
      </c>
      <c r="F4945" t="s">
        <v>4</v>
      </c>
      <c r="G4945" t="str">
        <f>""</f>
        <v/>
      </c>
    </row>
    <row r="4946" spans="1:7" x14ac:dyDescent="0.25">
      <c r="A4946" t="s">
        <v>8</v>
      </c>
      <c r="B4946" s="1" t="str">
        <f>"000224917 - CASA DI BERTACCHI-SODEXO"</f>
        <v>000224917 - CASA DI BERTACCHI-SODEXO</v>
      </c>
      <c r="C4946" t="s">
        <v>378</v>
      </c>
      <c r="D4946" s="1" t="str">
        <f t="shared" si="144"/>
        <v>PRG-1027097</v>
      </c>
      <c r="E4946" t="s">
        <v>36</v>
      </c>
      <c r="F4946" t="s">
        <v>4</v>
      </c>
      <c r="G4946" t="str">
        <f>""</f>
        <v/>
      </c>
    </row>
    <row r="4947" spans="1:7" x14ac:dyDescent="0.25">
      <c r="A4947" t="s">
        <v>8</v>
      </c>
      <c r="B4947" s="1" t="str">
        <f>"000229633 - CASA DI BERTACCHI-SODEXO"</f>
        <v>000229633 - CASA DI BERTACCHI-SODEXO</v>
      </c>
      <c r="C4947" t="s">
        <v>378</v>
      </c>
      <c r="D4947" s="1" t="str">
        <f t="shared" si="144"/>
        <v>PRG-1027097</v>
      </c>
      <c r="E4947" t="s">
        <v>36</v>
      </c>
      <c r="F4947" t="s">
        <v>4</v>
      </c>
      <c r="G4947" t="str">
        <f>""</f>
        <v/>
      </c>
    </row>
    <row r="4948" spans="1:7" x14ac:dyDescent="0.25">
      <c r="A4948" t="s">
        <v>8</v>
      </c>
      <c r="B4948" s="1" t="str">
        <f>"000231308 - CASA DIBERTACCHI-ARAMARK"</f>
        <v>000231308 - CASA DIBERTACCHI-ARAMARK</v>
      </c>
      <c r="C4948" t="s">
        <v>104</v>
      </c>
      <c r="D4948" s="1" t="str">
        <f t="shared" si="144"/>
        <v>PRG-1027097</v>
      </c>
      <c r="E4948" t="s">
        <v>36</v>
      </c>
      <c r="F4948" t="s">
        <v>4</v>
      </c>
      <c r="G4948" t="str">
        <f>""</f>
        <v/>
      </c>
    </row>
    <row r="4949" spans="1:7" x14ac:dyDescent="0.25">
      <c r="A4949" t="s">
        <v>8</v>
      </c>
      <c r="B4949" s="1" t="str">
        <f>"000234349 - CASA DI BERTACCHI-SODEXO"</f>
        <v>000234349 - CASA DI BERTACCHI-SODEXO</v>
      </c>
      <c r="C4949" t="s">
        <v>378</v>
      </c>
      <c r="D4949" s="1" t="str">
        <f t="shared" si="144"/>
        <v>PRG-1027097</v>
      </c>
      <c r="E4949" t="s">
        <v>36</v>
      </c>
      <c r="F4949" t="s">
        <v>4</v>
      </c>
      <c r="G4949" t="str">
        <f>""</f>
        <v/>
      </c>
    </row>
    <row r="4950" spans="1:7" x14ac:dyDescent="0.25">
      <c r="A4950" t="s">
        <v>8</v>
      </c>
      <c r="B4950" s="1" t="str">
        <f>"000244296 - CASA DI BERTACCHI-SODEXO"</f>
        <v>000244296 - CASA DI BERTACCHI-SODEXO</v>
      </c>
      <c r="C4950" t="s">
        <v>378</v>
      </c>
      <c r="D4950" s="1" t="str">
        <f t="shared" si="144"/>
        <v>PRG-1027097</v>
      </c>
      <c r="E4950" t="s">
        <v>36</v>
      </c>
      <c r="F4950" t="s">
        <v>4</v>
      </c>
      <c r="G4950" t="str">
        <f>""</f>
        <v/>
      </c>
    </row>
    <row r="4951" spans="1:7" x14ac:dyDescent="0.25">
      <c r="A4951" t="s">
        <v>8</v>
      </c>
      <c r="B4951" s="1" t="str">
        <f>"000249275 - CASA DI BERTACCHI-SODEXO"</f>
        <v>000249275 - CASA DI BERTACCHI-SODEXO</v>
      </c>
      <c r="C4951" t="s">
        <v>378</v>
      </c>
      <c r="D4951" s="1" t="str">
        <f t="shared" si="144"/>
        <v>PRG-1027097</v>
      </c>
      <c r="E4951" t="s">
        <v>36</v>
      </c>
      <c r="F4951" t="s">
        <v>4</v>
      </c>
      <c r="G4951" t="str">
        <f>""</f>
        <v/>
      </c>
    </row>
    <row r="4952" spans="1:7" x14ac:dyDescent="0.25">
      <c r="A4952" t="s">
        <v>8</v>
      </c>
      <c r="B4952" s="1" t="str">
        <f>"000249968 - CASA DI BERTACCHI-SODEXO"</f>
        <v>000249968 - CASA DI BERTACCHI-SODEXO</v>
      </c>
      <c r="C4952" t="s">
        <v>378</v>
      </c>
      <c r="D4952" s="1" t="str">
        <f t="shared" si="144"/>
        <v>PRG-1027097</v>
      </c>
      <c r="E4952" t="s">
        <v>36</v>
      </c>
      <c r="F4952" t="s">
        <v>4</v>
      </c>
      <c r="G4952" t="str">
        <f>""</f>
        <v/>
      </c>
    </row>
    <row r="4953" spans="1:7" x14ac:dyDescent="0.25">
      <c r="A4953" t="s">
        <v>8</v>
      </c>
      <c r="B4953" s="1" t="str">
        <f>"000267768 - CASA DI BERTACCHI-SODEXO"</f>
        <v>000267768 - CASA DI BERTACCHI-SODEXO</v>
      </c>
      <c r="C4953" t="s">
        <v>378</v>
      </c>
      <c r="D4953" s="1" t="str">
        <f t="shared" si="144"/>
        <v>PRG-1027097</v>
      </c>
      <c r="E4953" t="s">
        <v>36</v>
      </c>
      <c r="F4953" t="s">
        <v>4</v>
      </c>
      <c r="G4953" t="str">
        <f>""</f>
        <v/>
      </c>
    </row>
    <row r="4954" spans="1:7" x14ac:dyDescent="0.25">
      <c r="A4954" t="s">
        <v>8</v>
      </c>
      <c r="B4954" s="1" t="str">
        <f>"000279737 - CASA DI BERTACCHI-SODEXO"</f>
        <v>000279737 - CASA DI BERTACCHI-SODEXO</v>
      </c>
      <c r="C4954" t="s">
        <v>378</v>
      </c>
      <c r="D4954" s="1" t="str">
        <f t="shared" si="144"/>
        <v>PRG-1027097</v>
      </c>
      <c r="E4954" t="s">
        <v>36</v>
      </c>
      <c r="F4954" t="s">
        <v>4</v>
      </c>
      <c r="G4954" t="str">
        <f>""</f>
        <v/>
      </c>
    </row>
    <row r="4955" spans="1:7" x14ac:dyDescent="0.25">
      <c r="A4955" t="s">
        <v>8</v>
      </c>
      <c r="B4955" s="1" t="str">
        <f>"000280365 - CASA DI BERTACCHI-SODEXO"</f>
        <v>000280365 - CASA DI BERTACCHI-SODEXO</v>
      </c>
      <c r="C4955" t="s">
        <v>378</v>
      </c>
      <c r="D4955" s="1" t="str">
        <f t="shared" si="144"/>
        <v>PRG-1027097</v>
      </c>
      <c r="E4955" t="s">
        <v>36</v>
      </c>
      <c r="F4955" t="s">
        <v>4</v>
      </c>
      <c r="G4955" t="str">
        <f>""</f>
        <v/>
      </c>
    </row>
    <row r="4956" spans="1:7" x14ac:dyDescent="0.25">
      <c r="A4956" t="s">
        <v>8</v>
      </c>
      <c r="B4956" s="1" t="str">
        <f>"000284157 - CASA DI BERTACCHI-SODEXO"</f>
        <v>000284157 - CASA DI BERTACCHI-SODEXO</v>
      </c>
      <c r="C4956" t="s">
        <v>378</v>
      </c>
      <c r="D4956" s="1" t="str">
        <f t="shared" si="144"/>
        <v>PRG-1027097</v>
      </c>
      <c r="E4956" t="s">
        <v>36</v>
      </c>
      <c r="F4956" t="s">
        <v>4</v>
      </c>
      <c r="G4956" t="str">
        <f>""</f>
        <v/>
      </c>
    </row>
    <row r="4957" spans="1:7" x14ac:dyDescent="0.25">
      <c r="A4957" t="s">
        <v>8</v>
      </c>
      <c r="B4957" s="1" t="str">
        <f>"000285898 - RICHS(CASA DI BRTCCHI-SODEXO"</f>
        <v>000285898 - RICHS(CASA DI BRTCCHI-SODEXO</v>
      </c>
      <c r="C4957" t="s">
        <v>2728</v>
      </c>
      <c r="D4957" s="1" t="str">
        <f t="shared" si="144"/>
        <v>PRG-1027097</v>
      </c>
      <c r="E4957" t="s">
        <v>36</v>
      </c>
      <c r="F4957" t="s">
        <v>4</v>
      </c>
      <c r="G4957" t="str">
        <f>""</f>
        <v/>
      </c>
    </row>
    <row r="4958" spans="1:7" x14ac:dyDescent="0.25">
      <c r="A4958" t="s">
        <v>8</v>
      </c>
      <c r="B4958" s="1" t="str">
        <f>"000287128 - CASA DI BERTACCHI-SODEXO"</f>
        <v>000287128 - CASA DI BERTACCHI-SODEXO</v>
      </c>
      <c r="C4958" t="s">
        <v>378</v>
      </c>
      <c r="D4958" s="1" t="str">
        <f t="shared" si="144"/>
        <v>PRG-1027097</v>
      </c>
      <c r="E4958" t="s">
        <v>36</v>
      </c>
      <c r="F4958" t="s">
        <v>4</v>
      </c>
      <c r="G4958" t="str">
        <f>""</f>
        <v/>
      </c>
    </row>
    <row r="4959" spans="1:7" x14ac:dyDescent="0.25">
      <c r="A4959" t="s">
        <v>8</v>
      </c>
      <c r="B4959" s="1" t="str">
        <f>"000296719 - CASA DI BERTACCHI-SODEXO"</f>
        <v>000296719 - CASA DI BERTACCHI-SODEXO</v>
      </c>
      <c r="C4959" t="s">
        <v>378</v>
      </c>
      <c r="D4959" s="1" t="str">
        <f t="shared" si="144"/>
        <v>PRG-1027097</v>
      </c>
      <c r="E4959" t="s">
        <v>36</v>
      </c>
      <c r="F4959" t="s">
        <v>4</v>
      </c>
      <c r="G4959" t="str">
        <f>""</f>
        <v/>
      </c>
    </row>
    <row r="4960" spans="1:7" x14ac:dyDescent="0.25">
      <c r="A4960" t="s">
        <v>8</v>
      </c>
      <c r="B4960" s="1" t="str">
        <f>"000298137 - CASA DI BERTACCHI-SODEXO"</f>
        <v>000298137 - CASA DI BERTACCHI-SODEXO</v>
      </c>
      <c r="C4960" t="s">
        <v>378</v>
      </c>
      <c r="D4960" s="1" t="str">
        <f t="shared" si="144"/>
        <v>PRG-1027097</v>
      </c>
      <c r="E4960" t="s">
        <v>36</v>
      </c>
      <c r="F4960" t="s">
        <v>4</v>
      </c>
      <c r="G4960" t="str">
        <f>""</f>
        <v/>
      </c>
    </row>
    <row r="4961" spans="1:7" x14ac:dyDescent="0.25">
      <c r="A4961" t="s">
        <v>8</v>
      </c>
      <c r="B4961" s="1" t="str">
        <f>"000299243 - CASA DI BERTACCHI-SODEXO"</f>
        <v>000299243 - CASA DI BERTACCHI-SODEXO</v>
      </c>
      <c r="C4961" t="s">
        <v>378</v>
      </c>
      <c r="D4961" s="1" t="str">
        <f t="shared" si="144"/>
        <v>PRG-1027097</v>
      </c>
      <c r="E4961" t="s">
        <v>36</v>
      </c>
      <c r="F4961" t="s">
        <v>4</v>
      </c>
      <c r="G4961" t="str">
        <f>""</f>
        <v/>
      </c>
    </row>
    <row r="4962" spans="1:7" x14ac:dyDescent="0.25">
      <c r="A4962" t="s">
        <v>8</v>
      </c>
      <c r="B4962" s="1" t="str">
        <f>"000306271 - CASA DI BERTACCHI-SODEXO"</f>
        <v>000306271 - CASA DI BERTACCHI-SODEXO</v>
      </c>
      <c r="C4962" t="s">
        <v>378</v>
      </c>
      <c r="D4962" s="1" t="str">
        <f t="shared" si="144"/>
        <v>PRG-1027097</v>
      </c>
      <c r="E4962" t="s">
        <v>36</v>
      </c>
      <c r="F4962" t="s">
        <v>4</v>
      </c>
      <c r="G4962" t="str">
        <f>""</f>
        <v/>
      </c>
    </row>
    <row r="4963" spans="1:7" x14ac:dyDescent="0.25">
      <c r="A4963" t="s">
        <v>8</v>
      </c>
      <c r="B4963" s="1" t="str">
        <f>"000308726 - CASA DI BERTACCHI-SODEXO"</f>
        <v>000308726 - CASA DI BERTACCHI-SODEXO</v>
      </c>
      <c r="C4963" t="s">
        <v>378</v>
      </c>
      <c r="D4963" s="1" t="str">
        <f t="shared" si="144"/>
        <v>PRG-1027097</v>
      </c>
      <c r="E4963" t="s">
        <v>36</v>
      </c>
      <c r="F4963" t="s">
        <v>4</v>
      </c>
      <c r="G4963" t="str">
        <f>""</f>
        <v/>
      </c>
    </row>
    <row r="4964" spans="1:7" x14ac:dyDescent="0.25">
      <c r="A4964" t="s">
        <v>8</v>
      </c>
      <c r="B4964" s="1" t="str">
        <f>"000309741 - CASA DI BERTACCHI-SODEXO"</f>
        <v>000309741 - CASA DI BERTACCHI-SODEXO</v>
      </c>
      <c r="C4964" t="s">
        <v>378</v>
      </c>
      <c r="D4964" s="1" t="str">
        <f t="shared" si="144"/>
        <v>PRG-1027097</v>
      </c>
      <c r="E4964" t="s">
        <v>36</v>
      </c>
      <c r="F4964" t="s">
        <v>4</v>
      </c>
      <c r="G4964" t="str">
        <f>""</f>
        <v/>
      </c>
    </row>
    <row r="4965" spans="1:7" x14ac:dyDescent="0.25">
      <c r="A4965" t="s">
        <v>8</v>
      </c>
      <c r="B4965" s="1" t="str">
        <f>"000311150 - CASA DI BERTACCHI-SODEXO"</f>
        <v>000311150 - CASA DI BERTACCHI-SODEXO</v>
      </c>
      <c r="C4965" t="s">
        <v>378</v>
      </c>
      <c r="D4965" s="1" t="str">
        <f t="shared" si="144"/>
        <v>PRG-1027097</v>
      </c>
      <c r="E4965" t="s">
        <v>36</v>
      </c>
      <c r="F4965" t="s">
        <v>4</v>
      </c>
      <c r="G4965" t="str">
        <f>""</f>
        <v/>
      </c>
    </row>
    <row r="4966" spans="1:7" x14ac:dyDescent="0.25">
      <c r="A4966" t="s">
        <v>8</v>
      </c>
      <c r="B4966" s="1" t="str">
        <f>"000327557 - CASA DI BERTACCHI-SODEXO"</f>
        <v>000327557 - CASA DI BERTACCHI-SODEXO</v>
      </c>
      <c r="C4966" t="s">
        <v>378</v>
      </c>
      <c r="D4966" s="1" t="str">
        <f t="shared" si="144"/>
        <v>PRG-1027097</v>
      </c>
      <c r="E4966" t="s">
        <v>36</v>
      </c>
      <c r="F4966" t="s">
        <v>4</v>
      </c>
      <c r="G4966" t="str">
        <f>""</f>
        <v/>
      </c>
    </row>
    <row r="4967" spans="1:7" x14ac:dyDescent="0.25">
      <c r="A4967" t="s">
        <v>8</v>
      </c>
      <c r="B4967" s="1" t="str">
        <f>"000342746 - CASA DI BERTACCHI-SODEXO"</f>
        <v>000342746 - CASA DI BERTACCHI-SODEXO</v>
      </c>
      <c r="C4967" t="s">
        <v>378</v>
      </c>
      <c r="D4967" s="1" t="str">
        <f t="shared" si="144"/>
        <v>PRG-1027097</v>
      </c>
      <c r="E4967" t="s">
        <v>36</v>
      </c>
      <c r="F4967" t="s">
        <v>4</v>
      </c>
      <c r="G4967" t="str">
        <f>""</f>
        <v/>
      </c>
    </row>
    <row r="4968" spans="1:7" x14ac:dyDescent="0.25">
      <c r="A4968" t="s">
        <v>8</v>
      </c>
      <c r="B4968" s="1" t="str">
        <f>"2000258973 - CASA DI(MEATBALLS)-SODEXO"</f>
        <v>2000258973 - CASA DI(MEATBALLS)-SODEXO</v>
      </c>
      <c r="C4968" t="s">
        <v>3839</v>
      </c>
      <c r="D4968" s="1" t="str">
        <f t="shared" si="144"/>
        <v>PRG-1027097</v>
      </c>
      <c r="E4968" t="s">
        <v>36</v>
      </c>
      <c r="F4968" t="s">
        <v>4</v>
      </c>
      <c r="G4968" t="str">
        <f>""</f>
        <v/>
      </c>
    </row>
    <row r="4969" spans="1:7" x14ac:dyDescent="0.25">
      <c r="A4969" t="s">
        <v>8</v>
      </c>
      <c r="B4969" s="1" t="str">
        <f>"000207949 - RICHS FRANKLIN BOWLING CENTER"</f>
        <v>000207949 - RICHS FRANKLIN BOWLING CENTER</v>
      </c>
      <c r="C4969" t="s">
        <v>1382</v>
      </c>
      <c r="D4969" s="1" t="str">
        <f>"PRG-1027105"</f>
        <v>PRG-1027105</v>
      </c>
      <c r="E4969" t="s">
        <v>1383</v>
      </c>
      <c r="F4969" t="s">
        <v>4</v>
      </c>
      <c r="G4969" t="str">
        <f>""</f>
        <v/>
      </c>
    </row>
    <row r="4970" spans="1:7" x14ac:dyDescent="0.25">
      <c r="A4970" t="s">
        <v>8</v>
      </c>
      <c r="B4970" s="1" t="str">
        <f>"S6G003E0"</f>
        <v>S6G003E0</v>
      </c>
      <c r="C4970" t="s">
        <v>6063</v>
      </c>
      <c r="D4970" s="1" t="str">
        <f>"PRG-1027116"</f>
        <v>PRG-1027116</v>
      </c>
      <c r="E4970" t="s">
        <v>6064</v>
      </c>
      <c r="F4970" t="s">
        <v>5</v>
      </c>
      <c r="G4970" t="str">
        <f>""</f>
        <v/>
      </c>
    </row>
    <row r="4971" spans="1:7" x14ac:dyDescent="0.25">
      <c r="A4971" t="s">
        <v>8</v>
      </c>
      <c r="B4971" s="1" t="str">
        <f>"000275948 - RICHS  GLADY'S PORTER ZOO"</f>
        <v>000275948 - RICHS  GLADY'S PORTER ZOO</v>
      </c>
      <c r="C4971" t="s">
        <v>2564</v>
      </c>
      <c r="D4971" s="1" t="str">
        <f>"PRG-1027123"</f>
        <v>PRG-1027123</v>
      </c>
      <c r="E4971" t="s">
        <v>2565</v>
      </c>
      <c r="F4971" t="s">
        <v>4</v>
      </c>
      <c r="G4971" t="str">
        <f>""</f>
        <v/>
      </c>
    </row>
    <row r="4972" spans="1:7" x14ac:dyDescent="0.25">
      <c r="A4972" t="s">
        <v>8</v>
      </c>
      <c r="B4972" s="1" t="str">
        <f>"000228724 - RICH PROD BLIMPIE"</f>
        <v>000228724 - RICH PROD BLIMPIE</v>
      </c>
      <c r="C4972" t="s">
        <v>1726</v>
      </c>
      <c r="D4972" s="1" t="str">
        <f>"PRG-1027138"</f>
        <v>PRG-1027138</v>
      </c>
      <c r="E4972" t="s">
        <v>1727</v>
      </c>
      <c r="F4972" t="s">
        <v>4</v>
      </c>
      <c r="G4972" t="str">
        <f>""</f>
        <v/>
      </c>
    </row>
    <row r="4973" spans="1:7" x14ac:dyDescent="0.25">
      <c r="A4973" t="s">
        <v>8</v>
      </c>
      <c r="B4973" s="1" t="str">
        <f>"000306655 - RICH PRODUCTS BLIMPIE"</f>
        <v>000306655 - RICH PRODUCTS BLIMPIE</v>
      </c>
      <c r="C4973" t="s">
        <v>3048</v>
      </c>
      <c r="D4973" s="1" t="str">
        <f>"PRG-1027138"</f>
        <v>PRG-1027138</v>
      </c>
      <c r="E4973" t="s">
        <v>1727</v>
      </c>
      <c r="F4973" t="s">
        <v>4</v>
      </c>
      <c r="G4973" t="str">
        <f>""</f>
        <v/>
      </c>
    </row>
    <row r="4974" spans="1:7" x14ac:dyDescent="0.25">
      <c r="A4974" t="s">
        <v>8</v>
      </c>
      <c r="B4974" s="1" t="str">
        <f>"2000231425 - RICH PRODUCT CORP-BLIMPIES KAHALA"</f>
        <v>2000231425 - RICH PRODUCT CORP-BLIMPIES KAHALA</v>
      </c>
      <c r="C4974" t="s">
        <v>3984</v>
      </c>
      <c r="D4974" s="1" t="str">
        <f>"PRG-1027138"</f>
        <v>PRG-1027138</v>
      </c>
      <c r="E4974" t="s">
        <v>1727</v>
      </c>
      <c r="F4974" t="s">
        <v>4</v>
      </c>
      <c r="G4974" t="str">
        <f>""</f>
        <v/>
      </c>
    </row>
    <row r="4975" spans="1:7" x14ac:dyDescent="0.25">
      <c r="A4975" t="s">
        <v>8</v>
      </c>
      <c r="B4975" s="1" t="str">
        <f>"2000243432 - RICH FOODS-BLIMPIE OPCOS"</f>
        <v>2000243432 - RICH FOODS-BLIMPIE OPCOS</v>
      </c>
      <c r="C4975" t="s">
        <v>3992</v>
      </c>
      <c r="D4975" s="1" t="str">
        <f>"PRG-1027138"</f>
        <v>PRG-1027138</v>
      </c>
      <c r="E4975" t="s">
        <v>1727</v>
      </c>
      <c r="F4975" t="s">
        <v>4</v>
      </c>
      <c r="G4975" t="str">
        <f>""</f>
        <v/>
      </c>
    </row>
    <row r="4976" spans="1:7" x14ac:dyDescent="0.25">
      <c r="A4976" t="s">
        <v>8</v>
      </c>
      <c r="B4976" s="1" t="str">
        <f>"000185472 - RICH DC CRAZY CRAB"</f>
        <v>000185472 - RICH DC CRAZY CRAB</v>
      </c>
      <c r="C4976" t="s">
        <v>1170</v>
      </c>
      <c r="D4976" s="1" t="str">
        <f>"PRG-1027143"</f>
        <v>PRG-1027143</v>
      </c>
      <c r="E4976" t="s">
        <v>1171</v>
      </c>
      <c r="F4976" t="s">
        <v>4</v>
      </c>
      <c r="G4976" t="str">
        <f>""</f>
        <v/>
      </c>
    </row>
    <row r="4977" spans="1:7" x14ac:dyDescent="0.25">
      <c r="A4977" t="s">
        <v>8</v>
      </c>
      <c r="B4977" s="1" t="str">
        <f>"000201364 - RICH DC CRAZY CRAB"</f>
        <v>000201364 - RICH DC CRAZY CRAB</v>
      </c>
      <c r="C4977" t="s">
        <v>1170</v>
      </c>
      <c r="D4977" s="1" t="str">
        <f>"PRG-1027143"</f>
        <v>PRG-1027143</v>
      </c>
      <c r="E4977" t="s">
        <v>1171</v>
      </c>
      <c r="F4977" t="s">
        <v>4</v>
      </c>
      <c r="G4977" t="str">
        <f>""</f>
        <v/>
      </c>
    </row>
    <row r="4978" spans="1:7" x14ac:dyDescent="0.25">
      <c r="A4978" t="s">
        <v>8</v>
      </c>
      <c r="B4978" s="1" t="str">
        <f>"000113371 - USDA RICH 100912 (B198)"</f>
        <v>000113371 - USDA RICH 100912 (B198)</v>
      </c>
      <c r="C4978" t="s">
        <v>851</v>
      </c>
      <c r="D4978" s="1" t="str">
        <f t="shared" ref="D4978:D5009" si="145">"PRG-1027151"</f>
        <v>PRG-1027151</v>
      </c>
      <c r="E4978" t="s">
        <v>852</v>
      </c>
      <c r="F4978" t="s">
        <v>4</v>
      </c>
      <c r="G4978" t="str">
        <f>""</f>
        <v/>
      </c>
    </row>
    <row r="4979" spans="1:7" x14ac:dyDescent="0.25">
      <c r="A4979" t="s">
        <v>8</v>
      </c>
      <c r="B4979" s="1" t="str">
        <f>"000224193 - USDA 100912 RICH PRODUCTS"</f>
        <v>000224193 - USDA 100912 RICH PRODUCTS</v>
      </c>
      <c r="C4979" t="s">
        <v>1660</v>
      </c>
      <c r="D4979" s="1" t="str">
        <f t="shared" si="145"/>
        <v>PRG-1027151</v>
      </c>
      <c r="E4979" t="s">
        <v>852</v>
      </c>
      <c r="F4979" t="s">
        <v>4</v>
      </c>
      <c r="G4979" t="str">
        <f>""</f>
        <v/>
      </c>
    </row>
    <row r="4980" spans="1:7" x14ac:dyDescent="0.25">
      <c r="A4980" t="s">
        <v>8</v>
      </c>
      <c r="B4980" s="1" t="str">
        <f>"000225819 - USDA 100912 RICH PRODUCTS"</f>
        <v>000225819 - USDA 100912 RICH PRODUCTS</v>
      </c>
      <c r="C4980" t="s">
        <v>1660</v>
      </c>
      <c r="D4980" s="1" t="str">
        <f t="shared" si="145"/>
        <v>PRG-1027151</v>
      </c>
      <c r="E4980" t="s">
        <v>852</v>
      </c>
      <c r="F4980" t="s">
        <v>4</v>
      </c>
      <c r="G4980" t="str">
        <f>""</f>
        <v/>
      </c>
    </row>
    <row r="4981" spans="1:7" x14ac:dyDescent="0.25">
      <c r="A4981" t="s">
        <v>8</v>
      </c>
      <c r="B4981" s="1" t="str">
        <f>"000234523 - USDA RICH FOODS   B198"</f>
        <v>000234523 - USDA RICH FOODS   B198</v>
      </c>
      <c r="C4981" t="s">
        <v>1829</v>
      </c>
      <c r="D4981" s="1" t="str">
        <f t="shared" si="145"/>
        <v>PRG-1027151</v>
      </c>
      <c r="E4981" t="s">
        <v>852</v>
      </c>
      <c r="F4981" t="s">
        <v>4</v>
      </c>
      <c r="G4981" t="str">
        <f>""</f>
        <v/>
      </c>
    </row>
    <row r="4982" spans="1:7" x14ac:dyDescent="0.25">
      <c r="A4982" t="s">
        <v>8</v>
      </c>
      <c r="B4982" s="1" t="str">
        <f>"000241325 - RCH-100912-NOI"</f>
        <v>000241325 - RCH-100912-NOI</v>
      </c>
      <c r="C4982" t="s">
        <v>1918</v>
      </c>
      <c r="D4982" s="1" t="str">
        <f t="shared" si="145"/>
        <v>PRG-1027151</v>
      </c>
      <c r="E4982" t="s">
        <v>852</v>
      </c>
      <c r="F4982" t="s">
        <v>4</v>
      </c>
      <c r="G4982" t="str">
        <f>""</f>
        <v/>
      </c>
    </row>
    <row r="4983" spans="1:7" x14ac:dyDescent="0.25">
      <c r="A4983" t="s">
        <v>8</v>
      </c>
      <c r="B4983" s="1" t="str">
        <f>"000287520 - RICHS  100912  USDA"</f>
        <v>000287520 - RICHS  100912  USDA</v>
      </c>
      <c r="C4983" t="s">
        <v>2763</v>
      </c>
      <c r="D4983" s="1" t="str">
        <f t="shared" si="145"/>
        <v>PRG-1027151</v>
      </c>
      <c r="E4983" t="s">
        <v>852</v>
      </c>
      <c r="F4983" t="s">
        <v>4</v>
      </c>
      <c r="G4983" t="str">
        <f>""</f>
        <v/>
      </c>
    </row>
    <row r="4984" spans="1:7" x14ac:dyDescent="0.25">
      <c r="A4984" t="s">
        <v>8</v>
      </c>
      <c r="B4984" s="1" t="str">
        <f>"000293419 - "</f>
        <v xml:space="preserve">000293419 - </v>
      </c>
      <c r="D4984" s="1" t="str">
        <f t="shared" si="145"/>
        <v>PRG-1027151</v>
      </c>
      <c r="E4984" t="s">
        <v>852</v>
      </c>
      <c r="F4984" t="s">
        <v>4</v>
      </c>
      <c r="G4984" t="str">
        <f>""</f>
        <v/>
      </c>
    </row>
    <row r="4985" spans="1:7" x14ac:dyDescent="0.25">
      <c r="A4985" t="s">
        <v>8</v>
      </c>
      <c r="B4985" s="1" t="str">
        <f>"000297852 - RICHS - 100912 FLOUR"</f>
        <v>000297852 - RICHS - 100912 FLOUR</v>
      </c>
      <c r="C4985" t="s">
        <v>2568</v>
      </c>
      <c r="D4985" s="1" t="str">
        <f t="shared" si="145"/>
        <v>PRG-1027151</v>
      </c>
      <c r="E4985" t="s">
        <v>852</v>
      </c>
      <c r="F4985" t="s">
        <v>4</v>
      </c>
      <c r="G4985" t="str">
        <f>""</f>
        <v/>
      </c>
    </row>
    <row r="4986" spans="1:7" x14ac:dyDescent="0.25">
      <c r="A4986" t="s">
        <v>8</v>
      </c>
      <c r="B4986" s="1" t="str">
        <f>"000297858 - CPS    RICHS-100912"</f>
        <v>000297858 - CPS    RICHS-100912</v>
      </c>
      <c r="C4986" t="s">
        <v>2929</v>
      </c>
      <c r="D4986" s="1" t="str">
        <f t="shared" si="145"/>
        <v>PRG-1027151</v>
      </c>
      <c r="E4986" t="s">
        <v>852</v>
      </c>
      <c r="F4986" t="s">
        <v>4</v>
      </c>
      <c r="G4986" t="str">
        <f>""</f>
        <v/>
      </c>
    </row>
    <row r="4987" spans="1:7" x14ac:dyDescent="0.25">
      <c r="A4987" t="s">
        <v>8</v>
      </c>
      <c r="B4987" s="1" t="str">
        <f>"000300410 - RICHS - 100912 FLOUR"</f>
        <v>000300410 - RICHS - 100912 FLOUR</v>
      </c>
      <c r="C4987" t="s">
        <v>2568</v>
      </c>
      <c r="D4987" s="1" t="str">
        <f t="shared" si="145"/>
        <v>PRG-1027151</v>
      </c>
      <c r="E4987" t="s">
        <v>852</v>
      </c>
      <c r="F4987" t="s">
        <v>4</v>
      </c>
      <c r="G4987" t="str">
        <f>""</f>
        <v/>
      </c>
    </row>
    <row r="4988" spans="1:7" x14ac:dyDescent="0.25">
      <c r="A4988" t="s">
        <v>8</v>
      </c>
      <c r="B4988" s="1" t="str">
        <f>"000301048 - RICHS - 100912 FLOUR"</f>
        <v>000301048 - RICHS - 100912 FLOUR</v>
      </c>
      <c r="C4988" t="s">
        <v>2568</v>
      </c>
      <c r="D4988" s="1" t="str">
        <f t="shared" si="145"/>
        <v>PRG-1027151</v>
      </c>
      <c r="E4988" t="s">
        <v>852</v>
      </c>
      <c r="F4988" t="s">
        <v>4</v>
      </c>
      <c r="G4988" t="str">
        <f>""</f>
        <v/>
      </c>
    </row>
    <row r="4989" spans="1:7" x14ac:dyDescent="0.25">
      <c r="A4989" t="s">
        <v>8</v>
      </c>
      <c r="B4989" s="1" t="str">
        <f>"000312416 - RICHS - 100912 FLOUR"</f>
        <v>000312416 - RICHS - 100912 FLOUR</v>
      </c>
      <c r="C4989" t="s">
        <v>2568</v>
      </c>
      <c r="D4989" s="1" t="str">
        <f t="shared" si="145"/>
        <v>PRG-1027151</v>
      </c>
      <c r="E4989" t="s">
        <v>852</v>
      </c>
      <c r="F4989" t="s">
        <v>4</v>
      </c>
      <c r="G4989" t="str">
        <f>""</f>
        <v/>
      </c>
    </row>
    <row r="4990" spans="1:7" x14ac:dyDescent="0.25">
      <c r="A4990" t="s">
        <v>8</v>
      </c>
      <c r="B4990" s="1" t="str">
        <f>"000312417 - CPS    RICHS-100912"</f>
        <v>000312417 - CPS    RICHS-100912</v>
      </c>
      <c r="C4990" t="s">
        <v>2929</v>
      </c>
      <c r="D4990" s="1" t="str">
        <f t="shared" si="145"/>
        <v>PRG-1027151</v>
      </c>
      <c r="E4990" t="s">
        <v>852</v>
      </c>
      <c r="F4990" t="s">
        <v>4</v>
      </c>
      <c r="G4990" t="str">
        <f>""</f>
        <v/>
      </c>
    </row>
    <row r="4991" spans="1:7" x14ac:dyDescent="0.25">
      <c r="A4991" t="s">
        <v>8</v>
      </c>
      <c r="B4991" s="1" t="str">
        <f>"000312688 - RICHS - 100912 FLOUR"</f>
        <v>000312688 - RICHS - 100912 FLOUR</v>
      </c>
      <c r="C4991" t="s">
        <v>2568</v>
      </c>
      <c r="D4991" s="1" t="str">
        <f t="shared" si="145"/>
        <v>PRG-1027151</v>
      </c>
      <c r="E4991" t="s">
        <v>852</v>
      </c>
      <c r="F4991" t="s">
        <v>4</v>
      </c>
      <c r="G4991" t="str">
        <f>""</f>
        <v/>
      </c>
    </row>
    <row r="4992" spans="1:7" x14ac:dyDescent="0.25">
      <c r="A4992" t="s">
        <v>8</v>
      </c>
      <c r="B4992" s="1" t="str">
        <f>"000313812 - CPS    RICHS-100912"</f>
        <v>000313812 - CPS    RICHS-100912</v>
      </c>
      <c r="C4992" t="s">
        <v>2929</v>
      </c>
      <c r="D4992" s="1" t="str">
        <f t="shared" si="145"/>
        <v>PRG-1027151</v>
      </c>
      <c r="E4992" t="s">
        <v>852</v>
      </c>
      <c r="F4992" t="s">
        <v>4</v>
      </c>
      <c r="G4992" t="str">
        <f>""</f>
        <v/>
      </c>
    </row>
    <row r="4993" spans="1:7" x14ac:dyDescent="0.25">
      <c r="A4993" t="s">
        <v>8</v>
      </c>
      <c r="B4993" s="1" t="str">
        <f>"000313813 - RICHS - 100912 FLOUR"</f>
        <v>000313813 - RICHS - 100912 FLOUR</v>
      </c>
      <c r="C4993" t="s">
        <v>2568</v>
      </c>
      <c r="D4993" s="1" t="str">
        <f t="shared" si="145"/>
        <v>PRG-1027151</v>
      </c>
      <c r="E4993" t="s">
        <v>852</v>
      </c>
      <c r="F4993" t="s">
        <v>4</v>
      </c>
      <c r="G4993" t="str">
        <f>""</f>
        <v/>
      </c>
    </row>
    <row r="4994" spans="1:7" x14ac:dyDescent="0.25">
      <c r="A4994" t="s">
        <v>8</v>
      </c>
      <c r="B4994" s="1" t="str">
        <f>"000314259 - RICHS - 100912 FLOUR"</f>
        <v>000314259 - RICHS - 100912 FLOUR</v>
      </c>
      <c r="C4994" t="s">
        <v>2568</v>
      </c>
      <c r="D4994" s="1" t="str">
        <f t="shared" si="145"/>
        <v>PRG-1027151</v>
      </c>
      <c r="E4994" t="s">
        <v>852</v>
      </c>
      <c r="F4994" t="s">
        <v>4</v>
      </c>
      <c r="G4994" t="str">
        <f>""</f>
        <v/>
      </c>
    </row>
    <row r="4995" spans="1:7" x14ac:dyDescent="0.25">
      <c r="A4995" t="s">
        <v>8</v>
      </c>
      <c r="B4995" s="1" t="str">
        <f>"000316705 - RICHS - 100912 FLOUR"</f>
        <v>000316705 - RICHS - 100912 FLOUR</v>
      </c>
      <c r="C4995" t="s">
        <v>2568</v>
      </c>
      <c r="D4995" s="1" t="str">
        <f t="shared" si="145"/>
        <v>PRG-1027151</v>
      </c>
      <c r="E4995" t="s">
        <v>852</v>
      </c>
      <c r="F4995" t="s">
        <v>4</v>
      </c>
      <c r="G4995" t="str">
        <f>""</f>
        <v/>
      </c>
    </row>
    <row r="4996" spans="1:7" x14ac:dyDescent="0.25">
      <c r="A4996" t="s">
        <v>8</v>
      </c>
      <c r="B4996" s="1" t="str">
        <f>"000318135 - RICHS - 100912 FLOUR"</f>
        <v>000318135 - RICHS - 100912 FLOUR</v>
      </c>
      <c r="C4996" t="s">
        <v>2568</v>
      </c>
      <c r="D4996" s="1" t="str">
        <f t="shared" si="145"/>
        <v>PRG-1027151</v>
      </c>
      <c r="E4996" t="s">
        <v>852</v>
      </c>
      <c r="F4996" t="s">
        <v>4</v>
      </c>
      <c r="G4996" t="str">
        <f>""</f>
        <v/>
      </c>
    </row>
    <row r="4997" spans="1:7" x14ac:dyDescent="0.25">
      <c r="A4997" t="s">
        <v>8</v>
      </c>
      <c r="B4997" s="1" t="str">
        <f>"000322027 - CPS    RICHS-100912"</f>
        <v>000322027 - CPS    RICHS-100912</v>
      </c>
      <c r="C4997" t="s">
        <v>2929</v>
      </c>
      <c r="D4997" s="1" t="str">
        <f t="shared" si="145"/>
        <v>PRG-1027151</v>
      </c>
      <c r="E4997" t="s">
        <v>852</v>
      </c>
      <c r="F4997" t="s">
        <v>4</v>
      </c>
      <c r="G4997" t="str">
        <f>""</f>
        <v/>
      </c>
    </row>
    <row r="4998" spans="1:7" x14ac:dyDescent="0.25">
      <c r="A4998" t="s">
        <v>8</v>
      </c>
      <c r="B4998" s="1" t="str">
        <f>"2000281227 - RICH ETX NOI"</f>
        <v>2000281227 - RICH ETX NOI</v>
      </c>
      <c r="C4998" t="s">
        <v>3942</v>
      </c>
      <c r="D4998" s="1" t="str">
        <f t="shared" si="145"/>
        <v>PRG-1027151</v>
      </c>
      <c r="E4998" t="s">
        <v>852</v>
      </c>
      <c r="F4998" t="s">
        <v>4</v>
      </c>
      <c r="G4998" t="str">
        <f>""</f>
        <v/>
      </c>
    </row>
    <row r="4999" spans="1:7" x14ac:dyDescent="0.25">
      <c r="A4999" t="s">
        <v>8</v>
      </c>
      <c r="B4999" s="1" t="str">
        <f>"S2H006A1"</f>
        <v>S2H006A1</v>
      </c>
      <c r="C4999" t="s">
        <v>5476</v>
      </c>
      <c r="D4999" s="1" t="str">
        <f t="shared" si="145"/>
        <v>PRG-1027151</v>
      </c>
      <c r="E4999" t="s">
        <v>852</v>
      </c>
      <c r="F4999" t="s">
        <v>5</v>
      </c>
      <c r="G4999" t="str">
        <f>""</f>
        <v/>
      </c>
    </row>
    <row r="5000" spans="1:7" x14ac:dyDescent="0.25">
      <c r="A5000" t="s">
        <v>8</v>
      </c>
      <c r="B5000" s="1" t="str">
        <f>"S2H006B1"</f>
        <v>S2H006B1</v>
      </c>
      <c r="C5000" t="s">
        <v>5477</v>
      </c>
      <c r="D5000" s="1" t="str">
        <f t="shared" si="145"/>
        <v>PRG-1027151</v>
      </c>
      <c r="E5000" t="s">
        <v>852</v>
      </c>
      <c r="F5000" t="s">
        <v>5</v>
      </c>
      <c r="G5000" t="str">
        <f>""</f>
        <v/>
      </c>
    </row>
    <row r="5001" spans="1:7" x14ac:dyDescent="0.25">
      <c r="A5001" t="s">
        <v>8</v>
      </c>
      <c r="B5001" s="1" t="str">
        <f>"S2H006B3"</f>
        <v>S2H006B3</v>
      </c>
      <c r="C5001" t="s">
        <v>5478</v>
      </c>
      <c r="D5001" s="1" t="str">
        <f t="shared" si="145"/>
        <v>PRG-1027151</v>
      </c>
      <c r="E5001" t="s">
        <v>852</v>
      </c>
      <c r="F5001" t="s">
        <v>5</v>
      </c>
      <c r="G5001" t="str">
        <f>""</f>
        <v/>
      </c>
    </row>
    <row r="5002" spans="1:7" x14ac:dyDescent="0.25">
      <c r="A5002" t="s">
        <v>8</v>
      </c>
      <c r="B5002" s="1" t="str">
        <f>"S2H006B4"</f>
        <v>S2H006B4</v>
      </c>
      <c r="C5002" t="s">
        <v>5479</v>
      </c>
      <c r="D5002" s="1" t="str">
        <f t="shared" si="145"/>
        <v>PRG-1027151</v>
      </c>
      <c r="E5002" t="s">
        <v>852</v>
      </c>
      <c r="F5002" t="s">
        <v>5</v>
      </c>
      <c r="G5002" t="str">
        <f>""</f>
        <v/>
      </c>
    </row>
    <row r="5003" spans="1:7" x14ac:dyDescent="0.25">
      <c r="A5003" t="s">
        <v>8</v>
      </c>
      <c r="B5003" s="1" t="str">
        <f>"S2H006B5"</f>
        <v>S2H006B5</v>
      </c>
      <c r="C5003" t="s">
        <v>5480</v>
      </c>
      <c r="D5003" s="1" t="str">
        <f t="shared" si="145"/>
        <v>PRG-1027151</v>
      </c>
      <c r="E5003" t="s">
        <v>852</v>
      </c>
      <c r="F5003" t="s">
        <v>5</v>
      </c>
      <c r="G5003" t="str">
        <f>""</f>
        <v/>
      </c>
    </row>
    <row r="5004" spans="1:7" x14ac:dyDescent="0.25">
      <c r="A5004" t="s">
        <v>8</v>
      </c>
      <c r="B5004" s="1" t="str">
        <f>"S2H006B6"</f>
        <v>S2H006B6</v>
      </c>
      <c r="C5004" t="s">
        <v>5481</v>
      </c>
      <c r="D5004" s="1" t="str">
        <f t="shared" si="145"/>
        <v>PRG-1027151</v>
      </c>
      <c r="E5004" t="s">
        <v>852</v>
      </c>
      <c r="F5004" t="s">
        <v>5</v>
      </c>
      <c r="G5004" t="str">
        <f>""</f>
        <v/>
      </c>
    </row>
    <row r="5005" spans="1:7" x14ac:dyDescent="0.25">
      <c r="A5005" t="s">
        <v>8</v>
      </c>
      <c r="B5005" s="1" t="str">
        <f>"S2H006B7"</f>
        <v>S2H006B7</v>
      </c>
      <c r="C5005" t="s">
        <v>5482</v>
      </c>
      <c r="D5005" s="1" t="str">
        <f t="shared" si="145"/>
        <v>PRG-1027151</v>
      </c>
      <c r="E5005" t="s">
        <v>852</v>
      </c>
      <c r="F5005" t="s">
        <v>5</v>
      </c>
      <c r="G5005" t="str">
        <f>""</f>
        <v/>
      </c>
    </row>
    <row r="5006" spans="1:7" x14ac:dyDescent="0.25">
      <c r="A5006" t="s">
        <v>8</v>
      </c>
      <c r="B5006" s="1" t="str">
        <f>"S2H006BA"</f>
        <v>S2H006BA</v>
      </c>
      <c r="C5006" t="s">
        <v>5483</v>
      </c>
      <c r="D5006" s="1" t="str">
        <f t="shared" si="145"/>
        <v>PRG-1027151</v>
      </c>
      <c r="E5006" t="s">
        <v>852</v>
      </c>
      <c r="F5006" t="s">
        <v>5</v>
      </c>
      <c r="G5006" t="str">
        <f>""</f>
        <v/>
      </c>
    </row>
    <row r="5007" spans="1:7" x14ac:dyDescent="0.25">
      <c r="A5007" t="s">
        <v>8</v>
      </c>
      <c r="B5007" s="1" t="str">
        <f>"S2H006BB"</f>
        <v>S2H006BB</v>
      </c>
      <c r="C5007" t="s">
        <v>5484</v>
      </c>
      <c r="D5007" s="1" t="str">
        <f t="shared" si="145"/>
        <v>PRG-1027151</v>
      </c>
      <c r="E5007" t="s">
        <v>852</v>
      </c>
      <c r="F5007" t="s">
        <v>5</v>
      </c>
      <c r="G5007" t="str">
        <f>""</f>
        <v/>
      </c>
    </row>
    <row r="5008" spans="1:7" x14ac:dyDescent="0.25">
      <c r="A5008" t="s">
        <v>8</v>
      </c>
      <c r="B5008" s="1" t="str">
        <f>"S2H006BC"</f>
        <v>S2H006BC</v>
      </c>
      <c r="C5008" t="s">
        <v>5485</v>
      </c>
      <c r="D5008" s="1" t="str">
        <f t="shared" si="145"/>
        <v>PRG-1027151</v>
      </c>
      <c r="E5008" t="s">
        <v>852</v>
      </c>
      <c r="F5008" t="s">
        <v>5</v>
      </c>
      <c r="G5008" t="str">
        <f>""</f>
        <v/>
      </c>
    </row>
    <row r="5009" spans="1:7" x14ac:dyDescent="0.25">
      <c r="A5009" t="s">
        <v>8</v>
      </c>
      <c r="B5009" s="1" t="str">
        <f>"S2H006BD"</f>
        <v>S2H006BD</v>
      </c>
      <c r="C5009" t="s">
        <v>5486</v>
      </c>
      <c r="D5009" s="1" t="str">
        <f t="shared" si="145"/>
        <v>PRG-1027151</v>
      </c>
      <c r="E5009" t="s">
        <v>852</v>
      </c>
      <c r="F5009" t="s">
        <v>5</v>
      </c>
      <c r="G5009" t="str">
        <f>""</f>
        <v/>
      </c>
    </row>
    <row r="5010" spans="1:7" x14ac:dyDescent="0.25">
      <c r="A5010" t="s">
        <v>8</v>
      </c>
      <c r="B5010" s="1" t="str">
        <f>"S2H006BE"</f>
        <v>S2H006BE</v>
      </c>
      <c r="C5010" t="s">
        <v>5487</v>
      </c>
      <c r="D5010" s="1" t="str">
        <f t="shared" ref="D5010:D5041" si="146">"PRG-1027151"</f>
        <v>PRG-1027151</v>
      </c>
      <c r="E5010" t="s">
        <v>852</v>
      </c>
      <c r="F5010" t="s">
        <v>5</v>
      </c>
      <c r="G5010" t="str">
        <f>""</f>
        <v/>
      </c>
    </row>
    <row r="5011" spans="1:7" x14ac:dyDescent="0.25">
      <c r="A5011" t="s">
        <v>8</v>
      </c>
      <c r="B5011" s="1" t="str">
        <f>"S2J008O2"</f>
        <v>S2J008O2</v>
      </c>
      <c r="C5011" t="s">
        <v>5528</v>
      </c>
      <c r="D5011" s="1" t="str">
        <f t="shared" si="146"/>
        <v>PRG-1027151</v>
      </c>
      <c r="E5011" t="s">
        <v>852</v>
      </c>
      <c r="F5011" t="s">
        <v>5</v>
      </c>
      <c r="G5011" t="str">
        <f>""</f>
        <v/>
      </c>
    </row>
    <row r="5012" spans="1:7" x14ac:dyDescent="0.25">
      <c r="A5012" t="s">
        <v>8</v>
      </c>
      <c r="B5012" s="1" t="str">
        <f>"S2J008O4"</f>
        <v>S2J008O4</v>
      </c>
      <c r="C5012" t="s">
        <v>5529</v>
      </c>
      <c r="D5012" s="1" t="str">
        <f t="shared" si="146"/>
        <v>PRG-1027151</v>
      </c>
      <c r="E5012" t="s">
        <v>852</v>
      </c>
      <c r="F5012" t="s">
        <v>5</v>
      </c>
      <c r="G5012" t="str">
        <f>""</f>
        <v/>
      </c>
    </row>
    <row r="5013" spans="1:7" x14ac:dyDescent="0.25">
      <c r="A5013" t="s">
        <v>8</v>
      </c>
      <c r="B5013" s="1" t="str">
        <f>"S2J008O5"</f>
        <v>S2J008O5</v>
      </c>
      <c r="C5013" t="s">
        <v>5530</v>
      </c>
      <c r="D5013" s="1" t="str">
        <f t="shared" si="146"/>
        <v>PRG-1027151</v>
      </c>
      <c r="E5013" t="s">
        <v>852</v>
      </c>
      <c r="F5013" t="s">
        <v>5</v>
      </c>
      <c r="G5013" t="str">
        <f>""</f>
        <v/>
      </c>
    </row>
    <row r="5014" spans="1:7" x14ac:dyDescent="0.25">
      <c r="A5014" t="s">
        <v>8</v>
      </c>
      <c r="B5014" s="1" t="str">
        <f>"S2J008O6"</f>
        <v>S2J008O6</v>
      </c>
      <c r="C5014" t="s">
        <v>5531</v>
      </c>
      <c r="D5014" s="1" t="str">
        <f t="shared" si="146"/>
        <v>PRG-1027151</v>
      </c>
      <c r="E5014" t="s">
        <v>852</v>
      </c>
      <c r="F5014" t="s">
        <v>5</v>
      </c>
      <c r="G5014" t="str">
        <f>""</f>
        <v/>
      </c>
    </row>
    <row r="5015" spans="1:7" x14ac:dyDescent="0.25">
      <c r="A5015" t="s">
        <v>8</v>
      </c>
      <c r="B5015" s="1" t="str">
        <f>"S2J008O7"</f>
        <v>S2J008O7</v>
      </c>
      <c r="C5015" t="s">
        <v>5532</v>
      </c>
      <c r="D5015" s="1" t="str">
        <f t="shared" si="146"/>
        <v>PRG-1027151</v>
      </c>
      <c r="E5015" t="s">
        <v>852</v>
      </c>
      <c r="F5015" t="s">
        <v>5</v>
      </c>
      <c r="G5015" t="str">
        <f>""</f>
        <v/>
      </c>
    </row>
    <row r="5016" spans="1:7" x14ac:dyDescent="0.25">
      <c r="A5016" t="s">
        <v>8</v>
      </c>
      <c r="B5016" s="1" t="str">
        <f>"S2J008O8"</f>
        <v>S2J008O8</v>
      </c>
      <c r="C5016" t="s">
        <v>5533</v>
      </c>
      <c r="D5016" s="1" t="str">
        <f t="shared" si="146"/>
        <v>PRG-1027151</v>
      </c>
      <c r="E5016" t="s">
        <v>852</v>
      </c>
      <c r="F5016" t="s">
        <v>5</v>
      </c>
      <c r="G5016" t="str">
        <f>""</f>
        <v/>
      </c>
    </row>
    <row r="5017" spans="1:7" x14ac:dyDescent="0.25">
      <c r="A5017" t="s">
        <v>8</v>
      </c>
      <c r="B5017" s="1" t="str">
        <f>"S2J008OA"</f>
        <v>S2J008OA</v>
      </c>
      <c r="C5017" t="s">
        <v>5534</v>
      </c>
      <c r="D5017" s="1" t="str">
        <f t="shared" si="146"/>
        <v>PRG-1027151</v>
      </c>
      <c r="E5017" t="s">
        <v>852</v>
      </c>
      <c r="F5017" t="s">
        <v>5</v>
      </c>
      <c r="G5017" t="str">
        <f>""</f>
        <v/>
      </c>
    </row>
    <row r="5018" spans="1:7" x14ac:dyDescent="0.25">
      <c r="A5018" t="s">
        <v>8</v>
      </c>
      <c r="B5018" s="1" t="str">
        <f>"S2J008OB"</f>
        <v>S2J008OB</v>
      </c>
      <c r="C5018" t="s">
        <v>5535</v>
      </c>
      <c r="D5018" s="1" t="str">
        <f t="shared" si="146"/>
        <v>PRG-1027151</v>
      </c>
      <c r="E5018" t="s">
        <v>852</v>
      </c>
      <c r="F5018" t="s">
        <v>5</v>
      </c>
      <c r="G5018" t="str">
        <f>""</f>
        <v/>
      </c>
    </row>
    <row r="5019" spans="1:7" x14ac:dyDescent="0.25">
      <c r="A5019" t="s">
        <v>8</v>
      </c>
      <c r="B5019" s="1" t="str">
        <f>"S2J008OJ"</f>
        <v>S2J008OJ</v>
      </c>
      <c r="C5019" t="s">
        <v>5536</v>
      </c>
      <c r="D5019" s="1" t="str">
        <f t="shared" si="146"/>
        <v>PRG-1027151</v>
      </c>
      <c r="E5019" t="s">
        <v>852</v>
      </c>
      <c r="F5019" t="s">
        <v>5</v>
      </c>
      <c r="G5019" t="str">
        <f>""</f>
        <v/>
      </c>
    </row>
    <row r="5020" spans="1:7" x14ac:dyDescent="0.25">
      <c r="A5020" t="s">
        <v>8</v>
      </c>
      <c r="B5020" s="1" t="str">
        <f>"S2J008OQ"</f>
        <v>S2J008OQ</v>
      </c>
      <c r="C5020" t="s">
        <v>5537</v>
      </c>
      <c r="D5020" s="1" t="str">
        <f t="shared" si="146"/>
        <v>PRG-1027151</v>
      </c>
      <c r="E5020" t="s">
        <v>852</v>
      </c>
      <c r="F5020" t="s">
        <v>5</v>
      </c>
      <c r="G5020" t="str">
        <f>""</f>
        <v/>
      </c>
    </row>
    <row r="5021" spans="1:7" x14ac:dyDescent="0.25">
      <c r="A5021" t="s">
        <v>8</v>
      </c>
      <c r="B5021" s="1" t="str">
        <f>"S2J008OS"</f>
        <v>S2J008OS</v>
      </c>
      <c r="C5021" t="s">
        <v>5538</v>
      </c>
      <c r="D5021" s="1" t="str">
        <f t="shared" si="146"/>
        <v>PRG-1027151</v>
      </c>
      <c r="E5021" t="s">
        <v>852</v>
      </c>
      <c r="F5021" t="s">
        <v>5</v>
      </c>
      <c r="G5021" t="str">
        <f>""</f>
        <v/>
      </c>
    </row>
    <row r="5022" spans="1:7" x14ac:dyDescent="0.25">
      <c r="A5022" t="s">
        <v>8</v>
      </c>
      <c r="B5022" s="1" t="str">
        <f>"S3V004A3"</f>
        <v>S3V004A3</v>
      </c>
      <c r="C5022" t="s">
        <v>5630</v>
      </c>
      <c r="D5022" s="1" t="str">
        <f t="shared" si="146"/>
        <v>PRG-1027151</v>
      </c>
      <c r="E5022" t="s">
        <v>852</v>
      </c>
      <c r="F5022" t="s">
        <v>5</v>
      </c>
      <c r="G5022" t="str">
        <f>""</f>
        <v/>
      </c>
    </row>
    <row r="5023" spans="1:7" x14ac:dyDescent="0.25">
      <c r="A5023" t="s">
        <v>8</v>
      </c>
      <c r="B5023" s="1" t="str">
        <f>"S3V004A4"</f>
        <v>S3V004A4</v>
      </c>
      <c r="C5023" t="s">
        <v>5631</v>
      </c>
      <c r="D5023" s="1" t="str">
        <f t="shared" si="146"/>
        <v>PRG-1027151</v>
      </c>
      <c r="E5023" t="s">
        <v>852</v>
      </c>
      <c r="F5023" t="s">
        <v>5</v>
      </c>
      <c r="G5023" t="str">
        <f>""</f>
        <v/>
      </c>
    </row>
    <row r="5024" spans="1:7" x14ac:dyDescent="0.25">
      <c r="A5024" t="s">
        <v>8</v>
      </c>
      <c r="B5024" s="1" t="str">
        <f>"S3V004A5"</f>
        <v>S3V004A5</v>
      </c>
      <c r="C5024" t="s">
        <v>5632</v>
      </c>
      <c r="D5024" s="1" t="str">
        <f t="shared" si="146"/>
        <v>PRG-1027151</v>
      </c>
      <c r="E5024" t="s">
        <v>852</v>
      </c>
      <c r="F5024" t="s">
        <v>5</v>
      </c>
      <c r="G5024" t="str">
        <f>""</f>
        <v/>
      </c>
    </row>
    <row r="5025" spans="1:7" x14ac:dyDescent="0.25">
      <c r="A5025" t="s">
        <v>8</v>
      </c>
      <c r="B5025" s="1" t="str">
        <f>"S3V004A6"</f>
        <v>S3V004A6</v>
      </c>
      <c r="C5025" t="s">
        <v>5633</v>
      </c>
      <c r="D5025" s="1" t="str">
        <f t="shared" si="146"/>
        <v>PRG-1027151</v>
      </c>
      <c r="E5025" t="s">
        <v>852</v>
      </c>
      <c r="F5025" t="s">
        <v>5</v>
      </c>
      <c r="G5025" t="str">
        <f>""</f>
        <v/>
      </c>
    </row>
    <row r="5026" spans="1:7" x14ac:dyDescent="0.25">
      <c r="A5026" t="s">
        <v>8</v>
      </c>
      <c r="B5026" s="1" t="str">
        <f>"S3V004AC"</f>
        <v>S3V004AC</v>
      </c>
      <c r="C5026" t="s">
        <v>5634</v>
      </c>
      <c r="D5026" s="1" t="str">
        <f t="shared" si="146"/>
        <v>PRG-1027151</v>
      </c>
      <c r="E5026" t="s">
        <v>852</v>
      </c>
      <c r="F5026" t="s">
        <v>5</v>
      </c>
      <c r="G5026" t="str">
        <f>""</f>
        <v/>
      </c>
    </row>
    <row r="5027" spans="1:7" x14ac:dyDescent="0.25">
      <c r="A5027" t="s">
        <v>8</v>
      </c>
      <c r="B5027" s="1" t="str">
        <f>"S3V004AJ"</f>
        <v>S3V004AJ</v>
      </c>
      <c r="C5027" t="s">
        <v>5635</v>
      </c>
      <c r="D5027" s="1" t="str">
        <f t="shared" si="146"/>
        <v>PRG-1027151</v>
      </c>
      <c r="E5027" t="s">
        <v>852</v>
      </c>
      <c r="F5027" t="s">
        <v>5</v>
      </c>
      <c r="G5027" t="str">
        <f>""</f>
        <v/>
      </c>
    </row>
    <row r="5028" spans="1:7" x14ac:dyDescent="0.25">
      <c r="A5028" t="s">
        <v>8</v>
      </c>
      <c r="B5028" s="1" t="str">
        <f>"S3V004AK"</f>
        <v>S3V004AK</v>
      </c>
      <c r="C5028" t="s">
        <v>5636</v>
      </c>
      <c r="D5028" s="1" t="str">
        <f t="shared" si="146"/>
        <v>PRG-1027151</v>
      </c>
      <c r="E5028" t="s">
        <v>852</v>
      </c>
      <c r="F5028" t="s">
        <v>5</v>
      </c>
      <c r="G5028" t="str">
        <f>""</f>
        <v/>
      </c>
    </row>
    <row r="5029" spans="1:7" x14ac:dyDescent="0.25">
      <c r="A5029" t="s">
        <v>8</v>
      </c>
      <c r="B5029" s="1" t="str">
        <f>"S3V004B2"</f>
        <v>S3V004B2</v>
      </c>
      <c r="C5029" t="s">
        <v>5637</v>
      </c>
      <c r="D5029" s="1" t="str">
        <f t="shared" si="146"/>
        <v>PRG-1027151</v>
      </c>
      <c r="E5029" t="s">
        <v>852</v>
      </c>
      <c r="F5029" t="s">
        <v>5</v>
      </c>
      <c r="G5029" t="str">
        <f>""</f>
        <v/>
      </c>
    </row>
    <row r="5030" spans="1:7" x14ac:dyDescent="0.25">
      <c r="A5030" t="s">
        <v>8</v>
      </c>
      <c r="B5030" s="1" t="str">
        <f>"S3V004B3"</f>
        <v>S3V004B3</v>
      </c>
      <c r="C5030" t="s">
        <v>5638</v>
      </c>
      <c r="D5030" s="1" t="str">
        <f t="shared" si="146"/>
        <v>PRG-1027151</v>
      </c>
      <c r="E5030" t="s">
        <v>852</v>
      </c>
      <c r="F5030" t="s">
        <v>5</v>
      </c>
      <c r="G5030" t="str">
        <f>""</f>
        <v/>
      </c>
    </row>
    <row r="5031" spans="1:7" x14ac:dyDescent="0.25">
      <c r="A5031" t="s">
        <v>8</v>
      </c>
      <c r="B5031" s="1" t="str">
        <f>"S3V004B6"</f>
        <v>S3V004B6</v>
      </c>
      <c r="C5031" t="s">
        <v>5639</v>
      </c>
      <c r="D5031" s="1" t="str">
        <f t="shared" si="146"/>
        <v>PRG-1027151</v>
      </c>
      <c r="E5031" t="s">
        <v>852</v>
      </c>
      <c r="F5031" t="s">
        <v>5</v>
      </c>
      <c r="G5031" t="str">
        <f>""</f>
        <v/>
      </c>
    </row>
    <row r="5032" spans="1:7" x14ac:dyDescent="0.25">
      <c r="A5032" t="s">
        <v>8</v>
      </c>
      <c r="B5032" s="1" t="str">
        <f>"S3V004B8"</f>
        <v>S3V004B8</v>
      </c>
      <c r="C5032" t="s">
        <v>5640</v>
      </c>
      <c r="D5032" s="1" t="str">
        <f t="shared" si="146"/>
        <v>PRG-1027151</v>
      </c>
      <c r="E5032" t="s">
        <v>852</v>
      </c>
      <c r="F5032" t="s">
        <v>5</v>
      </c>
      <c r="G5032" t="str">
        <f>""</f>
        <v/>
      </c>
    </row>
    <row r="5033" spans="1:7" x14ac:dyDescent="0.25">
      <c r="A5033" t="s">
        <v>8</v>
      </c>
      <c r="B5033" s="1" t="str">
        <f>"S3V004B9"</f>
        <v>S3V004B9</v>
      </c>
      <c r="C5033" t="s">
        <v>5641</v>
      </c>
      <c r="D5033" s="1" t="str">
        <f t="shared" si="146"/>
        <v>PRG-1027151</v>
      </c>
      <c r="E5033" t="s">
        <v>852</v>
      </c>
      <c r="F5033" t="s">
        <v>5</v>
      </c>
      <c r="G5033" t="str">
        <f>""</f>
        <v/>
      </c>
    </row>
    <row r="5034" spans="1:7" x14ac:dyDescent="0.25">
      <c r="A5034" t="s">
        <v>8</v>
      </c>
      <c r="B5034" s="1" t="str">
        <f>"S3V004BA"</f>
        <v>S3V004BA</v>
      </c>
      <c r="C5034" t="s">
        <v>3790</v>
      </c>
      <c r="D5034" s="1" t="str">
        <f t="shared" si="146"/>
        <v>PRG-1027151</v>
      </c>
      <c r="E5034" t="s">
        <v>852</v>
      </c>
      <c r="F5034" t="s">
        <v>5</v>
      </c>
      <c r="G5034" t="str">
        <f>""</f>
        <v/>
      </c>
    </row>
    <row r="5035" spans="1:7" x14ac:dyDescent="0.25">
      <c r="A5035" t="s">
        <v>8</v>
      </c>
      <c r="B5035" s="1" t="str">
        <f>"S4V008S2"</f>
        <v>S4V008S2</v>
      </c>
      <c r="C5035" t="s">
        <v>5739</v>
      </c>
      <c r="D5035" s="1" t="str">
        <f t="shared" si="146"/>
        <v>PRG-1027151</v>
      </c>
      <c r="E5035" t="s">
        <v>852</v>
      </c>
      <c r="F5035" t="s">
        <v>5</v>
      </c>
      <c r="G5035" t="str">
        <f>""</f>
        <v/>
      </c>
    </row>
    <row r="5036" spans="1:7" x14ac:dyDescent="0.25">
      <c r="A5036" t="s">
        <v>8</v>
      </c>
      <c r="B5036" s="1" t="str">
        <f>"S4V008S4"</f>
        <v>S4V008S4</v>
      </c>
      <c r="C5036" t="s">
        <v>5740</v>
      </c>
      <c r="D5036" s="1" t="str">
        <f t="shared" si="146"/>
        <v>PRG-1027151</v>
      </c>
      <c r="E5036" t="s">
        <v>852</v>
      </c>
      <c r="F5036" t="s">
        <v>5</v>
      </c>
      <c r="G5036" t="str">
        <f>""</f>
        <v/>
      </c>
    </row>
    <row r="5037" spans="1:7" x14ac:dyDescent="0.25">
      <c r="A5037" t="s">
        <v>8</v>
      </c>
      <c r="B5037" s="1" t="str">
        <f>"S4V008S5"</f>
        <v>S4V008S5</v>
      </c>
      <c r="C5037" t="s">
        <v>5741</v>
      </c>
      <c r="D5037" s="1" t="str">
        <f t="shared" si="146"/>
        <v>PRG-1027151</v>
      </c>
      <c r="E5037" t="s">
        <v>852</v>
      </c>
      <c r="F5037" t="s">
        <v>5</v>
      </c>
      <c r="G5037" t="str">
        <f>""</f>
        <v/>
      </c>
    </row>
    <row r="5038" spans="1:7" x14ac:dyDescent="0.25">
      <c r="A5038" t="s">
        <v>8</v>
      </c>
      <c r="B5038" s="1" t="str">
        <f>"S4V008S7"</f>
        <v>S4V008S7</v>
      </c>
      <c r="C5038" t="s">
        <v>5742</v>
      </c>
      <c r="D5038" s="1" t="str">
        <f t="shared" si="146"/>
        <v>PRG-1027151</v>
      </c>
      <c r="E5038" t="s">
        <v>852</v>
      </c>
      <c r="F5038" t="s">
        <v>5</v>
      </c>
      <c r="G5038" t="str">
        <f>""</f>
        <v/>
      </c>
    </row>
    <row r="5039" spans="1:7" x14ac:dyDescent="0.25">
      <c r="A5039" t="s">
        <v>8</v>
      </c>
      <c r="B5039" s="1" t="str">
        <f>"S4V008SB"</f>
        <v>S4V008SB</v>
      </c>
      <c r="C5039" t="s">
        <v>5743</v>
      </c>
      <c r="D5039" s="1" t="str">
        <f t="shared" si="146"/>
        <v>PRG-1027151</v>
      </c>
      <c r="E5039" t="s">
        <v>852</v>
      </c>
      <c r="F5039" t="s">
        <v>5</v>
      </c>
      <c r="G5039" t="str">
        <f>""</f>
        <v/>
      </c>
    </row>
    <row r="5040" spans="1:7" x14ac:dyDescent="0.25">
      <c r="A5040" t="s">
        <v>8</v>
      </c>
      <c r="B5040" s="1" t="str">
        <f>"S4V008SD"</f>
        <v>S4V008SD</v>
      </c>
      <c r="C5040" t="s">
        <v>5744</v>
      </c>
      <c r="D5040" s="1" t="str">
        <f t="shared" si="146"/>
        <v>PRG-1027151</v>
      </c>
      <c r="E5040" t="s">
        <v>852</v>
      </c>
      <c r="F5040" t="s">
        <v>5</v>
      </c>
      <c r="G5040" t="str">
        <f>""</f>
        <v/>
      </c>
    </row>
    <row r="5041" spans="1:7" x14ac:dyDescent="0.25">
      <c r="A5041" t="s">
        <v>8</v>
      </c>
      <c r="B5041" s="1" t="str">
        <f>"S4V008SI"</f>
        <v>S4V008SI</v>
      </c>
      <c r="C5041" t="s">
        <v>5745</v>
      </c>
      <c r="D5041" s="1" t="str">
        <f t="shared" si="146"/>
        <v>PRG-1027151</v>
      </c>
      <c r="E5041" t="s">
        <v>852</v>
      </c>
      <c r="F5041" t="s">
        <v>5</v>
      </c>
      <c r="G5041" t="str">
        <f>""</f>
        <v/>
      </c>
    </row>
    <row r="5042" spans="1:7" x14ac:dyDescent="0.25">
      <c r="A5042" t="s">
        <v>8</v>
      </c>
      <c r="B5042" s="1" t="str">
        <f>"S4V008SJ"</f>
        <v>S4V008SJ</v>
      </c>
      <c r="C5042" t="s">
        <v>5746</v>
      </c>
      <c r="D5042" s="1" t="str">
        <f t="shared" ref="D5042:D5073" si="147">"PRG-1027151"</f>
        <v>PRG-1027151</v>
      </c>
      <c r="E5042" t="s">
        <v>852</v>
      </c>
      <c r="F5042" t="s">
        <v>5</v>
      </c>
      <c r="G5042" t="str">
        <f>""</f>
        <v/>
      </c>
    </row>
    <row r="5043" spans="1:7" x14ac:dyDescent="0.25">
      <c r="A5043" t="s">
        <v>8</v>
      </c>
      <c r="B5043" s="1" t="str">
        <f>"S4V008SL"</f>
        <v>S4V008SL</v>
      </c>
      <c r="C5043" t="s">
        <v>5747</v>
      </c>
      <c r="D5043" s="1" t="str">
        <f t="shared" si="147"/>
        <v>PRG-1027151</v>
      </c>
      <c r="E5043" t="s">
        <v>852</v>
      </c>
      <c r="F5043" t="s">
        <v>5</v>
      </c>
      <c r="G5043" t="str">
        <f>""</f>
        <v/>
      </c>
    </row>
    <row r="5044" spans="1:7" x14ac:dyDescent="0.25">
      <c r="A5044" t="s">
        <v>8</v>
      </c>
      <c r="B5044" s="1" t="str">
        <f>"S4V008SM"</f>
        <v>S4V008SM</v>
      </c>
      <c r="C5044" t="s">
        <v>5748</v>
      </c>
      <c r="D5044" s="1" t="str">
        <f t="shared" si="147"/>
        <v>PRG-1027151</v>
      </c>
      <c r="E5044" t="s">
        <v>852</v>
      </c>
      <c r="F5044" t="s">
        <v>5</v>
      </c>
      <c r="G5044" t="str">
        <f>""</f>
        <v/>
      </c>
    </row>
    <row r="5045" spans="1:7" x14ac:dyDescent="0.25">
      <c r="A5045" t="s">
        <v>8</v>
      </c>
      <c r="B5045" s="1" t="str">
        <f>"S4V008SN"</f>
        <v>S4V008SN</v>
      </c>
      <c r="C5045" t="s">
        <v>5749</v>
      </c>
      <c r="D5045" s="1" t="str">
        <f t="shared" si="147"/>
        <v>PRG-1027151</v>
      </c>
      <c r="E5045" t="s">
        <v>852</v>
      </c>
      <c r="F5045" t="s">
        <v>5</v>
      </c>
      <c r="G5045" t="str">
        <f>""</f>
        <v/>
      </c>
    </row>
    <row r="5046" spans="1:7" x14ac:dyDescent="0.25">
      <c r="A5046" t="s">
        <v>8</v>
      </c>
      <c r="B5046" s="1" t="str">
        <f>"S4V008SP"</f>
        <v>S4V008SP</v>
      </c>
      <c r="C5046" t="s">
        <v>5750</v>
      </c>
      <c r="D5046" s="1" t="str">
        <f t="shared" si="147"/>
        <v>PRG-1027151</v>
      </c>
      <c r="E5046" t="s">
        <v>852</v>
      </c>
      <c r="F5046" t="s">
        <v>5</v>
      </c>
      <c r="G5046" t="str">
        <f>""</f>
        <v/>
      </c>
    </row>
    <row r="5047" spans="1:7" x14ac:dyDescent="0.25">
      <c r="A5047" t="s">
        <v>8</v>
      </c>
      <c r="B5047" s="1" t="str">
        <f>"S4V008SQ"</f>
        <v>S4V008SQ</v>
      </c>
      <c r="C5047" t="s">
        <v>5751</v>
      </c>
      <c r="D5047" s="1" t="str">
        <f t="shared" si="147"/>
        <v>PRG-1027151</v>
      </c>
      <c r="E5047" t="s">
        <v>852</v>
      </c>
      <c r="F5047" t="s">
        <v>5</v>
      </c>
      <c r="G5047" t="str">
        <f>""</f>
        <v/>
      </c>
    </row>
    <row r="5048" spans="1:7" x14ac:dyDescent="0.25">
      <c r="A5048" t="s">
        <v>8</v>
      </c>
      <c r="B5048" s="1" t="str">
        <f>"S4V008SS"</f>
        <v>S4V008SS</v>
      </c>
      <c r="C5048" t="s">
        <v>5752</v>
      </c>
      <c r="D5048" s="1" t="str">
        <f t="shared" si="147"/>
        <v>PRG-1027151</v>
      </c>
      <c r="E5048" t="s">
        <v>852</v>
      </c>
      <c r="F5048" t="s">
        <v>5</v>
      </c>
      <c r="G5048" t="str">
        <f>""</f>
        <v/>
      </c>
    </row>
    <row r="5049" spans="1:7" x14ac:dyDescent="0.25">
      <c r="A5049" t="s">
        <v>8</v>
      </c>
      <c r="B5049" s="1" t="str">
        <f>"S4V008ST"</f>
        <v>S4V008ST</v>
      </c>
      <c r="C5049" t="s">
        <v>5753</v>
      </c>
      <c r="D5049" s="1" t="str">
        <f t="shared" si="147"/>
        <v>PRG-1027151</v>
      </c>
      <c r="E5049" t="s">
        <v>852</v>
      </c>
      <c r="F5049" t="s">
        <v>5</v>
      </c>
      <c r="G5049" t="str">
        <f>""</f>
        <v/>
      </c>
    </row>
    <row r="5050" spans="1:7" x14ac:dyDescent="0.25">
      <c r="A5050" t="s">
        <v>8</v>
      </c>
      <c r="B5050" s="1" t="str">
        <f>"S4V008T3"</f>
        <v>S4V008T3</v>
      </c>
      <c r="C5050" t="s">
        <v>5754</v>
      </c>
      <c r="D5050" s="1" t="str">
        <f t="shared" si="147"/>
        <v>PRG-1027151</v>
      </c>
      <c r="E5050" t="s">
        <v>852</v>
      </c>
      <c r="F5050" t="s">
        <v>5</v>
      </c>
      <c r="G5050" t="str">
        <f>""</f>
        <v/>
      </c>
    </row>
    <row r="5051" spans="1:7" x14ac:dyDescent="0.25">
      <c r="A5051" t="s">
        <v>8</v>
      </c>
      <c r="B5051" s="1" t="str">
        <f>"S4V008T4"</f>
        <v>S4V008T4</v>
      </c>
      <c r="C5051" t="s">
        <v>5755</v>
      </c>
      <c r="D5051" s="1" t="str">
        <f t="shared" si="147"/>
        <v>PRG-1027151</v>
      </c>
      <c r="E5051" t="s">
        <v>852</v>
      </c>
      <c r="F5051" t="s">
        <v>5</v>
      </c>
      <c r="G5051" t="str">
        <f>""</f>
        <v/>
      </c>
    </row>
    <row r="5052" spans="1:7" x14ac:dyDescent="0.25">
      <c r="A5052" t="s">
        <v>8</v>
      </c>
      <c r="B5052" s="1" t="str">
        <f>"S5G00H71"</f>
        <v>S5G00H71</v>
      </c>
      <c r="C5052" t="s">
        <v>5825</v>
      </c>
      <c r="D5052" s="1" t="str">
        <f t="shared" si="147"/>
        <v>PRG-1027151</v>
      </c>
      <c r="E5052" t="s">
        <v>852</v>
      </c>
      <c r="F5052" t="s">
        <v>5</v>
      </c>
      <c r="G5052" t="str">
        <f>""</f>
        <v/>
      </c>
    </row>
    <row r="5053" spans="1:7" x14ac:dyDescent="0.25">
      <c r="A5053" t="s">
        <v>8</v>
      </c>
      <c r="B5053" s="1" t="str">
        <f>"S5G00H81"</f>
        <v>S5G00H81</v>
      </c>
      <c r="C5053" t="s">
        <v>5826</v>
      </c>
      <c r="D5053" s="1" t="str">
        <f t="shared" si="147"/>
        <v>PRG-1027151</v>
      </c>
      <c r="E5053" t="s">
        <v>852</v>
      </c>
      <c r="F5053" t="s">
        <v>5</v>
      </c>
      <c r="G5053" t="str">
        <f>""</f>
        <v/>
      </c>
    </row>
    <row r="5054" spans="1:7" x14ac:dyDescent="0.25">
      <c r="A5054" t="s">
        <v>8</v>
      </c>
      <c r="B5054" s="1" t="str">
        <f>"S5G00H82"</f>
        <v>S5G00H82</v>
      </c>
      <c r="C5054" t="s">
        <v>4329</v>
      </c>
      <c r="D5054" s="1" t="str">
        <f t="shared" si="147"/>
        <v>PRG-1027151</v>
      </c>
      <c r="E5054" t="s">
        <v>852</v>
      </c>
      <c r="F5054" t="s">
        <v>5</v>
      </c>
      <c r="G5054" t="str">
        <f>""</f>
        <v/>
      </c>
    </row>
    <row r="5055" spans="1:7" x14ac:dyDescent="0.25">
      <c r="A5055" t="s">
        <v>8</v>
      </c>
      <c r="B5055" s="1" t="str">
        <f>"S5I027C2"</f>
        <v>S5I027C2</v>
      </c>
      <c r="C5055" t="s">
        <v>5876</v>
      </c>
      <c r="D5055" s="1" t="str">
        <f t="shared" si="147"/>
        <v>PRG-1027151</v>
      </c>
      <c r="E5055" t="s">
        <v>852</v>
      </c>
      <c r="F5055" t="s">
        <v>5</v>
      </c>
      <c r="G5055" t="str">
        <f>""</f>
        <v/>
      </c>
    </row>
    <row r="5056" spans="1:7" x14ac:dyDescent="0.25">
      <c r="A5056" t="s">
        <v>8</v>
      </c>
      <c r="B5056" s="1" t="str">
        <f>"S5I027C3"</f>
        <v>S5I027C3</v>
      </c>
      <c r="C5056" t="s">
        <v>5877</v>
      </c>
      <c r="D5056" s="1" t="str">
        <f t="shared" si="147"/>
        <v>PRG-1027151</v>
      </c>
      <c r="E5056" t="s">
        <v>852</v>
      </c>
      <c r="F5056" t="s">
        <v>5</v>
      </c>
      <c r="G5056" t="str">
        <f>""</f>
        <v/>
      </c>
    </row>
    <row r="5057" spans="1:7" x14ac:dyDescent="0.25">
      <c r="A5057" t="s">
        <v>8</v>
      </c>
      <c r="B5057" s="1" t="str">
        <f>"S5I027C4"</f>
        <v>S5I027C4</v>
      </c>
      <c r="C5057" t="s">
        <v>5878</v>
      </c>
      <c r="D5057" s="1" t="str">
        <f t="shared" si="147"/>
        <v>PRG-1027151</v>
      </c>
      <c r="E5057" t="s">
        <v>852</v>
      </c>
      <c r="F5057" t="s">
        <v>5</v>
      </c>
      <c r="G5057" t="str">
        <f>""</f>
        <v/>
      </c>
    </row>
    <row r="5058" spans="1:7" x14ac:dyDescent="0.25">
      <c r="A5058" t="s">
        <v>8</v>
      </c>
      <c r="B5058" s="1" t="str">
        <f>"S5I027C8"</f>
        <v>S5I027C8</v>
      </c>
      <c r="C5058" t="s">
        <v>5879</v>
      </c>
      <c r="D5058" s="1" t="str">
        <f t="shared" si="147"/>
        <v>PRG-1027151</v>
      </c>
      <c r="E5058" t="s">
        <v>852</v>
      </c>
      <c r="F5058" t="s">
        <v>5</v>
      </c>
      <c r="G5058" t="str">
        <f>""</f>
        <v/>
      </c>
    </row>
    <row r="5059" spans="1:7" x14ac:dyDescent="0.25">
      <c r="A5059" t="s">
        <v>8</v>
      </c>
      <c r="B5059" s="1" t="str">
        <f>"S5I027D2"</f>
        <v>S5I027D2</v>
      </c>
      <c r="C5059" t="s">
        <v>5880</v>
      </c>
      <c r="D5059" s="1" t="str">
        <f t="shared" si="147"/>
        <v>PRG-1027151</v>
      </c>
      <c r="E5059" t="s">
        <v>852</v>
      </c>
      <c r="F5059" t="s">
        <v>5</v>
      </c>
      <c r="G5059" t="str">
        <f>""</f>
        <v/>
      </c>
    </row>
    <row r="5060" spans="1:7" x14ac:dyDescent="0.25">
      <c r="A5060" t="s">
        <v>8</v>
      </c>
      <c r="B5060" s="1" t="str">
        <f>"S5Z010H2"</f>
        <v>S5Z010H2</v>
      </c>
      <c r="C5060" t="s">
        <v>5956</v>
      </c>
      <c r="D5060" s="1" t="str">
        <f t="shared" si="147"/>
        <v>PRG-1027151</v>
      </c>
      <c r="E5060" t="s">
        <v>852</v>
      </c>
      <c r="F5060" t="s">
        <v>5</v>
      </c>
      <c r="G5060" t="str">
        <f>""</f>
        <v/>
      </c>
    </row>
    <row r="5061" spans="1:7" x14ac:dyDescent="0.25">
      <c r="A5061" t="s">
        <v>8</v>
      </c>
      <c r="B5061" s="1" t="str">
        <f>"S5Z010H3"</f>
        <v>S5Z010H3</v>
      </c>
      <c r="C5061" t="s">
        <v>5957</v>
      </c>
      <c r="D5061" s="1" t="str">
        <f t="shared" si="147"/>
        <v>PRG-1027151</v>
      </c>
      <c r="E5061" t="s">
        <v>852</v>
      </c>
      <c r="F5061" t="s">
        <v>5</v>
      </c>
      <c r="G5061" t="str">
        <f>""</f>
        <v/>
      </c>
    </row>
    <row r="5062" spans="1:7" x14ac:dyDescent="0.25">
      <c r="A5062" t="s">
        <v>8</v>
      </c>
      <c r="B5062" s="1" t="str">
        <f>"S5Z010H4"</f>
        <v>S5Z010H4</v>
      </c>
      <c r="C5062" t="s">
        <v>5958</v>
      </c>
      <c r="D5062" s="1" t="str">
        <f t="shared" si="147"/>
        <v>PRG-1027151</v>
      </c>
      <c r="E5062" t="s">
        <v>852</v>
      </c>
      <c r="F5062" t="s">
        <v>5</v>
      </c>
      <c r="G5062" t="str">
        <f>""</f>
        <v/>
      </c>
    </row>
    <row r="5063" spans="1:7" x14ac:dyDescent="0.25">
      <c r="A5063" t="s">
        <v>8</v>
      </c>
      <c r="B5063" s="1" t="str">
        <f>"S5Z010I1"</f>
        <v>S5Z010I1</v>
      </c>
      <c r="C5063" t="s">
        <v>5959</v>
      </c>
      <c r="D5063" s="1" t="str">
        <f t="shared" si="147"/>
        <v>PRG-1027151</v>
      </c>
      <c r="E5063" t="s">
        <v>852</v>
      </c>
      <c r="F5063" t="s">
        <v>5</v>
      </c>
      <c r="G5063" t="str">
        <f>""</f>
        <v/>
      </c>
    </row>
    <row r="5064" spans="1:7" x14ac:dyDescent="0.25">
      <c r="A5064" t="s">
        <v>8</v>
      </c>
      <c r="B5064" s="1" t="str">
        <f>"S6B010T1"</f>
        <v>S6B010T1</v>
      </c>
      <c r="C5064" t="s">
        <v>5991</v>
      </c>
      <c r="D5064" s="1" t="str">
        <f t="shared" si="147"/>
        <v>PRG-1027151</v>
      </c>
      <c r="E5064" t="s">
        <v>852</v>
      </c>
      <c r="F5064" t="s">
        <v>5</v>
      </c>
      <c r="G5064" t="str">
        <f>""</f>
        <v/>
      </c>
    </row>
    <row r="5065" spans="1:7" x14ac:dyDescent="0.25">
      <c r="A5065" t="s">
        <v>8</v>
      </c>
      <c r="B5065" s="1" t="str">
        <f>"S6J01TQ2"</f>
        <v>S6J01TQ2</v>
      </c>
      <c r="C5065" t="s">
        <v>6115</v>
      </c>
      <c r="D5065" s="1" t="str">
        <f t="shared" si="147"/>
        <v>PRG-1027151</v>
      </c>
      <c r="E5065" t="s">
        <v>852</v>
      </c>
      <c r="F5065" t="s">
        <v>5</v>
      </c>
      <c r="G5065" t="str">
        <f>""</f>
        <v/>
      </c>
    </row>
    <row r="5066" spans="1:7" x14ac:dyDescent="0.25">
      <c r="A5066" t="s">
        <v>8</v>
      </c>
      <c r="B5066" s="1" t="str">
        <f>"S6J01TQ3"</f>
        <v>S6J01TQ3</v>
      </c>
      <c r="C5066" t="s">
        <v>6116</v>
      </c>
      <c r="D5066" s="1" t="str">
        <f t="shared" si="147"/>
        <v>PRG-1027151</v>
      </c>
      <c r="E5066" t="s">
        <v>852</v>
      </c>
      <c r="F5066" t="s">
        <v>5</v>
      </c>
      <c r="G5066" t="str">
        <f>""</f>
        <v/>
      </c>
    </row>
    <row r="5067" spans="1:7" x14ac:dyDescent="0.25">
      <c r="A5067" t="s">
        <v>8</v>
      </c>
      <c r="B5067" s="1" t="str">
        <f>"S6J01TQ5"</f>
        <v>S6J01TQ5</v>
      </c>
      <c r="C5067" t="s">
        <v>6117</v>
      </c>
      <c r="D5067" s="1" t="str">
        <f t="shared" si="147"/>
        <v>PRG-1027151</v>
      </c>
      <c r="E5067" t="s">
        <v>852</v>
      </c>
      <c r="F5067" t="s">
        <v>5</v>
      </c>
      <c r="G5067" t="str">
        <f>""</f>
        <v/>
      </c>
    </row>
    <row r="5068" spans="1:7" x14ac:dyDescent="0.25">
      <c r="A5068" t="s">
        <v>8</v>
      </c>
      <c r="B5068" s="1" t="str">
        <f>"S6J01TQ7"</f>
        <v>S6J01TQ7</v>
      </c>
      <c r="C5068" t="s">
        <v>6118</v>
      </c>
      <c r="D5068" s="1" t="str">
        <f t="shared" si="147"/>
        <v>PRG-1027151</v>
      </c>
      <c r="E5068" t="s">
        <v>852</v>
      </c>
      <c r="F5068" t="s">
        <v>5</v>
      </c>
      <c r="G5068" t="str">
        <f>""</f>
        <v/>
      </c>
    </row>
    <row r="5069" spans="1:7" x14ac:dyDescent="0.25">
      <c r="A5069" t="s">
        <v>8</v>
      </c>
      <c r="B5069" s="1" t="str">
        <f>"S6J01TQ8"</f>
        <v>S6J01TQ8</v>
      </c>
      <c r="C5069" t="s">
        <v>6119</v>
      </c>
      <c r="D5069" s="1" t="str">
        <f t="shared" si="147"/>
        <v>PRG-1027151</v>
      </c>
      <c r="E5069" t="s">
        <v>852</v>
      </c>
      <c r="F5069" t="s">
        <v>5</v>
      </c>
      <c r="G5069" t="str">
        <f>""</f>
        <v/>
      </c>
    </row>
    <row r="5070" spans="1:7" x14ac:dyDescent="0.25">
      <c r="A5070" t="s">
        <v>8</v>
      </c>
      <c r="B5070" s="1" t="str">
        <f>"S8E00861"</f>
        <v>S8E00861</v>
      </c>
      <c r="C5070" t="s">
        <v>6210</v>
      </c>
      <c r="D5070" s="1" t="str">
        <f t="shared" si="147"/>
        <v>PRG-1027151</v>
      </c>
      <c r="E5070" t="s">
        <v>852</v>
      </c>
      <c r="F5070" t="s">
        <v>5</v>
      </c>
      <c r="G5070" t="str">
        <f>""</f>
        <v/>
      </c>
    </row>
    <row r="5071" spans="1:7" x14ac:dyDescent="0.25">
      <c r="A5071" t="s">
        <v>8</v>
      </c>
      <c r="B5071" s="1" t="str">
        <f>"S8E00862"</f>
        <v>S8E00862</v>
      </c>
      <c r="C5071" t="s">
        <v>6211</v>
      </c>
      <c r="D5071" s="1" t="str">
        <f t="shared" si="147"/>
        <v>PRG-1027151</v>
      </c>
      <c r="E5071" t="s">
        <v>852</v>
      </c>
      <c r="F5071" t="s">
        <v>5</v>
      </c>
      <c r="G5071" t="str">
        <f>""</f>
        <v/>
      </c>
    </row>
    <row r="5072" spans="1:7" x14ac:dyDescent="0.25">
      <c r="A5072" t="s">
        <v>8</v>
      </c>
      <c r="B5072" s="1" t="str">
        <f>"S8E00863"</f>
        <v>S8E00863</v>
      </c>
      <c r="C5072" t="s">
        <v>6212</v>
      </c>
      <c r="D5072" s="1" t="str">
        <f t="shared" si="147"/>
        <v>PRG-1027151</v>
      </c>
      <c r="E5072" t="s">
        <v>852</v>
      </c>
      <c r="F5072" t="s">
        <v>5</v>
      </c>
      <c r="G5072" t="str">
        <f>""</f>
        <v/>
      </c>
    </row>
    <row r="5073" spans="1:7" x14ac:dyDescent="0.25">
      <c r="A5073" t="s">
        <v>8</v>
      </c>
      <c r="B5073" s="1" t="str">
        <f>"S8E00864"</f>
        <v>S8E00864</v>
      </c>
      <c r="C5073" t="s">
        <v>6213</v>
      </c>
      <c r="D5073" s="1" t="str">
        <f t="shared" si="147"/>
        <v>PRG-1027151</v>
      </c>
      <c r="E5073" t="s">
        <v>852</v>
      </c>
      <c r="F5073" t="s">
        <v>5</v>
      </c>
      <c r="G5073" t="str">
        <f>""</f>
        <v/>
      </c>
    </row>
    <row r="5074" spans="1:7" x14ac:dyDescent="0.25">
      <c r="A5074" t="s">
        <v>8</v>
      </c>
      <c r="B5074" s="1" t="str">
        <f>"S8E00865"</f>
        <v>S8E00865</v>
      </c>
      <c r="C5074" t="s">
        <v>6214</v>
      </c>
      <c r="D5074" s="1" t="str">
        <f t="shared" ref="D5074:D5089" si="148">"PRG-1027151"</f>
        <v>PRG-1027151</v>
      </c>
      <c r="E5074" t="s">
        <v>852</v>
      </c>
      <c r="F5074" t="s">
        <v>5</v>
      </c>
      <c r="G5074" t="str">
        <f>""</f>
        <v/>
      </c>
    </row>
    <row r="5075" spans="1:7" x14ac:dyDescent="0.25">
      <c r="A5075" t="s">
        <v>8</v>
      </c>
      <c r="B5075" s="1" t="str">
        <f>"S8E00866"</f>
        <v>S8E00866</v>
      </c>
      <c r="C5075" t="s">
        <v>6215</v>
      </c>
      <c r="D5075" s="1" t="str">
        <f t="shared" si="148"/>
        <v>PRG-1027151</v>
      </c>
      <c r="E5075" t="s">
        <v>852</v>
      </c>
      <c r="F5075" t="s">
        <v>5</v>
      </c>
      <c r="G5075" t="str">
        <f>""</f>
        <v/>
      </c>
    </row>
    <row r="5076" spans="1:7" x14ac:dyDescent="0.25">
      <c r="A5076" t="s">
        <v>8</v>
      </c>
      <c r="B5076" s="1" t="str">
        <f>"S8E00867"</f>
        <v>S8E00867</v>
      </c>
      <c r="C5076" t="s">
        <v>6216</v>
      </c>
      <c r="D5076" s="1" t="str">
        <f t="shared" si="148"/>
        <v>PRG-1027151</v>
      </c>
      <c r="E5076" t="s">
        <v>852</v>
      </c>
      <c r="F5076" t="s">
        <v>5</v>
      </c>
      <c r="G5076" t="str">
        <f>""</f>
        <v/>
      </c>
    </row>
    <row r="5077" spans="1:7" x14ac:dyDescent="0.25">
      <c r="A5077" t="s">
        <v>8</v>
      </c>
      <c r="B5077" s="1" t="str">
        <f>"S8N00H41"</f>
        <v>S8N00H41</v>
      </c>
      <c r="C5077" t="s">
        <v>6256</v>
      </c>
      <c r="D5077" s="1" t="str">
        <f t="shared" si="148"/>
        <v>PRG-1027151</v>
      </c>
      <c r="E5077" t="s">
        <v>852</v>
      </c>
      <c r="F5077" t="s">
        <v>5</v>
      </c>
      <c r="G5077" t="str">
        <f>""</f>
        <v/>
      </c>
    </row>
    <row r="5078" spans="1:7" x14ac:dyDescent="0.25">
      <c r="A5078" t="s">
        <v>8</v>
      </c>
      <c r="B5078" s="1" t="str">
        <f>"S8N00H42"</f>
        <v>S8N00H42</v>
      </c>
      <c r="C5078" t="s">
        <v>6257</v>
      </c>
      <c r="D5078" s="1" t="str">
        <f t="shared" si="148"/>
        <v>PRG-1027151</v>
      </c>
      <c r="E5078" t="s">
        <v>852</v>
      </c>
      <c r="F5078" t="s">
        <v>5</v>
      </c>
      <c r="G5078" t="str">
        <f>""</f>
        <v/>
      </c>
    </row>
    <row r="5079" spans="1:7" x14ac:dyDescent="0.25">
      <c r="A5079" t="s">
        <v>8</v>
      </c>
      <c r="B5079" s="1" t="str">
        <f>"S8N00H43"</f>
        <v>S8N00H43</v>
      </c>
      <c r="C5079" t="s">
        <v>6258</v>
      </c>
      <c r="D5079" s="1" t="str">
        <f t="shared" si="148"/>
        <v>PRG-1027151</v>
      </c>
      <c r="E5079" t="s">
        <v>852</v>
      </c>
      <c r="F5079" t="s">
        <v>5</v>
      </c>
      <c r="G5079" t="str">
        <f>""</f>
        <v/>
      </c>
    </row>
    <row r="5080" spans="1:7" x14ac:dyDescent="0.25">
      <c r="A5080" t="s">
        <v>8</v>
      </c>
      <c r="B5080" s="1" t="str">
        <f>"S8N00H44"</f>
        <v>S8N00H44</v>
      </c>
      <c r="C5080" t="s">
        <v>6259</v>
      </c>
      <c r="D5080" s="1" t="str">
        <f t="shared" si="148"/>
        <v>PRG-1027151</v>
      </c>
      <c r="E5080" t="s">
        <v>852</v>
      </c>
      <c r="F5080" t="s">
        <v>5</v>
      </c>
      <c r="G5080" t="str">
        <f>""</f>
        <v/>
      </c>
    </row>
    <row r="5081" spans="1:7" x14ac:dyDescent="0.25">
      <c r="A5081" t="s">
        <v>8</v>
      </c>
      <c r="B5081" s="1" t="str">
        <f>"S8N00H51"</f>
        <v>S8N00H51</v>
      </c>
      <c r="C5081" t="s">
        <v>6260</v>
      </c>
      <c r="D5081" s="1" t="str">
        <f t="shared" si="148"/>
        <v>PRG-1027151</v>
      </c>
      <c r="E5081" t="s">
        <v>852</v>
      </c>
      <c r="F5081" t="s">
        <v>5</v>
      </c>
      <c r="G5081" t="str">
        <f>""</f>
        <v/>
      </c>
    </row>
    <row r="5082" spans="1:7" x14ac:dyDescent="0.25">
      <c r="A5082" t="s">
        <v>8</v>
      </c>
      <c r="B5082" s="1" t="str">
        <f>"S8N00H52"</f>
        <v>S8N00H52</v>
      </c>
      <c r="C5082" t="s">
        <v>6261</v>
      </c>
      <c r="D5082" s="1" t="str">
        <f t="shared" si="148"/>
        <v>PRG-1027151</v>
      </c>
      <c r="E5082" t="s">
        <v>852</v>
      </c>
      <c r="F5082" t="s">
        <v>5</v>
      </c>
      <c r="G5082" t="str">
        <f>""</f>
        <v/>
      </c>
    </row>
    <row r="5083" spans="1:7" x14ac:dyDescent="0.25">
      <c r="A5083" t="s">
        <v>8</v>
      </c>
      <c r="B5083" s="1" t="str">
        <f>"S9B00C62"</f>
        <v>S9B00C62</v>
      </c>
      <c r="C5083" t="s">
        <v>6296</v>
      </c>
      <c r="D5083" s="1" t="str">
        <f t="shared" si="148"/>
        <v>PRG-1027151</v>
      </c>
      <c r="E5083" t="s">
        <v>852</v>
      </c>
      <c r="F5083" t="s">
        <v>5</v>
      </c>
      <c r="G5083" t="str">
        <f>""</f>
        <v/>
      </c>
    </row>
    <row r="5084" spans="1:7" x14ac:dyDescent="0.25">
      <c r="A5084" t="s">
        <v>8</v>
      </c>
      <c r="B5084" s="1" t="str">
        <f>"S9D00G11"</f>
        <v>S9D00G11</v>
      </c>
      <c r="C5084" t="s">
        <v>6334</v>
      </c>
      <c r="D5084" s="1" t="str">
        <f t="shared" si="148"/>
        <v>PRG-1027151</v>
      </c>
      <c r="E5084" t="s">
        <v>852</v>
      </c>
      <c r="F5084" t="s">
        <v>5</v>
      </c>
      <c r="G5084" t="str">
        <f>""</f>
        <v/>
      </c>
    </row>
    <row r="5085" spans="1:7" x14ac:dyDescent="0.25">
      <c r="A5085" t="s">
        <v>8</v>
      </c>
      <c r="B5085" s="1" t="str">
        <f>"S9D00G20"</f>
        <v>S9D00G20</v>
      </c>
      <c r="C5085" t="s">
        <v>6335</v>
      </c>
      <c r="D5085" s="1" t="str">
        <f t="shared" si="148"/>
        <v>PRG-1027151</v>
      </c>
      <c r="E5085" t="s">
        <v>852</v>
      </c>
      <c r="F5085" t="s">
        <v>5</v>
      </c>
      <c r="G5085" t="str">
        <f>""</f>
        <v/>
      </c>
    </row>
    <row r="5086" spans="1:7" x14ac:dyDescent="0.25">
      <c r="A5086" t="s">
        <v>8</v>
      </c>
      <c r="B5086" s="1" t="str">
        <f>"S9U009Y1"</f>
        <v>S9U009Y1</v>
      </c>
      <c r="C5086" t="s">
        <v>6376</v>
      </c>
      <c r="D5086" s="1" t="str">
        <f t="shared" si="148"/>
        <v>PRG-1027151</v>
      </c>
      <c r="E5086" t="s">
        <v>852</v>
      </c>
      <c r="F5086" t="s">
        <v>5</v>
      </c>
      <c r="G5086" t="str">
        <f>""</f>
        <v/>
      </c>
    </row>
    <row r="5087" spans="1:7" x14ac:dyDescent="0.25">
      <c r="A5087" t="s">
        <v>8</v>
      </c>
      <c r="B5087" s="1" t="str">
        <f>"T4V000CY"</f>
        <v>T4V000CY</v>
      </c>
      <c r="C5087" t="s">
        <v>6432</v>
      </c>
      <c r="D5087" s="1" t="str">
        <f t="shared" si="148"/>
        <v>PRG-1027151</v>
      </c>
      <c r="E5087" t="s">
        <v>852</v>
      </c>
      <c r="F5087" t="s">
        <v>5</v>
      </c>
      <c r="G5087" t="str">
        <f>""</f>
        <v/>
      </c>
    </row>
    <row r="5088" spans="1:7" x14ac:dyDescent="0.25">
      <c r="A5088" t="s">
        <v>8</v>
      </c>
      <c r="B5088" s="1" t="str">
        <f>"T4V000D2"</f>
        <v>T4V000D2</v>
      </c>
      <c r="C5088" t="s">
        <v>6433</v>
      </c>
      <c r="D5088" s="1" t="str">
        <f t="shared" si="148"/>
        <v>PRG-1027151</v>
      </c>
      <c r="E5088" t="s">
        <v>852</v>
      </c>
      <c r="F5088" t="s">
        <v>5</v>
      </c>
      <c r="G5088" t="str">
        <f>""</f>
        <v/>
      </c>
    </row>
    <row r="5089" spans="1:7" x14ac:dyDescent="0.25">
      <c r="A5089" t="s">
        <v>8</v>
      </c>
      <c r="B5089" s="1" t="str">
        <f>"T4V000FR"</f>
        <v>T4V000FR</v>
      </c>
      <c r="C5089" t="s">
        <v>5748</v>
      </c>
      <c r="D5089" s="1" t="str">
        <f t="shared" si="148"/>
        <v>PRG-1027151</v>
      </c>
      <c r="E5089" t="s">
        <v>852</v>
      </c>
      <c r="F5089" t="s">
        <v>5</v>
      </c>
      <c r="G5089" t="str">
        <f>""</f>
        <v/>
      </c>
    </row>
    <row r="5090" spans="1:7" x14ac:dyDescent="0.25">
      <c r="A5090" t="s">
        <v>8</v>
      </c>
      <c r="B5090" s="1" t="str">
        <f>"000294971 - RICH-EARTH ORIGINS"</f>
        <v>000294971 - RICH-EARTH ORIGINS</v>
      </c>
      <c r="C5090" t="s">
        <v>2894</v>
      </c>
      <c r="D5090" s="1" t="str">
        <f>"PRG-1027213"</f>
        <v>PRG-1027213</v>
      </c>
      <c r="E5090" t="s">
        <v>2895</v>
      </c>
      <c r="F5090" t="s">
        <v>4</v>
      </c>
      <c r="G5090" t="str">
        <f>""</f>
        <v/>
      </c>
    </row>
    <row r="5091" spans="1:7" x14ac:dyDescent="0.25">
      <c r="A5091" t="s">
        <v>8</v>
      </c>
      <c r="B5091" s="1" t="str">
        <f>"000048176 - RICH-CULINART"</f>
        <v>000048176 - RICH-CULINART</v>
      </c>
      <c r="C5091" t="s">
        <v>634</v>
      </c>
      <c r="D5091" s="1" t="str">
        <f>"PRG-1027234"</f>
        <v>PRG-1027234</v>
      </c>
      <c r="E5091" t="s">
        <v>635</v>
      </c>
      <c r="F5091" t="s">
        <v>4</v>
      </c>
      <c r="G5091" t="str">
        <f>""</f>
        <v/>
      </c>
    </row>
    <row r="5092" spans="1:7" x14ac:dyDescent="0.25">
      <c r="A5092" t="s">
        <v>8</v>
      </c>
      <c r="B5092" s="1" t="str">
        <f>"000348295 - RICH PRODUCTS-CULINART"</f>
        <v>000348295 - RICH PRODUCTS-CULINART</v>
      </c>
      <c r="C5092" t="s">
        <v>3480</v>
      </c>
      <c r="D5092" s="1" t="str">
        <f>"PRG-1027234"</f>
        <v>PRG-1027234</v>
      </c>
      <c r="E5092" t="s">
        <v>635</v>
      </c>
      <c r="F5092" t="s">
        <v>4</v>
      </c>
      <c r="G5092" t="str">
        <f>""</f>
        <v/>
      </c>
    </row>
    <row r="5093" spans="1:7" x14ac:dyDescent="0.25">
      <c r="A5093" t="s">
        <v>8</v>
      </c>
      <c r="B5093" s="1" t="str">
        <f>"000358719 - RICH-CULINART"</f>
        <v>000358719 - RICH-CULINART</v>
      </c>
      <c r="C5093" t="s">
        <v>634</v>
      </c>
      <c r="D5093" s="1" t="str">
        <f>"PRG-1027234"</f>
        <v>PRG-1027234</v>
      </c>
      <c r="E5093" t="s">
        <v>635</v>
      </c>
      <c r="F5093" t="s">
        <v>4</v>
      </c>
      <c r="G5093" t="str">
        <f>""</f>
        <v/>
      </c>
    </row>
    <row r="5094" spans="1:7" x14ac:dyDescent="0.25">
      <c r="A5094" t="s">
        <v>8</v>
      </c>
      <c r="B5094" s="1" t="str">
        <f>"000242639 - RICH PRODUCTS   SAYLORS MARKET"</f>
        <v>000242639 - RICH PRODUCTS   SAYLORS MARKET</v>
      </c>
      <c r="C5094" t="s">
        <v>1942</v>
      </c>
      <c r="D5094" s="1" t="str">
        <f>"PRG-1027270"</f>
        <v>PRG-1027270</v>
      </c>
      <c r="E5094" t="s">
        <v>1943</v>
      </c>
      <c r="F5094" t="s">
        <v>4</v>
      </c>
      <c r="G5094" t="str">
        <f>""</f>
        <v/>
      </c>
    </row>
    <row r="5095" spans="1:7" x14ac:dyDescent="0.25">
      <c r="A5095" t="s">
        <v>8</v>
      </c>
      <c r="B5095" s="1" t="str">
        <f>"000208216 - RICHS ROCKAFELLERS"</f>
        <v>000208216 - RICHS ROCKAFELLERS</v>
      </c>
      <c r="C5095" t="s">
        <v>1390</v>
      </c>
      <c r="D5095" s="1" t="str">
        <f>"PRG-1027275"</f>
        <v>PRG-1027275</v>
      </c>
      <c r="E5095" t="s">
        <v>1391</v>
      </c>
      <c r="F5095" t="s">
        <v>4</v>
      </c>
      <c r="G5095" t="str">
        <f>""</f>
        <v/>
      </c>
    </row>
    <row r="5096" spans="1:7" x14ac:dyDescent="0.25">
      <c r="A5096" t="s">
        <v>8</v>
      </c>
      <c r="B5096" s="1" t="str">
        <f>"2000250902 - RICHS-SOUTHPOINT HOTEL&amp;CASINO"</f>
        <v>2000250902 - RICHS-SOUTHPOINT HOTEL&amp;CASINO</v>
      </c>
      <c r="C5096" t="s">
        <v>3995</v>
      </c>
      <c r="D5096" s="1" t="str">
        <f>"PRG-1027281"</f>
        <v>PRG-1027281</v>
      </c>
      <c r="E5096" t="s">
        <v>3996</v>
      </c>
      <c r="F5096" t="s">
        <v>4</v>
      </c>
      <c r="G5096" t="str">
        <f>""</f>
        <v/>
      </c>
    </row>
    <row r="5097" spans="1:7" x14ac:dyDescent="0.25">
      <c r="A5097" t="s">
        <v>8</v>
      </c>
      <c r="B5097" s="1" t="str">
        <f>"000217923 - RICH PRODUCTS LATITUDE 30"</f>
        <v>000217923 - RICH PRODUCTS LATITUDE 30</v>
      </c>
      <c r="C5097" t="s">
        <v>1557</v>
      </c>
      <c r="D5097" s="1" t="str">
        <f>"PRG-1027324"</f>
        <v>PRG-1027324</v>
      </c>
      <c r="E5097" t="s">
        <v>1558</v>
      </c>
      <c r="F5097" t="s">
        <v>4</v>
      </c>
      <c r="G5097" t="str">
        <f>""</f>
        <v/>
      </c>
    </row>
    <row r="5098" spans="1:7" x14ac:dyDescent="0.25">
      <c r="A5098" t="s">
        <v>8</v>
      </c>
      <c r="B5098" s="1" t="str">
        <f>"000000488 - RICHS-AMERICAN CASINO GROUP"</f>
        <v>000000488 - RICHS-AMERICAN CASINO GROUP</v>
      </c>
      <c r="C5098" t="s">
        <v>49</v>
      </c>
      <c r="D5098" s="1" t="str">
        <f t="shared" ref="D5098:D5103" si="149">"PRG-1027340"</f>
        <v>PRG-1027340</v>
      </c>
      <c r="E5098" t="s">
        <v>50</v>
      </c>
      <c r="F5098" t="s">
        <v>4</v>
      </c>
      <c r="G5098" t="str">
        <f>""</f>
        <v/>
      </c>
    </row>
    <row r="5099" spans="1:7" x14ac:dyDescent="0.25">
      <c r="A5099" t="s">
        <v>8</v>
      </c>
      <c r="B5099" s="1" t="str">
        <f>"000000496 - RICH-AVI HOTEL"</f>
        <v>000000496 - RICH-AVI HOTEL</v>
      </c>
      <c r="C5099" t="s">
        <v>51</v>
      </c>
      <c r="D5099" s="1" t="str">
        <f t="shared" si="149"/>
        <v>PRG-1027340</v>
      </c>
      <c r="E5099" t="s">
        <v>50</v>
      </c>
      <c r="F5099" t="s">
        <v>4</v>
      </c>
      <c r="G5099" t="str">
        <f>""</f>
        <v/>
      </c>
    </row>
    <row r="5100" spans="1:7" x14ac:dyDescent="0.25">
      <c r="A5100" t="s">
        <v>8</v>
      </c>
      <c r="B5100" s="1" t="str">
        <f>"2000251721 - RICH-AVI HOTEL"</f>
        <v>2000251721 - RICH-AVI HOTEL</v>
      </c>
      <c r="C5100" t="s">
        <v>51</v>
      </c>
      <c r="D5100" s="1" t="str">
        <f t="shared" si="149"/>
        <v>PRG-1027340</v>
      </c>
      <c r="E5100" t="s">
        <v>50</v>
      </c>
      <c r="F5100" t="s">
        <v>4</v>
      </c>
      <c r="G5100" t="str">
        <f>""</f>
        <v/>
      </c>
    </row>
    <row r="5101" spans="1:7" x14ac:dyDescent="0.25">
      <c r="A5101" t="s">
        <v>8</v>
      </c>
      <c r="B5101" s="1" t="str">
        <f>"2000351234 - RICHS-AMERICAN CASINO GROUP"</f>
        <v>2000351234 - RICHS-AMERICAN CASINO GROUP</v>
      </c>
      <c r="C5101" t="s">
        <v>49</v>
      </c>
      <c r="D5101" s="1" t="str">
        <f t="shared" si="149"/>
        <v>PRG-1027340</v>
      </c>
      <c r="E5101" t="s">
        <v>50</v>
      </c>
      <c r="F5101" t="s">
        <v>4</v>
      </c>
      <c r="G5101" t="str">
        <f>""</f>
        <v/>
      </c>
    </row>
    <row r="5102" spans="1:7" x14ac:dyDescent="0.25">
      <c r="A5102" t="s">
        <v>8</v>
      </c>
      <c r="B5102" s="1" t="str">
        <f>"2000353906 - RICH-AVI HOTEL"</f>
        <v>2000353906 - RICH-AVI HOTEL</v>
      </c>
      <c r="C5102" t="s">
        <v>51</v>
      </c>
      <c r="D5102" s="1" t="str">
        <f t="shared" si="149"/>
        <v>PRG-1027340</v>
      </c>
      <c r="E5102" t="s">
        <v>50</v>
      </c>
      <c r="F5102" t="s">
        <v>4</v>
      </c>
      <c r="G5102" t="str">
        <f>""</f>
        <v/>
      </c>
    </row>
    <row r="5103" spans="1:7" x14ac:dyDescent="0.25">
      <c r="A5103" t="s">
        <v>8</v>
      </c>
      <c r="B5103" s="1" t="str">
        <f>"4100G736"</f>
        <v>4100G736</v>
      </c>
      <c r="C5103" t="s">
        <v>4955</v>
      </c>
      <c r="D5103" s="1" t="str">
        <f t="shared" si="149"/>
        <v>PRG-1027340</v>
      </c>
      <c r="E5103" t="s">
        <v>50</v>
      </c>
      <c r="F5103" t="s">
        <v>5</v>
      </c>
      <c r="G5103" t="str">
        <f>""</f>
        <v/>
      </c>
    </row>
    <row r="5104" spans="1:7" x14ac:dyDescent="0.25">
      <c r="A5104" t="s">
        <v>8</v>
      </c>
      <c r="B5104" s="1" t="str">
        <f>"000252809 - STEAK'N'SHAKE RICH PRODUCTS"</f>
        <v>000252809 - STEAK'N'SHAKE RICH PRODUCTS</v>
      </c>
      <c r="C5104" t="s">
        <v>2136</v>
      </c>
      <c r="D5104" s="1" t="str">
        <f>"PRG-1027346"</f>
        <v>PRG-1027346</v>
      </c>
      <c r="E5104" t="s">
        <v>2137</v>
      </c>
      <c r="F5104" t="s">
        <v>4</v>
      </c>
      <c r="G5104" t="str">
        <f>""</f>
        <v/>
      </c>
    </row>
    <row r="5105" spans="1:7" x14ac:dyDescent="0.25">
      <c r="A5105" t="s">
        <v>8</v>
      </c>
      <c r="B5105" s="1" t="str">
        <f>"2000293923 - RICH-STEAK &amp; SHAKE"</f>
        <v>2000293923 - RICH-STEAK &amp; SHAKE</v>
      </c>
      <c r="C5105" t="s">
        <v>4026</v>
      </c>
      <c r="D5105" s="1" t="str">
        <f>"PRG-1027346"</f>
        <v>PRG-1027346</v>
      </c>
      <c r="E5105" t="s">
        <v>2137</v>
      </c>
      <c r="F5105" t="s">
        <v>4</v>
      </c>
      <c r="G5105" t="str">
        <f>""</f>
        <v/>
      </c>
    </row>
    <row r="5106" spans="1:7" x14ac:dyDescent="0.25">
      <c r="A5106" t="s">
        <v>8</v>
      </c>
      <c r="B5106" s="1" t="str">
        <f>"000283712 - RICH'S   BUC-EE'S"</f>
        <v>000283712 - RICH'S   BUC-EE'S</v>
      </c>
      <c r="C5106" t="s">
        <v>2068</v>
      </c>
      <c r="D5106" s="1" t="str">
        <f>"PRG-1027352"</f>
        <v>PRG-1027352</v>
      </c>
      <c r="E5106" t="s">
        <v>2069</v>
      </c>
      <c r="F5106" t="s">
        <v>4</v>
      </c>
      <c r="G5106" t="str">
        <f>""</f>
        <v/>
      </c>
    </row>
    <row r="5107" spans="1:7" x14ac:dyDescent="0.25">
      <c r="A5107" t="s">
        <v>8</v>
      </c>
      <c r="B5107" s="1" t="str">
        <f>"000285421 - RICHS PIZZA RIO"</f>
        <v>000285421 - RICHS PIZZA RIO</v>
      </c>
      <c r="C5107" t="s">
        <v>2719</v>
      </c>
      <c r="D5107" s="1" t="str">
        <f>"PRG-1027370"</f>
        <v>PRG-1027370</v>
      </c>
      <c r="E5107" t="s">
        <v>2720</v>
      </c>
      <c r="F5107" t="s">
        <v>4</v>
      </c>
      <c r="G5107" t="str">
        <f>""</f>
        <v/>
      </c>
    </row>
    <row r="5108" spans="1:7" x14ac:dyDescent="0.25">
      <c r="A5108" t="s">
        <v>8</v>
      </c>
      <c r="B5108" s="1" t="str">
        <f>"000208879 - RICH'S BROTHERS PIZZA"</f>
        <v>000208879 - RICH'S BROTHERS PIZZA</v>
      </c>
      <c r="C5108" t="s">
        <v>1410</v>
      </c>
      <c r="D5108" s="1" t="str">
        <f>"PRG-1027426"</f>
        <v>PRG-1027426</v>
      </c>
      <c r="E5108" t="s">
        <v>1411</v>
      </c>
      <c r="F5108" t="s">
        <v>4</v>
      </c>
      <c r="G5108" t="str">
        <f>""</f>
        <v/>
      </c>
    </row>
    <row r="5109" spans="1:7" x14ac:dyDescent="0.25">
      <c r="A5109" t="s">
        <v>8</v>
      </c>
      <c r="B5109" s="1" t="str">
        <f>"000113854 - RICHS - WOB"</f>
        <v>000113854 - RICHS - WOB</v>
      </c>
      <c r="C5109" t="s">
        <v>853</v>
      </c>
      <c r="D5109" s="1" t="str">
        <f t="shared" ref="D5109:D5119" si="150">"PRG-1027427"</f>
        <v>PRG-1027427</v>
      </c>
      <c r="E5109" t="s">
        <v>739</v>
      </c>
      <c r="F5109" t="s">
        <v>4</v>
      </c>
      <c r="G5109" t="str">
        <f>""</f>
        <v/>
      </c>
    </row>
    <row r="5110" spans="1:7" x14ac:dyDescent="0.25">
      <c r="A5110" t="s">
        <v>8</v>
      </c>
      <c r="B5110" s="1" t="str">
        <f>"000210699 - RICH WORLD OF BEER"</f>
        <v>000210699 - RICH WORLD OF BEER</v>
      </c>
      <c r="C5110" t="s">
        <v>1437</v>
      </c>
      <c r="D5110" s="1" t="str">
        <f t="shared" si="150"/>
        <v>PRG-1027427</v>
      </c>
      <c r="E5110" t="s">
        <v>739</v>
      </c>
      <c r="F5110" t="s">
        <v>4</v>
      </c>
      <c r="G5110" t="str">
        <f>""</f>
        <v/>
      </c>
    </row>
    <row r="5111" spans="1:7" x14ac:dyDescent="0.25">
      <c r="A5111" t="s">
        <v>8</v>
      </c>
      <c r="B5111" s="1" t="str">
        <f>"000214203 - RICHS-WORLD OF BEER"</f>
        <v>000214203 - RICHS-WORLD OF BEER</v>
      </c>
      <c r="C5111" t="s">
        <v>1494</v>
      </c>
      <c r="D5111" s="1" t="str">
        <f t="shared" si="150"/>
        <v>PRG-1027427</v>
      </c>
      <c r="E5111" t="s">
        <v>739</v>
      </c>
      <c r="F5111" t="s">
        <v>4</v>
      </c>
      <c r="G5111" t="str">
        <f>""</f>
        <v/>
      </c>
    </row>
    <row r="5112" spans="1:7" x14ac:dyDescent="0.25">
      <c r="A5112" t="s">
        <v>8</v>
      </c>
      <c r="B5112" s="1" t="str">
        <f>"000228731 - WOB - RICH'S $ OFF"</f>
        <v>000228731 - WOB - RICH'S $ OFF</v>
      </c>
      <c r="C5112" t="s">
        <v>1728</v>
      </c>
      <c r="D5112" s="1" t="str">
        <f t="shared" si="150"/>
        <v>PRG-1027427</v>
      </c>
      <c r="E5112" t="s">
        <v>739</v>
      </c>
      <c r="F5112" t="s">
        <v>4</v>
      </c>
      <c r="G5112" t="str">
        <f>""</f>
        <v/>
      </c>
    </row>
    <row r="5113" spans="1:7" x14ac:dyDescent="0.25">
      <c r="A5113" t="s">
        <v>8</v>
      </c>
      <c r="B5113" s="1" t="str">
        <f>"000229618 - RICHS DC WORLD OF BEER"</f>
        <v>000229618 - RICHS DC WORLD OF BEER</v>
      </c>
      <c r="C5113" t="s">
        <v>1737</v>
      </c>
      <c r="D5113" s="1" t="str">
        <f t="shared" si="150"/>
        <v>PRG-1027427</v>
      </c>
      <c r="E5113" t="s">
        <v>739</v>
      </c>
      <c r="F5113" t="s">
        <v>4</v>
      </c>
      <c r="G5113" t="str">
        <f>""</f>
        <v/>
      </c>
    </row>
    <row r="5114" spans="1:7" x14ac:dyDescent="0.25">
      <c r="A5114" t="s">
        <v>8</v>
      </c>
      <c r="B5114" s="1" t="str">
        <f>"000243298 - RICHS WORLD OF BEER"</f>
        <v>000243298 - RICHS WORLD OF BEER</v>
      </c>
      <c r="C5114" t="s">
        <v>1954</v>
      </c>
      <c r="D5114" s="1" t="str">
        <f t="shared" si="150"/>
        <v>PRG-1027427</v>
      </c>
      <c r="E5114" t="s">
        <v>739</v>
      </c>
      <c r="F5114" t="s">
        <v>4</v>
      </c>
      <c r="G5114" t="str">
        <f>""</f>
        <v/>
      </c>
    </row>
    <row r="5115" spans="1:7" x14ac:dyDescent="0.25">
      <c r="A5115" t="s">
        <v>8</v>
      </c>
      <c r="B5115" s="1" t="str">
        <f>"000268656 - RICH PROD WOB SPIN"</f>
        <v>000268656 - RICH PROD WOB SPIN</v>
      </c>
      <c r="C5115" t="s">
        <v>2440</v>
      </c>
      <c r="D5115" s="1" t="str">
        <f t="shared" si="150"/>
        <v>PRG-1027427</v>
      </c>
      <c r="E5115" t="s">
        <v>739</v>
      </c>
      <c r="F5115" t="s">
        <v>4</v>
      </c>
      <c r="G5115" t="str">
        <f>""</f>
        <v/>
      </c>
    </row>
    <row r="5116" spans="1:7" x14ac:dyDescent="0.25">
      <c r="A5116" t="s">
        <v>8</v>
      </c>
      <c r="B5116" s="1" t="str">
        <f>"000290813 - WORLD OF BEER RICHS"</f>
        <v>000290813 - WORLD OF BEER RICHS</v>
      </c>
      <c r="C5116" t="s">
        <v>2832</v>
      </c>
      <c r="D5116" s="1" t="str">
        <f t="shared" si="150"/>
        <v>PRG-1027427</v>
      </c>
      <c r="E5116" t="s">
        <v>739</v>
      </c>
      <c r="F5116" t="s">
        <v>4</v>
      </c>
      <c r="G5116" t="str">
        <f>""</f>
        <v/>
      </c>
    </row>
    <row r="5117" spans="1:7" x14ac:dyDescent="0.25">
      <c r="A5117" t="s">
        <v>8</v>
      </c>
      <c r="B5117" s="1" t="str">
        <f>"000330355 - WORLD OF BEER RICH PRODUCT"</f>
        <v>000330355 - WORLD OF BEER RICH PRODUCT</v>
      </c>
      <c r="C5117" t="s">
        <v>3340</v>
      </c>
      <c r="D5117" s="1" t="str">
        <f t="shared" si="150"/>
        <v>PRG-1027427</v>
      </c>
      <c r="E5117" t="s">
        <v>739</v>
      </c>
      <c r="F5117" t="s">
        <v>4</v>
      </c>
      <c r="G5117" t="str">
        <f>""</f>
        <v/>
      </c>
    </row>
    <row r="5118" spans="1:7" x14ac:dyDescent="0.25">
      <c r="A5118" t="s">
        <v>8</v>
      </c>
      <c r="B5118" s="1" t="str">
        <f>"000343883 - WORLD OF BEER RICH PRODUCT"</f>
        <v>000343883 - WORLD OF BEER RICH PRODUCT</v>
      </c>
      <c r="C5118" t="s">
        <v>3340</v>
      </c>
      <c r="D5118" s="1" t="str">
        <f t="shared" si="150"/>
        <v>PRG-1027427</v>
      </c>
      <c r="E5118" t="s">
        <v>739</v>
      </c>
      <c r="F5118" t="s">
        <v>4</v>
      </c>
      <c r="G5118" t="str">
        <f>""</f>
        <v/>
      </c>
    </row>
    <row r="5119" spans="1:7" x14ac:dyDescent="0.25">
      <c r="A5119" t="s">
        <v>8</v>
      </c>
      <c r="B5119" s="1" t="str">
        <f>"2000209264 - RICH PRODUCTS-WORLD OF BEER"</f>
        <v>2000209264 - RICH PRODUCTS-WORLD OF BEER</v>
      </c>
      <c r="C5119" t="s">
        <v>3951</v>
      </c>
      <c r="D5119" s="1" t="str">
        <f t="shared" si="150"/>
        <v>PRG-1027427</v>
      </c>
      <c r="E5119" t="s">
        <v>739</v>
      </c>
      <c r="F5119" t="s">
        <v>4</v>
      </c>
      <c r="G5119" t="str">
        <f>""</f>
        <v/>
      </c>
    </row>
    <row r="5120" spans="1:7" x14ac:dyDescent="0.25">
      <c r="A5120" t="s">
        <v>8</v>
      </c>
      <c r="B5120" s="1" t="str">
        <f>"298762 - "</f>
        <v xml:space="preserve">298762 - </v>
      </c>
      <c r="D5120" s="1" t="str">
        <f>"PRG-1027440"</f>
        <v>PRG-1027440</v>
      </c>
      <c r="E5120" t="s">
        <v>2944</v>
      </c>
      <c r="F5120" t="s">
        <v>4</v>
      </c>
      <c r="G5120" t="str">
        <f>""</f>
        <v/>
      </c>
    </row>
    <row r="5121" spans="1:7" x14ac:dyDescent="0.25">
      <c r="A5121" t="s">
        <v>8</v>
      </c>
      <c r="B5121" s="1" t="str">
        <f>"3023B513"</f>
        <v>3023B513</v>
      </c>
      <c r="C5121" t="s">
        <v>4580</v>
      </c>
      <c r="D5121" s="1" t="str">
        <f t="shared" ref="D5121:D5137" si="151">"PRG-1027445"</f>
        <v>PRG-1027445</v>
      </c>
      <c r="E5121" t="s">
        <v>4581</v>
      </c>
      <c r="F5121" t="s">
        <v>5</v>
      </c>
      <c r="G5121" t="str">
        <f>""</f>
        <v/>
      </c>
    </row>
    <row r="5122" spans="1:7" x14ac:dyDescent="0.25">
      <c r="A5122" t="s">
        <v>8</v>
      </c>
      <c r="B5122" s="1" t="str">
        <f>"6026QU13"</f>
        <v>6026QU13</v>
      </c>
      <c r="C5122" t="s">
        <v>5115</v>
      </c>
      <c r="D5122" s="1" t="str">
        <f t="shared" si="151"/>
        <v>PRG-1027445</v>
      </c>
      <c r="E5122" t="s">
        <v>4581</v>
      </c>
      <c r="F5122" t="s">
        <v>5</v>
      </c>
      <c r="G5122" t="str">
        <f>""</f>
        <v/>
      </c>
    </row>
    <row r="5123" spans="1:7" x14ac:dyDescent="0.25">
      <c r="A5123" t="s">
        <v>8</v>
      </c>
      <c r="B5123" s="1" t="str">
        <f>"6026QU14"</f>
        <v>6026QU14</v>
      </c>
      <c r="C5123" t="s">
        <v>5116</v>
      </c>
      <c r="D5123" s="1" t="str">
        <f t="shared" si="151"/>
        <v>PRG-1027445</v>
      </c>
      <c r="E5123" t="s">
        <v>4581</v>
      </c>
      <c r="F5123" t="s">
        <v>5</v>
      </c>
      <c r="G5123" t="str">
        <f>""</f>
        <v/>
      </c>
    </row>
    <row r="5124" spans="1:7" x14ac:dyDescent="0.25">
      <c r="A5124" t="s">
        <v>8</v>
      </c>
      <c r="B5124" s="1" t="str">
        <f>"6026QY85"</f>
        <v>6026QY85</v>
      </c>
      <c r="C5124" t="s">
        <v>5117</v>
      </c>
      <c r="D5124" s="1" t="str">
        <f t="shared" si="151"/>
        <v>PRG-1027445</v>
      </c>
      <c r="E5124" t="s">
        <v>4581</v>
      </c>
      <c r="F5124" t="s">
        <v>5</v>
      </c>
      <c r="G5124" t="str">
        <f>""</f>
        <v/>
      </c>
    </row>
    <row r="5125" spans="1:7" x14ac:dyDescent="0.25">
      <c r="A5125" t="s">
        <v>8</v>
      </c>
      <c r="B5125" s="1" t="str">
        <f>"6026W549"</f>
        <v>6026W549</v>
      </c>
      <c r="C5125" t="s">
        <v>5116</v>
      </c>
      <c r="D5125" s="1" t="str">
        <f t="shared" si="151"/>
        <v>PRG-1027445</v>
      </c>
      <c r="E5125" t="s">
        <v>4581</v>
      </c>
      <c r="F5125" t="s">
        <v>5</v>
      </c>
      <c r="G5125" t="str">
        <f>""</f>
        <v/>
      </c>
    </row>
    <row r="5126" spans="1:7" x14ac:dyDescent="0.25">
      <c r="A5126" t="s">
        <v>8</v>
      </c>
      <c r="B5126" s="1" t="str">
        <f>"6026W550"</f>
        <v>6026W550</v>
      </c>
      <c r="C5126" t="s">
        <v>5169</v>
      </c>
      <c r="D5126" s="1" t="str">
        <f t="shared" si="151"/>
        <v>PRG-1027445</v>
      </c>
      <c r="E5126" t="s">
        <v>4581</v>
      </c>
      <c r="F5126" t="s">
        <v>5</v>
      </c>
      <c r="G5126" t="str">
        <f>""</f>
        <v/>
      </c>
    </row>
    <row r="5127" spans="1:7" x14ac:dyDescent="0.25">
      <c r="A5127" t="s">
        <v>8</v>
      </c>
      <c r="B5127" s="1" t="str">
        <f>"6026XA26"</f>
        <v>6026XA26</v>
      </c>
      <c r="C5127" t="s">
        <v>5173</v>
      </c>
      <c r="D5127" s="1" t="str">
        <f t="shared" si="151"/>
        <v>PRG-1027445</v>
      </c>
      <c r="E5127" t="s">
        <v>4581</v>
      </c>
      <c r="F5127" t="s">
        <v>5</v>
      </c>
      <c r="G5127" t="str">
        <f>""</f>
        <v/>
      </c>
    </row>
    <row r="5128" spans="1:7" x14ac:dyDescent="0.25">
      <c r="A5128" t="s">
        <v>8</v>
      </c>
      <c r="B5128" s="1" t="str">
        <f>"6026XA27"</f>
        <v>6026XA27</v>
      </c>
      <c r="C5128" t="s">
        <v>5174</v>
      </c>
      <c r="D5128" s="1" t="str">
        <f t="shared" si="151"/>
        <v>PRG-1027445</v>
      </c>
      <c r="E5128" t="s">
        <v>4581</v>
      </c>
      <c r="F5128" t="s">
        <v>5</v>
      </c>
      <c r="G5128" t="str">
        <f>""</f>
        <v/>
      </c>
    </row>
    <row r="5129" spans="1:7" x14ac:dyDescent="0.25">
      <c r="A5129" t="s">
        <v>8</v>
      </c>
      <c r="B5129" s="1" t="str">
        <f>"60314337"</f>
        <v>60314337</v>
      </c>
      <c r="C5129" t="s">
        <v>5280</v>
      </c>
      <c r="D5129" s="1" t="str">
        <f t="shared" si="151"/>
        <v>PRG-1027445</v>
      </c>
      <c r="E5129" t="s">
        <v>4581</v>
      </c>
      <c r="F5129" t="s">
        <v>5</v>
      </c>
      <c r="G5129" t="str">
        <f>""</f>
        <v/>
      </c>
    </row>
    <row r="5130" spans="1:7" x14ac:dyDescent="0.25">
      <c r="A5130" t="s">
        <v>8</v>
      </c>
      <c r="B5130" s="1" t="str">
        <f>"S1Z08VF0"</f>
        <v>S1Z08VF0</v>
      </c>
      <c r="C5130" t="s">
        <v>5350</v>
      </c>
      <c r="D5130" s="1" t="str">
        <f t="shared" si="151"/>
        <v>PRG-1027445</v>
      </c>
      <c r="E5130" t="s">
        <v>4581</v>
      </c>
      <c r="F5130" t="s">
        <v>5</v>
      </c>
      <c r="G5130" t="str">
        <f>""</f>
        <v/>
      </c>
    </row>
    <row r="5131" spans="1:7" x14ac:dyDescent="0.25">
      <c r="A5131" t="s">
        <v>8</v>
      </c>
      <c r="B5131" s="1" t="str">
        <f>"S1Z08YG0"</f>
        <v>S1Z08YG0</v>
      </c>
      <c r="C5131" t="s">
        <v>5354</v>
      </c>
      <c r="D5131" s="1" t="str">
        <f t="shared" si="151"/>
        <v>PRG-1027445</v>
      </c>
      <c r="E5131" t="s">
        <v>4581</v>
      </c>
      <c r="F5131" t="s">
        <v>5</v>
      </c>
      <c r="G5131" t="str">
        <f>""</f>
        <v/>
      </c>
    </row>
    <row r="5132" spans="1:7" x14ac:dyDescent="0.25">
      <c r="A5132" t="s">
        <v>8</v>
      </c>
      <c r="B5132" s="1" t="str">
        <f>"S1Z08Z40"</f>
        <v>S1Z08Z40</v>
      </c>
      <c r="C5132" t="s">
        <v>5355</v>
      </c>
      <c r="D5132" s="1" t="str">
        <f t="shared" si="151"/>
        <v>PRG-1027445</v>
      </c>
      <c r="E5132" t="s">
        <v>4581</v>
      </c>
      <c r="F5132" t="s">
        <v>5</v>
      </c>
      <c r="G5132" t="str">
        <f>""</f>
        <v/>
      </c>
    </row>
    <row r="5133" spans="1:7" x14ac:dyDescent="0.25">
      <c r="A5133" t="s">
        <v>8</v>
      </c>
      <c r="B5133" s="1" t="str">
        <f>"S1Z08ZB0"</f>
        <v>S1Z08ZB0</v>
      </c>
      <c r="C5133" t="s">
        <v>5356</v>
      </c>
      <c r="D5133" s="1" t="str">
        <f t="shared" si="151"/>
        <v>PRG-1027445</v>
      </c>
      <c r="E5133" t="s">
        <v>4581</v>
      </c>
      <c r="F5133" t="s">
        <v>5</v>
      </c>
      <c r="G5133" t="str">
        <f>""</f>
        <v/>
      </c>
    </row>
    <row r="5134" spans="1:7" x14ac:dyDescent="0.25">
      <c r="A5134" t="s">
        <v>8</v>
      </c>
      <c r="B5134" s="1" t="str">
        <f>"S1Z09050"</f>
        <v>S1Z09050</v>
      </c>
      <c r="C5134" t="s">
        <v>5359</v>
      </c>
      <c r="D5134" s="1" t="str">
        <f t="shared" si="151"/>
        <v>PRG-1027445</v>
      </c>
      <c r="E5134" t="s">
        <v>4581</v>
      </c>
      <c r="F5134" t="s">
        <v>5</v>
      </c>
      <c r="G5134" t="str">
        <f>""</f>
        <v/>
      </c>
    </row>
    <row r="5135" spans="1:7" x14ac:dyDescent="0.25">
      <c r="A5135" t="s">
        <v>8</v>
      </c>
      <c r="B5135" s="1" t="str">
        <f>"S1Z091G0"</f>
        <v>S1Z091G0</v>
      </c>
      <c r="C5135" t="s">
        <v>5361</v>
      </c>
      <c r="D5135" s="1" t="str">
        <f t="shared" si="151"/>
        <v>PRG-1027445</v>
      </c>
      <c r="E5135" t="s">
        <v>4581</v>
      </c>
      <c r="F5135" t="s">
        <v>5</v>
      </c>
      <c r="G5135" t="str">
        <f>""</f>
        <v/>
      </c>
    </row>
    <row r="5136" spans="1:7" x14ac:dyDescent="0.25">
      <c r="A5136" t="s">
        <v>8</v>
      </c>
      <c r="B5136" s="1" t="str">
        <f>"S1Z09430"</f>
        <v>S1Z09430</v>
      </c>
      <c r="C5136" t="s">
        <v>5362</v>
      </c>
      <c r="D5136" s="1" t="str">
        <f t="shared" si="151"/>
        <v>PRG-1027445</v>
      </c>
      <c r="E5136" t="s">
        <v>4581</v>
      </c>
      <c r="F5136" t="s">
        <v>5</v>
      </c>
      <c r="G5136" t="str">
        <f>""</f>
        <v/>
      </c>
    </row>
    <row r="5137" spans="1:7" x14ac:dyDescent="0.25">
      <c r="A5137" t="s">
        <v>8</v>
      </c>
      <c r="B5137" s="1" t="str">
        <f>"S1Z095U0"</f>
        <v>S1Z095U0</v>
      </c>
      <c r="C5137" t="s">
        <v>5363</v>
      </c>
      <c r="D5137" s="1" t="str">
        <f t="shared" si="151"/>
        <v>PRG-1027445</v>
      </c>
      <c r="E5137" t="s">
        <v>4581</v>
      </c>
      <c r="F5137" t="s">
        <v>5</v>
      </c>
      <c r="G5137" t="str">
        <f>""</f>
        <v/>
      </c>
    </row>
    <row r="5138" spans="1:7" x14ac:dyDescent="0.25">
      <c r="A5138" t="s">
        <v>8</v>
      </c>
      <c r="B5138" s="1" t="str">
        <f>"000209136 - RICHS XANTERRA (DC)"</f>
        <v>000209136 - RICHS XANTERRA (DC)</v>
      </c>
      <c r="C5138" t="s">
        <v>1420</v>
      </c>
      <c r="D5138" s="1" t="str">
        <f>"PRG-1027495"</f>
        <v>PRG-1027495</v>
      </c>
      <c r="E5138" t="s">
        <v>1421</v>
      </c>
      <c r="F5138" t="s">
        <v>4</v>
      </c>
      <c r="G5138" t="str">
        <f>""</f>
        <v/>
      </c>
    </row>
    <row r="5139" spans="1:7" x14ac:dyDescent="0.25">
      <c r="A5139" t="s">
        <v>8</v>
      </c>
      <c r="B5139" s="1" t="str">
        <f>"000244483 - RICHS KINGSMILL"</f>
        <v>000244483 - RICHS KINGSMILL</v>
      </c>
      <c r="C5139" t="s">
        <v>1975</v>
      </c>
      <c r="D5139" s="1" t="str">
        <f>"PRG-1027495"</f>
        <v>PRG-1027495</v>
      </c>
      <c r="E5139" t="s">
        <v>1421</v>
      </c>
      <c r="F5139" t="s">
        <v>4</v>
      </c>
      <c r="G5139" t="str">
        <f>""</f>
        <v/>
      </c>
    </row>
    <row r="5140" spans="1:7" x14ac:dyDescent="0.25">
      <c r="A5140" t="s">
        <v>8</v>
      </c>
      <c r="B5140" s="1" t="str">
        <f>"4100G702"</f>
        <v>4100G702</v>
      </c>
      <c r="C5140" t="s">
        <v>4948</v>
      </c>
      <c r="D5140" s="1" t="str">
        <f>"PRG-1027544"</f>
        <v>PRG-1027544</v>
      </c>
      <c r="E5140" t="s">
        <v>4949</v>
      </c>
      <c r="F5140" t="s">
        <v>5</v>
      </c>
      <c r="G5140" t="str">
        <f>""</f>
        <v/>
      </c>
    </row>
    <row r="5141" spans="1:7" x14ac:dyDescent="0.25">
      <c r="A5141" t="s">
        <v>8</v>
      </c>
      <c r="B5141" s="1" t="str">
        <f>"000261838 - RICH FOODS-PALACE ENT"</f>
        <v>000261838 - RICH FOODS-PALACE ENT</v>
      </c>
      <c r="C5141" t="s">
        <v>572</v>
      </c>
      <c r="D5141" s="1" t="str">
        <f>"PRG-1027545"</f>
        <v>PRG-1027545</v>
      </c>
      <c r="E5141" t="s">
        <v>573</v>
      </c>
      <c r="F5141" t="s">
        <v>4</v>
      </c>
      <c r="G5141" t="str">
        <f>""</f>
        <v/>
      </c>
    </row>
    <row r="5142" spans="1:7" x14ac:dyDescent="0.25">
      <c r="A5142" t="s">
        <v>8</v>
      </c>
      <c r="B5142" s="1" t="str">
        <f>"000218124 - CASA DI BERTACCHI-SODEXO"</f>
        <v>000218124 - CASA DI BERTACCHI-SODEXO</v>
      </c>
      <c r="C5142" t="s">
        <v>378</v>
      </c>
      <c r="D5142" s="1" t="str">
        <f>"PRG-1027584"</f>
        <v>PRG-1027584</v>
      </c>
      <c r="E5142" t="s">
        <v>36</v>
      </c>
      <c r="F5142" t="s">
        <v>4</v>
      </c>
      <c r="G5142" t="str">
        <f>""</f>
        <v/>
      </c>
    </row>
    <row r="5143" spans="1:7" x14ac:dyDescent="0.25">
      <c r="A5143" t="s">
        <v>8</v>
      </c>
      <c r="B5143" s="1" t="str">
        <f>"000278542 - CASA DI BERTACCHI-SODEXO"</f>
        <v>000278542 - CASA DI BERTACCHI-SODEXO</v>
      </c>
      <c r="C5143" t="s">
        <v>378</v>
      </c>
      <c r="D5143" s="1" t="str">
        <f>"PRG-1027584"</f>
        <v>PRG-1027584</v>
      </c>
      <c r="E5143" t="s">
        <v>36</v>
      </c>
      <c r="F5143" t="s">
        <v>4</v>
      </c>
      <c r="G5143" t="str">
        <f>""</f>
        <v/>
      </c>
    </row>
    <row r="5144" spans="1:7" x14ac:dyDescent="0.25">
      <c r="A5144" t="s">
        <v>8</v>
      </c>
      <c r="B5144" s="1" t="str">
        <f>"000347733 - CASA DI BERTACCHI-SODEXO"</f>
        <v>000347733 - CASA DI BERTACCHI-SODEXO</v>
      </c>
      <c r="C5144" t="s">
        <v>378</v>
      </c>
      <c r="D5144" s="1" t="str">
        <f>"PRG-1027584"</f>
        <v>PRG-1027584</v>
      </c>
      <c r="E5144" t="s">
        <v>36</v>
      </c>
      <c r="F5144" t="s">
        <v>4</v>
      </c>
      <c r="G5144" t="str">
        <f>""</f>
        <v/>
      </c>
    </row>
    <row r="5145" spans="1:7" x14ac:dyDescent="0.25">
      <c r="A5145" t="s">
        <v>8</v>
      </c>
      <c r="B5145" s="1" t="str">
        <f>"000120962 - RICHS - RAGAZZI'S"</f>
        <v>000120962 - RICHS - RAGAZZI'S</v>
      </c>
      <c r="C5145" t="s">
        <v>889</v>
      </c>
      <c r="D5145" s="1" t="str">
        <f>"PRG-1027592"</f>
        <v>PRG-1027592</v>
      </c>
      <c r="E5145" t="s">
        <v>890</v>
      </c>
      <c r="F5145" t="s">
        <v>4</v>
      </c>
      <c r="G5145" t="str">
        <f>""</f>
        <v/>
      </c>
    </row>
    <row r="5146" spans="1:7" x14ac:dyDescent="0.25">
      <c r="A5146" t="s">
        <v>8</v>
      </c>
      <c r="B5146" s="1" t="str">
        <f>"000303259 - UNION JACKS RICH'S"</f>
        <v>000303259 - UNION JACKS RICH'S</v>
      </c>
      <c r="C5146" t="s">
        <v>3005</v>
      </c>
      <c r="D5146" s="1" t="str">
        <f>"PRG-1027595"</f>
        <v>PRG-1027595</v>
      </c>
      <c r="E5146" t="s">
        <v>3006</v>
      </c>
      <c r="F5146" t="s">
        <v>4</v>
      </c>
      <c r="G5146" t="str">
        <f>""</f>
        <v/>
      </c>
    </row>
    <row r="5147" spans="1:7" x14ac:dyDescent="0.25">
      <c r="A5147" t="s">
        <v>8</v>
      </c>
      <c r="B5147" s="1" t="str">
        <f>"000323597 - UNION JACKS RICH'S"</f>
        <v>000323597 - UNION JACKS RICH'S</v>
      </c>
      <c r="C5147" t="s">
        <v>3005</v>
      </c>
      <c r="D5147" s="1" t="str">
        <f>"PRG-1027595"</f>
        <v>PRG-1027595</v>
      </c>
      <c r="E5147" t="s">
        <v>3006</v>
      </c>
      <c r="F5147" t="s">
        <v>4</v>
      </c>
      <c r="G5147" t="str">
        <f>""</f>
        <v/>
      </c>
    </row>
    <row r="5148" spans="1:7" x14ac:dyDescent="0.25">
      <c r="A5148" t="s">
        <v>8</v>
      </c>
      <c r="B5148" s="1" t="str">
        <f>"000133918 - RICH ZELIAS"</f>
        <v>000133918 - RICH ZELIAS</v>
      </c>
      <c r="C5148" t="s">
        <v>944</v>
      </c>
      <c r="D5148" s="1" t="str">
        <f>"PRG-1027608"</f>
        <v>PRG-1027608</v>
      </c>
      <c r="E5148" t="s">
        <v>945</v>
      </c>
      <c r="F5148" t="s">
        <v>4</v>
      </c>
      <c r="G5148" t="str">
        <f>""</f>
        <v/>
      </c>
    </row>
    <row r="5149" spans="1:7" x14ac:dyDescent="0.25">
      <c r="A5149" t="s">
        <v>8</v>
      </c>
      <c r="B5149" s="1" t="str">
        <f>"000034935 - RICH FOODS-WHITSONS"</f>
        <v>000034935 - RICH FOODS-WHITSONS</v>
      </c>
      <c r="C5149" t="s">
        <v>446</v>
      </c>
      <c r="D5149" s="1" t="str">
        <f t="shared" ref="D5149:D5157" si="152">"PRG-1027618"</f>
        <v>PRG-1027618</v>
      </c>
      <c r="E5149" t="s">
        <v>522</v>
      </c>
      <c r="F5149" t="s">
        <v>4</v>
      </c>
      <c r="G5149" t="str">
        <f>""</f>
        <v/>
      </c>
    </row>
    <row r="5150" spans="1:7" x14ac:dyDescent="0.25">
      <c r="A5150" t="s">
        <v>8</v>
      </c>
      <c r="B5150" s="1" t="str">
        <f>"000040557 - RICH CORE-WHITSONS"</f>
        <v>000040557 - RICH CORE-WHITSONS</v>
      </c>
      <c r="C5150" t="s">
        <v>580</v>
      </c>
      <c r="D5150" s="1" t="str">
        <f t="shared" si="152"/>
        <v>PRG-1027618</v>
      </c>
      <c r="E5150" t="s">
        <v>522</v>
      </c>
      <c r="F5150" t="s">
        <v>4</v>
      </c>
      <c r="G5150" t="str">
        <f>""</f>
        <v/>
      </c>
    </row>
    <row r="5151" spans="1:7" x14ac:dyDescent="0.25">
      <c r="A5151" t="s">
        <v>8</v>
      </c>
      <c r="B5151" s="1" t="str">
        <f>"000044948 - RICH FOODS-WHITSONS"</f>
        <v>000044948 - RICH FOODS-WHITSONS</v>
      </c>
      <c r="C5151" t="s">
        <v>446</v>
      </c>
      <c r="D5151" s="1" t="str">
        <f t="shared" si="152"/>
        <v>PRG-1027618</v>
      </c>
      <c r="E5151" t="s">
        <v>522</v>
      </c>
      <c r="F5151" t="s">
        <v>4</v>
      </c>
      <c r="G5151" t="str">
        <f>""</f>
        <v/>
      </c>
    </row>
    <row r="5152" spans="1:7" x14ac:dyDescent="0.25">
      <c r="A5152" t="s">
        <v>8</v>
      </c>
      <c r="B5152" s="1" t="str">
        <f>"000234454 - RICH FOODS-WHITSONS"</f>
        <v>000234454 - RICH FOODS-WHITSONS</v>
      </c>
      <c r="C5152" t="s">
        <v>446</v>
      </c>
      <c r="D5152" s="1" t="str">
        <f t="shared" si="152"/>
        <v>PRG-1027618</v>
      </c>
      <c r="E5152" t="s">
        <v>522</v>
      </c>
      <c r="F5152" t="s">
        <v>4</v>
      </c>
      <c r="G5152" t="str">
        <f>""</f>
        <v/>
      </c>
    </row>
    <row r="5153" spans="1:7" x14ac:dyDescent="0.25">
      <c r="A5153" t="s">
        <v>8</v>
      </c>
      <c r="B5153" s="1" t="str">
        <f>"000245630 - RICH CORE-WHITSONS"</f>
        <v>000245630 - RICH CORE-WHITSONS</v>
      </c>
      <c r="C5153" t="s">
        <v>580</v>
      </c>
      <c r="D5153" s="1" t="str">
        <f t="shared" si="152"/>
        <v>PRG-1027618</v>
      </c>
      <c r="E5153" t="s">
        <v>522</v>
      </c>
      <c r="F5153" t="s">
        <v>4</v>
      </c>
      <c r="G5153" t="str">
        <f>""</f>
        <v/>
      </c>
    </row>
    <row r="5154" spans="1:7" x14ac:dyDescent="0.25">
      <c r="A5154" t="s">
        <v>8</v>
      </c>
      <c r="B5154" s="1" t="str">
        <f>"000246840 - RICH FOODS-WHITSONS"</f>
        <v>000246840 - RICH FOODS-WHITSONS</v>
      </c>
      <c r="C5154" t="s">
        <v>446</v>
      </c>
      <c r="D5154" s="1" t="str">
        <f t="shared" si="152"/>
        <v>PRG-1027618</v>
      </c>
      <c r="E5154" t="s">
        <v>522</v>
      </c>
      <c r="F5154" t="s">
        <v>4</v>
      </c>
      <c r="G5154" t="str">
        <f>""</f>
        <v/>
      </c>
    </row>
    <row r="5155" spans="1:7" x14ac:dyDescent="0.25">
      <c r="A5155" t="s">
        <v>8</v>
      </c>
      <c r="B5155" s="1" t="str">
        <f>"000247352 - RICH FOODS-WHITSONS"</f>
        <v>000247352 - RICH FOODS-WHITSONS</v>
      </c>
      <c r="C5155" t="s">
        <v>446</v>
      </c>
      <c r="D5155" s="1" t="str">
        <f t="shared" si="152"/>
        <v>PRG-1027618</v>
      </c>
      <c r="E5155" t="s">
        <v>522</v>
      </c>
      <c r="F5155" t="s">
        <v>4</v>
      </c>
      <c r="G5155" t="str">
        <f>""</f>
        <v/>
      </c>
    </row>
    <row r="5156" spans="1:7" x14ac:dyDescent="0.25">
      <c r="A5156" t="s">
        <v>8</v>
      </c>
      <c r="B5156" s="1" t="str">
        <f>"000254614 - RICH CORE-WHITSONS"</f>
        <v>000254614 - RICH CORE-WHITSONS</v>
      </c>
      <c r="C5156" t="s">
        <v>580</v>
      </c>
      <c r="D5156" s="1" t="str">
        <f t="shared" si="152"/>
        <v>PRG-1027618</v>
      </c>
      <c r="E5156" t="s">
        <v>522</v>
      </c>
      <c r="F5156" t="s">
        <v>4</v>
      </c>
      <c r="G5156" t="str">
        <f>""</f>
        <v/>
      </c>
    </row>
    <row r="5157" spans="1:7" x14ac:dyDescent="0.25">
      <c r="A5157" t="s">
        <v>8</v>
      </c>
      <c r="B5157" s="1" t="str">
        <f>"000255673 - RICH CORE-WHITSONS"</f>
        <v>000255673 - RICH CORE-WHITSONS</v>
      </c>
      <c r="C5157" t="s">
        <v>580</v>
      </c>
      <c r="D5157" s="1" t="str">
        <f t="shared" si="152"/>
        <v>PRG-1027618</v>
      </c>
      <c r="E5157" t="s">
        <v>522</v>
      </c>
      <c r="F5157" t="s">
        <v>4</v>
      </c>
      <c r="G5157" t="str">
        <f>""</f>
        <v/>
      </c>
    </row>
    <row r="5158" spans="1:7" x14ac:dyDescent="0.25">
      <c r="A5158" t="s">
        <v>8</v>
      </c>
      <c r="B5158" s="1" t="str">
        <f>"000286520 - RICH PRODUCTS JUBITZ"</f>
        <v>000286520 - RICH PRODUCTS JUBITZ</v>
      </c>
      <c r="C5158" t="s">
        <v>2741</v>
      </c>
      <c r="D5158" s="1" t="str">
        <f>"PRG-1027626"</f>
        <v>PRG-1027626</v>
      </c>
      <c r="E5158" t="s">
        <v>2742</v>
      </c>
      <c r="F5158" t="s">
        <v>4</v>
      </c>
      <c r="G5158" t="str">
        <f>""</f>
        <v/>
      </c>
    </row>
    <row r="5159" spans="1:7" x14ac:dyDescent="0.25">
      <c r="A5159" t="s">
        <v>8</v>
      </c>
      <c r="B5159" s="1" t="str">
        <f>"000286523 - RICH PRODUCTS JUBITZ"</f>
        <v>000286523 - RICH PRODUCTS JUBITZ</v>
      </c>
      <c r="C5159" t="s">
        <v>2741</v>
      </c>
      <c r="D5159" s="1" t="str">
        <f>"PRG-1027626"</f>
        <v>PRG-1027626</v>
      </c>
      <c r="E5159" t="s">
        <v>2742</v>
      </c>
      <c r="F5159" t="s">
        <v>4</v>
      </c>
      <c r="G5159" t="str">
        <f>""</f>
        <v/>
      </c>
    </row>
    <row r="5160" spans="1:7" x14ac:dyDescent="0.25">
      <c r="A5160" t="s">
        <v>8</v>
      </c>
      <c r="B5160" s="1" t="str">
        <f>"000286066 - RICH GAYLES ITALIAN"</f>
        <v>000286066 - RICH GAYLES ITALIAN</v>
      </c>
      <c r="C5160" t="s">
        <v>2731</v>
      </c>
      <c r="D5160" s="1" t="str">
        <f>"PRG-1027629"</f>
        <v>PRG-1027629</v>
      </c>
      <c r="E5160" t="s">
        <v>2732</v>
      </c>
      <c r="F5160" t="s">
        <v>4</v>
      </c>
      <c r="G5160" t="str">
        <f>""</f>
        <v/>
      </c>
    </row>
    <row r="5161" spans="1:7" x14ac:dyDescent="0.25">
      <c r="A5161" t="s">
        <v>8</v>
      </c>
      <c r="B5161" s="1" t="str">
        <f>"000286068 - RICH MOTOR VU DRIVE INN"</f>
        <v>000286068 - RICH MOTOR VU DRIVE INN</v>
      </c>
      <c r="C5161" t="s">
        <v>2733</v>
      </c>
      <c r="D5161" s="1" t="str">
        <f>"PRG-1027630"</f>
        <v>PRG-1027630</v>
      </c>
      <c r="E5161" t="s">
        <v>2734</v>
      </c>
      <c r="F5161" t="s">
        <v>4</v>
      </c>
      <c r="G5161" t="str">
        <f>""</f>
        <v/>
      </c>
    </row>
    <row r="5162" spans="1:7" x14ac:dyDescent="0.25">
      <c r="A5162" t="s">
        <v>8</v>
      </c>
      <c r="B5162" s="1" t="str">
        <f>"000325690 - "</f>
        <v xml:space="preserve">000325690 - </v>
      </c>
      <c r="D5162" s="1" t="str">
        <f>"PRG-1027630"</f>
        <v>PRG-1027630</v>
      </c>
      <c r="E5162" t="s">
        <v>2734</v>
      </c>
      <c r="F5162" t="s">
        <v>4</v>
      </c>
      <c r="G5162" t="str">
        <f>""</f>
        <v/>
      </c>
    </row>
    <row r="5163" spans="1:7" x14ac:dyDescent="0.25">
      <c r="A5163" t="s">
        <v>8</v>
      </c>
      <c r="B5163" s="1" t="str">
        <f>"000223621 - RICH PROD-AVI"</f>
        <v>000223621 - RICH PROD-AVI</v>
      </c>
      <c r="C5163" t="s">
        <v>1051</v>
      </c>
      <c r="D5163" s="1" t="str">
        <f>"PRG-1027646"</f>
        <v>PRG-1027646</v>
      </c>
      <c r="E5163" t="s">
        <v>1052</v>
      </c>
      <c r="F5163" t="s">
        <v>4</v>
      </c>
      <c r="G5163" t="str">
        <f>""</f>
        <v/>
      </c>
    </row>
    <row r="5164" spans="1:7" x14ac:dyDescent="0.25">
      <c r="A5164" t="s">
        <v>8</v>
      </c>
      <c r="B5164" s="1" t="str">
        <f>"000225822 - RICH PROD.-AVI"</f>
        <v>000225822 - RICH PROD.-AVI</v>
      </c>
      <c r="C5164" t="s">
        <v>1356</v>
      </c>
      <c r="D5164" s="1" t="str">
        <f>"PRG-1027646"</f>
        <v>PRG-1027646</v>
      </c>
      <c r="E5164" t="s">
        <v>1052</v>
      </c>
      <c r="F5164" t="s">
        <v>4</v>
      </c>
      <c r="G5164" t="str">
        <f>""</f>
        <v/>
      </c>
    </row>
    <row r="5165" spans="1:7" x14ac:dyDescent="0.25">
      <c r="A5165" t="s">
        <v>8</v>
      </c>
      <c r="B5165" s="1" t="str">
        <f>"2000260425 - RICH FOODS-AVI"</f>
        <v>2000260425 - RICH FOODS-AVI</v>
      </c>
      <c r="C5165" t="s">
        <v>713</v>
      </c>
      <c r="D5165" s="1" t="str">
        <f>"PRG-1027646"</f>
        <v>PRG-1027646</v>
      </c>
      <c r="E5165" t="s">
        <v>1052</v>
      </c>
      <c r="F5165" t="s">
        <v>4</v>
      </c>
      <c r="G5165" t="str">
        <f>""</f>
        <v/>
      </c>
    </row>
    <row r="5166" spans="1:7" x14ac:dyDescent="0.25">
      <c r="A5166" t="s">
        <v>8</v>
      </c>
      <c r="B5166" s="1" t="str">
        <f>"000303045 - BLUESTONE RESTUARANT RICH'S"</f>
        <v>000303045 - BLUESTONE RESTUARANT RICH'S</v>
      </c>
      <c r="C5166" t="s">
        <v>3001</v>
      </c>
      <c r="D5166" s="1" t="str">
        <f>"PRG-1027651"</f>
        <v>PRG-1027651</v>
      </c>
      <c r="E5166" t="s">
        <v>3002</v>
      </c>
      <c r="F5166" t="s">
        <v>4</v>
      </c>
      <c r="G5166" t="str">
        <f>""</f>
        <v/>
      </c>
    </row>
    <row r="5167" spans="1:7" x14ac:dyDescent="0.25">
      <c r="A5167" t="s">
        <v>8</v>
      </c>
      <c r="B5167" s="1" t="str">
        <f>"000327331 - BLUESTONE RESTUARANT RICH'S"</f>
        <v>000327331 - BLUESTONE RESTUARANT RICH'S</v>
      </c>
      <c r="C5167" t="s">
        <v>3001</v>
      </c>
      <c r="D5167" s="1" t="str">
        <f>"PRG-1027651"</f>
        <v>PRG-1027651</v>
      </c>
      <c r="E5167" t="s">
        <v>3002</v>
      </c>
      <c r="F5167" t="s">
        <v>4</v>
      </c>
      <c r="G5167" t="str">
        <f>""</f>
        <v/>
      </c>
    </row>
    <row r="5168" spans="1:7" x14ac:dyDescent="0.25">
      <c r="A5168" t="s">
        <v>8</v>
      </c>
      <c r="B5168" s="1" t="str">
        <f>"000344092 - BLUESTONE RESTAURANT RICH'S"</f>
        <v>000344092 - BLUESTONE RESTAURANT RICH'S</v>
      </c>
      <c r="C5168" t="s">
        <v>3450</v>
      </c>
      <c r="D5168" s="1" t="str">
        <f>"PRG-1027651"</f>
        <v>PRG-1027651</v>
      </c>
      <c r="E5168" t="s">
        <v>3002</v>
      </c>
      <c r="F5168" t="s">
        <v>4</v>
      </c>
      <c r="G5168" t="str">
        <f>""</f>
        <v/>
      </c>
    </row>
    <row r="5169" spans="1:7" x14ac:dyDescent="0.25">
      <c r="A5169" t="s">
        <v>8</v>
      </c>
      <c r="B5169" s="1" t="str">
        <f>"000003276 - RICH PRODUCTS BURGERFI"</f>
        <v>000003276 - RICH PRODUCTS BURGERFI</v>
      </c>
      <c r="C5169" t="s">
        <v>151</v>
      </c>
      <c r="D5169" s="1" t="str">
        <f t="shared" ref="D5169:D5200" si="153">"PRG-1027707"</f>
        <v>PRG-1027707</v>
      </c>
      <c r="E5169" t="s">
        <v>152</v>
      </c>
      <c r="F5169" t="s">
        <v>4</v>
      </c>
      <c r="G5169" t="str">
        <f>""</f>
        <v/>
      </c>
    </row>
    <row r="5170" spans="1:7" x14ac:dyDescent="0.25">
      <c r="A5170" t="s">
        <v>8</v>
      </c>
      <c r="B5170" s="1" t="str">
        <f>"000003637 - RICH PRODUCTS BURGERFI"</f>
        <v>000003637 - RICH PRODUCTS BURGERFI</v>
      </c>
      <c r="C5170" t="s">
        <v>151</v>
      </c>
      <c r="D5170" s="1" t="str">
        <f t="shared" si="153"/>
        <v>PRG-1027707</v>
      </c>
      <c r="E5170" t="s">
        <v>152</v>
      </c>
      <c r="F5170" t="s">
        <v>4</v>
      </c>
      <c r="G5170" t="str">
        <f>""</f>
        <v/>
      </c>
    </row>
    <row r="5171" spans="1:7" x14ac:dyDescent="0.25">
      <c r="A5171" t="s">
        <v>8</v>
      </c>
      <c r="B5171" s="1" t="str">
        <f>"000006266 - RICH PRODUCTS BURGERFI"</f>
        <v>000006266 - RICH PRODUCTS BURGERFI</v>
      </c>
      <c r="C5171" t="s">
        <v>151</v>
      </c>
      <c r="D5171" s="1" t="str">
        <f t="shared" si="153"/>
        <v>PRG-1027707</v>
      </c>
      <c r="E5171" t="s">
        <v>152</v>
      </c>
      <c r="F5171" t="s">
        <v>4</v>
      </c>
      <c r="G5171" t="str">
        <f>""</f>
        <v/>
      </c>
    </row>
    <row r="5172" spans="1:7" x14ac:dyDescent="0.25">
      <c r="A5172" t="s">
        <v>8</v>
      </c>
      <c r="B5172" s="1" t="str">
        <f>"000007524 - RICH RED VELVET CAKE BURGERFI"</f>
        <v>000007524 - RICH RED VELVET CAKE BURGERFI</v>
      </c>
      <c r="C5172" t="s">
        <v>265</v>
      </c>
      <c r="D5172" s="1" t="str">
        <f t="shared" si="153"/>
        <v>PRG-1027707</v>
      </c>
      <c r="E5172" t="s">
        <v>152</v>
      </c>
      <c r="F5172" t="s">
        <v>4</v>
      </c>
      <c r="G5172" t="str">
        <f>""</f>
        <v/>
      </c>
    </row>
    <row r="5173" spans="1:7" x14ac:dyDescent="0.25">
      <c r="A5173" t="s">
        <v>8</v>
      </c>
      <c r="B5173" s="1" t="str">
        <f>"000011995 - &amp;RICH PRODCTS-BURGERFI (CAKE)"</f>
        <v>000011995 - &amp;RICH PRODCTS-BURGERFI (CAKE)</v>
      </c>
      <c r="C5173" t="s">
        <v>329</v>
      </c>
      <c r="D5173" s="1" t="str">
        <f t="shared" si="153"/>
        <v>PRG-1027707</v>
      </c>
      <c r="E5173" t="s">
        <v>152</v>
      </c>
      <c r="F5173" t="s">
        <v>4</v>
      </c>
      <c r="G5173" t="str">
        <f>""</f>
        <v/>
      </c>
    </row>
    <row r="5174" spans="1:7" x14ac:dyDescent="0.25">
      <c r="A5174" t="s">
        <v>8</v>
      </c>
      <c r="B5174" s="1" t="str">
        <f>"000015465 - "</f>
        <v xml:space="preserve">000015465 - </v>
      </c>
      <c r="D5174" s="1" t="str">
        <f t="shared" si="153"/>
        <v>PRG-1027707</v>
      </c>
      <c r="E5174" t="s">
        <v>152</v>
      </c>
      <c r="F5174" t="s">
        <v>4</v>
      </c>
      <c r="G5174" t="str">
        <f>""</f>
        <v/>
      </c>
    </row>
    <row r="5175" spans="1:7" x14ac:dyDescent="0.25">
      <c r="A5175" t="s">
        <v>8</v>
      </c>
      <c r="B5175" s="1" t="str">
        <f>"000034137 - RICH PRODUCTS-BURGERFI"</f>
        <v>000034137 - RICH PRODUCTS-BURGERFI</v>
      </c>
      <c r="C5175" t="s">
        <v>514</v>
      </c>
      <c r="D5175" s="1" t="str">
        <f t="shared" si="153"/>
        <v>PRG-1027707</v>
      </c>
      <c r="E5175" t="s">
        <v>152</v>
      </c>
      <c r="F5175" t="s">
        <v>4</v>
      </c>
      <c r="G5175" t="str">
        <f>""</f>
        <v/>
      </c>
    </row>
    <row r="5176" spans="1:7" x14ac:dyDescent="0.25">
      <c r="A5176" t="s">
        <v>8</v>
      </c>
      <c r="B5176" s="1" t="str">
        <f>"000034336 - RICH PRODUCTS BURGERFI"</f>
        <v>000034336 - RICH PRODUCTS BURGERFI</v>
      </c>
      <c r="C5176" t="s">
        <v>151</v>
      </c>
      <c r="D5176" s="1" t="str">
        <f t="shared" si="153"/>
        <v>PRG-1027707</v>
      </c>
      <c r="E5176" t="s">
        <v>152</v>
      </c>
      <c r="F5176" t="s">
        <v>4</v>
      </c>
      <c r="G5176" t="str">
        <f>""</f>
        <v/>
      </c>
    </row>
    <row r="5177" spans="1:7" x14ac:dyDescent="0.25">
      <c r="A5177" t="s">
        <v>8</v>
      </c>
      <c r="B5177" s="1" t="str">
        <f>"000035023 - RICH PRODUCTS-BURGERFI"</f>
        <v>000035023 - RICH PRODUCTS-BURGERFI</v>
      </c>
      <c r="C5177" t="s">
        <v>514</v>
      </c>
      <c r="D5177" s="1" t="str">
        <f t="shared" si="153"/>
        <v>PRG-1027707</v>
      </c>
      <c r="E5177" t="s">
        <v>152</v>
      </c>
      <c r="F5177" t="s">
        <v>4</v>
      </c>
      <c r="G5177" t="str">
        <f>""</f>
        <v/>
      </c>
    </row>
    <row r="5178" spans="1:7" x14ac:dyDescent="0.25">
      <c r="A5178" t="s">
        <v>8</v>
      </c>
      <c r="B5178" s="1" t="str">
        <f>"000041818 - RICH PDCTS-BURGERFI (CAKE)"</f>
        <v>000041818 - RICH PDCTS-BURGERFI (CAKE)</v>
      </c>
      <c r="C5178" t="s">
        <v>241</v>
      </c>
      <c r="D5178" s="1" t="str">
        <f t="shared" si="153"/>
        <v>PRG-1027707</v>
      </c>
      <c r="E5178" t="s">
        <v>152</v>
      </c>
      <c r="F5178" t="s">
        <v>4</v>
      </c>
      <c r="G5178" t="str">
        <f>""</f>
        <v/>
      </c>
    </row>
    <row r="5179" spans="1:7" x14ac:dyDescent="0.25">
      <c r="A5179" t="s">
        <v>8</v>
      </c>
      <c r="B5179" s="1" t="str">
        <f>"000044545 - RICH PDCTS-BURGERFI (CAKE)"</f>
        <v>000044545 - RICH PDCTS-BURGERFI (CAKE)</v>
      </c>
      <c r="C5179" t="s">
        <v>241</v>
      </c>
      <c r="D5179" s="1" t="str">
        <f t="shared" si="153"/>
        <v>PRG-1027707</v>
      </c>
      <c r="E5179" t="s">
        <v>152</v>
      </c>
      <c r="F5179" t="s">
        <v>4</v>
      </c>
      <c r="G5179" t="str">
        <f>""</f>
        <v/>
      </c>
    </row>
    <row r="5180" spans="1:7" x14ac:dyDescent="0.25">
      <c r="A5180" t="s">
        <v>8</v>
      </c>
      <c r="B5180" s="1" t="str">
        <f>"000049016 - RICH PDCTS-BURGERFI (CAKE)"</f>
        <v>000049016 - RICH PDCTS-BURGERFI (CAKE)</v>
      </c>
      <c r="C5180" t="s">
        <v>241</v>
      </c>
      <c r="D5180" s="1" t="str">
        <f t="shared" si="153"/>
        <v>PRG-1027707</v>
      </c>
      <c r="E5180" t="s">
        <v>152</v>
      </c>
      <c r="F5180" t="s">
        <v>4</v>
      </c>
      <c r="G5180" t="str">
        <f>""</f>
        <v/>
      </c>
    </row>
    <row r="5181" spans="1:7" x14ac:dyDescent="0.25">
      <c r="A5181" t="s">
        <v>8</v>
      </c>
      <c r="B5181" s="1" t="str">
        <f>"000059173 - RICH PDCTS-BURGERFI (CAKE)"</f>
        <v>000059173 - RICH PDCTS-BURGERFI (CAKE)</v>
      </c>
      <c r="C5181" t="s">
        <v>241</v>
      </c>
      <c r="D5181" s="1" t="str">
        <f t="shared" si="153"/>
        <v>PRG-1027707</v>
      </c>
      <c r="E5181" t="s">
        <v>152</v>
      </c>
      <c r="F5181" t="s">
        <v>4</v>
      </c>
      <c r="G5181" t="str">
        <f>""</f>
        <v/>
      </c>
    </row>
    <row r="5182" spans="1:7" x14ac:dyDescent="0.25">
      <c r="A5182" t="s">
        <v>8</v>
      </c>
      <c r="B5182" s="1" t="str">
        <f>"000099358 - RICH PRODUCTS-BURGERFI"</f>
        <v>000099358 - RICH PRODUCTS-BURGERFI</v>
      </c>
      <c r="C5182" t="s">
        <v>514</v>
      </c>
      <c r="D5182" s="1" t="str">
        <f t="shared" si="153"/>
        <v>PRG-1027707</v>
      </c>
      <c r="E5182" t="s">
        <v>152</v>
      </c>
      <c r="F5182" t="s">
        <v>4</v>
      </c>
      <c r="G5182" t="str">
        <f>""</f>
        <v/>
      </c>
    </row>
    <row r="5183" spans="1:7" x14ac:dyDescent="0.25">
      <c r="A5183" t="s">
        <v>8</v>
      </c>
      <c r="B5183" s="1" t="str">
        <f>"000099467 - RICH PRODUCTS-BURGERFI"</f>
        <v>000099467 - RICH PRODUCTS-BURGERFI</v>
      </c>
      <c r="C5183" t="s">
        <v>514</v>
      </c>
      <c r="D5183" s="1" t="str">
        <f t="shared" si="153"/>
        <v>PRG-1027707</v>
      </c>
      <c r="E5183" t="s">
        <v>152</v>
      </c>
      <c r="F5183" t="s">
        <v>4</v>
      </c>
      <c r="G5183" t="str">
        <f>""</f>
        <v/>
      </c>
    </row>
    <row r="5184" spans="1:7" x14ac:dyDescent="0.25">
      <c r="A5184" t="s">
        <v>8</v>
      </c>
      <c r="B5184" s="1" t="str">
        <f>"000100625 - RICH PRODUCTS-BURGERFI"</f>
        <v>000100625 - RICH PRODUCTS-BURGERFI</v>
      </c>
      <c r="C5184" t="s">
        <v>514</v>
      </c>
      <c r="D5184" s="1" t="str">
        <f t="shared" si="153"/>
        <v>PRG-1027707</v>
      </c>
      <c r="E5184" t="s">
        <v>152</v>
      </c>
      <c r="F5184" t="s">
        <v>4</v>
      </c>
      <c r="G5184" t="str">
        <f>""</f>
        <v/>
      </c>
    </row>
    <row r="5185" spans="1:7" x14ac:dyDescent="0.25">
      <c r="A5185" t="s">
        <v>8</v>
      </c>
      <c r="B5185" s="1" t="str">
        <f>"000109275 - RICH PDCTS-BURGERFI (CAKE)"</f>
        <v>000109275 - RICH PDCTS-BURGERFI (CAKE)</v>
      </c>
      <c r="C5185" t="s">
        <v>241</v>
      </c>
      <c r="D5185" s="1" t="str">
        <f t="shared" si="153"/>
        <v>PRG-1027707</v>
      </c>
      <c r="E5185" t="s">
        <v>152</v>
      </c>
      <c r="F5185" t="s">
        <v>4</v>
      </c>
      <c r="G5185" t="str">
        <f>""</f>
        <v/>
      </c>
    </row>
    <row r="5186" spans="1:7" x14ac:dyDescent="0.25">
      <c r="A5186" t="s">
        <v>8</v>
      </c>
      <c r="B5186" s="1" t="str">
        <f>"000113030 - RICH PDCTS-BURGERFI (CAKE)"</f>
        <v>000113030 - RICH PDCTS-BURGERFI (CAKE)</v>
      </c>
      <c r="C5186" t="s">
        <v>241</v>
      </c>
      <c r="D5186" s="1" t="str">
        <f t="shared" si="153"/>
        <v>PRG-1027707</v>
      </c>
      <c r="E5186" t="s">
        <v>152</v>
      </c>
      <c r="F5186" t="s">
        <v>4</v>
      </c>
      <c r="G5186" t="str">
        <f>""</f>
        <v/>
      </c>
    </row>
    <row r="5187" spans="1:7" x14ac:dyDescent="0.25">
      <c r="A5187" t="s">
        <v>8</v>
      </c>
      <c r="B5187" s="1" t="str">
        <f>"000118941 - RICH PDCTS-BURGERFI (CAKE)"</f>
        <v>000118941 - RICH PDCTS-BURGERFI (CAKE)</v>
      </c>
      <c r="C5187" t="s">
        <v>241</v>
      </c>
      <c r="D5187" s="1" t="str">
        <f t="shared" si="153"/>
        <v>PRG-1027707</v>
      </c>
      <c r="E5187" t="s">
        <v>152</v>
      </c>
      <c r="F5187" t="s">
        <v>4</v>
      </c>
      <c r="G5187" t="str">
        <f>""</f>
        <v/>
      </c>
    </row>
    <row r="5188" spans="1:7" x14ac:dyDescent="0.25">
      <c r="A5188" t="s">
        <v>8</v>
      </c>
      <c r="B5188" s="1" t="str">
        <f>"000130127 - RICH PDCTS-BURGERFI (CAKE)"</f>
        <v>000130127 - RICH PDCTS-BURGERFI (CAKE)</v>
      </c>
      <c r="C5188" t="s">
        <v>241</v>
      </c>
      <c r="D5188" s="1" t="str">
        <f t="shared" si="153"/>
        <v>PRG-1027707</v>
      </c>
      <c r="E5188" t="s">
        <v>152</v>
      </c>
      <c r="F5188" t="s">
        <v>4</v>
      </c>
      <c r="G5188" t="str">
        <f>""</f>
        <v/>
      </c>
    </row>
    <row r="5189" spans="1:7" x14ac:dyDescent="0.25">
      <c r="A5189" t="s">
        <v>8</v>
      </c>
      <c r="B5189" s="1" t="str">
        <f>"000172508 - "</f>
        <v xml:space="preserve">000172508 - </v>
      </c>
      <c r="D5189" s="1" t="str">
        <f t="shared" si="153"/>
        <v>PRG-1027707</v>
      </c>
      <c r="E5189" t="s">
        <v>152</v>
      </c>
      <c r="F5189" t="s">
        <v>4</v>
      </c>
      <c r="G5189" t="str">
        <f>""</f>
        <v/>
      </c>
    </row>
    <row r="5190" spans="1:7" x14ac:dyDescent="0.25">
      <c r="A5190" t="s">
        <v>8</v>
      </c>
      <c r="B5190" s="1" t="str">
        <f>"000177976 - "</f>
        <v xml:space="preserve">000177976 - </v>
      </c>
      <c r="D5190" s="1" t="str">
        <f t="shared" si="153"/>
        <v>PRG-1027707</v>
      </c>
      <c r="E5190" t="s">
        <v>152</v>
      </c>
      <c r="F5190" t="s">
        <v>4</v>
      </c>
      <c r="G5190" t="str">
        <f>""</f>
        <v/>
      </c>
    </row>
    <row r="5191" spans="1:7" x14ac:dyDescent="0.25">
      <c r="A5191" t="s">
        <v>8</v>
      </c>
      <c r="B5191" s="1" t="str">
        <f>"000195111 - RICH PRODUCTS-BURGERFI"</f>
        <v>000195111 - RICH PRODUCTS-BURGERFI</v>
      </c>
      <c r="C5191" t="s">
        <v>514</v>
      </c>
      <c r="D5191" s="1" t="str">
        <f t="shared" si="153"/>
        <v>PRG-1027707</v>
      </c>
      <c r="E5191" t="s">
        <v>152</v>
      </c>
      <c r="F5191" t="s">
        <v>4</v>
      </c>
      <c r="G5191" t="str">
        <f>""</f>
        <v/>
      </c>
    </row>
    <row r="5192" spans="1:7" x14ac:dyDescent="0.25">
      <c r="A5192" t="s">
        <v>8</v>
      </c>
      <c r="B5192" s="1" t="str">
        <f>"000196354 - RICH PRODUCTS-BURGERFI"</f>
        <v>000196354 - RICH PRODUCTS-BURGERFI</v>
      </c>
      <c r="C5192" t="s">
        <v>514</v>
      </c>
      <c r="D5192" s="1" t="str">
        <f t="shared" si="153"/>
        <v>PRG-1027707</v>
      </c>
      <c r="E5192" t="s">
        <v>152</v>
      </c>
      <c r="F5192" t="s">
        <v>4</v>
      </c>
      <c r="G5192" t="str">
        <f>""</f>
        <v/>
      </c>
    </row>
    <row r="5193" spans="1:7" x14ac:dyDescent="0.25">
      <c r="A5193" t="s">
        <v>8</v>
      </c>
      <c r="B5193" s="1" t="str">
        <f>"000205134 - RICH PDCTS-BURGERFI (CAKE)"</f>
        <v>000205134 - RICH PDCTS-BURGERFI (CAKE)</v>
      </c>
      <c r="C5193" t="s">
        <v>241</v>
      </c>
      <c r="D5193" s="1" t="str">
        <f t="shared" si="153"/>
        <v>PRG-1027707</v>
      </c>
      <c r="E5193" t="s">
        <v>152</v>
      </c>
      <c r="F5193" t="s">
        <v>4</v>
      </c>
      <c r="G5193" t="str">
        <f>""</f>
        <v/>
      </c>
    </row>
    <row r="5194" spans="1:7" x14ac:dyDescent="0.25">
      <c r="A5194" t="s">
        <v>8</v>
      </c>
      <c r="B5194" s="1" t="str">
        <f>"000208941 - RICH PDCTS-BURGERFI (CAKE)"</f>
        <v>000208941 - RICH PDCTS-BURGERFI (CAKE)</v>
      </c>
      <c r="C5194" t="s">
        <v>241</v>
      </c>
      <c r="D5194" s="1" t="str">
        <f t="shared" si="153"/>
        <v>PRG-1027707</v>
      </c>
      <c r="E5194" t="s">
        <v>152</v>
      </c>
      <c r="F5194" t="s">
        <v>4</v>
      </c>
      <c r="G5194" t="str">
        <f>""</f>
        <v/>
      </c>
    </row>
    <row r="5195" spans="1:7" x14ac:dyDescent="0.25">
      <c r="A5195" t="s">
        <v>8</v>
      </c>
      <c r="B5195" s="1" t="str">
        <f>"000214899 - RICH PDCTS-BURGERFI (CAKE)"</f>
        <v>000214899 - RICH PDCTS-BURGERFI (CAKE)</v>
      </c>
      <c r="C5195" t="s">
        <v>241</v>
      </c>
      <c r="D5195" s="1" t="str">
        <f t="shared" si="153"/>
        <v>PRG-1027707</v>
      </c>
      <c r="E5195" t="s">
        <v>152</v>
      </c>
      <c r="F5195" t="s">
        <v>4</v>
      </c>
      <c r="G5195" t="str">
        <f>""</f>
        <v/>
      </c>
    </row>
    <row r="5196" spans="1:7" x14ac:dyDescent="0.25">
      <c r="A5196" t="s">
        <v>8</v>
      </c>
      <c r="B5196" s="1" t="str">
        <f>"000216534 - RICH PRODUCTS-BURGERFI"</f>
        <v>000216534 - RICH PRODUCTS-BURGERFI</v>
      </c>
      <c r="C5196" t="s">
        <v>514</v>
      </c>
      <c r="D5196" s="1" t="str">
        <f t="shared" si="153"/>
        <v>PRG-1027707</v>
      </c>
      <c r="E5196" t="s">
        <v>152</v>
      </c>
      <c r="F5196" t="s">
        <v>4</v>
      </c>
      <c r="G5196" t="str">
        <f>""</f>
        <v/>
      </c>
    </row>
    <row r="5197" spans="1:7" x14ac:dyDescent="0.25">
      <c r="A5197" t="s">
        <v>8</v>
      </c>
      <c r="B5197" s="1" t="str">
        <f>"000217943 - RICH PRODUCTS-BURGERFI"</f>
        <v>000217943 - RICH PRODUCTS-BURGERFI</v>
      </c>
      <c r="C5197" t="s">
        <v>514</v>
      </c>
      <c r="D5197" s="1" t="str">
        <f t="shared" si="153"/>
        <v>PRG-1027707</v>
      </c>
      <c r="E5197" t="s">
        <v>152</v>
      </c>
      <c r="F5197" t="s">
        <v>4</v>
      </c>
      <c r="G5197" t="str">
        <f>""</f>
        <v/>
      </c>
    </row>
    <row r="5198" spans="1:7" x14ac:dyDescent="0.25">
      <c r="A5198" t="s">
        <v>8</v>
      </c>
      <c r="B5198" s="1" t="str">
        <f>"000219290 - RICH PRODUCTS-BURGERFI"</f>
        <v>000219290 - RICH PRODUCTS-BURGERFI</v>
      </c>
      <c r="C5198" t="s">
        <v>514</v>
      </c>
      <c r="D5198" s="1" t="str">
        <f t="shared" si="153"/>
        <v>PRG-1027707</v>
      </c>
      <c r="E5198" t="s">
        <v>152</v>
      </c>
      <c r="F5198" t="s">
        <v>4</v>
      </c>
      <c r="G5198" t="str">
        <f>""</f>
        <v/>
      </c>
    </row>
    <row r="5199" spans="1:7" x14ac:dyDescent="0.25">
      <c r="A5199" t="s">
        <v>8</v>
      </c>
      <c r="B5199" s="1" t="str">
        <f>"000220449 - RICH PRODUCTS-BURGERFI"</f>
        <v>000220449 - RICH PRODUCTS-BURGERFI</v>
      </c>
      <c r="C5199" t="s">
        <v>514</v>
      </c>
      <c r="D5199" s="1" t="str">
        <f t="shared" si="153"/>
        <v>PRG-1027707</v>
      </c>
      <c r="E5199" t="s">
        <v>152</v>
      </c>
      <c r="F5199" t="s">
        <v>4</v>
      </c>
      <c r="G5199" t="str">
        <f>""</f>
        <v/>
      </c>
    </row>
    <row r="5200" spans="1:7" x14ac:dyDescent="0.25">
      <c r="A5200" t="s">
        <v>8</v>
      </c>
      <c r="B5200" s="1" t="str">
        <f>"000223857 - RICH PDCTS-BURGERFI (CAKE)"</f>
        <v>000223857 - RICH PDCTS-BURGERFI (CAKE)</v>
      </c>
      <c r="C5200" t="s">
        <v>241</v>
      </c>
      <c r="D5200" s="1" t="str">
        <f t="shared" si="153"/>
        <v>PRG-1027707</v>
      </c>
      <c r="E5200" t="s">
        <v>152</v>
      </c>
      <c r="F5200" t="s">
        <v>4</v>
      </c>
      <c r="G5200" t="str">
        <f>""</f>
        <v/>
      </c>
    </row>
    <row r="5201" spans="1:7" x14ac:dyDescent="0.25">
      <c r="A5201" t="s">
        <v>8</v>
      </c>
      <c r="B5201" s="1" t="str">
        <f>"000226831 - RICH PDCTS-BURGERFI (CAKE)"</f>
        <v>000226831 - RICH PDCTS-BURGERFI (CAKE)</v>
      </c>
      <c r="C5201" t="s">
        <v>241</v>
      </c>
      <c r="D5201" s="1" t="str">
        <f t="shared" ref="D5201:D5232" si="154">"PRG-1027707"</f>
        <v>PRG-1027707</v>
      </c>
      <c r="E5201" t="s">
        <v>152</v>
      </c>
      <c r="F5201" t="s">
        <v>4</v>
      </c>
      <c r="G5201" t="str">
        <f>""</f>
        <v/>
      </c>
    </row>
    <row r="5202" spans="1:7" x14ac:dyDescent="0.25">
      <c r="A5202" t="s">
        <v>8</v>
      </c>
      <c r="B5202" s="1" t="str">
        <f>"000226988 - RICH PRODUCTS-BURGERFI"</f>
        <v>000226988 - RICH PRODUCTS-BURGERFI</v>
      </c>
      <c r="C5202" t="s">
        <v>514</v>
      </c>
      <c r="D5202" s="1" t="str">
        <f t="shared" si="154"/>
        <v>PRG-1027707</v>
      </c>
      <c r="E5202" t="s">
        <v>152</v>
      </c>
      <c r="F5202" t="s">
        <v>4</v>
      </c>
      <c r="G5202" t="str">
        <f>""</f>
        <v/>
      </c>
    </row>
    <row r="5203" spans="1:7" x14ac:dyDescent="0.25">
      <c r="A5203" t="s">
        <v>8</v>
      </c>
      <c r="B5203" s="1" t="str">
        <f>"000228463 - RICH PRODUCTS-BURGERFI"</f>
        <v>000228463 - RICH PRODUCTS-BURGERFI</v>
      </c>
      <c r="C5203" t="s">
        <v>514</v>
      </c>
      <c r="D5203" s="1" t="str">
        <f t="shared" si="154"/>
        <v>PRG-1027707</v>
      </c>
      <c r="E5203" t="s">
        <v>152</v>
      </c>
      <c r="F5203" t="s">
        <v>4</v>
      </c>
      <c r="G5203" t="str">
        <f>""</f>
        <v/>
      </c>
    </row>
    <row r="5204" spans="1:7" x14ac:dyDescent="0.25">
      <c r="A5204" t="s">
        <v>8</v>
      </c>
      <c r="B5204" s="1" t="str">
        <f>"000229361 - RICH PDCTS-BURGERFI (CAKE)"</f>
        <v>000229361 - RICH PDCTS-BURGERFI (CAKE)</v>
      </c>
      <c r="C5204" t="s">
        <v>241</v>
      </c>
      <c r="D5204" s="1" t="str">
        <f t="shared" si="154"/>
        <v>PRG-1027707</v>
      </c>
      <c r="E5204" t="s">
        <v>152</v>
      </c>
      <c r="F5204" t="s">
        <v>4</v>
      </c>
      <c r="G5204" t="str">
        <f>""</f>
        <v/>
      </c>
    </row>
    <row r="5205" spans="1:7" x14ac:dyDescent="0.25">
      <c r="A5205" t="s">
        <v>8</v>
      </c>
      <c r="B5205" s="1" t="str">
        <f>"000232072 - RICH PDCTS-BURGERFI (CAKE)"</f>
        <v>000232072 - RICH PDCTS-BURGERFI (CAKE)</v>
      </c>
      <c r="C5205" t="s">
        <v>241</v>
      </c>
      <c r="D5205" s="1" t="str">
        <f t="shared" si="154"/>
        <v>PRG-1027707</v>
      </c>
      <c r="E5205" t="s">
        <v>152</v>
      </c>
      <c r="F5205" t="s">
        <v>4</v>
      </c>
      <c r="G5205" t="str">
        <f>""</f>
        <v/>
      </c>
    </row>
    <row r="5206" spans="1:7" x14ac:dyDescent="0.25">
      <c r="A5206" t="s">
        <v>8</v>
      </c>
      <c r="B5206" s="1" t="str">
        <f>"000232812 - RICH PRODUCTS-BURGERFI"</f>
        <v>000232812 - RICH PRODUCTS-BURGERFI</v>
      </c>
      <c r="C5206" t="s">
        <v>514</v>
      </c>
      <c r="D5206" s="1" t="str">
        <f t="shared" si="154"/>
        <v>PRG-1027707</v>
      </c>
      <c r="E5206" t="s">
        <v>152</v>
      </c>
      <c r="F5206" t="s">
        <v>4</v>
      </c>
      <c r="G5206" t="str">
        <f>""</f>
        <v/>
      </c>
    </row>
    <row r="5207" spans="1:7" x14ac:dyDescent="0.25">
      <c r="A5207" t="s">
        <v>8</v>
      </c>
      <c r="B5207" s="1" t="str">
        <f>"000235374 - RICH PDCTS-BURGERFI (CAKE)"</f>
        <v>000235374 - RICH PDCTS-BURGERFI (CAKE)</v>
      </c>
      <c r="C5207" t="s">
        <v>241</v>
      </c>
      <c r="D5207" s="1" t="str">
        <f t="shared" si="154"/>
        <v>PRG-1027707</v>
      </c>
      <c r="E5207" t="s">
        <v>152</v>
      </c>
      <c r="F5207" t="s">
        <v>4</v>
      </c>
      <c r="G5207" t="str">
        <f>""</f>
        <v/>
      </c>
    </row>
    <row r="5208" spans="1:7" x14ac:dyDescent="0.25">
      <c r="A5208" t="s">
        <v>8</v>
      </c>
      <c r="B5208" s="1" t="str">
        <f>"000238472 - RICH PDCTS-BURGERFI (CAKE)"</f>
        <v>000238472 - RICH PDCTS-BURGERFI (CAKE)</v>
      </c>
      <c r="C5208" t="s">
        <v>241</v>
      </c>
      <c r="D5208" s="1" t="str">
        <f t="shared" si="154"/>
        <v>PRG-1027707</v>
      </c>
      <c r="E5208" t="s">
        <v>152</v>
      </c>
      <c r="F5208" t="s">
        <v>4</v>
      </c>
      <c r="G5208" t="str">
        <f>""</f>
        <v/>
      </c>
    </row>
    <row r="5209" spans="1:7" x14ac:dyDescent="0.25">
      <c r="A5209" t="s">
        <v>8</v>
      </c>
      <c r="B5209" s="1" t="str">
        <f>"000238929 - RICH PDCTS-BURGERFI (CAKE)"</f>
        <v>000238929 - RICH PDCTS-BURGERFI (CAKE)</v>
      </c>
      <c r="C5209" t="s">
        <v>241</v>
      </c>
      <c r="D5209" s="1" t="str">
        <f t="shared" si="154"/>
        <v>PRG-1027707</v>
      </c>
      <c r="E5209" t="s">
        <v>152</v>
      </c>
      <c r="F5209" t="s">
        <v>4</v>
      </c>
      <c r="G5209" t="str">
        <f>""</f>
        <v/>
      </c>
    </row>
    <row r="5210" spans="1:7" x14ac:dyDescent="0.25">
      <c r="A5210" t="s">
        <v>8</v>
      </c>
      <c r="B5210" s="1" t="str">
        <f>"000239168 - RICH PRODUCTS-BURGERFI"</f>
        <v>000239168 - RICH PRODUCTS-BURGERFI</v>
      </c>
      <c r="C5210" t="s">
        <v>514</v>
      </c>
      <c r="D5210" s="1" t="str">
        <f t="shared" si="154"/>
        <v>PRG-1027707</v>
      </c>
      <c r="E5210" t="s">
        <v>152</v>
      </c>
      <c r="F5210" t="s">
        <v>4</v>
      </c>
      <c r="G5210" t="str">
        <f>""</f>
        <v/>
      </c>
    </row>
    <row r="5211" spans="1:7" x14ac:dyDescent="0.25">
      <c r="A5211" t="s">
        <v>8</v>
      </c>
      <c r="B5211" s="1" t="str">
        <f>"000239723 - RICH PRODUCTS-BURGERFI"</f>
        <v>000239723 - RICH PRODUCTS-BURGERFI</v>
      </c>
      <c r="C5211" t="s">
        <v>514</v>
      </c>
      <c r="D5211" s="1" t="str">
        <f t="shared" si="154"/>
        <v>PRG-1027707</v>
      </c>
      <c r="E5211" t="s">
        <v>152</v>
      </c>
      <c r="F5211" t="s">
        <v>4</v>
      </c>
      <c r="G5211" t="str">
        <f>""</f>
        <v/>
      </c>
    </row>
    <row r="5212" spans="1:7" x14ac:dyDescent="0.25">
      <c r="A5212" t="s">
        <v>8</v>
      </c>
      <c r="B5212" s="1" t="str">
        <f>"000240003 - RICH PRODUCTS-BURGERFI"</f>
        <v>000240003 - RICH PRODUCTS-BURGERFI</v>
      </c>
      <c r="C5212" t="s">
        <v>514</v>
      </c>
      <c r="D5212" s="1" t="str">
        <f t="shared" si="154"/>
        <v>PRG-1027707</v>
      </c>
      <c r="E5212" t="s">
        <v>152</v>
      </c>
      <c r="F5212" t="s">
        <v>4</v>
      </c>
      <c r="G5212" t="str">
        <f>""</f>
        <v/>
      </c>
    </row>
    <row r="5213" spans="1:7" x14ac:dyDescent="0.25">
      <c r="A5213" t="s">
        <v>8</v>
      </c>
      <c r="B5213" s="1" t="str">
        <f>"000241054 - RICH PRODUCTS-BURGERFI"</f>
        <v>000241054 - RICH PRODUCTS-BURGERFI</v>
      </c>
      <c r="C5213" t="s">
        <v>514</v>
      </c>
      <c r="D5213" s="1" t="str">
        <f t="shared" si="154"/>
        <v>PRG-1027707</v>
      </c>
      <c r="E5213" t="s">
        <v>152</v>
      </c>
      <c r="F5213" t="s">
        <v>4</v>
      </c>
      <c r="G5213" t="str">
        <f>""</f>
        <v/>
      </c>
    </row>
    <row r="5214" spans="1:7" x14ac:dyDescent="0.25">
      <c r="A5214" t="s">
        <v>8</v>
      </c>
      <c r="B5214" s="1" t="str">
        <f>"000245136 - RICH PDCTS-BURGERFI (CAKE)"</f>
        <v>000245136 - RICH PDCTS-BURGERFI (CAKE)</v>
      </c>
      <c r="C5214" t="s">
        <v>241</v>
      </c>
      <c r="D5214" s="1" t="str">
        <f t="shared" si="154"/>
        <v>PRG-1027707</v>
      </c>
      <c r="E5214" t="s">
        <v>152</v>
      </c>
      <c r="F5214" t="s">
        <v>4</v>
      </c>
      <c r="G5214" t="str">
        <f>""</f>
        <v/>
      </c>
    </row>
    <row r="5215" spans="1:7" x14ac:dyDescent="0.25">
      <c r="A5215" t="s">
        <v>8</v>
      </c>
      <c r="B5215" s="1" t="str">
        <f>"000247284 - RICH PDCTS-BURGERFI (CAKE)"</f>
        <v>000247284 - RICH PDCTS-BURGERFI (CAKE)</v>
      </c>
      <c r="C5215" t="s">
        <v>241</v>
      </c>
      <c r="D5215" s="1" t="str">
        <f t="shared" si="154"/>
        <v>PRG-1027707</v>
      </c>
      <c r="E5215" t="s">
        <v>152</v>
      </c>
      <c r="F5215" t="s">
        <v>4</v>
      </c>
      <c r="G5215" t="str">
        <f>""</f>
        <v/>
      </c>
    </row>
    <row r="5216" spans="1:7" x14ac:dyDescent="0.25">
      <c r="A5216" t="s">
        <v>8</v>
      </c>
      <c r="B5216" s="1" t="str">
        <f>"000247535 - RICH PRODUCTS-BURGERFI"</f>
        <v>000247535 - RICH PRODUCTS-BURGERFI</v>
      </c>
      <c r="C5216" t="s">
        <v>514</v>
      </c>
      <c r="D5216" s="1" t="str">
        <f t="shared" si="154"/>
        <v>PRG-1027707</v>
      </c>
      <c r="E5216" t="s">
        <v>152</v>
      </c>
      <c r="F5216" t="s">
        <v>4</v>
      </c>
      <c r="G5216" t="str">
        <f>""</f>
        <v/>
      </c>
    </row>
    <row r="5217" spans="1:7" x14ac:dyDescent="0.25">
      <c r="A5217" t="s">
        <v>8</v>
      </c>
      <c r="B5217" s="1" t="str">
        <f>"000249893 - RICH PDCTS-BURGERFI (CAKE)"</f>
        <v>000249893 - RICH PDCTS-BURGERFI (CAKE)</v>
      </c>
      <c r="C5217" t="s">
        <v>241</v>
      </c>
      <c r="D5217" s="1" t="str">
        <f t="shared" si="154"/>
        <v>PRG-1027707</v>
      </c>
      <c r="E5217" t="s">
        <v>152</v>
      </c>
      <c r="F5217" t="s">
        <v>4</v>
      </c>
      <c r="G5217" t="str">
        <f>""</f>
        <v/>
      </c>
    </row>
    <row r="5218" spans="1:7" x14ac:dyDescent="0.25">
      <c r="A5218" t="s">
        <v>8</v>
      </c>
      <c r="B5218" s="1" t="str">
        <f>"000251123 - RICH PDCTS-BURGERFI (CAKE)"</f>
        <v>000251123 - RICH PDCTS-BURGERFI (CAKE)</v>
      </c>
      <c r="C5218" t="s">
        <v>241</v>
      </c>
      <c r="D5218" s="1" t="str">
        <f t="shared" si="154"/>
        <v>PRG-1027707</v>
      </c>
      <c r="E5218" t="s">
        <v>152</v>
      </c>
      <c r="F5218" t="s">
        <v>4</v>
      </c>
      <c r="G5218" t="str">
        <f>""</f>
        <v/>
      </c>
    </row>
    <row r="5219" spans="1:7" x14ac:dyDescent="0.25">
      <c r="A5219" t="s">
        <v>8</v>
      </c>
      <c r="B5219" s="1" t="str">
        <f>"000254865 - RICH PDCTS-BURGERFI (CAKE)"</f>
        <v>000254865 - RICH PDCTS-BURGERFI (CAKE)</v>
      </c>
      <c r="C5219" t="s">
        <v>241</v>
      </c>
      <c r="D5219" s="1" t="str">
        <f t="shared" si="154"/>
        <v>PRG-1027707</v>
      </c>
      <c r="E5219" t="s">
        <v>152</v>
      </c>
      <c r="F5219" t="s">
        <v>4</v>
      </c>
      <c r="G5219" t="str">
        <f>""</f>
        <v/>
      </c>
    </row>
    <row r="5220" spans="1:7" x14ac:dyDescent="0.25">
      <c r="A5220" t="s">
        <v>8</v>
      </c>
      <c r="B5220" s="1" t="str">
        <f>"000256321 - RICH PDCTS-BURGERFI (CAKE)"</f>
        <v>000256321 - RICH PDCTS-BURGERFI (CAKE)</v>
      </c>
      <c r="C5220" t="s">
        <v>241</v>
      </c>
      <c r="D5220" s="1" t="str">
        <f t="shared" si="154"/>
        <v>PRG-1027707</v>
      </c>
      <c r="E5220" t="s">
        <v>152</v>
      </c>
      <c r="F5220" t="s">
        <v>4</v>
      </c>
      <c r="G5220" t="str">
        <f>""</f>
        <v/>
      </c>
    </row>
    <row r="5221" spans="1:7" x14ac:dyDescent="0.25">
      <c r="A5221" t="s">
        <v>8</v>
      </c>
      <c r="B5221" s="1" t="str">
        <f>"000257294 - RICH PDCTS-BURGERFI (CAKE)"</f>
        <v>000257294 - RICH PDCTS-BURGERFI (CAKE)</v>
      </c>
      <c r="C5221" t="s">
        <v>241</v>
      </c>
      <c r="D5221" s="1" t="str">
        <f t="shared" si="154"/>
        <v>PRG-1027707</v>
      </c>
      <c r="E5221" t="s">
        <v>152</v>
      </c>
      <c r="F5221" t="s">
        <v>4</v>
      </c>
      <c r="G5221" t="str">
        <f>""</f>
        <v/>
      </c>
    </row>
    <row r="5222" spans="1:7" x14ac:dyDescent="0.25">
      <c r="A5222" t="s">
        <v>8</v>
      </c>
      <c r="B5222" s="1" t="str">
        <f>"000261024 - RICH PDCTS-BURGERFI (CAKE)"</f>
        <v>000261024 - RICH PDCTS-BURGERFI (CAKE)</v>
      </c>
      <c r="C5222" t="s">
        <v>241</v>
      </c>
      <c r="D5222" s="1" t="str">
        <f t="shared" si="154"/>
        <v>PRG-1027707</v>
      </c>
      <c r="E5222" t="s">
        <v>152</v>
      </c>
      <c r="F5222" t="s">
        <v>4</v>
      </c>
      <c r="G5222" t="str">
        <f>""</f>
        <v/>
      </c>
    </row>
    <row r="5223" spans="1:7" x14ac:dyDescent="0.25">
      <c r="A5223" t="s">
        <v>8</v>
      </c>
      <c r="B5223" s="1" t="str">
        <f>"000261878 - RICH PDCTS-BURGERFI (CAKE)"</f>
        <v>000261878 - RICH PDCTS-BURGERFI (CAKE)</v>
      </c>
      <c r="C5223" t="s">
        <v>241</v>
      </c>
      <c r="D5223" s="1" t="str">
        <f t="shared" si="154"/>
        <v>PRG-1027707</v>
      </c>
      <c r="E5223" t="s">
        <v>152</v>
      </c>
      <c r="F5223" t="s">
        <v>4</v>
      </c>
      <c r="G5223" t="str">
        <f>""</f>
        <v/>
      </c>
    </row>
    <row r="5224" spans="1:7" x14ac:dyDescent="0.25">
      <c r="A5224" t="s">
        <v>8</v>
      </c>
      <c r="B5224" s="1" t="str">
        <f>"000263788 - RICH PRODUCTS-BURGERFI"</f>
        <v>000263788 - RICH PRODUCTS-BURGERFI</v>
      </c>
      <c r="C5224" t="s">
        <v>514</v>
      </c>
      <c r="D5224" s="1" t="str">
        <f t="shared" si="154"/>
        <v>PRG-1027707</v>
      </c>
      <c r="E5224" t="s">
        <v>152</v>
      </c>
      <c r="F5224" t="s">
        <v>4</v>
      </c>
      <c r="G5224" t="str">
        <f>""</f>
        <v/>
      </c>
    </row>
    <row r="5225" spans="1:7" x14ac:dyDescent="0.25">
      <c r="A5225" t="s">
        <v>8</v>
      </c>
      <c r="B5225" s="1" t="str">
        <f>"000267489 - RICH PDCTS-BURGERFI (CAKE)"</f>
        <v>000267489 - RICH PDCTS-BURGERFI (CAKE)</v>
      </c>
      <c r="C5225" t="s">
        <v>241</v>
      </c>
      <c r="D5225" s="1" t="str">
        <f t="shared" si="154"/>
        <v>PRG-1027707</v>
      </c>
      <c r="E5225" t="s">
        <v>152</v>
      </c>
      <c r="F5225" t="s">
        <v>4</v>
      </c>
      <c r="G5225" t="str">
        <f>""</f>
        <v/>
      </c>
    </row>
    <row r="5226" spans="1:7" x14ac:dyDescent="0.25">
      <c r="A5226" t="s">
        <v>8</v>
      </c>
      <c r="B5226" s="1" t="str">
        <f>"000268654 - RICH PDCTS-BURGERFI (CAKE)"</f>
        <v>000268654 - RICH PDCTS-BURGERFI (CAKE)</v>
      </c>
      <c r="C5226" t="s">
        <v>241</v>
      </c>
      <c r="D5226" s="1" t="str">
        <f t="shared" si="154"/>
        <v>PRG-1027707</v>
      </c>
      <c r="E5226" t="s">
        <v>152</v>
      </c>
      <c r="F5226" t="s">
        <v>4</v>
      </c>
      <c r="G5226" t="str">
        <f>""</f>
        <v/>
      </c>
    </row>
    <row r="5227" spans="1:7" x14ac:dyDescent="0.25">
      <c r="A5227" t="s">
        <v>8</v>
      </c>
      <c r="B5227" s="1" t="str">
        <f>"000272646 - RICH PDCTS-BURGERFI (CAKE)"</f>
        <v>000272646 - RICH PDCTS-BURGERFI (CAKE)</v>
      </c>
      <c r="C5227" t="s">
        <v>241</v>
      </c>
      <c r="D5227" s="1" t="str">
        <f t="shared" si="154"/>
        <v>PRG-1027707</v>
      </c>
      <c r="E5227" t="s">
        <v>152</v>
      </c>
      <c r="F5227" t="s">
        <v>4</v>
      </c>
      <c r="G5227" t="str">
        <f>""</f>
        <v/>
      </c>
    </row>
    <row r="5228" spans="1:7" x14ac:dyDescent="0.25">
      <c r="A5228" t="s">
        <v>8</v>
      </c>
      <c r="B5228" s="1" t="str">
        <f>"000274387 - RICHS PIZZA DGH &amp; ICING-SODEXO"</f>
        <v>000274387 - RICHS PIZZA DGH &amp; ICING-SODEXO</v>
      </c>
      <c r="C5228" t="s">
        <v>489</v>
      </c>
      <c r="D5228" s="1" t="str">
        <f t="shared" si="154"/>
        <v>PRG-1027707</v>
      </c>
      <c r="E5228" t="s">
        <v>152</v>
      </c>
      <c r="F5228" t="s">
        <v>4</v>
      </c>
      <c r="G5228" t="str">
        <f>""</f>
        <v/>
      </c>
    </row>
    <row r="5229" spans="1:7" x14ac:dyDescent="0.25">
      <c r="A5229" t="s">
        <v>8</v>
      </c>
      <c r="B5229" s="1" t="str">
        <f>"000274867 - RICH PDCTS-BURGERFI (CAKE)"</f>
        <v>000274867 - RICH PDCTS-BURGERFI (CAKE)</v>
      </c>
      <c r="C5229" t="s">
        <v>241</v>
      </c>
      <c r="D5229" s="1" t="str">
        <f t="shared" si="154"/>
        <v>PRG-1027707</v>
      </c>
      <c r="E5229" t="s">
        <v>152</v>
      </c>
      <c r="F5229" t="s">
        <v>4</v>
      </c>
      <c r="G5229" t="str">
        <f>""</f>
        <v/>
      </c>
    </row>
    <row r="5230" spans="1:7" x14ac:dyDescent="0.25">
      <c r="A5230" t="s">
        <v>8</v>
      </c>
      <c r="B5230" s="1" t="str">
        <f>"000278875 - RICH PDCTS-BURGERFI (CAKE)"</f>
        <v>000278875 - RICH PDCTS-BURGERFI (CAKE)</v>
      </c>
      <c r="C5230" t="s">
        <v>241</v>
      </c>
      <c r="D5230" s="1" t="str">
        <f t="shared" si="154"/>
        <v>PRG-1027707</v>
      </c>
      <c r="E5230" t="s">
        <v>152</v>
      </c>
      <c r="F5230" t="s">
        <v>4</v>
      </c>
      <c r="G5230" t="str">
        <f>""</f>
        <v/>
      </c>
    </row>
    <row r="5231" spans="1:7" x14ac:dyDescent="0.25">
      <c r="A5231" t="s">
        <v>8</v>
      </c>
      <c r="B5231" s="1" t="str">
        <f>"000279955 - RICH PRODUCTS-BURGERFI"</f>
        <v>000279955 - RICH PRODUCTS-BURGERFI</v>
      </c>
      <c r="C5231" t="s">
        <v>514</v>
      </c>
      <c r="D5231" s="1" t="str">
        <f t="shared" si="154"/>
        <v>PRG-1027707</v>
      </c>
      <c r="E5231" t="s">
        <v>152</v>
      </c>
      <c r="F5231" t="s">
        <v>4</v>
      </c>
      <c r="G5231" t="str">
        <f>""</f>
        <v/>
      </c>
    </row>
    <row r="5232" spans="1:7" x14ac:dyDescent="0.25">
      <c r="A5232" t="s">
        <v>8</v>
      </c>
      <c r="B5232" s="1" t="str">
        <f>"000279958 - "</f>
        <v xml:space="preserve">000279958 - </v>
      </c>
      <c r="D5232" s="1" t="str">
        <f t="shared" si="154"/>
        <v>PRG-1027707</v>
      </c>
      <c r="E5232" t="s">
        <v>152</v>
      </c>
      <c r="F5232" t="s">
        <v>4</v>
      </c>
      <c r="G5232" t="str">
        <f>""</f>
        <v/>
      </c>
    </row>
    <row r="5233" spans="1:7" x14ac:dyDescent="0.25">
      <c r="A5233" t="s">
        <v>8</v>
      </c>
      <c r="B5233" s="1" t="str">
        <f>"000281811 - RICH PRODUCTS-BURGERFI"</f>
        <v>000281811 - RICH PRODUCTS-BURGERFI</v>
      </c>
      <c r="C5233" t="s">
        <v>514</v>
      </c>
      <c r="D5233" s="1" t="str">
        <f t="shared" ref="D5233:D5264" si="155">"PRG-1027707"</f>
        <v>PRG-1027707</v>
      </c>
      <c r="E5233" t="s">
        <v>152</v>
      </c>
      <c r="F5233" t="s">
        <v>4</v>
      </c>
      <c r="G5233" t="str">
        <f>""</f>
        <v/>
      </c>
    </row>
    <row r="5234" spans="1:7" x14ac:dyDescent="0.25">
      <c r="A5234" t="s">
        <v>8</v>
      </c>
      <c r="B5234" s="1" t="str">
        <f>"000288466 - RICH PRODUCTS-BURGERFI"</f>
        <v>000288466 - RICH PRODUCTS-BURGERFI</v>
      </c>
      <c r="C5234" t="s">
        <v>514</v>
      </c>
      <c r="D5234" s="1" t="str">
        <f t="shared" si="155"/>
        <v>PRG-1027707</v>
      </c>
      <c r="E5234" t="s">
        <v>152</v>
      </c>
      <c r="F5234" t="s">
        <v>4</v>
      </c>
      <c r="G5234" t="str">
        <f>""</f>
        <v/>
      </c>
    </row>
    <row r="5235" spans="1:7" x14ac:dyDescent="0.25">
      <c r="A5235" t="s">
        <v>8</v>
      </c>
      <c r="B5235" s="1" t="str">
        <f>"000289199 - RICH PRODUCTS-BURGERFI RETRO"</f>
        <v>000289199 - RICH PRODUCTS-BURGERFI RETRO</v>
      </c>
      <c r="C5235" t="s">
        <v>2790</v>
      </c>
      <c r="D5235" s="1" t="str">
        <f t="shared" si="155"/>
        <v>PRG-1027707</v>
      </c>
      <c r="E5235" t="s">
        <v>152</v>
      </c>
      <c r="F5235" t="s">
        <v>4</v>
      </c>
      <c r="G5235" t="str">
        <f>""</f>
        <v/>
      </c>
    </row>
    <row r="5236" spans="1:7" x14ac:dyDescent="0.25">
      <c r="A5236" t="s">
        <v>8</v>
      </c>
      <c r="B5236" s="1" t="str">
        <f>"000289733 - RICH PRODUCTS-BURGERFI"</f>
        <v>000289733 - RICH PRODUCTS-BURGERFI</v>
      </c>
      <c r="C5236" t="s">
        <v>514</v>
      </c>
      <c r="D5236" s="1" t="str">
        <f t="shared" si="155"/>
        <v>PRG-1027707</v>
      </c>
      <c r="E5236" t="s">
        <v>152</v>
      </c>
      <c r="F5236" t="s">
        <v>4</v>
      </c>
      <c r="G5236" t="str">
        <f>""</f>
        <v/>
      </c>
    </row>
    <row r="5237" spans="1:7" x14ac:dyDescent="0.25">
      <c r="A5237" t="s">
        <v>8</v>
      </c>
      <c r="B5237" s="1" t="str">
        <f>"000294571 - "</f>
        <v xml:space="preserve">000294571 - </v>
      </c>
      <c r="D5237" s="1" t="str">
        <f t="shared" si="155"/>
        <v>PRG-1027707</v>
      </c>
      <c r="E5237" t="s">
        <v>152</v>
      </c>
      <c r="F5237" t="s">
        <v>4</v>
      </c>
      <c r="G5237" t="str">
        <f>""</f>
        <v/>
      </c>
    </row>
    <row r="5238" spans="1:7" x14ac:dyDescent="0.25">
      <c r="A5238" t="s">
        <v>8</v>
      </c>
      <c r="B5238" s="1" t="str">
        <f>"000294987 - RICH PDCTS-BURGERFI (CAKE)"</f>
        <v>000294987 - RICH PDCTS-BURGERFI (CAKE)</v>
      </c>
      <c r="C5238" t="s">
        <v>241</v>
      </c>
      <c r="D5238" s="1" t="str">
        <f t="shared" si="155"/>
        <v>PRG-1027707</v>
      </c>
      <c r="E5238" t="s">
        <v>152</v>
      </c>
      <c r="F5238" t="s">
        <v>4</v>
      </c>
      <c r="G5238" t="str">
        <f>""</f>
        <v/>
      </c>
    </row>
    <row r="5239" spans="1:7" x14ac:dyDescent="0.25">
      <c r="A5239" t="s">
        <v>8</v>
      </c>
      <c r="B5239" s="1" t="str">
        <f>"000300554 - RICH PDCTS-BURGERFI (CAKE)"</f>
        <v>000300554 - RICH PDCTS-BURGERFI (CAKE)</v>
      </c>
      <c r="C5239" t="s">
        <v>241</v>
      </c>
      <c r="D5239" s="1" t="str">
        <f t="shared" si="155"/>
        <v>PRG-1027707</v>
      </c>
      <c r="E5239" t="s">
        <v>152</v>
      </c>
      <c r="F5239" t="s">
        <v>4</v>
      </c>
      <c r="G5239" t="str">
        <f>""</f>
        <v/>
      </c>
    </row>
    <row r="5240" spans="1:7" x14ac:dyDescent="0.25">
      <c r="A5240" t="s">
        <v>8</v>
      </c>
      <c r="B5240" s="1" t="str">
        <f>"000300778 - RICH PRODUCTS-BURGERFI"</f>
        <v>000300778 - RICH PRODUCTS-BURGERFI</v>
      </c>
      <c r="C5240" t="s">
        <v>514</v>
      </c>
      <c r="D5240" s="1" t="str">
        <f t="shared" si="155"/>
        <v>PRG-1027707</v>
      </c>
      <c r="E5240" t="s">
        <v>152</v>
      </c>
      <c r="F5240" t="s">
        <v>4</v>
      </c>
      <c r="G5240" t="str">
        <f>""</f>
        <v/>
      </c>
    </row>
    <row r="5241" spans="1:7" x14ac:dyDescent="0.25">
      <c r="A5241" t="s">
        <v>8</v>
      </c>
      <c r="B5241" s="1" t="str">
        <f>"000301096 - RICH PDCTS-BURGERFI (CAKE)"</f>
        <v>000301096 - RICH PDCTS-BURGERFI (CAKE)</v>
      </c>
      <c r="C5241" t="s">
        <v>241</v>
      </c>
      <c r="D5241" s="1" t="str">
        <f t="shared" si="155"/>
        <v>PRG-1027707</v>
      </c>
      <c r="E5241" t="s">
        <v>152</v>
      </c>
      <c r="F5241" t="s">
        <v>4</v>
      </c>
      <c r="G5241" t="str">
        <f>""</f>
        <v/>
      </c>
    </row>
    <row r="5242" spans="1:7" x14ac:dyDescent="0.25">
      <c r="A5242" t="s">
        <v>8</v>
      </c>
      <c r="B5242" s="1" t="str">
        <f>"000301189 - RICH PRODUCTS-BURGERFI"</f>
        <v>000301189 - RICH PRODUCTS-BURGERFI</v>
      </c>
      <c r="C5242" t="s">
        <v>514</v>
      </c>
      <c r="D5242" s="1" t="str">
        <f t="shared" si="155"/>
        <v>PRG-1027707</v>
      </c>
      <c r="E5242" t="s">
        <v>152</v>
      </c>
      <c r="F5242" t="s">
        <v>4</v>
      </c>
      <c r="G5242" t="str">
        <f>""</f>
        <v/>
      </c>
    </row>
    <row r="5243" spans="1:7" x14ac:dyDescent="0.25">
      <c r="A5243" t="s">
        <v>8</v>
      </c>
      <c r="B5243" s="1" t="str">
        <f>"000302634 - RICH PRODUCTS-BURGERFI"</f>
        <v>000302634 - RICH PRODUCTS-BURGERFI</v>
      </c>
      <c r="C5243" t="s">
        <v>514</v>
      </c>
      <c r="D5243" s="1" t="str">
        <f t="shared" si="155"/>
        <v>PRG-1027707</v>
      </c>
      <c r="E5243" t="s">
        <v>152</v>
      </c>
      <c r="F5243" t="s">
        <v>4</v>
      </c>
      <c r="G5243" t="str">
        <f>""</f>
        <v/>
      </c>
    </row>
    <row r="5244" spans="1:7" x14ac:dyDescent="0.25">
      <c r="A5244" t="s">
        <v>8</v>
      </c>
      <c r="B5244" s="1" t="str">
        <f>"000304309 - RICH PRODUCTS-BURGERFI"</f>
        <v>000304309 - RICH PRODUCTS-BURGERFI</v>
      </c>
      <c r="C5244" t="s">
        <v>514</v>
      </c>
      <c r="D5244" s="1" t="str">
        <f t="shared" si="155"/>
        <v>PRG-1027707</v>
      </c>
      <c r="E5244" t="s">
        <v>152</v>
      </c>
      <c r="F5244" t="s">
        <v>4</v>
      </c>
      <c r="G5244" t="str">
        <f>""</f>
        <v/>
      </c>
    </row>
    <row r="5245" spans="1:7" x14ac:dyDescent="0.25">
      <c r="A5245" t="s">
        <v>8</v>
      </c>
      <c r="B5245" s="1" t="str">
        <f>"000304537 - RICH PDCTS-BURGERFI (CAKE)"</f>
        <v>000304537 - RICH PDCTS-BURGERFI (CAKE)</v>
      </c>
      <c r="C5245" t="s">
        <v>241</v>
      </c>
      <c r="D5245" s="1" t="str">
        <f t="shared" si="155"/>
        <v>PRG-1027707</v>
      </c>
      <c r="E5245" t="s">
        <v>152</v>
      </c>
      <c r="F5245" t="s">
        <v>4</v>
      </c>
      <c r="G5245" t="str">
        <f>""</f>
        <v/>
      </c>
    </row>
    <row r="5246" spans="1:7" x14ac:dyDescent="0.25">
      <c r="A5246" t="s">
        <v>8</v>
      </c>
      <c r="B5246" s="1" t="str">
        <f>"000307769 - RICH PDCTS-BURGERFI (CAKE)"</f>
        <v>000307769 - RICH PDCTS-BURGERFI (CAKE)</v>
      </c>
      <c r="C5246" t="s">
        <v>241</v>
      </c>
      <c r="D5246" s="1" t="str">
        <f t="shared" si="155"/>
        <v>PRG-1027707</v>
      </c>
      <c r="E5246" t="s">
        <v>152</v>
      </c>
      <c r="F5246" t="s">
        <v>4</v>
      </c>
      <c r="G5246" t="str">
        <f>""</f>
        <v/>
      </c>
    </row>
    <row r="5247" spans="1:7" x14ac:dyDescent="0.25">
      <c r="A5247" t="s">
        <v>8</v>
      </c>
      <c r="B5247" s="1" t="str">
        <f>"000310554 - RICH PDCTS-BURGERFI (CAKE)"</f>
        <v>000310554 - RICH PDCTS-BURGERFI (CAKE)</v>
      </c>
      <c r="C5247" t="s">
        <v>241</v>
      </c>
      <c r="D5247" s="1" t="str">
        <f t="shared" si="155"/>
        <v>PRG-1027707</v>
      </c>
      <c r="E5247" t="s">
        <v>152</v>
      </c>
      <c r="F5247" t="s">
        <v>4</v>
      </c>
      <c r="G5247" t="str">
        <f>""</f>
        <v/>
      </c>
    </row>
    <row r="5248" spans="1:7" x14ac:dyDescent="0.25">
      <c r="A5248" t="s">
        <v>8</v>
      </c>
      <c r="B5248" s="1" t="str">
        <f>"000311425 - RICH PRODUCTS-BURGERFI"</f>
        <v>000311425 - RICH PRODUCTS-BURGERFI</v>
      </c>
      <c r="C5248" t="s">
        <v>514</v>
      </c>
      <c r="D5248" s="1" t="str">
        <f t="shared" si="155"/>
        <v>PRG-1027707</v>
      </c>
      <c r="E5248" t="s">
        <v>152</v>
      </c>
      <c r="F5248" t="s">
        <v>4</v>
      </c>
      <c r="G5248" t="str">
        <f>""</f>
        <v/>
      </c>
    </row>
    <row r="5249" spans="1:7" x14ac:dyDescent="0.25">
      <c r="A5249" t="s">
        <v>8</v>
      </c>
      <c r="B5249" s="1" t="str">
        <f>"000311879 - RICH PDCTS-BURGERFI (CAKE)"</f>
        <v>000311879 - RICH PDCTS-BURGERFI (CAKE)</v>
      </c>
      <c r="C5249" t="s">
        <v>241</v>
      </c>
      <c r="D5249" s="1" t="str">
        <f t="shared" si="155"/>
        <v>PRG-1027707</v>
      </c>
      <c r="E5249" t="s">
        <v>152</v>
      </c>
      <c r="F5249" t="s">
        <v>4</v>
      </c>
      <c r="G5249" t="str">
        <f>""</f>
        <v/>
      </c>
    </row>
    <row r="5250" spans="1:7" x14ac:dyDescent="0.25">
      <c r="A5250" t="s">
        <v>8</v>
      </c>
      <c r="B5250" s="1" t="str">
        <f>"000313262 - RICH PDCTS-BURGERFI (CAKE)"</f>
        <v>000313262 - RICH PDCTS-BURGERFI (CAKE)</v>
      </c>
      <c r="C5250" t="s">
        <v>241</v>
      </c>
      <c r="D5250" s="1" t="str">
        <f t="shared" si="155"/>
        <v>PRG-1027707</v>
      </c>
      <c r="E5250" t="s">
        <v>152</v>
      </c>
      <c r="F5250" t="s">
        <v>4</v>
      </c>
      <c r="G5250" t="str">
        <f>""</f>
        <v/>
      </c>
    </row>
    <row r="5251" spans="1:7" x14ac:dyDescent="0.25">
      <c r="A5251" t="s">
        <v>8</v>
      </c>
      <c r="B5251" s="1" t="str">
        <f>"000313296 - RICH PRODUCTS-BURGERFI"</f>
        <v>000313296 - RICH PRODUCTS-BURGERFI</v>
      </c>
      <c r="C5251" t="s">
        <v>514</v>
      </c>
      <c r="D5251" s="1" t="str">
        <f t="shared" si="155"/>
        <v>PRG-1027707</v>
      </c>
      <c r="E5251" t="s">
        <v>152</v>
      </c>
      <c r="F5251" t="s">
        <v>4</v>
      </c>
      <c r="G5251" t="str">
        <f>""</f>
        <v/>
      </c>
    </row>
    <row r="5252" spans="1:7" x14ac:dyDescent="0.25">
      <c r="A5252" t="s">
        <v>8</v>
      </c>
      <c r="B5252" s="1" t="str">
        <f>"000315307 - RICH PRODUCTS-BURGERFI"</f>
        <v>000315307 - RICH PRODUCTS-BURGERFI</v>
      </c>
      <c r="C5252" t="s">
        <v>514</v>
      </c>
      <c r="D5252" s="1" t="str">
        <f t="shared" si="155"/>
        <v>PRG-1027707</v>
      </c>
      <c r="E5252" t="s">
        <v>152</v>
      </c>
      <c r="F5252" t="s">
        <v>4</v>
      </c>
      <c r="G5252" t="str">
        <f>""</f>
        <v/>
      </c>
    </row>
    <row r="5253" spans="1:7" x14ac:dyDescent="0.25">
      <c r="A5253" t="s">
        <v>8</v>
      </c>
      <c r="B5253" s="1" t="str">
        <f>"000316587 - RICH PDCTS-BURGERFI (CAKE)"</f>
        <v>000316587 - RICH PDCTS-BURGERFI (CAKE)</v>
      </c>
      <c r="C5253" t="s">
        <v>241</v>
      </c>
      <c r="D5253" s="1" t="str">
        <f t="shared" si="155"/>
        <v>PRG-1027707</v>
      </c>
      <c r="E5253" t="s">
        <v>152</v>
      </c>
      <c r="F5253" t="s">
        <v>4</v>
      </c>
      <c r="G5253" t="str">
        <f>""</f>
        <v/>
      </c>
    </row>
    <row r="5254" spans="1:7" x14ac:dyDescent="0.25">
      <c r="A5254" t="s">
        <v>8</v>
      </c>
      <c r="B5254" s="1" t="str">
        <f>"000316801 - "</f>
        <v xml:space="preserve">000316801 - </v>
      </c>
      <c r="D5254" s="1" t="str">
        <f t="shared" si="155"/>
        <v>PRG-1027707</v>
      </c>
      <c r="E5254" t="s">
        <v>152</v>
      </c>
      <c r="F5254" t="s">
        <v>4</v>
      </c>
      <c r="G5254" t="str">
        <f>""</f>
        <v/>
      </c>
    </row>
    <row r="5255" spans="1:7" x14ac:dyDescent="0.25">
      <c r="A5255" t="s">
        <v>8</v>
      </c>
      <c r="B5255" s="1" t="str">
        <f>"000321555 - "</f>
        <v xml:space="preserve">000321555 - </v>
      </c>
      <c r="D5255" s="1" t="str">
        <f t="shared" si="155"/>
        <v>PRG-1027707</v>
      </c>
      <c r="E5255" t="s">
        <v>152</v>
      </c>
      <c r="F5255" t="s">
        <v>4</v>
      </c>
      <c r="G5255" t="str">
        <f>""</f>
        <v/>
      </c>
    </row>
    <row r="5256" spans="1:7" x14ac:dyDescent="0.25">
      <c r="A5256" t="s">
        <v>8</v>
      </c>
      <c r="B5256" s="1" t="str">
        <f>"000322216 - RICH PDCTS-BURGERFI (CAKE)"</f>
        <v>000322216 - RICH PDCTS-BURGERFI (CAKE)</v>
      </c>
      <c r="C5256" t="s">
        <v>241</v>
      </c>
      <c r="D5256" s="1" t="str">
        <f t="shared" si="155"/>
        <v>PRG-1027707</v>
      </c>
      <c r="E5256" t="s">
        <v>152</v>
      </c>
      <c r="F5256" t="s">
        <v>4</v>
      </c>
      <c r="G5256" t="str">
        <f>""</f>
        <v/>
      </c>
    </row>
    <row r="5257" spans="1:7" x14ac:dyDescent="0.25">
      <c r="A5257" t="s">
        <v>8</v>
      </c>
      <c r="B5257" s="1" t="str">
        <f>"000323096 - RICH PDCTS-BURGERFI (CAKE)"</f>
        <v>000323096 - RICH PDCTS-BURGERFI (CAKE)</v>
      </c>
      <c r="C5257" t="s">
        <v>241</v>
      </c>
      <c r="D5257" s="1" t="str">
        <f t="shared" si="155"/>
        <v>PRG-1027707</v>
      </c>
      <c r="E5257" t="s">
        <v>152</v>
      </c>
      <c r="F5257" t="s">
        <v>4</v>
      </c>
      <c r="G5257" t="str">
        <f>""</f>
        <v/>
      </c>
    </row>
    <row r="5258" spans="1:7" x14ac:dyDescent="0.25">
      <c r="A5258" t="s">
        <v>8</v>
      </c>
      <c r="B5258" s="1" t="str">
        <f>"000327319 - RICH PDCTS-BURGERFI (CAKE)"</f>
        <v>000327319 - RICH PDCTS-BURGERFI (CAKE)</v>
      </c>
      <c r="C5258" t="s">
        <v>241</v>
      </c>
      <c r="D5258" s="1" t="str">
        <f t="shared" si="155"/>
        <v>PRG-1027707</v>
      </c>
      <c r="E5258" t="s">
        <v>152</v>
      </c>
      <c r="F5258" t="s">
        <v>4</v>
      </c>
      <c r="G5258" t="str">
        <f>""</f>
        <v/>
      </c>
    </row>
    <row r="5259" spans="1:7" x14ac:dyDescent="0.25">
      <c r="A5259" t="s">
        <v>8</v>
      </c>
      <c r="B5259" s="1" t="str">
        <f>"000328626 - RICH PDCTS-BURGERFI (CAKE)"</f>
        <v>000328626 - RICH PDCTS-BURGERFI (CAKE)</v>
      </c>
      <c r="C5259" t="s">
        <v>241</v>
      </c>
      <c r="D5259" s="1" t="str">
        <f t="shared" si="155"/>
        <v>PRG-1027707</v>
      </c>
      <c r="E5259" t="s">
        <v>152</v>
      </c>
      <c r="F5259" t="s">
        <v>4</v>
      </c>
      <c r="G5259" t="str">
        <f>""</f>
        <v/>
      </c>
    </row>
    <row r="5260" spans="1:7" x14ac:dyDescent="0.25">
      <c r="A5260" t="s">
        <v>8</v>
      </c>
      <c r="B5260" s="1" t="str">
        <f>"000331575 - RICH PDCTS-BURGERFI (CAKE)"</f>
        <v>000331575 - RICH PDCTS-BURGERFI (CAKE)</v>
      </c>
      <c r="C5260" t="s">
        <v>241</v>
      </c>
      <c r="D5260" s="1" t="str">
        <f t="shared" si="155"/>
        <v>PRG-1027707</v>
      </c>
      <c r="E5260" t="s">
        <v>152</v>
      </c>
      <c r="F5260" t="s">
        <v>4</v>
      </c>
      <c r="G5260" t="str">
        <f>""</f>
        <v/>
      </c>
    </row>
    <row r="5261" spans="1:7" x14ac:dyDescent="0.25">
      <c r="A5261" t="s">
        <v>8</v>
      </c>
      <c r="B5261" s="1" t="str">
        <f>"000331658 - RICH PDCTS-BURGERFI (CAKE)"</f>
        <v>000331658 - RICH PDCTS-BURGERFI (CAKE)</v>
      </c>
      <c r="C5261" t="s">
        <v>241</v>
      </c>
      <c r="D5261" s="1" t="str">
        <f t="shared" si="155"/>
        <v>PRG-1027707</v>
      </c>
      <c r="E5261" t="s">
        <v>152</v>
      </c>
      <c r="F5261" t="s">
        <v>4</v>
      </c>
      <c r="G5261" t="str">
        <f>""</f>
        <v/>
      </c>
    </row>
    <row r="5262" spans="1:7" x14ac:dyDescent="0.25">
      <c r="A5262" t="s">
        <v>8</v>
      </c>
      <c r="B5262" s="1" t="str">
        <f>"000332021 - RICH PDCTS-BURGERFI (CAKE)"</f>
        <v>000332021 - RICH PDCTS-BURGERFI (CAKE)</v>
      </c>
      <c r="C5262" t="s">
        <v>241</v>
      </c>
      <c r="D5262" s="1" t="str">
        <f t="shared" si="155"/>
        <v>PRG-1027707</v>
      </c>
      <c r="E5262" t="s">
        <v>152</v>
      </c>
      <c r="F5262" t="s">
        <v>4</v>
      </c>
      <c r="G5262" t="str">
        <f>""</f>
        <v/>
      </c>
    </row>
    <row r="5263" spans="1:7" x14ac:dyDescent="0.25">
      <c r="A5263" t="s">
        <v>8</v>
      </c>
      <c r="B5263" s="1" t="str">
        <f>"000332677 - RICH PDCTS-BURGERFI (CAKE)"</f>
        <v>000332677 - RICH PDCTS-BURGERFI (CAKE)</v>
      </c>
      <c r="C5263" t="s">
        <v>241</v>
      </c>
      <c r="D5263" s="1" t="str">
        <f t="shared" si="155"/>
        <v>PRG-1027707</v>
      </c>
      <c r="E5263" t="s">
        <v>152</v>
      </c>
      <c r="F5263" t="s">
        <v>4</v>
      </c>
      <c r="G5263" t="str">
        <f>""</f>
        <v/>
      </c>
    </row>
    <row r="5264" spans="1:7" x14ac:dyDescent="0.25">
      <c r="A5264" t="s">
        <v>8</v>
      </c>
      <c r="B5264" s="1" t="str">
        <f>"000337358 - "</f>
        <v xml:space="preserve">000337358 - </v>
      </c>
      <c r="D5264" s="1" t="str">
        <f t="shared" si="155"/>
        <v>PRG-1027707</v>
      </c>
      <c r="E5264" t="s">
        <v>152</v>
      </c>
      <c r="F5264" t="s">
        <v>4</v>
      </c>
      <c r="G5264" t="str">
        <f>""</f>
        <v/>
      </c>
    </row>
    <row r="5265" spans="1:7" x14ac:dyDescent="0.25">
      <c r="A5265" t="s">
        <v>8</v>
      </c>
      <c r="B5265" s="1" t="str">
        <f>"000340395 - RICH PDCTS-BURGERFI (CAKE)"</f>
        <v>000340395 - RICH PDCTS-BURGERFI (CAKE)</v>
      </c>
      <c r="C5265" t="s">
        <v>241</v>
      </c>
      <c r="D5265" s="1" t="str">
        <f t="shared" ref="D5265:D5274" si="156">"PRG-1027707"</f>
        <v>PRG-1027707</v>
      </c>
      <c r="E5265" t="s">
        <v>152</v>
      </c>
      <c r="F5265" t="s">
        <v>4</v>
      </c>
      <c r="G5265" t="str">
        <f>""</f>
        <v/>
      </c>
    </row>
    <row r="5266" spans="1:7" x14ac:dyDescent="0.25">
      <c r="A5266" t="s">
        <v>8</v>
      </c>
      <c r="B5266" s="1" t="str">
        <f>"000341901 - RICH PDCTS-BURGERFI (CAKE)"</f>
        <v>000341901 - RICH PDCTS-BURGERFI (CAKE)</v>
      </c>
      <c r="C5266" t="s">
        <v>241</v>
      </c>
      <c r="D5266" s="1" t="str">
        <f t="shared" si="156"/>
        <v>PRG-1027707</v>
      </c>
      <c r="E5266" t="s">
        <v>152</v>
      </c>
      <c r="F5266" t="s">
        <v>4</v>
      </c>
      <c r="G5266" t="str">
        <f>""</f>
        <v/>
      </c>
    </row>
    <row r="5267" spans="1:7" x14ac:dyDescent="0.25">
      <c r="A5267" t="s">
        <v>8</v>
      </c>
      <c r="B5267" s="1" t="str">
        <f>"000344377 - "</f>
        <v xml:space="preserve">000344377 - </v>
      </c>
      <c r="D5267" s="1" t="str">
        <f t="shared" si="156"/>
        <v>PRG-1027707</v>
      </c>
      <c r="E5267" t="s">
        <v>152</v>
      </c>
      <c r="F5267" t="s">
        <v>4</v>
      </c>
      <c r="G5267" t="str">
        <f>""</f>
        <v/>
      </c>
    </row>
    <row r="5268" spans="1:7" x14ac:dyDescent="0.25">
      <c r="A5268" t="s">
        <v>8</v>
      </c>
      <c r="B5268" s="1" t="str">
        <f>"000349234 - "</f>
        <v xml:space="preserve">000349234 - </v>
      </c>
      <c r="D5268" s="1" t="str">
        <f t="shared" si="156"/>
        <v>PRG-1027707</v>
      </c>
      <c r="E5268" t="s">
        <v>152</v>
      </c>
      <c r="F5268" t="s">
        <v>4</v>
      </c>
      <c r="G5268" t="str">
        <f>""</f>
        <v/>
      </c>
    </row>
    <row r="5269" spans="1:7" x14ac:dyDescent="0.25">
      <c r="A5269" t="s">
        <v>8</v>
      </c>
      <c r="B5269" s="1" t="str">
        <f>"000358109 - RICH PDCTS-BURGERFI (CAKE)"</f>
        <v>000358109 - RICH PDCTS-BURGERFI (CAKE)</v>
      </c>
      <c r="C5269" t="s">
        <v>241</v>
      </c>
      <c r="D5269" s="1" t="str">
        <f t="shared" si="156"/>
        <v>PRG-1027707</v>
      </c>
      <c r="E5269" t="s">
        <v>152</v>
      </c>
      <c r="F5269" t="s">
        <v>4</v>
      </c>
      <c r="G5269" t="str">
        <f>""</f>
        <v/>
      </c>
    </row>
    <row r="5270" spans="1:7" x14ac:dyDescent="0.25">
      <c r="A5270" t="s">
        <v>8</v>
      </c>
      <c r="B5270" s="1" t="str">
        <f>"2000264755 - RICH FOODS-BURGERFI"</f>
        <v>2000264755 - RICH FOODS-BURGERFI</v>
      </c>
      <c r="C5270" t="s">
        <v>508</v>
      </c>
      <c r="D5270" s="1" t="str">
        <f t="shared" si="156"/>
        <v>PRG-1027707</v>
      </c>
      <c r="E5270" t="s">
        <v>152</v>
      </c>
      <c r="F5270" t="s">
        <v>4</v>
      </c>
      <c r="G5270" t="str">
        <f>""</f>
        <v/>
      </c>
    </row>
    <row r="5271" spans="1:7" x14ac:dyDescent="0.25">
      <c r="A5271" t="s">
        <v>8</v>
      </c>
      <c r="B5271" s="1" t="str">
        <f>"2000268663 - RICH FOODS-BURGERFI"</f>
        <v>2000268663 - RICH FOODS-BURGERFI</v>
      </c>
      <c r="C5271" t="s">
        <v>508</v>
      </c>
      <c r="D5271" s="1" t="str">
        <f t="shared" si="156"/>
        <v>PRG-1027707</v>
      </c>
      <c r="E5271" t="s">
        <v>152</v>
      </c>
      <c r="F5271" t="s">
        <v>4</v>
      </c>
      <c r="G5271" t="str">
        <f>""</f>
        <v/>
      </c>
    </row>
    <row r="5272" spans="1:7" x14ac:dyDescent="0.25">
      <c r="A5272" t="s">
        <v>8</v>
      </c>
      <c r="B5272" s="1" t="str">
        <f>"2000326205 - RICH FOODS-BURGERFI"</f>
        <v>2000326205 - RICH FOODS-BURGERFI</v>
      </c>
      <c r="C5272" t="s">
        <v>508</v>
      </c>
      <c r="D5272" s="1" t="str">
        <f t="shared" si="156"/>
        <v>PRG-1027707</v>
      </c>
      <c r="E5272" t="s">
        <v>152</v>
      </c>
      <c r="F5272" t="s">
        <v>4</v>
      </c>
      <c r="G5272" t="str">
        <f>""</f>
        <v/>
      </c>
    </row>
    <row r="5273" spans="1:7" x14ac:dyDescent="0.25">
      <c r="A5273" t="s">
        <v>8</v>
      </c>
      <c r="B5273" s="1" t="str">
        <f>"2000341533 - RICH FOODS-BURGERFI"</f>
        <v>2000341533 - RICH FOODS-BURGERFI</v>
      </c>
      <c r="C5273" t="s">
        <v>508</v>
      </c>
      <c r="D5273" s="1" t="str">
        <f t="shared" si="156"/>
        <v>PRG-1027707</v>
      </c>
      <c r="E5273" t="s">
        <v>152</v>
      </c>
      <c r="F5273" t="s">
        <v>4</v>
      </c>
      <c r="G5273" t="str">
        <f>""</f>
        <v/>
      </c>
    </row>
    <row r="5274" spans="1:7" x14ac:dyDescent="0.25">
      <c r="A5274" t="s">
        <v>8</v>
      </c>
      <c r="B5274" s="1" t="str">
        <f>"324349 - "</f>
        <v xml:space="preserve">324349 - </v>
      </c>
      <c r="D5274" s="1" t="str">
        <f t="shared" si="156"/>
        <v>PRG-1027707</v>
      </c>
      <c r="E5274" t="s">
        <v>152</v>
      </c>
      <c r="F5274" t="s">
        <v>4</v>
      </c>
      <c r="G5274" t="str">
        <f>""</f>
        <v/>
      </c>
    </row>
    <row r="5275" spans="1:7" x14ac:dyDescent="0.25">
      <c r="A5275" t="s">
        <v>8</v>
      </c>
      <c r="B5275" s="1" t="str">
        <f>"000350498 - BLAINBROOK RICHS PRODUCTS"</f>
        <v>000350498 - BLAINBROOK RICHS PRODUCTS</v>
      </c>
      <c r="C5275" t="s">
        <v>415</v>
      </c>
      <c r="D5275" s="1" t="str">
        <f>"PRG-1027734"</f>
        <v>PRG-1027734</v>
      </c>
      <c r="E5275" t="s">
        <v>3507</v>
      </c>
      <c r="F5275" t="s">
        <v>4</v>
      </c>
      <c r="G5275" t="str">
        <f>""</f>
        <v/>
      </c>
    </row>
    <row r="5276" spans="1:7" x14ac:dyDescent="0.25">
      <c r="A5276" t="s">
        <v>8</v>
      </c>
      <c r="B5276" s="1" t="str">
        <f>"000219548 - RICH FOODS-RUTGERS 2015"</f>
        <v>000219548 - RICH FOODS-RUTGERS 2015</v>
      </c>
      <c r="C5276" t="s">
        <v>1571</v>
      </c>
      <c r="D5276" s="1" t="str">
        <f>"PRG-1027763"</f>
        <v>PRG-1027763</v>
      </c>
      <c r="E5276" t="s">
        <v>1572</v>
      </c>
      <c r="F5276" t="s">
        <v>4</v>
      </c>
      <c r="G5276" t="str">
        <f>""</f>
        <v/>
      </c>
    </row>
    <row r="5277" spans="1:7" x14ac:dyDescent="0.25">
      <c r="A5277" t="s">
        <v>8</v>
      </c>
      <c r="B5277" s="1" t="str">
        <f>"S3M01160"</f>
        <v>S3M01160</v>
      </c>
      <c r="C5277" t="s">
        <v>5617</v>
      </c>
      <c r="D5277" s="1" t="str">
        <f>"PRG-1027822"</f>
        <v>PRG-1027822</v>
      </c>
      <c r="E5277" t="s">
        <v>5618</v>
      </c>
      <c r="F5277" t="s">
        <v>5</v>
      </c>
      <c r="G5277" t="str">
        <f>""</f>
        <v/>
      </c>
    </row>
    <row r="5278" spans="1:7" x14ac:dyDescent="0.25">
      <c r="A5278" t="s">
        <v>8</v>
      </c>
      <c r="B5278" s="1" t="str">
        <f>"S4H007U0"</f>
        <v>S4H007U0</v>
      </c>
      <c r="C5278" t="s">
        <v>5710</v>
      </c>
      <c r="D5278" s="1" t="str">
        <f>"PRG-1027850"</f>
        <v>PRG-1027850</v>
      </c>
      <c r="E5278" t="s">
        <v>5341</v>
      </c>
      <c r="F5278" t="s">
        <v>5</v>
      </c>
      <c r="G5278" t="str">
        <f>""</f>
        <v/>
      </c>
    </row>
    <row r="5279" spans="1:7" x14ac:dyDescent="0.25">
      <c r="A5279" t="s">
        <v>8</v>
      </c>
      <c r="B5279" s="1" t="str">
        <f>"000291546 - "</f>
        <v xml:space="preserve">000291546 - </v>
      </c>
      <c r="D5279" s="1" t="str">
        <f>"PRG-1027851"</f>
        <v>PRG-1027851</v>
      </c>
      <c r="E5279" t="s">
        <v>2848</v>
      </c>
      <c r="F5279" t="s">
        <v>4</v>
      </c>
      <c r="G5279" t="str">
        <f>""</f>
        <v/>
      </c>
    </row>
    <row r="5280" spans="1:7" x14ac:dyDescent="0.25">
      <c r="A5280" t="s">
        <v>8</v>
      </c>
      <c r="B5280" s="1" t="str">
        <f>"S8N001P0"</f>
        <v>S8N001P0</v>
      </c>
      <c r="C5280" t="s">
        <v>6247</v>
      </c>
      <c r="D5280" s="1" t="str">
        <f>"PRG-1027853"</f>
        <v>PRG-1027853</v>
      </c>
      <c r="E5280" t="s">
        <v>6248</v>
      </c>
      <c r="F5280" t="s">
        <v>5</v>
      </c>
      <c r="G5280" t="str">
        <f>""</f>
        <v/>
      </c>
    </row>
    <row r="5281" spans="1:7" x14ac:dyDescent="0.25">
      <c r="A5281" t="s">
        <v>8</v>
      </c>
      <c r="B5281" s="1" t="str">
        <f>"000231078 - RICH'S  JCPS"</f>
        <v>000231078 - RICH'S  JCPS</v>
      </c>
      <c r="C5281" t="s">
        <v>1512</v>
      </c>
      <c r="D5281" s="1" t="str">
        <f>"PRG-1027858"</f>
        <v>PRG-1027858</v>
      </c>
      <c r="E5281" t="s">
        <v>1764</v>
      </c>
      <c r="F5281" t="s">
        <v>4</v>
      </c>
      <c r="G5281" t="str">
        <f>""</f>
        <v/>
      </c>
    </row>
    <row r="5282" spans="1:7" x14ac:dyDescent="0.25">
      <c r="A5282" t="s">
        <v>8</v>
      </c>
      <c r="B5282" s="1" t="str">
        <f>"6026CY07"</f>
        <v>6026CY07</v>
      </c>
      <c r="C5282" t="s">
        <v>5039</v>
      </c>
      <c r="D5282" s="1" t="str">
        <f>"PRG-1027887"</f>
        <v>PRG-1027887</v>
      </c>
      <c r="E5282" t="s">
        <v>5040</v>
      </c>
      <c r="F5282" t="s">
        <v>5</v>
      </c>
      <c r="G5282" t="str">
        <f>""</f>
        <v/>
      </c>
    </row>
    <row r="5283" spans="1:7" x14ac:dyDescent="0.25">
      <c r="A5283" t="s">
        <v>8</v>
      </c>
      <c r="B5283" s="1" t="str">
        <f>"6026G315"</f>
        <v>6026G315</v>
      </c>
      <c r="C5283" t="s">
        <v>5072</v>
      </c>
      <c r="D5283" s="1" t="str">
        <f>"PRG-1027887"</f>
        <v>PRG-1027887</v>
      </c>
      <c r="E5283" t="s">
        <v>5040</v>
      </c>
      <c r="F5283" t="s">
        <v>5</v>
      </c>
      <c r="G5283" t="str">
        <f>""</f>
        <v/>
      </c>
    </row>
    <row r="5284" spans="1:7" x14ac:dyDescent="0.25">
      <c r="A5284" t="s">
        <v>8</v>
      </c>
      <c r="B5284" s="1" t="str">
        <f>"T1Z002X5"</f>
        <v>T1Z002X5</v>
      </c>
      <c r="C5284" t="s">
        <v>6389</v>
      </c>
      <c r="D5284" s="1" t="str">
        <f>"PRG-1027887"</f>
        <v>PRG-1027887</v>
      </c>
      <c r="E5284" t="s">
        <v>5040</v>
      </c>
      <c r="F5284" t="s">
        <v>5</v>
      </c>
      <c r="G5284" t="str">
        <f>""</f>
        <v/>
      </c>
    </row>
    <row r="5285" spans="1:7" x14ac:dyDescent="0.25">
      <c r="A5285" t="s">
        <v>8</v>
      </c>
      <c r="B5285" s="1" t="str">
        <f>"S6J00X50"</f>
        <v>S6J00X50</v>
      </c>
      <c r="C5285" t="s">
        <v>6110</v>
      </c>
      <c r="D5285" s="1" t="str">
        <f>"PRG-1027908"</f>
        <v>PRG-1027908</v>
      </c>
      <c r="E5285" t="s">
        <v>6111</v>
      </c>
      <c r="F5285" t="s">
        <v>5</v>
      </c>
      <c r="G5285" t="str">
        <f>""</f>
        <v/>
      </c>
    </row>
    <row r="5286" spans="1:7" x14ac:dyDescent="0.25">
      <c r="A5286" t="s">
        <v>8</v>
      </c>
      <c r="B5286" s="1" t="str">
        <f>"S6I00LN0"</f>
        <v>S6I00LN0</v>
      </c>
      <c r="C5286" t="s">
        <v>6082</v>
      </c>
      <c r="D5286" s="1" t="str">
        <f>"PRG-1027929"</f>
        <v>PRG-1027929</v>
      </c>
      <c r="E5286" t="s">
        <v>4106</v>
      </c>
      <c r="F5286" t="s">
        <v>5</v>
      </c>
      <c r="G5286" t="str">
        <f>""</f>
        <v/>
      </c>
    </row>
    <row r="5287" spans="1:7" x14ac:dyDescent="0.25">
      <c r="A5287" t="s">
        <v>8</v>
      </c>
      <c r="B5287" s="1" t="str">
        <f>"000256676 - RICH JOSIAHS COFFEEHOUSE"</f>
        <v>000256676 - RICH JOSIAHS COFFEEHOUSE</v>
      </c>
      <c r="C5287" t="s">
        <v>2190</v>
      </c>
      <c r="D5287" s="1" t="str">
        <f>"PRG-1027938"</f>
        <v>PRG-1027938</v>
      </c>
      <c r="E5287" t="s">
        <v>2191</v>
      </c>
      <c r="F5287" t="s">
        <v>4</v>
      </c>
      <c r="G5287" t="str">
        <f>""</f>
        <v/>
      </c>
    </row>
    <row r="5288" spans="1:7" x14ac:dyDescent="0.25">
      <c r="A5288" t="s">
        <v>8</v>
      </c>
      <c r="B5288" s="1" t="str">
        <f>"000256665 - RICH ROUXS"</f>
        <v>000256665 - RICH ROUXS</v>
      </c>
      <c r="C5288" t="s">
        <v>2188</v>
      </c>
      <c r="D5288" s="1" t="str">
        <f>"PRG-1027939"</f>
        <v>PRG-1027939</v>
      </c>
      <c r="E5288" t="s">
        <v>2189</v>
      </c>
      <c r="F5288" t="s">
        <v>4</v>
      </c>
      <c r="G5288" t="str">
        <f>""</f>
        <v/>
      </c>
    </row>
    <row r="5289" spans="1:7" x14ac:dyDescent="0.25">
      <c r="A5289" t="s">
        <v>8</v>
      </c>
      <c r="B5289" s="1" t="str">
        <f>"2350A214"</f>
        <v>2350A214</v>
      </c>
      <c r="C5289" t="s">
        <v>4520</v>
      </c>
      <c r="D5289" s="1" t="str">
        <f>"PRG-1027945"</f>
        <v>PRG-1027945</v>
      </c>
      <c r="E5289" t="s">
        <v>4521</v>
      </c>
      <c r="F5289" t="s">
        <v>5</v>
      </c>
      <c r="G5289" t="str">
        <f>""</f>
        <v/>
      </c>
    </row>
    <row r="5290" spans="1:7" x14ac:dyDescent="0.25">
      <c r="A5290" t="s">
        <v>8</v>
      </c>
      <c r="B5290" s="1" t="str">
        <f>"2350F613"</f>
        <v>2350F613</v>
      </c>
      <c r="C5290" t="s">
        <v>4533</v>
      </c>
      <c r="D5290" s="1" t="str">
        <f>"PRG-1027945"</f>
        <v>PRG-1027945</v>
      </c>
      <c r="E5290" t="s">
        <v>4521</v>
      </c>
      <c r="F5290" t="s">
        <v>5</v>
      </c>
      <c r="G5290" t="str">
        <f>""</f>
        <v/>
      </c>
    </row>
    <row r="5291" spans="1:7" x14ac:dyDescent="0.25">
      <c r="A5291" t="s">
        <v>8</v>
      </c>
      <c r="B5291" s="1" t="str">
        <f>"000281800 - RICH BREAD &amp; ROLLS-SODEXO"</f>
        <v>000281800 - RICH BREAD &amp; ROLLS-SODEXO</v>
      </c>
      <c r="C5291" t="s">
        <v>141</v>
      </c>
      <c r="D5291" s="1" t="str">
        <f>"PRG-1027957"</f>
        <v>PRG-1027957</v>
      </c>
      <c r="E5291" t="s">
        <v>46</v>
      </c>
      <c r="F5291" t="s">
        <v>4</v>
      </c>
      <c r="G5291" t="str">
        <f>""</f>
        <v/>
      </c>
    </row>
    <row r="5292" spans="1:7" x14ac:dyDescent="0.25">
      <c r="A5292" t="s">
        <v>8</v>
      </c>
      <c r="B5292" s="1" t="str">
        <f>"000000478 - RICH BREAD ROLLS SODEXO AK"</f>
        <v>000000478 - RICH BREAD ROLLS SODEXO AK</v>
      </c>
      <c r="C5292" t="s">
        <v>45</v>
      </c>
      <c r="D5292" s="1" t="str">
        <f t="shared" ref="D5292:D5355" si="157">"PRG-1027958"</f>
        <v>PRG-1027958</v>
      </c>
      <c r="E5292" t="s">
        <v>46</v>
      </c>
      <c r="F5292" t="s">
        <v>4</v>
      </c>
      <c r="G5292" t="str">
        <f>""</f>
        <v/>
      </c>
    </row>
    <row r="5293" spans="1:7" x14ac:dyDescent="0.25">
      <c r="A5293" t="s">
        <v>8</v>
      </c>
      <c r="B5293" s="1" t="str">
        <f>"000002930 - RICH BREAD &amp; ROLLS-SODEXO"</f>
        <v>000002930 - RICH BREAD &amp; ROLLS-SODEXO</v>
      </c>
      <c r="C5293" t="s">
        <v>141</v>
      </c>
      <c r="D5293" s="1" t="str">
        <f t="shared" si="157"/>
        <v>PRG-1027958</v>
      </c>
      <c r="E5293" t="s">
        <v>46</v>
      </c>
      <c r="F5293" t="s">
        <v>4</v>
      </c>
      <c r="G5293" t="str">
        <f>""</f>
        <v/>
      </c>
    </row>
    <row r="5294" spans="1:7" x14ac:dyDescent="0.25">
      <c r="A5294" t="s">
        <v>8</v>
      </c>
      <c r="B5294" s="1" t="str">
        <f>"000003528 - RICH BREAD ROLLS SODEXO AK"</f>
        <v>000003528 - RICH BREAD ROLLS SODEXO AK</v>
      </c>
      <c r="C5294" t="s">
        <v>45</v>
      </c>
      <c r="D5294" s="1" t="str">
        <f t="shared" si="157"/>
        <v>PRG-1027958</v>
      </c>
      <c r="E5294" t="s">
        <v>46</v>
      </c>
      <c r="F5294" t="s">
        <v>4</v>
      </c>
      <c r="G5294" t="str">
        <f>""</f>
        <v/>
      </c>
    </row>
    <row r="5295" spans="1:7" x14ac:dyDescent="0.25">
      <c r="A5295" t="s">
        <v>8</v>
      </c>
      <c r="B5295" s="1" t="str">
        <f>"000007176 - RICH BREAD &amp; ROLLS-SODEXO"</f>
        <v>000007176 - RICH BREAD &amp; ROLLS-SODEXO</v>
      </c>
      <c r="C5295" t="s">
        <v>141</v>
      </c>
      <c r="D5295" s="1" t="str">
        <f t="shared" si="157"/>
        <v>PRG-1027958</v>
      </c>
      <c r="E5295" t="s">
        <v>46</v>
      </c>
      <c r="F5295" t="s">
        <v>4</v>
      </c>
      <c r="G5295" t="str">
        <f>""</f>
        <v/>
      </c>
    </row>
    <row r="5296" spans="1:7" x14ac:dyDescent="0.25">
      <c r="A5296" t="s">
        <v>8</v>
      </c>
      <c r="B5296" s="1" t="str">
        <f>"000033835 - RICH BREAD &amp; ROLLS-SODEXO"</f>
        <v>000033835 - RICH BREAD &amp; ROLLS-SODEXO</v>
      </c>
      <c r="C5296" t="s">
        <v>141</v>
      </c>
      <c r="D5296" s="1" t="str">
        <f t="shared" si="157"/>
        <v>PRG-1027958</v>
      </c>
      <c r="E5296" t="s">
        <v>46</v>
      </c>
      <c r="F5296" t="s">
        <v>4</v>
      </c>
      <c r="G5296" t="str">
        <f>""</f>
        <v/>
      </c>
    </row>
    <row r="5297" spans="1:7" x14ac:dyDescent="0.25">
      <c r="A5297" t="s">
        <v>8</v>
      </c>
      <c r="B5297" s="1" t="str">
        <f>"000034482 - RICH BREAD &amp; ROLLS-SODEXO"</f>
        <v>000034482 - RICH BREAD &amp; ROLLS-SODEXO</v>
      </c>
      <c r="C5297" t="s">
        <v>141</v>
      </c>
      <c r="D5297" s="1" t="str">
        <f t="shared" si="157"/>
        <v>PRG-1027958</v>
      </c>
      <c r="E5297" t="s">
        <v>46</v>
      </c>
      <c r="F5297" t="s">
        <v>4</v>
      </c>
      <c r="G5297" t="str">
        <f>""</f>
        <v/>
      </c>
    </row>
    <row r="5298" spans="1:7" x14ac:dyDescent="0.25">
      <c r="A5298" t="s">
        <v>8</v>
      </c>
      <c r="B5298" s="1" t="str">
        <f>"000035141 - RICH BREAD &amp; ROLLS-SODEXO"</f>
        <v>000035141 - RICH BREAD &amp; ROLLS-SODEXO</v>
      </c>
      <c r="C5298" t="s">
        <v>141</v>
      </c>
      <c r="D5298" s="1" t="str">
        <f t="shared" si="157"/>
        <v>PRG-1027958</v>
      </c>
      <c r="E5298" t="s">
        <v>46</v>
      </c>
      <c r="F5298" t="s">
        <v>4</v>
      </c>
      <c r="G5298" t="str">
        <f>""</f>
        <v/>
      </c>
    </row>
    <row r="5299" spans="1:7" x14ac:dyDescent="0.25">
      <c r="A5299" t="s">
        <v>8</v>
      </c>
      <c r="B5299" s="1" t="str">
        <f>"000037043 - RICHS BREAD &amp; ROLLS-SODEXO"</f>
        <v>000037043 - RICHS BREAD &amp; ROLLS-SODEXO</v>
      </c>
      <c r="C5299" t="s">
        <v>135</v>
      </c>
      <c r="D5299" s="1" t="str">
        <f t="shared" si="157"/>
        <v>PRG-1027958</v>
      </c>
      <c r="E5299" t="s">
        <v>46</v>
      </c>
      <c r="F5299" t="s">
        <v>4</v>
      </c>
      <c r="G5299" t="str">
        <f>""</f>
        <v/>
      </c>
    </row>
    <row r="5300" spans="1:7" x14ac:dyDescent="0.25">
      <c r="A5300" t="s">
        <v>8</v>
      </c>
      <c r="B5300" s="1" t="str">
        <f>"000039008 - VOID H BREAD &amp; ROLL BB-SODEXO"</f>
        <v>000039008 - VOID H BREAD &amp; ROLL BB-SODEXO</v>
      </c>
      <c r="C5300" t="s">
        <v>564</v>
      </c>
      <c r="D5300" s="1" t="str">
        <f t="shared" si="157"/>
        <v>PRG-1027958</v>
      </c>
      <c r="E5300" t="s">
        <v>46</v>
      </c>
      <c r="F5300" t="s">
        <v>4</v>
      </c>
      <c r="G5300" t="str">
        <f>""</f>
        <v/>
      </c>
    </row>
    <row r="5301" spans="1:7" x14ac:dyDescent="0.25">
      <c r="A5301" t="s">
        <v>8</v>
      </c>
      <c r="B5301" s="1" t="str">
        <f>"000039055 - RICHS BREAD &amp; ROLL BB-SODEXO"</f>
        <v>000039055 - RICHS BREAD &amp; ROLL BB-SODEXO</v>
      </c>
      <c r="C5301" t="s">
        <v>566</v>
      </c>
      <c r="D5301" s="1" t="str">
        <f t="shared" si="157"/>
        <v>PRG-1027958</v>
      </c>
      <c r="E5301" t="s">
        <v>46</v>
      </c>
      <c r="F5301" t="s">
        <v>4</v>
      </c>
      <c r="G5301" t="str">
        <f>""</f>
        <v/>
      </c>
    </row>
    <row r="5302" spans="1:7" x14ac:dyDescent="0.25">
      <c r="A5302" t="s">
        <v>8</v>
      </c>
      <c r="B5302" s="1" t="str">
        <f>"000039296 - RICHS BRD&amp;ROLL CORE BB-SODEXO"</f>
        <v>000039296 - RICHS BRD&amp;ROLL CORE BB-SODEXO</v>
      </c>
      <c r="C5302" t="s">
        <v>568</v>
      </c>
      <c r="D5302" s="1" t="str">
        <f t="shared" si="157"/>
        <v>PRG-1027958</v>
      </c>
      <c r="E5302" t="s">
        <v>46</v>
      </c>
      <c r="F5302" t="s">
        <v>4</v>
      </c>
      <c r="G5302" t="str">
        <f>""</f>
        <v/>
      </c>
    </row>
    <row r="5303" spans="1:7" x14ac:dyDescent="0.25">
      <c r="A5303" t="s">
        <v>8</v>
      </c>
      <c r="B5303" s="1" t="str">
        <f>"000039297 - RICHS BRD&amp;ROLL NCORE BB-SODEXO"</f>
        <v>000039297 - RICHS BRD&amp;ROLL NCORE BB-SODEXO</v>
      </c>
      <c r="C5303" t="s">
        <v>569</v>
      </c>
      <c r="D5303" s="1" t="str">
        <f t="shared" si="157"/>
        <v>PRG-1027958</v>
      </c>
      <c r="E5303" t="s">
        <v>46</v>
      </c>
      <c r="F5303" t="s">
        <v>4</v>
      </c>
      <c r="G5303" t="str">
        <f>""</f>
        <v/>
      </c>
    </row>
    <row r="5304" spans="1:7" x14ac:dyDescent="0.25">
      <c r="A5304" t="s">
        <v>8</v>
      </c>
      <c r="B5304" s="1" t="str">
        <f>"000040496 - RICH BREAD &amp; ROLLS-SODEXO"</f>
        <v>000040496 - RICH BREAD &amp; ROLLS-SODEXO</v>
      </c>
      <c r="C5304" t="s">
        <v>141</v>
      </c>
      <c r="D5304" s="1" t="str">
        <f t="shared" si="157"/>
        <v>PRG-1027958</v>
      </c>
      <c r="E5304" t="s">
        <v>46</v>
      </c>
      <c r="F5304" t="s">
        <v>4</v>
      </c>
      <c r="G5304" t="str">
        <f>""</f>
        <v/>
      </c>
    </row>
    <row r="5305" spans="1:7" x14ac:dyDescent="0.25">
      <c r="A5305" t="s">
        <v>8</v>
      </c>
      <c r="B5305" s="1" t="str">
        <f>"000044354 - RICHS BREAD &amp; ROLLS-SODEXO"</f>
        <v>000044354 - RICHS BREAD &amp; ROLLS-SODEXO</v>
      </c>
      <c r="C5305" t="s">
        <v>135</v>
      </c>
      <c r="D5305" s="1" t="str">
        <f t="shared" si="157"/>
        <v>PRG-1027958</v>
      </c>
      <c r="E5305" t="s">
        <v>46</v>
      </c>
      <c r="F5305" t="s">
        <v>4</v>
      </c>
      <c r="G5305" t="str">
        <f>""</f>
        <v/>
      </c>
    </row>
    <row r="5306" spans="1:7" x14ac:dyDescent="0.25">
      <c r="A5306" t="s">
        <v>8</v>
      </c>
      <c r="B5306" s="1" t="str">
        <f>"000046981 - VOID H BREAD &amp; ROLL BB-SODEXO"</f>
        <v>000046981 - VOID H BREAD &amp; ROLL BB-SODEXO</v>
      </c>
      <c r="C5306" t="s">
        <v>564</v>
      </c>
      <c r="D5306" s="1" t="str">
        <f t="shared" si="157"/>
        <v>PRG-1027958</v>
      </c>
      <c r="E5306" t="s">
        <v>46</v>
      </c>
      <c r="F5306" t="s">
        <v>4</v>
      </c>
      <c r="G5306" t="str">
        <f>""</f>
        <v/>
      </c>
    </row>
    <row r="5307" spans="1:7" x14ac:dyDescent="0.25">
      <c r="A5307" t="s">
        <v>8</v>
      </c>
      <c r="B5307" s="1" t="str">
        <f>"000047036 - RICHS BREAD &amp; ROLL BB-SODEXO"</f>
        <v>000047036 - RICHS BREAD &amp; ROLL BB-SODEXO</v>
      </c>
      <c r="C5307" t="s">
        <v>566</v>
      </c>
      <c r="D5307" s="1" t="str">
        <f t="shared" si="157"/>
        <v>PRG-1027958</v>
      </c>
      <c r="E5307" t="s">
        <v>46</v>
      </c>
      <c r="F5307" t="s">
        <v>4</v>
      </c>
      <c r="G5307" t="str">
        <f>""</f>
        <v/>
      </c>
    </row>
    <row r="5308" spans="1:7" x14ac:dyDescent="0.25">
      <c r="A5308" t="s">
        <v>8</v>
      </c>
      <c r="B5308" s="1" t="str">
        <f>"000047418 - RICHS BRD&amp;ROLL CORE BB-SODEXO"</f>
        <v>000047418 - RICHS BRD&amp;ROLL CORE BB-SODEXO</v>
      </c>
      <c r="C5308" t="s">
        <v>568</v>
      </c>
      <c r="D5308" s="1" t="str">
        <f t="shared" si="157"/>
        <v>PRG-1027958</v>
      </c>
      <c r="E5308" t="s">
        <v>46</v>
      </c>
      <c r="F5308" t="s">
        <v>4</v>
      </c>
      <c r="G5308" t="str">
        <f>""</f>
        <v/>
      </c>
    </row>
    <row r="5309" spans="1:7" x14ac:dyDescent="0.25">
      <c r="A5309" t="s">
        <v>8</v>
      </c>
      <c r="B5309" s="1" t="str">
        <f>"000047419 - RICHS BRD&amp;ROLL NCORE BB-SODEXO"</f>
        <v>000047419 - RICHS BRD&amp;ROLL NCORE BB-SODEXO</v>
      </c>
      <c r="C5309" t="s">
        <v>569</v>
      </c>
      <c r="D5309" s="1" t="str">
        <f t="shared" si="157"/>
        <v>PRG-1027958</v>
      </c>
      <c r="E5309" t="s">
        <v>46</v>
      </c>
      <c r="F5309" t="s">
        <v>4</v>
      </c>
      <c r="G5309" t="str">
        <f>""</f>
        <v/>
      </c>
    </row>
    <row r="5310" spans="1:7" x14ac:dyDescent="0.25">
      <c r="A5310" t="s">
        <v>8</v>
      </c>
      <c r="B5310" s="1" t="str">
        <f>"000095063 - RICH BREAD &amp; ROLLS-SODEXO"</f>
        <v>000095063 - RICH BREAD &amp; ROLLS-SODEXO</v>
      </c>
      <c r="C5310" t="s">
        <v>141</v>
      </c>
      <c r="D5310" s="1" t="str">
        <f t="shared" si="157"/>
        <v>PRG-1027958</v>
      </c>
      <c r="E5310" t="s">
        <v>46</v>
      </c>
      <c r="F5310" t="s">
        <v>4</v>
      </c>
      <c r="G5310" t="str">
        <f>""</f>
        <v/>
      </c>
    </row>
    <row r="5311" spans="1:7" x14ac:dyDescent="0.25">
      <c r="A5311" t="s">
        <v>8</v>
      </c>
      <c r="B5311" s="1" t="str">
        <f>"000099798 - RICH BREAD &amp; ROLLS-SODEXO"</f>
        <v>000099798 - RICH BREAD &amp; ROLLS-SODEXO</v>
      </c>
      <c r="C5311" t="s">
        <v>141</v>
      </c>
      <c r="D5311" s="1" t="str">
        <f t="shared" si="157"/>
        <v>PRG-1027958</v>
      </c>
      <c r="E5311" t="s">
        <v>46</v>
      </c>
      <c r="F5311" t="s">
        <v>4</v>
      </c>
      <c r="G5311" t="str">
        <f>""</f>
        <v/>
      </c>
    </row>
    <row r="5312" spans="1:7" x14ac:dyDescent="0.25">
      <c r="A5312" t="s">
        <v>8</v>
      </c>
      <c r="B5312" s="1" t="str">
        <f>"000103076 - RICHS BREAD &amp; ROLLS-SODEXO"</f>
        <v>000103076 - RICHS BREAD &amp; ROLLS-SODEXO</v>
      </c>
      <c r="C5312" t="s">
        <v>135</v>
      </c>
      <c r="D5312" s="1" t="str">
        <f t="shared" si="157"/>
        <v>PRG-1027958</v>
      </c>
      <c r="E5312" t="s">
        <v>46</v>
      </c>
      <c r="F5312" t="s">
        <v>4</v>
      </c>
      <c r="G5312" t="str">
        <f>""</f>
        <v/>
      </c>
    </row>
    <row r="5313" spans="1:7" x14ac:dyDescent="0.25">
      <c r="A5313" t="s">
        <v>8</v>
      </c>
      <c r="B5313" s="1" t="str">
        <f>"000105475 - VOID H BREAD &amp; ROLL BB-SODEXO"</f>
        <v>000105475 - VOID H BREAD &amp; ROLL BB-SODEXO</v>
      </c>
      <c r="C5313" t="s">
        <v>564</v>
      </c>
      <c r="D5313" s="1" t="str">
        <f t="shared" si="157"/>
        <v>PRG-1027958</v>
      </c>
      <c r="E5313" t="s">
        <v>46</v>
      </c>
      <c r="F5313" t="s">
        <v>4</v>
      </c>
      <c r="G5313" t="str">
        <f>""</f>
        <v/>
      </c>
    </row>
    <row r="5314" spans="1:7" x14ac:dyDescent="0.25">
      <c r="A5314" t="s">
        <v>8</v>
      </c>
      <c r="B5314" s="1" t="str">
        <f>"000105582 - RICHS BREAD &amp; ROLL BB-SODEXO"</f>
        <v>000105582 - RICHS BREAD &amp; ROLL BB-SODEXO</v>
      </c>
      <c r="C5314" t="s">
        <v>566</v>
      </c>
      <c r="D5314" s="1" t="str">
        <f t="shared" si="157"/>
        <v>PRG-1027958</v>
      </c>
      <c r="E5314" t="s">
        <v>46</v>
      </c>
      <c r="F5314" t="s">
        <v>4</v>
      </c>
      <c r="G5314" t="str">
        <f>""</f>
        <v/>
      </c>
    </row>
    <row r="5315" spans="1:7" x14ac:dyDescent="0.25">
      <c r="A5315" t="s">
        <v>8</v>
      </c>
      <c r="B5315" s="1" t="str">
        <f>"000105884 - RICHS BRD&amp;ROLL CORE BB-SODEXO"</f>
        <v>000105884 - RICHS BRD&amp;ROLL CORE BB-SODEXO</v>
      </c>
      <c r="C5315" t="s">
        <v>568</v>
      </c>
      <c r="D5315" s="1" t="str">
        <f t="shared" si="157"/>
        <v>PRG-1027958</v>
      </c>
      <c r="E5315" t="s">
        <v>46</v>
      </c>
      <c r="F5315" t="s">
        <v>4</v>
      </c>
      <c r="G5315" t="str">
        <f>""</f>
        <v/>
      </c>
    </row>
    <row r="5316" spans="1:7" x14ac:dyDescent="0.25">
      <c r="A5316" t="s">
        <v>8</v>
      </c>
      <c r="B5316" s="1" t="str">
        <f>"000105885 - RICHS BRD&amp;ROLL NCORE BB-SODEXO"</f>
        <v>000105885 - RICHS BRD&amp;ROLL NCORE BB-SODEXO</v>
      </c>
      <c r="C5316" t="s">
        <v>569</v>
      </c>
      <c r="D5316" s="1" t="str">
        <f t="shared" si="157"/>
        <v>PRG-1027958</v>
      </c>
      <c r="E5316" t="s">
        <v>46</v>
      </c>
      <c r="F5316" t="s">
        <v>4</v>
      </c>
      <c r="G5316" t="str">
        <f>""</f>
        <v/>
      </c>
    </row>
    <row r="5317" spans="1:7" x14ac:dyDescent="0.25">
      <c r="A5317" t="s">
        <v>8</v>
      </c>
      <c r="B5317" s="1" t="str">
        <f>"000110119 - RICH BREAD &amp; ROLLS-SODEXO"</f>
        <v>000110119 - RICH BREAD &amp; ROLLS-SODEXO</v>
      </c>
      <c r="C5317" t="s">
        <v>141</v>
      </c>
      <c r="D5317" s="1" t="str">
        <f t="shared" si="157"/>
        <v>PRG-1027958</v>
      </c>
      <c r="E5317" t="s">
        <v>46</v>
      </c>
      <c r="F5317" t="s">
        <v>4</v>
      </c>
      <c r="G5317" t="str">
        <f>""</f>
        <v/>
      </c>
    </row>
    <row r="5318" spans="1:7" x14ac:dyDescent="0.25">
      <c r="A5318" t="s">
        <v>8</v>
      </c>
      <c r="B5318" s="1" t="str">
        <f>"000112742 - RICHS BREAD &amp; ROLLS-SODEXO"</f>
        <v>000112742 - RICHS BREAD &amp; ROLLS-SODEXO</v>
      </c>
      <c r="C5318" t="s">
        <v>135</v>
      </c>
      <c r="D5318" s="1" t="str">
        <f t="shared" si="157"/>
        <v>PRG-1027958</v>
      </c>
      <c r="E5318" t="s">
        <v>46</v>
      </c>
      <c r="F5318" t="s">
        <v>4</v>
      </c>
      <c r="G5318" t="str">
        <f>""</f>
        <v/>
      </c>
    </row>
    <row r="5319" spans="1:7" x14ac:dyDescent="0.25">
      <c r="A5319" t="s">
        <v>8</v>
      </c>
      <c r="B5319" s="1" t="str">
        <f>"000114915 - RICHS BREAD &amp; ROLL BB-SODEXO"</f>
        <v>000114915 - RICHS BREAD &amp; ROLL BB-SODEXO</v>
      </c>
      <c r="C5319" t="s">
        <v>566</v>
      </c>
      <c r="D5319" s="1" t="str">
        <f t="shared" si="157"/>
        <v>PRG-1027958</v>
      </c>
      <c r="E5319" t="s">
        <v>46</v>
      </c>
      <c r="F5319" t="s">
        <v>4</v>
      </c>
      <c r="G5319" t="str">
        <f>""</f>
        <v/>
      </c>
    </row>
    <row r="5320" spans="1:7" x14ac:dyDescent="0.25">
      <c r="A5320" t="s">
        <v>8</v>
      </c>
      <c r="B5320" s="1" t="str">
        <f>"000115164 - RICHS BRD&amp;ROLL CORE BB-SODEXO"</f>
        <v>000115164 - RICHS BRD&amp;ROLL CORE BB-SODEXO</v>
      </c>
      <c r="C5320" t="s">
        <v>568</v>
      </c>
      <c r="D5320" s="1" t="str">
        <f t="shared" si="157"/>
        <v>PRG-1027958</v>
      </c>
      <c r="E5320" t="s">
        <v>46</v>
      </c>
      <c r="F5320" t="s">
        <v>4</v>
      </c>
      <c r="G5320" t="str">
        <f>""</f>
        <v/>
      </c>
    </row>
    <row r="5321" spans="1:7" x14ac:dyDescent="0.25">
      <c r="A5321" t="s">
        <v>8</v>
      </c>
      <c r="B5321" s="1" t="str">
        <f>"000117607 - RICH BREAD &amp; ROLLS-SODEXO"</f>
        <v>000117607 - RICH BREAD &amp; ROLLS-SODEXO</v>
      </c>
      <c r="C5321" t="s">
        <v>141</v>
      </c>
      <c r="D5321" s="1" t="str">
        <f t="shared" si="157"/>
        <v>PRG-1027958</v>
      </c>
      <c r="E5321" t="s">
        <v>46</v>
      </c>
      <c r="F5321" t="s">
        <v>4</v>
      </c>
      <c r="G5321" t="str">
        <f>""</f>
        <v/>
      </c>
    </row>
    <row r="5322" spans="1:7" x14ac:dyDescent="0.25">
      <c r="A5322" t="s">
        <v>8</v>
      </c>
      <c r="B5322" s="1" t="str">
        <f>"000121972 - RICH BREAD &amp; ROLLS-SODEXO"</f>
        <v>000121972 - RICH BREAD &amp; ROLLS-SODEXO</v>
      </c>
      <c r="C5322" t="s">
        <v>141</v>
      </c>
      <c r="D5322" s="1" t="str">
        <f t="shared" si="157"/>
        <v>PRG-1027958</v>
      </c>
      <c r="E5322" t="s">
        <v>46</v>
      </c>
      <c r="F5322" t="s">
        <v>4</v>
      </c>
      <c r="G5322" t="str">
        <f>""</f>
        <v/>
      </c>
    </row>
    <row r="5323" spans="1:7" x14ac:dyDescent="0.25">
      <c r="A5323" t="s">
        <v>8</v>
      </c>
      <c r="B5323" s="1" t="str">
        <f>"000122127 - RICH BREAD &amp; ROLLS-SODEXO"</f>
        <v>000122127 - RICH BREAD &amp; ROLLS-SODEXO</v>
      </c>
      <c r="C5323" t="s">
        <v>141</v>
      </c>
      <c r="D5323" s="1" t="str">
        <f t="shared" si="157"/>
        <v>PRG-1027958</v>
      </c>
      <c r="E5323" t="s">
        <v>46</v>
      </c>
      <c r="F5323" t="s">
        <v>4</v>
      </c>
      <c r="G5323" t="str">
        <f>""</f>
        <v/>
      </c>
    </row>
    <row r="5324" spans="1:7" x14ac:dyDescent="0.25">
      <c r="A5324" t="s">
        <v>8</v>
      </c>
      <c r="B5324" s="1" t="str">
        <f>"000125395 - RICHS BREAD &amp; ROLLS-SODEXO"</f>
        <v>000125395 - RICHS BREAD &amp; ROLLS-SODEXO</v>
      </c>
      <c r="C5324" t="s">
        <v>135</v>
      </c>
      <c r="D5324" s="1" t="str">
        <f t="shared" si="157"/>
        <v>PRG-1027958</v>
      </c>
      <c r="E5324" t="s">
        <v>46</v>
      </c>
      <c r="F5324" t="s">
        <v>4</v>
      </c>
      <c r="G5324" t="str">
        <f>""</f>
        <v/>
      </c>
    </row>
    <row r="5325" spans="1:7" x14ac:dyDescent="0.25">
      <c r="A5325" t="s">
        <v>8</v>
      </c>
      <c r="B5325" s="1" t="str">
        <f>"000126214 - RICH BREAD &amp; ROLLS-SODEXO"</f>
        <v>000126214 - RICH BREAD &amp; ROLLS-SODEXO</v>
      </c>
      <c r="C5325" t="s">
        <v>141</v>
      </c>
      <c r="D5325" s="1" t="str">
        <f t="shared" si="157"/>
        <v>PRG-1027958</v>
      </c>
      <c r="E5325" t="s">
        <v>46</v>
      </c>
      <c r="F5325" t="s">
        <v>4</v>
      </c>
      <c r="G5325" t="str">
        <f>""</f>
        <v/>
      </c>
    </row>
    <row r="5326" spans="1:7" x14ac:dyDescent="0.25">
      <c r="A5326" t="s">
        <v>8</v>
      </c>
      <c r="B5326" s="1" t="str">
        <f>"000127716 - VOID H BREAD &amp; ROLL BB-SODEXO"</f>
        <v>000127716 - VOID H BREAD &amp; ROLL BB-SODEXO</v>
      </c>
      <c r="C5326" t="s">
        <v>564</v>
      </c>
      <c r="D5326" s="1" t="str">
        <f t="shared" si="157"/>
        <v>PRG-1027958</v>
      </c>
      <c r="E5326" t="s">
        <v>46</v>
      </c>
      <c r="F5326" t="s">
        <v>4</v>
      </c>
      <c r="G5326" t="str">
        <f>""</f>
        <v/>
      </c>
    </row>
    <row r="5327" spans="1:7" x14ac:dyDescent="0.25">
      <c r="A5327" t="s">
        <v>8</v>
      </c>
      <c r="B5327" s="1" t="str">
        <f>"000127770 - RICHS BREAD &amp; ROLL BB-SODEXO"</f>
        <v>000127770 - RICHS BREAD &amp; ROLL BB-SODEXO</v>
      </c>
      <c r="C5327" t="s">
        <v>566</v>
      </c>
      <c r="D5327" s="1" t="str">
        <f t="shared" si="157"/>
        <v>PRG-1027958</v>
      </c>
      <c r="E5327" t="s">
        <v>46</v>
      </c>
      <c r="F5327" t="s">
        <v>4</v>
      </c>
      <c r="G5327" t="str">
        <f>""</f>
        <v/>
      </c>
    </row>
    <row r="5328" spans="1:7" x14ac:dyDescent="0.25">
      <c r="A5328" t="s">
        <v>8</v>
      </c>
      <c r="B5328" s="1" t="str">
        <f>"000128109 - RICHS BRD&amp;ROLL CORE BB-SODEXO"</f>
        <v>000128109 - RICHS BRD&amp;ROLL CORE BB-SODEXO</v>
      </c>
      <c r="C5328" t="s">
        <v>568</v>
      </c>
      <c r="D5328" s="1" t="str">
        <f t="shared" si="157"/>
        <v>PRG-1027958</v>
      </c>
      <c r="E5328" t="s">
        <v>46</v>
      </c>
      <c r="F5328" t="s">
        <v>4</v>
      </c>
      <c r="G5328" t="str">
        <f>""</f>
        <v/>
      </c>
    </row>
    <row r="5329" spans="1:7" x14ac:dyDescent="0.25">
      <c r="A5329" t="s">
        <v>8</v>
      </c>
      <c r="B5329" s="1" t="str">
        <f>"000128110 - RICHS BRD&amp;ROLL NCORE BB-SODEXO"</f>
        <v>000128110 - RICHS BRD&amp;ROLL NCORE BB-SODEXO</v>
      </c>
      <c r="C5329" t="s">
        <v>569</v>
      </c>
      <c r="D5329" s="1" t="str">
        <f t="shared" si="157"/>
        <v>PRG-1027958</v>
      </c>
      <c r="E5329" t="s">
        <v>46</v>
      </c>
      <c r="F5329" t="s">
        <v>4</v>
      </c>
      <c r="G5329" t="str">
        <f>""</f>
        <v/>
      </c>
    </row>
    <row r="5330" spans="1:7" x14ac:dyDescent="0.25">
      <c r="A5330" t="s">
        <v>8</v>
      </c>
      <c r="B5330" s="1" t="str">
        <f>"000131001 - RICH BREAD &amp; ROLLS-SODEXO"</f>
        <v>000131001 - RICH BREAD &amp; ROLLS-SODEXO</v>
      </c>
      <c r="C5330" t="s">
        <v>141</v>
      </c>
      <c r="D5330" s="1" t="str">
        <f t="shared" si="157"/>
        <v>PRG-1027958</v>
      </c>
      <c r="E5330" t="s">
        <v>46</v>
      </c>
      <c r="F5330" t="s">
        <v>4</v>
      </c>
      <c r="G5330" t="str">
        <f>""</f>
        <v/>
      </c>
    </row>
    <row r="5331" spans="1:7" x14ac:dyDescent="0.25">
      <c r="A5331" t="s">
        <v>8</v>
      </c>
      <c r="B5331" s="1" t="str">
        <f>"000131276 - RICH BREAD &amp; ROLLS-SODEXO"</f>
        <v>000131276 - RICH BREAD &amp; ROLLS-SODEXO</v>
      </c>
      <c r="C5331" t="s">
        <v>141</v>
      </c>
      <c r="D5331" s="1" t="str">
        <f t="shared" si="157"/>
        <v>PRG-1027958</v>
      </c>
      <c r="E5331" t="s">
        <v>46</v>
      </c>
      <c r="F5331" t="s">
        <v>4</v>
      </c>
      <c r="G5331" t="str">
        <f>""</f>
        <v/>
      </c>
    </row>
    <row r="5332" spans="1:7" x14ac:dyDescent="0.25">
      <c r="A5332" t="s">
        <v>8</v>
      </c>
      <c r="B5332" s="1" t="str">
        <f>"000133722 - RICHS BREAD &amp; ROLLS-SODEXO"</f>
        <v>000133722 - RICHS BREAD &amp; ROLLS-SODEXO</v>
      </c>
      <c r="C5332" t="s">
        <v>135</v>
      </c>
      <c r="D5332" s="1" t="str">
        <f t="shared" si="157"/>
        <v>PRG-1027958</v>
      </c>
      <c r="E5332" t="s">
        <v>46</v>
      </c>
      <c r="F5332" t="s">
        <v>4</v>
      </c>
      <c r="G5332" t="str">
        <f>""</f>
        <v/>
      </c>
    </row>
    <row r="5333" spans="1:7" x14ac:dyDescent="0.25">
      <c r="A5333" t="s">
        <v>8</v>
      </c>
      <c r="B5333" s="1" t="str">
        <f>"000133931 - RICHS BREAD &amp; ROLLS-SODEXO"</f>
        <v>000133931 - RICHS BREAD &amp; ROLLS-SODEXO</v>
      </c>
      <c r="C5333" t="s">
        <v>135</v>
      </c>
      <c r="D5333" s="1" t="str">
        <f t="shared" si="157"/>
        <v>PRG-1027958</v>
      </c>
      <c r="E5333" t="s">
        <v>46</v>
      </c>
      <c r="F5333" t="s">
        <v>4</v>
      </c>
      <c r="G5333" t="str">
        <f>""</f>
        <v/>
      </c>
    </row>
    <row r="5334" spans="1:7" x14ac:dyDescent="0.25">
      <c r="A5334" t="s">
        <v>8</v>
      </c>
      <c r="B5334" s="1" t="str">
        <f>"000134805 - RICH BREAD &amp; ROLLS-SODEXO"</f>
        <v>000134805 - RICH BREAD &amp; ROLLS-SODEXO</v>
      </c>
      <c r="C5334" t="s">
        <v>141</v>
      </c>
      <c r="D5334" s="1" t="str">
        <f t="shared" si="157"/>
        <v>PRG-1027958</v>
      </c>
      <c r="E5334" t="s">
        <v>46</v>
      </c>
      <c r="F5334" t="s">
        <v>4</v>
      </c>
      <c r="G5334" t="str">
        <f>""</f>
        <v/>
      </c>
    </row>
    <row r="5335" spans="1:7" x14ac:dyDescent="0.25">
      <c r="A5335" t="s">
        <v>8</v>
      </c>
      <c r="B5335" s="1" t="str">
        <f>"000136391 - VOID H BREAD &amp; ROLL BB-SODEXO"</f>
        <v>000136391 - VOID H BREAD &amp; ROLL BB-SODEXO</v>
      </c>
      <c r="C5335" t="s">
        <v>564</v>
      </c>
      <c r="D5335" s="1" t="str">
        <f t="shared" si="157"/>
        <v>PRG-1027958</v>
      </c>
      <c r="E5335" t="s">
        <v>46</v>
      </c>
      <c r="F5335" t="s">
        <v>4</v>
      </c>
      <c r="G5335" t="str">
        <f>""</f>
        <v/>
      </c>
    </row>
    <row r="5336" spans="1:7" x14ac:dyDescent="0.25">
      <c r="A5336" t="s">
        <v>8</v>
      </c>
      <c r="B5336" s="1" t="str">
        <f>"000136446 - RICHS BREAD &amp; ROLL BB-SODEXO"</f>
        <v>000136446 - RICHS BREAD &amp; ROLL BB-SODEXO</v>
      </c>
      <c r="C5336" t="s">
        <v>566</v>
      </c>
      <c r="D5336" s="1" t="str">
        <f t="shared" si="157"/>
        <v>PRG-1027958</v>
      </c>
      <c r="E5336" t="s">
        <v>46</v>
      </c>
      <c r="F5336" t="s">
        <v>4</v>
      </c>
      <c r="G5336" t="str">
        <f>""</f>
        <v/>
      </c>
    </row>
    <row r="5337" spans="1:7" x14ac:dyDescent="0.25">
      <c r="A5337" t="s">
        <v>8</v>
      </c>
      <c r="B5337" s="1" t="str">
        <f>"000136742 - RICHS BRD&amp;ROLL CORE BB-SODEXO"</f>
        <v>000136742 - RICHS BRD&amp;ROLL CORE BB-SODEXO</v>
      </c>
      <c r="C5337" t="s">
        <v>568</v>
      </c>
      <c r="D5337" s="1" t="str">
        <f t="shared" si="157"/>
        <v>PRG-1027958</v>
      </c>
      <c r="E5337" t="s">
        <v>46</v>
      </c>
      <c r="F5337" t="s">
        <v>4</v>
      </c>
      <c r="G5337" t="str">
        <f>""</f>
        <v/>
      </c>
    </row>
    <row r="5338" spans="1:7" x14ac:dyDescent="0.25">
      <c r="A5338" t="s">
        <v>8</v>
      </c>
      <c r="B5338" s="1" t="str">
        <f>"000137468 - RICHS BREAD &amp; ROLLS-SODEXO"</f>
        <v>000137468 - RICHS BREAD &amp; ROLLS-SODEXO</v>
      </c>
      <c r="C5338" t="s">
        <v>135</v>
      </c>
      <c r="D5338" s="1" t="str">
        <f t="shared" si="157"/>
        <v>PRG-1027958</v>
      </c>
      <c r="E5338" t="s">
        <v>46</v>
      </c>
      <c r="F5338" t="s">
        <v>4</v>
      </c>
      <c r="G5338" t="str">
        <f>""</f>
        <v/>
      </c>
    </row>
    <row r="5339" spans="1:7" x14ac:dyDescent="0.25">
      <c r="A5339" t="s">
        <v>8</v>
      </c>
      <c r="B5339" s="1" t="str">
        <f>"000148314 - RICH BREAD &amp; ROLLS-SODEXO"</f>
        <v>000148314 - RICH BREAD &amp; ROLLS-SODEXO</v>
      </c>
      <c r="C5339" t="s">
        <v>141</v>
      </c>
      <c r="D5339" s="1" t="str">
        <f t="shared" si="157"/>
        <v>PRG-1027958</v>
      </c>
      <c r="E5339" t="s">
        <v>46</v>
      </c>
      <c r="F5339" t="s">
        <v>4</v>
      </c>
      <c r="G5339" t="str">
        <f>""</f>
        <v/>
      </c>
    </row>
    <row r="5340" spans="1:7" x14ac:dyDescent="0.25">
      <c r="A5340" t="s">
        <v>8</v>
      </c>
      <c r="B5340" s="1" t="str">
        <f>"000183228 - RICH BREAD &amp; ROLLS-SODEXO"</f>
        <v>000183228 - RICH BREAD &amp; ROLLS-SODEXO</v>
      </c>
      <c r="C5340" t="s">
        <v>141</v>
      </c>
      <c r="D5340" s="1" t="str">
        <f t="shared" si="157"/>
        <v>PRG-1027958</v>
      </c>
      <c r="E5340" t="s">
        <v>46</v>
      </c>
      <c r="F5340" t="s">
        <v>4</v>
      </c>
      <c r="G5340" t="str">
        <f>""</f>
        <v/>
      </c>
    </row>
    <row r="5341" spans="1:7" x14ac:dyDescent="0.25">
      <c r="A5341" t="s">
        <v>8</v>
      </c>
      <c r="B5341" s="1" t="str">
        <f>"000188280 - RICH BREAD &amp; ROLLS-SODEXO"</f>
        <v>000188280 - RICH BREAD &amp; ROLLS-SODEXO</v>
      </c>
      <c r="C5341" t="s">
        <v>141</v>
      </c>
      <c r="D5341" s="1" t="str">
        <f t="shared" si="157"/>
        <v>PRG-1027958</v>
      </c>
      <c r="E5341" t="s">
        <v>46</v>
      </c>
      <c r="F5341" t="s">
        <v>4</v>
      </c>
      <c r="G5341" t="str">
        <f>""</f>
        <v/>
      </c>
    </row>
    <row r="5342" spans="1:7" x14ac:dyDescent="0.25">
      <c r="A5342" t="s">
        <v>8</v>
      </c>
      <c r="B5342" s="1" t="str">
        <f>"000188473 - RICH BREAD &amp; ROLLS-SODEXO"</f>
        <v>000188473 - RICH BREAD &amp; ROLLS-SODEXO</v>
      </c>
      <c r="C5342" t="s">
        <v>141</v>
      </c>
      <c r="D5342" s="1" t="str">
        <f t="shared" si="157"/>
        <v>PRG-1027958</v>
      </c>
      <c r="E5342" t="s">
        <v>46</v>
      </c>
      <c r="F5342" t="s">
        <v>4</v>
      </c>
      <c r="G5342" t="str">
        <f>""</f>
        <v/>
      </c>
    </row>
    <row r="5343" spans="1:7" x14ac:dyDescent="0.25">
      <c r="A5343" t="s">
        <v>8</v>
      </c>
      <c r="B5343" s="1" t="str">
        <f>"000191875 - RICHS BREAD &amp; ROLLS-SODEXO"</f>
        <v>000191875 - RICHS BREAD &amp; ROLLS-SODEXO</v>
      </c>
      <c r="C5343" t="s">
        <v>135</v>
      </c>
      <c r="D5343" s="1" t="str">
        <f t="shared" si="157"/>
        <v>PRG-1027958</v>
      </c>
      <c r="E5343" t="s">
        <v>46</v>
      </c>
      <c r="F5343" t="s">
        <v>4</v>
      </c>
      <c r="G5343" t="str">
        <f>""</f>
        <v/>
      </c>
    </row>
    <row r="5344" spans="1:7" x14ac:dyDescent="0.25">
      <c r="A5344" t="s">
        <v>8</v>
      </c>
      <c r="B5344" s="1" t="str">
        <f>"000191926 - RICHS BREAD &amp; ROLLS-SODEXO"</f>
        <v>000191926 - RICHS BREAD &amp; ROLLS-SODEXO</v>
      </c>
      <c r="C5344" t="s">
        <v>135</v>
      </c>
      <c r="D5344" s="1" t="str">
        <f t="shared" si="157"/>
        <v>PRG-1027958</v>
      </c>
      <c r="E5344" t="s">
        <v>46</v>
      </c>
      <c r="F5344" t="s">
        <v>4</v>
      </c>
      <c r="G5344" t="str">
        <f>""</f>
        <v/>
      </c>
    </row>
    <row r="5345" spans="1:7" x14ac:dyDescent="0.25">
      <c r="A5345" t="s">
        <v>8</v>
      </c>
      <c r="B5345" s="1" t="str">
        <f>"000194301 - VOID H BREAD &amp; ROLL BB-SODEXO"</f>
        <v>000194301 - VOID H BREAD &amp; ROLL BB-SODEXO</v>
      </c>
      <c r="C5345" t="s">
        <v>564</v>
      </c>
      <c r="D5345" s="1" t="str">
        <f t="shared" si="157"/>
        <v>PRG-1027958</v>
      </c>
      <c r="E5345" t="s">
        <v>46</v>
      </c>
      <c r="F5345" t="s">
        <v>4</v>
      </c>
      <c r="G5345" t="str">
        <f>""</f>
        <v/>
      </c>
    </row>
    <row r="5346" spans="1:7" x14ac:dyDescent="0.25">
      <c r="A5346" t="s">
        <v>8</v>
      </c>
      <c r="B5346" s="1" t="str">
        <f>"000194355 - RICHS BREAD &amp; ROLL BB-SODEXO"</f>
        <v>000194355 - RICHS BREAD &amp; ROLL BB-SODEXO</v>
      </c>
      <c r="C5346" t="s">
        <v>566</v>
      </c>
      <c r="D5346" s="1" t="str">
        <f t="shared" si="157"/>
        <v>PRG-1027958</v>
      </c>
      <c r="E5346" t="s">
        <v>46</v>
      </c>
      <c r="F5346" t="s">
        <v>4</v>
      </c>
      <c r="G5346" t="str">
        <f>""</f>
        <v/>
      </c>
    </row>
    <row r="5347" spans="1:7" x14ac:dyDescent="0.25">
      <c r="A5347" t="s">
        <v>8</v>
      </c>
      <c r="B5347" s="1" t="str">
        <f>"000194757 - RICHS BRD&amp;ROLL CORE BB-SODEXO"</f>
        <v>000194757 - RICHS BRD&amp;ROLL CORE BB-SODEXO</v>
      </c>
      <c r="C5347" t="s">
        <v>568</v>
      </c>
      <c r="D5347" s="1" t="str">
        <f t="shared" si="157"/>
        <v>PRG-1027958</v>
      </c>
      <c r="E5347" t="s">
        <v>46</v>
      </c>
      <c r="F5347" t="s">
        <v>4</v>
      </c>
      <c r="G5347" t="str">
        <f>""</f>
        <v/>
      </c>
    </row>
    <row r="5348" spans="1:7" x14ac:dyDescent="0.25">
      <c r="A5348" t="s">
        <v>8</v>
      </c>
      <c r="B5348" s="1" t="str">
        <f>"000194758 - RICHS BRD&amp;ROLL NCORE BB-SODEXO"</f>
        <v>000194758 - RICHS BRD&amp;ROLL NCORE BB-SODEXO</v>
      </c>
      <c r="C5348" t="s">
        <v>569</v>
      </c>
      <c r="D5348" s="1" t="str">
        <f t="shared" si="157"/>
        <v>PRG-1027958</v>
      </c>
      <c r="E5348" t="s">
        <v>46</v>
      </c>
      <c r="F5348" t="s">
        <v>4</v>
      </c>
      <c r="G5348" t="str">
        <f>""</f>
        <v/>
      </c>
    </row>
    <row r="5349" spans="1:7" x14ac:dyDescent="0.25">
      <c r="A5349" t="s">
        <v>8</v>
      </c>
      <c r="B5349" s="1" t="str">
        <f>"000194894 - VOID H BREAD &amp; ROLL BB-SODEXO"</f>
        <v>000194894 - VOID H BREAD &amp; ROLL BB-SODEXO</v>
      </c>
      <c r="C5349" t="s">
        <v>564</v>
      </c>
      <c r="D5349" s="1" t="str">
        <f t="shared" si="157"/>
        <v>PRG-1027958</v>
      </c>
      <c r="E5349" t="s">
        <v>46</v>
      </c>
      <c r="F5349" t="s">
        <v>4</v>
      </c>
      <c r="G5349" t="str">
        <f>""</f>
        <v/>
      </c>
    </row>
    <row r="5350" spans="1:7" x14ac:dyDescent="0.25">
      <c r="A5350" t="s">
        <v>8</v>
      </c>
      <c r="B5350" s="1" t="str">
        <f>"000194991 - RICHS BREAD &amp; ROLL BB-SODEXO"</f>
        <v>000194991 - RICHS BREAD &amp; ROLL BB-SODEXO</v>
      </c>
      <c r="C5350" t="s">
        <v>566</v>
      </c>
      <c r="D5350" s="1" t="str">
        <f t="shared" si="157"/>
        <v>PRG-1027958</v>
      </c>
      <c r="E5350" t="s">
        <v>46</v>
      </c>
      <c r="F5350" t="s">
        <v>4</v>
      </c>
      <c r="G5350" t="str">
        <f>""</f>
        <v/>
      </c>
    </row>
    <row r="5351" spans="1:7" x14ac:dyDescent="0.25">
      <c r="A5351" t="s">
        <v>8</v>
      </c>
      <c r="B5351" s="1" t="str">
        <f>"000195411 - RICHS BRD&amp;ROLL CORE BB-SODEXO"</f>
        <v>000195411 - RICHS BRD&amp;ROLL CORE BB-SODEXO</v>
      </c>
      <c r="C5351" t="s">
        <v>568</v>
      </c>
      <c r="D5351" s="1" t="str">
        <f t="shared" si="157"/>
        <v>PRG-1027958</v>
      </c>
      <c r="E5351" t="s">
        <v>46</v>
      </c>
      <c r="F5351" t="s">
        <v>4</v>
      </c>
      <c r="G5351" t="str">
        <f>""</f>
        <v/>
      </c>
    </row>
    <row r="5352" spans="1:7" x14ac:dyDescent="0.25">
      <c r="A5352" t="s">
        <v>8</v>
      </c>
      <c r="B5352" s="1" t="str">
        <f>"000195412 - RICHS BRD&amp;ROLL NCORE BB-SODEXO"</f>
        <v>000195412 - RICHS BRD&amp;ROLL NCORE BB-SODEXO</v>
      </c>
      <c r="C5352" t="s">
        <v>569</v>
      </c>
      <c r="D5352" s="1" t="str">
        <f t="shared" si="157"/>
        <v>PRG-1027958</v>
      </c>
      <c r="E5352" t="s">
        <v>46</v>
      </c>
      <c r="F5352" t="s">
        <v>4</v>
      </c>
      <c r="G5352" t="str">
        <f>""</f>
        <v/>
      </c>
    </row>
    <row r="5353" spans="1:7" x14ac:dyDescent="0.25">
      <c r="A5353" t="s">
        <v>8</v>
      </c>
      <c r="B5353" s="1" t="str">
        <f>"000195591 - RICH BREAD &amp; ROLLS-SODEXO"</f>
        <v>000195591 - RICH BREAD &amp; ROLLS-SODEXO</v>
      </c>
      <c r="C5353" t="s">
        <v>141</v>
      </c>
      <c r="D5353" s="1" t="str">
        <f t="shared" si="157"/>
        <v>PRG-1027958</v>
      </c>
      <c r="E5353" t="s">
        <v>46</v>
      </c>
      <c r="F5353" t="s">
        <v>4</v>
      </c>
      <c r="G5353" t="str">
        <f>""</f>
        <v/>
      </c>
    </row>
    <row r="5354" spans="1:7" x14ac:dyDescent="0.25">
      <c r="A5354" t="s">
        <v>8</v>
      </c>
      <c r="B5354" s="1" t="str">
        <f>"000199078 - RICHS BREAD &amp; ROLLS-SODEXO"</f>
        <v>000199078 - RICHS BREAD &amp; ROLLS-SODEXO</v>
      </c>
      <c r="C5354" t="s">
        <v>135</v>
      </c>
      <c r="D5354" s="1" t="str">
        <f t="shared" si="157"/>
        <v>PRG-1027958</v>
      </c>
      <c r="E5354" t="s">
        <v>46</v>
      </c>
      <c r="F5354" t="s">
        <v>4</v>
      </c>
      <c r="G5354" t="str">
        <f>""</f>
        <v/>
      </c>
    </row>
    <row r="5355" spans="1:7" x14ac:dyDescent="0.25">
      <c r="A5355" t="s">
        <v>8</v>
      </c>
      <c r="B5355" s="1" t="str">
        <f>"000201479 - VOID H BREAD &amp; ROLL BB-SODEXO"</f>
        <v>000201479 - VOID H BREAD &amp; ROLL BB-SODEXO</v>
      </c>
      <c r="C5355" t="s">
        <v>564</v>
      </c>
      <c r="D5355" s="1" t="str">
        <f t="shared" si="157"/>
        <v>PRG-1027958</v>
      </c>
      <c r="E5355" t="s">
        <v>46</v>
      </c>
      <c r="F5355" t="s">
        <v>4</v>
      </c>
      <c r="G5355" t="str">
        <f>""</f>
        <v/>
      </c>
    </row>
    <row r="5356" spans="1:7" x14ac:dyDescent="0.25">
      <c r="A5356" t="s">
        <v>8</v>
      </c>
      <c r="B5356" s="1" t="str">
        <f>"000201531 - RICHS BREAD &amp; ROLL BB-SODEXO"</f>
        <v>000201531 - RICHS BREAD &amp; ROLL BB-SODEXO</v>
      </c>
      <c r="C5356" t="s">
        <v>566</v>
      </c>
      <c r="D5356" s="1" t="str">
        <f t="shared" ref="D5356:D5419" si="158">"PRG-1027958"</f>
        <v>PRG-1027958</v>
      </c>
      <c r="E5356" t="s">
        <v>46</v>
      </c>
      <c r="F5356" t="s">
        <v>4</v>
      </c>
      <c r="G5356" t="str">
        <f>""</f>
        <v/>
      </c>
    </row>
    <row r="5357" spans="1:7" x14ac:dyDescent="0.25">
      <c r="A5357" t="s">
        <v>8</v>
      </c>
      <c r="B5357" s="1" t="str">
        <f>"000201900 - RICHS BRD&amp;ROLL CORE BB-SODEXO"</f>
        <v>000201900 - RICHS BRD&amp;ROLL CORE BB-SODEXO</v>
      </c>
      <c r="C5357" t="s">
        <v>568</v>
      </c>
      <c r="D5357" s="1" t="str">
        <f t="shared" si="158"/>
        <v>PRG-1027958</v>
      </c>
      <c r="E5357" t="s">
        <v>46</v>
      </c>
      <c r="F5357" t="s">
        <v>4</v>
      </c>
      <c r="G5357" t="str">
        <f>""</f>
        <v/>
      </c>
    </row>
    <row r="5358" spans="1:7" x14ac:dyDescent="0.25">
      <c r="A5358" t="s">
        <v>8</v>
      </c>
      <c r="B5358" s="1" t="str">
        <f>"000201901 - RICHS BRD&amp;ROLL NCORE BB-SODEXO"</f>
        <v>000201901 - RICHS BRD&amp;ROLL NCORE BB-SODEXO</v>
      </c>
      <c r="C5358" t="s">
        <v>569</v>
      </c>
      <c r="D5358" s="1" t="str">
        <f t="shared" si="158"/>
        <v>PRG-1027958</v>
      </c>
      <c r="E5358" t="s">
        <v>46</v>
      </c>
      <c r="F5358" t="s">
        <v>4</v>
      </c>
      <c r="G5358" t="str">
        <f>""</f>
        <v/>
      </c>
    </row>
    <row r="5359" spans="1:7" x14ac:dyDescent="0.25">
      <c r="A5359" t="s">
        <v>8</v>
      </c>
      <c r="B5359" s="1" t="str">
        <f>"000208315 - BB SODEXO FOB RICH BREAD ROLLS"</f>
        <v>000208315 - BB SODEXO FOB RICH BREAD ROLLS</v>
      </c>
      <c r="C5359" t="s">
        <v>1310</v>
      </c>
      <c r="D5359" s="1" t="str">
        <f t="shared" si="158"/>
        <v>PRG-1027958</v>
      </c>
      <c r="E5359" t="s">
        <v>46</v>
      </c>
      <c r="F5359" t="s">
        <v>4</v>
      </c>
      <c r="G5359" t="str">
        <f>""</f>
        <v/>
      </c>
    </row>
    <row r="5360" spans="1:7" x14ac:dyDescent="0.25">
      <c r="A5360" t="s">
        <v>8</v>
      </c>
      <c r="B5360" s="1" t="str">
        <f>"000210398 - RICH BREAD &amp; ROLLS-SODEXO"</f>
        <v>000210398 - RICH BREAD &amp; ROLLS-SODEXO</v>
      </c>
      <c r="C5360" t="s">
        <v>141</v>
      </c>
      <c r="D5360" s="1" t="str">
        <f t="shared" si="158"/>
        <v>PRG-1027958</v>
      </c>
      <c r="E5360" t="s">
        <v>46</v>
      </c>
      <c r="F5360" t="s">
        <v>4</v>
      </c>
      <c r="G5360" t="str">
        <f>""</f>
        <v/>
      </c>
    </row>
    <row r="5361" spans="1:7" x14ac:dyDescent="0.25">
      <c r="A5361" t="s">
        <v>8</v>
      </c>
      <c r="B5361" s="1" t="str">
        <f>"000210790 - RICH BREAD &amp; ROLLS-SODEXO"</f>
        <v>000210790 - RICH BREAD &amp; ROLLS-SODEXO</v>
      </c>
      <c r="C5361" t="s">
        <v>141</v>
      </c>
      <c r="D5361" s="1" t="str">
        <f t="shared" si="158"/>
        <v>PRG-1027958</v>
      </c>
      <c r="E5361" t="s">
        <v>46</v>
      </c>
      <c r="F5361" t="s">
        <v>4</v>
      </c>
      <c r="G5361" t="str">
        <f>""</f>
        <v/>
      </c>
    </row>
    <row r="5362" spans="1:7" x14ac:dyDescent="0.25">
      <c r="A5362" t="s">
        <v>8</v>
      </c>
      <c r="B5362" s="1" t="str">
        <f>"000211434 - SODEXO FOB BRD&amp;RLS RICHS"</f>
        <v>000211434 - SODEXO FOB BRD&amp;RLS RICHS</v>
      </c>
      <c r="C5362" t="s">
        <v>1449</v>
      </c>
      <c r="D5362" s="1" t="str">
        <f t="shared" si="158"/>
        <v>PRG-1027958</v>
      </c>
      <c r="E5362" t="s">
        <v>46</v>
      </c>
      <c r="F5362" t="s">
        <v>4</v>
      </c>
      <c r="G5362" t="str">
        <f>""</f>
        <v/>
      </c>
    </row>
    <row r="5363" spans="1:7" x14ac:dyDescent="0.25">
      <c r="A5363" t="s">
        <v>8</v>
      </c>
      <c r="B5363" s="1" t="str">
        <f>"000212680 - RICHS BREAD &amp; ROLLS-SODEXO"</f>
        <v>000212680 - RICHS BREAD &amp; ROLLS-SODEXO</v>
      </c>
      <c r="C5363" t="s">
        <v>135</v>
      </c>
      <c r="D5363" s="1" t="str">
        <f t="shared" si="158"/>
        <v>PRG-1027958</v>
      </c>
      <c r="E5363" t="s">
        <v>46</v>
      </c>
      <c r="F5363" t="s">
        <v>4</v>
      </c>
      <c r="G5363" t="str">
        <f>""</f>
        <v/>
      </c>
    </row>
    <row r="5364" spans="1:7" x14ac:dyDescent="0.25">
      <c r="A5364" t="s">
        <v>8</v>
      </c>
      <c r="B5364" s="1" t="str">
        <f>"000213260 - RICHS BREAD &amp; ROLLS-SODEXO"</f>
        <v>000213260 - RICHS BREAD &amp; ROLLS-SODEXO</v>
      </c>
      <c r="C5364" t="s">
        <v>135</v>
      </c>
      <c r="D5364" s="1" t="str">
        <f t="shared" si="158"/>
        <v>PRG-1027958</v>
      </c>
      <c r="E5364" t="s">
        <v>46</v>
      </c>
      <c r="F5364" t="s">
        <v>4</v>
      </c>
      <c r="G5364" t="str">
        <f>""</f>
        <v/>
      </c>
    </row>
    <row r="5365" spans="1:7" x14ac:dyDescent="0.25">
      <c r="A5365" t="s">
        <v>8</v>
      </c>
      <c r="B5365" s="1" t="str">
        <f>"000214201 - Rich BB DQ"</f>
        <v>000214201 - Rich BB DQ</v>
      </c>
      <c r="C5365" t="s">
        <v>1493</v>
      </c>
      <c r="D5365" s="1" t="str">
        <f t="shared" si="158"/>
        <v>PRG-1027958</v>
      </c>
      <c r="E5365" t="s">
        <v>46</v>
      </c>
      <c r="F5365" t="s">
        <v>4</v>
      </c>
      <c r="G5365" t="str">
        <f>""</f>
        <v/>
      </c>
    </row>
    <row r="5366" spans="1:7" x14ac:dyDescent="0.25">
      <c r="A5366" t="s">
        <v>8</v>
      </c>
      <c r="B5366" s="1" t="str">
        <f>"000214276 - RICHS BREAD &amp; ROLL BB-SODEXO"</f>
        <v>000214276 - RICHS BREAD &amp; ROLL BB-SODEXO</v>
      </c>
      <c r="C5366" t="s">
        <v>566</v>
      </c>
      <c r="D5366" s="1" t="str">
        <f t="shared" si="158"/>
        <v>PRG-1027958</v>
      </c>
      <c r="E5366" t="s">
        <v>46</v>
      </c>
      <c r="F5366" t="s">
        <v>4</v>
      </c>
      <c r="G5366" t="str">
        <f>""</f>
        <v/>
      </c>
    </row>
    <row r="5367" spans="1:7" x14ac:dyDescent="0.25">
      <c r="A5367" t="s">
        <v>8</v>
      </c>
      <c r="B5367" s="1" t="str">
        <f>"000214449 - BB SODEXO FOB NC FIX RICH"</f>
        <v>000214449 - BB SODEXO FOB NC FIX RICH</v>
      </c>
      <c r="C5367" t="s">
        <v>1499</v>
      </c>
      <c r="D5367" s="1" t="str">
        <f t="shared" si="158"/>
        <v>PRG-1027958</v>
      </c>
      <c r="E5367" t="s">
        <v>46</v>
      </c>
      <c r="F5367" t="s">
        <v>4</v>
      </c>
      <c r="G5367" t="str">
        <f>""</f>
        <v/>
      </c>
    </row>
    <row r="5368" spans="1:7" x14ac:dyDescent="0.25">
      <c r="A5368" t="s">
        <v>8</v>
      </c>
      <c r="B5368" s="1" t="str">
        <f>"000214718 - RICHS BRD&amp;ROLL CORE BB-SODEXO"</f>
        <v>000214718 - RICHS BRD&amp;ROLL CORE BB-SODEXO</v>
      </c>
      <c r="C5368" t="s">
        <v>568</v>
      </c>
      <c r="D5368" s="1" t="str">
        <f t="shared" si="158"/>
        <v>PRG-1027958</v>
      </c>
      <c r="E5368" t="s">
        <v>46</v>
      </c>
      <c r="F5368" t="s">
        <v>4</v>
      </c>
      <c r="G5368" t="str">
        <f>""</f>
        <v/>
      </c>
    </row>
    <row r="5369" spans="1:7" x14ac:dyDescent="0.25">
      <c r="A5369" t="s">
        <v>8</v>
      </c>
      <c r="B5369" s="1" t="str">
        <f>"000214723 - BB SODEXO FOB NC RICH BRD&amp;ROLL"</f>
        <v>000214723 - BB SODEXO FOB NC RICH BRD&amp;ROLL</v>
      </c>
      <c r="C5369" t="s">
        <v>1511</v>
      </c>
      <c r="D5369" s="1" t="str">
        <f t="shared" si="158"/>
        <v>PRG-1027958</v>
      </c>
      <c r="E5369" t="s">
        <v>46</v>
      </c>
      <c r="F5369" t="s">
        <v>4</v>
      </c>
      <c r="G5369" t="str">
        <f>""</f>
        <v/>
      </c>
    </row>
    <row r="5370" spans="1:7" x14ac:dyDescent="0.25">
      <c r="A5370" t="s">
        <v>8</v>
      </c>
      <c r="B5370" s="1" t="str">
        <f>"000214930 - RICH BREAD &amp; ROLLS-SODEXO"</f>
        <v>000214930 - RICH BREAD &amp; ROLLS-SODEXO</v>
      </c>
      <c r="C5370" t="s">
        <v>141</v>
      </c>
      <c r="D5370" s="1" t="str">
        <f t="shared" si="158"/>
        <v>PRG-1027958</v>
      </c>
      <c r="E5370" t="s">
        <v>46</v>
      </c>
      <c r="F5370" t="s">
        <v>4</v>
      </c>
      <c r="G5370" t="str">
        <f>""</f>
        <v/>
      </c>
    </row>
    <row r="5371" spans="1:7" x14ac:dyDescent="0.25">
      <c r="A5371" t="s">
        <v>8</v>
      </c>
      <c r="B5371" s="1" t="str">
        <f>"000215192 - RICHS BRD&amp;ROLL CORE BB-SODEXO"</f>
        <v>000215192 - RICHS BRD&amp;ROLL CORE BB-SODEXO</v>
      </c>
      <c r="C5371" t="s">
        <v>568</v>
      </c>
      <c r="D5371" s="1" t="str">
        <f t="shared" si="158"/>
        <v>PRG-1027958</v>
      </c>
      <c r="E5371" t="s">
        <v>46</v>
      </c>
      <c r="F5371" t="s">
        <v>4</v>
      </c>
      <c r="G5371" t="str">
        <f>""</f>
        <v/>
      </c>
    </row>
    <row r="5372" spans="1:7" x14ac:dyDescent="0.25">
      <c r="A5372" t="s">
        <v>8</v>
      </c>
      <c r="B5372" s="1" t="str">
        <f>"000215193 - RICHS BRD&amp;ROLL NCORE BB-SODEXO"</f>
        <v>000215193 - RICHS BRD&amp;ROLL NCORE BB-SODEXO</v>
      </c>
      <c r="C5372" t="s">
        <v>569</v>
      </c>
      <c r="D5372" s="1" t="str">
        <f t="shared" si="158"/>
        <v>PRG-1027958</v>
      </c>
      <c r="E5372" t="s">
        <v>46</v>
      </c>
      <c r="F5372" t="s">
        <v>4</v>
      </c>
      <c r="G5372" t="str">
        <f>""</f>
        <v/>
      </c>
    </row>
    <row r="5373" spans="1:7" x14ac:dyDescent="0.25">
      <c r="A5373" t="s">
        <v>8</v>
      </c>
      <c r="B5373" s="1" t="str">
        <f>"000215445 - RICH PROD.   MEC SCHLS"</f>
        <v>000215445 - RICH PROD.   MEC SCHLS</v>
      </c>
      <c r="C5373" t="s">
        <v>1312</v>
      </c>
      <c r="D5373" s="1" t="str">
        <f t="shared" si="158"/>
        <v>PRG-1027958</v>
      </c>
      <c r="E5373" t="s">
        <v>46</v>
      </c>
      <c r="F5373" t="s">
        <v>4</v>
      </c>
      <c r="G5373" t="str">
        <f>""</f>
        <v/>
      </c>
    </row>
    <row r="5374" spans="1:7" x14ac:dyDescent="0.25">
      <c r="A5374" t="s">
        <v>8</v>
      </c>
      <c r="B5374" s="1" t="str">
        <f>"000215784 - RICHS BRD&amp;ROLL CORE BB-SODEXO"</f>
        <v>000215784 - RICHS BRD&amp;ROLL CORE BB-SODEXO</v>
      </c>
      <c r="C5374" t="s">
        <v>568</v>
      </c>
      <c r="D5374" s="1" t="str">
        <f t="shared" si="158"/>
        <v>PRG-1027958</v>
      </c>
      <c r="E5374" t="s">
        <v>46</v>
      </c>
      <c r="F5374" t="s">
        <v>4</v>
      </c>
      <c r="G5374" t="str">
        <f>""</f>
        <v/>
      </c>
    </row>
    <row r="5375" spans="1:7" x14ac:dyDescent="0.25">
      <c r="A5375" t="s">
        <v>8</v>
      </c>
      <c r="B5375" s="1" t="str">
        <f>"000215785 - RICHS BRD&amp;ROLL NCORE BB-SODEXO"</f>
        <v>000215785 - RICHS BRD&amp;ROLL NCORE BB-SODEXO</v>
      </c>
      <c r="C5375" t="s">
        <v>569</v>
      </c>
      <c r="D5375" s="1" t="str">
        <f t="shared" si="158"/>
        <v>PRG-1027958</v>
      </c>
      <c r="E5375" t="s">
        <v>46</v>
      </c>
      <c r="F5375" t="s">
        <v>4</v>
      </c>
      <c r="G5375" t="str">
        <f>""</f>
        <v/>
      </c>
    </row>
    <row r="5376" spans="1:7" x14ac:dyDescent="0.25">
      <c r="A5376" t="s">
        <v>8</v>
      </c>
      <c r="B5376" s="1" t="str">
        <f>"000217019 - RICH BREAD &amp; ROLLS-SODEXO"</f>
        <v>000217019 - RICH BREAD &amp; ROLLS-SODEXO</v>
      </c>
      <c r="C5376" t="s">
        <v>141</v>
      </c>
      <c r="D5376" s="1" t="str">
        <f t="shared" si="158"/>
        <v>PRG-1027958</v>
      </c>
      <c r="E5376" t="s">
        <v>46</v>
      </c>
      <c r="F5376" t="s">
        <v>4</v>
      </c>
      <c r="G5376" t="str">
        <f>""</f>
        <v/>
      </c>
    </row>
    <row r="5377" spans="1:7" x14ac:dyDescent="0.25">
      <c r="A5377" t="s">
        <v>8</v>
      </c>
      <c r="B5377" s="1" t="str">
        <f>"000217558 - RICH BREAD &amp; ROLLS-SODEXO"</f>
        <v>000217558 - RICH BREAD &amp; ROLLS-SODEXO</v>
      </c>
      <c r="C5377" t="s">
        <v>141</v>
      </c>
      <c r="D5377" s="1" t="str">
        <f t="shared" si="158"/>
        <v>PRG-1027958</v>
      </c>
      <c r="E5377" t="s">
        <v>46</v>
      </c>
      <c r="F5377" t="s">
        <v>4</v>
      </c>
      <c r="G5377" t="str">
        <f>""</f>
        <v/>
      </c>
    </row>
    <row r="5378" spans="1:7" x14ac:dyDescent="0.25">
      <c r="A5378" t="s">
        <v>8</v>
      </c>
      <c r="B5378" s="1" t="str">
        <f>"000218495 - RICHS BREAD &amp; ROLLS-SODEXO"</f>
        <v>000218495 - RICHS BREAD &amp; ROLLS-SODEXO</v>
      </c>
      <c r="C5378" t="s">
        <v>135</v>
      </c>
      <c r="D5378" s="1" t="str">
        <f t="shared" si="158"/>
        <v>PRG-1027958</v>
      </c>
      <c r="E5378" t="s">
        <v>46</v>
      </c>
      <c r="F5378" t="s">
        <v>4</v>
      </c>
      <c r="G5378" t="str">
        <f>""</f>
        <v/>
      </c>
    </row>
    <row r="5379" spans="1:7" x14ac:dyDescent="0.25">
      <c r="A5379" t="s">
        <v>8</v>
      </c>
      <c r="B5379" s="1" t="str">
        <f>"000220147 - RICH BREAD &amp; ROLLS-SODEXO"</f>
        <v>000220147 - RICH BREAD &amp; ROLLS-SODEXO</v>
      </c>
      <c r="C5379" t="s">
        <v>141</v>
      </c>
      <c r="D5379" s="1" t="str">
        <f t="shared" si="158"/>
        <v>PRG-1027958</v>
      </c>
      <c r="E5379" t="s">
        <v>46</v>
      </c>
      <c r="F5379" t="s">
        <v>4</v>
      </c>
      <c r="G5379" t="str">
        <f>""</f>
        <v/>
      </c>
    </row>
    <row r="5380" spans="1:7" x14ac:dyDescent="0.25">
      <c r="A5380" t="s">
        <v>8</v>
      </c>
      <c r="B5380" s="1" t="str">
        <f>"000220646 - RICH BREAD &amp; ROLLS-SODEXO"</f>
        <v>000220646 - RICH BREAD &amp; ROLLS-SODEXO</v>
      </c>
      <c r="C5380" t="s">
        <v>141</v>
      </c>
      <c r="D5380" s="1" t="str">
        <f t="shared" si="158"/>
        <v>PRG-1027958</v>
      </c>
      <c r="E5380" t="s">
        <v>46</v>
      </c>
      <c r="F5380" t="s">
        <v>4</v>
      </c>
      <c r="G5380" t="str">
        <f>""</f>
        <v/>
      </c>
    </row>
    <row r="5381" spans="1:7" x14ac:dyDescent="0.25">
      <c r="A5381" t="s">
        <v>8</v>
      </c>
      <c r="B5381" s="1" t="str">
        <f>"000220840 - RICHS BREAD &amp; ROLLS-SODEXO"</f>
        <v>000220840 - RICHS BREAD &amp; ROLLS-SODEXO</v>
      </c>
      <c r="C5381" t="s">
        <v>135</v>
      </c>
      <c r="D5381" s="1" t="str">
        <f t="shared" si="158"/>
        <v>PRG-1027958</v>
      </c>
      <c r="E5381" t="s">
        <v>46</v>
      </c>
      <c r="F5381" t="s">
        <v>4</v>
      </c>
      <c r="G5381" t="str">
        <f>""</f>
        <v/>
      </c>
    </row>
    <row r="5382" spans="1:7" x14ac:dyDescent="0.25">
      <c r="A5382" t="s">
        <v>8</v>
      </c>
      <c r="B5382" s="1" t="str">
        <f>"000221278 - RICHS BREAD &amp; ROLL BB-SODEXO"</f>
        <v>000221278 - RICHS BREAD &amp; ROLL BB-SODEXO</v>
      </c>
      <c r="C5382" t="s">
        <v>566</v>
      </c>
      <c r="D5382" s="1" t="str">
        <f t="shared" si="158"/>
        <v>PRG-1027958</v>
      </c>
      <c r="E5382" t="s">
        <v>46</v>
      </c>
      <c r="F5382" t="s">
        <v>4</v>
      </c>
      <c r="G5382" t="str">
        <f>""</f>
        <v/>
      </c>
    </row>
    <row r="5383" spans="1:7" x14ac:dyDescent="0.25">
      <c r="A5383" t="s">
        <v>8</v>
      </c>
      <c r="B5383" s="1" t="str">
        <f>"000221536 - RICH BREAD &amp; ROLLS-SODEXO"</f>
        <v>000221536 - RICH BREAD &amp; ROLLS-SODEXO</v>
      </c>
      <c r="C5383" t="s">
        <v>141</v>
      </c>
      <c r="D5383" s="1" t="str">
        <f t="shared" si="158"/>
        <v>PRG-1027958</v>
      </c>
      <c r="E5383" t="s">
        <v>46</v>
      </c>
      <c r="F5383" t="s">
        <v>4</v>
      </c>
      <c r="G5383" t="str">
        <f>""</f>
        <v/>
      </c>
    </row>
    <row r="5384" spans="1:7" x14ac:dyDescent="0.25">
      <c r="A5384" t="s">
        <v>8</v>
      </c>
      <c r="B5384" s="1" t="str">
        <f>"000221698 - RICHS BRD&amp;ROLL CORE BB-SODEXO"</f>
        <v>000221698 - RICHS BRD&amp;ROLL CORE BB-SODEXO</v>
      </c>
      <c r="C5384" t="s">
        <v>568</v>
      </c>
      <c r="D5384" s="1" t="str">
        <f t="shared" si="158"/>
        <v>PRG-1027958</v>
      </c>
      <c r="E5384" t="s">
        <v>46</v>
      </c>
      <c r="F5384" t="s">
        <v>4</v>
      </c>
      <c r="G5384" t="str">
        <f>""</f>
        <v/>
      </c>
    </row>
    <row r="5385" spans="1:7" x14ac:dyDescent="0.25">
      <c r="A5385" t="s">
        <v>8</v>
      </c>
      <c r="B5385" s="1" t="str">
        <f>"000221699 - RICHS BRD&amp;ROLL NCORE BB-SODEXO"</f>
        <v>000221699 - RICHS BRD&amp;ROLL NCORE BB-SODEXO</v>
      </c>
      <c r="C5385" t="s">
        <v>569</v>
      </c>
      <c r="D5385" s="1" t="str">
        <f t="shared" si="158"/>
        <v>PRG-1027958</v>
      </c>
      <c r="E5385" t="s">
        <v>46</v>
      </c>
      <c r="F5385" t="s">
        <v>4</v>
      </c>
      <c r="G5385" t="str">
        <f>""</f>
        <v/>
      </c>
    </row>
    <row r="5386" spans="1:7" x14ac:dyDescent="0.25">
      <c r="A5386" t="s">
        <v>8</v>
      </c>
      <c r="B5386" s="1" t="str">
        <f>"000222586 - RICH BREAD &amp; ROLLS-SOD RETRO"</f>
        <v>000222586 - RICH BREAD &amp; ROLLS-SOD RETRO</v>
      </c>
      <c r="C5386" t="s">
        <v>1627</v>
      </c>
      <c r="D5386" s="1" t="str">
        <f t="shared" si="158"/>
        <v>PRG-1027958</v>
      </c>
      <c r="E5386" t="s">
        <v>46</v>
      </c>
      <c r="F5386" t="s">
        <v>4</v>
      </c>
      <c r="G5386" t="str">
        <f>""</f>
        <v/>
      </c>
    </row>
    <row r="5387" spans="1:7" x14ac:dyDescent="0.25">
      <c r="A5387" t="s">
        <v>8</v>
      </c>
      <c r="B5387" s="1" t="str">
        <f>"000222642 - RICHS BREAD &amp; ROLLS-SODEXO"</f>
        <v>000222642 - RICHS BREAD &amp; ROLLS-SODEXO</v>
      </c>
      <c r="C5387" t="s">
        <v>135</v>
      </c>
      <c r="D5387" s="1" t="str">
        <f t="shared" si="158"/>
        <v>PRG-1027958</v>
      </c>
      <c r="E5387" t="s">
        <v>46</v>
      </c>
      <c r="F5387" t="s">
        <v>4</v>
      </c>
      <c r="G5387" t="str">
        <f>""</f>
        <v/>
      </c>
    </row>
    <row r="5388" spans="1:7" x14ac:dyDescent="0.25">
      <c r="A5388" t="s">
        <v>8</v>
      </c>
      <c r="B5388" s="1" t="str">
        <f>"000222827 - RICH BREAD &amp; ROLLS-SODEXO"</f>
        <v>000222827 - RICH BREAD &amp; ROLLS-SODEXO</v>
      </c>
      <c r="C5388" t="s">
        <v>141</v>
      </c>
      <c r="D5388" s="1" t="str">
        <f t="shared" si="158"/>
        <v>PRG-1027958</v>
      </c>
      <c r="E5388" t="s">
        <v>46</v>
      </c>
      <c r="F5388" t="s">
        <v>4</v>
      </c>
      <c r="G5388" t="str">
        <f>""</f>
        <v/>
      </c>
    </row>
    <row r="5389" spans="1:7" x14ac:dyDescent="0.25">
      <c r="A5389" t="s">
        <v>8</v>
      </c>
      <c r="B5389" s="1" t="str">
        <f>"000223689 - RICHS BREAD &amp; ROLLS-SODEXO"</f>
        <v>000223689 - RICHS BREAD &amp; ROLLS-SODEXO</v>
      </c>
      <c r="C5389" t="s">
        <v>135</v>
      </c>
      <c r="D5389" s="1" t="str">
        <f t="shared" si="158"/>
        <v>PRG-1027958</v>
      </c>
      <c r="E5389" t="s">
        <v>46</v>
      </c>
      <c r="F5389" t="s">
        <v>4</v>
      </c>
      <c r="G5389" t="str">
        <f>""</f>
        <v/>
      </c>
    </row>
    <row r="5390" spans="1:7" x14ac:dyDescent="0.25">
      <c r="A5390" t="s">
        <v>8</v>
      </c>
      <c r="B5390" s="1" t="str">
        <f>"000223929 - RICHS BREAD &amp; ROLL BB-SODEXO"</f>
        <v>000223929 - RICHS BREAD &amp; ROLL BB-SODEXO</v>
      </c>
      <c r="C5390" t="s">
        <v>566</v>
      </c>
      <c r="D5390" s="1" t="str">
        <f t="shared" si="158"/>
        <v>PRG-1027958</v>
      </c>
      <c r="E5390" t="s">
        <v>46</v>
      </c>
      <c r="F5390" t="s">
        <v>4</v>
      </c>
      <c r="G5390" t="str">
        <f>""</f>
        <v/>
      </c>
    </row>
    <row r="5391" spans="1:7" x14ac:dyDescent="0.25">
      <c r="A5391" t="s">
        <v>8</v>
      </c>
      <c r="B5391" s="1" t="str">
        <f>"000224269 - RICHS BRD&amp;ROLL CORE BB-SODEXO"</f>
        <v>000224269 - RICHS BRD&amp;ROLL CORE BB-SODEXO</v>
      </c>
      <c r="C5391" t="s">
        <v>568</v>
      </c>
      <c r="D5391" s="1" t="str">
        <f t="shared" si="158"/>
        <v>PRG-1027958</v>
      </c>
      <c r="E5391" t="s">
        <v>46</v>
      </c>
      <c r="F5391" t="s">
        <v>4</v>
      </c>
      <c r="G5391" t="str">
        <f>""</f>
        <v/>
      </c>
    </row>
    <row r="5392" spans="1:7" x14ac:dyDescent="0.25">
      <c r="A5392" t="s">
        <v>8</v>
      </c>
      <c r="B5392" s="1" t="str">
        <f>"000224270 - RICHS BRD&amp;ROLL NCORE BB-SODEXO"</f>
        <v>000224270 - RICHS BRD&amp;ROLL NCORE BB-SODEXO</v>
      </c>
      <c r="C5392" t="s">
        <v>569</v>
      </c>
      <c r="D5392" s="1" t="str">
        <f t="shared" si="158"/>
        <v>PRG-1027958</v>
      </c>
      <c r="E5392" t="s">
        <v>46</v>
      </c>
      <c r="F5392" t="s">
        <v>4</v>
      </c>
      <c r="G5392" t="str">
        <f>""</f>
        <v/>
      </c>
    </row>
    <row r="5393" spans="1:7" x14ac:dyDescent="0.25">
      <c r="A5393" t="s">
        <v>8</v>
      </c>
      <c r="B5393" s="1" t="str">
        <f>"000224526 - RICHS BREAD &amp; ROLLS-SODEXO"</f>
        <v>000224526 - RICHS BREAD &amp; ROLLS-SODEXO</v>
      </c>
      <c r="C5393" t="s">
        <v>135</v>
      </c>
      <c r="D5393" s="1" t="str">
        <f t="shared" si="158"/>
        <v>PRG-1027958</v>
      </c>
      <c r="E5393" t="s">
        <v>46</v>
      </c>
      <c r="F5393" t="s">
        <v>4</v>
      </c>
      <c r="G5393" t="str">
        <f>""</f>
        <v/>
      </c>
    </row>
    <row r="5394" spans="1:7" x14ac:dyDescent="0.25">
      <c r="A5394" t="s">
        <v>8</v>
      </c>
      <c r="B5394" s="1" t="str">
        <f>"000224976 - VOID H BREAD &amp; ROLL BB-SODEXO"</f>
        <v>000224976 - VOID H BREAD &amp; ROLL BB-SODEXO</v>
      </c>
      <c r="C5394" t="s">
        <v>564</v>
      </c>
      <c r="D5394" s="1" t="str">
        <f t="shared" si="158"/>
        <v>PRG-1027958</v>
      </c>
      <c r="E5394" t="s">
        <v>46</v>
      </c>
      <c r="F5394" t="s">
        <v>4</v>
      </c>
      <c r="G5394" t="str">
        <f>""</f>
        <v/>
      </c>
    </row>
    <row r="5395" spans="1:7" x14ac:dyDescent="0.25">
      <c r="A5395" t="s">
        <v>8</v>
      </c>
      <c r="B5395" s="1" t="str">
        <f>"000225368 - RICHS BRD&amp;ROLL CORE BB-SODEXO"</f>
        <v>000225368 - RICHS BRD&amp;ROLL CORE BB-SODEXO</v>
      </c>
      <c r="C5395" t="s">
        <v>568</v>
      </c>
      <c r="D5395" s="1" t="str">
        <f t="shared" si="158"/>
        <v>PRG-1027958</v>
      </c>
      <c r="E5395" t="s">
        <v>46</v>
      </c>
      <c r="F5395" t="s">
        <v>4</v>
      </c>
      <c r="G5395" t="str">
        <f>""</f>
        <v/>
      </c>
    </row>
    <row r="5396" spans="1:7" x14ac:dyDescent="0.25">
      <c r="A5396" t="s">
        <v>8</v>
      </c>
      <c r="B5396" s="1" t="str">
        <f>"000225369 - RICHS BRD&amp;ROLL NCORE BB-SODEXO"</f>
        <v>000225369 - RICHS BRD&amp;ROLL NCORE BB-SODEXO</v>
      </c>
      <c r="C5396" t="s">
        <v>569</v>
      </c>
      <c r="D5396" s="1" t="str">
        <f t="shared" si="158"/>
        <v>PRG-1027958</v>
      </c>
      <c r="E5396" t="s">
        <v>46</v>
      </c>
      <c r="F5396" t="s">
        <v>4</v>
      </c>
      <c r="G5396" t="str">
        <f>""</f>
        <v/>
      </c>
    </row>
    <row r="5397" spans="1:7" x14ac:dyDescent="0.25">
      <c r="A5397" t="s">
        <v>8</v>
      </c>
      <c r="B5397" s="1" t="str">
        <f>"000225574 - RICH BREAD &amp; ROLLS-SODEXO"</f>
        <v>000225574 - RICH BREAD &amp; ROLLS-SODEXO</v>
      </c>
      <c r="C5397" t="s">
        <v>141</v>
      </c>
      <c r="D5397" s="1" t="str">
        <f t="shared" si="158"/>
        <v>PRG-1027958</v>
      </c>
      <c r="E5397" t="s">
        <v>46</v>
      </c>
      <c r="F5397" t="s">
        <v>4</v>
      </c>
      <c r="G5397" t="str">
        <f>""</f>
        <v/>
      </c>
    </row>
    <row r="5398" spans="1:7" x14ac:dyDescent="0.25">
      <c r="A5398" t="s">
        <v>8</v>
      </c>
      <c r="B5398" s="1" t="str">
        <f>"000225656 - RICHS BREAD &amp; ROLLS-SODEXO"</f>
        <v>000225656 - RICHS BREAD &amp; ROLLS-SODEXO</v>
      </c>
      <c r="C5398" t="s">
        <v>135</v>
      </c>
      <c r="D5398" s="1" t="str">
        <f t="shared" si="158"/>
        <v>PRG-1027958</v>
      </c>
      <c r="E5398" t="s">
        <v>46</v>
      </c>
      <c r="F5398" t="s">
        <v>4</v>
      </c>
      <c r="G5398" t="str">
        <f>""</f>
        <v/>
      </c>
    </row>
    <row r="5399" spans="1:7" x14ac:dyDescent="0.25">
      <c r="A5399" t="s">
        <v>8</v>
      </c>
      <c r="B5399" s="1" t="str">
        <f>"000226104 - VOID H BREAD &amp; ROLL BB-SODEXO"</f>
        <v>000226104 - VOID H BREAD &amp; ROLL BB-SODEXO</v>
      </c>
      <c r="C5399" t="s">
        <v>564</v>
      </c>
      <c r="D5399" s="1" t="str">
        <f t="shared" si="158"/>
        <v>PRG-1027958</v>
      </c>
      <c r="E5399" t="s">
        <v>46</v>
      </c>
      <c r="F5399" t="s">
        <v>4</v>
      </c>
      <c r="G5399" t="str">
        <f>""</f>
        <v/>
      </c>
    </row>
    <row r="5400" spans="1:7" x14ac:dyDescent="0.25">
      <c r="A5400" t="s">
        <v>8</v>
      </c>
      <c r="B5400" s="1" t="str">
        <f>"000226157 - RICHS BREAD &amp; ROLL BB-SODEXO"</f>
        <v>000226157 - RICHS BREAD &amp; ROLL BB-SODEXO</v>
      </c>
      <c r="C5400" t="s">
        <v>566</v>
      </c>
      <c r="D5400" s="1" t="str">
        <f t="shared" si="158"/>
        <v>PRG-1027958</v>
      </c>
      <c r="E5400" t="s">
        <v>46</v>
      </c>
      <c r="F5400" t="s">
        <v>4</v>
      </c>
      <c r="G5400" t="str">
        <f>""</f>
        <v/>
      </c>
    </row>
    <row r="5401" spans="1:7" x14ac:dyDescent="0.25">
      <c r="A5401" t="s">
        <v>8</v>
      </c>
      <c r="B5401" s="1" t="str">
        <f>"000226200 - RICH BREAD &amp; ROLLS-SODEXO"</f>
        <v>000226200 - RICH BREAD &amp; ROLLS-SODEXO</v>
      </c>
      <c r="C5401" t="s">
        <v>141</v>
      </c>
      <c r="D5401" s="1" t="str">
        <f t="shared" si="158"/>
        <v>PRG-1027958</v>
      </c>
      <c r="E5401" t="s">
        <v>46</v>
      </c>
      <c r="F5401" t="s">
        <v>4</v>
      </c>
      <c r="G5401" t="str">
        <f>""</f>
        <v/>
      </c>
    </row>
    <row r="5402" spans="1:7" x14ac:dyDescent="0.25">
      <c r="A5402" t="s">
        <v>8</v>
      </c>
      <c r="B5402" s="1" t="str">
        <f>"000226498 - RICHS BRD&amp;ROLL CORE BB-SODEXO"</f>
        <v>000226498 - RICHS BRD&amp;ROLL CORE BB-SODEXO</v>
      </c>
      <c r="C5402" t="s">
        <v>568</v>
      </c>
      <c r="D5402" s="1" t="str">
        <f t="shared" si="158"/>
        <v>PRG-1027958</v>
      </c>
      <c r="E5402" t="s">
        <v>46</v>
      </c>
      <c r="F5402" t="s">
        <v>4</v>
      </c>
      <c r="G5402" t="str">
        <f>""</f>
        <v/>
      </c>
    </row>
    <row r="5403" spans="1:7" x14ac:dyDescent="0.25">
      <c r="A5403" t="s">
        <v>8</v>
      </c>
      <c r="B5403" s="1" t="str">
        <f>"000226499 - RICHS BRD&amp;ROLL NCORE BB-SODEXO"</f>
        <v>000226499 - RICHS BRD&amp;ROLL NCORE BB-SODEXO</v>
      </c>
      <c r="C5403" t="s">
        <v>569</v>
      </c>
      <c r="D5403" s="1" t="str">
        <f t="shared" si="158"/>
        <v>PRG-1027958</v>
      </c>
      <c r="E5403" t="s">
        <v>46</v>
      </c>
      <c r="F5403" t="s">
        <v>4</v>
      </c>
      <c r="G5403" t="str">
        <f>""</f>
        <v/>
      </c>
    </row>
    <row r="5404" spans="1:7" x14ac:dyDescent="0.25">
      <c r="A5404" t="s">
        <v>8</v>
      </c>
      <c r="B5404" s="1" t="str">
        <f>"000226631 - VOID H BREAD &amp; ROLL BB-SODEXO"</f>
        <v>000226631 - VOID H BREAD &amp; ROLL BB-SODEXO</v>
      </c>
      <c r="C5404" t="s">
        <v>564</v>
      </c>
      <c r="D5404" s="1" t="str">
        <f t="shared" si="158"/>
        <v>PRG-1027958</v>
      </c>
      <c r="E5404" t="s">
        <v>46</v>
      </c>
      <c r="F5404" t="s">
        <v>4</v>
      </c>
      <c r="G5404" t="str">
        <f>""</f>
        <v/>
      </c>
    </row>
    <row r="5405" spans="1:7" x14ac:dyDescent="0.25">
      <c r="A5405" t="s">
        <v>8</v>
      </c>
      <c r="B5405" s="1" t="str">
        <f>"000226673 - RICHS BREAD &amp; ROLL BB-SODEXO"</f>
        <v>000226673 - RICHS BREAD &amp; ROLL BB-SODEXO</v>
      </c>
      <c r="C5405" t="s">
        <v>566</v>
      </c>
      <c r="D5405" s="1" t="str">
        <f t="shared" si="158"/>
        <v>PRG-1027958</v>
      </c>
      <c r="E5405" t="s">
        <v>46</v>
      </c>
      <c r="F5405" t="s">
        <v>4</v>
      </c>
      <c r="G5405" t="str">
        <f>""</f>
        <v/>
      </c>
    </row>
    <row r="5406" spans="1:7" x14ac:dyDescent="0.25">
      <c r="A5406" t="s">
        <v>8</v>
      </c>
      <c r="B5406" s="1" t="str">
        <f>"000226945 - RICHS BRD&amp;ROLL CORE BB-SODEXO"</f>
        <v>000226945 - RICHS BRD&amp;ROLL CORE BB-SODEXO</v>
      </c>
      <c r="C5406" t="s">
        <v>568</v>
      </c>
      <c r="D5406" s="1" t="str">
        <f t="shared" si="158"/>
        <v>PRG-1027958</v>
      </c>
      <c r="E5406" t="s">
        <v>46</v>
      </c>
      <c r="F5406" t="s">
        <v>4</v>
      </c>
      <c r="G5406" t="str">
        <f>""</f>
        <v/>
      </c>
    </row>
    <row r="5407" spans="1:7" x14ac:dyDescent="0.25">
      <c r="A5407" t="s">
        <v>8</v>
      </c>
      <c r="B5407" s="1" t="str">
        <f>"000226946 - RICHS BRD&amp;ROLL NCORE BB-SODEXO"</f>
        <v>000226946 - RICHS BRD&amp;ROLL NCORE BB-SODEXO</v>
      </c>
      <c r="C5407" t="s">
        <v>569</v>
      </c>
      <c r="D5407" s="1" t="str">
        <f t="shared" si="158"/>
        <v>PRG-1027958</v>
      </c>
      <c r="E5407" t="s">
        <v>46</v>
      </c>
      <c r="F5407" t="s">
        <v>4</v>
      </c>
      <c r="G5407" t="str">
        <f>""</f>
        <v/>
      </c>
    </row>
    <row r="5408" spans="1:7" x14ac:dyDescent="0.25">
      <c r="A5408" t="s">
        <v>8</v>
      </c>
      <c r="B5408" s="1" t="str">
        <f>"000227884 - VOID H BREAD &amp; ROLL BB-SODEXO"</f>
        <v>000227884 - VOID H BREAD &amp; ROLL BB-SODEXO</v>
      </c>
      <c r="C5408" t="s">
        <v>564</v>
      </c>
      <c r="D5408" s="1" t="str">
        <f t="shared" si="158"/>
        <v>PRG-1027958</v>
      </c>
      <c r="E5408" t="s">
        <v>46</v>
      </c>
      <c r="F5408" t="s">
        <v>4</v>
      </c>
      <c r="G5408" t="str">
        <f>""</f>
        <v/>
      </c>
    </row>
    <row r="5409" spans="1:7" x14ac:dyDescent="0.25">
      <c r="A5409" t="s">
        <v>8</v>
      </c>
      <c r="B5409" s="1" t="str">
        <f>"000227935 - RICHS BREAD &amp; ROLL BB-SODEXO"</f>
        <v>000227935 - RICHS BREAD &amp; ROLL BB-SODEXO</v>
      </c>
      <c r="C5409" t="s">
        <v>566</v>
      </c>
      <c r="D5409" s="1" t="str">
        <f t="shared" si="158"/>
        <v>PRG-1027958</v>
      </c>
      <c r="E5409" t="s">
        <v>46</v>
      </c>
      <c r="F5409" t="s">
        <v>4</v>
      </c>
      <c r="G5409" t="str">
        <f>""</f>
        <v/>
      </c>
    </row>
    <row r="5410" spans="1:7" x14ac:dyDescent="0.25">
      <c r="A5410" t="s">
        <v>8</v>
      </c>
      <c r="B5410" s="1" t="str">
        <f>"000228254 - RICHS BRD&amp;ROLL CORE BB-SODEXO"</f>
        <v>000228254 - RICHS BRD&amp;ROLL CORE BB-SODEXO</v>
      </c>
      <c r="C5410" t="s">
        <v>568</v>
      </c>
      <c r="D5410" s="1" t="str">
        <f t="shared" si="158"/>
        <v>PRG-1027958</v>
      </c>
      <c r="E5410" t="s">
        <v>46</v>
      </c>
      <c r="F5410" t="s">
        <v>4</v>
      </c>
      <c r="G5410" t="str">
        <f>""</f>
        <v/>
      </c>
    </row>
    <row r="5411" spans="1:7" x14ac:dyDescent="0.25">
      <c r="A5411" t="s">
        <v>8</v>
      </c>
      <c r="B5411" s="1" t="str">
        <f>"000228255 - RICHS BRD&amp;ROLL NCORE BB-SODEXO"</f>
        <v>000228255 - RICHS BRD&amp;ROLL NCORE BB-SODEXO</v>
      </c>
      <c r="C5411" t="s">
        <v>569</v>
      </c>
      <c r="D5411" s="1" t="str">
        <f t="shared" si="158"/>
        <v>PRG-1027958</v>
      </c>
      <c r="E5411" t="s">
        <v>46</v>
      </c>
      <c r="F5411" t="s">
        <v>4</v>
      </c>
      <c r="G5411" t="str">
        <f>""</f>
        <v/>
      </c>
    </row>
    <row r="5412" spans="1:7" x14ac:dyDescent="0.25">
      <c r="A5412" t="s">
        <v>8</v>
      </c>
      <c r="B5412" s="1" t="str">
        <f>"000228558 - RICHS BREAD &amp; ROLLS-SODEXO"</f>
        <v>000228558 - RICHS BREAD &amp; ROLLS-SODEXO</v>
      </c>
      <c r="C5412" t="s">
        <v>135</v>
      </c>
      <c r="D5412" s="1" t="str">
        <f t="shared" si="158"/>
        <v>PRG-1027958</v>
      </c>
      <c r="E5412" t="s">
        <v>46</v>
      </c>
      <c r="F5412" t="s">
        <v>4</v>
      </c>
      <c r="G5412" t="str">
        <f>""</f>
        <v/>
      </c>
    </row>
    <row r="5413" spans="1:7" x14ac:dyDescent="0.25">
      <c r="A5413" t="s">
        <v>8</v>
      </c>
      <c r="B5413" s="1" t="str">
        <f>"000229148 - RICHS BREAD &amp; ROLLS-SODEXO"</f>
        <v>000229148 - RICHS BREAD &amp; ROLLS-SODEXO</v>
      </c>
      <c r="C5413" t="s">
        <v>135</v>
      </c>
      <c r="D5413" s="1" t="str">
        <f t="shared" si="158"/>
        <v>PRG-1027958</v>
      </c>
      <c r="E5413" t="s">
        <v>46</v>
      </c>
      <c r="F5413" t="s">
        <v>4</v>
      </c>
      <c r="G5413" t="str">
        <f>""</f>
        <v/>
      </c>
    </row>
    <row r="5414" spans="1:7" x14ac:dyDescent="0.25">
      <c r="A5414" t="s">
        <v>8</v>
      </c>
      <c r="B5414" s="1" t="str">
        <f>"000230821 - RICH BREAD &amp; ROLLS-SODEXO"</f>
        <v>000230821 - RICH BREAD &amp; ROLLS-SODEXO</v>
      </c>
      <c r="C5414" t="s">
        <v>141</v>
      </c>
      <c r="D5414" s="1" t="str">
        <f t="shared" si="158"/>
        <v>PRG-1027958</v>
      </c>
      <c r="E5414" t="s">
        <v>46</v>
      </c>
      <c r="F5414" t="s">
        <v>4</v>
      </c>
      <c r="G5414" t="str">
        <f>""</f>
        <v/>
      </c>
    </row>
    <row r="5415" spans="1:7" x14ac:dyDescent="0.25">
      <c r="A5415" t="s">
        <v>8</v>
      </c>
      <c r="B5415" s="1" t="str">
        <f>"000231178 - RICH BREAD &amp; ROLLS-SODEXO"</f>
        <v>000231178 - RICH BREAD &amp; ROLLS-SODEXO</v>
      </c>
      <c r="C5415" t="s">
        <v>141</v>
      </c>
      <c r="D5415" s="1" t="str">
        <f t="shared" si="158"/>
        <v>PRG-1027958</v>
      </c>
      <c r="E5415" t="s">
        <v>46</v>
      </c>
      <c r="F5415" t="s">
        <v>4</v>
      </c>
      <c r="G5415" t="str">
        <f>""</f>
        <v/>
      </c>
    </row>
    <row r="5416" spans="1:7" x14ac:dyDescent="0.25">
      <c r="A5416" t="s">
        <v>8</v>
      </c>
      <c r="B5416" s="1" t="str">
        <f>"000231688 - VOID H BREAD &amp; ROLL BB-SODEXO"</f>
        <v>000231688 - VOID H BREAD &amp; ROLL BB-SODEXO</v>
      </c>
      <c r="C5416" t="s">
        <v>564</v>
      </c>
      <c r="D5416" s="1" t="str">
        <f t="shared" si="158"/>
        <v>PRG-1027958</v>
      </c>
      <c r="E5416" t="s">
        <v>46</v>
      </c>
      <c r="F5416" t="s">
        <v>4</v>
      </c>
      <c r="G5416" t="str">
        <f>""</f>
        <v/>
      </c>
    </row>
    <row r="5417" spans="1:7" x14ac:dyDescent="0.25">
      <c r="A5417" t="s">
        <v>8</v>
      </c>
      <c r="B5417" s="1" t="str">
        <f>"000231764 - RICHS BREAD &amp; ROLL BB-SODEXO"</f>
        <v>000231764 - RICHS BREAD &amp; ROLL BB-SODEXO</v>
      </c>
      <c r="C5417" t="s">
        <v>566</v>
      </c>
      <c r="D5417" s="1" t="str">
        <f t="shared" si="158"/>
        <v>PRG-1027958</v>
      </c>
      <c r="E5417" t="s">
        <v>46</v>
      </c>
      <c r="F5417" t="s">
        <v>4</v>
      </c>
      <c r="G5417" t="str">
        <f>""</f>
        <v/>
      </c>
    </row>
    <row r="5418" spans="1:7" x14ac:dyDescent="0.25">
      <c r="A5418" t="s">
        <v>8</v>
      </c>
      <c r="B5418" s="1" t="str">
        <f>"000232081 - RICHS BRD&amp;ROLL CORE BB-SODEXO"</f>
        <v>000232081 - RICHS BRD&amp;ROLL CORE BB-SODEXO</v>
      </c>
      <c r="C5418" t="s">
        <v>568</v>
      </c>
      <c r="D5418" s="1" t="str">
        <f t="shared" si="158"/>
        <v>PRG-1027958</v>
      </c>
      <c r="E5418" t="s">
        <v>46</v>
      </c>
      <c r="F5418" t="s">
        <v>4</v>
      </c>
      <c r="G5418" t="str">
        <f>""</f>
        <v/>
      </c>
    </row>
    <row r="5419" spans="1:7" x14ac:dyDescent="0.25">
      <c r="A5419" t="s">
        <v>8</v>
      </c>
      <c r="B5419" s="1" t="str">
        <f>"000232082 - RICHS BRD&amp;ROLL NCORE BB-SODEXO"</f>
        <v>000232082 - RICHS BRD&amp;ROLL NCORE BB-SODEXO</v>
      </c>
      <c r="C5419" t="s">
        <v>569</v>
      </c>
      <c r="D5419" s="1" t="str">
        <f t="shared" si="158"/>
        <v>PRG-1027958</v>
      </c>
      <c r="E5419" t="s">
        <v>46</v>
      </c>
      <c r="F5419" t="s">
        <v>4</v>
      </c>
      <c r="G5419" t="str">
        <f>""</f>
        <v/>
      </c>
    </row>
    <row r="5420" spans="1:7" x14ac:dyDescent="0.25">
      <c r="A5420" t="s">
        <v>8</v>
      </c>
      <c r="B5420" s="1" t="str">
        <f>"000233906 - RICH BREAD &amp; ROLLS-SODEXO"</f>
        <v>000233906 - RICH BREAD &amp; ROLLS-SODEXO</v>
      </c>
      <c r="C5420" t="s">
        <v>141</v>
      </c>
      <c r="D5420" s="1" t="str">
        <f t="shared" ref="D5420:D5483" si="159">"PRG-1027958"</f>
        <v>PRG-1027958</v>
      </c>
      <c r="E5420" t="s">
        <v>46</v>
      </c>
      <c r="F5420" t="s">
        <v>4</v>
      </c>
      <c r="G5420" t="str">
        <f>""</f>
        <v/>
      </c>
    </row>
    <row r="5421" spans="1:7" x14ac:dyDescent="0.25">
      <c r="A5421" t="s">
        <v>8</v>
      </c>
      <c r="B5421" s="1" t="str">
        <f>"000234459 - RICHS BREAD &amp; ROLLS-SODEXO"</f>
        <v>000234459 - RICHS BREAD &amp; ROLLS-SODEXO</v>
      </c>
      <c r="C5421" t="s">
        <v>135</v>
      </c>
      <c r="D5421" s="1" t="str">
        <f t="shared" si="159"/>
        <v>PRG-1027958</v>
      </c>
      <c r="E5421" t="s">
        <v>46</v>
      </c>
      <c r="F5421" t="s">
        <v>4</v>
      </c>
      <c r="G5421" t="str">
        <f>""</f>
        <v/>
      </c>
    </row>
    <row r="5422" spans="1:7" x14ac:dyDescent="0.25">
      <c r="A5422" t="s">
        <v>8</v>
      </c>
      <c r="B5422" s="1" t="str">
        <f>"000235304 - RICHS BREAD &amp; ROLLS-SODEXO"</f>
        <v>000235304 - RICHS BREAD &amp; ROLLS-SODEXO</v>
      </c>
      <c r="C5422" t="s">
        <v>135</v>
      </c>
      <c r="D5422" s="1" t="str">
        <f t="shared" si="159"/>
        <v>PRG-1027958</v>
      </c>
      <c r="E5422" t="s">
        <v>46</v>
      </c>
      <c r="F5422" t="s">
        <v>4</v>
      </c>
      <c r="G5422" t="str">
        <f>""</f>
        <v/>
      </c>
    </row>
    <row r="5423" spans="1:7" x14ac:dyDescent="0.25">
      <c r="A5423" t="s">
        <v>8</v>
      </c>
      <c r="B5423" s="1" t="str">
        <f>"000236001 - RICH BREAD &amp; ROLLS-SODEXO"</f>
        <v>000236001 - RICH BREAD &amp; ROLLS-SODEXO</v>
      </c>
      <c r="C5423" t="s">
        <v>141</v>
      </c>
      <c r="D5423" s="1" t="str">
        <f t="shared" si="159"/>
        <v>PRG-1027958</v>
      </c>
      <c r="E5423" t="s">
        <v>46</v>
      </c>
      <c r="F5423" t="s">
        <v>4</v>
      </c>
      <c r="G5423" t="str">
        <f>""</f>
        <v/>
      </c>
    </row>
    <row r="5424" spans="1:7" x14ac:dyDescent="0.25">
      <c r="A5424" t="s">
        <v>8</v>
      </c>
      <c r="B5424" s="1" t="str">
        <f>"000236901 - VOID H BREAD &amp; ROLL BB-SODEXO"</f>
        <v>000236901 - VOID H BREAD &amp; ROLL BB-SODEXO</v>
      </c>
      <c r="C5424" t="s">
        <v>564</v>
      </c>
      <c r="D5424" s="1" t="str">
        <f t="shared" si="159"/>
        <v>PRG-1027958</v>
      </c>
      <c r="E5424" t="s">
        <v>46</v>
      </c>
      <c r="F5424" t="s">
        <v>4</v>
      </c>
      <c r="G5424" t="str">
        <f>""</f>
        <v/>
      </c>
    </row>
    <row r="5425" spans="1:7" x14ac:dyDescent="0.25">
      <c r="A5425" t="s">
        <v>8</v>
      </c>
      <c r="B5425" s="1" t="str">
        <f>"000236949 - RICHS BREAD &amp; ROLL BB-SODEXO"</f>
        <v>000236949 - RICHS BREAD &amp; ROLL BB-SODEXO</v>
      </c>
      <c r="C5425" t="s">
        <v>566</v>
      </c>
      <c r="D5425" s="1" t="str">
        <f t="shared" si="159"/>
        <v>PRG-1027958</v>
      </c>
      <c r="E5425" t="s">
        <v>46</v>
      </c>
      <c r="F5425" t="s">
        <v>4</v>
      </c>
      <c r="G5425" t="str">
        <f>""</f>
        <v/>
      </c>
    </row>
    <row r="5426" spans="1:7" x14ac:dyDescent="0.25">
      <c r="A5426" t="s">
        <v>8</v>
      </c>
      <c r="B5426" s="1" t="str">
        <f>"000237291 - RICHS BRD&amp;ROLL CORE BB-SODEXO"</f>
        <v>000237291 - RICHS BRD&amp;ROLL CORE BB-SODEXO</v>
      </c>
      <c r="C5426" t="s">
        <v>568</v>
      </c>
      <c r="D5426" s="1" t="str">
        <f t="shared" si="159"/>
        <v>PRG-1027958</v>
      </c>
      <c r="E5426" t="s">
        <v>46</v>
      </c>
      <c r="F5426" t="s">
        <v>4</v>
      </c>
      <c r="G5426" t="str">
        <f>""</f>
        <v/>
      </c>
    </row>
    <row r="5427" spans="1:7" x14ac:dyDescent="0.25">
      <c r="A5427" t="s">
        <v>8</v>
      </c>
      <c r="B5427" s="1" t="str">
        <f>"000237292 - RICHS BRD&amp;ROLL NCORE BB-SODEXO"</f>
        <v>000237292 - RICHS BRD&amp;ROLL NCORE BB-SODEXO</v>
      </c>
      <c r="C5427" t="s">
        <v>569</v>
      </c>
      <c r="D5427" s="1" t="str">
        <f t="shared" si="159"/>
        <v>PRG-1027958</v>
      </c>
      <c r="E5427" t="s">
        <v>46</v>
      </c>
      <c r="F5427" t="s">
        <v>4</v>
      </c>
      <c r="G5427" t="str">
        <f>""</f>
        <v/>
      </c>
    </row>
    <row r="5428" spans="1:7" x14ac:dyDescent="0.25">
      <c r="A5428" t="s">
        <v>8</v>
      </c>
      <c r="B5428" s="1" t="str">
        <f>"000237790 - RICH BREAD &amp; ROLLS-SODEXO"</f>
        <v>000237790 - RICH BREAD &amp; ROLLS-SODEXO</v>
      </c>
      <c r="C5428" t="s">
        <v>141</v>
      </c>
      <c r="D5428" s="1" t="str">
        <f t="shared" si="159"/>
        <v>PRG-1027958</v>
      </c>
      <c r="E5428" t="s">
        <v>46</v>
      </c>
      <c r="F5428" t="s">
        <v>4</v>
      </c>
      <c r="G5428" t="str">
        <f>""</f>
        <v/>
      </c>
    </row>
    <row r="5429" spans="1:7" x14ac:dyDescent="0.25">
      <c r="A5429" t="s">
        <v>8</v>
      </c>
      <c r="B5429" s="1" t="str">
        <f>"000238507 - RICH BREAD &amp; ROLLS-SODEXO"</f>
        <v>000238507 - RICH BREAD &amp; ROLLS-SODEXO</v>
      </c>
      <c r="C5429" t="s">
        <v>141</v>
      </c>
      <c r="D5429" s="1" t="str">
        <f t="shared" si="159"/>
        <v>PRG-1027958</v>
      </c>
      <c r="E5429" t="s">
        <v>46</v>
      </c>
      <c r="F5429" t="s">
        <v>4</v>
      </c>
      <c r="G5429" t="str">
        <f>""</f>
        <v/>
      </c>
    </row>
    <row r="5430" spans="1:7" x14ac:dyDescent="0.25">
      <c r="A5430" t="s">
        <v>8</v>
      </c>
      <c r="B5430" s="1" t="str">
        <f>"000238520 - VOID H BREAD &amp; ROLL BB-SODEXO"</f>
        <v>000238520 - VOID H BREAD &amp; ROLL BB-SODEXO</v>
      </c>
      <c r="C5430" t="s">
        <v>564</v>
      </c>
      <c r="D5430" s="1" t="str">
        <f t="shared" si="159"/>
        <v>PRG-1027958</v>
      </c>
      <c r="E5430" t="s">
        <v>46</v>
      </c>
      <c r="F5430" t="s">
        <v>4</v>
      </c>
      <c r="G5430" t="str">
        <f>""</f>
        <v/>
      </c>
    </row>
    <row r="5431" spans="1:7" x14ac:dyDescent="0.25">
      <c r="A5431" t="s">
        <v>8</v>
      </c>
      <c r="B5431" s="1" t="str">
        <f>"000238595 - RICHS BREAD &amp; ROLL BB-SODEXO"</f>
        <v>000238595 - RICHS BREAD &amp; ROLL BB-SODEXO</v>
      </c>
      <c r="C5431" t="s">
        <v>566</v>
      </c>
      <c r="D5431" s="1" t="str">
        <f t="shared" si="159"/>
        <v>PRG-1027958</v>
      </c>
      <c r="E5431" t="s">
        <v>46</v>
      </c>
      <c r="F5431" t="s">
        <v>4</v>
      </c>
      <c r="G5431" t="str">
        <f>""</f>
        <v/>
      </c>
    </row>
    <row r="5432" spans="1:7" x14ac:dyDescent="0.25">
      <c r="A5432" t="s">
        <v>8</v>
      </c>
      <c r="B5432" s="1" t="str">
        <f>"000238920 - RICHS BREAD &amp; ROLLS-SODEXO"</f>
        <v>000238920 - RICHS BREAD &amp; ROLLS-SODEXO</v>
      </c>
      <c r="C5432" t="s">
        <v>135</v>
      </c>
      <c r="D5432" s="1" t="str">
        <f t="shared" si="159"/>
        <v>PRG-1027958</v>
      </c>
      <c r="E5432" t="s">
        <v>46</v>
      </c>
      <c r="F5432" t="s">
        <v>4</v>
      </c>
      <c r="G5432" t="str">
        <f>""</f>
        <v/>
      </c>
    </row>
    <row r="5433" spans="1:7" x14ac:dyDescent="0.25">
      <c r="A5433" t="s">
        <v>8</v>
      </c>
      <c r="B5433" s="1" t="str">
        <f>"000239122 - RICHS BRD&amp;ROLL CORE BB-SODEXO"</f>
        <v>000239122 - RICHS BRD&amp;ROLL CORE BB-SODEXO</v>
      </c>
      <c r="C5433" t="s">
        <v>568</v>
      </c>
      <c r="D5433" s="1" t="str">
        <f t="shared" si="159"/>
        <v>PRG-1027958</v>
      </c>
      <c r="E5433" t="s">
        <v>46</v>
      </c>
      <c r="F5433" t="s">
        <v>4</v>
      </c>
      <c r="G5433" t="str">
        <f>""</f>
        <v/>
      </c>
    </row>
    <row r="5434" spans="1:7" x14ac:dyDescent="0.25">
      <c r="A5434" t="s">
        <v>8</v>
      </c>
      <c r="B5434" s="1" t="str">
        <f>"000239123 - RICHS BRD&amp;ROLL NCORE BB-SODEXO"</f>
        <v>000239123 - RICHS BRD&amp;ROLL NCORE BB-SODEXO</v>
      </c>
      <c r="C5434" t="s">
        <v>569</v>
      </c>
      <c r="D5434" s="1" t="str">
        <f t="shared" si="159"/>
        <v>PRG-1027958</v>
      </c>
      <c r="E5434" t="s">
        <v>46</v>
      </c>
      <c r="F5434" t="s">
        <v>4</v>
      </c>
      <c r="G5434" t="str">
        <f>""</f>
        <v/>
      </c>
    </row>
    <row r="5435" spans="1:7" x14ac:dyDescent="0.25">
      <c r="A5435" t="s">
        <v>8</v>
      </c>
      <c r="B5435" s="1" t="str">
        <f>"000240193 - RICH BREAD &amp; ROLLS-SODEXO"</f>
        <v>000240193 - RICH BREAD &amp; ROLLS-SODEXO</v>
      </c>
      <c r="C5435" t="s">
        <v>141</v>
      </c>
      <c r="D5435" s="1" t="str">
        <f t="shared" si="159"/>
        <v>PRG-1027958</v>
      </c>
      <c r="E5435" t="s">
        <v>46</v>
      </c>
      <c r="F5435" t="s">
        <v>4</v>
      </c>
      <c r="G5435" t="str">
        <f>""</f>
        <v/>
      </c>
    </row>
    <row r="5436" spans="1:7" x14ac:dyDescent="0.25">
      <c r="A5436" t="s">
        <v>8</v>
      </c>
      <c r="B5436" s="1" t="str">
        <f>"000240524 - RICH BREAD &amp; ROLLS-SODEXO"</f>
        <v>000240524 - RICH BREAD &amp; ROLLS-SODEXO</v>
      </c>
      <c r="C5436" t="s">
        <v>141</v>
      </c>
      <c r="D5436" s="1" t="str">
        <f t="shared" si="159"/>
        <v>PRG-1027958</v>
      </c>
      <c r="E5436" t="s">
        <v>46</v>
      </c>
      <c r="F5436" t="s">
        <v>4</v>
      </c>
      <c r="G5436" t="str">
        <f>""</f>
        <v/>
      </c>
    </row>
    <row r="5437" spans="1:7" x14ac:dyDescent="0.25">
      <c r="A5437" t="s">
        <v>8</v>
      </c>
      <c r="B5437" s="1" t="str">
        <f>"000241359 - RICHS BREAD &amp; ROLLS-SODEXO"</f>
        <v>000241359 - RICHS BREAD &amp; ROLLS-SODEXO</v>
      </c>
      <c r="C5437" t="s">
        <v>135</v>
      </c>
      <c r="D5437" s="1" t="str">
        <f t="shared" si="159"/>
        <v>PRG-1027958</v>
      </c>
      <c r="E5437" t="s">
        <v>46</v>
      </c>
      <c r="F5437" t="s">
        <v>4</v>
      </c>
      <c r="G5437" t="str">
        <f>""</f>
        <v/>
      </c>
    </row>
    <row r="5438" spans="1:7" x14ac:dyDescent="0.25">
      <c r="A5438" t="s">
        <v>8</v>
      </c>
      <c r="B5438" s="1" t="str">
        <f>"000241598 - "</f>
        <v xml:space="preserve">000241598 - </v>
      </c>
      <c r="D5438" s="1" t="str">
        <f t="shared" si="159"/>
        <v>PRG-1027958</v>
      </c>
      <c r="E5438" t="s">
        <v>46</v>
      </c>
      <c r="F5438" t="s">
        <v>4</v>
      </c>
      <c r="G5438" t="str">
        <f>""</f>
        <v/>
      </c>
    </row>
    <row r="5439" spans="1:7" x14ac:dyDescent="0.25">
      <c r="A5439" t="s">
        <v>8</v>
      </c>
      <c r="B5439" s="1" t="str">
        <f>"000241755 - RICHS BREAD &amp; ROLLS-SODEXO"</f>
        <v>000241755 - RICHS BREAD &amp; ROLLS-SODEXO</v>
      </c>
      <c r="C5439" t="s">
        <v>135</v>
      </c>
      <c r="D5439" s="1" t="str">
        <f t="shared" si="159"/>
        <v>PRG-1027958</v>
      </c>
      <c r="E5439" t="s">
        <v>46</v>
      </c>
      <c r="F5439" t="s">
        <v>4</v>
      </c>
      <c r="G5439" t="str">
        <f>""</f>
        <v/>
      </c>
    </row>
    <row r="5440" spans="1:7" x14ac:dyDescent="0.25">
      <c r="A5440" t="s">
        <v>8</v>
      </c>
      <c r="B5440" s="1" t="str">
        <f>"000243640 - RICHS BREAD &amp; ROLLS-SODEXO"</f>
        <v>000243640 - RICHS BREAD &amp; ROLLS-SODEXO</v>
      </c>
      <c r="C5440" t="s">
        <v>135</v>
      </c>
      <c r="D5440" s="1" t="str">
        <f t="shared" si="159"/>
        <v>PRG-1027958</v>
      </c>
      <c r="E5440" t="s">
        <v>46</v>
      </c>
      <c r="F5440" t="s">
        <v>4</v>
      </c>
      <c r="G5440" t="str">
        <f>""</f>
        <v/>
      </c>
    </row>
    <row r="5441" spans="1:7" x14ac:dyDescent="0.25">
      <c r="A5441" t="s">
        <v>8</v>
      </c>
      <c r="B5441" s="1" t="str">
        <f>"000243697 - VOID H BREAD &amp; ROLL BB-SODEXO"</f>
        <v>000243697 - VOID H BREAD &amp; ROLL BB-SODEXO</v>
      </c>
      <c r="C5441" t="s">
        <v>564</v>
      </c>
      <c r="D5441" s="1" t="str">
        <f t="shared" si="159"/>
        <v>PRG-1027958</v>
      </c>
      <c r="E5441" t="s">
        <v>46</v>
      </c>
      <c r="F5441" t="s">
        <v>4</v>
      </c>
      <c r="G5441" t="str">
        <f>""</f>
        <v/>
      </c>
    </row>
    <row r="5442" spans="1:7" x14ac:dyDescent="0.25">
      <c r="A5442" t="s">
        <v>8</v>
      </c>
      <c r="B5442" s="1" t="str">
        <f>"000244045 - RICH BREAD &amp; ROLLS-SODEXO"</f>
        <v>000244045 - RICH BREAD &amp; ROLLS-SODEXO</v>
      </c>
      <c r="C5442" t="s">
        <v>141</v>
      </c>
      <c r="D5442" s="1" t="str">
        <f t="shared" si="159"/>
        <v>PRG-1027958</v>
      </c>
      <c r="E5442" t="s">
        <v>46</v>
      </c>
      <c r="F5442" t="s">
        <v>4</v>
      </c>
      <c r="G5442" t="str">
        <f>""</f>
        <v/>
      </c>
    </row>
    <row r="5443" spans="1:7" x14ac:dyDescent="0.25">
      <c r="A5443" t="s">
        <v>8</v>
      </c>
      <c r="B5443" s="1" t="str">
        <f>"000244094 - RICHS BRD&amp;ROLL CORE BB-SODEXO"</f>
        <v>000244094 - RICHS BRD&amp;ROLL CORE BB-SODEXO</v>
      </c>
      <c r="C5443" t="s">
        <v>568</v>
      </c>
      <c r="D5443" s="1" t="str">
        <f t="shared" si="159"/>
        <v>PRG-1027958</v>
      </c>
      <c r="E5443" t="s">
        <v>46</v>
      </c>
      <c r="F5443" t="s">
        <v>4</v>
      </c>
      <c r="G5443" t="str">
        <f>""</f>
        <v/>
      </c>
    </row>
    <row r="5444" spans="1:7" x14ac:dyDescent="0.25">
      <c r="A5444" t="s">
        <v>8</v>
      </c>
      <c r="B5444" s="1" t="str">
        <f>"000244095 - RICHS BRD&amp;ROLL NCORE BB-SODEXO"</f>
        <v>000244095 - RICHS BRD&amp;ROLL NCORE BB-SODEXO</v>
      </c>
      <c r="C5444" t="s">
        <v>569</v>
      </c>
      <c r="D5444" s="1" t="str">
        <f t="shared" si="159"/>
        <v>PRG-1027958</v>
      </c>
      <c r="E5444" t="s">
        <v>46</v>
      </c>
      <c r="F5444" t="s">
        <v>4</v>
      </c>
      <c r="G5444" t="str">
        <f>""</f>
        <v/>
      </c>
    </row>
    <row r="5445" spans="1:7" x14ac:dyDescent="0.25">
      <c r="A5445" t="s">
        <v>8</v>
      </c>
      <c r="B5445" s="1" t="str">
        <f>"000244364 - RICHS BREAD &amp; ROLLS-SODEXO"</f>
        <v>000244364 - RICHS BREAD &amp; ROLLS-SODEXO</v>
      </c>
      <c r="C5445" t="s">
        <v>135</v>
      </c>
      <c r="D5445" s="1" t="str">
        <f t="shared" si="159"/>
        <v>PRG-1027958</v>
      </c>
      <c r="E5445" t="s">
        <v>46</v>
      </c>
      <c r="F5445" t="s">
        <v>4</v>
      </c>
      <c r="G5445" t="str">
        <f>""</f>
        <v/>
      </c>
    </row>
    <row r="5446" spans="1:7" x14ac:dyDescent="0.25">
      <c r="A5446" t="s">
        <v>8</v>
      </c>
      <c r="B5446" s="1" t="str">
        <f>"000245012 - VOID H BREAD &amp; ROLL BB-SODEXO"</f>
        <v>000245012 - VOID H BREAD &amp; ROLL BB-SODEXO</v>
      </c>
      <c r="C5446" t="s">
        <v>564</v>
      </c>
      <c r="D5446" s="1" t="str">
        <f t="shared" si="159"/>
        <v>PRG-1027958</v>
      </c>
      <c r="E5446" t="s">
        <v>46</v>
      </c>
      <c r="F5446" t="s">
        <v>4</v>
      </c>
      <c r="G5446" t="str">
        <f>""</f>
        <v/>
      </c>
    </row>
    <row r="5447" spans="1:7" x14ac:dyDescent="0.25">
      <c r="A5447" t="s">
        <v>8</v>
      </c>
      <c r="B5447" s="1" t="str">
        <f>"000245078 - RICHS BREAD &amp; ROLL BB-SODEXO"</f>
        <v>000245078 - RICHS BREAD &amp; ROLL BB-SODEXO</v>
      </c>
      <c r="C5447" t="s">
        <v>566</v>
      </c>
      <c r="D5447" s="1" t="str">
        <f t="shared" si="159"/>
        <v>PRG-1027958</v>
      </c>
      <c r="E5447" t="s">
        <v>46</v>
      </c>
      <c r="F5447" t="s">
        <v>4</v>
      </c>
      <c r="G5447" t="str">
        <f>""</f>
        <v/>
      </c>
    </row>
    <row r="5448" spans="1:7" x14ac:dyDescent="0.25">
      <c r="A5448" t="s">
        <v>8</v>
      </c>
      <c r="B5448" s="1" t="str">
        <f>"000245220 - RICH BREAD &amp; ROLLS-SODEXO"</f>
        <v>000245220 - RICH BREAD &amp; ROLLS-SODEXO</v>
      </c>
      <c r="C5448" t="s">
        <v>141</v>
      </c>
      <c r="D5448" s="1" t="str">
        <f t="shared" si="159"/>
        <v>PRG-1027958</v>
      </c>
      <c r="E5448" t="s">
        <v>46</v>
      </c>
      <c r="F5448" t="s">
        <v>4</v>
      </c>
      <c r="G5448" t="str">
        <f>""</f>
        <v/>
      </c>
    </row>
    <row r="5449" spans="1:7" x14ac:dyDescent="0.25">
      <c r="A5449" t="s">
        <v>8</v>
      </c>
      <c r="B5449" s="1" t="str">
        <f>"000245495 - RICHS BRD&amp;ROLL CORE BB-SODEXO"</f>
        <v>000245495 - RICHS BRD&amp;ROLL CORE BB-SODEXO</v>
      </c>
      <c r="C5449" t="s">
        <v>568</v>
      </c>
      <c r="D5449" s="1" t="str">
        <f t="shared" si="159"/>
        <v>PRG-1027958</v>
      </c>
      <c r="E5449" t="s">
        <v>46</v>
      </c>
      <c r="F5449" t="s">
        <v>4</v>
      </c>
      <c r="G5449" t="str">
        <f>""</f>
        <v/>
      </c>
    </row>
    <row r="5450" spans="1:7" x14ac:dyDescent="0.25">
      <c r="A5450" t="s">
        <v>8</v>
      </c>
      <c r="B5450" s="1" t="str">
        <f>"000245496 - RICHS BRD&amp;ROLL NCORE BB-SODEXO"</f>
        <v>000245496 - RICHS BRD&amp;ROLL NCORE BB-SODEXO</v>
      </c>
      <c r="C5450" t="s">
        <v>569</v>
      </c>
      <c r="D5450" s="1" t="str">
        <f t="shared" si="159"/>
        <v>PRG-1027958</v>
      </c>
      <c r="E5450" t="s">
        <v>46</v>
      </c>
      <c r="F5450" t="s">
        <v>4</v>
      </c>
      <c r="G5450" t="str">
        <f>""</f>
        <v/>
      </c>
    </row>
    <row r="5451" spans="1:7" x14ac:dyDescent="0.25">
      <c r="A5451" t="s">
        <v>8</v>
      </c>
      <c r="B5451" s="1" t="str">
        <f>"000246003 - RICH BREAD &amp; ROLLS-SODEXO"</f>
        <v>000246003 - RICH BREAD &amp; ROLLS-SODEXO</v>
      </c>
      <c r="C5451" t="s">
        <v>141</v>
      </c>
      <c r="D5451" s="1" t="str">
        <f t="shared" si="159"/>
        <v>PRG-1027958</v>
      </c>
      <c r="E5451" t="s">
        <v>46</v>
      </c>
      <c r="F5451" t="s">
        <v>4</v>
      </c>
      <c r="G5451" t="str">
        <f>""</f>
        <v/>
      </c>
    </row>
    <row r="5452" spans="1:7" x14ac:dyDescent="0.25">
      <c r="A5452" t="s">
        <v>8</v>
      </c>
      <c r="B5452" s="1" t="str">
        <f>"000246149 - RICH BREAD &amp; ROLLS-SODEXO"</f>
        <v>000246149 - RICH BREAD &amp; ROLLS-SODEXO</v>
      </c>
      <c r="C5452" t="s">
        <v>141</v>
      </c>
      <c r="D5452" s="1" t="str">
        <f t="shared" si="159"/>
        <v>PRG-1027958</v>
      </c>
      <c r="E5452" t="s">
        <v>46</v>
      </c>
      <c r="F5452" t="s">
        <v>4</v>
      </c>
      <c r="G5452" t="str">
        <f>""</f>
        <v/>
      </c>
    </row>
    <row r="5453" spans="1:7" x14ac:dyDescent="0.25">
      <c r="A5453" t="s">
        <v>8</v>
      </c>
      <c r="B5453" s="1" t="str">
        <f>"000246337 - VOID H BREAD &amp; ROLL BB-SODEXO"</f>
        <v>000246337 - VOID H BREAD &amp; ROLL BB-SODEXO</v>
      </c>
      <c r="C5453" t="s">
        <v>564</v>
      </c>
      <c r="D5453" s="1" t="str">
        <f t="shared" si="159"/>
        <v>PRG-1027958</v>
      </c>
      <c r="E5453" t="s">
        <v>46</v>
      </c>
      <c r="F5453" t="s">
        <v>4</v>
      </c>
      <c r="G5453" t="str">
        <f>""</f>
        <v/>
      </c>
    </row>
    <row r="5454" spans="1:7" x14ac:dyDescent="0.25">
      <c r="A5454" t="s">
        <v>8</v>
      </c>
      <c r="B5454" s="1" t="str">
        <f>"000246398 - RICHS BREAD &amp; ROLL BB-SODEXO"</f>
        <v>000246398 - RICHS BREAD &amp; ROLL BB-SODEXO</v>
      </c>
      <c r="C5454" t="s">
        <v>566</v>
      </c>
      <c r="D5454" s="1" t="str">
        <f t="shared" si="159"/>
        <v>PRG-1027958</v>
      </c>
      <c r="E5454" t="s">
        <v>46</v>
      </c>
      <c r="F5454" t="s">
        <v>4</v>
      </c>
      <c r="G5454" t="str">
        <f>""</f>
        <v/>
      </c>
    </row>
    <row r="5455" spans="1:7" x14ac:dyDescent="0.25">
      <c r="A5455" t="s">
        <v>8</v>
      </c>
      <c r="B5455" s="1" t="str">
        <f>"000246618 - RICH BREAD &amp; ROLLS-SODEXO"</f>
        <v>000246618 - RICH BREAD &amp; ROLLS-SODEXO</v>
      </c>
      <c r="C5455" t="s">
        <v>141</v>
      </c>
      <c r="D5455" s="1" t="str">
        <f t="shared" si="159"/>
        <v>PRG-1027958</v>
      </c>
      <c r="E5455" t="s">
        <v>46</v>
      </c>
      <c r="F5455" t="s">
        <v>4</v>
      </c>
      <c r="G5455" t="str">
        <f>""</f>
        <v/>
      </c>
    </row>
    <row r="5456" spans="1:7" x14ac:dyDescent="0.25">
      <c r="A5456" t="s">
        <v>8</v>
      </c>
      <c r="B5456" s="1" t="str">
        <f>"000246794 - RICHS BRD&amp;ROLL CORE BB-SODEXO"</f>
        <v>000246794 - RICHS BRD&amp;ROLL CORE BB-SODEXO</v>
      </c>
      <c r="C5456" t="s">
        <v>568</v>
      </c>
      <c r="D5456" s="1" t="str">
        <f t="shared" si="159"/>
        <v>PRG-1027958</v>
      </c>
      <c r="E5456" t="s">
        <v>46</v>
      </c>
      <c r="F5456" t="s">
        <v>4</v>
      </c>
      <c r="G5456" t="str">
        <f>""</f>
        <v/>
      </c>
    </row>
    <row r="5457" spans="1:7" x14ac:dyDescent="0.25">
      <c r="A5457" t="s">
        <v>8</v>
      </c>
      <c r="B5457" s="1" t="str">
        <f>"000246795 - RICHS BRD&amp;ROLL NCORE BB-SODEXO"</f>
        <v>000246795 - RICHS BRD&amp;ROLL NCORE BB-SODEXO</v>
      </c>
      <c r="C5457" t="s">
        <v>569</v>
      </c>
      <c r="D5457" s="1" t="str">
        <f t="shared" si="159"/>
        <v>PRG-1027958</v>
      </c>
      <c r="E5457" t="s">
        <v>46</v>
      </c>
      <c r="F5457" t="s">
        <v>4</v>
      </c>
      <c r="G5457" t="str">
        <f>""</f>
        <v/>
      </c>
    </row>
    <row r="5458" spans="1:7" x14ac:dyDescent="0.25">
      <c r="A5458" t="s">
        <v>8</v>
      </c>
      <c r="B5458" s="1" t="str">
        <f>"000247085 - RICH BREAD &amp; ROLLS-SODEXO"</f>
        <v>000247085 - RICH BREAD &amp; ROLLS-SODEXO</v>
      </c>
      <c r="C5458" t="s">
        <v>141</v>
      </c>
      <c r="D5458" s="1" t="str">
        <f t="shared" si="159"/>
        <v>PRG-1027958</v>
      </c>
      <c r="E5458" t="s">
        <v>46</v>
      </c>
      <c r="F5458" t="s">
        <v>4</v>
      </c>
      <c r="G5458" t="str">
        <f>""</f>
        <v/>
      </c>
    </row>
    <row r="5459" spans="1:7" x14ac:dyDescent="0.25">
      <c r="A5459" t="s">
        <v>8</v>
      </c>
      <c r="B5459" s="1" t="str">
        <f>"000247325 - RICHS BREAD &amp; ROLLS-SODEXO"</f>
        <v>000247325 - RICHS BREAD &amp; ROLLS-SODEXO</v>
      </c>
      <c r="C5459" t="s">
        <v>135</v>
      </c>
      <c r="D5459" s="1" t="str">
        <f t="shared" si="159"/>
        <v>PRG-1027958</v>
      </c>
      <c r="E5459" t="s">
        <v>46</v>
      </c>
      <c r="F5459" t="s">
        <v>4</v>
      </c>
      <c r="G5459" t="str">
        <f>""</f>
        <v/>
      </c>
    </row>
    <row r="5460" spans="1:7" x14ac:dyDescent="0.25">
      <c r="A5460" t="s">
        <v>8</v>
      </c>
      <c r="B5460" s="1" t="str">
        <f>"000247640 - VOID H BREAD &amp; ROLL BB-SODEXO"</f>
        <v>000247640 - VOID H BREAD &amp; ROLL BB-SODEXO</v>
      </c>
      <c r="C5460" t="s">
        <v>564</v>
      </c>
      <c r="D5460" s="1" t="str">
        <f t="shared" si="159"/>
        <v>PRG-1027958</v>
      </c>
      <c r="E5460" t="s">
        <v>46</v>
      </c>
      <c r="F5460" t="s">
        <v>4</v>
      </c>
      <c r="G5460" t="str">
        <f>""</f>
        <v/>
      </c>
    </row>
    <row r="5461" spans="1:7" x14ac:dyDescent="0.25">
      <c r="A5461" t="s">
        <v>8</v>
      </c>
      <c r="B5461" s="1" t="str">
        <f>"000247692 - RICHS BREAD &amp; ROLL BB-SODEXO"</f>
        <v>000247692 - RICHS BREAD &amp; ROLL BB-SODEXO</v>
      </c>
      <c r="C5461" t="s">
        <v>566</v>
      </c>
      <c r="D5461" s="1" t="str">
        <f t="shared" si="159"/>
        <v>PRG-1027958</v>
      </c>
      <c r="E5461" t="s">
        <v>46</v>
      </c>
      <c r="F5461" t="s">
        <v>4</v>
      </c>
      <c r="G5461" t="str">
        <f>""</f>
        <v/>
      </c>
    </row>
    <row r="5462" spans="1:7" x14ac:dyDescent="0.25">
      <c r="A5462" t="s">
        <v>8</v>
      </c>
      <c r="B5462" s="1" t="str">
        <f>"000247827 - RICH BREAD &amp; ROLLS-SODEXO"</f>
        <v>000247827 - RICH BREAD &amp; ROLLS-SODEXO</v>
      </c>
      <c r="C5462" t="s">
        <v>141</v>
      </c>
      <c r="D5462" s="1" t="str">
        <f t="shared" si="159"/>
        <v>PRG-1027958</v>
      </c>
      <c r="E5462" t="s">
        <v>46</v>
      </c>
      <c r="F5462" t="s">
        <v>4</v>
      </c>
      <c r="G5462" t="str">
        <f>""</f>
        <v/>
      </c>
    </row>
    <row r="5463" spans="1:7" x14ac:dyDescent="0.25">
      <c r="A5463" t="s">
        <v>8</v>
      </c>
      <c r="B5463" s="1" t="str">
        <f>"000248116 - RICHS BRD&amp;ROLL CORE BB-SODEXO"</f>
        <v>000248116 - RICHS BRD&amp;ROLL CORE BB-SODEXO</v>
      </c>
      <c r="C5463" t="s">
        <v>568</v>
      </c>
      <c r="D5463" s="1" t="str">
        <f t="shared" si="159"/>
        <v>PRG-1027958</v>
      </c>
      <c r="E5463" t="s">
        <v>46</v>
      </c>
      <c r="F5463" t="s">
        <v>4</v>
      </c>
      <c r="G5463" t="str">
        <f>""</f>
        <v/>
      </c>
    </row>
    <row r="5464" spans="1:7" x14ac:dyDescent="0.25">
      <c r="A5464" t="s">
        <v>8</v>
      </c>
      <c r="B5464" s="1" t="str">
        <f>"000248117 - RICHS BRD&amp;ROLL NCORE BB-SODEXO"</f>
        <v>000248117 - RICHS BRD&amp;ROLL NCORE BB-SODEXO</v>
      </c>
      <c r="C5464" t="s">
        <v>569</v>
      </c>
      <c r="D5464" s="1" t="str">
        <f t="shared" si="159"/>
        <v>PRG-1027958</v>
      </c>
      <c r="E5464" t="s">
        <v>46</v>
      </c>
      <c r="F5464" t="s">
        <v>4</v>
      </c>
      <c r="G5464" t="str">
        <f>""</f>
        <v/>
      </c>
    </row>
    <row r="5465" spans="1:7" x14ac:dyDescent="0.25">
      <c r="A5465" t="s">
        <v>8</v>
      </c>
      <c r="B5465" s="1" t="str">
        <f>"000248370 - RICHS BREAD &amp; ROLLS-SODEXO"</f>
        <v>000248370 - RICHS BREAD &amp; ROLLS-SODEXO</v>
      </c>
      <c r="C5465" t="s">
        <v>135</v>
      </c>
      <c r="D5465" s="1" t="str">
        <f t="shared" si="159"/>
        <v>PRG-1027958</v>
      </c>
      <c r="E5465" t="s">
        <v>46</v>
      </c>
      <c r="F5465" t="s">
        <v>4</v>
      </c>
      <c r="G5465" t="str">
        <f>""</f>
        <v/>
      </c>
    </row>
    <row r="5466" spans="1:7" x14ac:dyDescent="0.25">
      <c r="A5466" t="s">
        <v>8</v>
      </c>
      <c r="B5466" s="1" t="str">
        <f>"000249500 - RICHS BREAD &amp; ROLLS-SODEXO"</f>
        <v>000249500 - RICHS BREAD &amp; ROLLS-SODEXO</v>
      </c>
      <c r="C5466" t="s">
        <v>135</v>
      </c>
      <c r="D5466" s="1" t="str">
        <f t="shared" si="159"/>
        <v>PRG-1027958</v>
      </c>
      <c r="E5466" t="s">
        <v>46</v>
      </c>
      <c r="F5466" t="s">
        <v>4</v>
      </c>
      <c r="G5466" t="str">
        <f>""</f>
        <v/>
      </c>
    </row>
    <row r="5467" spans="1:7" x14ac:dyDescent="0.25">
      <c r="A5467" t="s">
        <v>8</v>
      </c>
      <c r="B5467" s="1" t="str">
        <f>"000249584 - VOID H BREAD &amp; ROLL BB-SODEXO"</f>
        <v>000249584 - VOID H BREAD &amp; ROLL BB-SODEXO</v>
      </c>
      <c r="C5467" t="s">
        <v>564</v>
      </c>
      <c r="D5467" s="1" t="str">
        <f t="shared" si="159"/>
        <v>PRG-1027958</v>
      </c>
      <c r="E5467" t="s">
        <v>46</v>
      </c>
      <c r="F5467" t="s">
        <v>4</v>
      </c>
      <c r="G5467" t="str">
        <f>""</f>
        <v/>
      </c>
    </row>
    <row r="5468" spans="1:7" x14ac:dyDescent="0.25">
      <c r="A5468" t="s">
        <v>8</v>
      </c>
      <c r="B5468" s="1" t="str">
        <f>"000249633 - RICHS BREAD &amp; ROLL BB-SODEXO"</f>
        <v>000249633 - RICHS BREAD &amp; ROLL BB-SODEXO</v>
      </c>
      <c r="C5468" t="s">
        <v>566</v>
      </c>
      <c r="D5468" s="1" t="str">
        <f t="shared" si="159"/>
        <v>PRG-1027958</v>
      </c>
      <c r="E5468" t="s">
        <v>46</v>
      </c>
      <c r="F5468" t="s">
        <v>4</v>
      </c>
      <c r="G5468" t="str">
        <f>""</f>
        <v/>
      </c>
    </row>
    <row r="5469" spans="1:7" x14ac:dyDescent="0.25">
      <c r="A5469" t="s">
        <v>8</v>
      </c>
      <c r="B5469" s="1" t="str">
        <f>"000249860 - RICHS BREAD &amp; ROLLS-SODEXO"</f>
        <v>000249860 - RICHS BREAD &amp; ROLLS-SODEXO</v>
      </c>
      <c r="C5469" t="s">
        <v>135</v>
      </c>
      <c r="D5469" s="1" t="str">
        <f t="shared" si="159"/>
        <v>PRG-1027958</v>
      </c>
      <c r="E5469" t="s">
        <v>46</v>
      </c>
      <c r="F5469" t="s">
        <v>4</v>
      </c>
      <c r="G5469" t="str">
        <f>""</f>
        <v/>
      </c>
    </row>
    <row r="5470" spans="1:7" x14ac:dyDescent="0.25">
      <c r="A5470" t="s">
        <v>8</v>
      </c>
      <c r="B5470" s="1" t="str">
        <f>"000249937 - RICHS BRD&amp;ROLL CORE BB-SODEXO"</f>
        <v>000249937 - RICHS BRD&amp;ROLL CORE BB-SODEXO</v>
      </c>
      <c r="C5470" t="s">
        <v>568</v>
      </c>
      <c r="D5470" s="1" t="str">
        <f t="shared" si="159"/>
        <v>PRG-1027958</v>
      </c>
      <c r="E5470" t="s">
        <v>46</v>
      </c>
      <c r="F5470" t="s">
        <v>4</v>
      </c>
      <c r="G5470" t="str">
        <f>""</f>
        <v/>
      </c>
    </row>
    <row r="5471" spans="1:7" x14ac:dyDescent="0.25">
      <c r="A5471" t="s">
        <v>8</v>
      </c>
      <c r="B5471" s="1" t="str">
        <f>"000249938 - RICHS BRD&amp;ROLL NCORE BB-SODEXO"</f>
        <v>000249938 - RICHS BRD&amp;ROLL NCORE BB-SODEXO</v>
      </c>
      <c r="C5471" t="s">
        <v>569</v>
      </c>
      <c r="D5471" s="1" t="str">
        <f t="shared" si="159"/>
        <v>PRG-1027958</v>
      </c>
      <c r="E5471" t="s">
        <v>46</v>
      </c>
      <c r="F5471" t="s">
        <v>4</v>
      </c>
      <c r="G5471" t="str">
        <f>""</f>
        <v/>
      </c>
    </row>
    <row r="5472" spans="1:7" x14ac:dyDescent="0.25">
      <c r="A5472" t="s">
        <v>8</v>
      </c>
      <c r="B5472" s="1" t="str">
        <f>"000250239 - RICHS BREAD &amp; ROLLS-SODEXO"</f>
        <v>000250239 - RICHS BREAD &amp; ROLLS-SODEXO</v>
      </c>
      <c r="C5472" t="s">
        <v>135</v>
      </c>
      <c r="D5472" s="1" t="str">
        <f t="shared" si="159"/>
        <v>PRG-1027958</v>
      </c>
      <c r="E5472" t="s">
        <v>46</v>
      </c>
      <c r="F5472" t="s">
        <v>4</v>
      </c>
      <c r="G5472" t="str">
        <f>""</f>
        <v/>
      </c>
    </row>
    <row r="5473" spans="1:7" x14ac:dyDescent="0.25">
      <c r="A5473" t="s">
        <v>8</v>
      </c>
      <c r="B5473" s="1" t="str">
        <f>"000250660 - RICH BREAD &amp; ROLLS-SODEXO"</f>
        <v>000250660 - RICH BREAD &amp; ROLLS-SODEXO</v>
      </c>
      <c r="C5473" t="s">
        <v>141</v>
      </c>
      <c r="D5473" s="1" t="str">
        <f t="shared" si="159"/>
        <v>PRG-1027958</v>
      </c>
      <c r="E5473" t="s">
        <v>46</v>
      </c>
      <c r="F5473" t="s">
        <v>4</v>
      </c>
      <c r="G5473" t="str">
        <f>""</f>
        <v/>
      </c>
    </row>
    <row r="5474" spans="1:7" x14ac:dyDescent="0.25">
      <c r="A5474" t="s">
        <v>8</v>
      </c>
      <c r="B5474" s="1" t="str">
        <f>"000251334 - RICH BREAD &amp; ROLLS-SODEXO"</f>
        <v>000251334 - RICH BREAD &amp; ROLLS-SODEXO</v>
      </c>
      <c r="C5474" t="s">
        <v>141</v>
      </c>
      <c r="D5474" s="1" t="str">
        <f t="shared" si="159"/>
        <v>PRG-1027958</v>
      </c>
      <c r="E5474" t="s">
        <v>46</v>
      </c>
      <c r="F5474" t="s">
        <v>4</v>
      </c>
      <c r="G5474" t="str">
        <f>""</f>
        <v/>
      </c>
    </row>
    <row r="5475" spans="1:7" x14ac:dyDescent="0.25">
      <c r="A5475" t="s">
        <v>8</v>
      </c>
      <c r="B5475" s="1" t="str">
        <f>"000251423 - RICHS BRD&amp;ROLL CORE BB-SODEXO"</f>
        <v>000251423 - RICHS BRD&amp;ROLL CORE BB-SODEXO</v>
      </c>
      <c r="C5475" t="s">
        <v>568</v>
      </c>
      <c r="D5475" s="1" t="str">
        <f t="shared" si="159"/>
        <v>PRG-1027958</v>
      </c>
      <c r="E5475" t="s">
        <v>46</v>
      </c>
      <c r="F5475" t="s">
        <v>4</v>
      </c>
      <c r="G5475" t="str">
        <f>""</f>
        <v/>
      </c>
    </row>
    <row r="5476" spans="1:7" x14ac:dyDescent="0.25">
      <c r="A5476" t="s">
        <v>8</v>
      </c>
      <c r="B5476" s="1" t="str">
        <f>"000251424 - RICHS BRD&amp;ROLL NCORE BB-SODEXO"</f>
        <v>000251424 - RICHS BRD&amp;ROLL NCORE BB-SODEXO</v>
      </c>
      <c r="C5476" t="s">
        <v>569</v>
      </c>
      <c r="D5476" s="1" t="str">
        <f t="shared" si="159"/>
        <v>PRG-1027958</v>
      </c>
      <c r="E5476" t="s">
        <v>46</v>
      </c>
      <c r="F5476" t="s">
        <v>4</v>
      </c>
      <c r="G5476" t="str">
        <f>""</f>
        <v/>
      </c>
    </row>
    <row r="5477" spans="1:7" x14ac:dyDescent="0.25">
      <c r="A5477" t="s">
        <v>8</v>
      </c>
      <c r="B5477" s="1" t="str">
        <f>"000252495 - VOID H BREAD &amp; ROLL BB-SODEXO"</f>
        <v>000252495 - VOID H BREAD &amp; ROLL BB-SODEXO</v>
      </c>
      <c r="C5477" t="s">
        <v>564</v>
      </c>
      <c r="D5477" s="1" t="str">
        <f t="shared" si="159"/>
        <v>PRG-1027958</v>
      </c>
      <c r="E5477" t="s">
        <v>46</v>
      </c>
      <c r="F5477" t="s">
        <v>4</v>
      </c>
      <c r="G5477" t="str">
        <f>""</f>
        <v/>
      </c>
    </row>
    <row r="5478" spans="1:7" x14ac:dyDescent="0.25">
      <c r="A5478" t="s">
        <v>8</v>
      </c>
      <c r="B5478" s="1" t="str">
        <f>"000252566 - RICHS BREAD &amp; ROLL BB-SODEXO"</f>
        <v>000252566 - RICHS BREAD &amp; ROLL BB-SODEXO</v>
      </c>
      <c r="C5478" t="s">
        <v>566</v>
      </c>
      <c r="D5478" s="1" t="str">
        <f t="shared" si="159"/>
        <v>PRG-1027958</v>
      </c>
      <c r="E5478" t="s">
        <v>46</v>
      </c>
      <c r="F5478" t="s">
        <v>4</v>
      </c>
      <c r="G5478" t="str">
        <f>""</f>
        <v/>
      </c>
    </row>
    <row r="5479" spans="1:7" x14ac:dyDescent="0.25">
      <c r="A5479" t="s">
        <v>8</v>
      </c>
      <c r="B5479" s="1" t="str">
        <f>"000252922 - RICHS BRD&amp;ROLL CORE BB-SODEXO"</f>
        <v>000252922 - RICHS BRD&amp;ROLL CORE BB-SODEXO</v>
      </c>
      <c r="C5479" t="s">
        <v>568</v>
      </c>
      <c r="D5479" s="1" t="str">
        <f t="shared" si="159"/>
        <v>PRG-1027958</v>
      </c>
      <c r="E5479" t="s">
        <v>46</v>
      </c>
      <c r="F5479" t="s">
        <v>4</v>
      </c>
      <c r="G5479" t="str">
        <f>""</f>
        <v/>
      </c>
    </row>
    <row r="5480" spans="1:7" x14ac:dyDescent="0.25">
      <c r="A5480" t="s">
        <v>8</v>
      </c>
      <c r="B5480" s="1" t="str">
        <f>"000252923 - RICHS BRD&amp;ROLL NCORE BB-SODEXO"</f>
        <v>000252923 - RICHS BRD&amp;ROLL NCORE BB-SODEXO</v>
      </c>
      <c r="C5480" t="s">
        <v>569</v>
      </c>
      <c r="D5480" s="1" t="str">
        <f t="shared" si="159"/>
        <v>PRG-1027958</v>
      </c>
      <c r="E5480" t="s">
        <v>46</v>
      </c>
      <c r="F5480" t="s">
        <v>4</v>
      </c>
      <c r="G5480" t="str">
        <f>""</f>
        <v/>
      </c>
    </row>
    <row r="5481" spans="1:7" x14ac:dyDescent="0.25">
      <c r="A5481" t="s">
        <v>8</v>
      </c>
      <c r="B5481" s="1" t="str">
        <f>"000253206 - VOID H BREAD &amp; ROLL BB-SODEXO"</f>
        <v>000253206 - VOID H BREAD &amp; ROLL BB-SODEXO</v>
      </c>
      <c r="C5481" t="s">
        <v>564</v>
      </c>
      <c r="D5481" s="1" t="str">
        <f t="shared" si="159"/>
        <v>PRG-1027958</v>
      </c>
      <c r="E5481" t="s">
        <v>46</v>
      </c>
      <c r="F5481" t="s">
        <v>4</v>
      </c>
      <c r="G5481" t="str">
        <f>""</f>
        <v/>
      </c>
    </row>
    <row r="5482" spans="1:7" x14ac:dyDescent="0.25">
      <c r="A5482" t="s">
        <v>8</v>
      </c>
      <c r="B5482" s="1" t="str">
        <f>"000253255 - RICHS BREAD &amp; ROLL BB-SODEXO"</f>
        <v>000253255 - RICHS BREAD &amp; ROLL BB-SODEXO</v>
      </c>
      <c r="C5482" t="s">
        <v>566</v>
      </c>
      <c r="D5482" s="1" t="str">
        <f t="shared" si="159"/>
        <v>PRG-1027958</v>
      </c>
      <c r="E5482" t="s">
        <v>46</v>
      </c>
      <c r="F5482" t="s">
        <v>4</v>
      </c>
      <c r="G5482" t="str">
        <f>""</f>
        <v/>
      </c>
    </row>
    <row r="5483" spans="1:7" x14ac:dyDescent="0.25">
      <c r="A5483" t="s">
        <v>8</v>
      </c>
      <c r="B5483" s="1" t="str">
        <f>"000253378 - VOID H BREAD &amp; ROLL BB-SODEXO"</f>
        <v>000253378 - VOID H BREAD &amp; ROLL BB-SODEXO</v>
      </c>
      <c r="C5483" t="s">
        <v>564</v>
      </c>
      <c r="D5483" s="1" t="str">
        <f t="shared" si="159"/>
        <v>PRG-1027958</v>
      </c>
      <c r="E5483" t="s">
        <v>46</v>
      </c>
      <c r="F5483" t="s">
        <v>4</v>
      </c>
      <c r="G5483" t="str">
        <f>""</f>
        <v/>
      </c>
    </row>
    <row r="5484" spans="1:7" x14ac:dyDescent="0.25">
      <c r="A5484" t="s">
        <v>8</v>
      </c>
      <c r="B5484" s="1" t="str">
        <f>"000253457 - RICHS BREAD &amp; ROLL BB-SODEXO"</f>
        <v>000253457 - RICHS BREAD &amp; ROLL BB-SODEXO</v>
      </c>
      <c r="C5484" t="s">
        <v>566</v>
      </c>
      <c r="D5484" s="1" t="str">
        <f t="shared" ref="D5484:D5547" si="160">"PRG-1027958"</f>
        <v>PRG-1027958</v>
      </c>
      <c r="E5484" t="s">
        <v>46</v>
      </c>
      <c r="F5484" t="s">
        <v>4</v>
      </c>
      <c r="G5484" t="str">
        <f>""</f>
        <v/>
      </c>
    </row>
    <row r="5485" spans="1:7" x14ac:dyDescent="0.25">
      <c r="A5485" t="s">
        <v>8</v>
      </c>
      <c r="B5485" s="1" t="str">
        <f>"000253809 - RICHS BRD&amp;ROLL CORE BB-SODEXO"</f>
        <v>000253809 - RICHS BRD&amp;ROLL CORE BB-SODEXO</v>
      </c>
      <c r="C5485" t="s">
        <v>568</v>
      </c>
      <c r="D5485" s="1" t="str">
        <f t="shared" si="160"/>
        <v>PRG-1027958</v>
      </c>
      <c r="E5485" t="s">
        <v>46</v>
      </c>
      <c r="F5485" t="s">
        <v>4</v>
      </c>
      <c r="G5485" t="str">
        <f>""</f>
        <v/>
      </c>
    </row>
    <row r="5486" spans="1:7" x14ac:dyDescent="0.25">
      <c r="A5486" t="s">
        <v>8</v>
      </c>
      <c r="B5486" s="1" t="str">
        <f>"000253810 - RICHS BRD&amp;ROLL NCORE BB-SODEXO"</f>
        <v>000253810 - RICHS BRD&amp;ROLL NCORE BB-SODEXO</v>
      </c>
      <c r="C5486" t="s">
        <v>569</v>
      </c>
      <c r="D5486" s="1" t="str">
        <f t="shared" si="160"/>
        <v>PRG-1027958</v>
      </c>
      <c r="E5486" t="s">
        <v>46</v>
      </c>
      <c r="F5486" t="s">
        <v>4</v>
      </c>
      <c r="G5486" t="str">
        <f>""</f>
        <v/>
      </c>
    </row>
    <row r="5487" spans="1:7" x14ac:dyDescent="0.25">
      <c r="A5487" t="s">
        <v>8</v>
      </c>
      <c r="B5487" s="1" t="str">
        <f>"000253820 - RICHS BRD&amp;ROLL CORE BB-SODEXO"</f>
        <v>000253820 - RICHS BRD&amp;ROLL CORE BB-SODEXO</v>
      </c>
      <c r="C5487" t="s">
        <v>568</v>
      </c>
      <c r="D5487" s="1" t="str">
        <f t="shared" si="160"/>
        <v>PRG-1027958</v>
      </c>
      <c r="E5487" t="s">
        <v>46</v>
      </c>
      <c r="F5487" t="s">
        <v>4</v>
      </c>
      <c r="G5487" t="str">
        <f>""</f>
        <v/>
      </c>
    </row>
    <row r="5488" spans="1:7" x14ac:dyDescent="0.25">
      <c r="A5488" t="s">
        <v>8</v>
      </c>
      <c r="B5488" s="1" t="str">
        <f>"000253821 - RICHS BRD&amp;ROLL NCORE BB-SODEXO"</f>
        <v>000253821 - RICHS BRD&amp;ROLL NCORE BB-SODEXO</v>
      </c>
      <c r="C5488" t="s">
        <v>569</v>
      </c>
      <c r="D5488" s="1" t="str">
        <f t="shared" si="160"/>
        <v>PRG-1027958</v>
      </c>
      <c r="E5488" t="s">
        <v>46</v>
      </c>
      <c r="F5488" t="s">
        <v>4</v>
      </c>
      <c r="G5488" t="str">
        <f>""</f>
        <v/>
      </c>
    </row>
    <row r="5489" spans="1:7" x14ac:dyDescent="0.25">
      <c r="A5489" t="s">
        <v>8</v>
      </c>
      <c r="B5489" s="1" t="str">
        <f>"000254312 - RICHS BREAD &amp; ROLLS-SODEXO"</f>
        <v>000254312 - RICHS BREAD &amp; ROLLS-SODEXO</v>
      </c>
      <c r="C5489" t="s">
        <v>135</v>
      </c>
      <c r="D5489" s="1" t="str">
        <f t="shared" si="160"/>
        <v>PRG-1027958</v>
      </c>
      <c r="E5489" t="s">
        <v>46</v>
      </c>
      <c r="F5489" t="s">
        <v>4</v>
      </c>
      <c r="G5489" t="str">
        <f>""</f>
        <v/>
      </c>
    </row>
    <row r="5490" spans="1:7" x14ac:dyDescent="0.25">
      <c r="A5490" t="s">
        <v>8</v>
      </c>
      <c r="B5490" s="1" t="str">
        <f>"000256596 - VOID H BREAD &amp; ROLL BB-SODEXO"</f>
        <v>000256596 - VOID H BREAD &amp; ROLL BB-SODEXO</v>
      </c>
      <c r="C5490" t="s">
        <v>564</v>
      </c>
      <c r="D5490" s="1" t="str">
        <f t="shared" si="160"/>
        <v>PRG-1027958</v>
      </c>
      <c r="E5490" t="s">
        <v>46</v>
      </c>
      <c r="F5490" t="s">
        <v>4</v>
      </c>
      <c r="G5490" t="str">
        <f>""</f>
        <v/>
      </c>
    </row>
    <row r="5491" spans="1:7" x14ac:dyDescent="0.25">
      <c r="A5491" t="s">
        <v>8</v>
      </c>
      <c r="B5491" s="1" t="str">
        <f>"000256645 - RICHS BREAD &amp; ROLL BB-SODEXO"</f>
        <v>000256645 - RICHS BREAD &amp; ROLL BB-SODEXO</v>
      </c>
      <c r="C5491" t="s">
        <v>566</v>
      </c>
      <c r="D5491" s="1" t="str">
        <f t="shared" si="160"/>
        <v>PRG-1027958</v>
      </c>
      <c r="E5491" t="s">
        <v>46</v>
      </c>
      <c r="F5491" t="s">
        <v>4</v>
      </c>
      <c r="G5491" t="str">
        <f>""</f>
        <v/>
      </c>
    </row>
    <row r="5492" spans="1:7" x14ac:dyDescent="0.25">
      <c r="A5492" t="s">
        <v>8</v>
      </c>
      <c r="B5492" s="1" t="str">
        <f>"000256994 - RICHS BRD&amp;ROLL CORE BB-SODEXO"</f>
        <v>000256994 - RICHS BRD&amp;ROLL CORE BB-SODEXO</v>
      </c>
      <c r="C5492" t="s">
        <v>568</v>
      </c>
      <c r="D5492" s="1" t="str">
        <f t="shared" si="160"/>
        <v>PRG-1027958</v>
      </c>
      <c r="E5492" t="s">
        <v>46</v>
      </c>
      <c r="F5492" t="s">
        <v>4</v>
      </c>
      <c r="G5492" t="str">
        <f>""</f>
        <v/>
      </c>
    </row>
    <row r="5493" spans="1:7" x14ac:dyDescent="0.25">
      <c r="A5493" t="s">
        <v>8</v>
      </c>
      <c r="B5493" s="1" t="str">
        <f>"000256995 - RICHS BRD&amp;ROLL NCORE BB-SODEXO"</f>
        <v>000256995 - RICHS BRD&amp;ROLL NCORE BB-SODEXO</v>
      </c>
      <c r="C5493" t="s">
        <v>569</v>
      </c>
      <c r="D5493" s="1" t="str">
        <f t="shared" si="160"/>
        <v>PRG-1027958</v>
      </c>
      <c r="E5493" t="s">
        <v>46</v>
      </c>
      <c r="F5493" t="s">
        <v>4</v>
      </c>
      <c r="G5493" t="str">
        <f>""</f>
        <v/>
      </c>
    </row>
    <row r="5494" spans="1:7" x14ac:dyDescent="0.25">
      <c r="A5494" t="s">
        <v>8</v>
      </c>
      <c r="B5494" s="1" t="str">
        <f>"000260256 - RICHS BREAD &amp; ROLLS-SODEXO"</f>
        <v>000260256 - RICHS BREAD &amp; ROLLS-SODEXO</v>
      </c>
      <c r="C5494" t="s">
        <v>135</v>
      </c>
      <c r="D5494" s="1" t="str">
        <f t="shared" si="160"/>
        <v>PRG-1027958</v>
      </c>
      <c r="E5494" t="s">
        <v>46</v>
      </c>
      <c r="F5494" t="s">
        <v>4</v>
      </c>
      <c r="G5494" t="str">
        <f>""</f>
        <v/>
      </c>
    </row>
    <row r="5495" spans="1:7" x14ac:dyDescent="0.25">
      <c r="A5495" t="s">
        <v>8</v>
      </c>
      <c r="B5495" s="1" t="str">
        <f>"000262714 - RICH BREAD &amp; ROLLS-SODEXO"</f>
        <v>000262714 - RICH BREAD &amp; ROLLS-SODEXO</v>
      </c>
      <c r="C5495" t="s">
        <v>141</v>
      </c>
      <c r="D5495" s="1" t="str">
        <f t="shared" si="160"/>
        <v>PRG-1027958</v>
      </c>
      <c r="E5495" t="s">
        <v>46</v>
      </c>
      <c r="F5495" t="s">
        <v>4</v>
      </c>
      <c r="G5495" t="str">
        <f>""</f>
        <v/>
      </c>
    </row>
    <row r="5496" spans="1:7" x14ac:dyDescent="0.25">
      <c r="A5496" t="s">
        <v>8</v>
      </c>
      <c r="B5496" s="1" t="str">
        <f>"000267410 - RICHS BREAD &amp; ROLLS-SODEXO"</f>
        <v>000267410 - RICHS BREAD &amp; ROLLS-SODEXO</v>
      </c>
      <c r="C5496" t="s">
        <v>135</v>
      </c>
      <c r="D5496" s="1" t="str">
        <f t="shared" si="160"/>
        <v>PRG-1027958</v>
      </c>
      <c r="E5496" t="s">
        <v>46</v>
      </c>
      <c r="F5496" t="s">
        <v>4</v>
      </c>
      <c r="G5496" t="str">
        <f>""</f>
        <v/>
      </c>
    </row>
    <row r="5497" spans="1:7" x14ac:dyDescent="0.25">
      <c r="A5497" t="s">
        <v>8</v>
      </c>
      <c r="B5497" s="1" t="str">
        <f>"000269638 - RICH BREAD &amp; ROLLS-SODEXO"</f>
        <v>000269638 - RICH BREAD &amp; ROLLS-SODEXO</v>
      </c>
      <c r="C5497" t="s">
        <v>141</v>
      </c>
      <c r="D5497" s="1" t="str">
        <f t="shared" si="160"/>
        <v>PRG-1027958</v>
      </c>
      <c r="E5497" t="s">
        <v>46</v>
      </c>
      <c r="F5497" t="s">
        <v>4</v>
      </c>
      <c r="G5497" t="str">
        <f>""</f>
        <v/>
      </c>
    </row>
    <row r="5498" spans="1:7" x14ac:dyDescent="0.25">
      <c r="A5498" t="s">
        <v>8</v>
      </c>
      <c r="B5498" s="1" t="str">
        <f>"000271502 - VOID H BREAD &amp; ROLL BB-SODEXO"</f>
        <v>000271502 - VOID H BREAD &amp; ROLL BB-SODEXO</v>
      </c>
      <c r="C5498" t="s">
        <v>564</v>
      </c>
      <c r="D5498" s="1" t="str">
        <f t="shared" si="160"/>
        <v>PRG-1027958</v>
      </c>
      <c r="E5498" t="s">
        <v>46</v>
      </c>
      <c r="F5498" t="s">
        <v>4</v>
      </c>
      <c r="G5498" t="str">
        <f>""</f>
        <v/>
      </c>
    </row>
    <row r="5499" spans="1:7" x14ac:dyDescent="0.25">
      <c r="A5499" t="s">
        <v>8</v>
      </c>
      <c r="B5499" s="1" t="str">
        <f>"000271559 - RICHS BREAD &amp; ROLL BB-SODEXO"</f>
        <v>000271559 - RICHS BREAD &amp; ROLL BB-SODEXO</v>
      </c>
      <c r="C5499" t="s">
        <v>566</v>
      </c>
      <c r="D5499" s="1" t="str">
        <f t="shared" si="160"/>
        <v>PRG-1027958</v>
      </c>
      <c r="E5499" t="s">
        <v>46</v>
      </c>
      <c r="F5499" t="s">
        <v>4</v>
      </c>
      <c r="G5499" t="str">
        <f>""</f>
        <v/>
      </c>
    </row>
    <row r="5500" spans="1:7" x14ac:dyDescent="0.25">
      <c r="A5500" t="s">
        <v>8</v>
      </c>
      <c r="B5500" s="1" t="str">
        <f>"000272033 - RICHS BRD&amp;ROLL CORE BB-SODEXO"</f>
        <v>000272033 - RICHS BRD&amp;ROLL CORE BB-SODEXO</v>
      </c>
      <c r="C5500" t="s">
        <v>568</v>
      </c>
      <c r="D5500" s="1" t="str">
        <f t="shared" si="160"/>
        <v>PRG-1027958</v>
      </c>
      <c r="E5500" t="s">
        <v>46</v>
      </c>
      <c r="F5500" t="s">
        <v>4</v>
      </c>
      <c r="G5500" t="str">
        <f>""</f>
        <v/>
      </c>
    </row>
    <row r="5501" spans="1:7" x14ac:dyDescent="0.25">
      <c r="A5501" t="s">
        <v>8</v>
      </c>
      <c r="B5501" s="1" t="str">
        <f>"000272034 - RICHS BRD&amp;ROLL NCORE BB-SODEXO"</f>
        <v>000272034 - RICHS BRD&amp;ROLL NCORE BB-SODEXO</v>
      </c>
      <c r="C5501" t="s">
        <v>569</v>
      </c>
      <c r="D5501" s="1" t="str">
        <f t="shared" si="160"/>
        <v>PRG-1027958</v>
      </c>
      <c r="E5501" t="s">
        <v>46</v>
      </c>
      <c r="F5501" t="s">
        <v>4</v>
      </c>
      <c r="G5501" t="str">
        <f>""</f>
        <v/>
      </c>
    </row>
    <row r="5502" spans="1:7" x14ac:dyDescent="0.25">
      <c r="A5502" t="s">
        <v>8</v>
      </c>
      <c r="B5502" s="1" t="str">
        <f>"000272918 - RICHS BREAD &amp; ROLLS-SODEXO"</f>
        <v>000272918 - RICHS BREAD &amp; ROLLS-SODEXO</v>
      </c>
      <c r="C5502" t="s">
        <v>135</v>
      </c>
      <c r="D5502" s="1" t="str">
        <f t="shared" si="160"/>
        <v>PRG-1027958</v>
      </c>
      <c r="E5502" t="s">
        <v>46</v>
      </c>
      <c r="F5502" t="s">
        <v>4</v>
      </c>
      <c r="G5502" t="str">
        <f>""</f>
        <v/>
      </c>
    </row>
    <row r="5503" spans="1:7" x14ac:dyDescent="0.25">
      <c r="A5503" t="s">
        <v>8</v>
      </c>
      <c r="B5503" s="1" t="str">
        <f>"000275657 - VOID H BREAD &amp; ROLL BB-SODEXO"</f>
        <v>000275657 - VOID H BREAD &amp; ROLL BB-SODEXO</v>
      </c>
      <c r="C5503" t="s">
        <v>564</v>
      </c>
      <c r="D5503" s="1" t="str">
        <f t="shared" si="160"/>
        <v>PRG-1027958</v>
      </c>
      <c r="E5503" t="s">
        <v>46</v>
      </c>
      <c r="F5503" t="s">
        <v>4</v>
      </c>
      <c r="G5503" t="str">
        <f>""</f>
        <v/>
      </c>
    </row>
    <row r="5504" spans="1:7" x14ac:dyDescent="0.25">
      <c r="A5504" t="s">
        <v>8</v>
      </c>
      <c r="B5504" s="1" t="str">
        <f>"000275712 - RICHS BREAD &amp; ROLL BB-SODEXO"</f>
        <v>000275712 - RICHS BREAD &amp; ROLL BB-SODEXO</v>
      </c>
      <c r="C5504" t="s">
        <v>566</v>
      </c>
      <c r="D5504" s="1" t="str">
        <f t="shared" si="160"/>
        <v>PRG-1027958</v>
      </c>
      <c r="E5504" t="s">
        <v>46</v>
      </c>
      <c r="F5504" t="s">
        <v>4</v>
      </c>
      <c r="G5504" t="str">
        <f>""</f>
        <v/>
      </c>
    </row>
    <row r="5505" spans="1:7" x14ac:dyDescent="0.25">
      <c r="A5505" t="s">
        <v>8</v>
      </c>
      <c r="B5505" s="1" t="str">
        <f>"000276116 - RICHS BRD&amp;ROLL CORE BB-SODEXO"</f>
        <v>000276116 - RICHS BRD&amp;ROLL CORE BB-SODEXO</v>
      </c>
      <c r="C5505" t="s">
        <v>568</v>
      </c>
      <c r="D5505" s="1" t="str">
        <f t="shared" si="160"/>
        <v>PRG-1027958</v>
      </c>
      <c r="E5505" t="s">
        <v>46</v>
      </c>
      <c r="F5505" t="s">
        <v>4</v>
      </c>
      <c r="G5505" t="str">
        <f>""</f>
        <v/>
      </c>
    </row>
    <row r="5506" spans="1:7" x14ac:dyDescent="0.25">
      <c r="A5506" t="s">
        <v>8</v>
      </c>
      <c r="B5506" s="1" t="str">
        <f>"000276117 - RICHS BRD&amp;ROLL NCORE BB-SODEXO"</f>
        <v>000276117 - RICHS BRD&amp;ROLL NCORE BB-SODEXO</v>
      </c>
      <c r="C5506" t="s">
        <v>569</v>
      </c>
      <c r="D5506" s="1" t="str">
        <f t="shared" si="160"/>
        <v>PRG-1027958</v>
      </c>
      <c r="E5506" t="s">
        <v>46</v>
      </c>
      <c r="F5506" t="s">
        <v>4</v>
      </c>
      <c r="G5506" t="str">
        <f>""</f>
        <v/>
      </c>
    </row>
    <row r="5507" spans="1:7" x14ac:dyDescent="0.25">
      <c r="A5507" t="s">
        <v>8</v>
      </c>
      <c r="B5507" s="1" t="str">
        <f>"000277634 - RICH BREAD &amp; ROLLS-SODEXO"</f>
        <v>000277634 - RICH BREAD &amp; ROLLS-SODEXO</v>
      </c>
      <c r="C5507" t="s">
        <v>141</v>
      </c>
      <c r="D5507" s="1" t="str">
        <f t="shared" si="160"/>
        <v>PRG-1027958</v>
      </c>
      <c r="E5507" t="s">
        <v>46</v>
      </c>
      <c r="F5507" t="s">
        <v>4</v>
      </c>
      <c r="G5507" t="str">
        <f>""</f>
        <v/>
      </c>
    </row>
    <row r="5508" spans="1:7" x14ac:dyDescent="0.25">
      <c r="A5508" t="s">
        <v>8</v>
      </c>
      <c r="B5508" s="1" t="str">
        <f>"000280598 - RICH BREAD &amp; ROLLS-SODEXO"</f>
        <v>000280598 - RICH BREAD &amp; ROLLS-SODEXO</v>
      </c>
      <c r="C5508" t="s">
        <v>141</v>
      </c>
      <c r="D5508" s="1" t="str">
        <f t="shared" si="160"/>
        <v>PRG-1027958</v>
      </c>
      <c r="E5508" t="s">
        <v>46</v>
      </c>
      <c r="F5508" t="s">
        <v>4</v>
      </c>
      <c r="G5508" t="str">
        <f>""</f>
        <v/>
      </c>
    </row>
    <row r="5509" spans="1:7" x14ac:dyDescent="0.25">
      <c r="A5509" t="s">
        <v>8</v>
      </c>
      <c r="B5509" s="1" t="str">
        <f>"000281306 - RICHS BREAD &amp; ROLLS-SODEXO"</f>
        <v>000281306 - RICHS BREAD &amp; ROLLS-SODEXO</v>
      </c>
      <c r="C5509" t="s">
        <v>135</v>
      </c>
      <c r="D5509" s="1" t="str">
        <f t="shared" si="160"/>
        <v>PRG-1027958</v>
      </c>
      <c r="E5509" t="s">
        <v>46</v>
      </c>
      <c r="F5509" t="s">
        <v>4</v>
      </c>
      <c r="G5509" t="str">
        <f>""</f>
        <v/>
      </c>
    </row>
    <row r="5510" spans="1:7" x14ac:dyDescent="0.25">
      <c r="A5510" t="s">
        <v>8</v>
      </c>
      <c r="B5510" s="1" t="str">
        <f>"000285564 - RICH BREAD &amp; ROLLS-SODEXO"</f>
        <v>000285564 - RICH BREAD &amp; ROLLS-SODEXO</v>
      </c>
      <c r="C5510" t="s">
        <v>141</v>
      </c>
      <c r="D5510" s="1" t="str">
        <f t="shared" si="160"/>
        <v>PRG-1027958</v>
      </c>
      <c r="E5510" t="s">
        <v>46</v>
      </c>
      <c r="F5510" t="s">
        <v>4</v>
      </c>
      <c r="G5510" t="str">
        <f>""</f>
        <v/>
      </c>
    </row>
    <row r="5511" spans="1:7" x14ac:dyDescent="0.25">
      <c r="A5511" t="s">
        <v>8</v>
      </c>
      <c r="B5511" s="1" t="str">
        <f>"000287274 - RICH BREAD &amp; ROLLS-SODEXO"</f>
        <v>000287274 - RICH BREAD &amp; ROLLS-SODEXO</v>
      </c>
      <c r="C5511" t="s">
        <v>141</v>
      </c>
      <c r="D5511" s="1" t="str">
        <f t="shared" si="160"/>
        <v>PRG-1027958</v>
      </c>
      <c r="E5511" t="s">
        <v>46</v>
      </c>
      <c r="F5511" t="s">
        <v>4</v>
      </c>
      <c r="G5511" t="str">
        <f>""</f>
        <v/>
      </c>
    </row>
    <row r="5512" spans="1:7" x14ac:dyDescent="0.25">
      <c r="A5512" t="s">
        <v>8</v>
      </c>
      <c r="B5512" s="1" t="str">
        <f>"000287483 - VOID H BREAD &amp; ROLL BB-SODEXO"</f>
        <v>000287483 - VOID H BREAD &amp; ROLL BB-SODEXO</v>
      </c>
      <c r="C5512" t="s">
        <v>564</v>
      </c>
      <c r="D5512" s="1" t="str">
        <f t="shared" si="160"/>
        <v>PRG-1027958</v>
      </c>
      <c r="E5512" t="s">
        <v>46</v>
      </c>
      <c r="F5512" t="s">
        <v>4</v>
      </c>
      <c r="G5512" t="str">
        <f>""</f>
        <v/>
      </c>
    </row>
    <row r="5513" spans="1:7" x14ac:dyDescent="0.25">
      <c r="A5513" t="s">
        <v>8</v>
      </c>
      <c r="B5513" s="1" t="str">
        <f>"000287527 - RICHS BREAD &amp; ROLL BB-SODEXO"</f>
        <v>000287527 - RICHS BREAD &amp; ROLL BB-SODEXO</v>
      </c>
      <c r="C5513" t="s">
        <v>566</v>
      </c>
      <c r="D5513" s="1" t="str">
        <f t="shared" si="160"/>
        <v>PRG-1027958</v>
      </c>
      <c r="E5513" t="s">
        <v>46</v>
      </c>
      <c r="F5513" t="s">
        <v>4</v>
      </c>
      <c r="G5513" t="str">
        <f>""</f>
        <v/>
      </c>
    </row>
    <row r="5514" spans="1:7" x14ac:dyDescent="0.25">
      <c r="A5514" t="s">
        <v>8</v>
      </c>
      <c r="B5514" s="1" t="str">
        <f>"000287958 - RICHS BRD&amp;ROLL NCORE BB-SODEXO"</f>
        <v>000287958 - RICHS BRD&amp;ROLL NCORE BB-SODEXO</v>
      </c>
      <c r="C5514" t="s">
        <v>569</v>
      </c>
      <c r="D5514" s="1" t="str">
        <f t="shared" si="160"/>
        <v>PRG-1027958</v>
      </c>
      <c r="E5514" t="s">
        <v>46</v>
      </c>
      <c r="F5514" t="s">
        <v>4</v>
      </c>
      <c r="G5514" t="str">
        <f>""</f>
        <v/>
      </c>
    </row>
    <row r="5515" spans="1:7" x14ac:dyDescent="0.25">
      <c r="A5515" t="s">
        <v>8</v>
      </c>
      <c r="B5515" s="1" t="str">
        <f>"000288539 - RICHS BREAD &amp; ROLLS-SODEXO"</f>
        <v>000288539 - RICHS BREAD &amp; ROLLS-SODEXO</v>
      </c>
      <c r="C5515" t="s">
        <v>135</v>
      </c>
      <c r="D5515" s="1" t="str">
        <f t="shared" si="160"/>
        <v>PRG-1027958</v>
      </c>
      <c r="E5515" t="s">
        <v>46</v>
      </c>
      <c r="F5515" t="s">
        <v>4</v>
      </c>
      <c r="G5515" t="str">
        <f>""</f>
        <v/>
      </c>
    </row>
    <row r="5516" spans="1:7" x14ac:dyDescent="0.25">
      <c r="A5516" t="s">
        <v>8</v>
      </c>
      <c r="B5516" s="1" t="str">
        <f>"000288639 - RICH BREAD &amp; ROLLS-SODEXO"</f>
        <v>000288639 - RICH BREAD &amp; ROLLS-SODEXO</v>
      </c>
      <c r="C5516" t="s">
        <v>141</v>
      </c>
      <c r="D5516" s="1" t="str">
        <f t="shared" si="160"/>
        <v>PRG-1027958</v>
      </c>
      <c r="E5516" t="s">
        <v>46</v>
      </c>
      <c r="F5516" t="s">
        <v>4</v>
      </c>
      <c r="G5516" t="str">
        <f>""</f>
        <v/>
      </c>
    </row>
    <row r="5517" spans="1:7" x14ac:dyDescent="0.25">
      <c r="A5517" t="s">
        <v>8</v>
      </c>
      <c r="B5517" s="1" t="str">
        <f>"000289439 - VOID H BREAD &amp; ROLL BB-SODEXO"</f>
        <v>000289439 - VOID H BREAD &amp; ROLL BB-SODEXO</v>
      </c>
      <c r="C5517" t="s">
        <v>564</v>
      </c>
      <c r="D5517" s="1" t="str">
        <f t="shared" si="160"/>
        <v>PRG-1027958</v>
      </c>
      <c r="E5517" t="s">
        <v>46</v>
      </c>
      <c r="F5517" t="s">
        <v>4</v>
      </c>
      <c r="G5517" t="str">
        <f>""</f>
        <v/>
      </c>
    </row>
    <row r="5518" spans="1:7" x14ac:dyDescent="0.25">
      <c r="A5518" t="s">
        <v>8</v>
      </c>
      <c r="B5518" s="1" t="str">
        <f>"000289523 - RICHS BREAD &amp; ROLL BB-SODEXO"</f>
        <v>000289523 - RICHS BREAD &amp; ROLL BB-SODEXO</v>
      </c>
      <c r="C5518" t="s">
        <v>566</v>
      </c>
      <c r="D5518" s="1" t="str">
        <f t="shared" si="160"/>
        <v>PRG-1027958</v>
      </c>
      <c r="E5518" t="s">
        <v>46</v>
      </c>
      <c r="F5518" t="s">
        <v>4</v>
      </c>
      <c r="G5518" t="str">
        <f>""</f>
        <v/>
      </c>
    </row>
    <row r="5519" spans="1:7" x14ac:dyDescent="0.25">
      <c r="A5519" t="s">
        <v>8</v>
      </c>
      <c r="B5519" s="1" t="str">
        <f>"000290118 - RICHS BRD&amp;ROLL CORE BB-SODEXO"</f>
        <v>000290118 - RICHS BRD&amp;ROLL CORE BB-SODEXO</v>
      </c>
      <c r="C5519" t="s">
        <v>568</v>
      </c>
      <c r="D5519" s="1" t="str">
        <f t="shared" si="160"/>
        <v>PRG-1027958</v>
      </c>
      <c r="E5519" t="s">
        <v>46</v>
      </c>
      <c r="F5519" t="s">
        <v>4</v>
      </c>
      <c r="G5519" t="str">
        <f>""</f>
        <v/>
      </c>
    </row>
    <row r="5520" spans="1:7" x14ac:dyDescent="0.25">
      <c r="A5520" t="s">
        <v>8</v>
      </c>
      <c r="B5520" s="1" t="str">
        <f>"000290119 - RICHS BRD&amp;ROLL NCORE BB-SODEXO"</f>
        <v>000290119 - RICHS BRD&amp;ROLL NCORE BB-SODEXO</v>
      </c>
      <c r="C5520" t="s">
        <v>569</v>
      </c>
      <c r="D5520" s="1" t="str">
        <f t="shared" si="160"/>
        <v>PRG-1027958</v>
      </c>
      <c r="E5520" t="s">
        <v>46</v>
      </c>
      <c r="F5520" t="s">
        <v>4</v>
      </c>
      <c r="G5520" t="str">
        <f>""</f>
        <v/>
      </c>
    </row>
    <row r="5521" spans="1:7" x14ac:dyDescent="0.25">
      <c r="A5521" t="s">
        <v>8</v>
      </c>
      <c r="B5521" s="1" t="str">
        <f>"000291057 - RICHS BREAD &amp; ROLLS-SODEXO"</f>
        <v>000291057 - RICHS BREAD &amp; ROLLS-SODEXO</v>
      </c>
      <c r="C5521" t="s">
        <v>135</v>
      </c>
      <c r="D5521" s="1" t="str">
        <f t="shared" si="160"/>
        <v>PRG-1027958</v>
      </c>
      <c r="E5521" t="s">
        <v>46</v>
      </c>
      <c r="F5521" t="s">
        <v>4</v>
      </c>
      <c r="G5521" t="str">
        <f>""</f>
        <v/>
      </c>
    </row>
    <row r="5522" spans="1:7" x14ac:dyDescent="0.25">
      <c r="A5522" t="s">
        <v>8</v>
      </c>
      <c r="B5522" s="1" t="str">
        <f>"000291340 - VOID H BREAD &amp; ROLL BB-SODEXO"</f>
        <v>000291340 - VOID H BREAD &amp; ROLL BB-SODEXO</v>
      </c>
      <c r="C5522" t="s">
        <v>564</v>
      </c>
      <c r="D5522" s="1" t="str">
        <f t="shared" si="160"/>
        <v>PRG-1027958</v>
      </c>
      <c r="E5522" t="s">
        <v>46</v>
      </c>
      <c r="F5522" t="s">
        <v>4</v>
      </c>
      <c r="G5522" t="str">
        <f>""</f>
        <v/>
      </c>
    </row>
    <row r="5523" spans="1:7" x14ac:dyDescent="0.25">
      <c r="A5523" t="s">
        <v>8</v>
      </c>
      <c r="B5523" s="1" t="str">
        <f>"000291388 - RICHS BREAD &amp; ROLL BB-SODEXO"</f>
        <v>000291388 - RICHS BREAD &amp; ROLL BB-SODEXO</v>
      </c>
      <c r="C5523" t="s">
        <v>566</v>
      </c>
      <c r="D5523" s="1" t="str">
        <f t="shared" si="160"/>
        <v>PRG-1027958</v>
      </c>
      <c r="E5523" t="s">
        <v>46</v>
      </c>
      <c r="F5523" t="s">
        <v>4</v>
      </c>
      <c r="G5523" t="str">
        <f>""</f>
        <v/>
      </c>
    </row>
    <row r="5524" spans="1:7" x14ac:dyDescent="0.25">
      <c r="A5524" t="s">
        <v>8</v>
      </c>
      <c r="B5524" s="1" t="str">
        <f>"000291747 - RICHS BRD&amp;ROLL CORE BB-SODEXO"</f>
        <v>000291747 - RICHS BRD&amp;ROLL CORE BB-SODEXO</v>
      </c>
      <c r="C5524" t="s">
        <v>568</v>
      </c>
      <c r="D5524" s="1" t="str">
        <f t="shared" si="160"/>
        <v>PRG-1027958</v>
      </c>
      <c r="E5524" t="s">
        <v>46</v>
      </c>
      <c r="F5524" t="s">
        <v>4</v>
      </c>
      <c r="G5524" t="str">
        <f>""</f>
        <v/>
      </c>
    </row>
    <row r="5525" spans="1:7" x14ac:dyDescent="0.25">
      <c r="A5525" t="s">
        <v>8</v>
      </c>
      <c r="B5525" s="1" t="str">
        <f>"000291748 - RICHS BRD&amp;ROLL NCORE BB-SODEXO"</f>
        <v>000291748 - RICHS BRD&amp;ROLL NCORE BB-SODEXO</v>
      </c>
      <c r="C5525" t="s">
        <v>569</v>
      </c>
      <c r="D5525" s="1" t="str">
        <f t="shared" si="160"/>
        <v>PRG-1027958</v>
      </c>
      <c r="E5525" t="s">
        <v>46</v>
      </c>
      <c r="F5525" t="s">
        <v>4</v>
      </c>
      <c r="G5525" t="str">
        <f>""</f>
        <v/>
      </c>
    </row>
    <row r="5526" spans="1:7" x14ac:dyDescent="0.25">
      <c r="A5526" t="s">
        <v>8</v>
      </c>
      <c r="B5526" s="1" t="str">
        <f>"000293209 - RICH BREAD &amp; ROLLS-SODEXO"</f>
        <v>000293209 - RICH BREAD &amp; ROLLS-SODEXO</v>
      </c>
      <c r="C5526" t="s">
        <v>141</v>
      </c>
      <c r="D5526" s="1" t="str">
        <f t="shared" si="160"/>
        <v>PRG-1027958</v>
      </c>
      <c r="E5526" t="s">
        <v>46</v>
      </c>
      <c r="F5526" t="s">
        <v>4</v>
      </c>
      <c r="G5526" t="str">
        <f>""</f>
        <v/>
      </c>
    </row>
    <row r="5527" spans="1:7" x14ac:dyDescent="0.25">
      <c r="A5527" t="s">
        <v>8</v>
      </c>
      <c r="B5527" s="1" t="str">
        <f>"000295107 - RICHS BREAD &amp; ROLLS-SODEXO"</f>
        <v>000295107 - RICHS BREAD &amp; ROLLS-SODEXO</v>
      </c>
      <c r="C5527" t="s">
        <v>135</v>
      </c>
      <c r="D5527" s="1" t="str">
        <f t="shared" si="160"/>
        <v>PRG-1027958</v>
      </c>
      <c r="E5527" t="s">
        <v>46</v>
      </c>
      <c r="F5527" t="s">
        <v>4</v>
      </c>
      <c r="G5527" t="str">
        <f>""</f>
        <v/>
      </c>
    </row>
    <row r="5528" spans="1:7" x14ac:dyDescent="0.25">
      <c r="A5528" t="s">
        <v>8</v>
      </c>
      <c r="B5528" s="1" t="str">
        <f>"000298092 - RICHS BREAD &amp; ROLLS-SODEXO"</f>
        <v>000298092 - RICHS BREAD &amp; ROLLS-SODEXO</v>
      </c>
      <c r="C5528" t="s">
        <v>135</v>
      </c>
      <c r="D5528" s="1" t="str">
        <f t="shared" si="160"/>
        <v>PRG-1027958</v>
      </c>
      <c r="E5528" t="s">
        <v>46</v>
      </c>
      <c r="F5528" t="s">
        <v>4</v>
      </c>
      <c r="G5528" t="str">
        <f>""</f>
        <v/>
      </c>
    </row>
    <row r="5529" spans="1:7" x14ac:dyDescent="0.25">
      <c r="A5529" t="s">
        <v>8</v>
      </c>
      <c r="B5529" s="1" t="str">
        <f>"000299410 - RICH BREAD &amp; ROLLS-SODEXO"</f>
        <v>000299410 - RICH BREAD &amp; ROLLS-SODEXO</v>
      </c>
      <c r="C5529" t="s">
        <v>141</v>
      </c>
      <c r="D5529" s="1" t="str">
        <f t="shared" si="160"/>
        <v>PRG-1027958</v>
      </c>
      <c r="E5529" t="s">
        <v>46</v>
      </c>
      <c r="F5529" t="s">
        <v>4</v>
      </c>
      <c r="G5529" t="str">
        <f>""</f>
        <v/>
      </c>
    </row>
    <row r="5530" spans="1:7" x14ac:dyDescent="0.25">
      <c r="A5530" t="s">
        <v>8</v>
      </c>
      <c r="B5530" s="1" t="str">
        <f>"000300274 - RICHS BREAD &amp; ROLL BB-SODEXO"</f>
        <v>000300274 - RICHS BREAD &amp; ROLL BB-SODEXO</v>
      </c>
      <c r="C5530" t="s">
        <v>566</v>
      </c>
      <c r="D5530" s="1" t="str">
        <f t="shared" si="160"/>
        <v>PRG-1027958</v>
      </c>
      <c r="E5530" t="s">
        <v>46</v>
      </c>
      <c r="F5530" t="s">
        <v>4</v>
      </c>
      <c r="G5530" t="str">
        <f>""</f>
        <v/>
      </c>
    </row>
    <row r="5531" spans="1:7" x14ac:dyDescent="0.25">
      <c r="A5531" t="s">
        <v>8</v>
      </c>
      <c r="B5531" s="1" t="str">
        <f>"000300883 - RICHS BRD&amp;ROLL CORE BB-SODEXO"</f>
        <v>000300883 - RICHS BRD&amp;ROLL CORE BB-SODEXO</v>
      </c>
      <c r="C5531" t="s">
        <v>568</v>
      </c>
      <c r="D5531" s="1" t="str">
        <f t="shared" si="160"/>
        <v>PRG-1027958</v>
      </c>
      <c r="E5531" t="s">
        <v>46</v>
      </c>
      <c r="F5531" t="s">
        <v>4</v>
      </c>
      <c r="G5531" t="str">
        <f>""</f>
        <v/>
      </c>
    </row>
    <row r="5532" spans="1:7" x14ac:dyDescent="0.25">
      <c r="A5532" t="s">
        <v>8</v>
      </c>
      <c r="B5532" s="1" t="str">
        <f>"000300884 - RICHS BRD&amp;ROLL NCORE BB-SODEXO"</f>
        <v>000300884 - RICHS BRD&amp;ROLL NCORE BB-SODEXO</v>
      </c>
      <c r="C5532" t="s">
        <v>569</v>
      </c>
      <c r="D5532" s="1" t="str">
        <f t="shared" si="160"/>
        <v>PRG-1027958</v>
      </c>
      <c r="E5532" t="s">
        <v>46</v>
      </c>
      <c r="F5532" t="s">
        <v>4</v>
      </c>
      <c r="G5532" t="str">
        <f>""</f>
        <v/>
      </c>
    </row>
    <row r="5533" spans="1:7" x14ac:dyDescent="0.25">
      <c r="A5533" t="s">
        <v>8</v>
      </c>
      <c r="B5533" s="1" t="str">
        <f>"000302546 - RICHS BRD&amp;ROLL CORE BB-SODEXO"</f>
        <v>000302546 - RICHS BRD&amp;ROLL CORE BB-SODEXO</v>
      </c>
      <c r="C5533" t="s">
        <v>568</v>
      </c>
      <c r="D5533" s="1" t="str">
        <f t="shared" si="160"/>
        <v>PRG-1027958</v>
      </c>
      <c r="E5533" t="s">
        <v>46</v>
      </c>
      <c r="F5533" t="s">
        <v>4</v>
      </c>
      <c r="G5533" t="str">
        <f>""</f>
        <v/>
      </c>
    </row>
    <row r="5534" spans="1:7" x14ac:dyDescent="0.25">
      <c r="A5534" t="s">
        <v>8</v>
      </c>
      <c r="B5534" s="1" t="str">
        <f>"000302547 - RICHS BRD&amp;ROLL NCORE BB-SODEXO"</f>
        <v>000302547 - RICHS BRD&amp;ROLL NCORE BB-SODEXO</v>
      </c>
      <c r="C5534" t="s">
        <v>569</v>
      </c>
      <c r="D5534" s="1" t="str">
        <f t="shared" si="160"/>
        <v>PRG-1027958</v>
      </c>
      <c r="E5534" t="s">
        <v>46</v>
      </c>
      <c r="F5534" t="s">
        <v>4</v>
      </c>
      <c r="G5534" t="str">
        <f>""</f>
        <v/>
      </c>
    </row>
    <row r="5535" spans="1:7" x14ac:dyDescent="0.25">
      <c r="A5535" t="s">
        <v>8</v>
      </c>
      <c r="B5535" s="1" t="str">
        <f>"000304279 - RICH BREAD &amp; ROLLS-SODEXO"</f>
        <v>000304279 - RICH BREAD &amp; ROLLS-SODEXO</v>
      </c>
      <c r="C5535" t="s">
        <v>141</v>
      </c>
      <c r="D5535" s="1" t="str">
        <f t="shared" si="160"/>
        <v>PRG-1027958</v>
      </c>
      <c r="E5535" t="s">
        <v>46</v>
      </c>
      <c r="F5535" t="s">
        <v>4</v>
      </c>
      <c r="G5535" t="str">
        <f>""</f>
        <v/>
      </c>
    </row>
    <row r="5536" spans="1:7" x14ac:dyDescent="0.25">
      <c r="A5536" t="s">
        <v>8</v>
      </c>
      <c r="B5536" s="1" t="str">
        <f>"000304765 - RICH BREAD &amp; ROLLS-SODEXO"</f>
        <v>000304765 - RICH BREAD &amp; ROLLS-SODEXO</v>
      </c>
      <c r="C5536" t="s">
        <v>141</v>
      </c>
      <c r="D5536" s="1" t="str">
        <f t="shared" si="160"/>
        <v>PRG-1027958</v>
      </c>
      <c r="E5536" t="s">
        <v>46</v>
      </c>
      <c r="F5536" t="s">
        <v>4</v>
      </c>
      <c r="G5536" t="str">
        <f>""</f>
        <v/>
      </c>
    </row>
    <row r="5537" spans="1:7" x14ac:dyDescent="0.25">
      <c r="A5537" t="s">
        <v>8</v>
      </c>
      <c r="B5537" s="1" t="str">
        <f>"000304868 - RICH BREAD &amp; ROLLS-SODEXO"</f>
        <v>000304868 - RICH BREAD &amp; ROLLS-SODEXO</v>
      </c>
      <c r="C5537" t="s">
        <v>141</v>
      </c>
      <c r="D5537" s="1" t="str">
        <f t="shared" si="160"/>
        <v>PRG-1027958</v>
      </c>
      <c r="E5537" t="s">
        <v>46</v>
      </c>
      <c r="F5537" t="s">
        <v>4</v>
      </c>
      <c r="G5537" t="str">
        <f>""</f>
        <v/>
      </c>
    </row>
    <row r="5538" spans="1:7" x14ac:dyDescent="0.25">
      <c r="A5538" t="s">
        <v>8</v>
      </c>
      <c r="B5538" s="1" t="str">
        <f>"000308410 - RICHS BREAD &amp; ROLLS-SODEXO"</f>
        <v>000308410 - RICHS BREAD &amp; ROLLS-SODEXO</v>
      </c>
      <c r="C5538" t="s">
        <v>135</v>
      </c>
      <c r="D5538" s="1" t="str">
        <f t="shared" si="160"/>
        <v>PRG-1027958</v>
      </c>
      <c r="E5538" t="s">
        <v>46</v>
      </c>
      <c r="F5538" t="s">
        <v>4</v>
      </c>
      <c r="G5538" t="str">
        <f>""</f>
        <v/>
      </c>
    </row>
    <row r="5539" spans="1:7" x14ac:dyDescent="0.25">
      <c r="A5539" t="s">
        <v>8</v>
      </c>
      <c r="B5539" s="1" t="str">
        <f>"000308877 - RICHS BREAD &amp; ROLLS-SODEXO"</f>
        <v>000308877 - RICHS BREAD &amp; ROLLS-SODEXO</v>
      </c>
      <c r="C5539" t="s">
        <v>135</v>
      </c>
      <c r="D5539" s="1" t="str">
        <f t="shared" si="160"/>
        <v>PRG-1027958</v>
      </c>
      <c r="E5539" t="s">
        <v>46</v>
      </c>
      <c r="F5539" t="s">
        <v>4</v>
      </c>
      <c r="G5539" t="str">
        <f>""</f>
        <v/>
      </c>
    </row>
    <row r="5540" spans="1:7" x14ac:dyDescent="0.25">
      <c r="A5540" t="s">
        <v>8</v>
      </c>
      <c r="B5540" s="1" t="str">
        <f>"000311863 - VOID H BREAD &amp; ROLL BB-SODEXO"</f>
        <v>000311863 - VOID H BREAD &amp; ROLL BB-SODEXO</v>
      </c>
      <c r="C5540" t="s">
        <v>564</v>
      </c>
      <c r="D5540" s="1" t="str">
        <f t="shared" si="160"/>
        <v>PRG-1027958</v>
      </c>
      <c r="E5540" t="s">
        <v>46</v>
      </c>
      <c r="F5540" t="s">
        <v>4</v>
      </c>
      <c r="G5540" t="str">
        <f>""</f>
        <v/>
      </c>
    </row>
    <row r="5541" spans="1:7" x14ac:dyDescent="0.25">
      <c r="A5541" t="s">
        <v>8</v>
      </c>
      <c r="B5541" s="1" t="str">
        <f>"000311932 - RICHS BREAD &amp; ROLL BB-SODEXO"</f>
        <v>000311932 - RICHS BREAD &amp; ROLL BB-SODEXO</v>
      </c>
      <c r="C5541" t="s">
        <v>566</v>
      </c>
      <c r="D5541" s="1" t="str">
        <f t="shared" si="160"/>
        <v>PRG-1027958</v>
      </c>
      <c r="E5541" t="s">
        <v>46</v>
      </c>
      <c r="F5541" t="s">
        <v>4</v>
      </c>
      <c r="G5541" t="str">
        <f>""</f>
        <v/>
      </c>
    </row>
    <row r="5542" spans="1:7" x14ac:dyDescent="0.25">
      <c r="A5542" t="s">
        <v>8</v>
      </c>
      <c r="B5542" s="1" t="str">
        <f>"000312018 - RICH BREAD &amp; ROLLS-SODEXO"</f>
        <v>000312018 - RICH BREAD &amp; ROLLS-SODEXO</v>
      </c>
      <c r="C5542" t="s">
        <v>141</v>
      </c>
      <c r="D5542" s="1" t="str">
        <f t="shared" si="160"/>
        <v>PRG-1027958</v>
      </c>
      <c r="E5542" t="s">
        <v>46</v>
      </c>
      <c r="F5542" t="s">
        <v>4</v>
      </c>
      <c r="G5542" t="str">
        <f>""</f>
        <v/>
      </c>
    </row>
    <row r="5543" spans="1:7" x14ac:dyDescent="0.25">
      <c r="A5543" t="s">
        <v>8</v>
      </c>
      <c r="B5543" s="1" t="str">
        <f>"000312472 - RICHS BRD&amp;ROLL CORE BB-SODEXO"</f>
        <v>000312472 - RICHS BRD&amp;ROLL CORE BB-SODEXO</v>
      </c>
      <c r="C5543" t="s">
        <v>568</v>
      </c>
      <c r="D5543" s="1" t="str">
        <f t="shared" si="160"/>
        <v>PRG-1027958</v>
      </c>
      <c r="E5543" t="s">
        <v>46</v>
      </c>
      <c r="F5543" t="s">
        <v>4</v>
      </c>
      <c r="G5543" t="str">
        <f>""</f>
        <v/>
      </c>
    </row>
    <row r="5544" spans="1:7" x14ac:dyDescent="0.25">
      <c r="A5544" t="s">
        <v>8</v>
      </c>
      <c r="B5544" s="1" t="str">
        <f>"000312473 - RICHS BRD&amp;ROLL NCORE BB-SODEXO"</f>
        <v>000312473 - RICHS BRD&amp;ROLL NCORE BB-SODEXO</v>
      </c>
      <c r="C5544" t="s">
        <v>569</v>
      </c>
      <c r="D5544" s="1" t="str">
        <f t="shared" si="160"/>
        <v>PRG-1027958</v>
      </c>
      <c r="E5544" t="s">
        <v>46</v>
      </c>
      <c r="F5544" t="s">
        <v>4</v>
      </c>
      <c r="G5544" t="str">
        <f>""</f>
        <v/>
      </c>
    </row>
    <row r="5545" spans="1:7" x14ac:dyDescent="0.25">
      <c r="A5545" t="s">
        <v>8</v>
      </c>
      <c r="B5545" s="1" t="str">
        <f>"000317011 - RICHS BREAD &amp; ROLLS-SODEXO"</f>
        <v>000317011 - RICHS BREAD &amp; ROLLS-SODEXO</v>
      </c>
      <c r="C5545" t="s">
        <v>135</v>
      </c>
      <c r="D5545" s="1" t="str">
        <f t="shared" si="160"/>
        <v>PRG-1027958</v>
      </c>
      <c r="E5545" t="s">
        <v>46</v>
      </c>
      <c r="F5545" t="s">
        <v>4</v>
      </c>
      <c r="G5545" t="str">
        <f>""</f>
        <v/>
      </c>
    </row>
    <row r="5546" spans="1:7" x14ac:dyDescent="0.25">
      <c r="A5546" t="s">
        <v>8</v>
      </c>
      <c r="B5546" s="1" t="str">
        <f>"000318272 - RICHS BREAD RETRO SODEXO"</f>
        <v>000318272 - RICHS BREAD RETRO SODEXO</v>
      </c>
      <c r="C5546" t="s">
        <v>3214</v>
      </c>
      <c r="D5546" s="1" t="str">
        <f t="shared" si="160"/>
        <v>PRG-1027958</v>
      </c>
      <c r="E5546" t="s">
        <v>46</v>
      </c>
      <c r="F5546" t="s">
        <v>4</v>
      </c>
      <c r="G5546" t="str">
        <f>""</f>
        <v/>
      </c>
    </row>
    <row r="5547" spans="1:7" x14ac:dyDescent="0.25">
      <c r="A5547" t="s">
        <v>8</v>
      </c>
      <c r="B5547" s="1" t="str">
        <f>"000318859 - RICH BREAD &amp; ROLLS-SODEXO"</f>
        <v>000318859 - RICH BREAD &amp; ROLLS-SODEXO</v>
      </c>
      <c r="C5547" t="s">
        <v>141</v>
      </c>
      <c r="D5547" s="1" t="str">
        <f t="shared" si="160"/>
        <v>PRG-1027958</v>
      </c>
      <c r="E5547" t="s">
        <v>46</v>
      </c>
      <c r="F5547" t="s">
        <v>4</v>
      </c>
      <c r="G5547" t="str">
        <f>""</f>
        <v/>
      </c>
    </row>
    <row r="5548" spans="1:7" x14ac:dyDescent="0.25">
      <c r="A5548" t="s">
        <v>8</v>
      </c>
      <c r="B5548" s="1" t="str">
        <f>"000319577 - RICHS BREAD &amp; ROLLS-SODEXO"</f>
        <v>000319577 - RICHS BREAD &amp; ROLLS-SODEXO</v>
      </c>
      <c r="C5548" t="s">
        <v>135</v>
      </c>
      <c r="D5548" s="1" t="str">
        <f t="shared" ref="D5548:D5573" si="161">"PRG-1027958"</f>
        <v>PRG-1027958</v>
      </c>
      <c r="E5548" t="s">
        <v>46</v>
      </c>
      <c r="F5548" t="s">
        <v>4</v>
      </c>
      <c r="G5548" t="str">
        <f>""</f>
        <v/>
      </c>
    </row>
    <row r="5549" spans="1:7" x14ac:dyDescent="0.25">
      <c r="A5549" t="s">
        <v>8</v>
      </c>
      <c r="B5549" s="1" t="str">
        <f>"000321520 - VOID H BREAD &amp; ROLL BB-SODEXO"</f>
        <v>000321520 - VOID H BREAD &amp; ROLL BB-SODEXO</v>
      </c>
      <c r="C5549" t="s">
        <v>564</v>
      </c>
      <c r="D5549" s="1" t="str">
        <f t="shared" si="161"/>
        <v>PRG-1027958</v>
      </c>
      <c r="E5549" t="s">
        <v>46</v>
      </c>
      <c r="F5549" t="s">
        <v>4</v>
      </c>
      <c r="G5549" t="str">
        <f>""</f>
        <v/>
      </c>
    </row>
    <row r="5550" spans="1:7" x14ac:dyDescent="0.25">
      <c r="A5550" t="s">
        <v>8</v>
      </c>
      <c r="B5550" s="1" t="str">
        <f>"000321588 - RICHS BREAD &amp; ROLL BB-SODEXO"</f>
        <v>000321588 - RICHS BREAD &amp; ROLL BB-SODEXO</v>
      </c>
      <c r="C5550" t="s">
        <v>566</v>
      </c>
      <c r="D5550" s="1" t="str">
        <f t="shared" si="161"/>
        <v>PRG-1027958</v>
      </c>
      <c r="E5550" t="s">
        <v>46</v>
      </c>
      <c r="F5550" t="s">
        <v>4</v>
      </c>
      <c r="G5550" t="str">
        <f>""</f>
        <v/>
      </c>
    </row>
    <row r="5551" spans="1:7" x14ac:dyDescent="0.25">
      <c r="A5551" t="s">
        <v>8</v>
      </c>
      <c r="B5551" s="1" t="str">
        <f>"000322179 - RICHS BRD&amp;ROLL CORE BB-SODEXO"</f>
        <v>000322179 - RICHS BRD&amp;ROLL CORE BB-SODEXO</v>
      </c>
      <c r="C5551" t="s">
        <v>568</v>
      </c>
      <c r="D5551" s="1" t="str">
        <f t="shared" si="161"/>
        <v>PRG-1027958</v>
      </c>
      <c r="E5551" t="s">
        <v>46</v>
      </c>
      <c r="F5551" t="s">
        <v>4</v>
      </c>
      <c r="G5551" t="str">
        <f>""</f>
        <v/>
      </c>
    </row>
    <row r="5552" spans="1:7" x14ac:dyDescent="0.25">
      <c r="A5552" t="s">
        <v>8</v>
      </c>
      <c r="B5552" s="1" t="str">
        <f>"000322180 - RICHS BRD&amp;ROLL NCORE BB-SODEXO"</f>
        <v>000322180 - RICHS BRD&amp;ROLL NCORE BB-SODEXO</v>
      </c>
      <c r="C5552" t="s">
        <v>569</v>
      </c>
      <c r="D5552" s="1" t="str">
        <f t="shared" si="161"/>
        <v>PRG-1027958</v>
      </c>
      <c r="E5552" t="s">
        <v>46</v>
      </c>
      <c r="F5552" t="s">
        <v>4</v>
      </c>
      <c r="G5552" t="str">
        <f>""</f>
        <v/>
      </c>
    </row>
    <row r="5553" spans="1:7" x14ac:dyDescent="0.25">
      <c r="A5553" t="s">
        <v>8</v>
      </c>
      <c r="B5553" s="1" t="str">
        <f>"000322778 - RICHS BREAD &amp; ROLLS-SODEXO"</f>
        <v>000322778 - RICHS BREAD &amp; ROLLS-SODEXO</v>
      </c>
      <c r="C5553" t="s">
        <v>135</v>
      </c>
      <c r="D5553" s="1" t="str">
        <f t="shared" si="161"/>
        <v>PRG-1027958</v>
      </c>
      <c r="E5553" t="s">
        <v>46</v>
      </c>
      <c r="F5553" t="s">
        <v>4</v>
      </c>
      <c r="G5553" t="str">
        <f>""</f>
        <v/>
      </c>
    </row>
    <row r="5554" spans="1:7" x14ac:dyDescent="0.25">
      <c r="A5554" t="s">
        <v>8</v>
      </c>
      <c r="B5554" s="1" t="str">
        <f>"000329544 - RICH BREAD &amp; ROLLS-SODEXO"</f>
        <v>000329544 - RICH BREAD &amp; ROLLS-SODEXO</v>
      </c>
      <c r="C5554" t="s">
        <v>141</v>
      </c>
      <c r="D5554" s="1" t="str">
        <f t="shared" si="161"/>
        <v>PRG-1027958</v>
      </c>
      <c r="E5554" t="s">
        <v>46</v>
      </c>
      <c r="F5554" t="s">
        <v>4</v>
      </c>
      <c r="G5554" t="str">
        <f>""</f>
        <v/>
      </c>
    </row>
    <row r="5555" spans="1:7" x14ac:dyDescent="0.25">
      <c r="A5555" t="s">
        <v>8</v>
      </c>
      <c r="B5555" s="1" t="str">
        <f>"000334048 - RICHS BREAD &amp; ROLLS-SODEXO"</f>
        <v>000334048 - RICHS BREAD &amp; ROLLS-SODEXO</v>
      </c>
      <c r="C5555" t="s">
        <v>135</v>
      </c>
      <c r="D5555" s="1" t="str">
        <f t="shared" si="161"/>
        <v>PRG-1027958</v>
      </c>
      <c r="E5555" t="s">
        <v>46</v>
      </c>
      <c r="F5555" t="s">
        <v>4</v>
      </c>
      <c r="G5555" t="str">
        <f>""</f>
        <v/>
      </c>
    </row>
    <row r="5556" spans="1:7" x14ac:dyDescent="0.25">
      <c r="A5556" t="s">
        <v>8</v>
      </c>
      <c r="B5556" s="1" t="str">
        <f>"000337520 - VOID H BREAD &amp; ROLL BB-SODEXO"</f>
        <v>000337520 - VOID H BREAD &amp; ROLL BB-SODEXO</v>
      </c>
      <c r="C5556" t="s">
        <v>564</v>
      </c>
      <c r="D5556" s="1" t="str">
        <f t="shared" si="161"/>
        <v>PRG-1027958</v>
      </c>
      <c r="E5556" t="s">
        <v>46</v>
      </c>
      <c r="F5556" t="s">
        <v>4</v>
      </c>
      <c r="G5556" t="str">
        <f>""</f>
        <v/>
      </c>
    </row>
    <row r="5557" spans="1:7" x14ac:dyDescent="0.25">
      <c r="A5557" t="s">
        <v>8</v>
      </c>
      <c r="B5557" s="1" t="str">
        <f>"000337583 - RICHS BREAD &amp; ROLL BB-SODEXO"</f>
        <v>000337583 - RICHS BREAD &amp; ROLL BB-SODEXO</v>
      </c>
      <c r="C5557" t="s">
        <v>566</v>
      </c>
      <c r="D5557" s="1" t="str">
        <f t="shared" si="161"/>
        <v>PRG-1027958</v>
      </c>
      <c r="E5557" t="s">
        <v>46</v>
      </c>
      <c r="F5557" t="s">
        <v>4</v>
      </c>
      <c r="G5557" t="str">
        <f>""</f>
        <v/>
      </c>
    </row>
    <row r="5558" spans="1:7" x14ac:dyDescent="0.25">
      <c r="A5558" t="s">
        <v>8</v>
      </c>
      <c r="B5558" s="1" t="str">
        <f>"000338076 - RICHS BRD&amp;ROLL CORE BB-SODEXO"</f>
        <v>000338076 - RICHS BRD&amp;ROLL CORE BB-SODEXO</v>
      </c>
      <c r="C5558" t="s">
        <v>568</v>
      </c>
      <c r="D5558" s="1" t="str">
        <f t="shared" si="161"/>
        <v>PRG-1027958</v>
      </c>
      <c r="E5558" t="s">
        <v>46</v>
      </c>
      <c r="F5558" t="s">
        <v>4</v>
      </c>
      <c r="G5558" t="str">
        <f>""</f>
        <v/>
      </c>
    </row>
    <row r="5559" spans="1:7" x14ac:dyDescent="0.25">
      <c r="A5559" t="s">
        <v>8</v>
      </c>
      <c r="B5559" s="1" t="str">
        <f>"000344887 - RICH BREAD &amp; ROLLS-SODEXO"</f>
        <v>000344887 - RICH BREAD &amp; ROLLS-SODEXO</v>
      </c>
      <c r="C5559" t="s">
        <v>141</v>
      </c>
      <c r="D5559" s="1" t="str">
        <f t="shared" si="161"/>
        <v>PRG-1027958</v>
      </c>
      <c r="E5559" t="s">
        <v>46</v>
      </c>
      <c r="F5559" t="s">
        <v>4</v>
      </c>
      <c r="G5559" t="str">
        <f>""</f>
        <v/>
      </c>
    </row>
    <row r="5560" spans="1:7" x14ac:dyDescent="0.25">
      <c r="A5560" t="s">
        <v>8</v>
      </c>
      <c r="B5560" s="1" t="str">
        <f>"000349410 - RICH BREAD &amp; ROLLS-SODEXO"</f>
        <v>000349410 - RICH BREAD &amp; ROLLS-SODEXO</v>
      </c>
      <c r="C5560" t="s">
        <v>141</v>
      </c>
      <c r="D5560" s="1" t="str">
        <f t="shared" si="161"/>
        <v>PRG-1027958</v>
      </c>
      <c r="E5560" t="s">
        <v>46</v>
      </c>
      <c r="F5560" t="s">
        <v>4</v>
      </c>
      <c r="G5560" t="str">
        <f>""</f>
        <v/>
      </c>
    </row>
    <row r="5561" spans="1:7" x14ac:dyDescent="0.25">
      <c r="A5561" t="s">
        <v>8</v>
      </c>
      <c r="B5561" s="1" t="str">
        <f>"000349541 - RICHS BREAD &amp; ROLLS-SODEXO"</f>
        <v>000349541 - RICHS BREAD &amp; ROLLS-SODEXO</v>
      </c>
      <c r="C5561" t="s">
        <v>135</v>
      </c>
      <c r="D5561" s="1" t="str">
        <f t="shared" si="161"/>
        <v>PRG-1027958</v>
      </c>
      <c r="E5561" t="s">
        <v>46</v>
      </c>
      <c r="F5561" t="s">
        <v>4</v>
      </c>
      <c r="G5561" t="str">
        <f>""</f>
        <v/>
      </c>
    </row>
    <row r="5562" spans="1:7" x14ac:dyDescent="0.25">
      <c r="A5562" t="s">
        <v>8</v>
      </c>
      <c r="B5562" s="1" t="str">
        <f>"000353091 - VOID H BREAD &amp; ROLL BB-SODEXO"</f>
        <v>000353091 - VOID H BREAD &amp; ROLL BB-SODEXO</v>
      </c>
      <c r="C5562" t="s">
        <v>564</v>
      </c>
      <c r="D5562" s="1" t="str">
        <f t="shared" si="161"/>
        <v>PRG-1027958</v>
      </c>
      <c r="E5562" t="s">
        <v>46</v>
      </c>
      <c r="F5562" t="s">
        <v>4</v>
      </c>
      <c r="G5562" t="str">
        <f>""</f>
        <v/>
      </c>
    </row>
    <row r="5563" spans="1:7" x14ac:dyDescent="0.25">
      <c r="A5563" t="s">
        <v>8</v>
      </c>
      <c r="B5563" s="1" t="str">
        <f>"000353160 - RICHS BREAD &amp; ROLL BB-SODEXO"</f>
        <v>000353160 - RICHS BREAD &amp; ROLL BB-SODEXO</v>
      </c>
      <c r="C5563" t="s">
        <v>566</v>
      </c>
      <c r="D5563" s="1" t="str">
        <f t="shared" si="161"/>
        <v>PRG-1027958</v>
      </c>
      <c r="E5563" t="s">
        <v>46</v>
      </c>
      <c r="F5563" t="s">
        <v>4</v>
      </c>
      <c r="G5563" t="str">
        <f>""</f>
        <v/>
      </c>
    </row>
    <row r="5564" spans="1:7" x14ac:dyDescent="0.25">
      <c r="A5564" t="s">
        <v>8</v>
      </c>
      <c r="B5564" s="1" t="str">
        <f>"000353430 - RICHS BREAD &amp; ROLLS-SODEXO"</f>
        <v>000353430 - RICHS BREAD &amp; ROLLS-SODEXO</v>
      </c>
      <c r="C5564" t="s">
        <v>135</v>
      </c>
      <c r="D5564" s="1" t="str">
        <f t="shared" si="161"/>
        <v>PRG-1027958</v>
      </c>
      <c r="E5564" t="s">
        <v>46</v>
      </c>
      <c r="F5564" t="s">
        <v>4</v>
      </c>
      <c r="G5564" t="str">
        <f>""</f>
        <v/>
      </c>
    </row>
    <row r="5565" spans="1:7" x14ac:dyDescent="0.25">
      <c r="A5565" t="s">
        <v>8</v>
      </c>
      <c r="B5565" s="1" t="str">
        <f>"000353633 - RICHS BRD&amp;ROLL CORE BB-SODEXO"</f>
        <v>000353633 - RICHS BRD&amp;ROLL CORE BB-SODEXO</v>
      </c>
      <c r="C5565" t="s">
        <v>568</v>
      </c>
      <c r="D5565" s="1" t="str">
        <f t="shared" si="161"/>
        <v>PRG-1027958</v>
      </c>
      <c r="E5565" t="s">
        <v>46</v>
      </c>
      <c r="F5565" t="s">
        <v>4</v>
      </c>
      <c r="G5565" t="str">
        <f>""</f>
        <v/>
      </c>
    </row>
    <row r="5566" spans="1:7" x14ac:dyDescent="0.25">
      <c r="A5566" t="s">
        <v>8</v>
      </c>
      <c r="B5566" s="1" t="str">
        <f>"000353634 - RICHS BRD&amp;ROLL NCORE BB-SODEXO"</f>
        <v>000353634 - RICHS BRD&amp;ROLL NCORE BB-SODEXO</v>
      </c>
      <c r="C5566" t="s">
        <v>569</v>
      </c>
      <c r="D5566" s="1" t="str">
        <f t="shared" si="161"/>
        <v>PRG-1027958</v>
      </c>
      <c r="E5566" t="s">
        <v>46</v>
      </c>
      <c r="F5566" t="s">
        <v>4</v>
      </c>
      <c r="G5566" t="str">
        <f>""</f>
        <v/>
      </c>
    </row>
    <row r="5567" spans="1:7" x14ac:dyDescent="0.25">
      <c r="A5567" t="s">
        <v>8</v>
      </c>
      <c r="B5567" s="1" t="str">
        <f>"000357129 - VOID H BREAD &amp; ROLL BB-SODEXO"</f>
        <v>000357129 - VOID H BREAD &amp; ROLL BB-SODEXO</v>
      </c>
      <c r="C5567" t="s">
        <v>564</v>
      </c>
      <c r="D5567" s="1" t="str">
        <f t="shared" si="161"/>
        <v>PRG-1027958</v>
      </c>
      <c r="E5567" t="s">
        <v>46</v>
      </c>
      <c r="F5567" t="s">
        <v>4</v>
      </c>
      <c r="G5567" t="str">
        <f>""</f>
        <v/>
      </c>
    </row>
    <row r="5568" spans="1:7" x14ac:dyDescent="0.25">
      <c r="A5568" t="s">
        <v>8</v>
      </c>
      <c r="B5568" s="1" t="str">
        <f>"000357195 - RICHS BREAD &amp; ROLL BB-SODEXO"</f>
        <v>000357195 - RICHS BREAD &amp; ROLL BB-SODEXO</v>
      </c>
      <c r="C5568" t="s">
        <v>566</v>
      </c>
      <c r="D5568" s="1" t="str">
        <f t="shared" si="161"/>
        <v>PRG-1027958</v>
      </c>
      <c r="E5568" t="s">
        <v>46</v>
      </c>
      <c r="F5568" t="s">
        <v>4</v>
      </c>
      <c r="G5568" t="str">
        <f>""</f>
        <v/>
      </c>
    </row>
    <row r="5569" spans="1:7" x14ac:dyDescent="0.25">
      <c r="A5569" t="s">
        <v>8</v>
      </c>
      <c r="B5569" s="1" t="str">
        <f>"000357594 - RICHS BRD&amp;ROLL CORE BB-SODEXO"</f>
        <v>000357594 - RICHS BRD&amp;ROLL CORE BB-SODEXO</v>
      </c>
      <c r="C5569" t="s">
        <v>568</v>
      </c>
      <c r="D5569" s="1" t="str">
        <f t="shared" si="161"/>
        <v>PRG-1027958</v>
      </c>
      <c r="E5569" t="s">
        <v>46</v>
      </c>
      <c r="F5569" t="s">
        <v>4</v>
      </c>
      <c r="G5569" t="str">
        <f>""</f>
        <v/>
      </c>
    </row>
    <row r="5570" spans="1:7" x14ac:dyDescent="0.25">
      <c r="A5570" t="s">
        <v>8</v>
      </c>
      <c r="B5570" s="1" t="str">
        <f>"000357595 - RICHS BRD&amp;ROLL NCORE BB-SODEXO"</f>
        <v>000357595 - RICHS BRD&amp;ROLL NCORE BB-SODEXO</v>
      </c>
      <c r="C5570" t="s">
        <v>569</v>
      </c>
      <c r="D5570" s="1" t="str">
        <f t="shared" si="161"/>
        <v>PRG-1027958</v>
      </c>
      <c r="E5570" t="s">
        <v>46</v>
      </c>
      <c r="F5570" t="s">
        <v>4</v>
      </c>
      <c r="G5570" t="str">
        <f>""</f>
        <v/>
      </c>
    </row>
    <row r="5571" spans="1:7" x14ac:dyDescent="0.25">
      <c r="A5571" t="s">
        <v>8</v>
      </c>
      <c r="B5571" s="1" t="str">
        <f>"2000237962 - RICHS BREAD-SODEXO"</f>
        <v>2000237962 - RICHS BREAD-SODEXO</v>
      </c>
      <c r="C5571" t="s">
        <v>3827</v>
      </c>
      <c r="D5571" s="1" t="str">
        <f t="shared" si="161"/>
        <v>PRG-1027958</v>
      </c>
      <c r="E5571" t="s">
        <v>46</v>
      </c>
      <c r="F5571" t="s">
        <v>4</v>
      </c>
      <c r="G5571" t="str">
        <f>""</f>
        <v/>
      </c>
    </row>
    <row r="5572" spans="1:7" x14ac:dyDescent="0.25">
      <c r="A5572" t="s">
        <v>8</v>
      </c>
      <c r="B5572" s="1" t="str">
        <f>"2000264978 - RICHS BREAD-SODEXO"</f>
        <v>2000264978 - RICHS BREAD-SODEXO</v>
      </c>
      <c r="C5572" t="s">
        <v>3827</v>
      </c>
      <c r="D5572" s="1" t="str">
        <f t="shared" si="161"/>
        <v>PRG-1027958</v>
      </c>
      <c r="E5572" t="s">
        <v>46</v>
      </c>
      <c r="F5572" t="s">
        <v>4</v>
      </c>
      <c r="G5572" t="str">
        <f>""</f>
        <v/>
      </c>
    </row>
    <row r="5573" spans="1:7" x14ac:dyDescent="0.25">
      <c r="A5573" t="s">
        <v>8</v>
      </c>
      <c r="B5573" s="1" t="str">
        <f>"2000286700 - RICHS BREAD-SODEXO"</f>
        <v>2000286700 - RICHS BREAD-SODEXO</v>
      </c>
      <c r="C5573" t="s">
        <v>3827</v>
      </c>
      <c r="D5573" s="1" t="str">
        <f t="shared" si="161"/>
        <v>PRG-1027958</v>
      </c>
      <c r="E5573" t="s">
        <v>46</v>
      </c>
      <c r="F5573" t="s">
        <v>4</v>
      </c>
      <c r="G5573" t="str">
        <f>""</f>
        <v/>
      </c>
    </row>
    <row r="5574" spans="1:7" x14ac:dyDescent="0.25">
      <c r="A5574" t="s">
        <v>8</v>
      </c>
      <c r="B5574" s="1" t="str">
        <f>"000281439 - RICHS GABRIELLAS ITALIAN"</f>
        <v>000281439 - RICHS GABRIELLAS ITALIAN</v>
      </c>
      <c r="C5574" t="s">
        <v>2652</v>
      </c>
      <c r="D5574" s="1" t="str">
        <f>"PRG-1027959"</f>
        <v>PRG-1027959</v>
      </c>
      <c r="E5574" t="s">
        <v>2653</v>
      </c>
      <c r="F5574" t="s">
        <v>4</v>
      </c>
      <c r="G5574" t="str">
        <f>""</f>
        <v/>
      </c>
    </row>
    <row r="5575" spans="1:7" x14ac:dyDescent="0.25">
      <c r="A5575" t="s">
        <v>8</v>
      </c>
      <c r="B5575" s="1" t="str">
        <f>"000298500 - RICHS GABRIELLAS ITALIAN"</f>
        <v>000298500 - RICHS GABRIELLAS ITALIAN</v>
      </c>
      <c r="C5575" t="s">
        <v>2652</v>
      </c>
      <c r="D5575" s="1" t="str">
        <f>"PRG-1027959"</f>
        <v>PRG-1027959</v>
      </c>
      <c r="E5575" t="s">
        <v>2653</v>
      </c>
      <c r="F5575" t="s">
        <v>4</v>
      </c>
      <c r="G5575" t="str">
        <f>""</f>
        <v/>
      </c>
    </row>
    <row r="5576" spans="1:7" x14ac:dyDescent="0.25">
      <c r="A5576" t="s">
        <v>8</v>
      </c>
      <c r="B5576" s="1" t="str">
        <f>"000306228 - RICH'S GO CHICKEN GO"</f>
        <v>000306228 - RICH'S GO CHICKEN GO</v>
      </c>
      <c r="C5576" t="s">
        <v>3044</v>
      </c>
      <c r="D5576" s="1" t="str">
        <f>"PRG-1027971"</f>
        <v>PRG-1027971</v>
      </c>
      <c r="E5576" t="s">
        <v>3045</v>
      </c>
      <c r="F5576" t="s">
        <v>4</v>
      </c>
      <c r="G5576" t="str">
        <f>""</f>
        <v/>
      </c>
    </row>
    <row r="5577" spans="1:7" x14ac:dyDescent="0.25">
      <c r="A5577" t="s">
        <v>8</v>
      </c>
      <c r="B5577" s="1" t="str">
        <f>"000325356 - "</f>
        <v xml:space="preserve">000325356 - </v>
      </c>
      <c r="D5577" s="1" t="str">
        <f>"PRG-1027971"</f>
        <v>PRG-1027971</v>
      </c>
      <c r="E5577" t="s">
        <v>3045</v>
      </c>
      <c r="F5577" t="s">
        <v>4</v>
      </c>
      <c r="G5577" t="str">
        <f>""</f>
        <v/>
      </c>
    </row>
    <row r="5578" spans="1:7" x14ac:dyDescent="0.25">
      <c r="A5578" t="s">
        <v>8</v>
      </c>
      <c r="B5578" s="1" t="str">
        <f>"000351231 - "</f>
        <v xml:space="preserve">000351231 - </v>
      </c>
      <c r="D5578" s="1" t="str">
        <f>"PRG-1027971"</f>
        <v>PRG-1027971</v>
      </c>
      <c r="E5578" t="s">
        <v>3045</v>
      </c>
      <c r="F5578" t="s">
        <v>4</v>
      </c>
      <c r="G5578" t="str">
        <f>""</f>
        <v/>
      </c>
    </row>
    <row r="5579" spans="1:7" x14ac:dyDescent="0.25">
      <c r="A5579" t="s">
        <v>8</v>
      </c>
      <c r="B5579" s="1" t="str">
        <f>"000010456 - "</f>
        <v xml:space="preserve">000010456 - </v>
      </c>
      <c r="D5579" s="1" t="str">
        <f t="shared" ref="D5579:D5610" si="162">"PRG-1028047"</f>
        <v>PRG-1028047</v>
      </c>
      <c r="E5579" t="s">
        <v>311</v>
      </c>
      <c r="F5579" t="s">
        <v>4</v>
      </c>
      <c r="G5579" t="str">
        <f>""</f>
        <v/>
      </c>
    </row>
    <row r="5580" spans="1:7" x14ac:dyDescent="0.25">
      <c r="A5580" t="s">
        <v>8</v>
      </c>
      <c r="B5580" s="1" t="str">
        <f>"000010457 - "</f>
        <v xml:space="preserve">000010457 - </v>
      </c>
      <c r="D5580" s="1" t="str">
        <f t="shared" si="162"/>
        <v>PRG-1028047</v>
      </c>
      <c r="E5580" t="s">
        <v>311</v>
      </c>
      <c r="F5580" t="s">
        <v>4</v>
      </c>
      <c r="G5580" t="str">
        <f>""</f>
        <v/>
      </c>
    </row>
    <row r="5581" spans="1:7" x14ac:dyDescent="0.25">
      <c r="A5581" t="s">
        <v>8</v>
      </c>
      <c r="B5581" s="1" t="str">
        <f>"000010593 - RICH FOODS-PINNACLE"</f>
        <v>000010593 - RICH FOODS-PINNACLE</v>
      </c>
      <c r="C5581" t="s">
        <v>313</v>
      </c>
      <c r="D5581" s="1" t="str">
        <f t="shared" si="162"/>
        <v>PRG-1028047</v>
      </c>
      <c r="E5581" t="s">
        <v>311</v>
      </c>
      <c r="F5581" t="s">
        <v>4</v>
      </c>
      <c r="G5581" t="str">
        <f>""</f>
        <v/>
      </c>
    </row>
    <row r="5582" spans="1:7" x14ac:dyDescent="0.25">
      <c r="A5582" t="s">
        <v>8</v>
      </c>
      <c r="B5582" s="1" t="str">
        <f>"000015095 - "</f>
        <v xml:space="preserve">000015095 - </v>
      </c>
      <c r="D5582" s="1" t="str">
        <f t="shared" si="162"/>
        <v>PRG-1028047</v>
      </c>
      <c r="E5582" t="s">
        <v>311</v>
      </c>
      <c r="F5582" t="s">
        <v>4</v>
      </c>
      <c r="G5582" t="str">
        <f>""</f>
        <v/>
      </c>
    </row>
    <row r="5583" spans="1:7" x14ac:dyDescent="0.25">
      <c r="A5583" t="s">
        <v>8</v>
      </c>
      <c r="B5583" s="1" t="str">
        <f>"000016233 - "</f>
        <v xml:space="preserve">000016233 - </v>
      </c>
      <c r="D5583" s="1" t="str">
        <f t="shared" si="162"/>
        <v>PRG-1028047</v>
      </c>
      <c r="E5583" t="s">
        <v>311</v>
      </c>
      <c r="F5583" t="s">
        <v>4</v>
      </c>
      <c r="G5583" t="str">
        <f>""</f>
        <v/>
      </c>
    </row>
    <row r="5584" spans="1:7" x14ac:dyDescent="0.25">
      <c r="A5584" t="s">
        <v>8</v>
      </c>
      <c r="B5584" s="1" t="str">
        <f>"000057056 - RICH FOODS CORE BB-PINNACLE"</f>
        <v>000057056 - RICH FOODS CORE BB-PINNACLE</v>
      </c>
      <c r="C5584" t="s">
        <v>687</v>
      </c>
      <c r="D5584" s="1" t="str">
        <f t="shared" si="162"/>
        <v>PRG-1028047</v>
      </c>
      <c r="E5584" t="s">
        <v>311</v>
      </c>
      <c r="F5584" t="s">
        <v>4</v>
      </c>
      <c r="G5584" t="str">
        <f>""</f>
        <v/>
      </c>
    </row>
    <row r="5585" spans="1:7" x14ac:dyDescent="0.25">
      <c r="A5585" t="s">
        <v>8</v>
      </c>
      <c r="B5585" s="1" t="str">
        <f>"000063055 - RICH FOODS-PINNACLE"</f>
        <v>000063055 - RICH FOODS-PINNACLE</v>
      </c>
      <c r="C5585" t="s">
        <v>313</v>
      </c>
      <c r="D5585" s="1" t="str">
        <f t="shared" si="162"/>
        <v>PRG-1028047</v>
      </c>
      <c r="E5585" t="s">
        <v>311</v>
      </c>
      <c r="F5585" t="s">
        <v>4</v>
      </c>
      <c r="G5585" t="str">
        <f>""</f>
        <v/>
      </c>
    </row>
    <row r="5586" spans="1:7" x14ac:dyDescent="0.25">
      <c r="A5586" t="s">
        <v>8</v>
      </c>
      <c r="B5586" s="1" t="str">
        <f>"000063814 - RICH FOODS-PINNACLE"</f>
        <v>000063814 - RICH FOODS-PINNACLE</v>
      </c>
      <c r="C5586" t="s">
        <v>313</v>
      </c>
      <c r="D5586" s="1" t="str">
        <f t="shared" si="162"/>
        <v>PRG-1028047</v>
      </c>
      <c r="E5586" t="s">
        <v>311</v>
      </c>
      <c r="F5586" t="s">
        <v>4</v>
      </c>
      <c r="G5586" t="str">
        <f>""</f>
        <v/>
      </c>
    </row>
    <row r="5587" spans="1:7" x14ac:dyDescent="0.25">
      <c r="A5587" t="s">
        <v>8</v>
      </c>
      <c r="B5587" s="1" t="str">
        <f>"000069393 - RICH FOODS-PINNACLE"</f>
        <v>000069393 - RICH FOODS-PINNACLE</v>
      </c>
      <c r="C5587" t="s">
        <v>313</v>
      </c>
      <c r="D5587" s="1" t="str">
        <f t="shared" si="162"/>
        <v>PRG-1028047</v>
      </c>
      <c r="E5587" t="s">
        <v>311</v>
      </c>
      <c r="F5587" t="s">
        <v>4</v>
      </c>
      <c r="G5587" t="str">
        <f>""</f>
        <v/>
      </c>
    </row>
    <row r="5588" spans="1:7" x14ac:dyDescent="0.25">
      <c r="A5588" t="s">
        <v>8</v>
      </c>
      <c r="B5588" s="1" t="str">
        <f>"000221491 - BB PINNACLE CR DPM RICHS"</f>
        <v>000221491 - BB PINNACLE CR DPM RICHS</v>
      </c>
      <c r="C5588" t="s">
        <v>1605</v>
      </c>
      <c r="D5588" s="1" t="str">
        <f t="shared" si="162"/>
        <v>PRG-1028047</v>
      </c>
      <c r="E5588" t="s">
        <v>311</v>
      </c>
      <c r="F5588" t="s">
        <v>4</v>
      </c>
      <c r="G5588" t="str">
        <f>""</f>
        <v/>
      </c>
    </row>
    <row r="5589" spans="1:7" x14ac:dyDescent="0.25">
      <c r="A5589" t="s">
        <v>8</v>
      </c>
      <c r="B5589" s="1" t="str">
        <f>"000221492 - BB PINNACLE NC DPM RICHS"</f>
        <v>000221492 - BB PINNACLE NC DPM RICHS</v>
      </c>
      <c r="C5589" t="s">
        <v>1606</v>
      </c>
      <c r="D5589" s="1" t="str">
        <f t="shared" si="162"/>
        <v>PRG-1028047</v>
      </c>
      <c r="E5589" t="s">
        <v>311</v>
      </c>
      <c r="F5589" t="s">
        <v>4</v>
      </c>
      <c r="G5589" t="str">
        <f>""</f>
        <v/>
      </c>
    </row>
    <row r="5590" spans="1:7" x14ac:dyDescent="0.25">
      <c r="A5590" t="s">
        <v>8</v>
      </c>
      <c r="B5590" s="1" t="str">
        <f>"000225163 - BB PINNACLE FOB NC RICHS"</f>
        <v>000225163 - BB PINNACLE FOB NC RICHS</v>
      </c>
      <c r="C5590" t="s">
        <v>1520</v>
      </c>
      <c r="D5590" s="1" t="str">
        <f t="shared" si="162"/>
        <v>PRG-1028047</v>
      </c>
      <c r="E5590" t="s">
        <v>311</v>
      </c>
      <c r="F5590" t="s">
        <v>4</v>
      </c>
      <c r="G5590" t="str">
        <f>""</f>
        <v/>
      </c>
    </row>
    <row r="5591" spans="1:7" x14ac:dyDescent="0.25">
      <c r="A5591" t="s">
        <v>8</v>
      </c>
      <c r="B5591" s="1" t="str">
        <f>"000227215 - RICH FOODS CORE BB-PINNACLE"</f>
        <v>000227215 - RICH FOODS CORE BB-PINNACLE</v>
      </c>
      <c r="C5591" t="s">
        <v>687</v>
      </c>
      <c r="D5591" s="1" t="str">
        <f t="shared" si="162"/>
        <v>PRG-1028047</v>
      </c>
      <c r="E5591" t="s">
        <v>311</v>
      </c>
      <c r="F5591" t="s">
        <v>4</v>
      </c>
      <c r="G5591" t="str">
        <f>""</f>
        <v/>
      </c>
    </row>
    <row r="5592" spans="1:7" x14ac:dyDescent="0.25">
      <c r="A5592" t="s">
        <v>8</v>
      </c>
      <c r="B5592" s="1" t="str">
        <f>"000231405 - RICH FOODS CORE BB-PINNACLE"</f>
        <v>000231405 - RICH FOODS CORE BB-PINNACLE</v>
      </c>
      <c r="C5592" t="s">
        <v>687</v>
      </c>
      <c r="D5592" s="1" t="str">
        <f t="shared" si="162"/>
        <v>PRG-1028047</v>
      </c>
      <c r="E5592" t="s">
        <v>311</v>
      </c>
      <c r="F5592" t="s">
        <v>4</v>
      </c>
      <c r="G5592" t="str">
        <f>""</f>
        <v/>
      </c>
    </row>
    <row r="5593" spans="1:7" x14ac:dyDescent="0.25">
      <c r="A5593" t="s">
        <v>8</v>
      </c>
      <c r="B5593" s="1" t="str">
        <f>"000231406 - RICH FOODS NONCORE BB-PINNACLE"</f>
        <v>000231406 - RICH FOODS NONCORE BB-PINNACLE</v>
      </c>
      <c r="C5593" t="s">
        <v>1604</v>
      </c>
      <c r="D5593" s="1" t="str">
        <f t="shared" si="162"/>
        <v>PRG-1028047</v>
      </c>
      <c r="E5593" t="s">
        <v>311</v>
      </c>
      <c r="F5593" t="s">
        <v>4</v>
      </c>
      <c r="G5593" t="str">
        <f>""</f>
        <v/>
      </c>
    </row>
    <row r="5594" spans="1:7" x14ac:dyDescent="0.25">
      <c r="A5594" t="s">
        <v>8</v>
      </c>
      <c r="B5594" s="1" t="str">
        <f>"000232332 - BB PINNACLE CR FOB RICHS"</f>
        <v>000232332 - BB PINNACLE CR FOB RICHS</v>
      </c>
      <c r="C5594" t="s">
        <v>1783</v>
      </c>
      <c r="D5594" s="1" t="str">
        <f t="shared" si="162"/>
        <v>PRG-1028047</v>
      </c>
      <c r="E5594" t="s">
        <v>311</v>
      </c>
      <c r="F5594" t="s">
        <v>4</v>
      </c>
      <c r="G5594" t="str">
        <f>""</f>
        <v/>
      </c>
    </row>
    <row r="5595" spans="1:7" x14ac:dyDescent="0.25">
      <c r="A5595" t="s">
        <v>8</v>
      </c>
      <c r="B5595" s="1" t="str">
        <f>"000234539 - BB PINNACLE FOB CR RICHS"</f>
        <v>000234539 - BB PINNACLE FOB CR RICHS</v>
      </c>
      <c r="C5595" t="s">
        <v>1830</v>
      </c>
      <c r="D5595" s="1" t="str">
        <f t="shared" si="162"/>
        <v>PRG-1028047</v>
      </c>
      <c r="E5595" t="s">
        <v>311</v>
      </c>
      <c r="F5595" t="s">
        <v>4</v>
      </c>
      <c r="G5595" t="str">
        <f>""</f>
        <v/>
      </c>
    </row>
    <row r="5596" spans="1:7" x14ac:dyDescent="0.25">
      <c r="A5596" t="s">
        <v>8</v>
      </c>
      <c r="B5596" s="1" t="str">
        <f>"000238288 - RICH FOODS-PINNACLE ENT."</f>
        <v>000238288 - RICH FOODS-PINNACLE ENT.</v>
      </c>
      <c r="C5596" t="s">
        <v>1532</v>
      </c>
      <c r="D5596" s="1" t="str">
        <f t="shared" si="162"/>
        <v>PRG-1028047</v>
      </c>
      <c r="E5596" t="s">
        <v>311</v>
      </c>
      <c r="F5596" t="s">
        <v>4</v>
      </c>
      <c r="G5596" t="str">
        <f>""</f>
        <v/>
      </c>
    </row>
    <row r="5597" spans="1:7" x14ac:dyDescent="0.25">
      <c r="A5597" t="s">
        <v>8</v>
      </c>
      <c r="B5597" s="1" t="str">
        <f>"000238898 - RICH FOODS CORE BB-PINNACLE"</f>
        <v>000238898 - RICH FOODS CORE BB-PINNACLE</v>
      </c>
      <c r="C5597" t="s">
        <v>687</v>
      </c>
      <c r="D5597" s="1" t="str">
        <f t="shared" si="162"/>
        <v>PRG-1028047</v>
      </c>
      <c r="E5597" t="s">
        <v>311</v>
      </c>
      <c r="F5597" t="s">
        <v>4</v>
      </c>
      <c r="G5597" t="str">
        <f>""</f>
        <v/>
      </c>
    </row>
    <row r="5598" spans="1:7" x14ac:dyDescent="0.25">
      <c r="A5598" t="s">
        <v>8</v>
      </c>
      <c r="B5598" s="1" t="str">
        <f>"000240170 - RICH FOODS CORE BB-PINNACLE"</f>
        <v>000240170 - RICH FOODS CORE BB-PINNACLE</v>
      </c>
      <c r="C5598" t="s">
        <v>687</v>
      </c>
      <c r="D5598" s="1" t="str">
        <f t="shared" si="162"/>
        <v>PRG-1028047</v>
      </c>
      <c r="E5598" t="s">
        <v>311</v>
      </c>
      <c r="F5598" t="s">
        <v>4</v>
      </c>
      <c r="G5598" t="str">
        <f>""</f>
        <v/>
      </c>
    </row>
    <row r="5599" spans="1:7" x14ac:dyDescent="0.25">
      <c r="A5599" t="s">
        <v>8</v>
      </c>
      <c r="B5599" s="1" t="str">
        <f>"000244664 - RICH FOODS CORE BB-PINNACLE"</f>
        <v>000244664 - RICH FOODS CORE BB-PINNACLE</v>
      </c>
      <c r="C5599" t="s">
        <v>687</v>
      </c>
      <c r="D5599" s="1" t="str">
        <f t="shared" si="162"/>
        <v>PRG-1028047</v>
      </c>
      <c r="E5599" t="s">
        <v>311</v>
      </c>
      <c r="F5599" t="s">
        <v>4</v>
      </c>
      <c r="G5599" t="str">
        <f>""</f>
        <v/>
      </c>
    </row>
    <row r="5600" spans="1:7" x14ac:dyDescent="0.25">
      <c r="A5600" t="s">
        <v>8</v>
      </c>
      <c r="B5600" s="1" t="str">
        <f>"000245834 - RICH FOODS CORE BB-PINNACLE"</f>
        <v>000245834 - RICH FOODS CORE BB-PINNACLE</v>
      </c>
      <c r="C5600" t="s">
        <v>687</v>
      </c>
      <c r="D5600" s="1" t="str">
        <f t="shared" si="162"/>
        <v>PRG-1028047</v>
      </c>
      <c r="E5600" t="s">
        <v>311</v>
      </c>
      <c r="F5600" t="s">
        <v>4</v>
      </c>
      <c r="G5600" t="str">
        <f>""</f>
        <v/>
      </c>
    </row>
    <row r="5601" spans="1:7" x14ac:dyDescent="0.25">
      <c r="A5601" t="s">
        <v>8</v>
      </c>
      <c r="B5601" s="1" t="str">
        <f>"000245835 - RICH FOODS NON CORE-PINNACL"</f>
        <v>000245835 - RICH FOODS NON CORE-PINNACL</v>
      </c>
      <c r="C5601" t="s">
        <v>2009</v>
      </c>
      <c r="D5601" s="1" t="str">
        <f t="shared" si="162"/>
        <v>PRG-1028047</v>
      </c>
      <c r="E5601" t="s">
        <v>311</v>
      </c>
      <c r="F5601" t="s">
        <v>4</v>
      </c>
      <c r="G5601" t="str">
        <f>""</f>
        <v/>
      </c>
    </row>
    <row r="5602" spans="1:7" x14ac:dyDescent="0.25">
      <c r="A5602" t="s">
        <v>8</v>
      </c>
      <c r="B5602" s="1" t="str">
        <f>"000245973 - RICH-CORE BB-PIN"</f>
        <v>000245973 - RICH-CORE BB-PIN</v>
      </c>
      <c r="C5602" t="s">
        <v>2013</v>
      </c>
      <c r="D5602" s="1" t="str">
        <f t="shared" si="162"/>
        <v>PRG-1028047</v>
      </c>
      <c r="E5602" t="s">
        <v>311</v>
      </c>
      <c r="F5602" t="s">
        <v>4</v>
      </c>
      <c r="G5602" t="str">
        <f>""</f>
        <v/>
      </c>
    </row>
    <row r="5603" spans="1:7" x14ac:dyDescent="0.25">
      <c r="A5603" t="s">
        <v>8</v>
      </c>
      <c r="B5603" s="1" t="str">
        <f>"000247056 - RICH FOODS CORE BB-PINNACLE"</f>
        <v>000247056 - RICH FOODS CORE BB-PINNACLE</v>
      </c>
      <c r="C5603" t="s">
        <v>687</v>
      </c>
      <c r="D5603" s="1" t="str">
        <f t="shared" si="162"/>
        <v>PRG-1028047</v>
      </c>
      <c r="E5603" t="s">
        <v>311</v>
      </c>
      <c r="F5603" t="s">
        <v>4</v>
      </c>
      <c r="G5603" t="str">
        <f>""</f>
        <v/>
      </c>
    </row>
    <row r="5604" spans="1:7" x14ac:dyDescent="0.25">
      <c r="A5604" t="s">
        <v>8</v>
      </c>
      <c r="B5604" s="1" t="str">
        <f>"000249084 - RICH FOODS BB-FOODBUY"</f>
        <v>000249084 - RICH FOODS BB-FOODBUY</v>
      </c>
      <c r="C5604" t="s">
        <v>209</v>
      </c>
      <c r="D5604" s="1" t="str">
        <f t="shared" si="162"/>
        <v>PRG-1028047</v>
      </c>
      <c r="E5604" t="s">
        <v>311</v>
      </c>
      <c r="F5604" t="s">
        <v>4</v>
      </c>
      <c r="G5604" t="str">
        <f>""</f>
        <v/>
      </c>
    </row>
    <row r="5605" spans="1:7" x14ac:dyDescent="0.25">
      <c r="A5605" t="s">
        <v>8</v>
      </c>
      <c r="B5605" s="1" t="str">
        <f>"000249973 - RICH FOODS-PINNACLE"</f>
        <v>000249973 - RICH FOODS-PINNACLE</v>
      </c>
      <c r="C5605" t="s">
        <v>313</v>
      </c>
      <c r="D5605" s="1" t="str">
        <f t="shared" si="162"/>
        <v>PRG-1028047</v>
      </c>
      <c r="E5605" t="s">
        <v>311</v>
      </c>
      <c r="F5605" t="s">
        <v>4</v>
      </c>
      <c r="G5605" t="str">
        <f>""</f>
        <v/>
      </c>
    </row>
    <row r="5606" spans="1:7" x14ac:dyDescent="0.25">
      <c r="A5606" t="s">
        <v>8</v>
      </c>
      <c r="B5606" s="1" t="str">
        <f>"000250169 - RICH FOODS-PINNACLE"</f>
        <v>000250169 - RICH FOODS-PINNACLE</v>
      </c>
      <c r="C5606" t="s">
        <v>313</v>
      </c>
      <c r="D5606" s="1" t="str">
        <f t="shared" si="162"/>
        <v>PRG-1028047</v>
      </c>
      <c r="E5606" t="s">
        <v>311</v>
      </c>
      <c r="F5606" t="s">
        <v>4</v>
      </c>
      <c r="G5606" t="str">
        <f>""</f>
        <v/>
      </c>
    </row>
    <row r="5607" spans="1:7" x14ac:dyDescent="0.25">
      <c r="A5607" t="s">
        <v>8</v>
      </c>
      <c r="B5607" s="1" t="str">
        <f>"000250173 - BB PINNACLE FOB RICHS"</f>
        <v>000250173 - BB PINNACLE FOB RICHS</v>
      </c>
      <c r="C5607" t="s">
        <v>1231</v>
      </c>
      <c r="D5607" s="1" t="str">
        <f t="shared" si="162"/>
        <v>PRG-1028047</v>
      </c>
      <c r="E5607" t="s">
        <v>311</v>
      </c>
      <c r="F5607" t="s">
        <v>4</v>
      </c>
      <c r="G5607" t="str">
        <f>""</f>
        <v/>
      </c>
    </row>
    <row r="5608" spans="1:7" x14ac:dyDescent="0.25">
      <c r="A5608" t="s">
        <v>8</v>
      </c>
      <c r="B5608" s="1" t="str">
        <f>"000250686 - RICH FOODS-PINNACLE"</f>
        <v>000250686 - RICH FOODS-PINNACLE</v>
      </c>
      <c r="C5608" t="s">
        <v>313</v>
      </c>
      <c r="D5608" s="1" t="str">
        <f t="shared" si="162"/>
        <v>PRG-1028047</v>
      </c>
      <c r="E5608" t="s">
        <v>311</v>
      </c>
      <c r="F5608" t="s">
        <v>4</v>
      </c>
      <c r="G5608" t="str">
        <f>""</f>
        <v/>
      </c>
    </row>
    <row r="5609" spans="1:7" x14ac:dyDescent="0.25">
      <c r="A5609" t="s">
        <v>8</v>
      </c>
      <c r="B5609" s="1" t="str">
        <f>"000252574 - RICH FOODS CORE BB-PINNACLE"</f>
        <v>000252574 - RICH FOODS CORE BB-PINNACLE</v>
      </c>
      <c r="C5609" t="s">
        <v>687</v>
      </c>
      <c r="D5609" s="1" t="str">
        <f t="shared" si="162"/>
        <v>PRG-1028047</v>
      </c>
      <c r="E5609" t="s">
        <v>311</v>
      </c>
      <c r="F5609" t="s">
        <v>4</v>
      </c>
      <c r="G5609" t="str">
        <f>""</f>
        <v/>
      </c>
    </row>
    <row r="5610" spans="1:7" x14ac:dyDescent="0.25">
      <c r="A5610" t="s">
        <v>8</v>
      </c>
      <c r="B5610" s="1" t="str">
        <f>"000252575 - RICH FOODS NONCORE BB-PINNACLE"</f>
        <v>000252575 - RICH FOODS NONCORE BB-PINNACLE</v>
      </c>
      <c r="C5610" t="s">
        <v>1604</v>
      </c>
      <c r="D5610" s="1" t="str">
        <f t="shared" si="162"/>
        <v>PRG-1028047</v>
      </c>
      <c r="E5610" t="s">
        <v>311</v>
      </c>
      <c r="F5610" t="s">
        <v>4</v>
      </c>
      <c r="G5610" t="str">
        <f>""</f>
        <v/>
      </c>
    </row>
    <row r="5611" spans="1:7" x14ac:dyDescent="0.25">
      <c r="A5611" t="s">
        <v>8</v>
      </c>
      <c r="B5611" s="1" t="str">
        <f>"000256962 - RICH FOODS-PINNACLE ENT."</f>
        <v>000256962 - RICH FOODS-PINNACLE ENT.</v>
      </c>
      <c r="C5611" t="s">
        <v>1532</v>
      </c>
      <c r="D5611" s="1" t="str">
        <f t="shared" ref="D5611:D5642" si="163">"PRG-1028047"</f>
        <v>PRG-1028047</v>
      </c>
      <c r="E5611" t="s">
        <v>311</v>
      </c>
      <c r="F5611" t="s">
        <v>4</v>
      </c>
      <c r="G5611" t="str">
        <f>""</f>
        <v/>
      </c>
    </row>
    <row r="5612" spans="1:7" x14ac:dyDescent="0.25">
      <c r="A5612" t="s">
        <v>8</v>
      </c>
      <c r="B5612" s="1" t="str">
        <f>"000257378 - BB PINNACLE FOB RICHS"</f>
        <v>000257378 - BB PINNACLE FOB RICHS</v>
      </c>
      <c r="C5612" t="s">
        <v>1231</v>
      </c>
      <c r="D5612" s="1" t="str">
        <f t="shared" si="163"/>
        <v>PRG-1028047</v>
      </c>
      <c r="E5612" t="s">
        <v>311</v>
      </c>
      <c r="F5612" t="s">
        <v>4</v>
      </c>
      <c r="G5612" t="str">
        <f>""</f>
        <v/>
      </c>
    </row>
    <row r="5613" spans="1:7" x14ac:dyDescent="0.25">
      <c r="A5613" t="s">
        <v>8</v>
      </c>
      <c r="B5613" s="1" t="str">
        <f>"000262948 - RICH FOODS BB-FOODBUY"</f>
        <v>000262948 - RICH FOODS BB-FOODBUY</v>
      </c>
      <c r="C5613" t="s">
        <v>209</v>
      </c>
      <c r="D5613" s="1" t="str">
        <f t="shared" si="163"/>
        <v>PRG-1028047</v>
      </c>
      <c r="E5613" t="s">
        <v>311</v>
      </c>
      <c r="F5613" t="s">
        <v>4</v>
      </c>
      <c r="G5613" t="str">
        <f>""</f>
        <v/>
      </c>
    </row>
    <row r="5614" spans="1:7" x14ac:dyDescent="0.25">
      <c r="A5614" t="s">
        <v>8</v>
      </c>
      <c r="B5614" s="1" t="str">
        <f>"000264246 - "</f>
        <v xml:space="preserve">000264246 - </v>
      </c>
      <c r="D5614" s="1" t="str">
        <f t="shared" si="163"/>
        <v>PRG-1028047</v>
      </c>
      <c r="E5614" t="s">
        <v>311</v>
      </c>
      <c r="F5614" t="s">
        <v>4</v>
      </c>
      <c r="G5614" t="str">
        <f>""</f>
        <v/>
      </c>
    </row>
    <row r="5615" spans="1:7" x14ac:dyDescent="0.25">
      <c r="A5615" t="s">
        <v>8</v>
      </c>
      <c r="B5615" s="1" t="str">
        <f>"000264247 - "</f>
        <v xml:space="preserve">000264247 - </v>
      </c>
      <c r="D5615" s="1" t="str">
        <f t="shared" si="163"/>
        <v>PRG-1028047</v>
      </c>
      <c r="E5615" t="s">
        <v>311</v>
      </c>
      <c r="F5615" t="s">
        <v>4</v>
      </c>
      <c r="G5615" t="str">
        <f>""</f>
        <v/>
      </c>
    </row>
    <row r="5616" spans="1:7" x14ac:dyDescent="0.25">
      <c r="A5616" t="s">
        <v>8</v>
      </c>
      <c r="B5616" s="1" t="str">
        <f>"000265210 - RICH FOODS CORE BB-PINNACLE"</f>
        <v>000265210 - RICH FOODS CORE BB-PINNACLE</v>
      </c>
      <c r="C5616" t="s">
        <v>687</v>
      </c>
      <c r="D5616" s="1" t="str">
        <f t="shared" si="163"/>
        <v>PRG-1028047</v>
      </c>
      <c r="E5616" t="s">
        <v>311</v>
      </c>
      <c r="F5616" t="s">
        <v>4</v>
      </c>
      <c r="G5616" t="str">
        <f>""</f>
        <v/>
      </c>
    </row>
    <row r="5617" spans="1:7" x14ac:dyDescent="0.25">
      <c r="A5617" t="s">
        <v>8</v>
      </c>
      <c r="B5617" s="1" t="str">
        <f>"000271104 - CASA DI BERTACCHI-SODEXO"</f>
        <v>000271104 - CASA DI BERTACCHI-SODEXO</v>
      </c>
      <c r="C5617" t="s">
        <v>378</v>
      </c>
      <c r="D5617" s="1" t="str">
        <f t="shared" si="163"/>
        <v>PRG-1028047</v>
      </c>
      <c r="E5617" t="s">
        <v>311</v>
      </c>
      <c r="F5617" t="s">
        <v>4</v>
      </c>
      <c r="G5617" t="str">
        <f>""</f>
        <v/>
      </c>
    </row>
    <row r="5618" spans="1:7" x14ac:dyDescent="0.25">
      <c r="A5618" t="s">
        <v>8</v>
      </c>
      <c r="B5618" s="1" t="str">
        <f>"000271105 - "</f>
        <v xml:space="preserve">000271105 - </v>
      </c>
      <c r="D5618" s="1" t="str">
        <f t="shared" si="163"/>
        <v>PRG-1028047</v>
      </c>
      <c r="E5618" t="s">
        <v>311</v>
      </c>
      <c r="F5618" t="s">
        <v>4</v>
      </c>
      <c r="G5618" t="str">
        <f>""</f>
        <v/>
      </c>
    </row>
    <row r="5619" spans="1:7" x14ac:dyDescent="0.25">
      <c r="A5619" t="s">
        <v>8</v>
      </c>
      <c r="B5619" s="1" t="str">
        <f>"000280370 - RICH FOODS-PINNACLE"</f>
        <v>000280370 - RICH FOODS-PINNACLE</v>
      </c>
      <c r="C5619" t="s">
        <v>313</v>
      </c>
      <c r="D5619" s="1" t="str">
        <f t="shared" si="163"/>
        <v>PRG-1028047</v>
      </c>
      <c r="E5619" t="s">
        <v>311</v>
      </c>
      <c r="F5619" t="s">
        <v>4</v>
      </c>
      <c r="G5619" t="str">
        <f>""</f>
        <v/>
      </c>
    </row>
    <row r="5620" spans="1:7" x14ac:dyDescent="0.25">
      <c r="A5620" t="s">
        <v>8</v>
      </c>
      <c r="B5620" s="1" t="str">
        <f>"000281473 - RICH FOODS-PINNACLE"</f>
        <v>000281473 - RICH FOODS-PINNACLE</v>
      </c>
      <c r="C5620" t="s">
        <v>313</v>
      </c>
      <c r="D5620" s="1" t="str">
        <f t="shared" si="163"/>
        <v>PRG-1028047</v>
      </c>
      <c r="E5620" t="s">
        <v>311</v>
      </c>
      <c r="F5620" t="s">
        <v>4</v>
      </c>
      <c r="G5620" t="str">
        <f>""</f>
        <v/>
      </c>
    </row>
    <row r="5621" spans="1:7" x14ac:dyDescent="0.25">
      <c r="A5621" t="s">
        <v>8</v>
      </c>
      <c r="B5621" s="1" t="str">
        <f>"000284522 - "</f>
        <v xml:space="preserve">000284522 - </v>
      </c>
      <c r="D5621" s="1" t="str">
        <f t="shared" si="163"/>
        <v>PRG-1028047</v>
      </c>
      <c r="E5621" t="s">
        <v>311</v>
      </c>
      <c r="F5621" t="s">
        <v>4</v>
      </c>
      <c r="G5621" t="str">
        <f>""</f>
        <v/>
      </c>
    </row>
    <row r="5622" spans="1:7" x14ac:dyDescent="0.25">
      <c r="A5622" t="s">
        <v>8</v>
      </c>
      <c r="B5622" s="1" t="str">
        <f>"000289028 - RICH FOODS-PINNACLE"</f>
        <v>000289028 - RICH FOODS-PINNACLE</v>
      </c>
      <c r="C5622" t="s">
        <v>313</v>
      </c>
      <c r="D5622" s="1" t="str">
        <f t="shared" si="163"/>
        <v>PRG-1028047</v>
      </c>
      <c r="E5622" t="s">
        <v>311</v>
      </c>
      <c r="F5622" t="s">
        <v>4</v>
      </c>
      <c r="G5622" t="str">
        <f>""</f>
        <v/>
      </c>
    </row>
    <row r="5623" spans="1:7" x14ac:dyDescent="0.25">
      <c r="A5623" t="s">
        <v>8</v>
      </c>
      <c r="B5623" s="1" t="str">
        <f>"000293887 - RICH FOODS-PINNACLE ENT."</f>
        <v>000293887 - RICH FOODS-PINNACLE ENT.</v>
      </c>
      <c r="C5623" t="s">
        <v>1532</v>
      </c>
      <c r="D5623" s="1" t="str">
        <f t="shared" si="163"/>
        <v>PRG-1028047</v>
      </c>
      <c r="E5623" t="s">
        <v>311</v>
      </c>
      <c r="F5623" t="s">
        <v>4</v>
      </c>
      <c r="G5623" t="str">
        <f>""</f>
        <v/>
      </c>
    </row>
    <row r="5624" spans="1:7" x14ac:dyDescent="0.25">
      <c r="A5624" t="s">
        <v>8</v>
      </c>
      <c r="B5624" s="1" t="str">
        <f>"000296123 - "</f>
        <v xml:space="preserve">000296123 - </v>
      </c>
      <c r="D5624" s="1" t="str">
        <f t="shared" si="163"/>
        <v>PRG-1028047</v>
      </c>
      <c r="E5624" t="s">
        <v>311</v>
      </c>
      <c r="F5624" t="s">
        <v>4</v>
      </c>
      <c r="G5624" t="str">
        <f>""</f>
        <v/>
      </c>
    </row>
    <row r="5625" spans="1:7" x14ac:dyDescent="0.25">
      <c r="A5625" t="s">
        <v>8</v>
      </c>
      <c r="B5625" s="1" t="str">
        <f>"000301641 - "</f>
        <v xml:space="preserve">000301641 - </v>
      </c>
      <c r="D5625" s="1" t="str">
        <f t="shared" si="163"/>
        <v>PRG-1028047</v>
      </c>
      <c r="E5625" t="s">
        <v>311</v>
      </c>
      <c r="F5625" t="s">
        <v>4</v>
      </c>
      <c r="G5625" t="str">
        <f>""</f>
        <v/>
      </c>
    </row>
    <row r="5626" spans="1:7" x14ac:dyDescent="0.25">
      <c r="A5626" t="s">
        <v>8</v>
      </c>
      <c r="B5626" s="1" t="str">
        <f>"000302942 - RICH FOODS CORE BB-PINNACLE"</f>
        <v>000302942 - RICH FOODS CORE BB-PINNACLE</v>
      </c>
      <c r="C5626" t="s">
        <v>687</v>
      </c>
      <c r="D5626" s="1" t="str">
        <f t="shared" si="163"/>
        <v>PRG-1028047</v>
      </c>
      <c r="E5626" t="s">
        <v>311</v>
      </c>
      <c r="F5626" t="s">
        <v>4</v>
      </c>
      <c r="G5626" t="str">
        <f>""</f>
        <v/>
      </c>
    </row>
    <row r="5627" spans="1:7" x14ac:dyDescent="0.25">
      <c r="A5627" t="s">
        <v>8</v>
      </c>
      <c r="B5627" s="1" t="str">
        <f>"000311420 - RICH FOODS CORE BB-PINNACLE"</f>
        <v>000311420 - RICH FOODS CORE BB-PINNACLE</v>
      </c>
      <c r="C5627" t="s">
        <v>687</v>
      </c>
      <c r="D5627" s="1" t="str">
        <f t="shared" si="163"/>
        <v>PRG-1028047</v>
      </c>
      <c r="E5627" t="s">
        <v>311</v>
      </c>
      <c r="F5627" t="s">
        <v>4</v>
      </c>
      <c r="G5627" t="str">
        <f>""</f>
        <v/>
      </c>
    </row>
    <row r="5628" spans="1:7" x14ac:dyDescent="0.25">
      <c r="A5628" t="s">
        <v>8</v>
      </c>
      <c r="B5628" s="1" t="str">
        <f>"000311421 - RICH FOODS NONCORE BB-PINNACLE"</f>
        <v>000311421 - RICH FOODS NONCORE BB-PINNACLE</v>
      </c>
      <c r="C5628" t="s">
        <v>1604</v>
      </c>
      <c r="D5628" s="1" t="str">
        <f t="shared" si="163"/>
        <v>PRG-1028047</v>
      </c>
      <c r="E5628" t="s">
        <v>311</v>
      </c>
      <c r="F5628" t="s">
        <v>4</v>
      </c>
      <c r="G5628" t="str">
        <f>""</f>
        <v/>
      </c>
    </row>
    <row r="5629" spans="1:7" x14ac:dyDescent="0.25">
      <c r="A5629" t="s">
        <v>8</v>
      </c>
      <c r="B5629" s="1" t="str">
        <f>"000313102 - "</f>
        <v xml:space="preserve">000313102 - </v>
      </c>
      <c r="D5629" s="1" t="str">
        <f t="shared" si="163"/>
        <v>PRG-1028047</v>
      </c>
      <c r="E5629" t="s">
        <v>311</v>
      </c>
      <c r="F5629" t="s">
        <v>4</v>
      </c>
      <c r="G5629" t="str">
        <f>""</f>
        <v/>
      </c>
    </row>
    <row r="5630" spans="1:7" x14ac:dyDescent="0.25">
      <c r="A5630" t="s">
        <v>8</v>
      </c>
      <c r="B5630" s="1" t="str">
        <f>"000319918 - "</f>
        <v xml:space="preserve">000319918 - </v>
      </c>
      <c r="D5630" s="1" t="str">
        <f t="shared" si="163"/>
        <v>PRG-1028047</v>
      </c>
      <c r="E5630" t="s">
        <v>311</v>
      </c>
      <c r="F5630" t="s">
        <v>4</v>
      </c>
      <c r="G5630" t="str">
        <f>""</f>
        <v/>
      </c>
    </row>
    <row r="5631" spans="1:7" x14ac:dyDescent="0.25">
      <c r="A5631" t="s">
        <v>8</v>
      </c>
      <c r="B5631" s="1" t="str">
        <f>"000319919 - "</f>
        <v xml:space="preserve">000319919 - </v>
      </c>
      <c r="D5631" s="1" t="str">
        <f t="shared" si="163"/>
        <v>PRG-1028047</v>
      </c>
      <c r="E5631" t="s">
        <v>311</v>
      </c>
      <c r="F5631" t="s">
        <v>4</v>
      </c>
      <c r="G5631" t="str">
        <f>""</f>
        <v/>
      </c>
    </row>
    <row r="5632" spans="1:7" x14ac:dyDescent="0.25">
      <c r="A5632" t="s">
        <v>8</v>
      </c>
      <c r="B5632" s="1" t="str">
        <f>"000326039 - RICH FOODS CORE BB-PINNACLE"</f>
        <v>000326039 - RICH FOODS CORE BB-PINNACLE</v>
      </c>
      <c r="C5632" t="s">
        <v>687</v>
      </c>
      <c r="D5632" s="1" t="str">
        <f t="shared" si="163"/>
        <v>PRG-1028047</v>
      </c>
      <c r="E5632" t="s">
        <v>311</v>
      </c>
      <c r="F5632" t="s">
        <v>4</v>
      </c>
      <c r="G5632" t="str">
        <f>""</f>
        <v/>
      </c>
    </row>
    <row r="5633" spans="1:7" x14ac:dyDescent="0.25">
      <c r="A5633" t="s">
        <v>8</v>
      </c>
      <c r="B5633" s="1" t="str">
        <f>"000328687 - RICH FOODS CORE BB-PINNACLE"</f>
        <v>000328687 - RICH FOODS CORE BB-PINNACLE</v>
      </c>
      <c r="C5633" t="s">
        <v>687</v>
      </c>
      <c r="D5633" s="1" t="str">
        <f t="shared" si="163"/>
        <v>PRG-1028047</v>
      </c>
      <c r="E5633" t="s">
        <v>311</v>
      </c>
      <c r="F5633" t="s">
        <v>4</v>
      </c>
      <c r="G5633" t="str">
        <f>""</f>
        <v/>
      </c>
    </row>
    <row r="5634" spans="1:7" x14ac:dyDescent="0.25">
      <c r="A5634" t="s">
        <v>8</v>
      </c>
      <c r="B5634" s="1" t="str">
        <f>"000334447 - "</f>
        <v xml:space="preserve">000334447 - </v>
      </c>
      <c r="D5634" s="1" t="str">
        <f t="shared" si="163"/>
        <v>PRG-1028047</v>
      </c>
      <c r="E5634" t="s">
        <v>311</v>
      </c>
      <c r="F5634" t="s">
        <v>4</v>
      </c>
      <c r="G5634" t="str">
        <f>""</f>
        <v/>
      </c>
    </row>
    <row r="5635" spans="1:7" x14ac:dyDescent="0.25">
      <c r="A5635" t="s">
        <v>8</v>
      </c>
      <c r="B5635" s="1" t="str">
        <f>"000342463 - RICH FOODS CORE BB-PINNACLE"</f>
        <v>000342463 - RICH FOODS CORE BB-PINNACLE</v>
      </c>
      <c r="C5635" t="s">
        <v>687</v>
      </c>
      <c r="D5635" s="1" t="str">
        <f t="shared" si="163"/>
        <v>PRG-1028047</v>
      </c>
      <c r="E5635" t="s">
        <v>311</v>
      </c>
      <c r="F5635" t="s">
        <v>4</v>
      </c>
      <c r="G5635" t="str">
        <f>""</f>
        <v/>
      </c>
    </row>
    <row r="5636" spans="1:7" x14ac:dyDescent="0.25">
      <c r="A5636" t="s">
        <v>8</v>
      </c>
      <c r="B5636" s="1" t="str">
        <f>"000346016 - "</f>
        <v xml:space="preserve">000346016 - </v>
      </c>
      <c r="D5636" s="1" t="str">
        <f t="shared" si="163"/>
        <v>PRG-1028047</v>
      </c>
      <c r="E5636" t="s">
        <v>311</v>
      </c>
      <c r="F5636" t="s">
        <v>4</v>
      </c>
      <c r="G5636" t="str">
        <f>""</f>
        <v/>
      </c>
    </row>
    <row r="5637" spans="1:7" x14ac:dyDescent="0.25">
      <c r="A5637" t="s">
        <v>8</v>
      </c>
      <c r="B5637" s="1" t="str">
        <f>"000348374 - RICH FOODS-PINNACLE"</f>
        <v>000348374 - RICH FOODS-PINNACLE</v>
      </c>
      <c r="C5637" t="s">
        <v>313</v>
      </c>
      <c r="D5637" s="1" t="str">
        <f t="shared" si="163"/>
        <v>PRG-1028047</v>
      </c>
      <c r="E5637" t="s">
        <v>311</v>
      </c>
      <c r="F5637" t="s">
        <v>4</v>
      </c>
      <c r="G5637" t="str">
        <f>""</f>
        <v/>
      </c>
    </row>
    <row r="5638" spans="1:7" x14ac:dyDescent="0.25">
      <c r="A5638" t="s">
        <v>8</v>
      </c>
      <c r="B5638" s="1" t="str">
        <f>"000349823 - RICH FOODS-PINNACLE"</f>
        <v>000349823 - RICH FOODS-PINNACLE</v>
      </c>
      <c r="C5638" t="s">
        <v>313</v>
      </c>
      <c r="D5638" s="1" t="str">
        <f t="shared" si="163"/>
        <v>PRG-1028047</v>
      </c>
      <c r="E5638" t="s">
        <v>311</v>
      </c>
      <c r="F5638" t="s">
        <v>4</v>
      </c>
      <c r="G5638" t="str">
        <f>""</f>
        <v/>
      </c>
    </row>
    <row r="5639" spans="1:7" x14ac:dyDescent="0.25">
      <c r="A5639" t="s">
        <v>8</v>
      </c>
      <c r="B5639" s="1" t="str">
        <f>"000350836 - "</f>
        <v xml:space="preserve">000350836 - </v>
      </c>
      <c r="D5639" s="1" t="str">
        <f t="shared" si="163"/>
        <v>PRG-1028047</v>
      </c>
      <c r="E5639" t="s">
        <v>311</v>
      </c>
      <c r="F5639" t="s">
        <v>4</v>
      </c>
      <c r="G5639" t="str">
        <f>""</f>
        <v/>
      </c>
    </row>
    <row r="5640" spans="1:7" x14ac:dyDescent="0.25">
      <c r="A5640" t="s">
        <v>8</v>
      </c>
      <c r="B5640" s="1" t="str">
        <f>"000352086 - "</f>
        <v xml:space="preserve">000352086 - </v>
      </c>
      <c r="D5640" s="1" t="str">
        <f t="shared" si="163"/>
        <v>PRG-1028047</v>
      </c>
      <c r="E5640" t="s">
        <v>311</v>
      </c>
      <c r="F5640" t="s">
        <v>4</v>
      </c>
      <c r="G5640" t="str">
        <f>""</f>
        <v/>
      </c>
    </row>
    <row r="5641" spans="1:7" x14ac:dyDescent="0.25">
      <c r="A5641" t="s">
        <v>8</v>
      </c>
      <c r="B5641" s="1" t="str">
        <f>"000360217 - RICH FOODS-PINNACLE"</f>
        <v>000360217 - RICH FOODS-PINNACLE</v>
      </c>
      <c r="C5641" t="s">
        <v>313</v>
      </c>
      <c r="D5641" s="1" t="str">
        <f t="shared" si="163"/>
        <v>PRG-1028047</v>
      </c>
      <c r="E5641" t="s">
        <v>311</v>
      </c>
      <c r="F5641" t="s">
        <v>4</v>
      </c>
      <c r="G5641" t="str">
        <f>""</f>
        <v/>
      </c>
    </row>
    <row r="5642" spans="1:7" x14ac:dyDescent="0.25">
      <c r="A5642" t="s">
        <v>8</v>
      </c>
      <c r="B5642" s="1" t="str">
        <f>"2000267779 - RICH FOODS-PINNACLE ENTERTAINMENT"</f>
        <v>2000267779 - RICH FOODS-PINNACLE ENTERTAINMENT</v>
      </c>
      <c r="C5642" t="s">
        <v>3918</v>
      </c>
      <c r="D5642" s="1" t="str">
        <f t="shared" si="163"/>
        <v>PRG-1028047</v>
      </c>
      <c r="E5642" t="s">
        <v>311</v>
      </c>
      <c r="F5642" t="s">
        <v>4</v>
      </c>
      <c r="G5642" t="str">
        <f>""</f>
        <v/>
      </c>
    </row>
    <row r="5643" spans="1:7" x14ac:dyDescent="0.25">
      <c r="A5643" t="s">
        <v>8</v>
      </c>
      <c r="B5643" s="1" t="str">
        <f>"2000304529 - RICH FOODS-PINNACLE ENTERTAINMENT"</f>
        <v>2000304529 - RICH FOODS-PINNACLE ENTERTAINMENT</v>
      </c>
      <c r="C5643" t="s">
        <v>3918</v>
      </c>
      <c r="D5643" s="1" t="str">
        <f t="shared" ref="D5643:D5648" si="164">"PRG-1028047"</f>
        <v>PRG-1028047</v>
      </c>
      <c r="E5643" t="s">
        <v>311</v>
      </c>
      <c r="F5643" t="s">
        <v>4</v>
      </c>
      <c r="G5643" t="str">
        <f>""</f>
        <v/>
      </c>
    </row>
    <row r="5644" spans="1:7" x14ac:dyDescent="0.25">
      <c r="A5644" t="s">
        <v>8</v>
      </c>
      <c r="B5644" s="1" t="str">
        <f>"2000333191 - RICH FOODS-PINNACLE ENTERTAINMENT"</f>
        <v>2000333191 - RICH FOODS-PINNACLE ENTERTAINMENT</v>
      </c>
      <c r="C5644" t="s">
        <v>3918</v>
      </c>
      <c r="D5644" s="1" t="str">
        <f t="shared" si="164"/>
        <v>PRG-1028047</v>
      </c>
      <c r="E5644" t="s">
        <v>311</v>
      </c>
      <c r="F5644" t="s">
        <v>4</v>
      </c>
      <c r="G5644" t="str">
        <f>""</f>
        <v/>
      </c>
    </row>
    <row r="5645" spans="1:7" x14ac:dyDescent="0.25">
      <c r="A5645" t="s">
        <v>8</v>
      </c>
      <c r="B5645" s="1" t="str">
        <f>"2000334346 - RICH FOODS-PINNACLE ENTERTAINMENT"</f>
        <v>2000334346 - RICH FOODS-PINNACLE ENTERTAINMENT</v>
      </c>
      <c r="C5645" t="s">
        <v>3918</v>
      </c>
      <c r="D5645" s="1" t="str">
        <f t="shared" si="164"/>
        <v>PRG-1028047</v>
      </c>
      <c r="E5645" t="s">
        <v>311</v>
      </c>
      <c r="F5645" t="s">
        <v>4</v>
      </c>
      <c r="G5645" t="str">
        <f>""</f>
        <v/>
      </c>
    </row>
    <row r="5646" spans="1:7" x14ac:dyDescent="0.25">
      <c r="A5646" t="s">
        <v>8</v>
      </c>
      <c r="B5646" s="1" t="str">
        <f>"2000383831 - RICH FOODS-PINNACLE ENTERTAINMENT"</f>
        <v>2000383831 - RICH FOODS-PINNACLE ENTERTAINMENT</v>
      </c>
      <c r="C5646" t="s">
        <v>3918</v>
      </c>
      <c r="D5646" s="1" t="str">
        <f t="shared" si="164"/>
        <v>PRG-1028047</v>
      </c>
      <c r="E5646" t="s">
        <v>311</v>
      </c>
      <c r="F5646" t="s">
        <v>4</v>
      </c>
      <c r="G5646" t="str">
        <f>""</f>
        <v/>
      </c>
    </row>
    <row r="5647" spans="1:7" x14ac:dyDescent="0.25">
      <c r="A5647" t="s">
        <v>8</v>
      </c>
      <c r="B5647" s="1" t="str">
        <f>"2000389498 - "</f>
        <v xml:space="preserve">2000389498 - </v>
      </c>
      <c r="D5647" s="1" t="str">
        <f t="shared" si="164"/>
        <v>PRG-1028047</v>
      </c>
      <c r="E5647" t="s">
        <v>311</v>
      </c>
      <c r="F5647" t="s">
        <v>4</v>
      </c>
      <c r="G5647" t="str">
        <f>""</f>
        <v/>
      </c>
    </row>
    <row r="5648" spans="1:7" x14ac:dyDescent="0.25">
      <c r="A5648" t="s">
        <v>8</v>
      </c>
      <c r="B5648" s="1" t="str">
        <f>"2000433145 - "</f>
        <v xml:space="preserve">2000433145 - </v>
      </c>
      <c r="D5648" s="1" t="str">
        <f t="shared" si="164"/>
        <v>PRG-1028047</v>
      </c>
      <c r="E5648" t="s">
        <v>311</v>
      </c>
      <c r="F5648" t="s">
        <v>4</v>
      </c>
      <c r="G5648" t="str">
        <f>""</f>
        <v/>
      </c>
    </row>
    <row r="5649" spans="1:7" x14ac:dyDescent="0.25">
      <c r="A5649" t="s">
        <v>8</v>
      </c>
      <c r="B5649" s="1" t="str">
        <f>"2350F244"</f>
        <v>2350F244</v>
      </c>
      <c r="C5649" t="s">
        <v>4529</v>
      </c>
      <c r="D5649" s="1" t="str">
        <f>"PRG-1028052"</f>
        <v>PRG-1028052</v>
      </c>
      <c r="E5649" t="s">
        <v>4530</v>
      </c>
      <c r="F5649" t="s">
        <v>5</v>
      </c>
      <c r="G5649" t="str">
        <f>""</f>
        <v/>
      </c>
    </row>
    <row r="5650" spans="1:7" x14ac:dyDescent="0.25">
      <c r="A5650" t="s">
        <v>8</v>
      </c>
      <c r="B5650" s="1" t="str">
        <f>"31607032"</f>
        <v>31607032</v>
      </c>
      <c r="C5650" t="s">
        <v>4675</v>
      </c>
      <c r="D5650" s="1" t="str">
        <f>"PRG-1028052"</f>
        <v>PRG-1028052</v>
      </c>
      <c r="E5650" t="s">
        <v>4530</v>
      </c>
      <c r="F5650" t="s">
        <v>5</v>
      </c>
      <c r="G5650" t="str">
        <f>""</f>
        <v/>
      </c>
    </row>
    <row r="5651" spans="1:7" x14ac:dyDescent="0.25">
      <c r="A5651" t="s">
        <v>8</v>
      </c>
      <c r="B5651" s="1" t="str">
        <f>"41188568"</f>
        <v>41188568</v>
      </c>
      <c r="C5651" t="s">
        <v>4970</v>
      </c>
      <c r="D5651" s="1" t="str">
        <f>"PRG-1028052"</f>
        <v>PRG-1028052</v>
      </c>
      <c r="E5651" t="s">
        <v>4530</v>
      </c>
      <c r="F5651" t="s">
        <v>5</v>
      </c>
      <c r="G5651" t="str">
        <f>""</f>
        <v/>
      </c>
    </row>
    <row r="5652" spans="1:7" x14ac:dyDescent="0.25">
      <c r="A5652" t="s">
        <v>8</v>
      </c>
      <c r="B5652" s="1" t="str">
        <f>"000131424 - RICH NCORE-NUTRITION"</f>
        <v>000131424 - RICH NCORE-NUTRITION</v>
      </c>
      <c r="C5652" t="s">
        <v>937</v>
      </c>
      <c r="D5652" s="1" t="str">
        <f t="shared" ref="D5652:D5690" si="165">"PRG-1028057"</f>
        <v>PRG-1028057</v>
      </c>
      <c r="E5652" t="s">
        <v>325</v>
      </c>
      <c r="F5652" t="s">
        <v>4</v>
      </c>
      <c r="G5652" t="str">
        <f>""</f>
        <v/>
      </c>
    </row>
    <row r="5653" spans="1:7" x14ac:dyDescent="0.25">
      <c r="A5653" t="s">
        <v>8</v>
      </c>
      <c r="B5653" s="1" t="str">
        <f>"000136644 - RICH CBB-NUTRITION"</f>
        <v>000136644 - RICH CBB-NUTRITION</v>
      </c>
      <c r="C5653" t="s">
        <v>959</v>
      </c>
      <c r="D5653" s="1" t="str">
        <f t="shared" si="165"/>
        <v>PRG-1028057</v>
      </c>
      <c r="E5653" t="s">
        <v>325</v>
      </c>
      <c r="F5653" t="s">
        <v>4</v>
      </c>
      <c r="G5653" t="str">
        <f>""</f>
        <v/>
      </c>
    </row>
    <row r="5654" spans="1:7" x14ac:dyDescent="0.25">
      <c r="A5654" t="s">
        <v>8</v>
      </c>
      <c r="B5654" s="1" t="str">
        <f>"000136645 - RICH NCORE-NUTRITION"</f>
        <v>000136645 - RICH NCORE-NUTRITION</v>
      </c>
      <c r="C5654" t="s">
        <v>937</v>
      </c>
      <c r="D5654" s="1" t="str">
        <f t="shared" si="165"/>
        <v>PRG-1028057</v>
      </c>
      <c r="E5654" t="s">
        <v>325</v>
      </c>
      <c r="F5654" t="s">
        <v>4</v>
      </c>
      <c r="G5654" t="str">
        <f>""</f>
        <v/>
      </c>
    </row>
    <row r="5655" spans="1:7" x14ac:dyDescent="0.25">
      <c r="A5655" t="s">
        <v>8</v>
      </c>
      <c r="B5655" s="1" t="str">
        <f>"000137322 - RICH CORE W BB-NUTRITION SYSTE"</f>
        <v>000137322 - RICH CORE W BB-NUTRITION SYSTE</v>
      </c>
      <c r="C5655" t="s">
        <v>965</v>
      </c>
      <c r="D5655" s="1" t="str">
        <f t="shared" si="165"/>
        <v>PRG-1028057</v>
      </c>
      <c r="E5655" t="s">
        <v>325</v>
      </c>
      <c r="F5655" t="s">
        <v>4</v>
      </c>
      <c r="G5655" t="str">
        <f>""</f>
        <v/>
      </c>
    </row>
    <row r="5656" spans="1:7" x14ac:dyDescent="0.25">
      <c r="A5656" t="s">
        <v>8</v>
      </c>
      <c r="B5656" s="1" t="str">
        <f>"000137323 - RICH NONCORE-NUTRITION SYSTEMS"</f>
        <v>000137323 - RICH NONCORE-NUTRITION SYSTEMS</v>
      </c>
      <c r="C5656" t="s">
        <v>966</v>
      </c>
      <c r="D5656" s="1" t="str">
        <f t="shared" si="165"/>
        <v>PRG-1028057</v>
      </c>
      <c r="E5656" t="s">
        <v>325</v>
      </c>
      <c r="F5656" t="s">
        <v>4</v>
      </c>
      <c r="G5656" t="str">
        <f>""</f>
        <v/>
      </c>
    </row>
    <row r="5657" spans="1:7" x14ac:dyDescent="0.25">
      <c r="A5657" t="s">
        <v>8</v>
      </c>
      <c r="B5657" s="1" t="str">
        <f>"000151081 - RICH NCORE-NUTRITION"</f>
        <v>000151081 - RICH NCORE-NUTRITION</v>
      </c>
      <c r="C5657" t="s">
        <v>937</v>
      </c>
      <c r="D5657" s="1" t="str">
        <f t="shared" si="165"/>
        <v>PRG-1028057</v>
      </c>
      <c r="E5657" t="s">
        <v>325</v>
      </c>
      <c r="F5657" t="s">
        <v>4</v>
      </c>
      <c r="G5657" t="str">
        <f>""</f>
        <v/>
      </c>
    </row>
    <row r="5658" spans="1:7" x14ac:dyDescent="0.25">
      <c r="A5658" t="s">
        <v>8</v>
      </c>
      <c r="B5658" s="1" t="str">
        <f>"000151082 - RICH CBB-NUTRITION"</f>
        <v>000151082 - RICH CBB-NUTRITION</v>
      </c>
      <c r="C5658" t="s">
        <v>959</v>
      </c>
      <c r="D5658" s="1" t="str">
        <f t="shared" si="165"/>
        <v>PRG-1028057</v>
      </c>
      <c r="E5658" t="s">
        <v>325</v>
      </c>
      <c r="F5658" t="s">
        <v>4</v>
      </c>
      <c r="G5658" t="str">
        <f>""</f>
        <v/>
      </c>
    </row>
    <row r="5659" spans="1:7" x14ac:dyDescent="0.25">
      <c r="A5659" t="s">
        <v>8</v>
      </c>
      <c r="B5659" s="1" t="str">
        <f>"00018810 - RICH NCORE-NUTRITION"</f>
        <v>00018810 - RICH NCORE-NUTRITION</v>
      </c>
      <c r="C5659" t="s">
        <v>1187</v>
      </c>
      <c r="D5659" s="1" t="str">
        <f t="shared" si="165"/>
        <v>PRG-1028057</v>
      </c>
      <c r="E5659" t="s">
        <v>325</v>
      </c>
      <c r="F5659" t="s">
        <v>4</v>
      </c>
      <c r="G5659" t="str">
        <f>""</f>
        <v/>
      </c>
    </row>
    <row r="5660" spans="1:7" x14ac:dyDescent="0.25">
      <c r="A5660" t="s">
        <v>8</v>
      </c>
      <c r="B5660" s="1" t="str">
        <f>"000188809 - RICH CBB-NUTRITION"</f>
        <v>000188809 - RICH CBB-NUTRITION</v>
      </c>
      <c r="C5660" t="s">
        <v>959</v>
      </c>
      <c r="D5660" s="1" t="str">
        <f t="shared" si="165"/>
        <v>PRG-1028057</v>
      </c>
      <c r="E5660" t="s">
        <v>325</v>
      </c>
      <c r="F5660" t="s">
        <v>4</v>
      </c>
      <c r="G5660" t="str">
        <f>""</f>
        <v/>
      </c>
    </row>
    <row r="5661" spans="1:7" x14ac:dyDescent="0.25">
      <c r="A5661" t="s">
        <v>8</v>
      </c>
      <c r="B5661" s="1" t="str">
        <f>"000188810 - RICH NCORE-NUTRITION"</f>
        <v>000188810 - RICH NCORE-NUTRITION</v>
      </c>
      <c r="C5661" t="s">
        <v>937</v>
      </c>
      <c r="D5661" s="1" t="str">
        <f t="shared" si="165"/>
        <v>PRG-1028057</v>
      </c>
      <c r="E5661" t="s">
        <v>325</v>
      </c>
      <c r="F5661" t="s">
        <v>4</v>
      </c>
      <c r="G5661" t="str">
        <f>""</f>
        <v/>
      </c>
    </row>
    <row r="5662" spans="1:7" x14ac:dyDescent="0.25">
      <c r="A5662" t="s">
        <v>8</v>
      </c>
      <c r="B5662" s="1" t="str">
        <f>"000189006 - RICH NCORE-NUTRITION"</f>
        <v>000189006 - RICH NCORE-NUTRITION</v>
      </c>
      <c r="C5662" t="s">
        <v>937</v>
      </c>
      <c r="D5662" s="1" t="str">
        <f t="shared" si="165"/>
        <v>PRG-1028057</v>
      </c>
      <c r="E5662" t="s">
        <v>325</v>
      </c>
      <c r="F5662" t="s">
        <v>4</v>
      </c>
      <c r="G5662" t="str">
        <f>""</f>
        <v/>
      </c>
    </row>
    <row r="5663" spans="1:7" x14ac:dyDescent="0.25">
      <c r="A5663" t="s">
        <v>8</v>
      </c>
      <c r="B5663" s="1" t="str">
        <f>"000194631 - RICH CBB-NUTRITION"</f>
        <v>000194631 - RICH CBB-NUTRITION</v>
      </c>
      <c r="C5663" t="s">
        <v>959</v>
      </c>
      <c r="D5663" s="1" t="str">
        <f t="shared" si="165"/>
        <v>PRG-1028057</v>
      </c>
      <c r="E5663" t="s">
        <v>325</v>
      </c>
      <c r="F5663" t="s">
        <v>4</v>
      </c>
      <c r="G5663" t="str">
        <f>""</f>
        <v/>
      </c>
    </row>
    <row r="5664" spans="1:7" x14ac:dyDescent="0.25">
      <c r="A5664" t="s">
        <v>8</v>
      </c>
      <c r="B5664" s="1" t="str">
        <f>"000194632 - RICH NCORE-NUTRITION"</f>
        <v>000194632 - RICH NCORE-NUTRITION</v>
      </c>
      <c r="C5664" t="s">
        <v>937</v>
      </c>
      <c r="D5664" s="1" t="str">
        <f t="shared" si="165"/>
        <v>PRG-1028057</v>
      </c>
      <c r="E5664" t="s">
        <v>325</v>
      </c>
      <c r="F5664" t="s">
        <v>4</v>
      </c>
      <c r="G5664" t="str">
        <f>""</f>
        <v/>
      </c>
    </row>
    <row r="5665" spans="1:7" x14ac:dyDescent="0.25">
      <c r="A5665" t="s">
        <v>8</v>
      </c>
      <c r="B5665" s="1" t="str">
        <f>"000195261 - RICH NCORE-NUTRITION"</f>
        <v>000195261 - RICH NCORE-NUTRITION</v>
      </c>
      <c r="C5665" t="s">
        <v>937</v>
      </c>
      <c r="D5665" s="1" t="str">
        <f t="shared" si="165"/>
        <v>PRG-1028057</v>
      </c>
      <c r="E5665" t="s">
        <v>325</v>
      </c>
      <c r="F5665" t="s">
        <v>4</v>
      </c>
      <c r="G5665" t="str">
        <f>""</f>
        <v/>
      </c>
    </row>
    <row r="5666" spans="1:7" x14ac:dyDescent="0.25">
      <c r="A5666" t="s">
        <v>8</v>
      </c>
      <c r="B5666" s="1" t="str">
        <f>"000195428 - RICH CORE W BB-NUTRITION SYSTE"</f>
        <v>000195428 - RICH CORE W BB-NUTRITION SYSTE</v>
      </c>
      <c r="C5666" t="s">
        <v>965</v>
      </c>
      <c r="D5666" s="1" t="str">
        <f t="shared" si="165"/>
        <v>PRG-1028057</v>
      </c>
      <c r="E5666" t="s">
        <v>325</v>
      </c>
      <c r="F5666" t="s">
        <v>4</v>
      </c>
      <c r="G5666" t="str">
        <f>""</f>
        <v/>
      </c>
    </row>
    <row r="5667" spans="1:7" x14ac:dyDescent="0.25">
      <c r="A5667" t="s">
        <v>8</v>
      </c>
      <c r="B5667" s="1" t="str">
        <f>"000195429 - RICH NONCORE-NUTRITION SYSTEMS"</f>
        <v>000195429 - RICH NONCORE-NUTRITION SYSTEMS</v>
      </c>
      <c r="C5667" t="s">
        <v>966</v>
      </c>
      <c r="D5667" s="1" t="str">
        <f t="shared" si="165"/>
        <v>PRG-1028057</v>
      </c>
      <c r="E5667" t="s">
        <v>325</v>
      </c>
      <c r="F5667" t="s">
        <v>4</v>
      </c>
      <c r="G5667" t="str">
        <f>""</f>
        <v/>
      </c>
    </row>
    <row r="5668" spans="1:7" x14ac:dyDescent="0.25">
      <c r="A5668" t="s">
        <v>8</v>
      </c>
      <c r="B5668" s="1" t="str">
        <f>"000196131 - RICH NONCORE-NUTRITION SYSTEMS"</f>
        <v>000196131 - RICH NONCORE-NUTRITION SYSTEMS</v>
      </c>
      <c r="C5668" t="s">
        <v>966</v>
      </c>
      <c r="D5668" s="1" t="str">
        <f t="shared" si="165"/>
        <v>PRG-1028057</v>
      </c>
      <c r="E5668" t="s">
        <v>325</v>
      </c>
      <c r="F5668" t="s">
        <v>4</v>
      </c>
      <c r="G5668" t="str">
        <f>""</f>
        <v/>
      </c>
    </row>
    <row r="5669" spans="1:7" x14ac:dyDescent="0.25">
      <c r="A5669" t="s">
        <v>8</v>
      </c>
      <c r="B5669" s="1" t="str">
        <f>"000210488 - RICH NCORE-NUTRITION"</f>
        <v>000210488 - RICH NCORE-NUTRITION</v>
      </c>
      <c r="C5669" t="s">
        <v>937</v>
      </c>
      <c r="D5669" s="1" t="str">
        <f t="shared" si="165"/>
        <v>PRG-1028057</v>
      </c>
      <c r="E5669" t="s">
        <v>325</v>
      </c>
      <c r="F5669" t="s">
        <v>4</v>
      </c>
      <c r="G5669" t="str">
        <f>""</f>
        <v/>
      </c>
    </row>
    <row r="5670" spans="1:7" x14ac:dyDescent="0.25">
      <c r="A5670" t="s">
        <v>8</v>
      </c>
      <c r="B5670" s="1" t="str">
        <f>"000210489 - RICH CBB-NUTRITION"</f>
        <v>000210489 - RICH CBB-NUTRITION</v>
      </c>
      <c r="C5670" t="s">
        <v>959</v>
      </c>
      <c r="D5670" s="1" t="str">
        <f t="shared" si="165"/>
        <v>PRG-1028057</v>
      </c>
      <c r="E5670" t="s">
        <v>325</v>
      </c>
      <c r="F5670" t="s">
        <v>4</v>
      </c>
      <c r="G5670" t="str">
        <f>""</f>
        <v/>
      </c>
    </row>
    <row r="5671" spans="1:7" x14ac:dyDescent="0.25">
      <c r="A5671" t="s">
        <v>8</v>
      </c>
      <c r="B5671" s="1" t="str">
        <f>"000212811 - RICH NCORE-NUTRITION"</f>
        <v>000212811 - RICH NCORE-NUTRITION</v>
      </c>
      <c r="C5671" t="s">
        <v>937</v>
      </c>
      <c r="D5671" s="1" t="str">
        <f t="shared" si="165"/>
        <v>PRG-1028057</v>
      </c>
      <c r="E5671" t="s">
        <v>325</v>
      </c>
      <c r="F5671" t="s">
        <v>4</v>
      </c>
      <c r="G5671" t="str">
        <f>""</f>
        <v/>
      </c>
    </row>
    <row r="5672" spans="1:7" x14ac:dyDescent="0.25">
      <c r="A5672" t="s">
        <v>8</v>
      </c>
      <c r="B5672" s="1" t="str">
        <f>"000222030 - RICH CBB-NUTRITION"</f>
        <v>000222030 - RICH CBB-NUTRITION</v>
      </c>
      <c r="C5672" t="s">
        <v>959</v>
      </c>
      <c r="D5672" s="1" t="str">
        <f t="shared" si="165"/>
        <v>PRG-1028057</v>
      </c>
      <c r="E5672" t="s">
        <v>325</v>
      </c>
      <c r="F5672" t="s">
        <v>4</v>
      </c>
      <c r="G5672" t="str">
        <f>""</f>
        <v/>
      </c>
    </row>
    <row r="5673" spans="1:7" x14ac:dyDescent="0.25">
      <c r="A5673" t="s">
        <v>8</v>
      </c>
      <c r="B5673" s="1" t="str">
        <f>"000222031 - RICH NCORE-NUTRITION"</f>
        <v>000222031 - RICH NCORE-NUTRITION</v>
      </c>
      <c r="C5673" t="s">
        <v>937</v>
      </c>
      <c r="D5673" s="1" t="str">
        <f t="shared" si="165"/>
        <v>PRG-1028057</v>
      </c>
      <c r="E5673" t="s">
        <v>325</v>
      </c>
      <c r="F5673" t="s">
        <v>4</v>
      </c>
      <c r="G5673" t="str">
        <f>""</f>
        <v/>
      </c>
    </row>
    <row r="5674" spans="1:7" x14ac:dyDescent="0.25">
      <c r="A5674" t="s">
        <v>8</v>
      </c>
      <c r="B5674" s="1" t="str">
        <f>"000226641 - RICH CBB-NUTRITION"</f>
        <v>000226641 - RICH CBB-NUTRITION</v>
      </c>
      <c r="C5674" t="s">
        <v>959</v>
      </c>
      <c r="D5674" s="1" t="str">
        <f t="shared" si="165"/>
        <v>PRG-1028057</v>
      </c>
      <c r="E5674" t="s">
        <v>325</v>
      </c>
      <c r="F5674" t="s">
        <v>4</v>
      </c>
      <c r="G5674" t="str">
        <f>""</f>
        <v/>
      </c>
    </row>
    <row r="5675" spans="1:7" x14ac:dyDescent="0.25">
      <c r="A5675" t="s">
        <v>8</v>
      </c>
      <c r="B5675" s="1" t="str">
        <f>"000226849 - RICH CBB-NUTRITION"</f>
        <v>000226849 - RICH CBB-NUTRITION</v>
      </c>
      <c r="C5675" t="s">
        <v>959</v>
      </c>
      <c r="D5675" s="1" t="str">
        <f t="shared" si="165"/>
        <v>PRG-1028057</v>
      </c>
      <c r="E5675" t="s">
        <v>325</v>
      </c>
      <c r="F5675" t="s">
        <v>4</v>
      </c>
      <c r="G5675" t="str">
        <f>""</f>
        <v/>
      </c>
    </row>
    <row r="5676" spans="1:7" x14ac:dyDescent="0.25">
      <c r="A5676" t="s">
        <v>8</v>
      </c>
      <c r="B5676" s="1" t="str">
        <f>"000226850 - RICH NCORE-NUTRITION"</f>
        <v>000226850 - RICH NCORE-NUTRITION</v>
      </c>
      <c r="C5676" t="s">
        <v>937</v>
      </c>
      <c r="D5676" s="1" t="str">
        <f t="shared" si="165"/>
        <v>PRG-1028057</v>
      </c>
      <c r="E5676" t="s">
        <v>325</v>
      </c>
      <c r="F5676" t="s">
        <v>4</v>
      </c>
      <c r="G5676" t="str">
        <f>""</f>
        <v/>
      </c>
    </row>
    <row r="5677" spans="1:7" x14ac:dyDescent="0.25">
      <c r="A5677" t="s">
        <v>8</v>
      </c>
      <c r="B5677" s="1" t="str">
        <f>"000227527 - RICH CORE W BB-NUTRITION SYSTE"</f>
        <v>000227527 - RICH CORE W BB-NUTRITION SYSTE</v>
      </c>
      <c r="C5677" t="s">
        <v>965</v>
      </c>
      <c r="D5677" s="1" t="str">
        <f t="shared" si="165"/>
        <v>PRG-1028057</v>
      </c>
      <c r="E5677" t="s">
        <v>325</v>
      </c>
      <c r="F5677" t="s">
        <v>4</v>
      </c>
      <c r="G5677" t="str">
        <f>""</f>
        <v/>
      </c>
    </row>
    <row r="5678" spans="1:7" x14ac:dyDescent="0.25">
      <c r="A5678" t="s">
        <v>8</v>
      </c>
      <c r="B5678" s="1" t="str">
        <f>"000227528 - RICH NONCORE-NUTRITION SYSTEMS"</f>
        <v>000227528 - RICH NONCORE-NUTRITION SYSTEMS</v>
      </c>
      <c r="C5678" t="s">
        <v>966</v>
      </c>
      <c r="D5678" s="1" t="str">
        <f t="shared" si="165"/>
        <v>PRG-1028057</v>
      </c>
      <c r="E5678" t="s">
        <v>325</v>
      </c>
      <c r="F5678" t="s">
        <v>4</v>
      </c>
      <c r="G5678" t="str">
        <f>""</f>
        <v/>
      </c>
    </row>
    <row r="5679" spans="1:7" x14ac:dyDescent="0.25">
      <c r="A5679" t="s">
        <v>8</v>
      </c>
      <c r="B5679" s="1" t="str">
        <f>"000231986 - RICH CBB-NUTRITION"</f>
        <v>000231986 - RICH CBB-NUTRITION</v>
      </c>
      <c r="C5679" t="s">
        <v>959</v>
      </c>
      <c r="D5679" s="1" t="str">
        <f t="shared" si="165"/>
        <v>PRG-1028057</v>
      </c>
      <c r="E5679" t="s">
        <v>325</v>
      </c>
      <c r="F5679" t="s">
        <v>4</v>
      </c>
      <c r="G5679" t="str">
        <f>""</f>
        <v/>
      </c>
    </row>
    <row r="5680" spans="1:7" x14ac:dyDescent="0.25">
      <c r="A5680" t="s">
        <v>8</v>
      </c>
      <c r="B5680" s="1" t="str">
        <f>"000231987 - RICH NCORE-NUTRITION"</f>
        <v>000231987 - RICH NCORE-NUTRITION</v>
      </c>
      <c r="C5680" t="s">
        <v>937</v>
      </c>
      <c r="D5680" s="1" t="str">
        <f t="shared" si="165"/>
        <v>PRG-1028057</v>
      </c>
      <c r="E5680" t="s">
        <v>325</v>
      </c>
      <c r="F5680" t="s">
        <v>4</v>
      </c>
      <c r="G5680" t="str">
        <f>""</f>
        <v/>
      </c>
    </row>
    <row r="5681" spans="1:7" x14ac:dyDescent="0.25">
      <c r="A5681" t="s">
        <v>8</v>
      </c>
      <c r="B5681" s="1" t="str">
        <f>"000232660 - RICH CORE W BB-NUTRITION SYSTE"</f>
        <v>000232660 - RICH CORE W BB-NUTRITION SYSTE</v>
      </c>
      <c r="C5681" t="s">
        <v>965</v>
      </c>
      <c r="D5681" s="1" t="str">
        <f t="shared" si="165"/>
        <v>PRG-1028057</v>
      </c>
      <c r="E5681" t="s">
        <v>325</v>
      </c>
      <c r="F5681" t="s">
        <v>4</v>
      </c>
      <c r="G5681" t="str">
        <f>""</f>
        <v/>
      </c>
    </row>
    <row r="5682" spans="1:7" x14ac:dyDescent="0.25">
      <c r="A5682" t="s">
        <v>8</v>
      </c>
      <c r="B5682" s="1" t="str">
        <f>"000238946 - RICH NCORE-NUTRITION"</f>
        <v>000238946 - RICH NCORE-NUTRITION</v>
      </c>
      <c r="C5682" t="s">
        <v>937</v>
      </c>
      <c r="D5682" s="1" t="str">
        <f t="shared" si="165"/>
        <v>PRG-1028057</v>
      </c>
      <c r="E5682" t="s">
        <v>325</v>
      </c>
      <c r="F5682" t="s">
        <v>4</v>
      </c>
      <c r="G5682" t="str">
        <f>""</f>
        <v/>
      </c>
    </row>
    <row r="5683" spans="1:7" x14ac:dyDescent="0.25">
      <c r="A5683" t="s">
        <v>8</v>
      </c>
      <c r="B5683" s="1" t="str">
        <f>"000238947 - RICH CBB-NUTRITION"</f>
        <v>000238947 - RICH CBB-NUTRITION</v>
      </c>
      <c r="C5683" t="s">
        <v>959</v>
      </c>
      <c r="D5683" s="1" t="str">
        <f t="shared" si="165"/>
        <v>PRG-1028057</v>
      </c>
      <c r="E5683" t="s">
        <v>325</v>
      </c>
      <c r="F5683" t="s">
        <v>4</v>
      </c>
      <c r="G5683" t="str">
        <f>""</f>
        <v/>
      </c>
    </row>
    <row r="5684" spans="1:7" x14ac:dyDescent="0.25">
      <c r="A5684" t="s">
        <v>8</v>
      </c>
      <c r="B5684" s="1" t="str">
        <f>"000247168 - RICH CBB-NUTRITION"</f>
        <v>000247168 - RICH CBB-NUTRITION</v>
      </c>
      <c r="C5684" t="s">
        <v>959</v>
      </c>
      <c r="D5684" s="1" t="str">
        <f t="shared" si="165"/>
        <v>PRG-1028057</v>
      </c>
      <c r="E5684" t="s">
        <v>325</v>
      </c>
      <c r="F5684" t="s">
        <v>4</v>
      </c>
      <c r="G5684" t="str">
        <f>""</f>
        <v/>
      </c>
    </row>
    <row r="5685" spans="1:7" x14ac:dyDescent="0.25">
      <c r="A5685" t="s">
        <v>8</v>
      </c>
      <c r="B5685" s="1" t="str">
        <f>"2000267845 - RICH FOODS-NUTRITION SYSTEMS"</f>
        <v>2000267845 - RICH FOODS-NUTRITION SYSTEMS</v>
      </c>
      <c r="C5685" t="s">
        <v>873</v>
      </c>
      <c r="D5685" s="1" t="str">
        <f t="shared" si="165"/>
        <v>PRG-1028057</v>
      </c>
      <c r="E5685" t="s">
        <v>325</v>
      </c>
      <c r="F5685" t="s">
        <v>4</v>
      </c>
      <c r="G5685" t="str">
        <f>""</f>
        <v/>
      </c>
    </row>
    <row r="5686" spans="1:7" x14ac:dyDescent="0.25">
      <c r="A5686" t="s">
        <v>8</v>
      </c>
      <c r="B5686" s="1" t="str">
        <f>"2000303061 - RICH FOODS-NUTRITION SYSTEMS"</f>
        <v>2000303061 - RICH FOODS-NUTRITION SYSTEMS</v>
      </c>
      <c r="C5686" t="s">
        <v>873</v>
      </c>
      <c r="D5686" s="1" t="str">
        <f t="shared" si="165"/>
        <v>PRG-1028057</v>
      </c>
      <c r="E5686" t="s">
        <v>325</v>
      </c>
      <c r="F5686" t="s">
        <v>4</v>
      </c>
      <c r="G5686" t="str">
        <f>""</f>
        <v/>
      </c>
    </row>
    <row r="5687" spans="1:7" x14ac:dyDescent="0.25">
      <c r="A5687" t="s">
        <v>8</v>
      </c>
      <c r="B5687" s="1" t="str">
        <f>"2000305472 - RICH FOODS-NUTRITION SYSTEMS"</f>
        <v>2000305472 - RICH FOODS-NUTRITION SYSTEMS</v>
      </c>
      <c r="C5687" t="s">
        <v>873</v>
      </c>
      <c r="D5687" s="1" t="str">
        <f t="shared" si="165"/>
        <v>PRG-1028057</v>
      </c>
      <c r="E5687" t="s">
        <v>325</v>
      </c>
      <c r="F5687" t="s">
        <v>4</v>
      </c>
      <c r="G5687" t="str">
        <f>""</f>
        <v/>
      </c>
    </row>
    <row r="5688" spans="1:7" x14ac:dyDescent="0.25">
      <c r="A5688" t="s">
        <v>8</v>
      </c>
      <c r="B5688" s="1" t="str">
        <f>"2000331902 - RICH FOODS-NUTRITION SYSTEMS"</f>
        <v>2000331902 - RICH FOODS-NUTRITION SYSTEMS</v>
      </c>
      <c r="C5688" t="s">
        <v>873</v>
      </c>
      <c r="D5688" s="1" t="str">
        <f t="shared" si="165"/>
        <v>PRG-1028057</v>
      </c>
      <c r="E5688" t="s">
        <v>325</v>
      </c>
      <c r="F5688" t="s">
        <v>4</v>
      </c>
      <c r="G5688" t="str">
        <f>""</f>
        <v/>
      </c>
    </row>
    <row r="5689" spans="1:7" x14ac:dyDescent="0.25">
      <c r="A5689" t="s">
        <v>8</v>
      </c>
      <c r="B5689" s="1" t="str">
        <f>"2000345765 - "</f>
        <v xml:space="preserve">2000345765 - </v>
      </c>
      <c r="D5689" s="1" t="str">
        <f t="shared" si="165"/>
        <v>PRG-1028057</v>
      </c>
      <c r="E5689" t="s">
        <v>325</v>
      </c>
      <c r="F5689" t="s">
        <v>4</v>
      </c>
      <c r="G5689" t="str">
        <f>""</f>
        <v/>
      </c>
    </row>
    <row r="5690" spans="1:7" x14ac:dyDescent="0.25">
      <c r="A5690" t="s">
        <v>8</v>
      </c>
      <c r="B5690" s="1" t="str">
        <f>"2000384002 - "</f>
        <v xml:space="preserve">2000384002 - </v>
      </c>
      <c r="D5690" s="1" t="str">
        <f t="shared" si="165"/>
        <v>PRG-1028057</v>
      </c>
      <c r="E5690" t="s">
        <v>325</v>
      </c>
      <c r="F5690" t="s">
        <v>4</v>
      </c>
      <c r="G5690" t="str">
        <f>""</f>
        <v/>
      </c>
    </row>
    <row r="5691" spans="1:7" x14ac:dyDescent="0.25">
      <c r="A5691" t="s">
        <v>8</v>
      </c>
      <c r="B5691" s="1" t="str">
        <f>"000189372 - RICH PROD-AVI"</f>
        <v>000189372 - RICH PROD-AVI</v>
      </c>
      <c r="C5691" t="s">
        <v>1051</v>
      </c>
      <c r="D5691" s="1" t="str">
        <f t="shared" ref="D5691:D5737" si="166">"PRG-1028246"</f>
        <v>PRG-1028246</v>
      </c>
      <c r="E5691" t="s">
        <v>215</v>
      </c>
      <c r="F5691" t="s">
        <v>4</v>
      </c>
      <c r="G5691" t="str">
        <f>""</f>
        <v/>
      </c>
    </row>
    <row r="5692" spans="1:7" x14ac:dyDescent="0.25">
      <c r="A5692" t="s">
        <v>8</v>
      </c>
      <c r="B5692" s="1" t="str">
        <f>"000196403 - RICH PROD-AVI"</f>
        <v>000196403 - RICH PROD-AVI</v>
      </c>
      <c r="C5692" t="s">
        <v>1051</v>
      </c>
      <c r="D5692" s="1" t="str">
        <f t="shared" si="166"/>
        <v>PRG-1028246</v>
      </c>
      <c r="E5692" t="s">
        <v>215</v>
      </c>
      <c r="F5692" t="s">
        <v>4</v>
      </c>
      <c r="G5692" t="str">
        <f>""</f>
        <v/>
      </c>
    </row>
    <row r="5693" spans="1:7" x14ac:dyDescent="0.25">
      <c r="A5693" t="s">
        <v>8</v>
      </c>
      <c r="B5693" s="1" t="str">
        <f>"000198494 - RICH FDS(CORE)-AVI"</f>
        <v>000198494 - RICH FDS(CORE)-AVI</v>
      </c>
      <c r="C5693" t="s">
        <v>1285</v>
      </c>
      <c r="D5693" s="1" t="str">
        <f t="shared" si="166"/>
        <v>PRG-1028246</v>
      </c>
      <c r="E5693" t="s">
        <v>215</v>
      </c>
      <c r="F5693" t="s">
        <v>4</v>
      </c>
      <c r="G5693" t="str">
        <f>""</f>
        <v/>
      </c>
    </row>
    <row r="5694" spans="1:7" x14ac:dyDescent="0.25">
      <c r="A5694" t="s">
        <v>8</v>
      </c>
      <c r="B5694" s="1" t="str">
        <f>"000198495 - RICH FDS(NONC)-AVI"</f>
        <v>000198495 - RICH FDS(NONC)-AVI</v>
      </c>
      <c r="C5694" t="s">
        <v>1286</v>
      </c>
      <c r="D5694" s="1" t="str">
        <f t="shared" si="166"/>
        <v>PRG-1028246</v>
      </c>
      <c r="E5694" t="s">
        <v>215</v>
      </c>
      <c r="F5694" t="s">
        <v>4</v>
      </c>
      <c r="G5694" t="str">
        <f>""</f>
        <v/>
      </c>
    </row>
    <row r="5695" spans="1:7" x14ac:dyDescent="0.25">
      <c r="A5695" t="s">
        <v>8</v>
      </c>
      <c r="B5695" s="1" t="str">
        <f>"000204868 - RICH FDS(CORE)-AVI"</f>
        <v>000204868 - RICH FDS(CORE)-AVI</v>
      </c>
      <c r="C5695" t="s">
        <v>1285</v>
      </c>
      <c r="D5695" s="1" t="str">
        <f t="shared" si="166"/>
        <v>PRG-1028246</v>
      </c>
      <c r="E5695" t="s">
        <v>215</v>
      </c>
      <c r="F5695" t="s">
        <v>4</v>
      </c>
      <c r="G5695" t="str">
        <f>""</f>
        <v/>
      </c>
    </row>
    <row r="5696" spans="1:7" x14ac:dyDescent="0.25">
      <c r="A5696" t="s">
        <v>8</v>
      </c>
      <c r="B5696" s="1" t="str">
        <f>"000204869 - RICH FDS(NONC)-AVI"</f>
        <v>000204869 - RICH FDS(NONC)-AVI</v>
      </c>
      <c r="C5696" t="s">
        <v>1286</v>
      </c>
      <c r="D5696" s="1" t="str">
        <f t="shared" si="166"/>
        <v>PRG-1028246</v>
      </c>
      <c r="E5696" t="s">
        <v>215</v>
      </c>
      <c r="F5696" t="s">
        <v>4</v>
      </c>
      <c r="G5696" t="str">
        <f>""</f>
        <v/>
      </c>
    </row>
    <row r="5697" spans="1:7" x14ac:dyDescent="0.25">
      <c r="A5697" t="s">
        <v>8</v>
      </c>
      <c r="B5697" s="1" t="str">
        <f>"000211440 - RICH PROD-AVI"</f>
        <v>000211440 - RICH PROD-AVI</v>
      </c>
      <c r="C5697" t="s">
        <v>1051</v>
      </c>
      <c r="D5697" s="1" t="str">
        <f t="shared" si="166"/>
        <v>PRG-1028246</v>
      </c>
      <c r="E5697" t="s">
        <v>215</v>
      </c>
      <c r="F5697" t="s">
        <v>4</v>
      </c>
      <c r="G5697" t="str">
        <f>""</f>
        <v/>
      </c>
    </row>
    <row r="5698" spans="1:7" x14ac:dyDescent="0.25">
      <c r="A5698" t="s">
        <v>8</v>
      </c>
      <c r="B5698" s="1" t="str">
        <f>"000215993 - RICH PROD-AVI"</f>
        <v>000215993 - RICH PROD-AVI</v>
      </c>
      <c r="C5698" t="s">
        <v>1051</v>
      </c>
      <c r="D5698" s="1" t="str">
        <f t="shared" si="166"/>
        <v>PRG-1028246</v>
      </c>
      <c r="E5698" t="s">
        <v>215</v>
      </c>
      <c r="F5698" t="s">
        <v>4</v>
      </c>
      <c r="G5698" t="str">
        <f>""</f>
        <v/>
      </c>
    </row>
    <row r="5699" spans="1:7" x14ac:dyDescent="0.25">
      <c r="A5699" t="s">
        <v>8</v>
      </c>
      <c r="B5699" s="1" t="str">
        <f>"000217986 - RICH PROD-AVI"</f>
        <v>000217986 - RICH PROD-AVI</v>
      </c>
      <c r="C5699" t="s">
        <v>1051</v>
      </c>
      <c r="D5699" s="1" t="str">
        <f t="shared" si="166"/>
        <v>PRG-1028246</v>
      </c>
      <c r="E5699" t="s">
        <v>215</v>
      </c>
      <c r="F5699" t="s">
        <v>4</v>
      </c>
      <c r="G5699" t="str">
        <f>""</f>
        <v/>
      </c>
    </row>
    <row r="5700" spans="1:7" x14ac:dyDescent="0.25">
      <c r="A5700" t="s">
        <v>8</v>
      </c>
      <c r="B5700" s="1" t="str">
        <f>"000218331 - RICH FDS(CORE)-AVI"</f>
        <v>000218331 - RICH FDS(CORE)-AVI</v>
      </c>
      <c r="C5700" t="s">
        <v>1285</v>
      </c>
      <c r="D5700" s="1" t="str">
        <f t="shared" si="166"/>
        <v>PRG-1028246</v>
      </c>
      <c r="E5700" t="s">
        <v>215</v>
      </c>
      <c r="F5700" t="s">
        <v>4</v>
      </c>
      <c r="G5700" t="str">
        <f>""</f>
        <v/>
      </c>
    </row>
    <row r="5701" spans="1:7" x14ac:dyDescent="0.25">
      <c r="A5701" t="s">
        <v>8</v>
      </c>
      <c r="B5701" s="1" t="str">
        <f>"000218332 - RICH FDS(NONC)-AVI"</f>
        <v>000218332 - RICH FDS(NONC)-AVI</v>
      </c>
      <c r="C5701" t="s">
        <v>1286</v>
      </c>
      <c r="D5701" s="1" t="str">
        <f t="shared" si="166"/>
        <v>PRG-1028246</v>
      </c>
      <c r="E5701" t="s">
        <v>215</v>
      </c>
      <c r="F5701" t="s">
        <v>4</v>
      </c>
      <c r="G5701" t="str">
        <f>""</f>
        <v/>
      </c>
    </row>
    <row r="5702" spans="1:7" x14ac:dyDescent="0.25">
      <c r="A5702" t="s">
        <v>8</v>
      </c>
      <c r="B5702" s="1" t="str">
        <f>"000219507 - RICH PROD.-AVI"</f>
        <v>000219507 - RICH PROD.-AVI</v>
      </c>
      <c r="C5702" t="s">
        <v>1356</v>
      </c>
      <c r="D5702" s="1" t="str">
        <f t="shared" si="166"/>
        <v>PRG-1028246</v>
      </c>
      <c r="E5702" t="s">
        <v>215</v>
      </c>
      <c r="F5702" t="s">
        <v>4</v>
      </c>
      <c r="G5702" t="str">
        <f>""</f>
        <v/>
      </c>
    </row>
    <row r="5703" spans="1:7" x14ac:dyDescent="0.25">
      <c r="A5703" t="s">
        <v>8</v>
      </c>
      <c r="B5703" s="1" t="str">
        <f>"000221388 - RICH PROD-AVI"</f>
        <v>000221388 - RICH PROD-AVI</v>
      </c>
      <c r="C5703" t="s">
        <v>1051</v>
      </c>
      <c r="D5703" s="1" t="str">
        <f t="shared" si="166"/>
        <v>PRG-1028246</v>
      </c>
      <c r="E5703" t="s">
        <v>215</v>
      </c>
      <c r="F5703" t="s">
        <v>4</v>
      </c>
      <c r="G5703" t="str">
        <f>""</f>
        <v/>
      </c>
    </row>
    <row r="5704" spans="1:7" x14ac:dyDescent="0.25">
      <c r="A5704" t="s">
        <v>8</v>
      </c>
      <c r="B5704" s="1" t="str">
        <f>"000224907 - RICH FDS(CORE)-AVI"</f>
        <v>000224907 - RICH FDS(CORE)-AVI</v>
      </c>
      <c r="C5704" t="s">
        <v>1285</v>
      </c>
      <c r="D5704" s="1" t="str">
        <f t="shared" si="166"/>
        <v>PRG-1028246</v>
      </c>
      <c r="E5704" t="s">
        <v>215</v>
      </c>
      <c r="F5704" t="s">
        <v>4</v>
      </c>
      <c r="G5704" t="str">
        <f>""</f>
        <v/>
      </c>
    </row>
    <row r="5705" spans="1:7" x14ac:dyDescent="0.25">
      <c r="A5705" t="s">
        <v>8</v>
      </c>
      <c r="B5705" s="1" t="str">
        <f>"000224908 - RICH FDS(NONC)-AVI"</f>
        <v>000224908 - RICH FDS(NONC)-AVI</v>
      </c>
      <c r="C5705" t="s">
        <v>1286</v>
      </c>
      <c r="D5705" s="1" t="str">
        <f t="shared" si="166"/>
        <v>PRG-1028246</v>
      </c>
      <c r="E5705" t="s">
        <v>215</v>
      </c>
      <c r="F5705" t="s">
        <v>4</v>
      </c>
      <c r="G5705" t="str">
        <f>""</f>
        <v/>
      </c>
    </row>
    <row r="5706" spans="1:7" x14ac:dyDescent="0.25">
      <c r="A5706" t="s">
        <v>8</v>
      </c>
      <c r="B5706" s="1" t="str">
        <f>"000228039 - RICH FDS(CORE)-AVI"</f>
        <v>000228039 - RICH FDS(CORE)-AVI</v>
      </c>
      <c r="C5706" t="s">
        <v>1285</v>
      </c>
      <c r="D5706" s="1" t="str">
        <f t="shared" si="166"/>
        <v>PRG-1028246</v>
      </c>
      <c r="E5706" t="s">
        <v>215</v>
      </c>
      <c r="F5706" t="s">
        <v>4</v>
      </c>
      <c r="G5706" t="str">
        <f>""</f>
        <v/>
      </c>
    </row>
    <row r="5707" spans="1:7" x14ac:dyDescent="0.25">
      <c r="A5707" t="s">
        <v>8</v>
      </c>
      <c r="B5707" s="1" t="str">
        <f>"000228040 - RICH FDS(NONC)-AVI"</f>
        <v>000228040 - RICH FDS(NONC)-AVI</v>
      </c>
      <c r="C5707" t="s">
        <v>1286</v>
      </c>
      <c r="D5707" s="1" t="str">
        <f t="shared" si="166"/>
        <v>PRG-1028246</v>
      </c>
      <c r="E5707" t="s">
        <v>215</v>
      </c>
      <c r="F5707" t="s">
        <v>4</v>
      </c>
      <c r="G5707" t="str">
        <f>""</f>
        <v/>
      </c>
    </row>
    <row r="5708" spans="1:7" x14ac:dyDescent="0.25">
      <c r="A5708" t="s">
        <v>8</v>
      </c>
      <c r="B5708" s="1" t="str">
        <f>"000229378 - RICH FDS(CORE)-AVI"</f>
        <v>000229378 - RICH FDS(CORE)-AVI</v>
      </c>
      <c r="C5708" t="s">
        <v>1285</v>
      </c>
      <c r="D5708" s="1" t="str">
        <f t="shared" si="166"/>
        <v>PRG-1028246</v>
      </c>
      <c r="E5708" t="s">
        <v>215</v>
      </c>
      <c r="F5708" t="s">
        <v>4</v>
      </c>
      <c r="G5708" t="str">
        <f>""</f>
        <v/>
      </c>
    </row>
    <row r="5709" spans="1:7" x14ac:dyDescent="0.25">
      <c r="A5709" t="s">
        <v>8</v>
      </c>
      <c r="B5709" s="1" t="str">
        <f>"000229379 - RICH FDS(NONC)-AVI"</f>
        <v>000229379 - RICH FDS(NONC)-AVI</v>
      </c>
      <c r="C5709" t="s">
        <v>1286</v>
      </c>
      <c r="D5709" s="1" t="str">
        <f t="shared" si="166"/>
        <v>PRG-1028246</v>
      </c>
      <c r="E5709" t="s">
        <v>215</v>
      </c>
      <c r="F5709" t="s">
        <v>4</v>
      </c>
      <c r="G5709" t="str">
        <f>""</f>
        <v/>
      </c>
    </row>
    <row r="5710" spans="1:7" x14ac:dyDescent="0.25">
      <c r="A5710" t="s">
        <v>8</v>
      </c>
      <c r="B5710" s="1" t="str">
        <f>"000231968 - RICH PROD-AVI"</f>
        <v>000231968 - RICH PROD-AVI</v>
      </c>
      <c r="C5710" t="s">
        <v>1051</v>
      </c>
      <c r="D5710" s="1" t="str">
        <f t="shared" si="166"/>
        <v>PRG-1028246</v>
      </c>
      <c r="E5710" t="s">
        <v>215</v>
      </c>
      <c r="F5710" t="s">
        <v>4</v>
      </c>
      <c r="G5710" t="str">
        <f>""</f>
        <v/>
      </c>
    </row>
    <row r="5711" spans="1:7" x14ac:dyDescent="0.25">
      <c r="A5711" t="s">
        <v>8</v>
      </c>
      <c r="B5711" s="1" t="str">
        <f>"000235254 - RICH FDS(CORE)-AVI"</f>
        <v>000235254 - RICH FDS(CORE)-AVI</v>
      </c>
      <c r="C5711" t="s">
        <v>1285</v>
      </c>
      <c r="D5711" s="1" t="str">
        <f t="shared" si="166"/>
        <v>PRG-1028246</v>
      </c>
      <c r="E5711" t="s">
        <v>215</v>
      </c>
      <c r="F5711" t="s">
        <v>4</v>
      </c>
      <c r="G5711" t="str">
        <f>""</f>
        <v/>
      </c>
    </row>
    <row r="5712" spans="1:7" x14ac:dyDescent="0.25">
      <c r="A5712" t="s">
        <v>8</v>
      </c>
      <c r="B5712" s="1" t="str">
        <f>"000235255 - RICH FDS(NONC)-AVI"</f>
        <v>000235255 - RICH FDS(NONC)-AVI</v>
      </c>
      <c r="C5712" t="s">
        <v>1286</v>
      </c>
      <c r="D5712" s="1" t="str">
        <f t="shared" si="166"/>
        <v>PRG-1028246</v>
      </c>
      <c r="E5712" t="s">
        <v>215</v>
      </c>
      <c r="F5712" t="s">
        <v>4</v>
      </c>
      <c r="G5712" t="str">
        <f>""</f>
        <v/>
      </c>
    </row>
    <row r="5713" spans="1:7" x14ac:dyDescent="0.25">
      <c r="A5713" t="s">
        <v>8</v>
      </c>
      <c r="B5713" s="1" t="str">
        <f>"000238589 - "</f>
        <v xml:space="preserve">000238589 - </v>
      </c>
      <c r="D5713" s="1" t="str">
        <f t="shared" si="166"/>
        <v>PRG-1028246</v>
      </c>
      <c r="E5713" t="s">
        <v>215</v>
      </c>
      <c r="F5713" t="s">
        <v>4</v>
      </c>
      <c r="G5713" t="str">
        <f>""</f>
        <v/>
      </c>
    </row>
    <row r="5714" spans="1:7" x14ac:dyDescent="0.25">
      <c r="A5714" t="s">
        <v>8</v>
      </c>
      <c r="B5714" s="1" t="str">
        <f>"000238590 - "</f>
        <v xml:space="preserve">000238590 - </v>
      </c>
      <c r="D5714" s="1" t="str">
        <f t="shared" si="166"/>
        <v>PRG-1028246</v>
      </c>
      <c r="E5714" t="s">
        <v>215</v>
      </c>
      <c r="F5714" t="s">
        <v>4</v>
      </c>
      <c r="G5714" t="str">
        <f>""</f>
        <v/>
      </c>
    </row>
    <row r="5715" spans="1:7" x14ac:dyDescent="0.25">
      <c r="A5715" t="s">
        <v>8</v>
      </c>
      <c r="B5715" s="1" t="str">
        <f>"000238705 - RICH PROD-AVI"</f>
        <v>000238705 - RICH PROD-AVI</v>
      </c>
      <c r="C5715" t="s">
        <v>1051</v>
      </c>
      <c r="D5715" s="1" t="str">
        <f t="shared" si="166"/>
        <v>PRG-1028246</v>
      </c>
      <c r="E5715" t="s">
        <v>215</v>
      </c>
      <c r="F5715" t="s">
        <v>4</v>
      </c>
      <c r="G5715" t="str">
        <f>""</f>
        <v/>
      </c>
    </row>
    <row r="5716" spans="1:7" x14ac:dyDescent="0.25">
      <c r="A5716" t="s">
        <v>8</v>
      </c>
      <c r="B5716" s="1" t="str">
        <f>"000239220 - RICH PROD-AVI"</f>
        <v>000239220 - RICH PROD-AVI</v>
      </c>
      <c r="C5716" t="s">
        <v>1051</v>
      </c>
      <c r="D5716" s="1" t="str">
        <f t="shared" si="166"/>
        <v>PRG-1028246</v>
      </c>
      <c r="E5716" t="s">
        <v>215</v>
      </c>
      <c r="F5716" t="s">
        <v>4</v>
      </c>
      <c r="G5716" t="str">
        <f>""</f>
        <v/>
      </c>
    </row>
    <row r="5717" spans="1:7" x14ac:dyDescent="0.25">
      <c r="A5717" t="s">
        <v>8</v>
      </c>
      <c r="B5717" s="1" t="str">
        <f>"000240144 - RICH FDS(CORE)-AVI"</f>
        <v>000240144 - RICH FDS(CORE)-AVI</v>
      </c>
      <c r="C5717" t="s">
        <v>1285</v>
      </c>
      <c r="D5717" s="1" t="str">
        <f t="shared" si="166"/>
        <v>PRG-1028246</v>
      </c>
      <c r="E5717" t="s">
        <v>215</v>
      </c>
      <c r="F5717" t="s">
        <v>4</v>
      </c>
      <c r="G5717" t="str">
        <f>""</f>
        <v/>
      </c>
    </row>
    <row r="5718" spans="1:7" x14ac:dyDescent="0.25">
      <c r="A5718" t="s">
        <v>8</v>
      </c>
      <c r="B5718" s="1" t="str">
        <f>"000241631 - RICH PROD-AVI"</f>
        <v>000241631 - RICH PROD-AVI</v>
      </c>
      <c r="C5718" t="s">
        <v>1051</v>
      </c>
      <c r="D5718" s="1" t="str">
        <f t="shared" si="166"/>
        <v>PRG-1028246</v>
      </c>
      <c r="E5718" t="s">
        <v>215</v>
      </c>
      <c r="F5718" t="s">
        <v>4</v>
      </c>
      <c r="G5718" t="str">
        <f>""</f>
        <v/>
      </c>
    </row>
    <row r="5719" spans="1:7" x14ac:dyDescent="0.25">
      <c r="A5719" t="s">
        <v>8</v>
      </c>
      <c r="B5719" s="1" t="str">
        <f>"000246110 - RICH PROD-AVI"</f>
        <v>000246110 - RICH PROD-AVI</v>
      </c>
      <c r="C5719" t="s">
        <v>1051</v>
      </c>
      <c r="D5719" s="1" t="str">
        <f t="shared" si="166"/>
        <v>PRG-1028246</v>
      </c>
      <c r="E5719" t="s">
        <v>215</v>
      </c>
      <c r="F5719" t="s">
        <v>4</v>
      </c>
      <c r="G5719" t="str">
        <f>""</f>
        <v/>
      </c>
    </row>
    <row r="5720" spans="1:7" x14ac:dyDescent="0.25">
      <c r="A5720" t="s">
        <v>8</v>
      </c>
      <c r="B5720" s="1" t="str">
        <f>"000246995 - RICH PROD-AVI"</f>
        <v>000246995 - RICH PROD-AVI</v>
      </c>
      <c r="C5720" t="s">
        <v>1051</v>
      </c>
      <c r="D5720" s="1" t="str">
        <f t="shared" si="166"/>
        <v>PRG-1028246</v>
      </c>
      <c r="E5720" t="s">
        <v>215</v>
      </c>
      <c r="F5720" t="s">
        <v>4</v>
      </c>
      <c r="G5720" t="str">
        <f>""</f>
        <v/>
      </c>
    </row>
    <row r="5721" spans="1:7" x14ac:dyDescent="0.25">
      <c r="A5721" t="s">
        <v>8</v>
      </c>
      <c r="B5721" s="1" t="str">
        <f>"000247002 - RICH FDS(CORE)-AVI"</f>
        <v>000247002 - RICH FDS(CORE)-AVI</v>
      </c>
      <c r="C5721" t="s">
        <v>1285</v>
      </c>
      <c r="D5721" s="1" t="str">
        <f t="shared" si="166"/>
        <v>PRG-1028246</v>
      </c>
      <c r="E5721" t="s">
        <v>215</v>
      </c>
      <c r="F5721" t="s">
        <v>4</v>
      </c>
      <c r="G5721" t="str">
        <f>""</f>
        <v/>
      </c>
    </row>
    <row r="5722" spans="1:7" x14ac:dyDescent="0.25">
      <c r="A5722" t="s">
        <v>8</v>
      </c>
      <c r="B5722" s="1" t="str">
        <f>"000249115 - RICH FDS(CORE)-AVI"</f>
        <v>000249115 - RICH FDS(CORE)-AVI</v>
      </c>
      <c r="C5722" t="s">
        <v>1285</v>
      </c>
      <c r="D5722" s="1" t="str">
        <f t="shared" si="166"/>
        <v>PRG-1028246</v>
      </c>
      <c r="E5722" t="s">
        <v>215</v>
      </c>
      <c r="F5722" t="s">
        <v>4</v>
      </c>
      <c r="G5722" t="str">
        <f>""</f>
        <v/>
      </c>
    </row>
    <row r="5723" spans="1:7" x14ac:dyDescent="0.25">
      <c r="A5723" t="s">
        <v>8</v>
      </c>
      <c r="B5723" s="1" t="str">
        <f>"000249116 - RICH FDS(NONC)-AVI"</f>
        <v>000249116 - RICH FDS(NONC)-AVI</v>
      </c>
      <c r="C5723" t="s">
        <v>1286</v>
      </c>
      <c r="D5723" s="1" t="str">
        <f t="shared" si="166"/>
        <v>PRG-1028246</v>
      </c>
      <c r="E5723" t="s">
        <v>215</v>
      </c>
      <c r="F5723" t="s">
        <v>4</v>
      </c>
      <c r="G5723" t="str">
        <f>""</f>
        <v/>
      </c>
    </row>
    <row r="5724" spans="1:7" x14ac:dyDescent="0.25">
      <c r="A5724" t="s">
        <v>8</v>
      </c>
      <c r="B5724" s="1" t="str">
        <f>"000251620 - RICH FDS(CORE)-AVI"</f>
        <v>000251620 - RICH FDS(CORE)-AVI</v>
      </c>
      <c r="C5724" t="s">
        <v>1285</v>
      </c>
      <c r="D5724" s="1" t="str">
        <f t="shared" si="166"/>
        <v>PRG-1028246</v>
      </c>
      <c r="E5724" t="s">
        <v>215</v>
      </c>
      <c r="F5724" t="s">
        <v>4</v>
      </c>
      <c r="G5724" t="str">
        <f>""</f>
        <v/>
      </c>
    </row>
    <row r="5725" spans="1:7" x14ac:dyDescent="0.25">
      <c r="A5725" t="s">
        <v>8</v>
      </c>
      <c r="B5725" s="1" t="str">
        <f>"000251621 - RICH FDS(NONC)-AVI"</f>
        <v>000251621 - RICH FDS(NONC)-AVI</v>
      </c>
      <c r="C5725" t="s">
        <v>1286</v>
      </c>
      <c r="D5725" s="1" t="str">
        <f t="shared" si="166"/>
        <v>PRG-1028246</v>
      </c>
      <c r="E5725" t="s">
        <v>215</v>
      </c>
      <c r="F5725" t="s">
        <v>4</v>
      </c>
      <c r="G5725" t="str">
        <f>""</f>
        <v/>
      </c>
    </row>
    <row r="5726" spans="1:7" x14ac:dyDescent="0.25">
      <c r="A5726" t="s">
        <v>8</v>
      </c>
      <c r="B5726" s="1" t="str">
        <f>"000254603 - RICH FDS(CORE)-AVI"</f>
        <v>000254603 - RICH FDS(CORE)-AVI</v>
      </c>
      <c r="C5726" t="s">
        <v>1285</v>
      </c>
      <c r="D5726" s="1" t="str">
        <f t="shared" si="166"/>
        <v>PRG-1028246</v>
      </c>
      <c r="E5726" t="s">
        <v>215</v>
      </c>
      <c r="F5726" t="s">
        <v>4</v>
      </c>
      <c r="G5726" t="str">
        <f>""</f>
        <v/>
      </c>
    </row>
    <row r="5727" spans="1:7" x14ac:dyDescent="0.25">
      <c r="A5727" t="s">
        <v>8</v>
      </c>
      <c r="B5727" s="1" t="str">
        <f>"000254604 - RICH FDS(NONC)-AVI"</f>
        <v>000254604 - RICH FDS(NONC)-AVI</v>
      </c>
      <c r="C5727" t="s">
        <v>1286</v>
      </c>
      <c r="D5727" s="1" t="str">
        <f t="shared" si="166"/>
        <v>PRG-1028246</v>
      </c>
      <c r="E5727" t="s">
        <v>215</v>
      </c>
      <c r="F5727" t="s">
        <v>4</v>
      </c>
      <c r="G5727" t="str">
        <f>""</f>
        <v/>
      </c>
    </row>
    <row r="5728" spans="1:7" x14ac:dyDescent="0.25">
      <c r="A5728" t="s">
        <v>8</v>
      </c>
      <c r="B5728" s="1" t="str">
        <f>"000257271 - RICH FDS(CORE)-AVI"</f>
        <v>000257271 - RICH FDS(CORE)-AVI</v>
      </c>
      <c r="C5728" t="s">
        <v>1285</v>
      </c>
      <c r="D5728" s="1" t="str">
        <f t="shared" si="166"/>
        <v>PRG-1028246</v>
      </c>
      <c r="E5728" t="s">
        <v>215</v>
      </c>
      <c r="F5728" t="s">
        <v>4</v>
      </c>
      <c r="G5728" t="str">
        <f>""</f>
        <v/>
      </c>
    </row>
    <row r="5729" spans="1:7" x14ac:dyDescent="0.25">
      <c r="A5729" t="s">
        <v>8</v>
      </c>
      <c r="B5729" s="1" t="str">
        <f>"000257272 - RICH FDS(NONC)-AVI"</f>
        <v>000257272 - RICH FDS(NONC)-AVI</v>
      </c>
      <c r="C5729" t="s">
        <v>1286</v>
      </c>
      <c r="D5729" s="1" t="str">
        <f t="shared" si="166"/>
        <v>PRG-1028246</v>
      </c>
      <c r="E5729" t="s">
        <v>215</v>
      </c>
      <c r="F5729" t="s">
        <v>4</v>
      </c>
      <c r="G5729" t="str">
        <f>""</f>
        <v/>
      </c>
    </row>
    <row r="5730" spans="1:7" x14ac:dyDescent="0.25">
      <c r="A5730" t="s">
        <v>8</v>
      </c>
      <c r="B5730" s="1" t="str">
        <f>"000263847 - RICH PROD-AVI"</f>
        <v>000263847 - RICH PROD-AVI</v>
      </c>
      <c r="C5730" t="s">
        <v>1051</v>
      </c>
      <c r="D5730" s="1" t="str">
        <f t="shared" si="166"/>
        <v>PRG-1028246</v>
      </c>
      <c r="E5730" t="s">
        <v>215</v>
      </c>
      <c r="F5730" t="s">
        <v>4</v>
      </c>
      <c r="G5730" t="str">
        <f>""</f>
        <v/>
      </c>
    </row>
    <row r="5731" spans="1:7" x14ac:dyDescent="0.25">
      <c r="A5731" t="s">
        <v>8</v>
      </c>
      <c r="B5731" s="1" t="str">
        <f>"000276249 - RICH FDS(CORE)-AVI"</f>
        <v>000276249 - RICH FDS(CORE)-AVI</v>
      </c>
      <c r="C5731" t="s">
        <v>1285</v>
      </c>
      <c r="D5731" s="1" t="str">
        <f t="shared" si="166"/>
        <v>PRG-1028246</v>
      </c>
      <c r="E5731" t="s">
        <v>215</v>
      </c>
      <c r="F5731" t="s">
        <v>4</v>
      </c>
      <c r="G5731" t="str">
        <f>""</f>
        <v/>
      </c>
    </row>
    <row r="5732" spans="1:7" x14ac:dyDescent="0.25">
      <c r="A5732" t="s">
        <v>8</v>
      </c>
      <c r="B5732" s="1" t="str">
        <f>"000281916 - RICH PROD-AVI"</f>
        <v>000281916 - RICH PROD-AVI</v>
      </c>
      <c r="C5732" t="s">
        <v>1051</v>
      </c>
      <c r="D5732" s="1" t="str">
        <f t="shared" si="166"/>
        <v>PRG-1028246</v>
      </c>
      <c r="E5732" t="s">
        <v>215</v>
      </c>
      <c r="F5732" t="s">
        <v>4</v>
      </c>
      <c r="G5732" t="str">
        <f>""</f>
        <v/>
      </c>
    </row>
    <row r="5733" spans="1:7" x14ac:dyDescent="0.25">
      <c r="A5733" t="s">
        <v>8</v>
      </c>
      <c r="B5733" s="1" t="str">
        <f>"000294503 - RICH FDS(CORE)-AVI"</f>
        <v>000294503 - RICH FDS(CORE)-AVI</v>
      </c>
      <c r="C5733" t="s">
        <v>1285</v>
      </c>
      <c r="D5733" s="1" t="str">
        <f t="shared" si="166"/>
        <v>PRG-1028246</v>
      </c>
      <c r="E5733" t="s">
        <v>215</v>
      </c>
      <c r="F5733" t="s">
        <v>4</v>
      </c>
      <c r="G5733" t="str">
        <f>""</f>
        <v/>
      </c>
    </row>
    <row r="5734" spans="1:7" x14ac:dyDescent="0.25">
      <c r="A5734" t="s">
        <v>8</v>
      </c>
      <c r="B5734" s="1" t="str">
        <f>"000313355 - RICH PROD-AVI"</f>
        <v>000313355 - RICH PROD-AVI</v>
      </c>
      <c r="C5734" t="s">
        <v>1051</v>
      </c>
      <c r="D5734" s="1" t="str">
        <f t="shared" si="166"/>
        <v>PRG-1028246</v>
      </c>
      <c r="E5734" t="s">
        <v>215</v>
      </c>
      <c r="F5734" t="s">
        <v>4</v>
      </c>
      <c r="G5734" t="str">
        <f>""</f>
        <v/>
      </c>
    </row>
    <row r="5735" spans="1:7" x14ac:dyDescent="0.25">
      <c r="A5735" t="s">
        <v>8</v>
      </c>
      <c r="B5735" s="1" t="str">
        <f>"000316023 - "</f>
        <v xml:space="preserve">000316023 - </v>
      </c>
      <c r="D5735" s="1" t="str">
        <f t="shared" si="166"/>
        <v>PRG-1028246</v>
      </c>
      <c r="E5735" t="s">
        <v>215</v>
      </c>
      <c r="F5735" t="s">
        <v>4</v>
      </c>
      <c r="G5735" t="str">
        <f>""</f>
        <v/>
      </c>
    </row>
    <row r="5736" spans="1:7" x14ac:dyDescent="0.25">
      <c r="A5736" t="s">
        <v>8</v>
      </c>
      <c r="B5736" s="1" t="str">
        <f>"000326809 - RICH FDS(CORE)-AVI"</f>
        <v>000326809 - RICH FDS(CORE)-AVI</v>
      </c>
      <c r="C5736" t="s">
        <v>1285</v>
      </c>
      <c r="D5736" s="1" t="str">
        <f t="shared" si="166"/>
        <v>PRG-1028246</v>
      </c>
      <c r="E5736" t="s">
        <v>215</v>
      </c>
      <c r="F5736" t="s">
        <v>4</v>
      </c>
      <c r="G5736" t="str">
        <f>""</f>
        <v/>
      </c>
    </row>
    <row r="5737" spans="1:7" x14ac:dyDescent="0.25">
      <c r="A5737" t="s">
        <v>8</v>
      </c>
      <c r="B5737" s="1" t="str">
        <f>"2000270547 - RICH FOODS-AVI"</f>
        <v>2000270547 - RICH FOODS-AVI</v>
      </c>
      <c r="C5737" t="s">
        <v>713</v>
      </c>
      <c r="D5737" s="1" t="str">
        <f t="shared" si="166"/>
        <v>PRG-1028246</v>
      </c>
      <c r="E5737" t="s">
        <v>215</v>
      </c>
      <c r="F5737" t="s">
        <v>4</v>
      </c>
      <c r="G5737" t="str">
        <f>""</f>
        <v/>
      </c>
    </row>
    <row r="5738" spans="1:7" x14ac:dyDescent="0.25">
      <c r="A5738" t="s">
        <v>8</v>
      </c>
      <c r="B5738" s="1" t="str">
        <f>"000323502 - STONE'S COVE RICH'S"</f>
        <v>000323502 - STONE'S COVE RICH'S</v>
      </c>
      <c r="C5738" t="s">
        <v>3267</v>
      </c>
      <c r="D5738" s="1" t="str">
        <f>"PRG-1028328"</f>
        <v>PRG-1028328</v>
      </c>
      <c r="E5738" t="s">
        <v>3268</v>
      </c>
      <c r="F5738" t="s">
        <v>4</v>
      </c>
      <c r="G5738" t="str">
        <f>""</f>
        <v/>
      </c>
    </row>
    <row r="5739" spans="1:7" x14ac:dyDescent="0.25">
      <c r="A5739" t="s">
        <v>8</v>
      </c>
      <c r="B5739" s="1" t="str">
        <f>"000330748 - STONE'S COVE RICH'S"</f>
        <v>000330748 - STONE'S COVE RICH'S</v>
      </c>
      <c r="C5739" t="s">
        <v>3267</v>
      </c>
      <c r="D5739" s="1" t="str">
        <f>"PRG-1028328"</f>
        <v>PRG-1028328</v>
      </c>
      <c r="E5739" t="s">
        <v>3268</v>
      </c>
      <c r="F5739" t="s">
        <v>4</v>
      </c>
      <c r="G5739" t="str">
        <f>""</f>
        <v/>
      </c>
    </row>
    <row r="5740" spans="1:7" x14ac:dyDescent="0.25">
      <c r="A5740" t="s">
        <v>8</v>
      </c>
      <c r="B5740" s="1" t="str">
        <f>"2010B491"</f>
        <v>2010B491</v>
      </c>
      <c r="C5740" t="s">
        <v>4095</v>
      </c>
      <c r="D5740" s="1" t="str">
        <f>"PRG-1028328"</f>
        <v>PRG-1028328</v>
      </c>
      <c r="E5740" t="s">
        <v>3268</v>
      </c>
      <c r="F5740" t="s">
        <v>5</v>
      </c>
      <c r="G5740" t="str">
        <f>""</f>
        <v/>
      </c>
    </row>
    <row r="5741" spans="1:7" x14ac:dyDescent="0.25">
      <c r="A5741" t="s">
        <v>8</v>
      </c>
      <c r="B5741" s="1" t="str">
        <f>"000306985 - COHO GRILL RICH PRODUCTS"</f>
        <v>000306985 - COHO GRILL RICH PRODUCTS</v>
      </c>
      <c r="C5741" t="s">
        <v>3058</v>
      </c>
      <c r="D5741" s="1" t="str">
        <f>"PRG-1028340"</f>
        <v>PRG-1028340</v>
      </c>
      <c r="E5741" t="s">
        <v>3059</v>
      </c>
      <c r="F5741" t="s">
        <v>4</v>
      </c>
      <c r="G5741" t="str">
        <f>""</f>
        <v/>
      </c>
    </row>
    <row r="5742" spans="1:7" x14ac:dyDescent="0.25">
      <c r="A5742" t="s">
        <v>8</v>
      </c>
      <c r="B5742" s="1" t="str">
        <f>"000327925 - COHO GRILL RICH PRODUCTS"</f>
        <v>000327925 - COHO GRILL RICH PRODUCTS</v>
      </c>
      <c r="C5742" t="s">
        <v>3058</v>
      </c>
      <c r="D5742" s="1" t="str">
        <f>"PRG-1028340"</f>
        <v>PRG-1028340</v>
      </c>
      <c r="E5742" t="s">
        <v>3059</v>
      </c>
      <c r="F5742" t="s">
        <v>4</v>
      </c>
      <c r="G5742" t="str">
        <f>""</f>
        <v/>
      </c>
    </row>
    <row r="5743" spans="1:7" x14ac:dyDescent="0.25">
      <c r="A5743" t="s">
        <v>8</v>
      </c>
      <c r="B5743" s="1" t="str">
        <f>"000135723 - RICH SILVER DOLLAR"</f>
        <v>000135723 - RICH SILVER DOLLAR</v>
      </c>
      <c r="C5743" t="s">
        <v>956</v>
      </c>
      <c r="D5743" s="1" t="str">
        <f>"PRG-1028348"</f>
        <v>PRG-1028348</v>
      </c>
      <c r="E5743" t="s">
        <v>957</v>
      </c>
      <c r="F5743" t="s">
        <v>4</v>
      </c>
      <c r="G5743" t="str">
        <f>""</f>
        <v/>
      </c>
    </row>
    <row r="5744" spans="1:7" x14ac:dyDescent="0.25">
      <c r="A5744" t="s">
        <v>8</v>
      </c>
      <c r="B5744" s="1" t="str">
        <f>"000147233 - "</f>
        <v xml:space="preserve">000147233 - </v>
      </c>
      <c r="D5744" s="1" t="str">
        <f>"PRG-1028348"</f>
        <v>PRG-1028348</v>
      </c>
      <c r="E5744" t="s">
        <v>957</v>
      </c>
      <c r="F5744" t="s">
        <v>4</v>
      </c>
      <c r="G5744" t="str">
        <f>""</f>
        <v/>
      </c>
    </row>
    <row r="5745" spans="1:7" x14ac:dyDescent="0.25">
      <c r="A5745" t="s">
        <v>8</v>
      </c>
      <c r="B5745" s="1" t="str">
        <f>"31903944"</f>
        <v>31903944</v>
      </c>
      <c r="C5745" t="s">
        <v>4796</v>
      </c>
      <c r="D5745" s="1" t="str">
        <f>"PRG-1028393"</f>
        <v>PRG-1028393</v>
      </c>
      <c r="E5745" t="s">
        <v>4797</v>
      </c>
      <c r="F5745" t="s">
        <v>5</v>
      </c>
      <c r="G5745" t="str">
        <f>""</f>
        <v/>
      </c>
    </row>
    <row r="5746" spans="1:7" x14ac:dyDescent="0.25">
      <c r="A5746" t="s">
        <v>8</v>
      </c>
      <c r="B5746" s="1" t="str">
        <f>"000264257 - RICH PROD ELK GROVE USD"</f>
        <v>000264257 - RICH PROD ELK GROVE USD</v>
      </c>
      <c r="C5746" t="s">
        <v>2353</v>
      </c>
      <c r="D5746" s="1" t="str">
        <f>"PRG-1028427"</f>
        <v>PRG-1028427</v>
      </c>
      <c r="E5746" t="s">
        <v>2354</v>
      </c>
      <c r="F5746" t="s">
        <v>4</v>
      </c>
      <c r="G5746" t="str">
        <f>""</f>
        <v/>
      </c>
    </row>
    <row r="5747" spans="1:7" x14ac:dyDescent="0.25">
      <c r="A5747" t="s">
        <v>8</v>
      </c>
      <c r="B5747" s="1" t="str">
        <f>"000281108 - RICH PRODUCTS  SAN JOAQUIN VA"</f>
        <v>000281108 - RICH PRODUCTS  SAN JOAQUIN VA</v>
      </c>
      <c r="C5747" t="s">
        <v>2647</v>
      </c>
      <c r="D5747" s="1" t="str">
        <f>"PRG-1028428"</f>
        <v>PRG-1028428</v>
      </c>
      <c r="E5747" t="s">
        <v>2648</v>
      </c>
      <c r="F5747" t="s">
        <v>4</v>
      </c>
      <c r="G5747" t="str">
        <f>""</f>
        <v/>
      </c>
    </row>
    <row r="5748" spans="1:7" x14ac:dyDescent="0.25">
      <c r="A5748" t="s">
        <v>8</v>
      </c>
      <c r="B5748" s="1" t="str">
        <f>"000274375 - "</f>
        <v xml:space="preserve">000274375 - </v>
      </c>
      <c r="D5748" s="1" t="str">
        <f>"PRG-1028457"</f>
        <v>PRG-1028457</v>
      </c>
      <c r="E5748" t="s">
        <v>17</v>
      </c>
      <c r="F5748" t="s">
        <v>4</v>
      </c>
      <c r="G5748" t="str">
        <f>""</f>
        <v/>
      </c>
    </row>
    <row r="5749" spans="1:7" x14ac:dyDescent="0.25">
      <c r="A5749" t="s">
        <v>8</v>
      </c>
      <c r="B5749" s="1" t="str">
        <f>"000293074 - "</f>
        <v xml:space="preserve">000293074 - </v>
      </c>
      <c r="D5749" s="1" t="str">
        <f>"PRG-1028457"</f>
        <v>PRG-1028457</v>
      </c>
      <c r="E5749" t="s">
        <v>17</v>
      </c>
      <c r="F5749" t="s">
        <v>4</v>
      </c>
      <c r="G5749" t="str">
        <f>""</f>
        <v/>
      </c>
    </row>
    <row r="5750" spans="1:7" x14ac:dyDescent="0.25">
      <c r="A5750" t="s">
        <v>8</v>
      </c>
      <c r="B5750" s="1" t="str">
        <f>"2000226059 - RICH PRODUCTS-WESTERN SIZZLIN"</f>
        <v>2000226059 - RICH PRODUCTS-WESTERN SIZZLIN</v>
      </c>
      <c r="C5750" t="s">
        <v>3976</v>
      </c>
      <c r="D5750" s="1" t="str">
        <f>"PRG-1028459"</f>
        <v>PRG-1028459</v>
      </c>
      <c r="E5750" t="s">
        <v>240</v>
      </c>
      <c r="F5750" t="s">
        <v>4</v>
      </c>
      <c r="G5750" t="str">
        <f>""</f>
        <v/>
      </c>
    </row>
    <row r="5751" spans="1:7" x14ac:dyDescent="0.25">
      <c r="A5751" t="s">
        <v>8</v>
      </c>
      <c r="B5751" s="1" t="str">
        <f>"2000305853 - RICHS-WESTERN SIZZLIN"</f>
        <v>2000305853 - RICHS-WESTERN SIZZLIN</v>
      </c>
      <c r="C5751" t="s">
        <v>455</v>
      </c>
      <c r="D5751" s="1" t="str">
        <f>"PRG-1028459"</f>
        <v>PRG-1028459</v>
      </c>
      <c r="E5751" t="s">
        <v>240</v>
      </c>
      <c r="F5751" t="s">
        <v>4</v>
      </c>
      <c r="G5751" t="str">
        <f>""</f>
        <v/>
      </c>
    </row>
    <row r="5752" spans="1:7" x14ac:dyDescent="0.25">
      <c r="A5752" t="s">
        <v>8</v>
      </c>
      <c r="B5752" s="1" t="str">
        <f>"2000286712 - RICH FOODS-JEFFCO BOULDER ENGLEWOOD"</f>
        <v>2000286712 - RICH FOODS-JEFFCO BOULDER ENGLEWOOD</v>
      </c>
      <c r="C5752" t="s">
        <v>4020</v>
      </c>
      <c r="D5752" s="1" t="str">
        <f>"PRG-1028473"</f>
        <v>PRG-1028473</v>
      </c>
      <c r="E5752" t="s">
        <v>4021</v>
      </c>
      <c r="F5752" t="s">
        <v>4</v>
      </c>
      <c r="G5752" t="str">
        <f>""</f>
        <v/>
      </c>
    </row>
    <row r="5753" spans="1:7" x14ac:dyDescent="0.25">
      <c r="A5753" t="s">
        <v>8</v>
      </c>
      <c r="B5753" s="1" t="str">
        <f>"000287121 - RICHS REGION 1  2015-16"</f>
        <v>000287121 - RICHS REGION 1  2015-16</v>
      </c>
      <c r="C5753" t="s">
        <v>2752</v>
      </c>
      <c r="D5753" s="1" t="str">
        <f>"PRG-1028477"</f>
        <v>PRG-1028477</v>
      </c>
      <c r="E5753" t="s">
        <v>2753</v>
      </c>
      <c r="F5753" t="s">
        <v>4</v>
      </c>
      <c r="G5753" t="str">
        <f>""</f>
        <v/>
      </c>
    </row>
    <row r="5754" spans="1:7" x14ac:dyDescent="0.25">
      <c r="A5754" t="s">
        <v>8</v>
      </c>
      <c r="B5754" s="1" t="str">
        <f>"2000268848 - RICHS-UINTAH SD"</f>
        <v>2000268848 - RICHS-UINTAH SD</v>
      </c>
      <c r="C5754" t="s">
        <v>4003</v>
      </c>
      <c r="D5754" s="1" t="str">
        <f>"PRG-1028478"</f>
        <v>PRG-1028478</v>
      </c>
      <c r="E5754" t="s">
        <v>4004</v>
      </c>
      <c r="F5754" t="s">
        <v>4</v>
      </c>
      <c r="G5754" t="str">
        <f>""</f>
        <v/>
      </c>
    </row>
    <row r="5755" spans="1:7" x14ac:dyDescent="0.25">
      <c r="A5755" t="s">
        <v>8</v>
      </c>
      <c r="B5755" s="1" t="str">
        <f>"000307336 - RICH'S GRANDMA'S CATERING"</f>
        <v>000307336 - RICH'S GRANDMA'S CATERING</v>
      </c>
      <c r="C5755" t="s">
        <v>3065</v>
      </c>
      <c r="D5755" s="1" t="str">
        <f>"PRG-1028481"</f>
        <v>PRG-1028481</v>
      </c>
      <c r="E5755" t="s">
        <v>3066</v>
      </c>
      <c r="F5755" t="s">
        <v>4</v>
      </c>
      <c r="G5755" t="str">
        <f>""</f>
        <v/>
      </c>
    </row>
    <row r="5756" spans="1:7" x14ac:dyDescent="0.25">
      <c r="A5756" t="s">
        <v>8</v>
      </c>
      <c r="B5756" s="1" t="str">
        <f>"000339972 - "</f>
        <v xml:space="preserve">000339972 - </v>
      </c>
      <c r="D5756" s="1" t="str">
        <f>"PRG-1028481"</f>
        <v>PRG-1028481</v>
      </c>
      <c r="E5756" t="s">
        <v>3066</v>
      </c>
      <c r="F5756" t="s">
        <v>4</v>
      </c>
      <c r="G5756" t="str">
        <f>""</f>
        <v/>
      </c>
    </row>
    <row r="5757" spans="1:7" x14ac:dyDescent="0.25">
      <c r="A5757" t="s">
        <v>8</v>
      </c>
      <c r="B5757" s="1" t="str">
        <f>"000228167 - RICHS BREAD DOUGH MAIN ST CAFE"</f>
        <v>000228167 - RICHS BREAD DOUGH MAIN ST CAFE</v>
      </c>
      <c r="C5757" t="s">
        <v>1722</v>
      </c>
      <c r="D5757" s="1" t="str">
        <f>"PRG-1028486"</f>
        <v>PRG-1028486</v>
      </c>
      <c r="E5757" t="s">
        <v>1723</v>
      </c>
      <c r="F5757" t="s">
        <v>4</v>
      </c>
      <c r="G5757" t="str">
        <f>""</f>
        <v/>
      </c>
    </row>
    <row r="5758" spans="1:7" x14ac:dyDescent="0.25">
      <c r="A5758" t="s">
        <v>8</v>
      </c>
      <c r="B5758" s="1" t="str">
        <f>"000234364 - "</f>
        <v xml:space="preserve">000234364 - </v>
      </c>
      <c r="D5758" s="1" t="str">
        <f>"PRG-1028486"</f>
        <v>PRG-1028486</v>
      </c>
      <c r="E5758" t="s">
        <v>1723</v>
      </c>
      <c r="F5758" t="s">
        <v>4</v>
      </c>
      <c r="G5758" t="str">
        <f>""</f>
        <v/>
      </c>
    </row>
    <row r="5759" spans="1:7" x14ac:dyDescent="0.25">
      <c r="A5759" t="s">
        <v>8</v>
      </c>
      <c r="B5759" s="1" t="str">
        <f>"000226968 - RICH PRODUCTS SUMMER NO SHOW"</f>
        <v>000226968 - RICH PRODUCTS SUMMER NO SHOW</v>
      </c>
      <c r="C5759" t="s">
        <v>1702</v>
      </c>
      <c r="D5759" s="1" t="str">
        <f>"PRG-1028498"</f>
        <v>PRG-1028498</v>
      </c>
      <c r="E5759" t="s">
        <v>1703</v>
      </c>
      <c r="F5759" t="s">
        <v>4</v>
      </c>
      <c r="G5759" t="str">
        <f>""</f>
        <v/>
      </c>
    </row>
    <row r="5760" spans="1:7" x14ac:dyDescent="0.25">
      <c r="A5760" t="s">
        <v>8</v>
      </c>
      <c r="B5760" s="1" t="str">
        <f>"S8E009P0"</f>
        <v>S8E009P0</v>
      </c>
      <c r="C5760" t="s">
        <v>6217</v>
      </c>
      <c r="D5760" s="1" t="str">
        <f>"PRG-1028546"</f>
        <v>PRG-1028546</v>
      </c>
      <c r="E5760" t="s">
        <v>6218</v>
      </c>
      <c r="F5760" t="s">
        <v>5</v>
      </c>
      <c r="G5760" t="str">
        <f>""</f>
        <v/>
      </c>
    </row>
    <row r="5761" spans="1:7" x14ac:dyDescent="0.25">
      <c r="A5761" t="s">
        <v>8</v>
      </c>
      <c r="B5761" s="1" t="str">
        <f>"000112887 - RICH FOODS-GRANITE CITY"</f>
        <v>000112887 - RICH FOODS-GRANITE CITY</v>
      </c>
      <c r="C5761" t="s">
        <v>820</v>
      </c>
      <c r="D5761" s="1" t="str">
        <f t="shared" ref="D5761:D5800" si="167">"PRG-1028561"</f>
        <v>PRG-1028561</v>
      </c>
      <c r="E5761" t="s">
        <v>846</v>
      </c>
      <c r="F5761" t="s">
        <v>4</v>
      </c>
      <c r="G5761" t="str">
        <f>""</f>
        <v/>
      </c>
    </row>
    <row r="5762" spans="1:7" x14ac:dyDescent="0.25">
      <c r="A5762" t="s">
        <v>8</v>
      </c>
      <c r="B5762" s="1" t="str">
        <f>"000116117 - RICH FOODS NC-GRANITE CITY"</f>
        <v>000116117 - RICH FOODS NC-GRANITE CITY</v>
      </c>
      <c r="C5762" t="s">
        <v>864</v>
      </c>
      <c r="D5762" s="1" t="str">
        <f t="shared" si="167"/>
        <v>PRG-1028561</v>
      </c>
      <c r="E5762" t="s">
        <v>846</v>
      </c>
      <c r="F5762" t="s">
        <v>4</v>
      </c>
      <c r="G5762" t="str">
        <f>""</f>
        <v/>
      </c>
    </row>
    <row r="5763" spans="1:7" x14ac:dyDescent="0.25">
      <c r="A5763" t="s">
        <v>8</v>
      </c>
      <c r="B5763" s="1" t="str">
        <f>"000116118 - RICH FOODS C-GRANITE CITY"</f>
        <v>000116118 - RICH FOODS C-GRANITE CITY</v>
      </c>
      <c r="C5763" t="s">
        <v>865</v>
      </c>
      <c r="D5763" s="1" t="str">
        <f t="shared" si="167"/>
        <v>PRG-1028561</v>
      </c>
      <c r="E5763" t="s">
        <v>846</v>
      </c>
      <c r="F5763" t="s">
        <v>4</v>
      </c>
      <c r="G5763" t="str">
        <f>""</f>
        <v/>
      </c>
    </row>
    <row r="5764" spans="1:7" x14ac:dyDescent="0.25">
      <c r="A5764" t="s">
        <v>8</v>
      </c>
      <c r="B5764" s="1" t="str">
        <f>"000198435 - RICH FOODS-GRANITE CITY"</f>
        <v>000198435 - RICH FOODS-GRANITE CITY</v>
      </c>
      <c r="C5764" t="s">
        <v>820</v>
      </c>
      <c r="D5764" s="1" t="str">
        <f t="shared" si="167"/>
        <v>PRG-1028561</v>
      </c>
      <c r="E5764" t="s">
        <v>846</v>
      </c>
      <c r="F5764" t="s">
        <v>4</v>
      </c>
      <c r="G5764" t="str">
        <f>""</f>
        <v/>
      </c>
    </row>
    <row r="5765" spans="1:7" x14ac:dyDescent="0.25">
      <c r="A5765" t="s">
        <v>8</v>
      </c>
      <c r="B5765" s="1" t="str">
        <f>"000199282 - RICH FOODS-GRANITE CITY"</f>
        <v>000199282 - RICH FOODS-GRANITE CITY</v>
      </c>
      <c r="C5765" t="s">
        <v>820</v>
      </c>
      <c r="D5765" s="1" t="str">
        <f t="shared" si="167"/>
        <v>PRG-1028561</v>
      </c>
      <c r="E5765" t="s">
        <v>846</v>
      </c>
      <c r="F5765" t="s">
        <v>4</v>
      </c>
      <c r="G5765" t="str">
        <f>""</f>
        <v/>
      </c>
    </row>
    <row r="5766" spans="1:7" x14ac:dyDescent="0.25">
      <c r="A5766" t="s">
        <v>8</v>
      </c>
      <c r="B5766" s="1" t="str">
        <f>"000210766 - BB GRANITE CITY FOB RICH"</f>
        <v>000210766 - BB GRANITE CITY FOB RICH</v>
      </c>
      <c r="C5766" t="s">
        <v>1440</v>
      </c>
      <c r="D5766" s="1" t="str">
        <f t="shared" si="167"/>
        <v>PRG-1028561</v>
      </c>
      <c r="E5766" t="s">
        <v>846</v>
      </c>
      <c r="F5766" t="s">
        <v>4</v>
      </c>
      <c r="G5766" t="str">
        <f>""</f>
        <v/>
      </c>
    </row>
    <row r="5767" spans="1:7" x14ac:dyDescent="0.25">
      <c r="A5767" t="s">
        <v>8</v>
      </c>
      <c r="B5767" s="1" t="str">
        <f>"000211668 - BB GRANITE CITY FOB RICH"</f>
        <v>000211668 - BB GRANITE CITY FOB RICH</v>
      </c>
      <c r="C5767" t="s">
        <v>1440</v>
      </c>
      <c r="D5767" s="1" t="str">
        <f t="shared" si="167"/>
        <v>PRG-1028561</v>
      </c>
      <c r="E5767" t="s">
        <v>846</v>
      </c>
      <c r="F5767" t="s">
        <v>4</v>
      </c>
      <c r="G5767" t="str">
        <f>""</f>
        <v/>
      </c>
    </row>
    <row r="5768" spans="1:7" x14ac:dyDescent="0.25">
      <c r="A5768" t="s">
        <v>8</v>
      </c>
      <c r="B5768" s="1" t="str">
        <f>"000215273 - BB GRANITE FOB RICH"</f>
        <v>000215273 - BB GRANITE FOB RICH</v>
      </c>
      <c r="C5768" t="s">
        <v>1212</v>
      </c>
      <c r="D5768" s="1" t="str">
        <f t="shared" si="167"/>
        <v>PRG-1028561</v>
      </c>
      <c r="E5768" t="s">
        <v>846</v>
      </c>
      <c r="F5768" t="s">
        <v>4</v>
      </c>
      <c r="G5768" t="str">
        <f>""</f>
        <v/>
      </c>
    </row>
    <row r="5769" spans="1:7" x14ac:dyDescent="0.25">
      <c r="A5769" t="s">
        <v>8</v>
      </c>
      <c r="B5769" s="1" t="str">
        <f>"000218736 - RICH FOODS-GRANITE CITY"</f>
        <v>000218736 - RICH FOODS-GRANITE CITY</v>
      </c>
      <c r="C5769" t="s">
        <v>820</v>
      </c>
      <c r="D5769" s="1" t="str">
        <f t="shared" si="167"/>
        <v>PRG-1028561</v>
      </c>
      <c r="E5769" t="s">
        <v>846</v>
      </c>
      <c r="F5769" t="s">
        <v>4</v>
      </c>
      <c r="G5769" t="str">
        <f>""</f>
        <v/>
      </c>
    </row>
    <row r="5770" spans="1:7" x14ac:dyDescent="0.25">
      <c r="A5770" t="s">
        <v>8</v>
      </c>
      <c r="B5770" s="1" t="str">
        <f>"000223073 - RICH FOODS NC-GRANITE CITY"</f>
        <v>000223073 - RICH FOODS NC-GRANITE CITY</v>
      </c>
      <c r="C5770" t="s">
        <v>864</v>
      </c>
      <c r="D5770" s="1" t="str">
        <f t="shared" si="167"/>
        <v>PRG-1028561</v>
      </c>
      <c r="E5770" t="s">
        <v>846</v>
      </c>
      <c r="F5770" t="s">
        <v>4</v>
      </c>
      <c r="G5770" t="str">
        <f>""</f>
        <v/>
      </c>
    </row>
    <row r="5771" spans="1:7" x14ac:dyDescent="0.25">
      <c r="A5771" t="s">
        <v>8</v>
      </c>
      <c r="B5771" s="1" t="str">
        <f>"000223074 - RICH FOODS C-GRANITE CITY"</f>
        <v>000223074 - RICH FOODS C-GRANITE CITY</v>
      </c>
      <c r="C5771" t="s">
        <v>865</v>
      </c>
      <c r="D5771" s="1" t="str">
        <f t="shared" si="167"/>
        <v>PRG-1028561</v>
      </c>
      <c r="E5771" t="s">
        <v>846</v>
      </c>
      <c r="F5771" t="s">
        <v>4</v>
      </c>
      <c r="G5771" t="str">
        <f>""</f>
        <v/>
      </c>
    </row>
    <row r="5772" spans="1:7" x14ac:dyDescent="0.25">
      <c r="A5772" t="s">
        <v>8</v>
      </c>
      <c r="B5772" s="1" t="str">
        <f>"000223104 - RICH FOODS-GRANITE CITY"</f>
        <v>000223104 - RICH FOODS-GRANITE CITY</v>
      </c>
      <c r="C5772" t="s">
        <v>820</v>
      </c>
      <c r="D5772" s="1" t="str">
        <f t="shared" si="167"/>
        <v>PRG-1028561</v>
      </c>
      <c r="E5772" t="s">
        <v>846</v>
      </c>
      <c r="F5772" t="s">
        <v>4</v>
      </c>
      <c r="G5772" t="str">
        <f>""</f>
        <v/>
      </c>
    </row>
    <row r="5773" spans="1:7" x14ac:dyDescent="0.25">
      <c r="A5773" t="s">
        <v>8</v>
      </c>
      <c r="B5773" s="1" t="str">
        <f>"000223872 - RICH FOODS-GRANITE CITY"</f>
        <v>000223872 - RICH FOODS-GRANITE CITY</v>
      </c>
      <c r="C5773" t="s">
        <v>820</v>
      </c>
      <c r="D5773" s="1" t="str">
        <f t="shared" si="167"/>
        <v>PRG-1028561</v>
      </c>
      <c r="E5773" t="s">
        <v>846</v>
      </c>
      <c r="F5773" t="s">
        <v>4</v>
      </c>
      <c r="G5773" t="str">
        <f>""</f>
        <v/>
      </c>
    </row>
    <row r="5774" spans="1:7" x14ac:dyDescent="0.25">
      <c r="A5774" t="s">
        <v>8</v>
      </c>
      <c r="B5774" s="1" t="str">
        <f>"000227740 - RICH FOODS NC-GRANITE CITY"</f>
        <v>000227740 - RICH FOODS NC-GRANITE CITY</v>
      </c>
      <c r="C5774" t="s">
        <v>864</v>
      </c>
      <c r="D5774" s="1" t="str">
        <f t="shared" si="167"/>
        <v>PRG-1028561</v>
      </c>
      <c r="E5774" t="s">
        <v>846</v>
      </c>
      <c r="F5774" t="s">
        <v>4</v>
      </c>
      <c r="G5774" t="str">
        <f>""</f>
        <v/>
      </c>
    </row>
    <row r="5775" spans="1:7" x14ac:dyDescent="0.25">
      <c r="A5775" t="s">
        <v>8</v>
      </c>
      <c r="B5775" s="1" t="str">
        <f>"000227741 - RICH FOODS C-GRANITE CITY"</f>
        <v>000227741 - RICH FOODS C-GRANITE CITY</v>
      </c>
      <c r="C5775" t="s">
        <v>865</v>
      </c>
      <c r="D5775" s="1" t="str">
        <f t="shared" si="167"/>
        <v>PRG-1028561</v>
      </c>
      <c r="E5775" t="s">
        <v>846</v>
      </c>
      <c r="F5775" t="s">
        <v>4</v>
      </c>
      <c r="G5775" t="str">
        <f>""</f>
        <v/>
      </c>
    </row>
    <row r="5776" spans="1:7" x14ac:dyDescent="0.25">
      <c r="A5776" t="s">
        <v>8</v>
      </c>
      <c r="B5776" s="1" t="str">
        <f>"000228738 - RICH FOODS-GRANITE CITY"</f>
        <v>000228738 - RICH FOODS-GRANITE CITY</v>
      </c>
      <c r="C5776" t="s">
        <v>820</v>
      </c>
      <c r="D5776" s="1" t="str">
        <f t="shared" si="167"/>
        <v>PRG-1028561</v>
      </c>
      <c r="E5776" t="s">
        <v>846</v>
      </c>
      <c r="F5776" t="s">
        <v>4</v>
      </c>
      <c r="G5776" t="str">
        <f>""</f>
        <v/>
      </c>
    </row>
    <row r="5777" spans="1:7" x14ac:dyDescent="0.25">
      <c r="A5777" t="s">
        <v>8</v>
      </c>
      <c r="B5777" s="1" t="str">
        <f>"000247512 - RICH FOODS-GRANITE CITY"</f>
        <v>000247512 - RICH FOODS-GRANITE CITY</v>
      </c>
      <c r="C5777" t="s">
        <v>820</v>
      </c>
      <c r="D5777" s="1" t="str">
        <f t="shared" si="167"/>
        <v>PRG-1028561</v>
      </c>
      <c r="E5777" t="s">
        <v>846</v>
      </c>
      <c r="F5777" t="s">
        <v>4</v>
      </c>
      <c r="G5777" t="str">
        <f>""</f>
        <v/>
      </c>
    </row>
    <row r="5778" spans="1:7" x14ac:dyDescent="0.25">
      <c r="A5778" t="s">
        <v>8</v>
      </c>
      <c r="B5778" s="1" t="str">
        <f>"000248535 - RICH SWEET DOUGH-SODEXO"</f>
        <v>000248535 - RICH SWEET DOUGH-SODEXO</v>
      </c>
      <c r="C5778" t="s">
        <v>384</v>
      </c>
      <c r="D5778" s="1" t="str">
        <f t="shared" si="167"/>
        <v>PRG-1028561</v>
      </c>
      <c r="E5778" t="s">
        <v>846</v>
      </c>
      <c r="F5778" t="s">
        <v>4</v>
      </c>
      <c r="G5778" t="str">
        <f>""</f>
        <v/>
      </c>
    </row>
    <row r="5779" spans="1:7" x14ac:dyDescent="0.25">
      <c r="A5779" t="s">
        <v>8</v>
      </c>
      <c r="B5779" s="1" t="str">
        <f>"000252769 - RICH FOODS NC-GRANITE CITY"</f>
        <v>000252769 - RICH FOODS NC-GRANITE CITY</v>
      </c>
      <c r="C5779" t="s">
        <v>864</v>
      </c>
      <c r="D5779" s="1" t="str">
        <f t="shared" si="167"/>
        <v>PRG-1028561</v>
      </c>
      <c r="E5779" t="s">
        <v>846</v>
      </c>
      <c r="F5779" t="s">
        <v>4</v>
      </c>
      <c r="G5779" t="str">
        <f>""</f>
        <v/>
      </c>
    </row>
    <row r="5780" spans="1:7" x14ac:dyDescent="0.25">
      <c r="A5780" t="s">
        <v>8</v>
      </c>
      <c r="B5780" s="1" t="str">
        <f>"000253737 - RICH FOODS-GRANITE CITY"</f>
        <v>000253737 - RICH FOODS-GRANITE CITY</v>
      </c>
      <c r="C5780" t="s">
        <v>820</v>
      </c>
      <c r="D5780" s="1" t="str">
        <f t="shared" si="167"/>
        <v>PRG-1028561</v>
      </c>
      <c r="E5780" t="s">
        <v>846</v>
      </c>
      <c r="F5780" t="s">
        <v>4</v>
      </c>
      <c r="G5780" t="str">
        <f>""</f>
        <v/>
      </c>
    </row>
    <row r="5781" spans="1:7" x14ac:dyDescent="0.25">
      <c r="A5781" t="s">
        <v>8</v>
      </c>
      <c r="B5781" s="1" t="str">
        <f>"000254196 - RICH FOODS NC-GRANITE CITY"</f>
        <v>000254196 - RICH FOODS NC-GRANITE CITY</v>
      </c>
      <c r="C5781" t="s">
        <v>864</v>
      </c>
      <c r="D5781" s="1" t="str">
        <f t="shared" si="167"/>
        <v>PRG-1028561</v>
      </c>
      <c r="E5781" t="s">
        <v>846</v>
      </c>
      <c r="F5781" t="s">
        <v>4</v>
      </c>
      <c r="G5781" t="str">
        <f>""</f>
        <v/>
      </c>
    </row>
    <row r="5782" spans="1:7" x14ac:dyDescent="0.25">
      <c r="A5782" t="s">
        <v>8</v>
      </c>
      <c r="B5782" s="1" t="str">
        <f>"000254505 - RICH FOODS-GRANITE CITY"</f>
        <v>000254505 - RICH FOODS-GRANITE CITY</v>
      </c>
      <c r="C5782" t="s">
        <v>820</v>
      </c>
      <c r="D5782" s="1" t="str">
        <f t="shared" si="167"/>
        <v>PRG-1028561</v>
      </c>
      <c r="E5782" t="s">
        <v>846</v>
      </c>
      <c r="F5782" t="s">
        <v>4</v>
      </c>
      <c r="G5782" t="str">
        <f>""</f>
        <v/>
      </c>
    </row>
    <row r="5783" spans="1:7" x14ac:dyDescent="0.25">
      <c r="A5783" t="s">
        <v>8</v>
      </c>
      <c r="B5783" s="1" t="str">
        <f>"000258185 - RICH FOODS NC-GRANITE CITY"</f>
        <v>000258185 - RICH FOODS NC-GRANITE CITY</v>
      </c>
      <c r="C5783" t="s">
        <v>864</v>
      </c>
      <c r="D5783" s="1" t="str">
        <f t="shared" si="167"/>
        <v>PRG-1028561</v>
      </c>
      <c r="E5783" t="s">
        <v>846</v>
      </c>
      <c r="F5783" t="s">
        <v>4</v>
      </c>
      <c r="G5783" t="str">
        <f>""</f>
        <v/>
      </c>
    </row>
    <row r="5784" spans="1:7" x14ac:dyDescent="0.25">
      <c r="A5784" t="s">
        <v>8</v>
      </c>
      <c r="B5784" s="1" t="str">
        <f>"000258186 - RICH FOODS C-GRANITE CITY"</f>
        <v>000258186 - RICH FOODS C-GRANITE CITY</v>
      </c>
      <c r="C5784" t="s">
        <v>865</v>
      </c>
      <c r="D5784" s="1" t="str">
        <f t="shared" si="167"/>
        <v>PRG-1028561</v>
      </c>
      <c r="E5784" t="s">
        <v>846</v>
      </c>
      <c r="F5784" t="s">
        <v>4</v>
      </c>
      <c r="G5784" t="str">
        <f>""</f>
        <v/>
      </c>
    </row>
    <row r="5785" spans="1:7" x14ac:dyDescent="0.25">
      <c r="A5785" t="s">
        <v>8</v>
      </c>
      <c r="B5785" s="1" t="str">
        <f>"000260512 - RICH FOODS-GRANITE CITY"</f>
        <v>000260512 - RICH FOODS-GRANITE CITY</v>
      </c>
      <c r="C5785" t="s">
        <v>820</v>
      </c>
      <c r="D5785" s="1" t="str">
        <f t="shared" si="167"/>
        <v>PRG-1028561</v>
      </c>
      <c r="E5785" t="s">
        <v>846</v>
      </c>
      <c r="F5785" t="s">
        <v>4</v>
      </c>
      <c r="G5785" t="str">
        <f>""</f>
        <v/>
      </c>
    </row>
    <row r="5786" spans="1:7" x14ac:dyDescent="0.25">
      <c r="A5786" t="s">
        <v>8</v>
      </c>
      <c r="B5786" s="1" t="str">
        <f>"000261386 - RICH FOODS NC-GRANITE CITY"</f>
        <v>000261386 - RICH FOODS NC-GRANITE CITY</v>
      </c>
      <c r="C5786" t="s">
        <v>864</v>
      </c>
      <c r="D5786" s="1" t="str">
        <f t="shared" si="167"/>
        <v>PRG-1028561</v>
      </c>
      <c r="E5786" t="s">
        <v>846</v>
      </c>
      <c r="F5786" t="s">
        <v>4</v>
      </c>
      <c r="G5786" t="str">
        <f>""</f>
        <v/>
      </c>
    </row>
    <row r="5787" spans="1:7" x14ac:dyDescent="0.25">
      <c r="A5787" t="s">
        <v>8</v>
      </c>
      <c r="B5787" s="1" t="str">
        <f>"000261387 - RICH FOODS C-GRANITE CITY"</f>
        <v>000261387 - RICH FOODS C-GRANITE CITY</v>
      </c>
      <c r="C5787" t="s">
        <v>865</v>
      </c>
      <c r="D5787" s="1" t="str">
        <f t="shared" si="167"/>
        <v>PRG-1028561</v>
      </c>
      <c r="E5787" t="s">
        <v>846</v>
      </c>
      <c r="F5787" t="s">
        <v>4</v>
      </c>
      <c r="G5787" t="str">
        <f>""</f>
        <v/>
      </c>
    </row>
    <row r="5788" spans="1:7" x14ac:dyDescent="0.25">
      <c r="A5788" t="s">
        <v>8</v>
      </c>
      <c r="B5788" s="1" t="str">
        <f>"000272262 - RICH FOODS-GRANITE CITY"</f>
        <v>000272262 - RICH FOODS-GRANITE CITY</v>
      </c>
      <c r="C5788" t="s">
        <v>820</v>
      </c>
      <c r="D5788" s="1" t="str">
        <f t="shared" si="167"/>
        <v>PRG-1028561</v>
      </c>
      <c r="E5788" t="s">
        <v>846</v>
      </c>
      <c r="F5788" t="s">
        <v>4</v>
      </c>
      <c r="G5788" t="str">
        <f>""</f>
        <v/>
      </c>
    </row>
    <row r="5789" spans="1:7" x14ac:dyDescent="0.25">
      <c r="A5789" t="s">
        <v>8</v>
      </c>
      <c r="B5789" s="1" t="str">
        <f>"000273141 - RICH FOODS-GRANITE CITY"</f>
        <v>000273141 - RICH FOODS-GRANITE CITY</v>
      </c>
      <c r="C5789" t="s">
        <v>820</v>
      </c>
      <c r="D5789" s="1" t="str">
        <f t="shared" si="167"/>
        <v>PRG-1028561</v>
      </c>
      <c r="E5789" t="s">
        <v>846</v>
      </c>
      <c r="F5789" t="s">
        <v>4</v>
      </c>
      <c r="G5789" t="str">
        <f>""</f>
        <v/>
      </c>
    </row>
    <row r="5790" spans="1:7" x14ac:dyDescent="0.25">
      <c r="A5790" t="s">
        <v>8</v>
      </c>
      <c r="B5790" s="1" t="str">
        <f>"000288727 - RICH FOODS-GRANITE CITY"</f>
        <v>000288727 - RICH FOODS-GRANITE CITY</v>
      </c>
      <c r="C5790" t="s">
        <v>820</v>
      </c>
      <c r="D5790" s="1" t="str">
        <f t="shared" si="167"/>
        <v>PRG-1028561</v>
      </c>
      <c r="E5790" t="s">
        <v>846</v>
      </c>
      <c r="F5790" t="s">
        <v>4</v>
      </c>
      <c r="G5790" t="str">
        <f>""</f>
        <v/>
      </c>
    </row>
    <row r="5791" spans="1:7" x14ac:dyDescent="0.25">
      <c r="A5791" t="s">
        <v>8</v>
      </c>
      <c r="B5791" s="1" t="str">
        <f>"000292843 - RICH FOODS NC-GRANITE CITY"</f>
        <v>000292843 - RICH FOODS NC-GRANITE CITY</v>
      </c>
      <c r="C5791" t="s">
        <v>864</v>
      </c>
      <c r="D5791" s="1" t="str">
        <f t="shared" si="167"/>
        <v>PRG-1028561</v>
      </c>
      <c r="E5791" t="s">
        <v>846</v>
      </c>
      <c r="F5791" t="s">
        <v>4</v>
      </c>
      <c r="G5791" t="str">
        <f>""</f>
        <v/>
      </c>
    </row>
    <row r="5792" spans="1:7" x14ac:dyDescent="0.25">
      <c r="A5792" t="s">
        <v>8</v>
      </c>
      <c r="B5792" s="1" t="str">
        <f>"000292844 - RICH FOODS C-GRANITE CITY"</f>
        <v>000292844 - RICH FOODS C-GRANITE CITY</v>
      </c>
      <c r="C5792" t="s">
        <v>865</v>
      </c>
      <c r="D5792" s="1" t="str">
        <f t="shared" si="167"/>
        <v>PRG-1028561</v>
      </c>
      <c r="E5792" t="s">
        <v>846</v>
      </c>
      <c r="F5792" t="s">
        <v>4</v>
      </c>
      <c r="G5792" t="str">
        <f>""</f>
        <v/>
      </c>
    </row>
    <row r="5793" spans="1:7" x14ac:dyDescent="0.25">
      <c r="A5793" t="s">
        <v>8</v>
      </c>
      <c r="B5793" s="1" t="str">
        <f>"000298361 - RICH FOODS-GRANITE CITY"</f>
        <v>000298361 - RICH FOODS-GRANITE CITY</v>
      </c>
      <c r="C5793" t="s">
        <v>820</v>
      </c>
      <c r="D5793" s="1" t="str">
        <f t="shared" si="167"/>
        <v>PRG-1028561</v>
      </c>
      <c r="E5793" t="s">
        <v>846</v>
      </c>
      <c r="F5793" t="s">
        <v>4</v>
      </c>
      <c r="G5793" t="str">
        <f>""</f>
        <v/>
      </c>
    </row>
    <row r="5794" spans="1:7" x14ac:dyDescent="0.25">
      <c r="A5794" t="s">
        <v>8</v>
      </c>
      <c r="B5794" s="1" t="str">
        <f>"000304507 - RICH FOODS NC-GRANITE CITY"</f>
        <v>000304507 - RICH FOODS NC-GRANITE CITY</v>
      </c>
      <c r="C5794" t="s">
        <v>864</v>
      </c>
      <c r="D5794" s="1" t="str">
        <f t="shared" si="167"/>
        <v>PRG-1028561</v>
      </c>
      <c r="E5794" t="s">
        <v>846</v>
      </c>
      <c r="F5794" t="s">
        <v>4</v>
      </c>
      <c r="G5794" t="str">
        <f>""</f>
        <v/>
      </c>
    </row>
    <row r="5795" spans="1:7" x14ac:dyDescent="0.25">
      <c r="A5795" t="s">
        <v>8</v>
      </c>
      <c r="B5795" s="1" t="str">
        <f>"000304508 - RICH FOODS C-GRANITE CITY"</f>
        <v>000304508 - RICH FOODS C-GRANITE CITY</v>
      </c>
      <c r="C5795" t="s">
        <v>865</v>
      </c>
      <c r="D5795" s="1" t="str">
        <f t="shared" si="167"/>
        <v>PRG-1028561</v>
      </c>
      <c r="E5795" t="s">
        <v>846</v>
      </c>
      <c r="F5795" t="s">
        <v>4</v>
      </c>
      <c r="G5795" t="str">
        <f>""</f>
        <v/>
      </c>
    </row>
    <row r="5796" spans="1:7" x14ac:dyDescent="0.25">
      <c r="A5796" t="s">
        <v>8</v>
      </c>
      <c r="B5796" s="1" t="str">
        <f>"000309166 - RICH FOODS-GRANITE CITY"</f>
        <v>000309166 - RICH FOODS-GRANITE CITY</v>
      </c>
      <c r="C5796" t="s">
        <v>820</v>
      </c>
      <c r="D5796" s="1" t="str">
        <f t="shared" si="167"/>
        <v>PRG-1028561</v>
      </c>
      <c r="E5796" t="s">
        <v>846</v>
      </c>
      <c r="F5796" t="s">
        <v>4</v>
      </c>
      <c r="G5796" t="str">
        <f>""</f>
        <v/>
      </c>
    </row>
    <row r="5797" spans="1:7" x14ac:dyDescent="0.25">
      <c r="A5797" t="s">
        <v>8</v>
      </c>
      <c r="B5797" s="1" t="str">
        <f>"000333179 - RICH FOODS-GRANITE CITY"</f>
        <v>000333179 - RICH FOODS-GRANITE CITY</v>
      </c>
      <c r="C5797" t="s">
        <v>820</v>
      </c>
      <c r="D5797" s="1" t="str">
        <f t="shared" si="167"/>
        <v>PRG-1028561</v>
      </c>
      <c r="E5797" t="s">
        <v>846</v>
      </c>
      <c r="F5797" t="s">
        <v>4</v>
      </c>
      <c r="G5797" t="str">
        <f>""</f>
        <v/>
      </c>
    </row>
    <row r="5798" spans="1:7" x14ac:dyDescent="0.25">
      <c r="A5798" t="s">
        <v>8</v>
      </c>
      <c r="B5798" s="1" t="str">
        <f>"000334327 - RICH FOODS-GRANITE CITY"</f>
        <v>000334327 - RICH FOODS-GRANITE CITY</v>
      </c>
      <c r="C5798" t="s">
        <v>820</v>
      </c>
      <c r="D5798" s="1" t="str">
        <f t="shared" si="167"/>
        <v>PRG-1028561</v>
      </c>
      <c r="E5798" t="s">
        <v>846</v>
      </c>
      <c r="F5798" t="s">
        <v>4</v>
      </c>
      <c r="G5798" t="str">
        <f>""</f>
        <v/>
      </c>
    </row>
    <row r="5799" spans="1:7" x14ac:dyDescent="0.25">
      <c r="A5799" t="s">
        <v>8</v>
      </c>
      <c r="B5799" s="1" t="str">
        <f>"000339682 - RICH FOODS NC-GRANITE CITY"</f>
        <v>000339682 - RICH FOODS NC-GRANITE CITY</v>
      </c>
      <c r="C5799" t="s">
        <v>864</v>
      </c>
      <c r="D5799" s="1" t="str">
        <f t="shared" si="167"/>
        <v>PRG-1028561</v>
      </c>
      <c r="E5799" t="s">
        <v>846</v>
      </c>
      <c r="F5799" t="s">
        <v>4</v>
      </c>
      <c r="G5799" t="str">
        <f>""</f>
        <v/>
      </c>
    </row>
    <row r="5800" spans="1:7" x14ac:dyDescent="0.25">
      <c r="A5800" t="s">
        <v>8</v>
      </c>
      <c r="B5800" s="1" t="str">
        <f>"000339683 - RICH FOODS C-GRANITE CITY"</f>
        <v>000339683 - RICH FOODS C-GRANITE CITY</v>
      </c>
      <c r="C5800" t="s">
        <v>865</v>
      </c>
      <c r="D5800" s="1" t="str">
        <f t="shared" si="167"/>
        <v>PRG-1028561</v>
      </c>
      <c r="E5800" t="s">
        <v>846</v>
      </c>
      <c r="F5800" t="s">
        <v>4</v>
      </c>
      <c r="G5800" t="str">
        <f>""</f>
        <v/>
      </c>
    </row>
    <row r="5801" spans="1:7" x14ac:dyDescent="0.25">
      <c r="A5801" t="s">
        <v>8</v>
      </c>
      <c r="B5801" s="1" t="str">
        <f>"000287362 - RICHS EMBERS REST"</f>
        <v>000287362 - RICHS EMBERS REST</v>
      </c>
      <c r="C5801" t="s">
        <v>2758</v>
      </c>
      <c r="D5801" s="1" t="str">
        <f>"PRG-1028562"</f>
        <v>PRG-1028562</v>
      </c>
      <c r="E5801" t="s">
        <v>2759</v>
      </c>
      <c r="F5801" t="s">
        <v>4</v>
      </c>
      <c r="G5801" t="str">
        <f>""</f>
        <v/>
      </c>
    </row>
    <row r="5802" spans="1:7" x14ac:dyDescent="0.25">
      <c r="A5802" t="s">
        <v>8</v>
      </c>
      <c r="B5802" s="1" t="str">
        <f>"000298497 - RICHS EMBERS REST"</f>
        <v>000298497 - RICHS EMBERS REST</v>
      </c>
      <c r="C5802" t="s">
        <v>2758</v>
      </c>
      <c r="D5802" s="1" t="str">
        <f>"PRG-1028562"</f>
        <v>PRG-1028562</v>
      </c>
      <c r="E5802" t="s">
        <v>2759</v>
      </c>
      <c r="F5802" t="s">
        <v>4</v>
      </c>
      <c r="G5802" t="str">
        <f>""</f>
        <v/>
      </c>
    </row>
    <row r="5803" spans="1:7" x14ac:dyDescent="0.25">
      <c r="A5803" t="s">
        <v>8</v>
      </c>
      <c r="B5803" s="1" t="str">
        <f>"21802906"</f>
        <v>21802906</v>
      </c>
      <c r="C5803" t="s">
        <v>4189</v>
      </c>
      <c r="D5803" s="1" t="str">
        <f>"PRG-1028565"</f>
        <v>PRG-1028565</v>
      </c>
      <c r="E5803" t="s">
        <v>4190</v>
      </c>
      <c r="F5803" t="s">
        <v>5</v>
      </c>
      <c r="G5803" t="str">
        <f>""</f>
        <v/>
      </c>
    </row>
    <row r="5804" spans="1:7" x14ac:dyDescent="0.25">
      <c r="A5804" t="s">
        <v>8</v>
      </c>
      <c r="B5804" s="1" t="str">
        <f>"21852906"</f>
        <v>21852906</v>
      </c>
      <c r="C5804" t="s">
        <v>4189</v>
      </c>
      <c r="D5804" s="1" t="str">
        <f>"PRG-1028565"</f>
        <v>PRG-1028565</v>
      </c>
      <c r="E5804" t="s">
        <v>4190</v>
      </c>
      <c r="F5804" t="s">
        <v>5</v>
      </c>
      <c r="G5804" t="str">
        <f>""</f>
        <v/>
      </c>
    </row>
    <row r="5805" spans="1:7" x14ac:dyDescent="0.25">
      <c r="A5805" t="s">
        <v>8</v>
      </c>
      <c r="B5805" s="1" t="str">
        <f>"S1Z0G9Q0"</f>
        <v>S1Z0G9Q0</v>
      </c>
      <c r="C5805" t="s">
        <v>5381</v>
      </c>
      <c r="D5805" s="1" t="str">
        <f>"PRG-1028572"</f>
        <v>PRG-1028572</v>
      </c>
      <c r="E5805" t="s">
        <v>5382</v>
      </c>
      <c r="F5805" t="s">
        <v>5</v>
      </c>
      <c r="G5805" t="str">
        <f>""</f>
        <v/>
      </c>
    </row>
    <row r="5806" spans="1:7" x14ac:dyDescent="0.25">
      <c r="A5806" t="s">
        <v>8</v>
      </c>
      <c r="B5806" s="1" t="str">
        <f>"S1Z07MS0"</f>
        <v>S1Z07MS0</v>
      </c>
      <c r="C5806" t="s">
        <v>5347</v>
      </c>
      <c r="D5806" s="1" t="str">
        <f>"PRG-1028581"</f>
        <v>PRG-1028581</v>
      </c>
      <c r="E5806" t="s">
        <v>5348</v>
      </c>
      <c r="F5806" t="s">
        <v>5</v>
      </c>
      <c r="G5806" t="str">
        <f>""</f>
        <v/>
      </c>
    </row>
    <row r="5807" spans="1:7" x14ac:dyDescent="0.25">
      <c r="A5807" t="s">
        <v>8</v>
      </c>
      <c r="B5807" s="1" t="str">
        <f>"000150839 - "</f>
        <v xml:space="preserve">000150839 - </v>
      </c>
      <c r="D5807" s="1" t="str">
        <f>"PRG-1028623"</f>
        <v>PRG-1028623</v>
      </c>
      <c r="E5807" t="s">
        <v>1010</v>
      </c>
      <c r="F5807" t="s">
        <v>4</v>
      </c>
      <c r="G5807" t="str">
        <f>""</f>
        <v/>
      </c>
    </row>
    <row r="5808" spans="1:7" x14ac:dyDescent="0.25">
      <c r="A5808" t="s">
        <v>8</v>
      </c>
      <c r="B5808" s="1" t="str">
        <f>"000255705 - RICHS VANDERBILT"</f>
        <v>000255705 - RICHS VANDERBILT</v>
      </c>
      <c r="C5808" t="s">
        <v>1884</v>
      </c>
      <c r="D5808" s="1" t="str">
        <f>"PRG-1028631"</f>
        <v>PRG-1028631</v>
      </c>
      <c r="E5808" t="s">
        <v>2173</v>
      </c>
      <c r="F5808" t="s">
        <v>4</v>
      </c>
      <c r="G5808" t="str">
        <f>""</f>
        <v/>
      </c>
    </row>
    <row r="5809" spans="1:7" x14ac:dyDescent="0.25">
      <c r="A5809" t="s">
        <v>8</v>
      </c>
      <c r="B5809" s="1" t="str">
        <f>"000271404 - RICHS VANDERBILT"</f>
        <v>000271404 - RICHS VANDERBILT</v>
      </c>
      <c r="C5809" t="s">
        <v>1884</v>
      </c>
      <c r="D5809" s="1" t="str">
        <f>"PRG-1028631"</f>
        <v>PRG-1028631</v>
      </c>
      <c r="E5809" t="s">
        <v>2173</v>
      </c>
      <c r="F5809" t="s">
        <v>4</v>
      </c>
      <c r="G5809" t="str">
        <f>""</f>
        <v/>
      </c>
    </row>
    <row r="5810" spans="1:7" x14ac:dyDescent="0.25">
      <c r="A5810" t="s">
        <v>8</v>
      </c>
      <c r="B5810" s="1" t="str">
        <f>"000281245 - RICHS VANDERBILT"</f>
        <v>000281245 - RICHS VANDERBILT</v>
      </c>
      <c r="C5810" t="s">
        <v>1884</v>
      </c>
      <c r="D5810" s="1" t="str">
        <f>"PRG-1028631"</f>
        <v>PRG-1028631</v>
      </c>
      <c r="E5810" t="s">
        <v>2173</v>
      </c>
      <c r="F5810" t="s">
        <v>4</v>
      </c>
      <c r="G5810" t="str">
        <f>""</f>
        <v/>
      </c>
    </row>
    <row r="5811" spans="1:7" x14ac:dyDescent="0.25">
      <c r="A5811" t="s">
        <v>8</v>
      </c>
      <c r="B5811" s="1" t="str">
        <f>"000142053 - RICH'S-PD1-THE COVE"</f>
        <v>000142053 - RICH'S-PD1-THE COVE</v>
      </c>
      <c r="C5811" t="s">
        <v>985</v>
      </c>
      <c r="D5811" s="1" t="str">
        <f>"PRG-1028633"</f>
        <v>PRG-1028633</v>
      </c>
      <c r="E5811" t="s">
        <v>986</v>
      </c>
      <c r="F5811" t="s">
        <v>4</v>
      </c>
      <c r="G5811" t="str">
        <f>""</f>
        <v/>
      </c>
    </row>
    <row r="5812" spans="1:7" x14ac:dyDescent="0.25">
      <c r="A5812" t="s">
        <v>8</v>
      </c>
      <c r="B5812" s="1" t="str">
        <f>"000137941 - RICH WONDERLAND"</f>
        <v>000137941 - RICH WONDERLAND</v>
      </c>
      <c r="C5812" t="s">
        <v>970</v>
      </c>
      <c r="D5812" s="1" t="str">
        <f>"PRG-1028642"</f>
        <v>PRG-1028642</v>
      </c>
      <c r="E5812" t="s">
        <v>971</v>
      </c>
      <c r="F5812" t="s">
        <v>4</v>
      </c>
      <c r="G5812" t="str">
        <f>""</f>
        <v/>
      </c>
    </row>
    <row r="5813" spans="1:7" x14ac:dyDescent="0.25">
      <c r="A5813" t="s">
        <v>8</v>
      </c>
      <c r="B5813" s="1" t="str">
        <f>"000146923 - "</f>
        <v xml:space="preserve">000146923 - </v>
      </c>
      <c r="D5813" s="1" t="str">
        <f>"PRG-1028642"</f>
        <v>PRG-1028642</v>
      </c>
      <c r="E5813" t="s">
        <v>971</v>
      </c>
      <c r="F5813" t="s">
        <v>4</v>
      </c>
      <c r="G5813" t="str">
        <f>""</f>
        <v/>
      </c>
    </row>
    <row r="5814" spans="1:7" x14ac:dyDescent="0.25">
      <c r="A5814" t="s">
        <v>8</v>
      </c>
      <c r="B5814" s="1" t="str">
        <f>"000066561 - RICH'S  SPOLETO OVAL BRD"</f>
        <v>000066561 - RICH'S  SPOLETO OVAL BRD</v>
      </c>
      <c r="C5814" t="s">
        <v>715</v>
      </c>
      <c r="D5814" s="1" t="str">
        <f>"PRG-1028663"</f>
        <v>PRG-1028663</v>
      </c>
      <c r="E5814" t="s">
        <v>716</v>
      </c>
      <c r="F5814" t="s">
        <v>4</v>
      </c>
      <c r="G5814" t="str">
        <f>""</f>
        <v/>
      </c>
    </row>
    <row r="5815" spans="1:7" x14ac:dyDescent="0.25">
      <c r="A5815" t="s">
        <v>8</v>
      </c>
      <c r="B5815" s="1" t="str">
        <f>"000307923 - "</f>
        <v xml:space="preserve">000307923 - </v>
      </c>
      <c r="D5815" s="1" t="str">
        <f>"PRG-1028663"</f>
        <v>PRG-1028663</v>
      </c>
      <c r="E5815" t="s">
        <v>716</v>
      </c>
      <c r="F5815" t="s">
        <v>4</v>
      </c>
      <c r="G5815" t="str">
        <f>""</f>
        <v/>
      </c>
    </row>
    <row r="5816" spans="1:7" x14ac:dyDescent="0.25">
      <c r="A5816" t="s">
        <v>8</v>
      </c>
      <c r="B5816" s="1" t="str">
        <f>"000339279 - "</f>
        <v xml:space="preserve">000339279 - </v>
      </c>
      <c r="D5816" s="1" t="str">
        <f>"PRG-1028663"</f>
        <v>PRG-1028663</v>
      </c>
      <c r="E5816" t="s">
        <v>716</v>
      </c>
      <c r="F5816" t="s">
        <v>4</v>
      </c>
      <c r="G5816" t="str">
        <f>""</f>
        <v/>
      </c>
    </row>
    <row r="5817" spans="1:7" x14ac:dyDescent="0.25">
      <c r="A5817" t="s">
        <v>8</v>
      </c>
      <c r="B5817" s="1" t="str">
        <f>"000213122 - RICH'S CAPT GEORGES"</f>
        <v>000213122 - RICH'S CAPT GEORGES</v>
      </c>
      <c r="C5817" t="s">
        <v>1474</v>
      </c>
      <c r="D5817" s="1" t="str">
        <f>"PRG-1028695"</f>
        <v>PRG-1028695</v>
      </c>
      <c r="E5817" t="s">
        <v>1475</v>
      </c>
      <c r="F5817" t="s">
        <v>4</v>
      </c>
      <c r="G5817" t="str">
        <f>""</f>
        <v/>
      </c>
    </row>
    <row r="5818" spans="1:7" x14ac:dyDescent="0.25">
      <c r="A5818" t="s">
        <v>8</v>
      </c>
      <c r="B5818" s="1" t="str">
        <f>"000243855 - RICH'S CAPT GEORGES"</f>
        <v>000243855 - RICH'S CAPT GEORGES</v>
      </c>
      <c r="C5818" t="s">
        <v>1474</v>
      </c>
      <c r="D5818" s="1" t="str">
        <f>"PRG-1028695"</f>
        <v>PRG-1028695</v>
      </c>
      <c r="E5818" t="s">
        <v>1475</v>
      </c>
      <c r="F5818" t="s">
        <v>4</v>
      </c>
      <c r="G5818" t="str">
        <f>""</f>
        <v/>
      </c>
    </row>
    <row r="5819" spans="1:7" x14ac:dyDescent="0.25">
      <c r="A5819" t="s">
        <v>8</v>
      </c>
      <c r="B5819" s="1" t="str">
        <f>"S2I00E30"</f>
        <v>S2I00E30</v>
      </c>
      <c r="C5819" t="s">
        <v>5518</v>
      </c>
      <c r="D5819" s="1" t="str">
        <f>"PRG-1028757"</f>
        <v>PRG-1028757</v>
      </c>
      <c r="E5819" t="s">
        <v>5519</v>
      </c>
      <c r="F5819" t="s">
        <v>5</v>
      </c>
      <c r="G5819" t="str">
        <f>""</f>
        <v/>
      </c>
    </row>
    <row r="5820" spans="1:7" x14ac:dyDescent="0.25">
      <c r="A5820" t="s">
        <v>8</v>
      </c>
      <c r="B5820" s="1" t="str">
        <f>"000190248 - RICH CC GC JET FOOD STORES"</f>
        <v>000190248 - RICH CC GC JET FOOD STORES</v>
      </c>
      <c r="C5820" t="s">
        <v>1199</v>
      </c>
      <c r="D5820" s="1" t="str">
        <f>"PRG-1028758"</f>
        <v>PRG-1028758</v>
      </c>
      <c r="E5820" t="s">
        <v>1200</v>
      </c>
      <c r="F5820" t="s">
        <v>4</v>
      </c>
      <c r="G5820" t="str">
        <f>""</f>
        <v/>
      </c>
    </row>
    <row r="5821" spans="1:7" x14ac:dyDescent="0.25">
      <c r="A5821" t="s">
        <v>8</v>
      </c>
      <c r="B5821" s="1" t="str">
        <f>"000202620 - RICH CC GC JET FOOD STORES"</f>
        <v>000202620 - RICH CC GC JET FOOD STORES</v>
      </c>
      <c r="C5821" t="s">
        <v>1199</v>
      </c>
      <c r="D5821" s="1" t="str">
        <f>"PRG-1028758"</f>
        <v>PRG-1028758</v>
      </c>
      <c r="E5821" t="s">
        <v>1200</v>
      </c>
      <c r="F5821" t="s">
        <v>4</v>
      </c>
      <c r="G5821" t="str">
        <f>""</f>
        <v/>
      </c>
    </row>
    <row r="5822" spans="1:7" x14ac:dyDescent="0.25">
      <c r="A5822" t="s">
        <v>8</v>
      </c>
      <c r="B5822" s="1" t="str">
        <f>"000231105 - RICH CC JET FOOD STORES"</f>
        <v>000231105 - RICH CC JET FOOD STORES</v>
      </c>
      <c r="C5822" t="s">
        <v>1766</v>
      </c>
      <c r="D5822" s="1" t="str">
        <f>"PRG-1028758"</f>
        <v>PRG-1028758</v>
      </c>
      <c r="E5822" t="s">
        <v>1200</v>
      </c>
      <c r="F5822" t="s">
        <v>4</v>
      </c>
      <c r="G5822" t="str">
        <f>""</f>
        <v/>
      </c>
    </row>
    <row r="5823" spans="1:7" x14ac:dyDescent="0.25">
      <c r="A5823" t="s">
        <v>8</v>
      </c>
      <c r="B5823" s="1" t="str">
        <f>"000310239 - ANCHOR MENTAL HEALTH RICHS"</f>
        <v>000310239 - ANCHOR MENTAL HEALTH RICHS</v>
      </c>
      <c r="C5823" t="s">
        <v>2876</v>
      </c>
      <c r="D5823" s="1" t="str">
        <f>"PRG-1028759"</f>
        <v>PRG-1028759</v>
      </c>
      <c r="E5823" t="s">
        <v>2877</v>
      </c>
      <c r="F5823" t="s">
        <v>4</v>
      </c>
      <c r="G5823" t="str">
        <f>""</f>
        <v/>
      </c>
    </row>
    <row r="5824" spans="1:7" x14ac:dyDescent="0.25">
      <c r="A5824" t="s">
        <v>8</v>
      </c>
      <c r="B5824" s="1" t="str">
        <f>"000334841 - ANCHOR MENTAL HEALTH RICHS"</f>
        <v>000334841 - ANCHOR MENTAL HEALTH RICHS</v>
      </c>
      <c r="C5824" t="s">
        <v>2876</v>
      </c>
      <c r="D5824" s="1" t="str">
        <f>"PRG-1028759"</f>
        <v>PRG-1028759</v>
      </c>
      <c r="E5824" t="s">
        <v>2877</v>
      </c>
      <c r="F5824" t="s">
        <v>4</v>
      </c>
      <c r="G5824" t="str">
        <f>""</f>
        <v/>
      </c>
    </row>
    <row r="5825" spans="1:7" x14ac:dyDescent="0.25">
      <c r="A5825" t="s">
        <v>8</v>
      </c>
      <c r="B5825" s="1" t="str">
        <f>"000105895 - BID-RICH BLANKET"</f>
        <v>000105895 - BID-RICH BLANKET</v>
      </c>
      <c r="C5825" t="s">
        <v>763</v>
      </c>
      <c r="D5825" s="1" t="str">
        <f t="shared" ref="D5825:D5856" si="168">"PRG-1028800"</f>
        <v>PRG-1028800</v>
      </c>
      <c r="E5825" t="s">
        <v>821</v>
      </c>
      <c r="F5825" t="s">
        <v>4</v>
      </c>
      <c r="G5825" t="str">
        <f>""</f>
        <v/>
      </c>
    </row>
    <row r="5826" spans="1:7" x14ac:dyDescent="0.25">
      <c r="A5826" t="s">
        <v>8</v>
      </c>
      <c r="B5826" s="1" t="str">
        <f>"000110574 - RICH'S BLANKET SCHOOL"</f>
        <v>000110574 - RICH'S BLANKET SCHOOL</v>
      </c>
      <c r="C5826" t="s">
        <v>835</v>
      </c>
      <c r="D5826" s="1" t="str">
        <f t="shared" si="168"/>
        <v>PRG-1028800</v>
      </c>
      <c r="E5826" t="s">
        <v>821</v>
      </c>
      <c r="F5826" t="s">
        <v>4</v>
      </c>
      <c r="G5826" t="str">
        <f>""</f>
        <v/>
      </c>
    </row>
    <row r="5827" spans="1:7" x14ac:dyDescent="0.25">
      <c r="A5827" t="s">
        <v>8</v>
      </c>
      <c r="B5827" s="1" t="str">
        <f>"000124189 - RICHS (06) SCHL BLNKT"</f>
        <v>000124189 - RICHS (06) SCHL BLNKT</v>
      </c>
      <c r="C5827" t="s">
        <v>907</v>
      </c>
      <c r="D5827" s="1" t="str">
        <f t="shared" si="168"/>
        <v>PRG-1028800</v>
      </c>
      <c r="E5827" t="s">
        <v>821</v>
      </c>
      <c r="F5827" t="s">
        <v>4</v>
      </c>
      <c r="G5827" t="str">
        <f>""</f>
        <v/>
      </c>
    </row>
    <row r="5828" spans="1:7" x14ac:dyDescent="0.25">
      <c r="A5828" t="s">
        <v>8</v>
      </c>
      <c r="B5828" s="1" t="str">
        <f>"000134316 - RICHS - PENDER B198"</f>
        <v>000134316 - RICHS - PENDER B198</v>
      </c>
      <c r="C5828" t="s">
        <v>827</v>
      </c>
      <c r="D5828" s="1" t="str">
        <f t="shared" si="168"/>
        <v>PRG-1028800</v>
      </c>
      <c r="E5828" t="s">
        <v>821</v>
      </c>
      <c r="F5828" t="s">
        <v>4</v>
      </c>
      <c r="G5828" t="str">
        <f>""</f>
        <v/>
      </c>
    </row>
    <row r="5829" spans="1:7" x14ac:dyDescent="0.25">
      <c r="A5829" t="s">
        <v>8</v>
      </c>
      <c r="B5829" s="1" t="str">
        <f>"000134411 - "</f>
        <v xml:space="preserve">000134411 - </v>
      </c>
      <c r="D5829" s="1" t="str">
        <f t="shared" si="168"/>
        <v>PRG-1028800</v>
      </c>
      <c r="E5829" t="s">
        <v>821</v>
      </c>
      <c r="F5829" t="s">
        <v>4</v>
      </c>
      <c r="G5829" t="str">
        <f>""</f>
        <v/>
      </c>
    </row>
    <row r="5830" spans="1:7" x14ac:dyDescent="0.25">
      <c r="A5830" t="s">
        <v>8</v>
      </c>
      <c r="B5830" s="1" t="str">
        <f>"000137892 - "</f>
        <v xml:space="preserve">000137892 - </v>
      </c>
      <c r="D5830" s="1" t="str">
        <f t="shared" si="168"/>
        <v>PRG-1028800</v>
      </c>
      <c r="E5830" t="s">
        <v>821</v>
      </c>
      <c r="F5830" t="s">
        <v>4</v>
      </c>
      <c r="G5830" t="str">
        <f>""</f>
        <v/>
      </c>
    </row>
    <row r="5831" spans="1:7" x14ac:dyDescent="0.25">
      <c r="A5831" t="s">
        <v>8</v>
      </c>
      <c r="B5831" s="1" t="str">
        <f>"000150851 - CASA DEIBERTACCHI-SSS ARAMARK"</f>
        <v>000150851 - CASA DEIBERTACCHI-SSS ARAMARK</v>
      </c>
      <c r="C5831" t="s">
        <v>465</v>
      </c>
      <c r="D5831" s="1" t="str">
        <f t="shared" si="168"/>
        <v>PRG-1028800</v>
      </c>
      <c r="E5831" t="s">
        <v>821</v>
      </c>
      <c r="F5831" t="s">
        <v>4</v>
      </c>
      <c r="G5831" t="str">
        <f>""</f>
        <v/>
      </c>
    </row>
    <row r="5832" spans="1:7" x14ac:dyDescent="0.25">
      <c r="A5832" t="s">
        <v>8</v>
      </c>
      <c r="B5832" s="1" t="str">
        <f>"000176530 - TN-2014-06508 JAXSCHL-RICHS"</f>
        <v>000176530 - TN-2014-06508 JAXSCHL-RICHS</v>
      </c>
      <c r="C5832" t="s">
        <v>1120</v>
      </c>
      <c r="D5832" s="1" t="str">
        <f t="shared" si="168"/>
        <v>PRG-1028800</v>
      </c>
      <c r="E5832" t="s">
        <v>821</v>
      </c>
      <c r="F5832" t="s">
        <v>4</v>
      </c>
      <c r="G5832" t="str">
        <f>""</f>
        <v/>
      </c>
    </row>
    <row r="5833" spans="1:7" x14ac:dyDescent="0.25">
      <c r="A5833" t="s">
        <v>8</v>
      </c>
      <c r="B5833" s="1" t="str">
        <f>"000177113 - "</f>
        <v xml:space="preserve">000177113 - </v>
      </c>
      <c r="D5833" s="1" t="str">
        <f t="shared" si="168"/>
        <v>PRG-1028800</v>
      </c>
      <c r="E5833" t="s">
        <v>821</v>
      </c>
      <c r="F5833" t="s">
        <v>4</v>
      </c>
      <c r="G5833" t="str">
        <f>""</f>
        <v/>
      </c>
    </row>
    <row r="5834" spans="1:7" x14ac:dyDescent="0.25">
      <c r="A5834" t="s">
        <v>8</v>
      </c>
      <c r="B5834" s="1" t="str">
        <f>"000186350 - BL-15-06768 SCHK12-RICHS"</f>
        <v>000186350 - BL-15-06768 SCHK12-RICHS</v>
      </c>
      <c r="C5834" t="s">
        <v>1179</v>
      </c>
      <c r="D5834" s="1" t="str">
        <f t="shared" si="168"/>
        <v>PRG-1028800</v>
      </c>
      <c r="E5834" t="s">
        <v>821</v>
      </c>
      <c r="F5834" t="s">
        <v>4</v>
      </c>
      <c r="G5834" t="str">
        <f>""</f>
        <v/>
      </c>
    </row>
    <row r="5835" spans="1:7" x14ac:dyDescent="0.25">
      <c r="A5835" t="s">
        <v>8</v>
      </c>
      <c r="B5835" s="1" t="str">
        <f>"000186833 - TN-2015-06948 CHICKASAW-RICHS"</f>
        <v>000186833 - TN-2015-06948 CHICKASAW-RICHS</v>
      </c>
      <c r="C5835" t="s">
        <v>1182</v>
      </c>
      <c r="D5835" s="1" t="str">
        <f t="shared" si="168"/>
        <v>PRG-1028800</v>
      </c>
      <c r="E5835" t="s">
        <v>821</v>
      </c>
      <c r="F5835" t="s">
        <v>4</v>
      </c>
      <c r="G5835" t="str">
        <f>""</f>
        <v/>
      </c>
    </row>
    <row r="5836" spans="1:7" x14ac:dyDescent="0.25">
      <c r="A5836" t="s">
        <v>8</v>
      </c>
      <c r="B5836" s="1" t="str">
        <f>"000190665 - TN-2015-07477 MUNISCHL-RICHS"</f>
        <v>000190665 - TN-2015-07477 MUNISCHL-RICHS</v>
      </c>
      <c r="C5836" t="s">
        <v>1206</v>
      </c>
      <c r="D5836" s="1" t="str">
        <f t="shared" si="168"/>
        <v>PRG-1028800</v>
      </c>
      <c r="E5836" t="s">
        <v>821</v>
      </c>
      <c r="F5836" t="s">
        <v>4</v>
      </c>
      <c r="G5836" t="str">
        <f>""</f>
        <v/>
      </c>
    </row>
    <row r="5837" spans="1:7" x14ac:dyDescent="0.25">
      <c r="A5837" t="s">
        <v>8</v>
      </c>
      <c r="B5837" s="1" t="str">
        <f>"000193369 - TN-2015-07625 JAXSCHL-RICHS"</f>
        <v>000193369 - TN-2015-07625 JAXSCHL-RICHS</v>
      </c>
      <c r="C5837" t="s">
        <v>1233</v>
      </c>
      <c r="D5837" s="1" t="str">
        <f t="shared" si="168"/>
        <v>PRG-1028800</v>
      </c>
      <c r="E5837" t="s">
        <v>821</v>
      </c>
      <c r="F5837" t="s">
        <v>4</v>
      </c>
      <c r="G5837" t="str">
        <f>""</f>
        <v/>
      </c>
    </row>
    <row r="5838" spans="1:7" x14ac:dyDescent="0.25">
      <c r="A5838" t="s">
        <v>8</v>
      </c>
      <c r="B5838" s="1" t="str">
        <f>"000196755 - TN-2015-07477 MUNICIPAL-RICHS"</f>
        <v>000196755 - TN-2015-07477 MUNICIPAL-RICHS</v>
      </c>
      <c r="C5838" t="s">
        <v>1264</v>
      </c>
      <c r="D5838" s="1" t="str">
        <f t="shared" si="168"/>
        <v>PRG-1028800</v>
      </c>
      <c r="E5838" t="s">
        <v>821</v>
      </c>
      <c r="F5838" t="s">
        <v>4</v>
      </c>
      <c r="G5838" t="str">
        <f>""</f>
        <v/>
      </c>
    </row>
    <row r="5839" spans="1:7" x14ac:dyDescent="0.25">
      <c r="A5839" t="s">
        <v>8</v>
      </c>
      <c r="B5839" s="1" t="str">
        <f>"000197925 - NAT'L BLANKET SCHOOLS RICH"</f>
        <v>000197925 - NAT'L BLANKET SCHOOLS RICH</v>
      </c>
      <c r="C5839" t="s">
        <v>1140</v>
      </c>
      <c r="D5839" s="1" t="str">
        <f t="shared" si="168"/>
        <v>PRG-1028800</v>
      </c>
      <c r="E5839" t="s">
        <v>821</v>
      </c>
      <c r="F5839" t="s">
        <v>4</v>
      </c>
      <c r="G5839" t="str">
        <f>""</f>
        <v/>
      </c>
    </row>
    <row r="5840" spans="1:7" x14ac:dyDescent="0.25">
      <c r="A5840" t="s">
        <v>8</v>
      </c>
      <c r="B5840" s="1" t="str">
        <f>"000206462 - TN-2015-07477 MUNI-RICH(EXPIRE"</f>
        <v>000206462 - TN-2015-07477 MUNI-RICH(EXPIRE</v>
      </c>
      <c r="C5840" t="s">
        <v>1369</v>
      </c>
      <c r="D5840" s="1" t="str">
        <f t="shared" si="168"/>
        <v>PRG-1028800</v>
      </c>
      <c r="E5840" t="s">
        <v>821</v>
      </c>
      <c r="F5840" t="s">
        <v>4</v>
      </c>
      <c r="G5840" t="str">
        <f>""</f>
        <v/>
      </c>
    </row>
    <row r="5841" spans="1:7" x14ac:dyDescent="0.25">
      <c r="A5841" t="s">
        <v>8</v>
      </c>
      <c r="B5841" s="1" t="str">
        <f>"000206478 - BL-15-06768 SCHK12-RICH(204325"</f>
        <v>000206478 - BL-15-06768 SCHK12-RICH(204325</v>
      </c>
      <c r="C5841" t="s">
        <v>1372</v>
      </c>
      <c r="D5841" s="1" t="str">
        <f t="shared" si="168"/>
        <v>PRG-1028800</v>
      </c>
      <c r="E5841" t="s">
        <v>821</v>
      </c>
      <c r="F5841" t="s">
        <v>4</v>
      </c>
      <c r="G5841" t="str">
        <f>""</f>
        <v/>
      </c>
    </row>
    <row r="5842" spans="1:7" x14ac:dyDescent="0.25">
      <c r="A5842" t="s">
        <v>8</v>
      </c>
      <c r="B5842" s="1" t="str">
        <f>"000212843 - RICH PROD   SCHLS K-12"</f>
        <v>000212843 - RICH PROD   SCHLS K-12</v>
      </c>
      <c r="C5842" t="s">
        <v>1469</v>
      </c>
      <c r="D5842" s="1" t="str">
        <f t="shared" si="168"/>
        <v>PRG-1028800</v>
      </c>
      <c r="E5842" t="s">
        <v>821</v>
      </c>
      <c r="F5842" t="s">
        <v>4</v>
      </c>
      <c r="G5842" t="str">
        <f>""</f>
        <v/>
      </c>
    </row>
    <row r="5843" spans="1:7" x14ac:dyDescent="0.25">
      <c r="A5843" t="s">
        <v>8</v>
      </c>
      <c r="B5843" s="1" t="str">
        <f>"000213948 - RICHS VA&amp;NC SCHLS BL201506768"</f>
        <v>000213948 - RICHS VA&amp;NC SCHLS BL201506768</v>
      </c>
      <c r="C5843" t="s">
        <v>1486</v>
      </c>
      <c r="D5843" s="1" t="str">
        <f t="shared" si="168"/>
        <v>PRG-1028800</v>
      </c>
      <c r="E5843" t="s">
        <v>821</v>
      </c>
      <c r="F5843" t="s">
        <v>4</v>
      </c>
      <c r="G5843" t="str">
        <f>""</f>
        <v/>
      </c>
    </row>
    <row r="5844" spans="1:7" x14ac:dyDescent="0.25">
      <c r="A5844" t="s">
        <v>8</v>
      </c>
      <c r="B5844" s="1" t="str">
        <f>"000213979 - RICHS NC SCHOOLS VA201506973"</f>
        <v>000213979 - RICHS NC SCHOOLS VA201506973</v>
      </c>
      <c r="C5844" t="s">
        <v>1487</v>
      </c>
      <c r="D5844" s="1" t="str">
        <f t="shared" si="168"/>
        <v>PRG-1028800</v>
      </c>
      <c r="E5844" t="s">
        <v>821</v>
      </c>
      <c r="F5844" t="s">
        <v>4</v>
      </c>
      <c r="G5844" t="str">
        <f>""</f>
        <v/>
      </c>
    </row>
    <row r="5845" spans="1:7" x14ac:dyDescent="0.25">
      <c r="A5845" t="s">
        <v>8</v>
      </c>
      <c r="B5845" s="1" t="str">
        <f>"000219990 - RICHS K-12 SCHOOL"</f>
        <v>000219990 - RICHS K-12 SCHOOL</v>
      </c>
      <c r="C5845" t="s">
        <v>482</v>
      </c>
      <c r="D5845" s="1" t="str">
        <f t="shared" si="168"/>
        <v>PRG-1028800</v>
      </c>
      <c r="E5845" t="s">
        <v>821</v>
      </c>
      <c r="F5845" t="s">
        <v>4</v>
      </c>
      <c r="G5845" t="str">
        <f>""</f>
        <v/>
      </c>
    </row>
    <row r="5846" spans="1:7" x14ac:dyDescent="0.25">
      <c r="A5846" t="s">
        <v>8</v>
      </c>
      <c r="B5846" s="1" t="str">
        <f>"000221304 - RICH-SIMPLIFIED CULINARY"</f>
        <v>000221304 - RICH-SIMPLIFIED CULINARY</v>
      </c>
      <c r="C5846" t="s">
        <v>1334</v>
      </c>
      <c r="D5846" s="1" t="str">
        <f t="shared" si="168"/>
        <v>PRG-1028800</v>
      </c>
      <c r="E5846" t="s">
        <v>821</v>
      </c>
      <c r="F5846" t="s">
        <v>4</v>
      </c>
      <c r="G5846" t="str">
        <f>""</f>
        <v/>
      </c>
    </row>
    <row r="5847" spans="1:7" x14ac:dyDescent="0.25">
      <c r="A5847" t="s">
        <v>8</v>
      </c>
      <c r="B5847" s="1" t="str">
        <f>"000222129 - BLNKTSCHL RICHS"</f>
        <v>000222129 - BLNKTSCHL RICHS</v>
      </c>
      <c r="C5847" t="s">
        <v>1619</v>
      </c>
      <c r="D5847" s="1" t="str">
        <f t="shared" si="168"/>
        <v>PRG-1028800</v>
      </c>
      <c r="E5847" t="s">
        <v>821</v>
      </c>
      <c r="F5847" t="s">
        <v>4</v>
      </c>
      <c r="G5847" t="str">
        <f>""</f>
        <v/>
      </c>
    </row>
    <row r="5848" spans="1:7" x14ac:dyDescent="0.25">
      <c r="A5848" t="s">
        <v>8</v>
      </c>
      <c r="B5848" s="1" t="str">
        <f>"000233413 - "</f>
        <v xml:space="preserve">000233413 - </v>
      </c>
      <c r="D5848" s="1" t="str">
        <f t="shared" si="168"/>
        <v>PRG-1028800</v>
      </c>
      <c r="E5848" t="s">
        <v>821</v>
      </c>
      <c r="F5848" t="s">
        <v>4</v>
      </c>
      <c r="G5848" t="str">
        <f>""</f>
        <v/>
      </c>
    </row>
    <row r="5849" spans="1:7" x14ac:dyDescent="0.25">
      <c r="A5849" t="s">
        <v>8</v>
      </c>
      <c r="B5849" s="1" t="str">
        <f>"000234602 - RICH PRODUCT   K12 BLANKET"</f>
        <v>000234602 - RICH PRODUCT   K12 BLANKET</v>
      </c>
      <c r="C5849" t="s">
        <v>1831</v>
      </c>
      <c r="D5849" s="1" t="str">
        <f t="shared" si="168"/>
        <v>PRG-1028800</v>
      </c>
      <c r="E5849" t="s">
        <v>821</v>
      </c>
      <c r="F5849" t="s">
        <v>4</v>
      </c>
      <c r="G5849" t="str">
        <f>""</f>
        <v/>
      </c>
    </row>
    <row r="5850" spans="1:7" x14ac:dyDescent="0.25">
      <c r="A5850" t="s">
        <v>8</v>
      </c>
      <c r="B5850" s="1" t="str">
        <f>"000238252 - RICH'S  JCPS"</f>
        <v>000238252 - RICH'S  JCPS</v>
      </c>
      <c r="C5850" t="s">
        <v>1512</v>
      </c>
      <c r="D5850" s="1" t="str">
        <f t="shared" si="168"/>
        <v>PRG-1028800</v>
      </c>
      <c r="E5850" t="s">
        <v>821</v>
      </c>
      <c r="F5850" t="s">
        <v>4</v>
      </c>
      <c r="G5850" t="str">
        <f>""</f>
        <v/>
      </c>
    </row>
    <row r="5851" spans="1:7" x14ac:dyDescent="0.25">
      <c r="A5851" t="s">
        <v>8</v>
      </c>
      <c r="B5851" s="1" t="str">
        <f>"000240916 - RICH PRODUCTS K-12 BLANKET"</f>
        <v>000240916 - RICH PRODUCTS K-12 BLANKET</v>
      </c>
      <c r="C5851" t="s">
        <v>1712</v>
      </c>
      <c r="D5851" s="1" t="str">
        <f t="shared" si="168"/>
        <v>PRG-1028800</v>
      </c>
      <c r="E5851" t="s">
        <v>821</v>
      </c>
      <c r="F5851" t="s">
        <v>4</v>
      </c>
      <c r="G5851" t="str">
        <f>""</f>
        <v/>
      </c>
    </row>
    <row r="5852" spans="1:7" x14ac:dyDescent="0.25">
      <c r="A5852" t="s">
        <v>8</v>
      </c>
      <c r="B5852" s="1" t="str">
        <f>"000241271 - RICH'S BLANKET-SCHOOL DEL."</f>
        <v>000241271 - RICH'S BLANKET-SCHOOL DEL.</v>
      </c>
      <c r="C5852" t="s">
        <v>1917</v>
      </c>
      <c r="D5852" s="1" t="str">
        <f t="shared" si="168"/>
        <v>PRG-1028800</v>
      </c>
      <c r="E5852" t="s">
        <v>821</v>
      </c>
      <c r="F5852" t="s">
        <v>4</v>
      </c>
      <c r="G5852" t="str">
        <f>""</f>
        <v/>
      </c>
    </row>
    <row r="5853" spans="1:7" x14ac:dyDescent="0.25">
      <c r="A5853" t="s">
        <v>8</v>
      </c>
      <c r="B5853" s="1" t="str">
        <f>"000241626 - "</f>
        <v xml:space="preserve">000241626 - </v>
      </c>
      <c r="D5853" s="1" t="str">
        <f t="shared" si="168"/>
        <v>PRG-1028800</v>
      </c>
      <c r="E5853" t="s">
        <v>821</v>
      </c>
      <c r="F5853" t="s">
        <v>4</v>
      </c>
      <c r="G5853" t="str">
        <f>""</f>
        <v/>
      </c>
    </row>
    <row r="5854" spans="1:7" x14ac:dyDescent="0.25">
      <c r="A5854" t="s">
        <v>8</v>
      </c>
      <c r="B5854" s="1" t="str">
        <f>"000244265 - RICH'S-CHARLOTTESVILLE DEL."</f>
        <v>000244265 - RICH'S-CHARLOTTESVILLE DEL.</v>
      </c>
      <c r="C5854" t="s">
        <v>1969</v>
      </c>
      <c r="D5854" s="1" t="str">
        <f t="shared" si="168"/>
        <v>PRG-1028800</v>
      </c>
      <c r="E5854" t="s">
        <v>821</v>
      </c>
      <c r="F5854" t="s">
        <v>4</v>
      </c>
      <c r="G5854" t="str">
        <f>""</f>
        <v/>
      </c>
    </row>
    <row r="5855" spans="1:7" x14ac:dyDescent="0.25">
      <c r="A5855" t="s">
        <v>8</v>
      </c>
      <c r="B5855" s="1" t="str">
        <f>"000245151 - RICHS SCHOOL BLANKET"</f>
        <v>000245151 - RICHS SCHOOL BLANKET</v>
      </c>
      <c r="C5855" t="s">
        <v>1711</v>
      </c>
      <c r="D5855" s="1" t="str">
        <f t="shared" si="168"/>
        <v>PRG-1028800</v>
      </c>
      <c r="E5855" t="s">
        <v>821</v>
      </c>
      <c r="F5855" t="s">
        <v>4</v>
      </c>
      <c r="G5855" t="str">
        <f>""</f>
        <v/>
      </c>
    </row>
    <row r="5856" spans="1:7" x14ac:dyDescent="0.25">
      <c r="A5856" t="s">
        <v>8</v>
      </c>
      <c r="B5856" s="1" t="str">
        <f>"000246089 - RICH FAIRFAX"</f>
        <v>000246089 - RICH FAIRFAX</v>
      </c>
      <c r="C5856" t="s">
        <v>2016</v>
      </c>
      <c r="D5856" s="1" t="str">
        <f t="shared" si="168"/>
        <v>PRG-1028800</v>
      </c>
      <c r="E5856" t="s">
        <v>821</v>
      </c>
      <c r="F5856" t="s">
        <v>4</v>
      </c>
      <c r="G5856" t="str">
        <f>""</f>
        <v/>
      </c>
    </row>
    <row r="5857" spans="1:7" x14ac:dyDescent="0.25">
      <c r="A5857" t="s">
        <v>8</v>
      </c>
      <c r="B5857" s="1" t="str">
        <f>"000247312 - RICHS CC-K-12"</f>
        <v>000247312 - RICHS CC-K-12</v>
      </c>
      <c r="C5857" t="s">
        <v>2032</v>
      </c>
      <c r="D5857" s="1" t="str">
        <f t="shared" ref="D5857:D5888" si="169">"PRG-1028800"</f>
        <v>PRG-1028800</v>
      </c>
      <c r="E5857" t="s">
        <v>821</v>
      </c>
      <c r="F5857" t="s">
        <v>4</v>
      </c>
      <c r="G5857" t="str">
        <f>""</f>
        <v/>
      </c>
    </row>
    <row r="5858" spans="1:7" x14ac:dyDescent="0.25">
      <c r="A5858" t="s">
        <v>8</v>
      </c>
      <c r="B5858" s="1" t="str">
        <f>"000248483 - RICH PRODUCT   K12 BLANKET"</f>
        <v>000248483 - RICH PRODUCT   K12 BLANKET</v>
      </c>
      <c r="C5858" t="s">
        <v>1831</v>
      </c>
      <c r="D5858" s="1" t="str">
        <f t="shared" si="169"/>
        <v>PRG-1028800</v>
      </c>
      <c r="E5858" t="s">
        <v>821</v>
      </c>
      <c r="F5858" t="s">
        <v>4</v>
      </c>
      <c r="G5858" t="str">
        <f>""</f>
        <v/>
      </c>
    </row>
    <row r="5859" spans="1:7" x14ac:dyDescent="0.25">
      <c r="A5859" t="s">
        <v>8</v>
      </c>
      <c r="B5859" s="1" t="str">
        <f>"000248984 - RICH SCHOOL"</f>
        <v>000248984 - RICH SCHOOL</v>
      </c>
      <c r="C5859" t="s">
        <v>2056</v>
      </c>
      <c r="D5859" s="1" t="str">
        <f t="shared" si="169"/>
        <v>PRG-1028800</v>
      </c>
      <c r="E5859" t="s">
        <v>821</v>
      </c>
      <c r="F5859" t="s">
        <v>4</v>
      </c>
      <c r="G5859" t="str">
        <f>""</f>
        <v/>
      </c>
    </row>
    <row r="5860" spans="1:7" x14ac:dyDescent="0.25">
      <c r="A5860" t="s">
        <v>8</v>
      </c>
      <c r="B5860" s="1" t="str">
        <f>"000248991 - RICH NORTHAMPTON"</f>
        <v>000248991 - RICH NORTHAMPTON</v>
      </c>
      <c r="C5860" t="s">
        <v>2057</v>
      </c>
      <c r="D5860" s="1" t="str">
        <f t="shared" si="169"/>
        <v>PRG-1028800</v>
      </c>
      <c r="E5860" t="s">
        <v>821</v>
      </c>
      <c r="F5860" t="s">
        <v>4</v>
      </c>
      <c r="G5860" t="str">
        <f>""</f>
        <v/>
      </c>
    </row>
    <row r="5861" spans="1:7" x14ac:dyDescent="0.25">
      <c r="A5861" t="s">
        <v>8</v>
      </c>
      <c r="B5861" s="1" t="str">
        <f>"000249899 - RICHS-CATTALLEG SCHOOLS"</f>
        <v>000249899 - RICHS-CATTALLEG SCHOOLS</v>
      </c>
      <c r="C5861" t="s">
        <v>2089</v>
      </c>
      <c r="D5861" s="1" t="str">
        <f t="shared" si="169"/>
        <v>PRG-1028800</v>
      </c>
      <c r="E5861" t="s">
        <v>821</v>
      </c>
      <c r="F5861" t="s">
        <v>4</v>
      </c>
      <c r="G5861" t="str">
        <f>""</f>
        <v/>
      </c>
    </row>
    <row r="5862" spans="1:7" x14ac:dyDescent="0.25">
      <c r="A5862" t="s">
        <v>8</v>
      </c>
      <c r="B5862" s="1" t="str">
        <f>"000250361 - RICH PRODUCT   K12 BLANKET"</f>
        <v>000250361 - RICH PRODUCT   K12 BLANKET</v>
      </c>
      <c r="C5862" t="s">
        <v>1831</v>
      </c>
      <c r="D5862" s="1" t="str">
        <f t="shared" si="169"/>
        <v>PRG-1028800</v>
      </c>
      <c r="E5862" t="s">
        <v>821</v>
      </c>
      <c r="F5862" t="s">
        <v>4</v>
      </c>
      <c r="G5862" t="str">
        <f>""</f>
        <v/>
      </c>
    </row>
    <row r="5863" spans="1:7" x14ac:dyDescent="0.25">
      <c r="A5863" t="s">
        <v>8</v>
      </c>
      <c r="B5863" s="1" t="str">
        <f>"000250432 - RICH SCHOOL BLANKET"</f>
        <v>000250432 - RICH SCHOOL BLANKET</v>
      </c>
      <c r="C5863" t="s">
        <v>1139</v>
      </c>
      <c r="D5863" s="1" t="str">
        <f t="shared" si="169"/>
        <v>PRG-1028800</v>
      </c>
      <c r="E5863" t="s">
        <v>821</v>
      </c>
      <c r="F5863" t="s">
        <v>4</v>
      </c>
      <c r="G5863" t="str">
        <f>""</f>
        <v/>
      </c>
    </row>
    <row r="5864" spans="1:7" x14ac:dyDescent="0.25">
      <c r="A5864" t="s">
        <v>8</v>
      </c>
      <c r="B5864" s="1" t="str">
        <f>"000250556 - RICH PRODUCTS NEWBURGH"</f>
        <v>000250556 - RICH PRODUCTS NEWBURGH</v>
      </c>
      <c r="C5864" t="s">
        <v>2096</v>
      </c>
      <c r="D5864" s="1" t="str">
        <f t="shared" si="169"/>
        <v>PRG-1028800</v>
      </c>
      <c r="E5864" t="s">
        <v>821</v>
      </c>
      <c r="F5864" t="s">
        <v>4</v>
      </c>
      <c r="G5864" t="str">
        <f>""</f>
        <v/>
      </c>
    </row>
    <row r="5865" spans="1:7" x14ac:dyDescent="0.25">
      <c r="A5865" t="s">
        <v>8</v>
      </c>
      <c r="B5865" s="1" t="str">
        <f>"000252069 - RICH MAURY CO. SCHL"</f>
        <v>000252069 - RICH MAURY CO. SCHL</v>
      </c>
      <c r="C5865" t="s">
        <v>1928</v>
      </c>
      <c r="D5865" s="1" t="str">
        <f t="shared" si="169"/>
        <v>PRG-1028800</v>
      </c>
      <c r="E5865" t="s">
        <v>821</v>
      </c>
      <c r="F5865" t="s">
        <v>4</v>
      </c>
      <c r="G5865" t="str">
        <f>""</f>
        <v/>
      </c>
    </row>
    <row r="5866" spans="1:7" x14ac:dyDescent="0.25">
      <c r="A5866" t="s">
        <v>8</v>
      </c>
      <c r="B5866" s="1" t="str">
        <f>"000259520 - RICHS BLNKT  NPSO"</f>
        <v>000259520 - RICHS BLNKT  NPSO</v>
      </c>
      <c r="C5866" t="s">
        <v>2246</v>
      </c>
      <c r="D5866" s="1" t="str">
        <f t="shared" si="169"/>
        <v>PRG-1028800</v>
      </c>
      <c r="E5866" t="s">
        <v>821</v>
      </c>
      <c r="F5866" t="s">
        <v>4</v>
      </c>
      <c r="G5866" t="str">
        <f>""</f>
        <v/>
      </c>
    </row>
    <row r="5867" spans="1:7" x14ac:dyDescent="0.25">
      <c r="A5867" t="s">
        <v>8</v>
      </c>
      <c r="B5867" s="1" t="str">
        <f>"000259619 - RICHS CC-SOUTHERN TIER"</f>
        <v>000259619 - RICHS CC-SOUTHERN TIER</v>
      </c>
      <c r="C5867" t="s">
        <v>2247</v>
      </c>
      <c r="D5867" s="1" t="str">
        <f t="shared" si="169"/>
        <v>PRG-1028800</v>
      </c>
      <c r="E5867" t="s">
        <v>821</v>
      </c>
      <c r="F5867" t="s">
        <v>4</v>
      </c>
      <c r="G5867" t="str">
        <f>""</f>
        <v/>
      </c>
    </row>
    <row r="5868" spans="1:7" x14ac:dyDescent="0.25">
      <c r="A5868" t="s">
        <v>8</v>
      </c>
      <c r="B5868" s="1" t="str">
        <f>"000261662 - "</f>
        <v xml:space="preserve">000261662 - </v>
      </c>
      <c r="D5868" s="1" t="str">
        <f t="shared" si="169"/>
        <v>PRG-1028800</v>
      </c>
      <c r="E5868" t="s">
        <v>821</v>
      </c>
      <c r="F5868" t="s">
        <v>4</v>
      </c>
      <c r="G5868" t="str">
        <f>""</f>
        <v/>
      </c>
    </row>
    <row r="5869" spans="1:7" x14ac:dyDescent="0.25">
      <c r="A5869" t="s">
        <v>8</v>
      </c>
      <c r="B5869" s="1" t="str">
        <f>"000267935 - RICH PROD CHURCHILL CSD"</f>
        <v>000267935 - RICH PROD CHURCHILL CSD</v>
      </c>
      <c r="C5869" t="s">
        <v>2428</v>
      </c>
      <c r="D5869" s="1" t="str">
        <f t="shared" si="169"/>
        <v>PRG-1028800</v>
      </c>
      <c r="E5869" t="s">
        <v>821</v>
      </c>
      <c r="F5869" t="s">
        <v>4</v>
      </c>
      <c r="G5869" t="str">
        <f>""</f>
        <v/>
      </c>
    </row>
    <row r="5870" spans="1:7" x14ac:dyDescent="0.25">
      <c r="A5870" t="s">
        <v>8</v>
      </c>
      <c r="B5870" s="1" t="str">
        <f>"000268062 - RICH PROD ROSEVILLE CSD"</f>
        <v>000268062 - RICH PROD ROSEVILLE CSD</v>
      </c>
      <c r="C5870" t="s">
        <v>2431</v>
      </c>
      <c r="D5870" s="1" t="str">
        <f t="shared" si="169"/>
        <v>PRG-1028800</v>
      </c>
      <c r="E5870" t="s">
        <v>821</v>
      </c>
      <c r="F5870" t="s">
        <v>4</v>
      </c>
      <c r="G5870" t="str">
        <f>""</f>
        <v/>
      </c>
    </row>
    <row r="5871" spans="1:7" x14ac:dyDescent="0.25">
      <c r="A5871" t="s">
        <v>8</v>
      </c>
      <c r="B5871" s="1" t="str">
        <f>"000268179 - RICH'S DOUGLAS CNTY SCHLS"</f>
        <v>000268179 - RICH'S DOUGLAS CNTY SCHLS</v>
      </c>
      <c r="C5871" t="s">
        <v>2436</v>
      </c>
      <c r="D5871" s="1" t="str">
        <f t="shared" si="169"/>
        <v>PRG-1028800</v>
      </c>
      <c r="E5871" t="s">
        <v>821</v>
      </c>
      <c r="F5871" t="s">
        <v>4</v>
      </c>
      <c r="G5871" t="str">
        <f>""</f>
        <v/>
      </c>
    </row>
    <row r="5872" spans="1:7" x14ac:dyDescent="0.25">
      <c r="A5872" t="s">
        <v>8</v>
      </c>
      <c r="B5872" s="1" t="str">
        <f>"000268645 - RICH'S LASSEN UNION HS"</f>
        <v>000268645 - RICH'S LASSEN UNION HS</v>
      </c>
      <c r="C5872" t="s">
        <v>2008</v>
      </c>
      <c r="D5872" s="1" t="str">
        <f t="shared" si="169"/>
        <v>PRG-1028800</v>
      </c>
      <c r="E5872" t="s">
        <v>821</v>
      </c>
      <c r="F5872" t="s">
        <v>4</v>
      </c>
      <c r="G5872" t="str">
        <f>""</f>
        <v/>
      </c>
    </row>
    <row r="5873" spans="1:7" x14ac:dyDescent="0.25">
      <c r="A5873" t="s">
        <v>8</v>
      </c>
      <c r="B5873" s="1" t="str">
        <f>"000268951 - RICH'S BARABOO SCHOOLS"</f>
        <v>000268951 - RICH'S BARABOO SCHOOLS</v>
      </c>
      <c r="C5873" t="s">
        <v>2447</v>
      </c>
      <c r="D5873" s="1" t="str">
        <f t="shared" si="169"/>
        <v>PRG-1028800</v>
      </c>
      <c r="E5873" t="s">
        <v>821</v>
      </c>
      <c r="F5873" t="s">
        <v>4</v>
      </c>
      <c r="G5873" t="str">
        <f>""</f>
        <v/>
      </c>
    </row>
    <row r="5874" spans="1:7" x14ac:dyDescent="0.25">
      <c r="A5874" t="s">
        <v>8</v>
      </c>
      <c r="B5874" s="1" t="str">
        <f>"000269078 - RICH'S MCKINLEYVILE USD"</f>
        <v>000269078 - RICH'S MCKINLEYVILE USD</v>
      </c>
      <c r="C5874" t="s">
        <v>2450</v>
      </c>
      <c r="D5874" s="1" t="str">
        <f t="shared" si="169"/>
        <v>PRG-1028800</v>
      </c>
      <c r="E5874" t="s">
        <v>821</v>
      </c>
      <c r="F5874" t="s">
        <v>4</v>
      </c>
      <c r="G5874" t="str">
        <f>""</f>
        <v/>
      </c>
    </row>
    <row r="5875" spans="1:7" x14ac:dyDescent="0.25">
      <c r="A5875" t="s">
        <v>8</v>
      </c>
      <c r="B5875" s="1" t="str">
        <f>"000275609 - RICH NTNL BLNKT SCHLS 15 16"</f>
        <v>000275609 - RICH NTNL BLNKT SCHLS 15 16</v>
      </c>
      <c r="C5875" t="s">
        <v>2559</v>
      </c>
      <c r="D5875" s="1" t="str">
        <f t="shared" si="169"/>
        <v>PRG-1028800</v>
      </c>
      <c r="E5875" t="s">
        <v>821</v>
      </c>
      <c r="F5875" t="s">
        <v>4</v>
      </c>
      <c r="G5875" t="str">
        <f>""</f>
        <v/>
      </c>
    </row>
    <row r="5876" spans="1:7" x14ac:dyDescent="0.25">
      <c r="A5876" t="s">
        <v>8</v>
      </c>
      <c r="B5876" s="1" t="str">
        <f>"000285009 - RICHS WITTENBERG SCHLS"</f>
        <v>000285009 - RICHS WITTENBERG SCHLS</v>
      </c>
      <c r="C5876" t="s">
        <v>2718</v>
      </c>
      <c r="D5876" s="1" t="str">
        <f t="shared" si="169"/>
        <v>PRG-1028800</v>
      </c>
      <c r="E5876" t="s">
        <v>821</v>
      </c>
      <c r="F5876" t="s">
        <v>4</v>
      </c>
      <c r="G5876" t="str">
        <f>""</f>
        <v/>
      </c>
    </row>
    <row r="5877" spans="1:7" x14ac:dyDescent="0.25">
      <c r="A5877" t="s">
        <v>8</v>
      </c>
      <c r="B5877" s="1" t="str">
        <f>"000286176 - RICH'S K12 BLANKET"</f>
        <v>000286176 - RICH'S K12 BLANKET</v>
      </c>
      <c r="C5877" t="s">
        <v>694</v>
      </c>
      <c r="D5877" s="1" t="str">
        <f t="shared" si="169"/>
        <v>PRG-1028800</v>
      </c>
      <c r="E5877" t="s">
        <v>821</v>
      </c>
      <c r="F5877" t="s">
        <v>4</v>
      </c>
      <c r="G5877" t="str">
        <f>""</f>
        <v/>
      </c>
    </row>
    <row r="5878" spans="1:7" x14ac:dyDescent="0.25">
      <c r="A5878" t="s">
        <v>8</v>
      </c>
      <c r="B5878" s="1" t="str">
        <f>"000291371 - RICH PRODUCTS BEAVERTON SD"</f>
        <v>000291371 - RICH PRODUCTS BEAVERTON SD</v>
      </c>
      <c r="C5878" t="s">
        <v>2844</v>
      </c>
      <c r="D5878" s="1" t="str">
        <f t="shared" si="169"/>
        <v>PRG-1028800</v>
      </c>
      <c r="E5878" t="s">
        <v>821</v>
      </c>
      <c r="F5878" t="s">
        <v>4</v>
      </c>
      <c r="G5878" t="str">
        <f>""</f>
        <v/>
      </c>
    </row>
    <row r="5879" spans="1:7" x14ac:dyDescent="0.25">
      <c r="A5879" t="s">
        <v>8</v>
      </c>
      <c r="B5879" s="1" t="str">
        <f>"000307557 - RICH PRODUCTS BLANKET"</f>
        <v>000307557 - RICH PRODUCTS BLANKET</v>
      </c>
      <c r="C5879" t="s">
        <v>3070</v>
      </c>
      <c r="D5879" s="1" t="str">
        <f t="shared" si="169"/>
        <v>PRG-1028800</v>
      </c>
      <c r="E5879" t="s">
        <v>821</v>
      </c>
      <c r="F5879" t="s">
        <v>4</v>
      </c>
      <c r="G5879" t="str">
        <f>""</f>
        <v/>
      </c>
    </row>
    <row r="5880" spans="1:7" x14ac:dyDescent="0.25">
      <c r="A5880" t="s">
        <v>8</v>
      </c>
      <c r="B5880" s="1" t="str">
        <f>"000312153 - RICH PROCUCTS + BLANKET"</f>
        <v>000312153 - RICH PROCUCTS + BLANKET</v>
      </c>
      <c r="C5880" t="s">
        <v>3128</v>
      </c>
      <c r="D5880" s="1" t="str">
        <f t="shared" si="169"/>
        <v>PRG-1028800</v>
      </c>
      <c r="E5880" t="s">
        <v>821</v>
      </c>
      <c r="F5880" t="s">
        <v>4</v>
      </c>
      <c r="G5880" t="str">
        <f>""</f>
        <v/>
      </c>
    </row>
    <row r="5881" spans="1:7" x14ac:dyDescent="0.25">
      <c r="A5881" t="s">
        <v>8</v>
      </c>
      <c r="B5881" s="1" t="str">
        <f>"000317860 - RICH PRODUCTS ALL SCHOOLS"</f>
        <v>000317860 - RICH PRODUCTS ALL SCHOOLS</v>
      </c>
      <c r="C5881" t="s">
        <v>3209</v>
      </c>
      <c r="D5881" s="1" t="str">
        <f t="shared" si="169"/>
        <v>PRG-1028800</v>
      </c>
      <c r="E5881" t="s">
        <v>821</v>
      </c>
      <c r="F5881" t="s">
        <v>4</v>
      </c>
      <c r="G5881" t="str">
        <f>""</f>
        <v/>
      </c>
    </row>
    <row r="5882" spans="1:7" x14ac:dyDescent="0.25">
      <c r="A5882" t="s">
        <v>8</v>
      </c>
      <c r="B5882" s="1" t="str">
        <f>"000322158 - "</f>
        <v xml:space="preserve">000322158 - </v>
      </c>
      <c r="D5882" s="1" t="str">
        <f t="shared" si="169"/>
        <v>PRG-1028800</v>
      </c>
      <c r="E5882" t="s">
        <v>821</v>
      </c>
      <c r="F5882" t="s">
        <v>4</v>
      </c>
      <c r="G5882" t="str">
        <f>""</f>
        <v/>
      </c>
    </row>
    <row r="5883" spans="1:7" x14ac:dyDescent="0.25">
      <c r="A5883" t="s">
        <v>8</v>
      </c>
      <c r="B5883" s="1" t="str">
        <f>"000330634 - RICH PRODUCTS ALL SCHOOLS"</f>
        <v>000330634 - RICH PRODUCTS ALL SCHOOLS</v>
      </c>
      <c r="C5883" t="s">
        <v>3209</v>
      </c>
      <c r="D5883" s="1" t="str">
        <f t="shared" si="169"/>
        <v>PRG-1028800</v>
      </c>
      <c r="E5883" t="s">
        <v>821</v>
      </c>
      <c r="F5883" t="s">
        <v>4</v>
      </c>
      <c r="G5883" t="str">
        <f>""</f>
        <v/>
      </c>
    </row>
    <row r="5884" spans="1:7" x14ac:dyDescent="0.25">
      <c r="A5884" t="s">
        <v>8</v>
      </c>
      <c r="B5884" s="1" t="str">
        <f>"000332987 - RICH PRODUCTS ALL SCHOOLS"</f>
        <v>000332987 - RICH PRODUCTS ALL SCHOOLS</v>
      </c>
      <c r="C5884" t="s">
        <v>3209</v>
      </c>
      <c r="D5884" s="1" t="str">
        <f t="shared" si="169"/>
        <v>PRG-1028800</v>
      </c>
      <c r="E5884" t="s">
        <v>821</v>
      </c>
      <c r="F5884" t="s">
        <v>4</v>
      </c>
      <c r="G5884" t="str">
        <f>""</f>
        <v/>
      </c>
    </row>
    <row r="5885" spans="1:7" x14ac:dyDescent="0.25">
      <c r="A5885" t="s">
        <v>8</v>
      </c>
      <c r="B5885" s="1" t="str">
        <f>"000335622 - RICH PRODUCTS ALL SCHOOLS"</f>
        <v>000335622 - RICH PRODUCTS ALL SCHOOLS</v>
      </c>
      <c r="C5885" t="s">
        <v>3209</v>
      </c>
      <c r="D5885" s="1" t="str">
        <f t="shared" si="169"/>
        <v>PRG-1028800</v>
      </c>
      <c r="E5885" t="s">
        <v>821</v>
      </c>
      <c r="F5885" t="s">
        <v>4</v>
      </c>
      <c r="G5885" t="str">
        <f>""</f>
        <v/>
      </c>
    </row>
    <row r="5886" spans="1:7" x14ac:dyDescent="0.25">
      <c r="A5886" t="s">
        <v>8</v>
      </c>
      <c r="B5886" s="1" t="str">
        <f>"000354069 - RICHS SDUSD"</f>
        <v>000354069 - RICHS SDUSD</v>
      </c>
      <c r="C5886" t="s">
        <v>3540</v>
      </c>
      <c r="D5886" s="1" t="str">
        <f t="shared" si="169"/>
        <v>PRG-1028800</v>
      </c>
      <c r="E5886" t="s">
        <v>821</v>
      </c>
      <c r="F5886" t="s">
        <v>4</v>
      </c>
      <c r="G5886" t="str">
        <f>""</f>
        <v/>
      </c>
    </row>
    <row r="5887" spans="1:7" x14ac:dyDescent="0.25">
      <c r="A5887" t="s">
        <v>8</v>
      </c>
      <c r="B5887" s="1" t="str">
        <f>"000354601 - RICH ESCONDIDO USD 15-16"</f>
        <v>000354601 - RICH ESCONDIDO USD 15-16</v>
      </c>
      <c r="C5887" t="s">
        <v>3546</v>
      </c>
      <c r="D5887" s="1" t="str">
        <f t="shared" si="169"/>
        <v>PRG-1028800</v>
      </c>
      <c r="E5887" t="s">
        <v>821</v>
      </c>
      <c r="F5887" t="s">
        <v>4</v>
      </c>
      <c r="G5887" t="str">
        <f>""</f>
        <v/>
      </c>
    </row>
    <row r="5888" spans="1:7" x14ac:dyDescent="0.25">
      <c r="A5888" t="s">
        <v>8</v>
      </c>
      <c r="B5888" s="1" t="str">
        <f>"000358994 - RICH ESCONDIDO ELEMENTARY"</f>
        <v>000358994 - RICH ESCONDIDO ELEMENTARY</v>
      </c>
      <c r="C5888" t="s">
        <v>3574</v>
      </c>
      <c r="D5888" s="1" t="str">
        <f t="shared" si="169"/>
        <v>PRG-1028800</v>
      </c>
      <c r="E5888" t="s">
        <v>821</v>
      </c>
      <c r="F5888" t="s">
        <v>4</v>
      </c>
      <c r="G5888" t="str">
        <f>""</f>
        <v/>
      </c>
    </row>
    <row r="5889" spans="1:7" x14ac:dyDescent="0.25">
      <c r="A5889" t="s">
        <v>8</v>
      </c>
      <c r="B5889" s="1" t="str">
        <f>"2000249600 - RICH'S ETX-NATIONAL SCHBLNKT"</f>
        <v>2000249600 - RICH'S ETX-NATIONAL SCHBLNKT</v>
      </c>
      <c r="C5889" t="s">
        <v>3880</v>
      </c>
      <c r="D5889" s="1" t="str">
        <f t="shared" ref="D5889:D5920" si="170">"PRG-1028800"</f>
        <v>PRG-1028800</v>
      </c>
      <c r="E5889" t="s">
        <v>821</v>
      </c>
      <c r="F5889" t="s">
        <v>4</v>
      </c>
      <c r="G5889" t="str">
        <f>""</f>
        <v/>
      </c>
    </row>
    <row r="5890" spans="1:7" x14ac:dyDescent="0.25">
      <c r="A5890" t="s">
        <v>8</v>
      </c>
      <c r="B5890" s="1" t="str">
        <f>"2000260130 - RICH'S-SCHOOL BLANKET BID"</f>
        <v>2000260130 - RICH'S-SCHOOL BLANKET BID</v>
      </c>
      <c r="C5890" t="s">
        <v>43</v>
      </c>
      <c r="D5890" s="1" t="str">
        <f t="shared" si="170"/>
        <v>PRG-1028800</v>
      </c>
      <c r="E5890" t="s">
        <v>821</v>
      </c>
      <c r="F5890" t="s">
        <v>4</v>
      </c>
      <c r="G5890" t="str">
        <f>""</f>
        <v/>
      </c>
    </row>
    <row r="5891" spans="1:7" x14ac:dyDescent="0.25">
      <c r="A5891" t="s">
        <v>8</v>
      </c>
      <c r="B5891" s="1" t="str">
        <f>"2000264301 - RICH'S-SILVER COOP"</f>
        <v>2000264301 - RICH'S-SILVER COOP</v>
      </c>
      <c r="C5891" t="s">
        <v>3999</v>
      </c>
      <c r="D5891" s="1" t="str">
        <f t="shared" si="170"/>
        <v>PRG-1028800</v>
      </c>
      <c r="E5891" t="s">
        <v>821</v>
      </c>
      <c r="F5891" t="s">
        <v>4</v>
      </c>
      <c r="G5891" t="str">
        <f>""</f>
        <v/>
      </c>
    </row>
    <row r="5892" spans="1:7" x14ac:dyDescent="0.25">
      <c r="A5892" t="s">
        <v>8</v>
      </c>
      <c r="B5892" s="1" t="str">
        <f>"2000267568 - RICH'S PRODUCTS-K-12 SCHOOL BLANKET"</f>
        <v>2000267568 - RICH'S PRODUCTS-K-12 SCHOOL BLANKET</v>
      </c>
      <c r="C5892" t="s">
        <v>4002</v>
      </c>
      <c r="D5892" s="1" t="str">
        <f t="shared" si="170"/>
        <v>PRG-1028800</v>
      </c>
      <c r="E5892" t="s">
        <v>821</v>
      </c>
      <c r="F5892" t="s">
        <v>4</v>
      </c>
      <c r="G5892" t="str">
        <f>""</f>
        <v/>
      </c>
    </row>
    <row r="5893" spans="1:7" x14ac:dyDescent="0.25">
      <c r="A5893" t="s">
        <v>8</v>
      </c>
      <c r="B5893" s="1" t="str">
        <f>"2000271938 - RICH'S-YUMA SCHOOLS"</f>
        <v>2000271938 - RICH'S-YUMA SCHOOLS</v>
      </c>
      <c r="C5893" t="s">
        <v>4006</v>
      </c>
      <c r="D5893" s="1" t="str">
        <f t="shared" si="170"/>
        <v>PRG-1028800</v>
      </c>
      <c r="E5893" t="s">
        <v>821</v>
      </c>
      <c r="F5893" t="s">
        <v>4</v>
      </c>
      <c r="G5893" t="str">
        <f>""</f>
        <v/>
      </c>
    </row>
    <row r="5894" spans="1:7" x14ac:dyDescent="0.25">
      <c r="A5894" t="s">
        <v>8</v>
      </c>
      <c r="B5894" s="1" t="str">
        <f>"2000272349 - "</f>
        <v xml:space="preserve">2000272349 - </v>
      </c>
      <c r="D5894" s="1" t="str">
        <f t="shared" si="170"/>
        <v>PRG-1028800</v>
      </c>
      <c r="E5894" t="s">
        <v>821</v>
      </c>
      <c r="F5894" t="s">
        <v>4</v>
      </c>
      <c r="G5894" t="str">
        <f>""</f>
        <v/>
      </c>
    </row>
    <row r="5895" spans="1:7" x14ac:dyDescent="0.25">
      <c r="A5895" t="s">
        <v>8</v>
      </c>
      <c r="B5895" s="1" t="str">
        <f>"2000273623 - RICHS FOODS-NATCHITOCHES"</f>
        <v>2000273623 - RICHS FOODS-NATCHITOCHES</v>
      </c>
      <c r="C5895" t="s">
        <v>4007</v>
      </c>
      <c r="D5895" s="1" t="str">
        <f t="shared" si="170"/>
        <v>PRG-1028800</v>
      </c>
      <c r="E5895" t="s">
        <v>821</v>
      </c>
      <c r="F5895" t="s">
        <v>4</v>
      </c>
      <c r="G5895" t="str">
        <f>""</f>
        <v/>
      </c>
    </row>
    <row r="5896" spans="1:7" x14ac:dyDescent="0.25">
      <c r="A5896" t="s">
        <v>8</v>
      </c>
      <c r="B5896" s="1" t="str">
        <f>"2000276061 - RICHS-ALL SCHOOLS DENVER"</f>
        <v>2000276061 - RICHS-ALL SCHOOLS DENVER</v>
      </c>
      <c r="C5896" t="s">
        <v>44</v>
      </c>
      <c r="D5896" s="1" t="str">
        <f t="shared" si="170"/>
        <v>PRG-1028800</v>
      </c>
      <c r="E5896" t="s">
        <v>821</v>
      </c>
      <c r="F5896" t="s">
        <v>4</v>
      </c>
      <c r="G5896" t="str">
        <f>""</f>
        <v/>
      </c>
    </row>
    <row r="5897" spans="1:7" x14ac:dyDescent="0.25">
      <c r="A5897" t="s">
        <v>8</v>
      </c>
      <c r="B5897" s="1" t="str">
        <f>"2000276497 - RICH-CLAIBORNE PARISH SCHOOLS"</f>
        <v>2000276497 - RICH-CLAIBORNE PARISH SCHOOLS</v>
      </c>
      <c r="C5897" t="s">
        <v>4011</v>
      </c>
      <c r="D5897" s="1" t="str">
        <f t="shared" si="170"/>
        <v>PRG-1028800</v>
      </c>
      <c r="E5897" t="s">
        <v>821</v>
      </c>
      <c r="F5897" t="s">
        <v>4</v>
      </c>
      <c r="G5897" t="str">
        <f>""</f>
        <v/>
      </c>
    </row>
    <row r="5898" spans="1:7" x14ac:dyDescent="0.25">
      <c r="A5898" t="s">
        <v>8</v>
      </c>
      <c r="B5898" s="1" t="str">
        <f>"2000295089 - RICH FOODS-AUMMIT AVIANDS"</f>
        <v>2000295089 - RICH FOODS-AUMMIT AVIANDS</v>
      </c>
      <c r="C5898" t="s">
        <v>4028</v>
      </c>
      <c r="D5898" s="1" t="str">
        <f t="shared" si="170"/>
        <v>PRG-1028800</v>
      </c>
      <c r="E5898" t="s">
        <v>821</v>
      </c>
      <c r="F5898" t="s">
        <v>4</v>
      </c>
      <c r="G5898" t="str">
        <f>""</f>
        <v/>
      </c>
    </row>
    <row r="5899" spans="1:7" x14ac:dyDescent="0.25">
      <c r="A5899" t="s">
        <v>8</v>
      </c>
      <c r="B5899" s="1" t="str">
        <f>"21100995"</f>
        <v>21100995</v>
      </c>
      <c r="C5899" t="s">
        <v>4117</v>
      </c>
      <c r="D5899" s="1" t="str">
        <f t="shared" si="170"/>
        <v>PRG-1028800</v>
      </c>
      <c r="E5899" t="s">
        <v>821</v>
      </c>
      <c r="F5899" t="s">
        <v>5</v>
      </c>
      <c r="G5899" t="str">
        <f>""</f>
        <v/>
      </c>
    </row>
    <row r="5900" spans="1:7" x14ac:dyDescent="0.25">
      <c r="A5900" t="s">
        <v>8</v>
      </c>
      <c r="B5900" s="1" t="str">
        <f>"2110M707"</f>
        <v>2110M707</v>
      </c>
      <c r="C5900" t="s">
        <v>4131</v>
      </c>
      <c r="D5900" s="1" t="str">
        <f t="shared" si="170"/>
        <v>PRG-1028800</v>
      </c>
      <c r="E5900" t="s">
        <v>821</v>
      </c>
      <c r="F5900" t="s">
        <v>5</v>
      </c>
      <c r="G5900" t="str">
        <f>""</f>
        <v/>
      </c>
    </row>
    <row r="5901" spans="1:7" x14ac:dyDescent="0.25">
      <c r="A5901" t="s">
        <v>8</v>
      </c>
      <c r="B5901" s="1" t="str">
        <f>"21406950"</f>
        <v>21406950</v>
      </c>
      <c r="C5901" t="s">
        <v>4163</v>
      </c>
      <c r="D5901" s="1" t="str">
        <f t="shared" si="170"/>
        <v>PRG-1028800</v>
      </c>
      <c r="E5901" t="s">
        <v>821</v>
      </c>
      <c r="F5901" t="s">
        <v>5</v>
      </c>
      <c r="G5901" t="str">
        <f>""</f>
        <v/>
      </c>
    </row>
    <row r="5902" spans="1:7" x14ac:dyDescent="0.25">
      <c r="A5902" t="s">
        <v>8</v>
      </c>
      <c r="B5902" s="1" t="str">
        <f>"21657549"</f>
        <v>21657549</v>
      </c>
      <c r="C5902" t="s">
        <v>4180</v>
      </c>
      <c r="D5902" s="1" t="str">
        <f t="shared" si="170"/>
        <v>PRG-1028800</v>
      </c>
      <c r="E5902" t="s">
        <v>821</v>
      </c>
      <c r="F5902" t="s">
        <v>5</v>
      </c>
      <c r="G5902" t="str">
        <f>""</f>
        <v/>
      </c>
    </row>
    <row r="5903" spans="1:7" x14ac:dyDescent="0.25">
      <c r="A5903" t="s">
        <v>8</v>
      </c>
      <c r="B5903" s="1" t="str">
        <f>"21657795"</f>
        <v>21657795</v>
      </c>
      <c r="C5903" t="s">
        <v>4182</v>
      </c>
      <c r="D5903" s="1" t="str">
        <f t="shared" si="170"/>
        <v>PRG-1028800</v>
      </c>
      <c r="E5903" t="s">
        <v>821</v>
      </c>
      <c r="F5903" t="s">
        <v>5</v>
      </c>
      <c r="G5903" t="str">
        <f>""</f>
        <v/>
      </c>
    </row>
    <row r="5904" spans="1:7" x14ac:dyDescent="0.25">
      <c r="A5904" t="s">
        <v>8</v>
      </c>
      <c r="B5904" s="1" t="str">
        <f>"21657899"</f>
        <v>21657899</v>
      </c>
      <c r="C5904" t="s">
        <v>4183</v>
      </c>
      <c r="D5904" s="1" t="str">
        <f t="shared" si="170"/>
        <v>PRG-1028800</v>
      </c>
      <c r="E5904" t="s">
        <v>821</v>
      </c>
      <c r="F5904" t="s">
        <v>5</v>
      </c>
      <c r="G5904" t="str">
        <f>""</f>
        <v/>
      </c>
    </row>
    <row r="5905" spans="1:7" x14ac:dyDescent="0.25">
      <c r="A5905" t="s">
        <v>8</v>
      </c>
      <c r="B5905" s="1" t="str">
        <f>"2230B055"</f>
        <v>2230B055</v>
      </c>
      <c r="C5905" t="s">
        <v>4308</v>
      </c>
      <c r="D5905" s="1" t="str">
        <f t="shared" si="170"/>
        <v>PRG-1028800</v>
      </c>
      <c r="E5905" t="s">
        <v>821</v>
      </c>
      <c r="F5905" t="s">
        <v>5</v>
      </c>
      <c r="G5905" t="str">
        <f>""</f>
        <v/>
      </c>
    </row>
    <row r="5906" spans="1:7" x14ac:dyDescent="0.25">
      <c r="A5906" t="s">
        <v>8</v>
      </c>
      <c r="B5906" s="1" t="str">
        <f>"22406736"</f>
        <v>22406736</v>
      </c>
      <c r="C5906" t="s">
        <v>4315</v>
      </c>
      <c r="D5906" s="1" t="str">
        <f t="shared" si="170"/>
        <v>PRG-1028800</v>
      </c>
      <c r="E5906" t="s">
        <v>821</v>
      </c>
      <c r="F5906" t="s">
        <v>5</v>
      </c>
      <c r="G5906" t="str">
        <f>""</f>
        <v/>
      </c>
    </row>
    <row r="5907" spans="1:7" x14ac:dyDescent="0.25">
      <c r="A5907" t="s">
        <v>8</v>
      </c>
      <c r="B5907" s="1" t="str">
        <f>"22407011"</f>
        <v>22407011</v>
      </c>
      <c r="C5907" t="s">
        <v>4317</v>
      </c>
      <c r="D5907" s="1" t="str">
        <f t="shared" si="170"/>
        <v>PRG-1028800</v>
      </c>
      <c r="E5907" t="s">
        <v>821</v>
      </c>
      <c r="F5907" t="s">
        <v>5</v>
      </c>
      <c r="G5907" t="str">
        <f>""</f>
        <v/>
      </c>
    </row>
    <row r="5908" spans="1:7" x14ac:dyDescent="0.25">
      <c r="A5908" t="s">
        <v>8</v>
      </c>
      <c r="B5908" s="1" t="str">
        <f>"22407014"</f>
        <v>22407014</v>
      </c>
      <c r="C5908" t="s">
        <v>4319</v>
      </c>
      <c r="D5908" s="1" t="str">
        <f t="shared" si="170"/>
        <v>PRG-1028800</v>
      </c>
      <c r="E5908" t="s">
        <v>821</v>
      </c>
      <c r="F5908" t="s">
        <v>5</v>
      </c>
      <c r="G5908" t="str">
        <f>""</f>
        <v/>
      </c>
    </row>
    <row r="5909" spans="1:7" x14ac:dyDescent="0.25">
      <c r="A5909" t="s">
        <v>8</v>
      </c>
      <c r="B5909" s="1" t="str">
        <f>"22407020"</f>
        <v>22407020</v>
      </c>
      <c r="C5909" t="s">
        <v>4320</v>
      </c>
      <c r="D5909" s="1" t="str">
        <f t="shared" si="170"/>
        <v>PRG-1028800</v>
      </c>
      <c r="E5909" t="s">
        <v>821</v>
      </c>
      <c r="F5909" t="s">
        <v>5</v>
      </c>
      <c r="G5909" t="str">
        <f>""</f>
        <v/>
      </c>
    </row>
    <row r="5910" spans="1:7" x14ac:dyDescent="0.25">
      <c r="A5910" t="s">
        <v>8</v>
      </c>
      <c r="B5910" s="1" t="str">
        <f>"22501610"</f>
        <v>22501610</v>
      </c>
      <c r="C5910" t="s">
        <v>4341</v>
      </c>
      <c r="D5910" s="1" t="str">
        <f t="shared" si="170"/>
        <v>PRG-1028800</v>
      </c>
      <c r="E5910" t="s">
        <v>821</v>
      </c>
      <c r="F5910" t="s">
        <v>5</v>
      </c>
      <c r="G5910" t="str">
        <f>""</f>
        <v/>
      </c>
    </row>
    <row r="5911" spans="1:7" x14ac:dyDescent="0.25">
      <c r="A5911" t="s">
        <v>8</v>
      </c>
      <c r="B5911" s="1" t="str">
        <f>"22502908"</f>
        <v>22502908</v>
      </c>
      <c r="C5911" t="s">
        <v>4347</v>
      </c>
      <c r="D5911" s="1" t="str">
        <f t="shared" si="170"/>
        <v>PRG-1028800</v>
      </c>
      <c r="E5911" t="s">
        <v>821</v>
      </c>
      <c r="F5911" t="s">
        <v>5</v>
      </c>
      <c r="G5911" t="str">
        <f>""</f>
        <v/>
      </c>
    </row>
    <row r="5912" spans="1:7" x14ac:dyDescent="0.25">
      <c r="A5912" t="s">
        <v>8</v>
      </c>
      <c r="B5912" s="1" t="str">
        <f>"2250A094"</f>
        <v>2250A094</v>
      </c>
      <c r="C5912" t="s">
        <v>4362</v>
      </c>
      <c r="D5912" s="1" t="str">
        <f t="shared" si="170"/>
        <v>PRG-1028800</v>
      </c>
      <c r="E5912" t="s">
        <v>821</v>
      </c>
      <c r="F5912" t="s">
        <v>5</v>
      </c>
      <c r="G5912" t="str">
        <f>""</f>
        <v/>
      </c>
    </row>
    <row r="5913" spans="1:7" x14ac:dyDescent="0.25">
      <c r="A5913" t="s">
        <v>8</v>
      </c>
      <c r="B5913" s="1" t="str">
        <f>"2250F692"</f>
        <v>2250F692</v>
      </c>
      <c r="C5913" t="s">
        <v>4374</v>
      </c>
      <c r="D5913" s="1" t="str">
        <f t="shared" si="170"/>
        <v>PRG-1028800</v>
      </c>
      <c r="E5913" t="s">
        <v>821</v>
      </c>
      <c r="F5913" t="s">
        <v>5</v>
      </c>
      <c r="G5913" t="str">
        <f>""</f>
        <v/>
      </c>
    </row>
    <row r="5914" spans="1:7" x14ac:dyDescent="0.25">
      <c r="A5914" t="s">
        <v>8</v>
      </c>
      <c r="B5914" s="1" t="str">
        <f>"2260B178"</f>
        <v>2260B178</v>
      </c>
      <c r="C5914" t="s">
        <v>4452</v>
      </c>
      <c r="D5914" s="1" t="str">
        <f t="shared" si="170"/>
        <v>PRG-1028800</v>
      </c>
      <c r="E5914" t="s">
        <v>821</v>
      </c>
      <c r="F5914" t="s">
        <v>5</v>
      </c>
      <c r="G5914" t="str">
        <f>""</f>
        <v/>
      </c>
    </row>
    <row r="5915" spans="1:7" x14ac:dyDescent="0.25">
      <c r="A5915" t="s">
        <v>8</v>
      </c>
      <c r="B5915" s="1" t="str">
        <f>"2260B344"</f>
        <v>2260B344</v>
      </c>
      <c r="C5915" t="s">
        <v>4456</v>
      </c>
      <c r="D5915" s="1" t="str">
        <f t="shared" si="170"/>
        <v>PRG-1028800</v>
      </c>
      <c r="E5915" t="s">
        <v>821</v>
      </c>
      <c r="F5915" t="s">
        <v>5</v>
      </c>
      <c r="G5915" t="str">
        <f>""</f>
        <v/>
      </c>
    </row>
    <row r="5916" spans="1:7" x14ac:dyDescent="0.25">
      <c r="A5916" t="s">
        <v>8</v>
      </c>
      <c r="B5916" s="1" t="str">
        <f>"2370A130"</f>
        <v>2370A130</v>
      </c>
      <c r="C5916" t="s">
        <v>4541</v>
      </c>
      <c r="D5916" s="1" t="str">
        <f t="shared" si="170"/>
        <v>PRG-1028800</v>
      </c>
      <c r="E5916" t="s">
        <v>821</v>
      </c>
      <c r="F5916" t="s">
        <v>5</v>
      </c>
      <c r="G5916" t="str">
        <f>""</f>
        <v/>
      </c>
    </row>
    <row r="5917" spans="1:7" x14ac:dyDescent="0.25">
      <c r="A5917" t="s">
        <v>8</v>
      </c>
      <c r="B5917" s="1" t="str">
        <f>"2370G492"</f>
        <v>2370G492</v>
      </c>
      <c r="C5917" t="s">
        <v>4565</v>
      </c>
      <c r="D5917" s="1" t="str">
        <f t="shared" si="170"/>
        <v>PRG-1028800</v>
      </c>
      <c r="E5917" t="s">
        <v>821</v>
      </c>
      <c r="F5917" t="s">
        <v>5</v>
      </c>
      <c r="G5917" t="str">
        <f>""</f>
        <v/>
      </c>
    </row>
    <row r="5918" spans="1:7" x14ac:dyDescent="0.25">
      <c r="A5918" t="s">
        <v>8</v>
      </c>
      <c r="B5918" s="1" t="str">
        <f>"2370H674"</f>
        <v>2370H674</v>
      </c>
      <c r="C5918" t="s">
        <v>4570</v>
      </c>
      <c r="D5918" s="1" t="str">
        <f t="shared" si="170"/>
        <v>PRG-1028800</v>
      </c>
      <c r="E5918" t="s">
        <v>821</v>
      </c>
      <c r="F5918" t="s">
        <v>5</v>
      </c>
      <c r="G5918" t="str">
        <f>""</f>
        <v/>
      </c>
    </row>
    <row r="5919" spans="1:7" x14ac:dyDescent="0.25">
      <c r="A5919" t="s">
        <v>8</v>
      </c>
      <c r="B5919" s="1" t="str">
        <f>"30233750"</f>
        <v>30233750</v>
      </c>
      <c r="C5919" t="s">
        <v>4576</v>
      </c>
      <c r="D5919" s="1" t="str">
        <f t="shared" si="170"/>
        <v>PRG-1028800</v>
      </c>
      <c r="E5919" t="s">
        <v>821</v>
      </c>
      <c r="F5919" t="s">
        <v>5</v>
      </c>
      <c r="G5919" t="str">
        <f>""</f>
        <v/>
      </c>
    </row>
    <row r="5920" spans="1:7" x14ac:dyDescent="0.25">
      <c r="A5920" t="s">
        <v>8</v>
      </c>
      <c r="B5920" s="1" t="str">
        <f>"3051A624"</f>
        <v>3051A624</v>
      </c>
      <c r="C5920" t="s">
        <v>4584</v>
      </c>
      <c r="D5920" s="1" t="str">
        <f t="shared" si="170"/>
        <v>PRG-1028800</v>
      </c>
      <c r="E5920" t="s">
        <v>821</v>
      </c>
      <c r="F5920" t="s">
        <v>5</v>
      </c>
      <c r="G5920" t="str">
        <f>""</f>
        <v/>
      </c>
    </row>
    <row r="5921" spans="1:7" x14ac:dyDescent="0.25">
      <c r="A5921" t="s">
        <v>8</v>
      </c>
      <c r="B5921" s="1" t="str">
        <f>"3051A795"</f>
        <v>3051A795</v>
      </c>
      <c r="C5921" t="s">
        <v>4586</v>
      </c>
      <c r="D5921" s="1" t="str">
        <f t="shared" ref="D5921:D5952" si="171">"PRG-1028800"</f>
        <v>PRG-1028800</v>
      </c>
      <c r="E5921" t="s">
        <v>821</v>
      </c>
      <c r="F5921" t="s">
        <v>5</v>
      </c>
      <c r="G5921" t="str">
        <f>""</f>
        <v/>
      </c>
    </row>
    <row r="5922" spans="1:7" x14ac:dyDescent="0.25">
      <c r="A5922" t="s">
        <v>8</v>
      </c>
      <c r="B5922" s="1" t="str">
        <f>"31703446"</f>
        <v>31703446</v>
      </c>
      <c r="C5922" t="s">
        <v>4696</v>
      </c>
      <c r="D5922" s="1" t="str">
        <f t="shared" si="171"/>
        <v>PRG-1028800</v>
      </c>
      <c r="E5922" t="s">
        <v>821</v>
      </c>
      <c r="F5922" t="s">
        <v>5</v>
      </c>
      <c r="G5922" t="str">
        <f>""</f>
        <v/>
      </c>
    </row>
    <row r="5923" spans="1:7" x14ac:dyDescent="0.25">
      <c r="A5923" t="s">
        <v>8</v>
      </c>
      <c r="B5923" s="1" t="str">
        <f>"31703504"</f>
        <v>31703504</v>
      </c>
      <c r="C5923" t="s">
        <v>4697</v>
      </c>
      <c r="D5923" s="1" t="str">
        <f t="shared" si="171"/>
        <v>PRG-1028800</v>
      </c>
      <c r="E5923" t="s">
        <v>821</v>
      </c>
      <c r="F5923" t="s">
        <v>5</v>
      </c>
      <c r="G5923" t="str">
        <f>""</f>
        <v/>
      </c>
    </row>
    <row r="5924" spans="1:7" x14ac:dyDescent="0.25">
      <c r="A5924" t="s">
        <v>8</v>
      </c>
      <c r="B5924" s="1" t="str">
        <f>"31703551"</f>
        <v>31703551</v>
      </c>
      <c r="C5924" t="s">
        <v>4698</v>
      </c>
      <c r="D5924" s="1" t="str">
        <f t="shared" si="171"/>
        <v>PRG-1028800</v>
      </c>
      <c r="E5924" t="s">
        <v>821</v>
      </c>
      <c r="F5924" t="s">
        <v>5</v>
      </c>
      <c r="G5924" t="str">
        <f>""</f>
        <v/>
      </c>
    </row>
    <row r="5925" spans="1:7" x14ac:dyDescent="0.25">
      <c r="A5925" t="s">
        <v>8</v>
      </c>
      <c r="B5925" s="1" t="str">
        <f>"3170A658"</f>
        <v>3170A658</v>
      </c>
      <c r="C5925" t="s">
        <v>4703</v>
      </c>
      <c r="D5925" s="1" t="str">
        <f t="shared" si="171"/>
        <v>PRG-1028800</v>
      </c>
      <c r="E5925" t="s">
        <v>821</v>
      </c>
      <c r="F5925" t="s">
        <v>5</v>
      </c>
      <c r="G5925" t="str">
        <f>""</f>
        <v/>
      </c>
    </row>
    <row r="5926" spans="1:7" x14ac:dyDescent="0.25">
      <c r="A5926" t="s">
        <v>8</v>
      </c>
      <c r="B5926" s="1" t="str">
        <f>"3170BY35"</f>
        <v>3170BY35</v>
      </c>
      <c r="C5926" t="s">
        <v>4708</v>
      </c>
      <c r="D5926" s="1" t="str">
        <f t="shared" si="171"/>
        <v>PRG-1028800</v>
      </c>
      <c r="E5926" t="s">
        <v>821</v>
      </c>
      <c r="F5926" t="s">
        <v>5</v>
      </c>
      <c r="G5926" t="str">
        <f>""</f>
        <v/>
      </c>
    </row>
    <row r="5927" spans="1:7" x14ac:dyDescent="0.25">
      <c r="A5927" t="s">
        <v>8</v>
      </c>
      <c r="B5927" s="1" t="str">
        <f>"3170CG30"</f>
        <v>3170CG30</v>
      </c>
      <c r="C5927" t="s">
        <v>4710</v>
      </c>
      <c r="D5927" s="1" t="str">
        <f t="shared" si="171"/>
        <v>PRG-1028800</v>
      </c>
      <c r="E5927" t="s">
        <v>821</v>
      </c>
      <c r="F5927" t="s">
        <v>5</v>
      </c>
      <c r="G5927" t="str">
        <f>""</f>
        <v/>
      </c>
    </row>
    <row r="5928" spans="1:7" x14ac:dyDescent="0.25">
      <c r="A5928" t="s">
        <v>8</v>
      </c>
      <c r="B5928" s="1" t="str">
        <f>"3170DF07"</f>
        <v>3170DF07</v>
      </c>
      <c r="C5928" t="s">
        <v>4715</v>
      </c>
      <c r="D5928" s="1" t="str">
        <f t="shared" si="171"/>
        <v>PRG-1028800</v>
      </c>
      <c r="E5928" t="s">
        <v>821</v>
      </c>
      <c r="F5928" t="s">
        <v>5</v>
      </c>
      <c r="G5928" t="str">
        <f>""</f>
        <v/>
      </c>
    </row>
    <row r="5929" spans="1:7" x14ac:dyDescent="0.25">
      <c r="A5929" t="s">
        <v>8</v>
      </c>
      <c r="B5929" s="1" t="str">
        <f>"3170EP55"</f>
        <v>3170EP55</v>
      </c>
      <c r="C5929" t="s">
        <v>4722</v>
      </c>
      <c r="D5929" s="1" t="str">
        <f t="shared" si="171"/>
        <v>PRG-1028800</v>
      </c>
      <c r="E5929" t="s">
        <v>821</v>
      </c>
      <c r="F5929" t="s">
        <v>5</v>
      </c>
      <c r="G5929" t="str">
        <f>""</f>
        <v/>
      </c>
    </row>
    <row r="5930" spans="1:7" x14ac:dyDescent="0.25">
      <c r="A5930" t="s">
        <v>8</v>
      </c>
      <c r="B5930" s="1" t="str">
        <f>"3170ER23"</f>
        <v>3170ER23</v>
      </c>
      <c r="C5930" t="s">
        <v>4724</v>
      </c>
      <c r="D5930" s="1" t="str">
        <f t="shared" si="171"/>
        <v>PRG-1028800</v>
      </c>
      <c r="E5930" t="s">
        <v>821</v>
      </c>
      <c r="F5930" t="s">
        <v>5</v>
      </c>
      <c r="G5930" t="str">
        <f>""</f>
        <v/>
      </c>
    </row>
    <row r="5931" spans="1:7" x14ac:dyDescent="0.25">
      <c r="A5931" t="s">
        <v>8</v>
      </c>
      <c r="B5931" s="1" t="str">
        <f>"3170G572"</f>
        <v>3170G572</v>
      </c>
      <c r="C5931" t="s">
        <v>4730</v>
      </c>
      <c r="D5931" s="1" t="str">
        <f t="shared" si="171"/>
        <v>PRG-1028800</v>
      </c>
      <c r="E5931" t="s">
        <v>821</v>
      </c>
      <c r="F5931" t="s">
        <v>5</v>
      </c>
      <c r="G5931" t="str">
        <f>""</f>
        <v/>
      </c>
    </row>
    <row r="5932" spans="1:7" x14ac:dyDescent="0.25">
      <c r="A5932" t="s">
        <v>8</v>
      </c>
      <c r="B5932" s="1" t="str">
        <f>"3170J932"</f>
        <v>3170J932</v>
      </c>
      <c r="C5932" t="s">
        <v>4742</v>
      </c>
      <c r="D5932" s="1" t="str">
        <f t="shared" si="171"/>
        <v>PRG-1028800</v>
      </c>
      <c r="E5932" t="s">
        <v>821</v>
      </c>
      <c r="F5932" t="s">
        <v>5</v>
      </c>
      <c r="G5932" t="str">
        <f>""</f>
        <v/>
      </c>
    </row>
    <row r="5933" spans="1:7" x14ac:dyDescent="0.25">
      <c r="A5933" t="s">
        <v>8</v>
      </c>
      <c r="B5933" s="1" t="str">
        <f>"3170L033"</f>
        <v>3170L033</v>
      </c>
      <c r="C5933" t="s">
        <v>4751</v>
      </c>
      <c r="D5933" s="1" t="str">
        <f t="shared" si="171"/>
        <v>PRG-1028800</v>
      </c>
      <c r="E5933" t="s">
        <v>821</v>
      </c>
      <c r="F5933" t="s">
        <v>5</v>
      </c>
      <c r="G5933" t="str">
        <f>""</f>
        <v/>
      </c>
    </row>
    <row r="5934" spans="1:7" x14ac:dyDescent="0.25">
      <c r="A5934" t="s">
        <v>8</v>
      </c>
      <c r="B5934" s="1" t="str">
        <f>"3170N956"</f>
        <v>3170N956</v>
      </c>
      <c r="C5934" t="s">
        <v>4757</v>
      </c>
      <c r="D5934" s="1" t="str">
        <f t="shared" si="171"/>
        <v>PRG-1028800</v>
      </c>
      <c r="E5934" t="s">
        <v>821</v>
      </c>
      <c r="F5934" t="s">
        <v>5</v>
      </c>
      <c r="G5934" t="str">
        <f>""</f>
        <v/>
      </c>
    </row>
    <row r="5935" spans="1:7" x14ac:dyDescent="0.25">
      <c r="A5935" t="s">
        <v>8</v>
      </c>
      <c r="B5935" s="1" t="str">
        <f>"3170P148"</f>
        <v>3170P148</v>
      </c>
      <c r="C5935" t="s">
        <v>4758</v>
      </c>
      <c r="D5935" s="1" t="str">
        <f t="shared" si="171"/>
        <v>PRG-1028800</v>
      </c>
      <c r="E5935" t="s">
        <v>821</v>
      </c>
      <c r="F5935" t="s">
        <v>5</v>
      </c>
      <c r="G5935" t="str">
        <f>""</f>
        <v/>
      </c>
    </row>
    <row r="5936" spans="1:7" x14ac:dyDescent="0.25">
      <c r="A5936" t="s">
        <v>8</v>
      </c>
      <c r="B5936" s="1" t="str">
        <f>"3170Q939"</f>
        <v>3170Q939</v>
      </c>
      <c r="C5936" t="s">
        <v>4764</v>
      </c>
      <c r="D5936" s="1" t="str">
        <f t="shared" si="171"/>
        <v>PRG-1028800</v>
      </c>
      <c r="E5936" t="s">
        <v>821</v>
      </c>
      <c r="F5936" t="s">
        <v>5</v>
      </c>
      <c r="G5936" t="str">
        <f>""</f>
        <v/>
      </c>
    </row>
    <row r="5937" spans="1:7" x14ac:dyDescent="0.25">
      <c r="A5937" t="s">
        <v>8</v>
      </c>
      <c r="B5937" s="1" t="str">
        <f>"3170T661"</f>
        <v>3170T661</v>
      </c>
      <c r="C5937" t="s">
        <v>4772</v>
      </c>
      <c r="D5937" s="1" t="str">
        <f t="shared" si="171"/>
        <v>PRG-1028800</v>
      </c>
      <c r="E5937" t="s">
        <v>821</v>
      </c>
      <c r="F5937" t="s">
        <v>5</v>
      </c>
      <c r="G5937" t="str">
        <f>""</f>
        <v/>
      </c>
    </row>
    <row r="5938" spans="1:7" x14ac:dyDescent="0.25">
      <c r="A5938" t="s">
        <v>8</v>
      </c>
      <c r="B5938" s="1" t="str">
        <f>"3170U031"</f>
        <v>3170U031</v>
      </c>
      <c r="C5938" t="s">
        <v>4774</v>
      </c>
      <c r="D5938" s="1" t="str">
        <f t="shared" si="171"/>
        <v>PRG-1028800</v>
      </c>
      <c r="E5938" t="s">
        <v>821</v>
      </c>
      <c r="F5938" t="s">
        <v>5</v>
      </c>
      <c r="G5938" t="str">
        <f>""</f>
        <v/>
      </c>
    </row>
    <row r="5939" spans="1:7" x14ac:dyDescent="0.25">
      <c r="A5939" t="s">
        <v>8</v>
      </c>
      <c r="B5939" s="1" t="str">
        <f>"3170W249"</f>
        <v>3170W249</v>
      </c>
      <c r="C5939" t="s">
        <v>4785</v>
      </c>
      <c r="D5939" s="1" t="str">
        <f t="shared" si="171"/>
        <v>PRG-1028800</v>
      </c>
      <c r="E5939" t="s">
        <v>821</v>
      </c>
      <c r="F5939" t="s">
        <v>5</v>
      </c>
      <c r="G5939" t="str">
        <f>""</f>
        <v/>
      </c>
    </row>
    <row r="5940" spans="1:7" x14ac:dyDescent="0.25">
      <c r="A5940" t="s">
        <v>8</v>
      </c>
      <c r="B5940" s="1" t="str">
        <f>"3170Y138"</f>
        <v>3170Y138</v>
      </c>
      <c r="C5940" t="s">
        <v>4789</v>
      </c>
      <c r="D5940" s="1" t="str">
        <f t="shared" si="171"/>
        <v>PRG-1028800</v>
      </c>
      <c r="E5940" t="s">
        <v>821</v>
      </c>
      <c r="F5940" t="s">
        <v>5</v>
      </c>
      <c r="G5940" t="str">
        <f>""</f>
        <v/>
      </c>
    </row>
    <row r="5941" spans="1:7" x14ac:dyDescent="0.25">
      <c r="A5941" t="s">
        <v>8</v>
      </c>
      <c r="B5941" s="1" t="str">
        <f>"32106139"</f>
        <v>32106139</v>
      </c>
      <c r="C5941" t="s">
        <v>4801</v>
      </c>
      <c r="D5941" s="1" t="str">
        <f t="shared" si="171"/>
        <v>PRG-1028800</v>
      </c>
      <c r="E5941" t="s">
        <v>821</v>
      </c>
      <c r="F5941" t="s">
        <v>5</v>
      </c>
      <c r="G5941" t="str">
        <f>""</f>
        <v/>
      </c>
    </row>
    <row r="5942" spans="1:7" x14ac:dyDescent="0.25">
      <c r="A5942" t="s">
        <v>8</v>
      </c>
      <c r="B5942" s="1" t="str">
        <f>"3220E283"</f>
        <v>3220E283</v>
      </c>
      <c r="C5942" t="s">
        <v>4828</v>
      </c>
      <c r="D5942" s="1" t="str">
        <f t="shared" si="171"/>
        <v>PRG-1028800</v>
      </c>
      <c r="E5942" t="s">
        <v>821</v>
      </c>
      <c r="F5942" t="s">
        <v>5</v>
      </c>
      <c r="G5942" t="str">
        <f>""</f>
        <v/>
      </c>
    </row>
    <row r="5943" spans="1:7" x14ac:dyDescent="0.25">
      <c r="A5943" t="s">
        <v>8</v>
      </c>
      <c r="B5943" s="1" t="str">
        <f>"32302557"</f>
        <v>32302557</v>
      </c>
      <c r="C5943" t="s">
        <v>4855</v>
      </c>
      <c r="D5943" s="1" t="str">
        <f t="shared" si="171"/>
        <v>PRG-1028800</v>
      </c>
      <c r="E5943" t="s">
        <v>821</v>
      </c>
      <c r="F5943" t="s">
        <v>5</v>
      </c>
      <c r="G5943" t="str">
        <f>""</f>
        <v/>
      </c>
    </row>
    <row r="5944" spans="1:7" x14ac:dyDescent="0.25">
      <c r="A5944" t="s">
        <v>8</v>
      </c>
      <c r="B5944" s="1" t="str">
        <f>"32302726"</f>
        <v>32302726</v>
      </c>
      <c r="C5944" t="s">
        <v>4857</v>
      </c>
      <c r="D5944" s="1" t="str">
        <f t="shared" si="171"/>
        <v>PRG-1028800</v>
      </c>
      <c r="E5944" t="s">
        <v>821</v>
      </c>
      <c r="F5944" t="s">
        <v>5</v>
      </c>
      <c r="G5944" t="str">
        <f>""</f>
        <v/>
      </c>
    </row>
    <row r="5945" spans="1:7" x14ac:dyDescent="0.25">
      <c r="A5945" t="s">
        <v>8</v>
      </c>
      <c r="B5945" s="1" t="str">
        <f>"32302805"</f>
        <v>32302805</v>
      </c>
      <c r="C5945" t="s">
        <v>4858</v>
      </c>
      <c r="D5945" s="1" t="str">
        <f t="shared" si="171"/>
        <v>PRG-1028800</v>
      </c>
      <c r="E5945" t="s">
        <v>821</v>
      </c>
      <c r="F5945" t="s">
        <v>5</v>
      </c>
      <c r="G5945" t="str">
        <f>""</f>
        <v/>
      </c>
    </row>
    <row r="5946" spans="1:7" x14ac:dyDescent="0.25">
      <c r="A5946" t="s">
        <v>8</v>
      </c>
      <c r="B5946" s="1" t="str">
        <f>"32303706"</f>
        <v>32303706</v>
      </c>
      <c r="C5946" t="s">
        <v>4867</v>
      </c>
      <c r="D5946" s="1" t="str">
        <f t="shared" si="171"/>
        <v>PRG-1028800</v>
      </c>
      <c r="E5946" t="s">
        <v>821</v>
      </c>
      <c r="F5946" t="s">
        <v>5</v>
      </c>
      <c r="G5946" t="str">
        <f>""</f>
        <v/>
      </c>
    </row>
    <row r="5947" spans="1:7" x14ac:dyDescent="0.25">
      <c r="A5947" t="s">
        <v>8</v>
      </c>
      <c r="B5947" s="1" t="str">
        <f>"32304048"</f>
        <v>32304048</v>
      </c>
      <c r="C5947" t="s">
        <v>4871</v>
      </c>
      <c r="D5947" s="1" t="str">
        <f t="shared" si="171"/>
        <v>PRG-1028800</v>
      </c>
      <c r="E5947" t="s">
        <v>821</v>
      </c>
      <c r="F5947" t="s">
        <v>5</v>
      </c>
      <c r="G5947" t="str">
        <f>""</f>
        <v/>
      </c>
    </row>
    <row r="5948" spans="1:7" x14ac:dyDescent="0.25">
      <c r="A5948" t="s">
        <v>8</v>
      </c>
      <c r="B5948" s="1" t="str">
        <f>"32306264"</f>
        <v>32306264</v>
      </c>
      <c r="C5948" t="s">
        <v>4879</v>
      </c>
      <c r="D5948" s="1" t="str">
        <f t="shared" si="171"/>
        <v>PRG-1028800</v>
      </c>
      <c r="E5948" t="s">
        <v>821</v>
      </c>
      <c r="F5948" t="s">
        <v>5</v>
      </c>
      <c r="G5948" t="str">
        <f>""</f>
        <v/>
      </c>
    </row>
    <row r="5949" spans="1:7" x14ac:dyDescent="0.25">
      <c r="A5949" t="s">
        <v>8</v>
      </c>
      <c r="B5949" s="1" t="str">
        <f>"32306695"</f>
        <v>32306695</v>
      </c>
      <c r="C5949" t="s">
        <v>4882</v>
      </c>
      <c r="D5949" s="1" t="str">
        <f t="shared" si="171"/>
        <v>PRG-1028800</v>
      </c>
      <c r="E5949" t="s">
        <v>821</v>
      </c>
      <c r="F5949" t="s">
        <v>5</v>
      </c>
      <c r="G5949" t="str">
        <f>""</f>
        <v/>
      </c>
    </row>
    <row r="5950" spans="1:7" x14ac:dyDescent="0.25">
      <c r="A5950" t="s">
        <v>8</v>
      </c>
      <c r="B5950" s="1" t="str">
        <f>"32308253"</f>
        <v>32308253</v>
      </c>
      <c r="C5950" t="s">
        <v>4888</v>
      </c>
      <c r="D5950" s="1" t="str">
        <f t="shared" si="171"/>
        <v>PRG-1028800</v>
      </c>
      <c r="E5950" t="s">
        <v>821</v>
      </c>
      <c r="F5950" t="s">
        <v>5</v>
      </c>
      <c r="G5950" t="str">
        <f>""</f>
        <v/>
      </c>
    </row>
    <row r="5951" spans="1:7" x14ac:dyDescent="0.25">
      <c r="A5951" t="s">
        <v>8</v>
      </c>
      <c r="B5951" s="1" t="str">
        <f>"4120C690"</f>
        <v>4120C690</v>
      </c>
      <c r="C5951" t="s">
        <v>4985</v>
      </c>
      <c r="D5951" s="1" t="str">
        <f t="shared" si="171"/>
        <v>PRG-1028800</v>
      </c>
      <c r="E5951" t="s">
        <v>821</v>
      </c>
      <c r="F5951" t="s">
        <v>5</v>
      </c>
      <c r="G5951" t="str">
        <f>""</f>
        <v/>
      </c>
    </row>
    <row r="5952" spans="1:7" x14ac:dyDescent="0.25">
      <c r="A5952" t="s">
        <v>8</v>
      </c>
      <c r="B5952" s="1" t="str">
        <f>"S2J00PL0"</f>
        <v>S2J00PL0</v>
      </c>
      <c r="C5952" t="s">
        <v>5545</v>
      </c>
      <c r="D5952" s="1" t="str">
        <f t="shared" si="171"/>
        <v>PRG-1028800</v>
      </c>
      <c r="E5952" t="s">
        <v>821</v>
      </c>
      <c r="F5952" t="s">
        <v>5</v>
      </c>
      <c r="G5952" t="str">
        <f>""</f>
        <v/>
      </c>
    </row>
    <row r="5953" spans="1:7" x14ac:dyDescent="0.25">
      <c r="A5953" t="s">
        <v>8</v>
      </c>
      <c r="B5953" s="1" t="str">
        <f>"S5G00KI0"</f>
        <v>S5G00KI0</v>
      </c>
      <c r="C5953" t="s">
        <v>5827</v>
      </c>
      <c r="D5953" s="1" t="str">
        <f t="shared" ref="D5953:D5971" si="172">"PRG-1028800"</f>
        <v>PRG-1028800</v>
      </c>
      <c r="E5953" t="s">
        <v>821</v>
      </c>
      <c r="F5953" t="s">
        <v>5</v>
      </c>
      <c r="G5953" t="str">
        <f>""</f>
        <v/>
      </c>
    </row>
    <row r="5954" spans="1:7" x14ac:dyDescent="0.25">
      <c r="A5954" t="s">
        <v>8</v>
      </c>
      <c r="B5954" s="1" t="str">
        <f>"S5I00J11"</f>
        <v>S5I00J11</v>
      </c>
      <c r="C5954" t="s">
        <v>5841</v>
      </c>
      <c r="D5954" s="1" t="str">
        <f t="shared" si="172"/>
        <v>PRG-1028800</v>
      </c>
      <c r="E5954" t="s">
        <v>821</v>
      </c>
      <c r="F5954" t="s">
        <v>5</v>
      </c>
      <c r="G5954" t="str">
        <f>""</f>
        <v/>
      </c>
    </row>
    <row r="5955" spans="1:7" x14ac:dyDescent="0.25">
      <c r="A5955" t="s">
        <v>8</v>
      </c>
      <c r="B5955" s="1" t="str">
        <f>"S5I010O0"</f>
        <v>S5I010O0</v>
      </c>
      <c r="C5955" t="s">
        <v>5850</v>
      </c>
      <c r="D5955" s="1" t="str">
        <f t="shared" si="172"/>
        <v>PRG-1028800</v>
      </c>
      <c r="E5955" t="s">
        <v>821</v>
      </c>
      <c r="F5955" t="s">
        <v>5</v>
      </c>
      <c r="G5955" t="str">
        <f>""</f>
        <v/>
      </c>
    </row>
    <row r="5956" spans="1:7" x14ac:dyDescent="0.25">
      <c r="A5956" t="s">
        <v>8</v>
      </c>
      <c r="B5956" s="1" t="str">
        <f>"S5I01MF0"</f>
        <v>S5I01MF0</v>
      </c>
      <c r="C5956" t="s">
        <v>5869</v>
      </c>
      <c r="D5956" s="1" t="str">
        <f t="shared" si="172"/>
        <v>PRG-1028800</v>
      </c>
      <c r="E5956" t="s">
        <v>821</v>
      </c>
      <c r="F5956" t="s">
        <v>5</v>
      </c>
      <c r="G5956" t="str">
        <f>""</f>
        <v/>
      </c>
    </row>
    <row r="5957" spans="1:7" x14ac:dyDescent="0.25">
      <c r="A5957" t="s">
        <v>8</v>
      </c>
      <c r="B5957" s="1" t="str">
        <f>"S5I025S0"</f>
        <v>S5I025S0</v>
      </c>
      <c r="C5957" t="s">
        <v>5875</v>
      </c>
      <c r="D5957" s="1" t="str">
        <f t="shared" si="172"/>
        <v>PRG-1028800</v>
      </c>
      <c r="E5957" t="s">
        <v>821</v>
      </c>
      <c r="F5957" t="s">
        <v>5</v>
      </c>
      <c r="G5957" t="str">
        <f>""</f>
        <v/>
      </c>
    </row>
    <row r="5958" spans="1:7" x14ac:dyDescent="0.25">
      <c r="A5958" t="s">
        <v>8</v>
      </c>
      <c r="B5958" s="1" t="str">
        <f>"S5Z00BI0"</f>
        <v>S5Z00BI0</v>
      </c>
      <c r="C5958" t="s">
        <v>5947</v>
      </c>
      <c r="D5958" s="1" t="str">
        <f t="shared" si="172"/>
        <v>PRG-1028800</v>
      </c>
      <c r="E5958" t="s">
        <v>821</v>
      </c>
      <c r="F5958" t="s">
        <v>5</v>
      </c>
      <c r="G5958" t="str">
        <f>""</f>
        <v/>
      </c>
    </row>
    <row r="5959" spans="1:7" x14ac:dyDescent="0.25">
      <c r="A5959" t="s">
        <v>8</v>
      </c>
      <c r="B5959" s="1" t="str">
        <f>"S6B00020"</f>
        <v>S6B00020</v>
      </c>
      <c r="C5959" t="s">
        <v>4375</v>
      </c>
      <c r="D5959" s="1" t="str">
        <f t="shared" si="172"/>
        <v>PRG-1028800</v>
      </c>
      <c r="E5959" t="s">
        <v>821</v>
      </c>
      <c r="F5959" t="s">
        <v>5</v>
      </c>
      <c r="G5959" t="str">
        <f>""</f>
        <v/>
      </c>
    </row>
    <row r="5960" spans="1:7" x14ac:dyDescent="0.25">
      <c r="A5960" t="s">
        <v>8</v>
      </c>
      <c r="B5960" s="1" t="str">
        <f>"S6D00630"</f>
        <v>S6D00630</v>
      </c>
      <c r="C5960" t="s">
        <v>6021</v>
      </c>
      <c r="D5960" s="1" t="str">
        <f t="shared" si="172"/>
        <v>PRG-1028800</v>
      </c>
      <c r="E5960" t="s">
        <v>821</v>
      </c>
      <c r="F5960" t="s">
        <v>5</v>
      </c>
      <c r="G5960" t="str">
        <f>""</f>
        <v/>
      </c>
    </row>
    <row r="5961" spans="1:7" x14ac:dyDescent="0.25">
      <c r="A5961" t="s">
        <v>8</v>
      </c>
      <c r="B5961" s="1" t="str">
        <f>"S6J000X0"</f>
        <v>S6J000X0</v>
      </c>
      <c r="C5961" t="s">
        <v>6107</v>
      </c>
      <c r="D5961" s="1" t="str">
        <f t="shared" si="172"/>
        <v>PRG-1028800</v>
      </c>
      <c r="E5961" t="s">
        <v>821</v>
      </c>
      <c r="F5961" t="s">
        <v>5</v>
      </c>
      <c r="G5961" t="str">
        <f>""</f>
        <v/>
      </c>
    </row>
    <row r="5962" spans="1:7" x14ac:dyDescent="0.25">
      <c r="A5962" t="s">
        <v>8</v>
      </c>
      <c r="B5962" s="1" t="str">
        <f>"S6J01LY0"</f>
        <v>S6J01LY0</v>
      </c>
      <c r="C5962" t="s">
        <v>6114</v>
      </c>
      <c r="D5962" s="1" t="str">
        <f t="shared" si="172"/>
        <v>PRG-1028800</v>
      </c>
      <c r="E5962" t="s">
        <v>821</v>
      </c>
      <c r="F5962" t="s">
        <v>5</v>
      </c>
      <c r="G5962" t="str">
        <f>""</f>
        <v/>
      </c>
    </row>
    <row r="5963" spans="1:7" x14ac:dyDescent="0.25">
      <c r="A5963" t="s">
        <v>8</v>
      </c>
      <c r="B5963" s="1" t="str">
        <f>"S6J02EY0"</f>
        <v>S6J02EY0</v>
      </c>
      <c r="C5963" t="s">
        <v>6121</v>
      </c>
      <c r="D5963" s="1" t="str">
        <f t="shared" si="172"/>
        <v>PRG-1028800</v>
      </c>
      <c r="E5963" t="s">
        <v>821</v>
      </c>
      <c r="F5963" t="s">
        <v>5</v>
      </c>
      <c r="G5963" t="str">
        <f>""</f>
        <v/>
      </c>
    </row>
    <row r="5964" spans="1:7" x14ac:dyDescent="0.25">
      <c r="A5964" t="s">
        <v>8</v>
      </c>
      <c r="B5964" s="1" t="str">
        <f>"S6J02M30"</f>
        <v>S6J02M30</v>
      </c>
      <c r="C5964" t="s">
        <v>6122</v>
      </c>
      <c r="D5964" s="1" t="str">
        <f t="shared" si="172"/>
        <v>PRG-1028800</v>
      </c>
      <c r="E5964" t="s">
        <v>821</v>
      </c>
      <c r="F5964" t="s">
        <v>5</v>
      </c>
      <c r="G5964" t="str">
        <f>""</f>
        <v/>
      </c>
    </row>
    <row r="5965" spans="1:7" x14ac:dyDescent="0.25">
      <c r="A5965" t="s">
        <v>8</v>
      </c>
      <c r="B5965" s="1" t="str">
        <f>"S6J02TK0"</f>
        <v>S6J02TK0</v>
      </c>
      <c r="C5965" t="s">
        <v>6123</v>
      </c>
      <c r="D5965" s="1" t="str">
        <f t="shared" si="172"/>
        <v>PRG-1028800</v>
      </c>
      <c r="E5965" t="s">
        <v>821</v>
      </c>
      <c r="F5965" t="s">
        <v>5</v>
      </c>
      <c r="G5965" t="str">
        <f>""</f>
        <v/>
      </c>
    </row>
    <row r="5966" spans="1:7" x14ac:dyDescent="0.25">
      <c r="A5966" t="s">
        <v>8</v>
      </c>
      <c r="B5966" s="1" t="str">
        <f>"S6J02Y30"</f>
        <v>S6J02Y30</v>
      </c>
      <c r="C5966" t="s">
        <v>6124</v>
      </c>
      <c r="D5966" s="1" t="str">
        <f t="shared" si="172"/>
        <v>PRG-1028800</v>
      </c>
      <c r="E5966" t="s">
        <v>821</v>
      </c>
      <c r="F5966" t="s">
        <v>5</v>
      </c>
      <c r="G5966" t="str">
        <f>""</f>
        <v/>
      </c>
    </row>
    <row r="5967" spans="1:7" x14ac:dyDescent="0.25">
      <c r="A5967" t="s">
        <v>8</v>
      </c>
      <c r="B5967" s="1" t="str">
        <f>"S8S00970"</f>
        <v>S8S00970</v>
      </c>
      <c r="C5967" t="s">
        <v>6273</v>
      </c>
      <c r="D5967" s="1" t="str">
        <f t="shared" si="172"/>
        <v>PRG-1028800</v>
      </c>
      <c r="E5967" t="s">
        <v>821</v>
      </c>
      <c r="F5967" t="s">
        <v>5</v>
      </c>
      <c r="G5967" t="str">
        <f>""</f>
        <v/>
      </c>
    </row>
    <row r="5968" spans="1:7" x14ac:dyDescent="0.25">
      <c r="A5968" t="s">
        <v>8</v>
      </c>
      <c r="B5968" s="1" t="str">
        <f>"S9B00770"</f>
        <v>S9B00770</v>
      </c>
      <c r="C5968" t="s">
        <v>6293</v>
      </c>
      <c r="D5968" s="1" t="str">
        <f t="shared" si="172"/>
        <v>PRG-1028800</v>
      </c>
      <c r="E5968" t="s">
        <v>821</v>
      </c>
      <c r="F5968" t="s">
        <v>5</v>
      </c>
      <c r="G5968" t="str">
        <f>""</f>
        <v/>
      </c>
    </row>
    <row r="5969" spans="1:7" x14ac:dyDescent="0.25">
      <c r="A5969" t="s">
        <v>8</v>
      </c>
      <c r="B5969" s="1" t="str">
        <f>"S9B00EJ0"</f>
        <v>S9B00EJ0</v>
      </c>
      <c r="C5969" t="s">
        <v>6297</v>
      </c>
      <c r="D5969" s="1" t="str">
        <f t="shared" si="172"/>
        <v>PRG-1028800</v>
      </c>
      <c r="E5969" t="s">
        <v>821</v>
      </c>
      <c r="F5969" t="s">
        <v>5</v>
      </c>
      <c r="G5969" t="str">
        <f>""</f>
        <v/>
      </c>
    </row>
    <row r="5970" spans="1:7" x14ac:dyDescent="0.25">
      <c r="A5970" t="s">
        <v>8</v>
      </c>
      <c r="B5970" s="1" t="str">
        <f>"S9D00OR0"</f>
        <v>S9D00OR0</v>
      </c>
      <c r="C5970" t="s">
        <v>6339</v>
      </c>
      <c r="D5970" s="1" t="str">
        <f t="shared" si="172"/>
        <v>PRG-1028800</v>
      </c>
      <c r="E5970" t="s">
        <v>821</v>
      </c>
      <c r="F5970" t="s">
        <v>5</v>
      </c>
      <c r="G5970" t="str">
        <f>""</f>
        <v/>
      </c>
    </row>
    <row r="5971" spans="1:7" x14ac:dyDescent="0.25">
      <c r="A5971" t="s">
        <v>8</v>
      </c>
      <c r="B5971" s="1" t="str">
        <f>"S9U004Z0"</f>
        <v>S9U004Z0</v>
      </c>
      <c r="C5971" t="s">
        <v>6375</v>
      </c>
      <c r="D5971" s="1" t="str">
        <f t="shared" si="172"/>
        <v>PRG-1028800</v>
      </c>
      <c r="E5971" t="s">
        <v>821</v>
      </c>
      <c r="F5971" t="s">
        <v>5</v>
      </c>
      <c r="G5971" t="str">
        <f>""</f>
        <v/>
      </c>
    </row>
    <row r="5972" spans="1:7" x14ac:dyDescent="0.25">
      <c r="A5972" t="s">
        <v>8</v>
      </c>
      <c r="B5972" s="1" t="str">
        <f>"000270709 - RICH PROD MTVIEW COOP"</f>
        <v>000270709 - RICH PROD MTVIEW COOP</v>
      </c>
      <c r="C5972" t="s">
        <v>1973</v>
      </c>
      <c r="D5972" s="1" t="str">
        <f>"PRG-1028826"</f>
        <v>PRG-1028826</v>
      </c>
      <c r="E5972" t="s">
        <v>2477</v>
      </c>
      <c r="F5972" t="s">
        <v>4</v>
      </c>
      <c r="G5972" t="str">
        <f>""</f>
        <v/>
      </c>
    </row>
    <row r="5973" spans="1:7" x14ac:dyDescent="0.25">
      <c r="A5973" t="s">
        <v>8</v>
      </c>
      <c r="B5973" s="1" t="str">
        <f>"000267904 - RICH PROD EL DORADO UHSD"</f>
        <v>000267904 - RICH PROD EL DORADO UHSD</v>
      </c>
      <c r="C5973" t="s">
        <v>2426</v>
      </c>
      <c r="D5973" s="1" t="str">
        <f>"PRG-1028827"</f>
        <v>PRG-1028827</v>
      </c>
      <c r="E5973" t="s">
        <v>2427</v>
      </c>
      <c r="F5973" t="s">
        <v>4</v>
      </c>
      <c r="G5973" t="str">
        <f>""</f>
        <v/>
      </c>
    </row>
    <row r="5974" spans="1:7" x14ac:dyDescent="0.25">
      <c r="A5974" t="s">
        <v>8</v>
      </c>
      <c r="B5974" s="1" t="str">
        <f>"2000279191 - RICH PRODUCTS-MESA SD"</f>
        <v>2000279191 - RICH PRODUCTS-MESA SD</v>
      </c>
      <c r="C5974" t="s">
        <v>251</v>
      </c>
      <c r="D5974" s="1" t="str">
        <f>"PRG-1028828"</f>
        <v>PRG-1028828</v>
      </c>
      <c r="E5974" t="s">
        <v>4013</v>
      </c>
      <c r="F5974" t="s">
        <v>4</v>
      </c>
      <c r="G5974" t="str">
        <f>""</f>
        <v/>
      </c>
    </row>
    <row r="5975" spans="1:7" x14ac:dyDescent="0.25">
      <c r="A5975" t="s">
        <v>8</v>
      </c>
      <c r="B5975" s="1" t="str">
        <f>"000292398 - RICH PRODUCTS-APPLEGATE"</f>
        <v>000292398 - RICH PRODUCTS-APPLEGATE</v>
      </c>
      <c r="C5975" t="s">
        <v>2507</v>
      </c>
      <c r="D5975" s="1" t="str">
        <f>"PRG-1028837"</f>
        <v>PRG-1028837</v>
      </c>
      <c r="E5975" t="s">
        <v>2864</v>
      </c>
      <c r="F5975" t="s">
        <v>4</v>
      </c>
      <c r="G5975" t="str">
        <f>""</f>
        <v/>
      </c>
    </row>
    <row r="5976" spans="1:7" x14ac:dyDescent="0.25">
      <c r="A5976" t="s">
        <v>8</v>
      </c>
      <c r="B5976" s="1" t="str">
        <f>"2000286349 - "</f>
        <v xml:space="preserve">2000286349 - </v>
      </c>
      <c r="D5976" s="1" t="str">
        <f>"PRG-1028840"</f>
        <v>PRG-1028840</v>
      </c>
      <c r="E5976" t="s">
        <v>4019</v>
      </c>
      <c r="F5976" t="s">
        <v>4</v>
      </c>
      <c r="G5976" t="str">
        <f>""</f>
        <v/>
      </c>
    </row>
    <row r="5977" spans="1:7" x14ac:dyDescent="0.25">
      <c r="A5977" t="s">
        <v>8</v>
      </c>
      <c r="B5977" s="1" t="str">
        <f>"000242938 - RICH'S-AMHERST"</f>
        <v>000242938 - RICH'S-AMHERST</v>
      </c>
      <c r="C5977" t="s">
        <v>1945</v>
      </c>
      <c r="D5977" s="1" t="str">
        <f>"PRG-1028843"</f>
        <v>PRG-1028843</v>
      </c>
      <c r="E5977" t="s">
        <v>1946</v>
      </c>
      <c r="F5977" t="s">
        <v>4</v>
      </c>
      <c r="G5977" t="str">
        <f>""</f>
        <v/>
      </c>
    </row>
    <row r="5978" spans="1:7" x14ac:dyDescent="0.25">
      <c r="A5978" t="s">
        <v>8</v>
      </c>
      <c r="B5978" s="1" t="str">
        <f>"000298560 - RICH'S COMMANDER B B"</f>
        <v>000298560 - RICH'S COMMANDER B B</v>
      </c>
      <c r="C5978" t="s">
        <v>2941</v>
      </c>
      <c r="D5978" s="1" t="str">
        <f>"PRG-1028846"</f>
        <v>PRG-1028846</v>
      </c>
      <c r="E5978" t="s">
        <v>2942</v>
      </c>
      <c r="F5978" t="s">
        <v>4</v>
      </c>
      <c r="G5978" t="str">
        <f>""</f>
        <v/>
      </c>
    </row>
    <row r="5979" spans="1:7" x14ac:dyDescent="0.25">
      <c r="A5979" t="s">
        <v>8</v>
      </c>
      <c r="B5979" s="1" t="str">
        <f>"000264301 - RICH'S PLACER-NV SCHLS"</f>
        <v>000264301 - RICH'S PLACER-NV SCHLS</v>
      </c>
      <c r="C5979" t="s">
        <v>2003</v>
      </c>
      <c r="D5979" s="1" t="str">
        <f>"PRG-1028868"</f>
        <v>PRG-1028868</v>
      </c>
      <c r="E5979" t="s">
        <v>2357</v>
      </c>
      <c r="F5979" t="s">
        <v>4</v>
      </c>
      <c r="G5979" t="str">
        <f>""</f>
        <v/>
      </c>
    </row>
    <row r="5980" spans="1:7" x14ac:dyDescent="0.25">
      <c r="A5980" t="s">
        <v>8</v>
      </c>
      <c r="B5980" s="1" t="str">
        <f>"000282876 - RICH PRODUCTS  RIPON USD"</f>
        <v>000282876 - RICH PRODUCTS  RIPON USD</v>
      </c>
      <c r="C5980" t="s">
        <v>2675</v>
      </c>
      <c r="D5980" s="1" t="str">
        <f>"PRG-1028870"</f>
        <v>PRG-1028870</v>
      </c>
      <c r="E5980" t="s">
        <v>2676</v>
      </c>
      <c r="F5980" t="s">
        <v>4</v>
      </c>
      <c r="G5980" t="str">
        <f>""</f>
        <v/>
      </c>
    </row>
    <row r="5981" spans="1:7" x14ac:dyDescent="0.25">
      <c r="A5981" t="s">
        <v>8</v>
      </c>
      <c r="B5981" s="1" t="str">
        <f>"000134856 - RICH'S-PD1-ESCOMBIA"</f>
        <v>000134856 - RICH'S-PD1-ESCOMBIA</v>
      </c>
      <c r="C5981" t="s">
        <v>953</v>
      </c>
      <c r="D5981" s="1" t="str">
        <f>"PRG-1028871"</f>
        <v>PRG-1028871</v>
      </c>
      <c r="E5981" t="s">
        <v>954</v>
      </c>
      <c r="F5981" t="s">
        <v>4</v>
      </c>
      <c r="G5981" t="str">
        <f>""</f>
        <v/>
      </c>
    </row>
    <row r="5982" spans="1:7" x14ac:dyDescent="0.25">
      <c r="A5982" t="s">
        <v>8</v>
      </c>
      <c r="B5982" s="1" t="str">
        <f>"000227261 - RICH PRODCUST DUVAL SCHOOL"</f>
        <v>000227261 - RICH PRODCUST DUVAL SCHOOL</v>
      </c>
      <c r="C5982" t="s">
        <v>1704</v>
      </c>
      <c r="D5982" s="1" t="str">
        <f>"PRG-1028873"</f>
        <v>PRG-1028873</v>
      </c>
      <c r="E5982" t="s">
        <v>1705</v>
      </c>
      <c r="F5982" t="s">
        <v>4</v>
      </c>
      <c r="G5982" t="str">
        <f>""</f>
        <v/>
      </c>
    </row>
    <row r="5983" spans="1:7" x14ac:dyDescent="0.25">
      <c r="A5983" t="s">
        <v>8</v>
      </c>
      <c r="B5983" s="1" t="str">
        <f>"2000283154 - RICH-TEXARKANA ISD"</f>
        <v>2000283154 - RICH-TEXARKANA ISD</v>
      </c>
      <c r="C5983" t="s">
        <v>4016</v>
      </c>
      <c r="D5983" s="1" t="str">
        <f>"PRG-1028884"</f>
        <v>PRG-1028884</v>
      </c>
      <c r="E5983" t="s">
        <v>4017</v>
      </c>
      <c r="F5983" t="s">
        <v>4</v>
      </c>
      <c r="G5983" t="str">
        <f>""</f>
        <v/>
      </c>
    </row>
    <row r="5984" spans="1:7" x14ac:dyDescent="0.25">
      <c r="A5984" t="s">
        <v>8</v>
      </c>
      <c r="B5984" s="1" t="str">
        <f>"000017694 - RICH TOPPING-SODEXO"</f>
        <v>000017694 - RICH TOPPING-SODEXO</v>
      </c>
      <c r="C5984" t="s">
        <v>385</v>
      </c>
      <c r="D5984" s="1" t="str">
        <f t="shared" ref="D5984:D6015" si="173">"PRG-1028889"</f>
        <v>PRG-1028889</v>
      </c>
      <c r="E5984" t="s">
        <v>79</v>
      </c>
      <c r="F5984" t="s">
        <v>4</v>
      </c>
      <c r="G5984" t="str">
        <f>""</f>
        <v/>
      </c>
    </row>
    <row r="5985" spans="1:7" x14ac:dyDescent="0.25">
      <c r="A5985" t="s">
        <v>8</v>
      </c>
      <c r="B5985" s="1" t="str">
        <f>"000019400 - RICH TOPPING-SODEXO"</f>
        <v>000019400 - RICH TOPPING-SODEXO</v>
      </c>
      <c r="C5985" t="s">
        <v>385</v>
      </c>
      <c r="D5985" s="1" t="str">
        <f t="shared" si="173"/>
        <v>PRG-1028889</v>
      </c>
      <c r="E5985" t="s">
        <v>79</v>
      </c>
      <c r="F5985" t="s">
        <v>4</v>
      </c>
      <c r="G5985" t="str">
        <f>""</f>
        <v/>
      </c>
    </row>
    <row r="5986" spans="1:7" x14ac:dyDescent="0.25">
      <c r="A5986" t="s">
        <v>8</v>
      </c>
      <c r="B5986" s="1" t="str">
        <f>"000039812 - RICH'S TOPPINGS-SODEXO"</f>
        <v>000039812 - RICH'S TOPPINGS-SODEXO</v>
      </c>
      <c r="C5986" t="s">
        <v>142</v>
      </c>
      <c r="D5986" s="1" t="str">
        <f t="shared" si="173"/>
        <v>PRG-1028889</v>
      </c>
      <c r="E5986" t="s">
        <v>79</v>
      </c>
      <c r="F5986" t="s">
        <v>4</v>
      </c>
      <c r="G5986" t="str">
        <f>""</f>
        <v/>
      </c>
    </row>
    <row r="5987" spans="1:7" x14ac:dyDescent="0.25">
      <c r="A5987" t="s">
        <v>8</v>
      </c>
      <c r="B5987" s="1" t="str">
        <f>"000048054 - RICH'S TOPPINGS-SODEXO"</f>
        <v>000048054 - RICH'S TOPPINGS-SODEXO</v>
      </c>
      <c r="C5987" t="s">
        <v>142</v>
      </c>
      <c r="D5987" s="1" t="str">
        <f t="shared" si="173"/>
        <v>PRG-1028889</v>
      </c>
      <c r="E5987" t="s">
        <v>79</v>
      </c>
      <c r="F5987" t="s">
        <v>4</v>
      </c>
      <c r="G5987" t="str">
        <f>""</f>
        <v/>
      </c>
    </row>
    <row r="5988" spans="1:7" x14ac:dyDescent="0.25">
      <c r="A5988" t="s">
        <v>8</v>
      </c>
      <c r="B5988" s="1" t="str">
        <f>"000078990 - RICH TOPPING-SODEXO"</f>
        <v>000078990 - RICH TOPPING-SODEXO</v>
      </c>
      <c r="C5988" t="s">
        <v>385</v>
      </c>
      <c r="D5988" s="1" t="str">
        <f t="shared" si="173"/>
        <v>PRG-1028889</v>
      </c>
      <c r="E5988" t="s">
        <v>79</v>
      </c>
      <c r="F5988" t="s">
        <v>4</v>
      </c>
      <c r="G5988" t="str">
        <f>""</f>
        <v/>
      </c>
    </row>
    <row r="5989" spans="1:7" x14ac:dyDescent="0.25">
      <c r="A5989" t="s">
        <v>8</v>
      </c>
      <c r="B5989" s="1" t="str">
        <f>"000093108 - RICH TOPPING-SODEXO"</f>
        <v>000093108 - RICH TOPPING-SODEXO</v>
      </c>
      <c r="C5989" t="s">
        <v>385</v>
      </c>
      <c r="D5989" s="1" t="str">
        <f t="shared" si="173"/>
        <v>PRG-1028889</v>
      </c>
      <c r="E5989" t="s">
        <v>79</v>
      </c>
      <c r="F5989" t="s">
        <v>4</v>
      </c>
      <c r="G5989" t="str">
        <f>""</f>
        <v/>
      </c>
    </row>
    <row r="5990" spans="1:7" x14ac:dyDescent="0.25">
      <c r="A5990" t="s">
        <v>8</v>
      </c>
      <c r="B5990" s="1" t="str">
        <f>"000101613 - RICH TOPPING-SODEXO"</f>
        <v>000101613 - RICH TOPPING-SODEXO</v>
      </c>
      <c r="C5990" t="s">
        <v>385</v>
      </c>
      <c r="D5990" s="1" t="str">
        <f t="shared" si="173"/>
        <v>PRG-1028889</v>
      </c>
      <c r="E5990" t="s">
        <v>79</v>
      </c>
      <c r="F5990" t="s">
        <v>4</v>
      </c>
      <c r="G5990" t="str">
        <f>""</f>
        <v/>
      </c>
    </row>
    <row r="5991" spans="1:7" x14ac:dyDescent="0.25">
      <c r="A5991" t="s">
        <v>8</v>
      </c>
      <c r="B5991" s="1" t="str">
        <f>"000106523 - RICH'S TOPPINGS-SODEXO"</f>
        <v>000106523 - RICH'S TOPPINGS-SODEXO</v>
      </c>
      <c r="C5991" t="s">
        <v>142</v>
      </c>
      <c r="D5991" s="1" t="str">
        <f t="shared" si="173"/>
        <v>PRG-1028889</v>
      </c>
      <c r="E5991" t="s">
        <v>79</v>
      </c>
      <c r="F5991" t="s">
        <v>4</v>
      </c>
      <c r="G5991" t="str">
        <f>""</f>
        <v/>
      </c>
    </row>
    <row r="5992" spans="1:7" x14ac:dyDescent="0.25">
      <c r="A5992" t="s">
        <v>8</v>
      </c>
      <c r="B5992" s="1" t="str">
        <f>"000109964 - RICH TOPPING-SODEXO"</f>
        <v>000109964 - RICH TOPPING-SODEXO</v>
      </c>
      <c r="C5992" t="s">
        <v>385</v>
      </c>
      <c r="D5992" s="1" t="str">
        <f t="shared" si="173"/>
        <v>PRG-1028889</v>
      </c>
      <c r="E5992" t="s">
        <v>79</v>
      </c>
      <c r="F5992" t="s">
        <v>4</v>
      </c>
      <c r="G5992" t="str">
        <f>""</f>
        <v/>
      </c>
    </row>
    <row r="5993" spans="1:7" x14ac:dyDescent="0.25">
      <c r="A5993" t="s">
        <v>8</v>
      </c>
      <c r="B5993" s="1" t="str">
        <f>"000115150 - "</f>
        <v xml:space="preserve">000115150 - </v>
      </c>
      <c r="D5993" s="1" t="str">
        <f t="shared" si="173"/>
        <v>PRG-1028889</v>
      </c>
      <c r="E5993" t="s">
        <v>79</v>
      </c>
      <c r="F5993" t="s">
        <v>4</v>
      </c>
      <c r="G5993" t="str">
        <f>""</f>
        <v/>
      </c>
    </row>
    <row r="5994" spans="1:7" x14ac:dyDescent="0.25">
      <c r="A5994" t="s">
        <v>8</v>
      </c>
      <c r="B5994" s="1" t="str">
        <f>"000115750 - RICH'S TOPPINGS-SODEXO"</f>
        <v>000115750 - RICH'S TOPPINGS-SODEXO</v>
      </c>
      <c r="C5994" t="s">
        <v>142</v>
      </c>
      <c r="D5994" s="1" t="str">
        <f t="shared" si="173"/>
        <v>PRG-1028889</v>
      </c>
      <c r="E5994" t="s">
        <v>79</v>
      </c>
      <c r="F5994" t="s">
        <v>4</v>
      </c>
      <c r="G5994" t="str">
        <f>""</f>
        <v/>
      </c>
    </row>
    <row r="5995" spans="1:7" x14ac:dyDescent="0.25">
      <c r="A5995" t="s">
        <v>8</v>
      </c>
      <c r="B5995" s="1" t="str">
        <f>"000128716 - RICH'S TOPPINGS-SODEXO"</f>
        <v>000128716 - RICH'S TOPPINGS-SODEXO</v>
      </c>
      <c r="C5995" t="s">
        <v>142</v>
      </c>
      <c r="D5995" s="1" t="str">
        <f t="shared" si="173"/>
        <v>PRG-1028889</v>
      </c>
      <c r="E5995" t="s">
        <v>79</v>
      </c>
      <c r="F5995" t="s">
        <v>4</v>
      </c>
      <c r="G5995" t="str">
        <f>""</f>
        <v/>
      </c>
    </row>
    <row r="5996" spans="1:7" x14ac:dyDescent="0.25">
      <c r="A5996" t="s">
        <v>8</v>
      </c>
      <c r="B5996" s="1" t="str">
        <f>"000137367 - RICH'S TOPPINGS-SODEXO"</f>
        <v>000137367 - RICH'S TOPPINGS-SODEXO</v>
      </c>
      <c r="C5996" t="s">
        <v>142</v>
      </c>
      <c r="D5996" s="1" t="str">
        <f t="shared" si="173"/>
        <v>PRG-1028889</v>
      </c>
      <c r="E5996" t="s">
        <v>79</v>
      </c>
      <c r="F5996" t="s">
        <v>4</v>
      </c>
      <c r="G5996" t="str">
        <f>""</f>
        <v/>
      </c>
    </row>
    <row r="5997" spans="1:7" x14ac:dyDescent="0.25">
      <c r="A5997" t="s">
        <v>8</v>
      </c>
      <c r="B5997" s="1" t="str">
        <f>"000164735 - RICH TOPPING-SODEXO"</f>
        <v>000164735 - RICH TOPPING-SODEXO</v>
      </c>
      <c r="C5997" t="s">
        <v>385</v>
      </c>
      <c r="D5997" s="1" t="str">
        <f t="shared" si="173"/>
        <v>PRG-1028889</v>
      </c>
      <c r="E5997" t="s">
        <v>79</v>
      </c>
      <c r="F5997" t="s">
        <v>4</v>
      </c>
      <c r="G5997" t="str">
        <f>""</f>
        <v/>
      </c>
    </row>
    <row r="5998" spans="1:7" x14ac:dyDescent="0.25">
      <c r="A5998" t="s">
        <v>8</v>
      </c>
      <c r="B5998" s="1" t="str">
        <f>"000165996 - RICH'S TOPPINGS-SODEXO"</f>
        <v>000165996 - RICH'S TOPPINGS-SODEXO</v>
      </c>
      <c r="C5998" t="s">
        <v>142</v>
      </c>
      <c r="D5998" s="1" t="str">
        <f t="shared" si="173"/>
        <v>PRG-1028889</v>
      </c>
      <c r="E5998" t="s">
        <v>79</v>
      </c>
      <c r="F5998" t="s">
        <v>4</v>
      </c>
      <c r="G5998" t="str">
        <f>""</f>
        <v/>
      </c>
    </row>
    <row r="5999" spans="1:7" x14ac:dyDescent="0.25">
      <c r="A5999" t="s">
        <v>8</v>
      </c>
      <c r="B5999" s="1" t="str">
        <f>"000175320 - RICH'S TOPPINGS-SODEXO"</f>
        <v>000175320 - RICH'S TOPPINGS-SODEXO</v>
      </c>
      <c r="C5999" t="s">
        <v>142</v>
      </c>
      <c r="D5999" s="1" t="str">
        <f t="shared" si="173"/>
        <v>PRG-1028889</v>
      </c>
      <c r="E5999" t="s">
        <v>79</v>
      </c>
      <c r="F5999" t="s">
        <v>4</v>
      </c>
      <c r="G5999" t="str">
        <f>""</f>
        <v/>
      </c>
    </row>
    <row r="6000" spans="1:7" x14ac:dyDescent="0.25">
      <c r="A6000" t="s">
        <v>8</v>
      </c>
      <c r="B6000" s="1" t="str">
        <f>"000191102 - RICH TOPPING-SODEXO"</f>
        <v>000191102 - RICH TOPPING-SODEXO</v>
      </c>
      <c r="C6000" t="s">
        <v>385</v>
      </c>
      <c r="D6000" s="1" t="str">
        <f t="shared" si="173"/>
        <v>PRG-1028889</v>
      </c>
      <c r="E6000" t="s">
        <v>79</v>
      </c>
      <c r="F6000" t="s">
        <v>4</v>
      </c>
      <c r="G6000" t="str">
        <f>""</f>
        <v/>
      </c>
    </row>
    <row r="6001" spans="1:7" x14ac:dyDescent="0.25">
      <c r="A6001" t="s">
        <v>8</v>
      </c>
      <c r="B6001" s="1" t="str">
        <f>"000192005 - RICH TOPPING-SODEXO"</f>
        <v>000192005 - RICH TOPPING-SODEXO</v>
      </c>
      <c r="C6001" t="s">
        <v>385</v>
      </c>
      <c r="D6001" s="1" t="str">
        <f t="shared" si="173"/>
        <v>PRG-1028889</v>
      </c>
      <c r="E6001" t="s">
        <v>79</v>
      </c>
      <c r="F6001" t="s">
        <v>4</v>
      </c>
      <c r="G6001" t="str">
        <f>""</f>
        <v/>
      </c>
    </row>
    <row r="6002" spans="1:7" x14ac:dyDescent="0.25">
      <c r="A6002" t="s">
        <v>8</v>
      </c>
      <c r="B6002" s="1" t="str">
        <f>"000192096 - RICH TOPPING-SODEXO"</f>
        <v>000192096 - RICH TOPPING-SODEXO</v>
      </c>
      <c r="C6002" t="s">
        <v>385</v>
      </c>
      <c r="D6002" s="1" t="str">
        <f t="shared" si="173"/>
        <v>PRG-1028889</v>
      </c>
      <c r="E6002" t="s">
        <v>79</v>
      </c>
      <c r="F6002" t="s">
        <v>4</v>
      </c>
      <c r="G6002" t="str">
        <f>""</f>
        <v/>
      </c>
    </row>
    <row r="6003" spans="1:7" x14ac:dyDescent="0.25">
      <c r="A6003" t="s">
        <v>8</v>
      </c>
      <c r="B6003" s="1" t="str">
        <f>"000193221 - RICH TOPPING-SODEXO"</f>
        <v>000193221 - RICH TOPPING-SODEXO</v>
      </c>
      <c r="C6003" t="s">
        <v>385</v>
      </c>
      <c r="D6003" s="1" t="str">
        <f t="shared" si="173"/>
        <v>PRG-1028889</v>
      </c>
      <c r="E6003" t="s">
        <v>79</v>
      </c>
      <c r="F6003" t="s">
        <v>4</v>
      </c>
      <c r="G6003" t="str">
        <f>""</f>
        <v/>
      </c>
    </row>
    <row r="6004" spans="1:7" x14ac:dyDescent="0.25">
      <c r="A6004" t="s">
        <v>8</v>
      </c>
      <c r="B6004" s="1" t="str">
        <f>"000194372 - RICH TOPPING-SODEXO"</f>
        <v>000194372 - RICH TOPPING-SODEXO</v>
      </c>
      <c r="C6004" t="s">
        <v>385</v>
      </c>
      <c r="D6004" s="1" t="str">
        <f t="shared" si="173"/>
        <v>PRG-1028889</v>
      </c>
      <c r="E6004" t="s">
        <v>79</v>
      </c>
      <c r="F6004" t="s">
        <v>4</v>
      </c>
      <c r="G6004" t="str">
        <f>""</f>
        <v/>
      </c>
    </row>
    <row r="6005" spans="1:7" x14ac:dyDescent="0.25">
      <c r="A6005" t="s">
        <v>8</v>
      </c>
      <c r="B6005" s="1" t="str">
        <f>"000195473 - RICH'S TOPPINGS-SODEXO"</f>
        <v>000195473 - RICH'S TOPPINGS-SODEXO</v>
      </c>
      <c r="C6005" t="s">
        <v>142</v>
      </c>
      <c r="D6005" s="1" t="str">
        <f t="shared" si="173"/>
        <v>PRG-1028889</v>
      </c>
      <c r="E6005" t="s">
        <v>79</v>
      </c>
      <c r="F6005" t="s">
        <v>4</v>
      </c>
      <c r="G6005" t="str">
        <f>""</f>
        <v/>
      </c>
    </row>
    <row r="6006" spans="1:7" x14ac:dyDescent="0.25">
      <c r="A6006" t="s">
        <v>8</v>
      </c>
      <c r="B6006" s="1" t="str">
        <f>"000196173 - RICH'S TOPPINGS-SODEXO"</f>
        <v>000196173 - RICH'S TOPPINGS-SODEXO</v>
      </c>
      <c r="C6006" t="s">
        <v>142</v>
      </c>
      <c r="D6006" s="1" t="str">
        <f t="shared" si="173"/>
        <v>PRG-1028889</v>
      </c>
      <c r="E6006" t="s">
        <v>79</v>
      </c>
      <c r="F6006" t="s">
        <v>4</v>
      </c>
      <c r="G6006" t="str">
        <f>""</f>
        <v/>
      </c>
    </row>
    <row r="6007" spans="1:7" x14ac:dyDescent="0.25">
      <c r="A6007" t="s">
        <v>8</v>
      </c>
      <c r="B6007" s="1" t="str">
        <f>"000199511 - RICH TOPPING-SODEXO"</f>
        <v>000199511 - RICH TOPPING-SODEXO</v>
      </c>
      <c r="C6007" t="s">
        <v>385</v>
      </c>
      <c r="D6007" s="1" t="str">
        <f t="shared" si="173"/>
        <v>PRG-1028889</v>
      </c>
      <c r="E6007" t="s">
        <v>79</v>
      </c>
      <c r="F6007" t="s">
        <v>4</v>
      </c>
      <c r="G6007" t="str">
        <f>""</f>
        <v/>
      </c>
    </row>
    <row r="6008" spans="1:7" x14ac:dyDescent="0.25">
      <c r="A6008" t="s">
        <v>8</v>
      </c>
      <c r="B6008" s="1" t="str">
        <f>"000200135 - BB SODEXO FOB RICH TOPPINGS"</f>
        <v>000200135 - BB SODEXO FOB RICH TOPPINGS</v>
      </c>
      <c r="C6008" t="s">
        <v>1300</v>
      </c>
      <c r="D6008" s="1" t="str">
        <f t="shared" si="173"/>
        <v>PRG-1028889</v>
      </c>
      <c r="E6008" t="s">
        <v>79</v>
      </c>
      <c r="F6008" t="s">
        <v>4</v>
      </c>
      <c r="G6008" t="str">
        <f>""</f>
        <v/>
      </c>
    </row>
    <row r="6009" spans="1:7" x14ac:dyDescent="0.25">
      <c r="A6009" t="s">
        <v>8</v>
      </c>
      <c r="B6009" s="1" t="str">
        <f>"000202572 - RICH'S TOPPINGS-SODEXO"</f>
        <v>000202572 - RICH'S TOPPINGS-SODEXO</v>
      </c>
      <c r="C6009" t="s">
        <v>142</v>
      </c>
      <c r="D6009" s="1" t="str">
        <f t="shared" si="173"/>
        <v>PRG-1028889</v>
      </c>
      <c r="E6009" t="s">
        <v>79</v>
      </c>
      <c r="F6009" t="s">
        <v>4</v>
      </c>
      <c r="G6009" t="str">
        <f>""</f>
        <v/>
      </c>
    </row>
    <row r="6010" spans="1:7" x14ac:dyDescent="0.25">
      <c r="A6010" t="s">
        <v>8</v>
      </c>
      <c r="B6010" s="1" t="str">
        <f>"000203901 - RICH TOPPING-SODEXO"</f>
        <v>000203901 - RICH TOPPING-SODEXO</v>
      </c>
      <c r="C6010" t="s">
        <v>385</v>
      </c>
      <c r="D6010" s="1" t="str">
        <f t="shared" si="173"/>
        <v>PRG-1028889</v>
      </c>
      <c r="E6010" t="s">
        <v>79</v>
      </c>
      <c r="F6010" t="s">
        <v>4</v>
      </c>
      <c r="G6010" t="str">
        <f>""</f>
        <v/>
      </c>
    </row>
    <row r="6011" spans="1:7" x14ac:dyDescent="0.25">
      <c r="A6011" t="s">
        <v>8</v>
      </c>
      <c r="B6011" s="1" t="str">
        <f>"000204139 - RICH TOPPING-SODEXO"</f>
        <v>000204139 - RICH TOPPING-SODEXO</v>
      </c>
      <c r="C6011" t="s">
        <v>385</v>
      </c>
      <c r="D6011" s="1" t="str">
        <f t="shared" si="173"/>
        <v>PRG-1028889</v>
      </c>
      <c r="E6011" t="s">
        <v>79</v>
      </c>
      <c r="F6011" t="s">
        <v>4</v>
      </c>
      <c r="G6011" t="str">
        <f>""</f>
        <v/>
      </c>
    </row>
    <row r="6012" spans="1:7" x14ac:dyDescent="0.25">
      <c r="A6012" t="s">
        <v>8</v>
      </c>
      <c r="B6012" s="1" t="str">
        <f>"000204579 - RICH TOPPING-SODEXO"</f>
        <v>000204579 - RICH TOPPING-SODEXO</v>
      </c>
      <c r="C6012" t="s">
        <v>385</v>
      </c>
      <c r="D6012" s="1" t="str">
        <f t="shared" si="173"/>
        <v>PRG-1028889</v>
      </c>
      <c r="E6012" t="s">
        <v>79</v>
      </c>
      <c r="F6012" t="s">
        <v>4</v>
      </c>
      <c r="G6012" t="str">
        <f>""</f>
        <v/>
      </c>
    </row>
    <row r="6013" spans="1:7" x14ac:dyDescent="0.25">
      <c r="A6013" t="s">
        <v>8</v>
      </c>
      <c r="B6013" s="1" t="str">
        <f>"000209117 - RICH TOPPING-SODEXO"</f>
        <v>000209117 - RICH TOPPING-SODEXO</v>
      </c>
      <c r="C6013" t="s">
        <v>385</v>
      </c>
      <c r="D6013" s="1" t="str">
        <f t="shared" si="173"/>
        <v>PRG-1028889</v>
      </c>
      <c r="E6013" t="s">
        <v>79</v>
      </c>
      <c r="F6013" t="s">
        <v>4</v>
      </c>
      <c r="G6013" t="str">
        <f>""</f>
        <v/>
      </c>
    </row>
    <row r="6014" spans="1:7" x14ac:dyDescent="0.25">
      <c r="A6014" t="s">
        <v>8</v>
      </c>
      <c r="B6014" s="1" t="str">
        <f>"000213180 - RICH TOPPING-SODEXO"</f>
        <v>000213180 - RICH TOPPING-SODEXO</v>
      </c>
      <c r="C6014" t="s">
        <v>385</v>
      </c>
      <c r="D6014" s="1" t="str">
        <f t="shared" si="173"/>
        <v>PRG-1028889</v>
      </c>
      <c r="E6014" t="s">
        <v>79</v>
      </c>
      <c r="F6014" t="s">
        <v>4</v>
      </c>
      <c r="G6014" t="str">
        <f>""</f>
        <v/>
      </c>
    </row>
    <row r="6015" spans="1:7" x14ac:dyDescent="0.25">
      <c r="A6015" t="s">
        <v>8</v>
      </c>
      <c r="B6015" s="1" t="str">
        <f>"000213532 - RICH TOPPING-SODEXO"</f>
        <v>000213532 - RICH TOPPING-SODEXO</v>
      </c>
      <c r="C6015" t="s">
        <v>385</v>
      </c>
      <c r="D6015" s="1" t="str">
        <f t="shared" si="173"/>
        <v>PRG-1028889</v>
      </c>
      <c r="E6015" t="s">
        <v>79</v>
      </c>
      <c r="F6015" t="s">
        <v>4</v>
      </c>
      <c r="G6015" t="str">
        <f>""</f>
        <v/>
      </c>
    </row>
    <row r="6016" spans="1:7" x14ac:dyDescent="0.25">
      <c r="A6016" t="s">
        <v>8</v>
      </c>
      <c r="B6016" s="1" t="str">
        <f>"000215500 - RICH'S TOPPINGS-SODEXO"</f>
        <v>000215500 - RICH'S TOPPINGS-SODEXO</v>
      </c>
      <c r="C6016" t="s">
        <v>142</v>
      </c>
      <c r="D6016" s="1" t="str">
        <f t="shared" ref="D6016:D6047" si="174">"PRG-1028889"</f>
        <v>PRG-1028889</v>
      </c>
      <c r="E6016" t="s">
        <v>79</v>
      </c>
      <c r="F6016" t="s">
        <v>4</v>
      </c>
      <c r="G6016" t="str">
        <f>""</f>
        <v/>
      </c>
    </row>
    <row r="6017" spans="1:7" x14ac:dyDescent="0.25">
      <c r="A6017" t="s">
        <v>8</v>
      </c>
      <c r="B6017" s="1" t="str">
        <f>"000215657 - BB SODEXO FOB RICH TOPPINGS"</f>
        <v>000215657 - BB SODEXO FOB RICH TOPPINGS</v>
      </c>
      <c r="C6017" t="s">
        <v>1300</v>
      </c>
      <c r="D6017" s="1" t="str">
        <f t="shared" si="174"/>
        <v>PRG-1028889</v>
      </c>
      <c r="E6017" t="s">
        <v>79</v>
      </c>
      <c r="F6017" t="s">
        <v>4</v>
      </c>
      <c r="G6017" t="str">
        <f>""</f>
        <v/>
      </c>
    </row>
    <row r="6018" spans="1:7" x14ac:dyDescent="0.25">
      <c r="A6018" t="s">
        <v>8</v>
      </c>
      <c r="B6018" s="1" t="str">
        <f>"000215796 - RICH'S TOPPINGS-SODEXO"</f>
        <v>000215796 - RICH'S TOPPINGS-SODEXO</v>
      </c>
      <c r="C6018" t="s">
        <v>142</v>
      </c>
      <c r="D6018" s="1" t="str">
        <f t="shared" si="174"/>
        <v>PRG-1028889</v>
      </c>
      <c r="E6018" t="s">
        <v>79</v>
      </c>
      <c r="F6018" t="s">
        <v>4</v>
      </c>
      <c r="G6018" t="str">
        <f>""</f>
        <v/>
      </c>
    </row>
    <row r="6019" spans="1:7" x14ac:dyDescent="0.25">
      <c r="A6019" t="s">
        <v>8</v>
      </c>
      <c r="B6019" s="1" t="str">
        <f>"000216311 - RICH'S TOPPINGS-SODEXO"</f>
        <v>000216311 - RICH'S TOPPINGS-SODEXO</v>
      </c>
      <c r="C6019" t="s">
        <v>142</v>
      </c>
      <c r="D6019" s="1" t="str">
        <f t="shared" si="174"/>
        <v>PRG-1028889</v>
      </c>
      <c r="E6019" t="s">
        <v>79</v>
      </c>
      <c r="F6019" t="s">
        <v>4</v>
      </c>
      <c r="G6019" t="str">
        <f>""</f>
        <v/>
      </c>
    </row>
    <row r="6020" spans="1:7" x14ac:dyDescent="0.25">
      <c r="A6020" t="s">
        <v>8</v>
      </c>
      <c r="B6020" s="1" t="str">
        <f>"000216388 - RICH TOPPING-SODEXO"</f>
        <v>000216388 - RICH TOPPING-SODEXO</v>
      </c>
      <c r="C6020" t="s">
        <v>385</v>
      </c>
      <c r="D6020" s="1" t="str">
        <f t="shared" si="174"/>
        <v>PRG-1028889</v>
      </c>
      <c r="E6020" t="s">
        <v>79</v>
      </c>
      <c r="F6020" t="s">
        <v>4</v>
      </c>
      <c r="G6020" t="str">
        <f>""</f>
        <v/>
      </c>
    </row>
    <row r="6021" spans="1:7" x14ac:dyDescent="0.25">
      <c r="A6021" t="s">
        <v>8</v>
      </c>
      <c r="B6021" s="1" t="str">
        <f>"000217642 - RICH TOPPING-SODEXO"</f>
        <v>000217642 - RICH TOPPING-SODEXO</v>
      </c>
      <c r="C6021" t="s">
        <v>385</v>
      </c>
      <c r="D6021" s="1" t="str">
        <f t="shared" si="174"/>
        <v>PRG-1028889</v>
      </c>
      <c r="E6021" t="s">
        <v>79</v>
      </c>
      <c r="F6021" t="s">
        <v>4</v>
      </c>
      <c r="G6021" t="str">
        <f>""</f>
        <v/>
      </c>
    </row>
    <row r="6022" spans="1:7" x14ac:dyDescent="0.25">
      <c r="A6022" t="s">
        <v>8</v>
      </c>
      <c r="B6022" s="1" t="str">
        <f>"000219108 - RICH TOPPING-SODEXO"</f>
        <v>000219108 - RICH TOPPING-SODEXO</v>
      </c>
      <c r="C6022" t="s">
        <v>385</v>
      </c>
      <c r="D6022" s="1" t="str">
        <f t="shared" si="174"/>
        <v>PRG-1028889</v>
      </c>
      <c r="E6022" t="s">
        <v>79</v>
      </c>
      <c r="F6022" t="s">
        <v>4</v>
      </c>
      <c r="G6022" t="str">
        <f>""</f>
        <v/>
      </c>
    </row>
    <row r="6023" spans="1:7" x14ac:dyDescent="0.25">
      <c r="A6023" t="s">
        <v>8</v>
      </c>
      <c r="B6023" s="1" t="str">
        <f>"000220916 - RICH TOPPING-SODEXO"</f>
        <v>000220916 - RICH TOPPING-SODEXO</v>
      </c>
      <c r="C6023" t="s">
        <v>385</v>
      </c>
      <c r="D6023" s="1" t="str">
        <f t="shared" si="174"/>
        <v>PRG-1028889</v>
      </c>
      <c r="E6023" t="s">
        <v>79</v>
      </c>
      <c r="F6023" t="s">
        <v>4</v>
      </c>
      <c r="G6023" t="str">
        <f>""</f>
        <v/>
      </c>
    </row>
    <row r="6024" spans="1:7" x14ac:dyDescent="0.25">
      <c r="A6024" t="s">
        <v>8</v>
      </c>
      <c r="B6024" s="1" t="str">
        <f>"000222250 - RICH TOPPING-SODEXO"</f>
        <v>000222250 - RICH TOPPING-SODEXO</v>
      </c>
      <c r="C6024" t="s">
        <v>385</v>
      </c>
      <c r="D6024" s="1" t="str">
        <f t="shared" si="174"/>
        <v>PRG-1028889</v>
      </c>
      <c r="E6024" t="s">
        <v>79</v>
      </c>
      <c r="F6024" t="s">
        <v>4</v>
      </c>
      <c r="G6024" t="str">
        <f>""</f>
        <v/>
      </c>
    </row>
    <row r="6025" spans="1:7" x14ac:dyDescent="0.25">
      <c r="A6025" t="s">
        <v>8</v>
      </c>
      <c r="B6025" s="1" t="str">
        <f>"000222404 - RICH'S TOPPINGS-SODEXO"</f>
        <v>000222404 - RICH'S TOPPINGS-SODEXO</v>
      </c>
      <c r="C6025" t="s">
        <v>142</v>
      </c>
      <c r="D6025" s="1" t="str">
        <f t="shared" si="174"/>
        <v>PRG-1028889</v>
      </c>
      <c r="E6025" t="s">
        <v>79</v>
      </c>
      <c r="F6025" t="s">
        <v>4</v>
      </c>
      <c r="G6025" t="str">
        <f>""</f>
        <v/>
      </c>
    </row>
    <row r="6026" spans="1:7" x14ac:dyDescent="0.25">
      <c r="A6026" t="s">
        <v>8</v>
      </c>
      <c r="B6026" s="1" t="str">
        <f>"000223351 - RICH TOPPING-SODEXO"</f>
        <v>000223351 - RICH TOPPING-SODEXO</v>
      </c>
      <c r="C6026" t="s">
        <v>385</v>
      </c>
      <c r="D6026" s="1" t="str">
        <f t="shared" si="174"/>
        <v>PRG-1028889</v>
      </c>
      <c r="E6026" t="s">
        <v>79</v>
      </c>
      <c r="F6026" t="s">
        <v>4</v>
      </c>
      <c r="G6026" t="str">
        <f>""</f>
        <v/>
      </c>
    </row>
    <row r="6027" spans="1:7" x14ac:dyDescent="0.25">
      <c r="A6027" t="s">
        <v>8</v>
      </c>
      <c r="B6027" s="1" t="str">
        <f>"000223700 - RICH TOPPING-SODEXO"</f>
        <v>000223700 - RICH TOPPING-SODEXO</v>
      </c>
      <c r="C6027" t="s">
        <v>385</v>
      </c>
      <c r="D6027" s="1" t="str">
        <f t="shared" si="174"/>
        <v>PRG-1028889</v>
      </c>
      <c r="E6027" t="s">
        <v>79</v>
      </c>
      <c r="F6027" t="s">
        <v>4</v>
      </c>
      <c r="G6027" t="str">
        <f>""</f>
        <v/>
      </c>
    </row>
    <row r="6028" spans="1:7" x14ac:dyDescent="0.25">
      <c r="A6028" t="s">
        <v>8</v>
      </c>
      <c r="B6028" s="1" t="str">
        <f>"000225272 - RICH'S TOPPINGS-SODEXO"</f>
        <v>000225272 - RICH'S TOPPINGS-SODEXO</v>
      </c>
      <c r="C6028" t="s">
        <v>142</v>
      </c>
      <c r="D6028" s="1" t="str">
        <f t="shared" si="174"/>
        <v>PRG-1028889</v>
      </c>
      <c r="E6028" t="s">
        <v>79</v>
      </c>
      <c r="F6028" t="s">
        <v>4</v>
      </c>
      <c r="G6028" t="str">
        <f>""</f>
        <v/>
      </c>
    </row>
    <row r="6029" spans="1:7" x14ac:dyDescent="0.25">
      <c r="A6029" t="s">
        <v>8</v>
      </c>
      <c r="B6029" s="1" t="str">
        <f>"000226025 - RICH'S TOPPINGS-SODEXO"</f>
        <v>000226025 - RICH'S TOPPINGS-SODEXO</v>
      </c>
      <c r="C6029" t="s">
        <v>142</v>
      </c>
      <c r="D6029" s="1" t="str">
        <f t="shared" si="174"/>
        <v>PRG-1028889</v>
      </c>
      <c r="E6029" t="s">
        <v>79</v>
      </c>
      <c r="F6029" t="s">
        <v>4</v>
      </c>
      <c r="G6029" t="str">
        <f>""</f>
        <v/>
      </c>
    </row>
    <row r="6030" spans="1:7" x14ac:dyDescent="0.25">
      <c r="A6030" t="s">
        <v>8</v>
      </c>
      <c r="B6030" s="1" t="str">
        <f>"000227174 - RICH'S TOPPINGS-SODEXO"</f>
        <v>000227174 - RICH'S TOPPINGS-SODEXO</v>
      </c>
      <c r="C6030" t="s">
        <v>142</v>
      </c>
      <c r="D6030" s="1" t="str">
        <f t="shared" si="174"/>
        <v>PRG-1028889</v>
      </c>
      <c r="E6030" t="s">
        <v>79</v>
      </c>
      <c r="F6030" t="s">
        <v>4</v>
      </c>
      <c r="G6030" t="str">
        <f>""</f>
        <v/>
      </c>
    </row>
    <row r="6031" spans="1:7" x14ac:dyDescent="0.25">
      <c r="A6031" t="s">
        <v>8</v>
      </c>
      <c r="B6031" s="1" t="str">
        <f>"000227568 - RICH'S TOPPINGS-SODEXO"</f>
        <v>000227568 - RICH'S TOPPINGS-SODEXO</v>
      </c>
      <c r="C6031" t="s">
        <v>142</v>
      </c>
      <c r="D6031" s="1" t="str">
        <f t="shared" si="174"/>
        <v>PRG-1028889</v>
      </c>
      <c r="E6031" t="s">
        <v>79</v>
      </c>
      <c r="F6031" t="s">
        <v>4</v>
      </c>
      <c r="G6031" t="str">
        <f>""</f>
        <v/>
      </c>
    </row>
    <row r="6032" spans="1:7" x14ac:dyDescent="0.25">
      <c r="A6032" t="s">
        <v>8</v>
      </c>
      <c r="B6032" s="1" t="str">
        <f>"000228794 - RICH'S TOPPINGS-SODEXO"</f>
        <v>000228794 - RICH'S TOPPINGS-SODEXO</v>
      </c>
      <c r="C6032" t="s">
        <v>142</v>
      </c>
      <c r="D6032" s="1" t="str">
        <f t="shared" si="174"/>
        <v>PRG-1028889</v>
      </c>
      <c r="E6032" t="s">
        <v>79</v>
      </c>
      <c r="F6032" t="s">
        <v>4</v>
      </c>
      <c r="G6032" t="str">
        <f>""</f>
        <v/>
      </c>
    </row>
    <row r="6033" spans="1:7" x14ac:dyDescent="0.25">
      <c r="A6033" t="s">
        <v>8</v>
      </c>
      <c r="B6033" s="1" t="str">
        <f>"000232159 - Richs Toppings-Sodexo"</f>
        <v>000232159 - Richs Toppings-Sodexo</v>
      </c>
      <c r="C6033" t="s">
        <v>1776</v>
      </c>
      <c r="D6033" s="1" t="str">
        <f t="shared" si="174"/>
        <v>PRG-1028889</v>
      </c>
      <c r="E6033" t="s">
        <v>79</v>
      </c>
      <c r="F6033" t="s">
        <v>4</v>
      </c>
      <c r="G6033" t="str">
        <f>""</f>
        <v/>
      </c>
    </row>
    <row r="6034" spans="1:7" x14ac:dyDescent="0.25">
      <c r="A6034" t="s">
        <v>8</v>
      </c>
      <c r="B6034" s="1" t="str">
        <f>"000232710 - RICH'S TOPPINGS-SODEXO"</f>
        <v>000232710 - RICH'S TOPPINGS-SODEXO</v>
      </c>
      <c r="C6034" t="s">
        <v>142</v>
      </c>
      <c r="D6034" s="1" t="str">
        <f t="shared" si="174"/>
        <v>PRG-1028889</v>
      </c>
      <c r="E6034" t="s">
        <v>79</v>
      </c>
      <c r="F6034" t="s">
        <v>4</v>
      </c>
      <c r="G6034" t="str">
        <f>""</f>
        <v/>
      </c>
    </row>
    <row r="6035" spans="1:7" x14ac:dyDescent="0.25">
      <c r="A6035" t="s">
        <v>8</v>
      </c>
      <c r="B6035" s="1" t="str">
        <f>"000233551 - RICH TOPPING-SODEXO"</f>
        <v>000233551 - RICH TOPPING-SODEXO</v>
      </c>
      <c r="C6035" t="s">
        <v>385</v>
      </c>
      <c r="D6035" s="1" t="str">
        <f t="shared" si="174"/>
        <v>PRG-1028889</v>
      </c>
      <c r="E6035" t="s">
        <v>79</v>
      </c>
      <c r="F6035" t="s">
        <v>4</v>
      </c>
      <c r="G6035" t="str">
        <f>""</f>
        <v/>
      </c>
    </row>
    <row r="6036" spans="1:7" x14ac:dyDescent="0.25">
      <c r="A6036" t="s">
        <v>8</v>
      </c>
      <c r="B6036" s="1" t="str">
        <f>"000237962 - RICH'S TOPPINGS-SODEXO"</f>
        <v>000237962 - RICH'S TOPPINGS-SODEXO</v>
      </c>
      <c r="C6036" t="s">
        <v>142</v>
      </c>
      <c r="D6036" s="1" t="str">
        <f t="shared" si="174"/>
        <v>PRG-1028889</v>
      </c>
      <c r="E6036" t="s">
        <v>79</v>
      </c>
      <c r="F6036" t="s">
        <v>4</v>
      </c>
      <c r="G6036" t="str">
        <f>""</f>
        <v/>
      </c>
    </row>
    <row r="6037" spans="1:7" x14ac:dyDescent="0.25">
      <c r="A6037" t="s">
        <v>8</v>
      </c>
      <c r="B6037" s="1" t="str">
        <f>"000240135 - RICH'S TOPPINGS-SODEXO"</f>
        <v>000240135 - RICH'S TOPPINGS-SODEXO</v>
      </c>
      <c r="C6037" t="s">
        <v>142</v>
      </c>
      <c r="D6037" s="1" t="str">
        <f t="shared" si="174"/>
        <v>PRG-1028889</v>
      </c>
      <c r="E6037" t="s">
        <v>79</v>
      </c>
      <c r="F6037" t="s">
        <v>4</v>
      </c>
      <c r="G6037" t="str">
        <f>""</f>
        <v/>
      </c>
    </row>
    <row r="6038" spans="1:7" x14ac:dyDescent="0.25">
      <c r="A6038" t="s">
        <v>8</v>
      </c>
      <c r="B6038" s="1" t="str">
        <f>"000243915 - RICH TOPPING-SODEXO"</f>
        <v>000243915 - RICH TOPPING-SODEXO</v>
      </c>
      <c r="C6038" t="s">
        <v>385</v>
      </c>
      <c r="D6038" s="1" t="str">
        <f t="shared" si="174"/>
        <v>PRG-1028889</v>
      </c>
      <c r="E6038" t="s">
        <v>79</v>
      </c>
      <c r="F6038" t="s">
        <v>4</v>
      </c>
      <c r="G6038" t="str">
        <f>""</f>
        <v/>
      </c>
    </row>
    <row r="6039" spans="1:7" x14ac:dyDescent="0.25">
      <c r="A6039" t="s">
        <v>8</v>
      </c>
      <c r="B6039" s="1" t="str">
        <f>"000244716 - RICH'S TOPPINGS-SODEXO"</f>
        <v>000244716 - RICH'S TOPPINGS-SODEXO</v>
      </c>
      <c r="C6039" t="s">
        <v>142</v>
      </c>
      <c r="D6039" s="1" t="str">
        <f t="shared" si="174"/>
        <v>PRG-1028889</v>
      </c>
      <c r="E6039" t="s">
        <v>79</v>
      </c>
      <c r="F6039" t="s">
        <v>4</v>
      </c>
      <c r="G6039" t="str">
        <f>""</f>
        <v/>
      </c>
    </row>
    <row r="6040" spans="1:7" x14ac:dyDescent="0.25">
      <c r="A6040" t="s">
        <v>8</v>
      </c>
      <c r="B6040" s="1" t="str">
        <f>"000246261 - RICH'S TOPPINGS-SODEXO"</f>
        <v>000246261 - RICH'S TOPPINGS-SODEXO</v>
      </c>
      <c r="C6040" t="s">
        <v>142</v>
      </c>
      <c r="D6040" s="1" t="str">
        <f t="shared" si="174"/>
        <v>PRG-1028889</v>
      </c>
      <c r="E6040" t="s">
        <v>79</v>
      </c>
      <c r="F6040" t="s">
        <v>4</v>
      </c>
      <c r="G6040" t="str">
        <f>""</f>
        <v/>
      </c>
    </row>
    <row r="6041" spans="1:7" x14ac:dyDescent="0.25">
      <c r="A6041" t="s">
        <v>8</v>
      </c>
      <c r="B6041" s="1" t="str">
        <f>"000247561 - RICH'S TOPPINGS-SODEXO"</f>
        <v>000247561 - RICH'S TOPPINGS-SODEXO</v>
      </c>
      <c r="C6041" t="s">
        <v>142</v>
      </c>
      <c r="D6041" s="1" t="str">
        <f t="shared" si="174"/>
        <v>PRG-1028889</v>
      </c>
      <c r="E6041" t="s">
        <v>79</v>
      </c>
      <c r="F6041" t="s">
        <v>4</v>
      </c>
      <c r="G6041" t="str">
        <f>""</f>
        <v/>
      </c>
    </row>
    <row r="6042" spans="1:7" x14ac:dyDescent="0.25">
      <c r="A6042" t="s">
        <v>8</v>
      </c>
      <c r="B6042" s="1" t="str">
        <f>"000248537 - RICH TOPPING-SODEXO"</f>
        <v>000248537 - RICH TOPPING-SODEXO</v>
      </c>
      <c r="C6042" t="s">
        <v>385</v>
      </c>
      <c r="D6042" s="1" t="str">
        <f t="shared" si="174"/>
        <v>PRG-1028889</v>
      </c>
      <c r="E6042" t="s">
        <v>79</v>
      </c>
      <c r="F6042" t="s">
        <v>4</v>
      </c>
      <c r="G6042" t="str">
        <f>""</f>
        <v/>
      </c>
    </row>
    <row r="6043" spans="1:7" x14ac:dyDescent="0.25">
      <c r="A6043" t="s">
        <v>8</v>
      </c>
      <c r="B6043" s="1" t="str">
        <f>"000248828 - RICH TOPPING-SODEXO"</f>
        <v>000248828 - RICH TOPPING-SODEXO</v>
      </c>
      <c r="C6043" t="s">
        <v>385</v>
      </c>
      <c r="D6043" s="1" t="str">
        <f t="shared" si="174"/>
        <v>PRG-1028889</v>
      </c>
      <c r="E6043" t="s">
        <v>79</v>
      </c>
      <c r="F6043" t="s">
        <v>4</v>
      </c>
      <c r="G6043" t="str">
        <f>""</f>
        <v/>
      </c>
    </row>
    <row r="6044" spans="1:7" x14ac:dyDescent="0.25">
      <c r="A6044" t="s">
        <v>8</v>
      </c>
      <c r="B6044" s="1" t="str">
        <f>"000248882 - RICH'S TOPPINGS-SODEXO"</f>
        <v>000248882 - RICH'S TOPPINGS-SODEXO</v>
      </c>
      <c r="C6044" t="s">
        <v>142</v>
      </c>
      <c r="D6044" s="1" t="str">
        <f t="shared" si="174"/>
        <v>PRG-1028889</v>
      </c>
      <c r="E6044" t="s">
        <v>79</v>
      </c>
      <c r="F6044" t="s">
        <v>4</v>
      </c>
      <c r="G6044" t="str">
        <f>""</f>
        <v/>
      </c>
    </row>
    <row r="6045" spans="1:7" x14ac:dyDescent="0.25">
      <c r="A6045" t="s">
        <v>8</v>
      </c>
      <c r="B6045" s="1" t="str">
        <f>"000250589 - RICH'S TOPPINGS-SODEXO"</f>
        <v>000250589 - RICH'S TOPPINGS-SODEXO</v>
      </c>
      <c r="C6045" t="s">
        <v>142</v>
      </c>
      <c r="D6045" s="1" t="str">
        <f t="shared" si="174"/>
        <v>PRG-1028889</v>
      </c>
      <c r="E6045" t="s">
        <v>79</v>
      </c>
      <c r="F6045" t="s">
        <v>4</v>
      </c>
      <c r="G6045" t="str">
        <f>""</f>
        <v/>
      </c>
    </row>
    <row r="6046" spans="1:7" x14ac:dyDescent="0.25">
      <c r="A6046" t="s">
        <v>8</v>
      </c>
      <c r="B6046" s="1" t="str">
        <f>"000251625 - RICH TOPPING-SODEXO"</f>
        <v>000251625 - RICH TOPPING-SODEXO</v>
      </c>
      <c r="C6046" t="s">
        <v>385</v>
      </c>
      <c r="D6046" s="1" t="str">
        <f t="shared" si="174"/>
        <v>PRG-1028889</v>
      </c>
      <c r="E6046" t="s">
        <v>79</v>
      </c>
      <c r="F6046" t="s">
        <v>4</v>
      </c>
      <c r="G6046" t="str">
        <f>""</f>
        <v/>
      </c>
    </row>
    <row r="6047" spans="1:7" x14ac:dyDescent="0.25">
      <c r="A6047" t="s">
        <v>8</v>
      </c>
      <c r="B6047" s="1" t="str">
        <f>"000252169 - RICH'S TOPPINGS-SODEXO"</f>
        <v>000252169 - RICH'S TOPPINGS-SODEXO</v>
      </c>
      <c r="C6047" t="s">
        <v>142</v>
      </c>
      <c r="D6047" s="1" t="str">
        <f t="shared" si="174"/>
        <v>PRG-1028889</v>
      </c>
      <c r="E6047" t="s">
        <v>79</v>
      </c>
      <c r="F6047" t="s">
        <v>4</v>
      </c>
      <c r="G6047" t="str">
        <f>""</f>
        <v/>
      </c>
    </row>
    <row r="6048" spans="1:7" x14ac:dyDescent="0.25">
      <c r="A6048" t="s">
        <v>8</v>
      </c>
      <c r="B6048" s="1" t="str">
        <f>"000253671 - RICH'S TOPPINGS-SODEXO"</f>
        <v>000253671 - RICH'S TOPPINGS-SODEXO</v>
      </c>
      <c r="C6048" t="s">
        <v>142</v>
      </c>
      <c r="D6048" s="1" t="str">
        <f t="shared" ref="D6048:D6072" si="175">"PRG-1028889"</f>
        <v>PRG-1028889</v>
      </c>
      <c r="E6048" t="s">
        <v>79</v>
      </c>
      <c r="F6048" t="s">
        <v>4</v>
      </c>
      <c r="G6048" t="str">
        <f>""</f>
        <v/>
      </c>
    </row>
    <row r="6049" spans="1:7" x14ac:dyDescent="0.25">
      <c r="A6049" t="s">
        <v>8</v>
      </c>
      <c r="B6049" s="1" t="str">
        <f>"000254562 - RICH'S TOPPINGS-SODEXO"</f>
        <v>000254562 - RICH'S TOPPINGS-SODEXO</v>
      </c>
      <c r="C6049" t="s">
        <v>142</v>
      </c>
      <c r="D6049" s="1" t="str">
        <f t="shared" si="175"/>
        <v>PRG-1028889</v>
      </c>
      <c r="E6049" t="s">
        <v>79</v>
      </c>
      <c r="F6049" t="s">
        <v>4</v>
      </c>
      <c r="G6049" t="str">
        <f>""</f>
        <v/>
      </c>
    </row>
    <row r="6050" spans="1:7" x14ac:dyDescent="0.25">
      <c r="A6050" t="s">
        <v>8</v>
      </c>
      <c r="B6050" s="1" t="str">
        <f>"000254594 - RICH'S TOPPINGS-SODEXO"</f>
        <v>000254594 - RICH'S TOPPINGS-SODEXO</v>
      </c>
      <c r="C6050" t="s">
        <v>142</v>
      </c>
      <c r="D6050" s="1" t="str">
        <f t="shared" si="175"/>
        <v>PRG-1028889</v>
      </c>
      <c r="E6050" t="s">
        <v>79</v>
      </c>
      <c r="F6050" t="s">
        <v>4</v>
      </c>
      <c r="G6050" t="str">
        <f>""</f>
        <v/>
      </c>
    </row>
    <row r="6051" spans="1:7" x14ac:dyDescent="0.25">
      <c r="A6051" t="s">
        <v>8</v>
      </c>
      <c r="B6051" s="1" t="str">
        <f>"000257670 - RICH'S TOPPINGS-SODEXO"</f>
        <v>000257670 - RICH'S TOPPINGS-SODEXO</v>
      </c>
      <c r="C6051" t="s">
        <v>142</v>
      </c>
      <c r="D6051" s="1" t="str">
        <f t="shared" si="175"/>
        <v>PRG-1028889</v>
      </c>
      <c r="E6051" t="s">
        <v>79</v>
      </c>
      <c r="F6051" t="s">
        <v>4</v>
      </c>
      <c r="G6051" t="str">
        <f>""</f>
        <v/>
      </c>
    </row>
    <row r="6052" spans="1:7" x14ac:dyDescent="0.25">
      <c r="A6052" t="s">
        <v>8</v>
      </c>
      <c r="B6052" s="1" t="str">
        <f>"000262032 - RICH'S TOPPINGS-SODEXO"</f>
        <v>000262032 - RICH'S TOPPINGS-SODEXO</v>
      </c>
      <c r="C6052" t="s">
        <v>142</v>
      </c>
      <c r="D6052" s="1" t="str">
        <f t="shared" si="175"/>
        <v>PRG-1028889</v>
      </c>
      <c r="E6052" t="s">
        <v>79</v>
      </c>
      <c r="F6052" t="s">
        <v>4</v>
      </c>
      <c r="G6052" t="str">
        <f>""</f>
        <v/>
      </c>
    </row>
    <row r="6053" spans="1:7" x14ac:dyDescent="0.25">
      <c r="A6053" t="s">
        <v>8</v>
      </c>
      <c r="B6053" s="1" t="str">
        <f>"000263923 - RICH TOPPING-SODEXO"</f>
        <v>000263923 - RICH TOPPING-SODEXO</v>
      </c>
      <c r="C6053" t="s">
        <v>385</v>
      </c>
      <c r="D6053" s="1" t="str">
        <f t="shared" si="175"/>
        <v>PRG-1028889</v>
      </c>
      <c r="E6053" t="s">
        <v>79</v>
      </c>
      <c r="F6053" t="s">
        <v>4</v>
      </c>
      <c r="G6053" t="str">
        <f>""</f>
        <v/>
      </c>
    </row>
    <row r="6054" spans="1:7" x14ac:dyDescent="0.25">
      <c r="A6054" t="s">
        <v>8</v>
      </c>
      <c r="B6054" s="1" t="str">
        <f>"000272936 - RICH'S TOPPINGS-SODEXO"</f>
        <v>000272936 - RICH'S TOPPINGS-SODEXO</v>
      </c>
      <c r="C6054" t="s">
        <v>142</v>
      </c>
      <c r="D6054" s="1" t="str">
        <f t="shared" si="175"/>
        <v>PRG-1028889</v>
      </c>
      <c r="E6054" t="s">
        <v>79</v>
      </c>
      <c r="F6054" t="s">
        <v>4</v>
      </c>
      <c r="G6054" t="str">
        <f>""</f>
        <v/>
      </c>
    </row>
    <row r="6055" spans="1:7" x14ac:dyDescent="0.25">
      <c r="A6055" t="s">
        <v>8</v>
      </c>
      <c r="B6055" s="1" t="str">
        <f>"000274524 - RICH TOPPING-SODEXO"</f>
        <v>000274524 - RICH TOPPING-SODEXO</v>
      </c>
      <c r="C6055" t="s">
        <v>385</v>
      </c>
      <c r="D6055" s="1" t="str">
        <f t="shared" si="175"/>
        <v>PRG-1028889</v>
      </c>
      <c r="E6055" t="s">
        <v>79</v>
      </c>
      <c r="F6055" t="s">
        <v>4</v>
      </c>
      <c r="G6055" t="str">
        <f>""</f>
        <v/>
      </c>
    </row>
    <row r="6056" spans="1:7" x14ac:dyDescent="0.25">
      <c r="A6056" t="s">
        <v>8</v>
      </c>
      <c r="B6056" s="1" t="str">
        <f>"000276866 - RICH'S TOPPINGS-SODEXO"</f>
        <v>000276866 - RICH'S TOPPINGS-SODEXO</v>
      </c>
      <c r="C6056" t="s">
        <v>142</v>
      </c>
      <c r="D6056" s="1" t="str">
        <f t="shared" si="175"/>
        <v>PRG-1028889</v>
      </c>
      <c r="E6056" t="s">
        <v>79</v>
      </c>
      <c r="F6056" t="s">
        <v>4</v>
      </c>
      <c r="G6056" t="str">
        <f>""</f>
        <v/>
      </c>
    </row>
    <row r="6057" spans="1:7" x14ac:dyDescent="0.25">
      <c r="A6057" t="s">
        <v>8</v>
      </c>
      <c r="B6057" s="1" t="str">
        <f>"000278036 - RICH TOPPING-SODEXO"</f>
        <v>000278036 - RICH TOPPING-SODEXO</v>
      </c>
      <c r="C6057" t="s">
        <v>385</v>
      </c>
      <c r="D6057" s="1" t="str">
        <f t="shared" si="175"/>
        <v>PRG-1028889</v>
      </c>
      <c r="E6057" t="s">
        <v>79</v>
      </c>
      <c r="F6057" t="s">
        <v>4</v>
      </c>
      <c r="G6057" t="str">
        <f>""</f>
        <v/>
      </c>
    </row>
    <row r="6058" spans="1:7" x14ac:dyDescent="0.25">
      <c r="A6058" t="s">
        <v>8</v>
      </c>
      <c r="B6058" s="1" t="str">
        <f>"000288697 - RICH'S TOPPINGS-SODEXO"</f>
        <v>000288697 - RICH'S TOPPINGS-SODEXO</v>
      </c>
      <c r="C6058" t="s">
        <v>142</v>
      </c>
      <c r="D6058" s="1" t="str">
        <f t="shared" si="175"/>
        <v>PRG-1028889</v>
      </c>
      <c r="E6058" t="s">
        <v>79</v>
      </c>
      <c r="F6058" t="s">
        <v>4</v>
      </c>
      <c r="G6058" t="str">
        <f>""</f>
        <v/>
      </c>
    </row>
    <row r="6059" spans="1:7" x14ac:dyDescent="0.25">
      <c r="A6059" t="s">
        <v>8</v>
      </c>
      <c r="B6059" s="1" t="str">
        <f>"000291078 - RICH'S TOPPINGS-SODEXO"</f>
        <v>000291078 - RICH'S TOPPINGS-SODEXO</v>
      </c>
      <c r="C6059" t="s">
        <v>142</v>
      </c>
      <c r="D6059" s="1" t="str">
        <f t="shared" si="175"/>
        <v>PRG-1028889</v>
      </c>
      <c r="E6059" t="s">
        <v>79</v>
      </c>
      <c r="F6059" t="s">
        <v>4</v>
      </c>
      <c r="G6059" t="str">
        <f>""</f>
        <v/>
      </c>
    </row>
    <row r="6060" spans="1:7" x14ac:dyDescent="0.25">
      <c r="A6060" t="s">
        <v>8</v>
      </c>
      <c r="B6060" s="1" t="str">
        <f>"000292365 - RICH'S TOPPINGS-SODEXO"</f>
        <v>000292365 - RICH'S TOPPINGS-SODEXO</v>
      </c>
      <c r="C6060" t="s">
        <v>142</v>
      </c>
      <c r="D6060" s="1" t="str">
        <f t="shared" si="175"/>
        <v>PRG-1028889</v>
      </c>
      <c r="E6060" t="s">
        <v>79</v>
      </c>
      <c r="F6060" t="s">
        <v>4</v>
      </c>
      <c r="G6060" t="str">
        <f>""</f>
        <v/>
      </c>
    </row>
    <row r="6061" spans="1:7" x14ac:dyDescent="0.25">
      <c r="A6061" t="s">
        <v>8</v>
      </c>
      <c r="B6061" s="1" t="str">
        <f>"000300148 - RICH TOPPING-SODEXO"</f>
        <v>000300148 - RICH TOPPING-SODEXO</v>
      </c>
      <c r="C6061" t="s">
        <v>385</v>
      </c>
      <c r="D6061" s="1" t="str">
        <f t="shared" si="175"/>
        <v>PRG-1028889</v>
      </c>
      <c r="E6061" t="s">
        <v>79</v>
      </c>
      <c r="F6061" t="s">
        <v>4</v>
      </c>
      <c r="G6061" t="str">
        <f>""</f>
        <v/>
      </c>
    </row>
    <row r="6062" spans="1:7" x14ac:dyDescent="0.25">
      <c r="A6062" t="s">
        <v>8</v>
      </c>
      <c r="B6062" s="1" t="str">
        <f>"000302069 - RICH'S TOPPINGS-SODEXO"</f>
        <v>000302069 - RICH'S TOPPINGS-SODEXO</v>
      </c>
      <c r="C6062" t="s">
        <v>142</v>
      </c>
      <c r="D6062" s="1" t="str">
        <f t="shared" si="175"/>
        <v>PRG-1028889</v>
      </c>
      <c r="E6062" t="s">
        <v>79</v>
      </c>
      <c r="F6062" t="s">
        <v>4</v>
      </c>
      <c r="G6062" t="str">
        <f>""</f>
        <v/>
      </c>
    </row>
    <row r="6063" spans="1:7" x14ac:dyDescent="0.25">
      <c r="A6063" t="s">
        <v>8</v>
      </c>
      <c r="B6063" s="1" t="str">
        <f>"000303546 - RICH'S TOPPINGS-SODEXO"</f>
        <v>000303546 - RICH'S TOPPINGS-SODEXO</v>
      </c>
      <c r="C6063" t="s">
        <v>142</v>
      </c>
      <c r="D6063" s="1" t="str">
        <f t="shared" si="175"/>
        <v>PRG-1028889</v>
      </c>
      <c r="E6063" t="s">
        <v>79</v>
      </c>
      <c r="F6063" t="s">
        <v>4</v>
      </c>
      <c r="G6063" t="str">
        <f>""</f>
        <v/>
      </c>
    </row>
    <row r="6064" spans="1:7" x14ac:dyDescent="0.25">
      <c r="A6064" t="s">
        <v>8</v>
      </c>
      <c r="B6064" s="1" t="str">
        <f>"000313439 - RICH'S TOPPINGS-SODEXO"</f>
        <v>000313439 - RICH'S TOPPINGS-SODEXO</v>
      </c>
      <c r="C6064" t="s">
        <v>142</v>
      </c>
      <c r="D6064" s="1" t="str">
        <f t="shared" si="175"/>
        <v>PRG-1028889</v>
      </c>
      <c r="E6064" t="s">
        <v>79</v>
      </c>
      <c r="F6064" t="s">
        <v>4</v>
      </c>
      <c r="G6064" t="str">
        <f>""</f>
        <v/>
      </c>
    </row>
    <row r="6065" spans="1:7" x14ac:dyDescent="0.25">
      <c r="A6065" t="s">
        <v>8</v>
      </c>
      <c r="B6065" s="1" t="str">
        <f>"000314520 - RICH TOPPING-SODEXO"</f>
        <v>000314520 - RICH TOPPING-SODEXO</v>
      </c>
      <c r="C6065" t="s">
        <v>385</v>
      </c>
      <c r="D6065" s="1" t="str">
        <f t="shared" si="175"/>
        <v>PRG-1028889</v>
      </c>
      <c r="E6065" t="s">
        <v>79</v>
      </c>
      <c r="F6065" t="s">
        <v>4</v>
      </c>
      <c r="G6065" t="str">
        <f>""</f>
        <v/>
      </c>
    </row>
    <row r="6066" spans="1:7" x14ac:dyDescent="0.25">
      <c r="A6066" t="s">
        <v>8</v>
      </c>
      <c r="B6066" s="1" t="str">
        <f>"000323270 - RICH'S TOPPINGS-SODEXO"</f>
        <v>000323270 - RICH'S TOPPINGS-SODEXO</v>
      </c>
      <c r="C6066" t="s">
        <v>142</v>
      </c>
      <c r="D6066" s="1" t="str">
        <f t="shared" si="175"/>
        <v>PRG-1028889</v>
      </c>
      <c r="E6066" t="s">
        <v>79</v>
      </c>
      <c r="F6066" t="s">
        <v>4</v>
      </c>
      <c r="G6066" t="str">
        <f>""</f>
        <v/>
      </c>
    </row>
    <row r="6067" spans="1:7" x14ac:dyDescent="0.25">
      <c r="A6067" t="s">
        <v>8</v>
      </c>
      <c r="B6067" s="1" t="str">
        <f>"000326959 - "</f>
        <v xml:space="preserve">000326959 - </v>
      </c>
      <c r="D6067" s="1" t="str">
        <f t="shared" si="175"/>
        <v>PRG-1028889</v>
      </c>
      <c r="E6067" t="s">
        <v>79</v>
      </c>
      <c r="F6067" t="s">
        <v>4</v>
      </c>
      <c r="G6067" t="str">
        <f>""</f>
        <v/>
      </c>
    </row>
    <row r="6068" spans="1:7" x14ac:dyDescent="0.25">
      <c r="A6068" t="s">
        <v>8</v>
      </c>
      <c r="B6068" s="1" t="str">
        <f>"000327877 - RICH TOPPING-SODEXO"</f>
        <v>000327877 - RICH TOPPING-SODEXO</v>
      </c>
      <c r="C6068" t="s">
        <v>385</v>
      </c>
      <c r="D6068" s="1" t="str">
        <f t="shared" si="175"/>
        <v>PRG-1028889</v>
      </c>
      <c r="E6068" t="s">
        <v>79</v>
      </c>
      <c r="F6068" t="s">
        <v>4</v>
      </c>
      <c r="G6068" t="str">
        <f>""</f>
        <v/>
      </c>
    </row>
    <row r="6069" spans="1:7" x14ac:dyDescent="0.25">
      <c r="A6069" t="s">
        <v>8</v>
      </c>
      <c r="B6069" s="1" t="str">
        <f>"000338979 - RICH'S TOPPINGS-SODEXO"</f>
        <v>000338979 - RICH'S TOPPINGS-SODEXO</v>
      </c>
      <c r="C6069" t="s">
        <v>142</v>
      </c>
      <c r="D6069" s="1" t="str">
        <f t="shared" si="175"/>
        <v>PRG-1028889</v>
      </c>
      <c r="E6069" t="s">
        <v>79</v>
      </c>
      <c r="F6069" t="s">
        <v>4</v>
      </c>
      <c r="G6069" t="str">
        <f>""</f>
        <v/>
      </c>
    </row>
    <row r="6070" spans="1:7" x14ac:dyDescent="0.25">
      <c r="A6070" t="s">
        <v>8</v>
      </c>
      <c r="B6070" s="1" t="str">
        <f>"000354625 - RICH'S TOPPINGS-SODEXO"</f>
        <v>000354625 - RICH'S TOPPINGS-SODEXO</v>
      </c>
      <c r="C6070" t="s">
        <v>142</v>
      </c>
      <c r="D6070" s="1" t="str">
        <f t="shared" si="175"/>
        <v>PRG-1028889</v>
      </c>
      <c r="E6070" t="s">
        <v>79</v>
      </c>
      <c r="F6070" t="s">
        <v>4</v>
      </c>
      <c r="G6070" t="str">
        <f>""</f>
        <v/>
      </c>
    </row>
    <row r="6071" spans="1:7" x14ac:dyDescent="0.25">
      <c r="A6071" t="s">
        <v>8</v>
      </c>
      <c r="B6071" s="1" t="str">
        <f>"000358537 - RICH'S TOPPINGS-SODEXO"</f>
        <v>000358537 - RICH'S TOPPINGS-SODEXO</v>
      </c>
      <c r="C6071" t="s">
        <v>142</v>
      </c>
      <c r="D6071" s="1" t="str">
        <f t="shared" si="175"/>
        <v>PRG-1028889</v>
      </c>
      <c r="E6071" t="s">
        <v>79</v>
      </c>
      <c r="F6071" t="s">
        <v>4</v>
      </c>
      <c r="G6071" t="str">
        <f>""</f>
        <v/>
      </c>
    </row>
    <row r="6072" spans="1:7" x14ac:dyDescent="0.25">
      <c r="A6072" t="s">
        <v>8</v>
      </c>
      <c r="B6072" s="1" t="str">
        <f>"2000126753 - RICH TOPPINGS-SODEXO"</f>
        <v>2000126753 - RICH TOPPINGS-SODEXO</v>
      </c>
      <c r="C6072" t="s">
        <v>3840</v>
      </c>
      <c r="D6072" s="1" t="str">
        <f t="shared" si="175"/>
        <v>PRG-1028889</v>
      </c>
      <c r="E6072" t="s">
        <v>79</v>
      </c>
      <c r="F6072" t="s">
        <v>4</v>
      </c>
      <c r="G6072" t="str">
        <f>""</f>
        <v/>
      </c>
    </row>
    <row r="6073" spans="1:7" x14ac:dyDescent="0.25">
      <c r="A6073" t="s">
        <v>8</v>
      </c>
      <c r="B6073" s="1" t="str">
        <f>"000039662 - RICH FOODS-PALACE ENT"</f>
        <v>000039662 - RICH FOODS-PALACE ENT</v>
      </c>
      <c r="C6073" t="s">
        <v>572</v>
      </c>
      <c r="D6073" s="1" t="str">
        <f>"PRG-1028897"</f>
        <v>PRG-1028897</v>
      </c>
      <c r="E6073" t="s">
        <v>573</v>
      </c>
      <c r="F6073" t="s">
        <v>4</v>
      </c>
      <c r="G6073" t="str">
        <f>""</f>
        <v/>
      </c>
    </row>
    <row r="6074" spans="1:7" x14ac:dyDescent="0.25">
      <c r="A6074" t="s">
        <v>8</v>
      </c>
      <c r="B6074" s="1" t="str">
        <f>"000268865 - RICH FOODS-PALACE ENT"</f>
        <v>000268865 - RICH FOODS-PALACE ENT</v>
      </c>
      <c r="C6074" t="s">
        <v>572</v>
      </c>
      <c r="D6074" s="1" t="str">
        <f>"PRG-1028897"</f>
        <v>PRG-1028897</v>
      </c>
      <c r="E6074" t="s">
        <v>573</v>
      </c>
      <c r="F6074" t="s">
        <v>4</v>
      </c>
      <c r="G6074" t="str">
        <f>""</f>
        <v/>
      </c>
    </row>
    <row r="6075" spans="1:7" x14ac:dyDescent="0.25">
      <c r="A6075" t="s">
        <v>8</v>
      </c>
      <c r="B6075" s="1" t="str">
        <f>"000031815 - RICH FOODS-COUNTRY KITCHEN"</f>
        <v>000031815 - RICH FOODS-COUNTRY KITCHEN</v>
      </c>
      <c r="C6075" t="s">
        <v>501</v>
      </c>
      <c r="D6075" s="1" t="str">
        <f t="shared" ref="D6075:D6092" si="176">"PRG-1028903"</f>
        <v>PRG-1028903</v>
      </c>
      <c r="E6075" t="s">
        <v>502</v>
      </c>
      <c r="F6075" t="s">
        <v>4</v>
      </c>
      <c r="G6075" t="str">
        <f>""</f>
        <v/>
      </c>
    </row>
    <row r="6076" spans="1:7" x14ac:dyDescent="0.25">
      <c r="A6076" t="s">
        <v>8</v>
      </c>
      <c r="B6076" s="1" t="str">
        <f>"000040048 - RICH'S CORE CC&amp;BB-COUNTRYKITCH"</f>
        <v>000040048 - RICH'S CORE CC&amp;BB-COUNTRYKITCH</v>
      </c>
      <c r="C6076" t="s">
        <v>575</v>
      </c>
      <c r="D6076" s="1" t="str">
        <f t="shared" si="176"/>
        <v>PRG-1028903</v>
      </c>
      <c r="E6076" t="s">
        <v>502</v>
      </c>
      <c r="F6076" t="s">
        <v>4</v>
      </c>
      <c r="G6076" t="str">
        <f>""</f>
        <v/>
      </c>
    </row>
    <row r="6077" spans="1:7" x14ac:dyDescent="0.25">
      <c r="A6077" t="s">
        <v>8</v>
      </c>
      <c r="B6077" s="1" t="str">
        <f>"000203911 - BB CKI FOB RICHS"</f>
        <v>000203911 - BB CKI FOB RICHS</v>
      </c>
      <c r="C6077" t="s">
        <v>1346</v>
      </c>
      <c r="D6077" s="1" t="str">
        <f t="shared" si="176"/>
        <v>PRG-1028903</v>
      </c>
      <c r="E6077" t="s">
        <v>502</v>
      </c>
      <c r="F6077" t="s">
        <v>4</v>
      </c>
      <c r="G6077" t="str">
        <f>""</f>
        <v/>
      </c>
    </row>
    <row r="6078" spans="1:7" x14ac:dyDescent="0.25">
      <c r="A6078" t="s">
        <v>8</v>
      </c>
      <c r="B6078" s="1" t="str">
        <f>"000208038 - RICH FDS BEAU RIVAGE"</f>
        <v>000208038 - RICH FDS BEAU RIVAGE</v>
      </c>
      <c r="C6078" t="s">
        <v>1386</v>
      </c>
      <c r="D6078" s="1" t="str">
        <f t="shared" si="176"/>
        <v>PRG-1028903</v>
      </c>
      <c r="E6078" t="s">
        <v>502</v>
      </c>
      <c r="F6078" t="s">
        <v>4</v>
      </c>
      <c r="G6078" t="str">
        <f>""</f>
        <v/>
      </c>
    </row>
    <row r="6079" spans="1:7" x14ac:dyDescent="0.25">
      <c r="A6079" t="s">
        <v>8</v>
      </c>
      <c r="B6079" s="1" t="str">
        <f>"000216605 - RICH'S CORE CC&amp;BB-COUNTRYKITCH"</f>
        <v>000216605 - RICH'S CORE CC&amp;BB-COUNTRYKITCH</v>
      </c>
      <c r="C6079" t="s">
        <v>575</v>
      </c>
      <c r="D6079" s="1" t="str">
        <f t="shared" si="176"/>
        <v>PRG-1028903</v>
      </c>
      <c r="E6079" t="s">
        <v>502</v>
      </c>
      <c r="F6079" t="s">
        <v>4</v>
      </c>
      <c r="G6079" t="str">
        <f>""</f>
        <v/>
      </c>
    </row>
    <row r="6080" spans="1:7" x14ac:dyDescent="0.25">
      <c r="A6080" t="s">
        <v>8</v>
      </c>
      <c r="B6080" s="1" t="str">
        <f>"000216606 - RICH'S NONCORE-COUNTRYKITCHEN"</f>
        <v>000216606 - RICH'S NONCORE-COUNTRYKITCHEN</v>
      </c>
      <c r="C6080" t="s">
        <v>576</v>
      </c>
      <c r="D6080" s="1" t="str">
        <f t="shared" si="176"/>
        <v>PRG-1028903</v>
      </c>
      <c r="E6080" t="s">
        <v>502</v>
      </c>
      <c r="F6080" t="s">
        <v>4</v>
      </c>
      <c r="G6080" t="str">
        <f>""</f>
        <v/>
      </c>
    </row>
    <row r="6081" spans="1:7" x14ac:dyDescent="0.25">
      <c r="A6081" t="s">
        <v>8</v>
      </c>
      <c r="B6081" s="1" t="str">
        <f>"000225871 - RICH FOODS-COUNTRY KITCHEN"</f>
        <v>000225871 - RICH FOODS-COUNTRY KITCHEN</v>
      </c>
      <c r="C6081" t="s">
        <v>501</v>
      </c>
      <c r="D6081" s="1" t="str">
        <f t="shared" si="176"/>
        <v>PRG-1028903</v>
      </c>
      <c r="E6081" t="s">
        <v>502</v>
      </c>
      <c r="F6081" t="s">
        <v>4</v>
      </c>
      <c r="G6081" t="str">
        <f>""</f>
        <v/>
      </c>
    </row>
    <row r="6082" spans="1:7" x14ac:dyDescent="0.25">
      <c r="A6082" t="s">
        <v>8</v>
      </c>
      <c r="B6082" s="1" t="str">
        <f>"000233782 - RICH FOODS-COUNTRY KITCHEN"</f>
        <v>000233782 - RICH FOODS-COUNTRY KITCHEN</v>
      </c>
      <c r="C6082" t="s">
        <v>501</v>
      </c>
      <c r="D6082" s="1" t="str">
        <f t="shared" si="176"/>
        <v>PRG-1028903</v>
      </c>
      <c r="E6082" t="s">
        <v>502</v>
      </c>
      <c r="F6082" t="s">
        <v>4</v>
      </c>
      <c r="G6082" t="str">
        <f>""</f>
        <v/>
      </c>
    </row>
    <row r="6083" spans="1:7" x14ac:dyDescent="0.25">
      <c r="A6083" t="s">
        <v>8</v>
      </c>
      <c r="B6083" s="1" t="str">
        <f>"000240640 - RICH'S CORE CC&amp;BB-COUNTRYKITCH"</f>
        <v>000240640 - RICH'S CORE CC&amp;BB-COUNTRYKITCH</v>
      </c>
      <c r="C6083" t="s">
        <v>575</v>
      </c>
      <c r="D6083" s="1" t="str">
        <f t="shared" si="176"/>
        <v>PRG-1028903</v>
      </c>
      <c r="E6083" t="s">
        <v>502</v>
      </c>
      <c r="F6083" t="s">
        <v>4</v>
      </c>
      <c r="G6083" t="str">
        <f>""</f>
        <v/>
      </c>
    </row>
    <row r="6084" spans="1:7" x14ac:dyDescent="0.25">
      <c r="A6084" t="s">
        <v>8</v>
      </c>
      <c r="B6084" s="1" t="str">
        <f>"000246647 - RICH'S CORE CC&amp;BB-COUNTRYKITCH"</f>
        <v>000246647 - RICH'S CORE CC&amp;BB-COUNTRYKITCH</v>
      </c>
      <c r="C6084" t="s">
        <v>575</v>
      </c>
      <c r="D6084" s="1" t="str">
        <f t="shared" si="176"/>
        <v>PRG-1028903</v>
      </c>
      <c r="E6084" t="s">
        <v>502</v>
      </c>
      <c r="F6084" t="s">
        <v>4</v>
      </c>
      <c r="G6084" t="str">
        <f>""</f>
        <v/>
      </c>
    </row>
    <row r="6085" spans="1:7" x14ac:dyDescent="0.25">
      <c r="A6085" t="s">
        <v>8</v>
      </c>
      <c r="B6085" s="1" t="str">
        <f>"000273890 - RICH FOODS-COUNTRY KITCHEN"</f>
        <v>000273890 - RICH FOODS-COUNTRY KITCHEN</v>
      </c>
      <c r="C6085" t="s">
        <v>501</v>
      </c>
      <c r="D6085" s="1" t="str">
        <f t="shared" si="176"/>
        <v>PRG-1028903</v>
      </c>
      <c r="E6085" t="s">
        <v>502</v>
      </c>
      <c r="F6085" t="s">
        <v>4</v>
      </c>
      <c r="G6085" t="str">
        <f>""</f>
        <v/>
      </c>
    </row>
    <row r="6086" spans="1:7" x14ac:dyDescent="0.25">
      <c r="A6086" t="s">
        <v>8</v>
      </c>
      <c r="B6086" s="1" t="str">
        <f>"000288957 - RICH'S NONCORE-COUNTRYKITCHEN"</f>
        <v>000288957 - RICH'S NONCORE-COUNTRYKITCHEN</v>
      </c>
      <c r="C6086" t="s">
        <v>576</v>
      </c>
      <c r="D6086" s="1" t="str">
        <f t="shared" si="176"/>
        <v>PRG-1028903</v>
      </c>
      <c r="E6086" t="s">
        <v>502</v>
      </c>
      <c r="F6086" t="s">
        <v>4</v>
      </c>
      <c r="G6086" t="str">
        <f>""</f>
        <v/>
      </c>
    </row>
    <row r="6087" spans="1:7" x14ac:dyDescent="0.25">
      <c r="A6087" t="s">
        <v>8</v>
      </c>
      <c r="B6087" s="1" t="str">
        <f>"000292666 - RICH'S CORE CC&amp;BB-COUNTRYKITCH"</f>
        <v>000292666 - RICH'S CORE CC&amp;BB-COUNTRYKITCH</v>
      </c>
      <c r="C6087" t="s">
        <v>575</v>
      </c>
      <c r="D6087" s="1" t="str">
        <f t="shared" si="176"/>
        <v>PRG-1028903</v>
      </c>
      <c r="E6087" t="s">
        <v>502</v>
      </c>
      <c r="F6087" t="s">
        <v>4</v>
      </c>
      <c r="G6087" t="str">
        <f>""</f>
        <v/>
      </c>
    </row>
    <row r="6088" spans="1:7" x14ac:dyDescent="0.25">
      <c r="A6088" t="s">
        <v>8</v>
      </c>
      <c r="B6088" s="1" t="str">
        <f>"000292667 - RICH'S NONCORE-COUNTRYKITCHEN"</f>
        <v>000292667 - RICH'S NONCORE-COUNTRYKITCHEN</v>
      </c>
      <c r="C6088" t="s">
        <v>576</v>
      </c>
      <c r="D6088" s="1" t="str">
        <f t="shared" si="176"/>
        <v>PRG-1028903</v>
      </c>
      <c r="E6088" t="s">
        <v>502</v>
      </c>
      <c r="F6088" t="s">
        <v>4</v>
      </c>
      <c r="G6088" t="str">
        <f>""</f>
        <v/>
      </c>
    </row>
    <row r="6089" spans="1:7" x14ac:dyDescent="0.25">
      <c r="A6089" t="s">
        <v>8</v>
      </c>
      <c r="B6089" s="1" t="str">
        <f>"000324730 - RICH FOODS-COUNTRY KITCHEN"</f>
        <v>000324730 - RICH FOODS-COUNTRY KITCHEN</v>
      </c>
      <c r="C6089" t="s">
        <v>501</v>
      </c>
      <c r="D6089" s="1" t="str">
        <f t="shared" si="176"/>
        <v>PRG-1028903</v>
      </c>
      <c r="E6089" t="s">
        <v>502</v>
      </c>
      <c r="F6089" t="s">
        <v>4</v>
      </c>
      <c r="G6089" t="str">
        <f>""</f>
        <v/>
      </c>
    </row>
    <row r="6090" spans="1:7" x14ac:dyDescent="0.25">
      <c r="A6090" t="s">
        <v>8</v>
      </c>
      <c r="B6090" s="1" t="str">
        <f>"000339403 - RICH'S CORE CC&amp;BB-COUNTRYKITCH"</f>
        <v>000339403 - RICH'S CORE CC&amp;BB-COUNTRYKITCH</v>
      </c>
      <c r="C6090" t="s">
        <v>575</v>
      </c>
      <c r="D6090" s="1" t="str">
        <f t="shared" si="176"/>
        <v>PRG-1028903</v>
      </c>
      <c r="E6090" t="s">
        <v>502</v>
      </c>
      <c r="F6090" t="s">
        <v>4</v>
      </c>
      <c r="G6090" t="str">
        <f>""</f>
        <v/>
      </c>
    </row>
    <row r="6091" spans="1:7" x14ac:dyDescent="0.25">
      <c r="A6091" t="s">
        <v>8</v>
      </c>
      <c r="B6091" s="1" t="str">
        <f>"2000235006 - RICH'S-COUNTRY KITCHEN INTL"</f>
        <v>2000235006 - RICH'S-COUNTRY KITCHEN INTL</v>
      </c>
      <c r="C6091" t="s">
        <v>3987</v>
      </c>
      <c r="D6091" s="1" t="str">
        <f t="shared" si="176"/>
        <v>PRG-1028903</v>
      </c>
      <c r="E6091" t="s">
        <v>502</v>
      </c>
      <c r="F6091" t="s">
        <v>4</v>
      </c>
      <c r="G6091" t="str">
        <f>""</f>
        <v/>
      </c>
    </row>
    <row r="6092" spans="1:7" x14ac:dyDescent="0.25">
      <c r="A6092" t="s">
        <v>8</v>
      </c>
      <c r="B6092" s="1" t="str">
        <f>"2000307638 - RICH'S-COUNTRY KITCHEN INTL"</f>
        <v>2000307638 - RICH'S-COUNTRY KITCHEN INTL</v>
      </c>
      <c r="C6092" t="s">
        <v>3987</v>
      </c>
      <c r="D6092" s="1" t="str">
        <f t="shared" si="176"/>
        <v>PRG-1028903</v>
      </c>
      <c r="E6092" t="s">
        <v>502</v>
      </c>
      <c r="F6092" t="s">
        <v>4</v>
      </c>
      <c r="G6092" t="str">
        <f>""</f>
        <v/>
      </c>
    </row>
    <row r="6093" spans="1:7" x14ac:dyDescent="0.25">
      <c r="A6093" t="s">
        <v>8</v>
      </c>
      <c r="B6093" s="1" t="str">
        <f>"S3M00MU0"</f>
        <v>S3M00MU0</v>
      </c>
      <c r="C6093" t="s">
        <v>5615</v>
      </c>
      <c r="D6093" s="1" t="str">
        <f>"PRG-1028919"</f>
        <v>PRG-1028919</v>
      </c>
      <c r="E6093" t="s">
        <v>5616</v>
      </c>
      <c r="F6093" t="s">
        <v>5</v>
      </c>
      <c r="G6093" t="str">
        <f>""</f>
        <v/>
      </c>
    </row>
    <row r="6094" spans="1:7" x14ac:dyDescent="0.25">
      <c r="A6094" t="s">
        <v>8</v>
      </c>
      <c r="B6094" s="1" t="str">
        <f>"000226141 - RICHS NORTHSTAR CASINO"</f>
        <v>000226141 - RICHS NORTHSTAR CASINO</v>
      </c>
      <c r="C6094" t="s">
        <v>1681</v>
      </c>
      <c r="D6094" s="1" t="str">
        <f>"PRG-1028920"</f>
        <v>PRG-1028920</v>
      </c>
      <c r="E6094" t="s">
        <v>1682</v>
      </c>
      <c r="F6094" t="s">
        <v>4</v>
      </c>
      <c r="G6094" t="str">
        <f>""</f>
        <v/>
      </c>
    </row>
    <row r="6095" spans="1:7" x14ac:dyDescent="0.25">
      <c r="A6095" t="s">
        <v>8</v>
      </c>
      <c r="B6095" s="1" t="str">
        <f>"000351962 - RICH PROD CLAREMONT GRADUATE"</f>
        <v>000351962 - RICH PROD CLAREMONT GRADUATE</v>
      </c>
      <c r="C6095" t="s">
        <v>3519</v>
      </c>
      <c r="D6095" s="1" t="str">
        <f>"PRG-1028921"</f>
        <v>PRG-1028921</v>
      </c>
      <c r="E6095" t="s">
        <v>3520</v>
      </c>
      <c r="F6095" t="s">
        <v>4</v>
      </c>
      <c r="G6095" t="str">
        <f>""</f>
        <v/>
      </c>
    </row>
    <row r="6096" spans="1:7" x14ac:dyDescent="0.25">
      <c r="A6096" t="s">
        <v>8</v>
      </c>
      <c r="B6096" s="1" t="str">
        <f>"000266327 - RICH PROD PREFERRED CHOICE"</f>
        <v>000266327 - RICH PROD PREFERRED CHOICE</v>
      </c>
      <c r="C6096" t="s">
        <v>2398</v>
      </c>
      <c r="D6096" s="1" t="str">
        <f>"PRG-1028923"</f>
        <v>PRG-1028923</v>
      </c>
      <c r="E6096" t="s">
        <v>2399</v>
      </c>
      <c r="F6096" t="s">
        <v>4</v>
      </c>
      <c r="G6096" t="str">
        <f>""</f>
        <v/>
      </c>
    </row>
    <row r="6097" spans="1:7" x14ac:dyDescent="0.25">
      <c r="A6097" t="s">
        <v>8</v>
      </c>
      <c r="B6097" s="1" t="str">
        <f>"32307713"</f>
        <v>32307713</v>
      </c>
      <c r="C6097" t="s">
        <v>4885</v>
      </c>
      <c r="D6097" s="1" t="str">
        <f>"PRG-1028928"</f>
        <v>PRG-1028928</v>
      </c>
      <c r="E6097" t="s">
        <v>4886</v>
      </c>
      <c r="F6097" t="s">
        <v>5</v>
      </c>
      <c r="G6097" t="str">
        <f>""</f>
        <v/>
      </c>
    </row>
    <row r="6098" spans="1:7" x14ac:dyDescent="0.25">
      <c r="A6098" t="s">
        <v>8</v>
      </c>
      <c r="B6098" s="1" t="str">
        <f>"000311374 - SAFEWAY RICH PRODUCTS"</f>
        <v>000311374 - SAFEWAY RICH PRODUCTS</v>
      </c>
      <c r="C6098" t="s">
        <v>3117</v>
      </c>
      <c r="D6098" s="1" t="str">
        <f>"PRG-1028937"</f>
        <v>PRG-1028937</v>
      </c>
      <c r="E6098" t="s">
        <v>3118</v>
      </c>
      <c r="F6098" t="s">
        <v>4</v>
      </c>
      <c r="G6098" t="str">
        <f>""</f>
        <v/>
      </c>
    </row>
    <row r="6099" spans="1:7" x14ac:dyDescent="0.25">
      <c r="A6099" t="s">
        <v>8</v>
      </c>
      <c r="B6099" s="1" t="str">
        <f>"000330747 - SAFEWAY RICH PRODUCTS"</f>
        <v>000330747 - SAFEWAY RICH PRODUCTS</v>
      </c>
      <c r="C6099" t="s">
        <v>3117</v>
      </c>
      <c r="D6099" s="1" t="str">
        <f>"PRG-1028937"</f>
        <v>PRG-1028937</v>
      </c>
      <c r="E6099" t="s">
        <v>3118</v>
      </c>
      <c r="F6099" t="s">
        <v>4</v>
      </c>
      <c r="G6099" t="str">
        <f>""</f>
        <v/>
      </c>
    </row>
    <row r="6100" spans="1:7" x14ac:dyDescent="0.25">
      <c r="A6100" t="s">
        <v>8</v>
      </c>
      <c r="B6100" s="1" t="str">
        <f>"000286075 - RICH FOODS  TAHER INC"</f>
        <v>000286075 - RICH FOODS  TAHER INC</v>
      </c>
      <c r="C6100" t="s">
        <v>2735</v>
      </c>
      <c r="D6100" s="1" t="str">
        <f>"PRG-1028938"</f>
        <v>PRG-1028938</v>
      </c>
      <c r="E6100" t="s">
        <v>2736</v>
      </c>
      <c r="F6100" t="s">
        <v>4</v>
      </c>
      <c r="G6100" t="str">
        <f>""</f>
        <v/>
      </c>
    </row>
    <row r="6101" spans="1:7" x14ac:dyDescent="0.25">
      <c r="A6101" t="s">
        <v>8</v>
      </c>
      <c r="B6101" s="1" t="str">
        <f>"000310849 - "</f>
        <v xml:space="preserve">000310849 - </v>
      </c>
      <c r="D6101" s="1" t="str">
        <f>"PRG-1028938"</f>
        <v>PRG-1028938</v>
      </c>
      <c r="E6101" t="s">
        <v>2736</v>
      </c>
      <c r="F6101" t="s">
        <v>4</v>
      </c>
      <c r="G6101" t="str">
        <f>""</f>
        <v/>
      </c>
    </row>
    <row r="6102" spans="1:7" x14ac:dyDescent="0.25">
      <c r="A6102" t="s">
        <v>8</v>
      </c>
      <c r="B6102" s="1" t="str">
        <f>"000336070 - RICH PRODUCTS TAHER K-12"</f>
        <v>000336070 - RICH PRODUCTS TAHER K-12</v>
      </c>
      <c r="C6102" t="s">
        <v>3403</v>
      </c>
      <c r="D6102" s="1" t="str">
        <f>"PRG-1028938"</f>
        <v>PRG-1028938</v>
      </c>
      <c r="E6102" t="s">
        <v>2736</v>
      </c>
      <c r="F6102" t="s">
        <v>4</v>
      </c>
      <c r="G6102" t="str">
        <f>""</f>
        <v/>
      </c>
    </row>
    <row r="6103" spans="1:7" x14ac:dyDescent="0.25">
      <c r="A6103" t="s">
        <v>8</v>
      </c>
      <c r="B6103" s="1" t="str">
        <f>"000326635 - "</f>
        <v xml:space="preserve">000326635 - </v>
      </c>
      <c r="D6103" s="1" t="str">
        <f>"PRG-1029022"</f>
        <v>PRG-1029022</v>
      </c>
      <c r="E6103" t="s">
        <v>3302</v>
      </c>
      <c r="F6103" t="s">
        <v>4</v>
      </c>
      <c r="G6103" t="str">
        <f>""</f>
        <v/>
      </c>
    </row>
    <row r="6104" spans="1:7" x14ac:dyDescent="0.25">
      <c r="A6104" t="s">
        <v>8</v>
      </c>
      <c r="B6104" s="1" t="str">
        <f>"2000265432 - RICH LINEAGE LOGISTICS-UCARE"</f>
        <v>2000265432 - RICH LINEAGE LOGISTICS-UCARE</v>
      </c>
      <c r="C6104" t="s">
        <v>4000</v>
      </c>
      <c r="D6104" s="1" t="str">
        <f>"PRG-1029092"</f>
        <v>PRG-1029092</v>
      </c>
      <c r="E6104" t="s">
        <v>4001</v>
      </c>
      <c r="F6104" t="s">
        <v>4</v>
      </c>
      <c r="G6104" t="str">
        <f>""</f>
        <v/>
      </c>
    </row>
    <row r="6105" spans="1:7" x14ac:dyDescent="0.25">
      <c r="A6105" t="s">
        <v>8</v>
      </c>
      <c r="B6105" s="1" t="str">
        <f>"000268668 - RICH'S LAKE TAHOE USD"</f>
        <v>000268668 - RICH'S LAKE TAHOE USD</v>
      </c>
      <c r="C6105" t="s">
        <v>1998</v>
      </c>
      <c r="D6105" s="1" t="str">
        <f>"PRG-1029098"</f>
        <v>PRG-1029098</v>
      </c>
      <c r="E6105" t="s">
        <v>2441</v>
      </c>
      <c r="F6105" t="s">
        <v>4</v>
      </c>
      <c r="G6105" t="str">
        <f>""</f>
        <v/>
      </c>
    </row>
    <row r="6106" spans="1:7" x14ac:dyDescent="0.25">
      <c r="A6106" t="s">
        <v>8</v>
      </c>
      <c r="B6106" s="1" t="str">
        <f>"000265057 - OTB RICH"</f>
        <v>000265057 - OTB RICH</v>
      </c>
      <c r="C6106" t="s">
        <v>1920</v>
      </c>
      <c r="D6106" s="1" t="str">
        <f>"PRG-1029116"</f>
        <v>PRG-1029116</v>
      </c>
      <c r="E6106" t="s">
        <v>1921</v>
      </c>
      <c r="F6106" t="s">
        <v>4</v>
      </c>
      <c r="G6106" t="str">
        <f>""</f>
        <v/>
      </c>
    </row>
    <row r="6107" spans="1:7" x14ac:dyDescent="0.25">
      <c r="A6107" t="s">
        <v>8</v>
      </c>
      <c r="B6107" s="1" t="str">
        <f>"S4H008G0"</f>
        <v>S4H008G0</v>
      </c>
      <c r="C6107" t="s">
        <v>5711</v>
      </c>
      <c r="D6107" s="1" t="str">
        <f>"PRG-1029116"</f>
        <v>PRG-1029116</v>
      </c>
      <c r="E6107" t="s">
        <v>1921</v>
      </c>
      <c r="F6107" t="s">
        <v>5</v>
      </c>
      <c r="G6107" t="str">
        <f>""</f>
        <v/>
      </c>
    </row>
    <row r="6108" spans="1:7" x14ac:dyDescent="0.25">
      <c r="A6108" t="s">
        <v>8</v>
      </c>
      <c r="B6108" s="1" t="str">
        <f>"000263359 - RICH PRODUCTS  CENTRAL VALLEY"</f>
        <v>000263359 - RICH PRODUCTS  CENTRAL VALLEY</v>
      </c>
      <c r="C6108" t="s">
        <v>2333</v>
      </c>
      <c r="D6108" s="1" t="str">
        <f>"PRG-1029118"</f>
        <v>PRG-1029118</v>
      </c>
      <c r="E6108" t="s">
        <v>2334</v>
      </c>
      <c r="F6108" t="s">
        <v>4</v>
      </c>
      <c r="G6108" t="str">
        <f>""</f>
        <v/>
      </c>
    </row>
    <row r="6109" spans="1:7" x14ac:dyDescent="0.25">
      <c r="A6109" t="s">
        <v>8</v>
      </c>
      <c r="B6109" s="1" t="str">
        <f>"000282992 - RICH PRODUCTS  CVBG"</f>
        <v>000282992 - RICH PRODUCTS  CVBG</v>
      </c>
      <c r="C6109" t="s">
        <v>2679</v>
      </c>
      <c r="D6109" s="1" t="str">
        <f>"PRG-1029118"</f>
        <v>PRG-1029118</v>
      </c>
      <c r="E6109" t="s">
        <v>2334</v>
      </c>
      <c r="F6109" t="s">
        <v>4</v>
      </c>
      <c r="G6109" t="str">
        <f>""</f>
        <v/>
      </c>
    </row>
    <row r="6110" spans="1:7" x14ac:dyDescent="0.25">
      <c r="A6110" t="s">
        <v>8</v>
      </c>
      <c r="B6110" s="1" t="str">
        <f>"000307965 - RICH OLATHE SCHOOLS"</f>
        <v>000307965 - RICH OLATHE SCHOOLS</v>
      </c>
      <c r="C6110" t="s">
        <v>2803</v>
      </c>
      <c r="D6110" s="1" t="str">
        <f>"PRG-1029120"</f>
        <v>PRG-1029120</v>
      </c>
      <c r="E6110" t="s">
        <v>3076</v>
      </c>
      <c r="F6110" t="s">
        <v>4</v>
      </c>
      <c r="G6110" t="str">
        <f>""</f>
        <v/>
      </c>
    </row>
    <row r="6111" spans="1:7" x14ac:dyDescent="0.25">
      <c r="A6111" t="s">
        <v>8</v>
      </c>
      <c r="B6111" s="1" t="str">
        <f>"000233243 - "</f>
        <v xml:space="preserve">000233243 - </v>
      </c>
      <c r="D6111" s="1" t="str">
        <f>"PRG-1029123"</f>
        <v>PRG-1029123</v>
      </c>
      <c r="E6111" t="s">
        <v>1800</v>
      </c>
      <c r="F6111" t="s">
        <v>4</v>
      </c>
      <c r="G6111" t="str">
        <f>""</f>
        <v/>
      </c>
    </row>
    <row r="6112" spans="1:7" x14ac:dyDescent="0.25">
      <c r="A6112" t="s">
        <v>8</v>
      </c>
      <c r="B6112" s="1" t="str">
        <f>"000233989 - "</f>
        <v xml:space="preserve">000233989 - </v>
      </c>
      <c r="D6112" s="1" t="str">
        <f>"PRG-1029123"</f>
        <v>PRG-1029123</v>
      </c>
      <c r="E6112" t="s">
        <v>1800</v>
      </c>
      <c r="F6112" t="s">
        <v>4</v>
      </c>
      <c r="G6112" t="str">
        <f>""</f>
        <v/>
      </c>
    </row>
    <row r="6113" spans="1:7" x14ac:dyDescent="0.25">
      <c r="A6113" t="s">
        <v>8</v>
      </c>
      <c r="B6113" s="1" t="str">
        <f>"000247251 - "</f>
        <v xml:space="preserve">000247251 - </v>
      </c>
      <c r="D6113" s="1" t="str">
        <f>"PRG-1029123"</f>
        <v>PRG-1029123</v>
      </c>
      <c r="E6113" t="s">
        <v>1800</v>
      </c>
      <c r="F6113" t="s">
        <v>4</v>
      </c>
      <c r="G6113" t="str">
        <f>""</f>
        <v/>
      </c>
    </row>
    <row r="6114" spans="1:7" x14ac:dyDescent="0.25">
      <c r="A6114" t="s">
        <v>8</v>
      </c>
      <c r="B6114" s="1" t="str">
        <f>"S2I00ER0"</f>
        <v>S2I00ER0</v>
      </c>
      <c r="C6114" t="s">
        <v>5520</v>
      </c>
      <c r="D6114" s="1" t="str">
        <f>"PRG-1029135"</f>
        <v>PRG-1029135</v>
      </c>
      <c r="E6114" t="s">
        <v>5521</v>
      </c>
      <c r="F6114" t="s">
        <v>5</v>
      </c>
      <c r="G6114" t="str">
        <f>""</f>
        <v/>
      </c>
    </row>
    <row r="6115" spans="1:7" x14ac:dyDescent="0.25">
      <c r="A6115" t="s">
        <v>8</v>
      </c>
      <c r="B6115" s="1" t="str">
        <f>"000282112 - RICH PRODUCTS  MANTECA USD"</f>
        <v>000282112 - RICH PRODUCTS  MANTECA USD</v>
      </c>
      <c r="C6115" t="s">
        <v>2663</v>
      </c>
      <c r="D6115" s="1" t="str">
        <f>"PRG-1029143"</f>
        <v>PRG-1029143</v>
      </c>
      <c r="E6115" t="s">
        <v>2664</v>
      </c>
      <c r="F6115" t="s">
        <v>4</v>
      </c>
      <c r="G6115" t="str">
        <f>""</f>
        <v/>
      </c>
    </row>
    <row r="6116" spans="1:7" x14ac:dyDescent="0.25">
      <c r="A6116" t="s">
        <v>8</v>
      </c>
      <c r="B6116" s="1" t="str">
        <f>"000288065 - RICHS MANTECA USD CATFULLYFUND"</f>
        <v>000288065 - RICHS MANTECA USD CATFULLYFUND</v>
      </c>
      <c r="C6116" t="s">
        <v>2777</v>
      </c>
      <c r="D6116" s="1" t="str">
        <f>"PRG-1029143"</f>
        <v>PRG-1029143</v>
      </c>
      <c r="E6116" t="s">
        <v>2664</v>
      </c>
      <c r="F6116" t="s">
        <v>4</v>
      </c>
      <c r="G6116" t="str">
        <f>""</f>
        <v/>
      </c>
    </row>
    <row r="6117" spans="1:7" x14ac:dyDescent="0.25">
      <c r="A6117" t="s">
        <v>8</v>
      </c>
      <c r="B6117" s="1" t="str">
        <f>"000281593 - RICH PROD LODI USD FROZEN"</f>
        <v>000281593 - RICH PROD LODI USD FROZEN</v>
      </c>
      <c r="C6117" t="s">
        <v>2654</v>
      </c>
      <c r="D6117" s="1" t="str">
        <f>"PRG-1029145"</f>
        <v>PRG-1029145</v>
      </c>
      <c r="E6117" t="s">
        <v>2655</v>
      </c>
      <c r="F6117" t="s">
        <v>4</v>
      </c>
      <c r="G6117" t="str">
        <f>""</f>
        <v/>
      </c>
    </row>
    <row r="6118" spans="1:7" x14ac:dyDescent="0.25">
      <c r="A6118" t="s">
        <v>8</v>
      </c>
      <c r="B6118" s="1" t="str">
        <f>"000317486 - "</f>
        <v xml:space="preserve">000317486 - </v>
      </c>
      <c r="D6118" s="1" t="str">
        <f>"PRG-1029146"</f>
        <v>PRG-1029146</v>
      </c>
      <c r="E6118" t="s">
        <v>3202</v>
      </c>
      <c r="F6118" t="s">
        <v>4</v>
      </c>
      <c r="G6118" t="str">
        <f>""</f>
        <v/>
      </c>
    </row>
    <row r="6119" spans="1:7" x14ac:dyDescent="0.25">
      <c r="A6119" t="s">
        <v>8</v>
      </c>
      <c r="B6119" s="1" t="str">
        <f>"2000274044 - RICHS-REGION 8"</f>
        <v>2000274044 - RICHS-REGION 8</v>
      </c>
      <c r="C6119" t="s">
        <v>4008</v>
      </c>
      <c r="D6119" s="1" t="str">
        <f>"PRG-1029150"</f>
        <v>PRG-1029150</v>
      </c>
      <c r="E6119" t="s">
        <v>4009</v>
      </c>
      <c r="F6119" t="s">
        <v>4</v>
      </c>
      <c r="G6119" t="str">
        <f>""</f>
        <v/>
      </c>
    </row>
    <row r="6120" spans="1:7" x14ac:dyDescent="0.25">
      <c r="A6120" t="s">
        <v>8</v>
      </c>
      <c r="B6120" s="1" t="str">
        <f>"000243047 - RICH'S-WINCHESTER DELIVERED"</f>
        <v>000243047 - RICH'S-WINCHESTER DELIVERED</v>
      </c>
      <c r="C6120" t="s">
        <v>1951</v>
      </c>
      <c r="D6120" s="1" t="str">
        <f>"PRG-1029151"</f>
        <v>PRG-1029151</v>
      </c>
      <c r="E6120" t="s">
        <v>1952</v>
      </c>
      <c r="F6120" t="s">
        <v>4</v>
      </c>
      <c r="G6120" t="str">
        <f>""</f>
        <v/>
      </c>
    </row>
    <row r="6121" spans="1:7" x14ac:dyDescent="0.25">
      <c r="A6121" t="s">
        <v>8</v>
      </c>
      <c r="B6121" s="1" t="str">
        <f>"000262016 - RICH CUNNINGHAM JOURNAL"</f>
        <v>000262016 - RICH CUNNINGHAM JOURNAL</v>
      </c>
      <c r="C6121" t="s">
        <v>2305</v>
      </c>
      <c r="D6121" s="1" t="str">
        <f>"PRG-1029158"</f>
        <v>PRG-1029158</v>
      </c>
      <c r="E6121" t="s">
        <v>2306</v>
      </c>
      <c r="F6121" t="s">
        <v>4</v>
      </c>
      <c r="G6121" t="str">
        <f>""</f>
        <v/>
      </c>
    </row>
    <row r="6122" spans="1:7" x14ac:dyDescent="0.25">
      <c r="A6122" t="s">
        <v>8</v>
      </c>
      <c r="B6122" s="1" t="str">
        <f>"000276656 - RICH PRODUCTS  FRESNO EOC"</f>
        <v>000276656 - RICH PRODUCTS  FRESNO EOC</v>
      </c>
      <c r="C6122" t="s">
        <v>2580</v>
      </c>
      <c r="D6122" s="1" t="str">
        <f>"PRG-1029165"</f>
        <v>PRG-1029165</v>
      </c>
      <c r="E6122" t="s">
        <v>2581</v>
      </c>
      <c r="F6122" t="s">
        <v>4</v>
      </c>
      <c r="G6122" t="str">
        <f>""</f>
        <v/>
      </c>
    </row>
    <row r="6123" spans="1:7" x14ac:dyDescent="0.25">
      <c r="A6123" t="s">
        <v>8</v>
      </c>
      <c r="B6123" s="1" t="str">
        <f>"000267353 - RICH PROD EUREKA"</f>
        <v>000267353 - RICH PROD EUREKA</v>
      </c>
      <c r="C6123" t="s">
        <v>1988</v>
      </c>
      <c r="D6123" s="1" t="str">
        <f>"PRG-1029170"</f>
        <v>PRG-1029170</v>
      </c>
      <c r="E6123" t="s">
        <v>2421</v>
      </c>
      <c r="F6123" t="s">
        <v>4</v>
      </c>
      <c r="G6123" t="str">
        <f>""</f>
        <v/>
      </c>
    </row>
    <row r="6124" spans="1:7" x14ac:dyDescent="0.25">
      <c r="A6124" t="s">
        <v>8</v>
      </c>
      <c r="B6124" s="1" t="str">
        <f>"000224333 - JACKSON PUB SCHL RICH PRDTS"</f>
        <v>000224333 - JACKSON PUB SCHL RICH PRDTS</v>
      </c>
      <c r="C6124" t="s">
        <v>1445</v>
      </c>
      <c r="D6124" s="1" t="str">
        <f>"PRG-1029176"</f>
        <v>PRG-1029176</v>
      </c>
      <c r="E6124" t="s">
        <v>1662</v>
      </c>
      <c r="F6124" t="s">
        <v>4</v>
      </c>
      <c r="G6124" t="str">
        <f>""</f>
        <v/>
      </c>
    </row>
    <row r="6125" spans="1:7" x14ac:dyDescent="0.25">
      <c r="A6125" t="s">
        <v>8</v>
      </c>
      <c r="B6125" s="1" t="str">
        <f>"000241046 - RICH PRODUCTS OGS"</f>
        <v>000241046 - RICH PRODUCTS OGS</v>
      </c>
      <c r="C6125" t="s">
        <v>1698</v>
      </c>
      <c r="D6125" s="1" t="str">
        <f>"PRG-1029177"</f>
        <v>PRG-1029177</v>
      </c>
      <c r="E6125" t="s">
        <v>1915</v>
      </c>
      <c r="F6125" t="s">
        <v>4</v>
      </c>
      <c r="G6125" t="str">
        <f>""</f>
        <v/>
      </c>
    </row>
    <row r="6126" spans="1:7" x14ac:dyDescent="0.25">
      <c r="A6126" t="s">
        <v>8</v>
      </c>
      <c r="B6126" s="1" t="str">
        <f>"000246816 - RICH CC-OGS"</f>
        <v>000246816 - RICH CC-OGS</v>
      </c>
      <c r="C6126" t="s">
        <v>2026</v>
      </c>
      <c r="D6126" s="1" t="str">
        <f>"PRG-1029177"</f>
        <v>PRG-1029177</v>
      </c>
      <c r="E6126" t="s">
        <v>1915</v>
      </c>
      <c r="F6126" t="s">
        <v>4</v>
      </c>
      <c r="G6126" t="str">
        <f>""</f>
        <v/>
      </c>
    </row>
    <row r="6127" spans="1:7" x14ac:dyDescent="0.25">
      <c r="A6127" t="s">
        <v>8</v>
      </c>
      <c r="B6127" s="1" t="str">
        <f>"2000295146 - "</f>
        <v xml:space="preserve">2000295146 - </v>
      </c>
      <c r="D6127" s="1" t="str">
        <f>"PRG-1029179"</f>
        <v>PRG-1029179</v>
      </c>
      <c r="E6127" t="s">
        <v>4029</v>
      </c>
      <c r="F6127" t="s">
        <v>4</v>
      </c>
      <c r="G6127" t="str">
        <f>""</f>
        <v/>
      </c>
    </row>
    <row r="6128" spans="1:7" x14ac:dyDescent="0.25">
      <c r="A6128" t="s">
        <v>8</v>
      </c>
      <c r="B6128" s="1" t="str">
        <f>"000036491 - RICH'S FDS-MAIN ARAMARK EX-SSS"</f>
        <v>000036491 - RICH'S FDS-MAIN ARAMARK EX-SSS</v>
      </c>
      <c r="C6128" t="s">
        <v>540</v>
      </c>
      <c r="D6128" s="1" t="str">
        <f t="shared" ref="D6128:D6191" si="177">"PRG-1029216"</f>
        <v>PRG-1029216</v>
      </c>
      <c r="E6128" t="s">
        <v>82</v>
      </c>
      <c r="F6128" t="s">
        <v>4</v>
      </c>
      <c r="G6128" t="str">
        <f>""</f>
        <v/>
      </c>
    </row>
    <row r="6129" spans="1:7" x14ac:dyDescent="0.25">
      <c r="A6129" t="s">
        <v>8</v>
      </c>
      <c r="B6129" s="1" t="str">
        <f>"000036492 - RICH'S FDS-SSS ARAMARK"</f>
        <v>000036492 - RICH'S FDS-SSS ARAMARK</v>
      </c>
      <c r="C6129" t="s">
        <v>541</v>
      </c>
      <c r="D6129" s="1" t="str">
        <f t="shared" si="177"/>
        <v>PRG-1029216</v>
      </c>
      <c r="E6129" t="s">
        <v>82</v>
      </c>
      <c r="F6129" t="s">
        <v>4</v>
      </c>
      <c r="G6129" t="str">
        <f>""</f>
        <v/>
      </c>
    </row>
    <row r="6130" spans="1:7" x14ac:dyDescent="0.25">
      <c r="A6130" t="s">
        <v>8</v>
      </c>
      <c r="B6130" s="1" t="str">
        <f>"000038408 - RICH FDS-MAIN ARAMARK EX-SSS"</f>
        <v>000038408 - RICH FDS-MAIN ARAMARK EX-SSS</v>
      </c>
      <c r="C6130" t="s">
        <v>556</v>
      </c>
      <c r="D6130" s="1" t="str">
        <f t="shared" si="177"/>
        <v>PRG-1029216</v>
      </c>
      <c r="E6130" t="s">
        <v>82</v>
      </c>
      <c r="F6130" t="s">
        <v>4</v>
      </c>
      <c r="G6130" t="str">
        <f>""</f>
        <v/>
      </c>
    </row>
    <row r="6131" spans="1:7" x14ac:dyDescent="0.25">
      <c r="A6131" t="s">
        <v>8</v>
      </c>
      <c r="B6131" s="1" t="str">
        <f>"000039325 - RICH FDS BB CORE-ARA EX-SSS"</f>
        <v>000039325 - RICH FDS BB CORE-ARA EX-SSS</v>
      </c>
      <c r="C6131" t="s">
        <v>570</v>
      </c>
      <c r="D6131" s="1" t="str">
        <f t="shared" si="177"/>
        <v>PRG-1029216</v>
      </c>
      <c r="E6131" t="s">
        <v>82</v>
      </c>
      <c r="F6131" t="s">
        <v>4</v>
      </c>
      <c r="G6131" t="str">
        <f>""</f>
        <v/>
      </c>
    </row>
    <row r="6132" spans="1:7" x14ac:dyDescent="0.25">
      <c r="A6132" t="s">
        <v>8</v>
      </c>
      <c r="B6132" s="1" t="str">
        <f>"000039326 - RICH FDS BB NCORE-ARA EX-SSS"</f>
        <v>000039326 - RICH FDS BB NCORE-ARA EX-SSS</v>
      </c>
      <c r="C6132" t="s">
        <v>571</v>
      </c>
      <c r="D6132" s="1" t="str">
        <f t="shared" si="177"/>
        <v>PRG-1029216</v>
      </c>
      <c r="E6132" t="s">
        <v>82</v>
      </c>
      <c r="F6132" t="s">
        <v>4</v>
      </c>
      <c r="G6132" t="str">
        <f>""</f>
        <v/>
      </c>
    </row>
    <row r="6133" spans="1:7" x14ac:dyDescent="0.25">
      <c r="A6133" t="s">
        <v>8</v>
      </c>
      <c r="B6133" s="1" t="str">
        <f>"000039859 - RICH FDS BB NCORE-ARA EX-SSS"</f>
        <v>000039859 - RICH FDS BB NCORE-ARA EX-SSS</v>
      </c>
      <c r="C6133" t="s">
        <v>571</v>
      </c>
      <c r="D6133" s="1" t="str">
        <f t="shared" si="177"/>
        <v>PRG-1029216</v>
      </c>
      <c r="E6133" t="s">
        <v>82</v>
      </c>
      <c r="F6133" t="s">
        <v>4</v>
      </c>
      <c r="G6133" t="str">
        <f>""</f>
        <v/>
      </c>
    </row>
    <row r="6134" spans="1:7" x14ac:dyDescent="0.25">
      <c r="A6134" t="s">
        <v>8</v>
      </c>
      <c r="B6134" s="1" t="str">
        <f>"000039860 - RICH FDS BB CORE-ARA EX-SSS"</f>
        <v>000039860 - RICH FDS BB CORE-ARA EX-SSS</v>
      </c>
      <c r="C6134" t="s">
        <v>570</v>
      </c>
      <c r="D6134" s="1" t="str">
        <f t="shared" si="177"/>
        <v>PRG-1029216</v>
      </c>
      <c r="E6134" t="s">
        <v>82</v>
      </c>
      <c r="F6134" t="s">
        <v>4</v>
      </c>
      <c r="G6134" t="str">
        <f>""</f>
        <v/>
      </c>
    </row>
    <row r="6135" spans="1:7" x14ac:dyDescent="0.25">
      <c r="A6135" t="s">
        <v>8</v>
      </c>
      <c r="B6135" s="1" t="str">
        <f>"000040709 - RICH FDS BB NCORE-ARA EX-SSS"</f>
        <v>000040709 - RICH FDS BB NCORE-ARA EX-SSS</v>
      </c>
      <c r="C6135" t="s">
        <v>571</v>
      </c>
      <c r="D6135" s="1" t="str">
        <f t="shared" si="177"/>
        <v>PRG-1029216</v>
      </c>
      <c r="E6135" t="s">
        <v>82</v>
      </c>
      <c r="F6135" t="s">
        <v>4</v>
      </c>
      <c r="G6135" t="str">
        <f>""</f>
        <v/>
      </c>
    </row>
    <row r="6136" spans="1:7" x14ac:dyDescent="0.25">
      <c r="A6136" t="s">
        <v>8</v>
      </c>
      <c r="B6136" s="1" t="str">
        <f>"000040710 - RICH RDS BB CORE-ARA EX-SSS"</f>
        <v>000040710 - RICH RDS BB CORE-ARA EX-SSS</v>
      </c>
      <c r="C6136" t="s">
        <v>581</v>
      </c>
      <c r="D6136" s="1" t="str">
        <f t="shared" si="177"/>
        <v>PRG-1029216</v>
      </c>
      <c r="E6136" t="s">
        <v>82</v>
      </c>
      <c r="F6136" t="s">
        <v>4</v>
      </c>
      <c r="G6136" t="str">
        <f>""</f>
        <v/>
      </c>
    </row>
    <row r="6137" spans="1:7" x14ac:dyDescent="0.25">
      <c r="A6137" t="s">
        <v>8</v>
      </c>
      <c r="B6137" s="1" t="str">
        <f>"000043274 - RICH'S FDS-MAIN ARAMARK EX-SSS"</f>
        <v>000043274 - RICH'S FDS-MAIN ARAMARK EX-SSS</v>
      </c>
      <c r="C6137" t="s">
        <v>540</v>
      </c>
      <c r="D6137" s="1" t="str">
        <f t="shared" si="177"/>
        <v>PRG-1029216</v>
      </c>
      <c r="E6137" t="s">
        <v>82</v>
      </c>
      <c r="F6137" t="s">
        <v>4</v>
      </c>
      <c r="G6137" t="str">
        <f>""</f>
        <v/>
      </c>
    </row>
    <row r="6138" spans="1:7" x14ac:dyDescent="0.25">
      <c r="A6138" t="s">
        <v>8</v>
      </c>
      <c r="B6138" s="1" t="str">
        <f>"000046188 - RICH FDS-MAIN ARAMARK EX-SSS"</f>
        <v>000046188 - RICH FDS-MAIN ARAMARK EX-SSS</v>
      </c>
      <c r="C6138" t="s">
        <v>556</v>
      </c>
      <c r="D6138" s="1" t="str">
        <f t="shared" si="177"/>
        <v>PRG-1029216</v>
      </c>
      <c r="E6138" t="s">
        <v>82</v>
      </c>
      <c r="F6138" t="s">
        <v>4</v>
      </c>
      <c r="G6138" t="str">
        <f>""</f>
        <v/>
      </c>
    </row>
    <row r="6139" spans="1:7" x14ac:dyDescent="0.25">
      <c r="A6139" t="s">
        <v>8</v>
      </c>
      <c r="B6139" s="1" t="str">
        <f>"000047451 - RICH FDS BB CORE-ARA EX-SSS"</f>
        <v>000047451 - RICH FDS BB CORE-ARA EX-SSS</v>
      </c>
      <c r="C6139" t="s">
        <v>570</v>
      </c>
      <c r="D6139" s="1" t="str">
        <f t="shared" si="177"/>
        <v>PRG-1029216</v>
      </c>
      <c r="E6139" t="s">
        <v>82</v>
      </c>
      <c r="F6139" t="s">
        <v>4</v>
      </c>
      <c r="G6139" t="str">
        <f>""</f>
        <v/>
      </c>
    </row>
    <row r="6140" spans="1:7" x14ac:dyDescent="0.25">
      <c r="A6140" t="s">
        <v>8</v>
      </c>
      <c r="B6140" s="1" t="str">
        <f>"000047452 - RICH FDS BB NCORE-ARA EX-SSS"</f>
        <v>000047452 - RICH FDS BB NCORE-ARA EX-SSS</v>
      </c>
      <c r="C6140" t="s">
        <v>571</v>
      </c>
      <c r="D6140" s="1" t="str">
        <f t="shared" si="177"/>
        <v>PRG-1029216</v>
      </c>
      <c r="E6140" t="s">
        <v>82</v>
      </c>
      <c r="F6140" t="s">
        <v>4</v>
      </c>
      <c r="G6140" t="str">
        <f>""</f>
        <v/>
      </c>
    </row>
    <row r="6141" spans="1:7" x14ac:dyDescent="0.25">
      <c r="A6141" t="s">
        <v>8</v>
      </c>
      <c r="B6141" s="1" t="str">
        <f>"000048130 - RICH FDS BB NCORE-ARA EX-SSS"</f>
        <v>000048130 - RICH FDS BB NCORE-ARA EX-SSS</v>
      </c>
      <c r="C6141" t="s">
        <v>571</v>
      </c>
      <c r="D6141" s="1" t="str">
        <f t="shared" si="177"/>
        <v>PRG-1029216</v>
      </c>
      <c r="E6141" t="s">
        <v>82</v>
      </c>
      <c r="F6141" t="s">
        <v>4</v>
      </c>
      <c r="G6141" t="str">
        <f>""</f>
        <v/>
      </c>
    </row>
    <row r="6142" spans="1:7" x14ac:dyDescent="0.25">
      <c r="A6142" t="s">
        <v>8</v>
      </c>
      <c r="B6142" s="1" t="str">
        <f>"000048131 - RICH FDS BB CORE-ARA EX-SSS"</f>
        <v>000048131 - RICH FDS BB CORE-ARA EX-SSS</v>
      </c>
      <c r="C6142" t="s">
        <v>570</v>
      </c>
      <c r="D6142" s="1" t="str">
        <f t="shared" si="177"/>
        <v>PRG-1029216</v>
      </c>
      <c r="E6142" t="s">
        <v>82</v>
      </c>
      <c r="F6142" t="s">
        <v>4</v>
      </c>
      <c r="G6142" t="str">
        <f>""</f>
        <v/>
      </c>
    </row>
    <row r="6143" spans="1:7" x14ac:dyDescent="0.25">
      <c r="A6143" t="s">
        <v>8</v>
      </c>
      <c r="B6143" s="1" t="str">
        <f>"000049268 - RICH FDS BB NCORE-ARA EX-SSS"</f>
        <v>000049268 - RICH FDS BB NCORE-ARA EX-SSS</v>
      </c>
      <c r="C6143" t="s">
        <v>571</v>
      </c>
      <c r="D6143" s="1" t="str">
        <f t="shared" si="177"/>
        <v>PRG-1029216</v>
      </c>
      <c r="E6143" t="s">
        <v>82</v>
      </c>
      <c r="F6143" t="s">
        <v>4</v>
      </c>
      <c r="G6143" t="str">
        <f>""</f>
        <v/>
      </c>
    </row>
    <row r="6144" spans="1:7" x14ac:dyDescent="0.25">
      <c r="A6144" t="s">
        <v>8</v>
      </c>
      <c r="B6144" s="1" t="str">
        <f>"000049269 - RICH RDS BB CORE-ARA EX-SSS"</f>
        <v>000049269 - RICH RDS BB CORE-ARA EX-SSS</v>
      </c>
      <c r="C6144" t="s">
        <v>581</v>
      </c>
      <c r="D6144" s="1" t="str">
        <f t="shared" si="177"/>
        <v>PRG-1029216</v>
      </c>
      <c r="E6144" t="s">
        <v>82</v>
      </c>
      <c r="F6144" t="s">
        <v>4</v>
      </c>
      <c r="G6144" t="str">
        <f>""</f>
        <v/>
      </c>
    </row>
    <row r="6145" spans="1:7" x14ac:dyDescent="0.25">
      <c r="A6145" t="s">
        <v>8</v>
      </c>
      <c r="B6145" s="1" t="str">
        <f>"000102380 - RICH'S FDS-MAIN ARAMARK EX-SSS"</f>
        <v>000102380 - RICH'S FDS-MAIN ARAMARK EX-SSS</v>
      </c>
      <c r="C6145" t="s">
        <v>540</v>
      </c>
      <c r="D6145" s="1" t="str">
        <f t="shared" si="177"/>
        <v>PRG-1029216</v>
      </c>
      <c r="E6145" t="s">
        <v>82</v>
      </c>
      <c r="F6145" t="s">
        <v>4</v>
      </c>
      <c r="G6145" t="str">
        <f>""</f>
        <v/>
      </c>
    </row>
    <row r="6146" spans="1:7" x14ac:dyDescent="0.25">
      <c r="A6146" t="s">
        <v>8</v>
      </c>
      <c r="B6146" s="1" t="str">
        <f>"000102381 - RICH'S FDS-SSS ARAMARK"</f>
        <v>000102381 - RICH'S FDS-SSS ARAMARK</v>
      </c>
      <c r="C6146" t="s">
        <v>541</v>
      </c>
      <c r="D6146" s="1" t="str">
        <f t="shared" si="177"/>
        <v>PRG-1029216</v>
      </c>
      <c r="E6146" t="s">
        <v>82</v>
      </c>
      <c r="F6146" t="s">
        <v>4</v>
      </c>
      <c r="G6146" t="str">
        <f>""</f>
        <v/>
      </c>
    </row>
    <row r="6147" spans="1:7" x14ac:dyDescent="0.25">
      <c r="A6147" t="s">
        <v>8</v>
      </c>
      <c r="B6147" s="1" t="str">
        <f>"000104852 - RICH FDS-MAIN ARAMARK EX-SSS"</f>
        <v>000104852 - RICH FDS-MAIN ARAMARK EX-SSS</v>
      </c>
      <c r="C6147" t="s">
        <v>556</v>
      </c>
      <c r="D6147" s="1" t="str">
        <f t="shared" si="177"/>
        <v>PRG-1029216</v>
      </c>
      <c r="E6147" t="s">
        <v>82</v>
      </c>
      <c r="F6147" t="s">
        <v>4</v>
      </c>
      <c r="G6147" t="str">
        <f>""</f>
        <v/>
      </c>
    </row>
    <row r="6148" spans="1:7" x14ac:dyDescent="0.25">
      <c r="A6148" t="s">
        <v>8</v>
      </c>
      <c r="B6148" s="1" t="str">
        <f>"000105933 - RICH FDS BB CORE-ARA EX-SSS"</f>
        <v>000105933 - RICH FDS BB CORE-ARA EX-SSS</v>
      </c>
      <c r="C6148" t="s">
        <v>570</v>
      </c>
      <c r="D6148" s="1" t="str">
        <f t="shared" si="177"/>
        <v>PRG-1029216</v>
      </c>
      <c r="E6148" t="s">
        <v>82</v>
      </c>
      <c r="F6148" t="s">
        <v>4</v>
      </c>
      <c r="G6148" t="str">
        <f>""</f>
        <v/>
      </c>
    </row>
    <row r="6149" spans="1:7" x14ac:dyDescent="0.25">
      <c r="A6149" t="s">
        <v>8</v>
      </c>
      <c r="B6149" s="1" t="str">
        <f>"000105934 - RICH FDS BB NCORE-ARA EX-SSS"</f>
        <v>000105934 - RICH FDS BB NCORE-ARA EX-SSS</v>
      </c>
      <c r="C6149" t="s">
        <v>571</v>
      </c>
      <c r="D6149" s="1" t="str">
        <f t="shared" si="177"/>
        <v>PRG-1029216</v>
      </c>
      <c r="E6149" t="s">
        <v>82</v>
      </c>
      <c r="F6149" t="s">
        <v>4</v>
      </c>
      <c r="G6149" t="str">
        <f>""</f>
        <v/>
      </c>
    </row>
    <row r="6150" spans="1:7" x14ac:dyDescent="0.25">
      <c r="A6150" t="s">
        <v>8</v>
      </c>
      <c r="B6150" s="1" t="str">
        <f>"000106567 - RICH FDS BB NCORE-ARA EX-SSS"</f>
        <v>000106567 - RICH FDS BB NCORE-ARA EX-SSS</v>
      </c>
      <c r="C6150" t="s">
        <v>571</v>
      </c>
      <c r="D6150" s="1" t="str">
        <f t="shared" si="177"/>
        <v>PRG-1029216</v>
      </c>
      <c r="E6150" t="s">
        <v>82</v>
      </c>
      <c r="F6150" t="s">
        <v>4</v>
      </c>
      <c r="G6150" t="str">
        <f>""</f>
        <v/>
      </c>
    </row>
    <row r="6151" spans="1:7" x14ac:dyDescent="0.25">
      <c r="A6151" t="s">
        <v>8</v>
      </c>
      <c r="B6151" s="1" t="str">
        <f>"000106568 - RICH FDS BB CORE-ARA EX-SSS"</f>
        <v>000106568 - RICH FDS BB CORE-ARA EX-SSS</v>
      </c>
      <c r="C6151" t="s">
        <v>570</v>
      </c>
      <c r="D6151" s="1" t="str">
        <f t="shared" si="177"/>
        <v>PRG-1029216</v>
      </c>
      <c r="E6151" t="s">
        <v>82</v>
      </c>
      <c r="F6151" t="s">
        <v>4</v>
      </c>
      <c r="G6151" t="str">
        <f>""</f>
        <v/>
      </c>
    </row>
    <row r="6152" spans="1:7" x14ac:dyDescent="0.25">
      <c r="A6152" t="s">
        <v>8</v>
      </c>
      <c r="B6152" s="1" t="str">
        <f>"000107796 - RICH FDS BB NCORE-ARA EX-SSS"</f>
        <v>000107796 - RICH FDS BB NCORE-ARA EX-SSS</v>
      </c>
      <c r="C6152" t="s">
        <v>571</v>
      </c>
      <c r="D6152" s="1" t="str">
        <f t="shared" si="177"/>
        <v>PRG-1029216</v>
      </c>
      <c r="E6152" t="s">
        <v>82</v>
      </c>
      <c r="F6152" t="s">
        <v>4</v>
      </c>
      <c r="G6152" t="str">
        <f>""</f>
        <v/>
      </c>
    </row>
    <row r="6153" spans="1:7" x14ac:dyDescent="0.25">
      <c r="A6153" t="s">
        <v>8</v>
      </c>
      <c r="B6153" s="1" t="str">
        <f>"000107797 - RICH RDS BB CORE-ARA EX-SSS"</f>
        <v>000107797 - RICH RDS BB CORE-ARA EX-SSS</v>
      </c>
      <c r="C6153" t="s">
        <v>581</v>
      </c>
      <c r="D6153" s="1" t="str">
        <f t="shared" si="177"/>
        <v>PRG-1029216</v>
      </c>
      <c r="E6153" t="s">
        <v>82</v>
      </c>
      <c r="F6153" t="s">
        <v>4</v>
      </c>
      <c r="G6153" t="str">
        <f>""</f>
        <v/>
      </c>
    </row>
    <row r="6154" spans="1:7" x14ac:dyDescent="0.25">
      <c r="A6154" t="s">
        <v>8</v>
      </c>
      <c r="B6154" s="1" t="str">
        <f>"000112045 - RICH'S FDS-MAIN ARAMARK EX-SSS"</f>
        <v>000112045 - RICH'S FDS-MAIN ARAMARK EX-SSS</v>
      </c>
      <c r="C6154" t="s">
        <v>540</v>
      </c>
      <c r="D6154" s="1" t="str">
        <f t="shared" si="177"/>
        <v>PRG-1029216</v>
      </c>
      <c r="E6154" t="s">
        <v>82</v>
      </c>
      <c r="F6154" t="s">
        <v>4</v>
      </c>
      <c r="G6154" t="str">
        <f>""</f>
        <v/>
      </c>
    </row>
    <row r="6155" spans="1:7" x14ac:dyDescent="0.25">
      <c r="A6155" t="s">
        <v>8</v>
      </c>
      <c r="B6155" s="1" t="str">
        <f>"000112046 - RICH'S FDS-SSS ARAMARK"</f>
        <v>000112046 - RICH'S FDS-SSS ARAMARK</v>
      </c>
      <c r="C6155" t="s">
        <v>541</v>
      </c>
      <c r="D6155" s="1" t="str">
        <f t="shared" si="177"/>
        <v>PRG-1029216</v>
      </c>
      <c r="E6155" t="s">
        <v>82</v>
      </c>
      <c r="F6155" t="s">
        <v>4</v>
      </c>
      <c r="G6155" t="str">
        <f>""</f>
        <v/>
      </c>
    </row>
    <row r="6156" spans="1:7" x14ac:dyDescent="0.25">
      <c r="A6156" t="s">
        <v>8</v>
      </c>
      <c r="B6156" s="1" t="str">
        <f>"000114276 - RICH FDS-MAIN ARAMARK EX-SSS"</f>
        <v>000114276 - RICH FDS-MAIN ARAMARK EX-SSS</v>
      </c>
      <c r="C6156" t="s">
        <v>556</v>
      </c>
      <c r="D6156" s="1" t="str">
        <f t="shared" si="177"/>
        <v>PRG-1029216</v>
      </c>
      <c r="E6156" t="s">
        <v>82</v>
      </c>
      <c r="F6156" t="s">
        <v>4</v>
      </c>
      <c r="G6156" t="str">
        <f>""</f>
        <v/>
      </c>
    </row>
    <row r="6157" spans="1:7" x14ac:dyDescent="0.25">
      <c r="A6157" t="s">
        <v>8</v>
      </c>
      <c r="B6157" s="1" t="str">
        <f>"000114699 - RICHS FDS CORE BB-SSS ARAMARK"</f>
        <v>000114699 - RICHS FDS CORE BB-SSS ARAMARK</v>
      </c>
      <c r="C6157" t="s">
        <v>858</v>
      </c>
      <c r="D6157" s="1" t="str">
        <f t="shared" si="177"/>
        <v>PRG-1029216</v>
      </c>
      <c r="E6157" t="s">
        <v>82</v>
      </c>
      <c r="F6157" t="s">
        <v>4</v>
      </c>
      <c r="G6157" t="str">
        <f>""</f>
        <v/>
      </c>
    </row>
    <row r="6158" spans="1:7" x14ac:dyDescent="0.25">
      <c r="A6158" t="s">
        <v>8</v>
      </c>
      <c r="B6158" s="1" t="str">
        <f>"000115199 - RICH FDS BB CORE-ARA EX-SSS"</f>
        <v>000115199 - RICH FDS BB CORE-ARA EX-SSS</v>
      </c>
      <c r="C6158" t="s">
        <v>570</v>
      </c>
      <c r="D6158" s="1" t="str">
        <f t="shared" si="177"/>
        <v>PRG-1029216</v>
      </c>
      <c r="E6158" t="s">
        <v>82</v>
      </c>
      <c r="F6158" t="s">
        <v>4</v>
      </c>
      <c r="G6158" t="str">
        <f>""</f>
        <v/>
      </c>
    </row>
    <row r="6159" spans="1:7" x14ac:dyDescent="0.25">
      <c r="A6159" t="s">
        <v>8</v>
      </c>
      <c r="B6159" s="1" t="str">
        <f>"000115200 - RICH FDS BB NCORE-ARA EX-SSS"</f>
        <v>000115200 - RICH FDS BB NCORE-ARA EX-SSS</v>
      </c>
      <c r="C6159" t="s">
        <v>571</v>
      </c>
      <c r="D6159" s="1" t="str">
        <f t="shared" si="177"/>
        <v>PRG-1029216</v>
      </c>
      <c r="E6159" t="s">
        <v>82</v>
      </c>
      <c r="F6159" t="s">
        <v>4</v>
      </c>
      <c r="G6159" t="str">
        <f>""</f>
        <v/>
      </c>
    </row>
    <row r="6160" spans="1:7" x14ac:dyDescent="0.25">
      <c r="A6160" t="s">
        <v>8</v>
      </c>
      <c r="B6160" s="1" t="str">
        <f>"000115810 - RICH FDS BB NCORE-ARA EX-SSS"</f>
        <v>000115810 - RICH FDS BB NCORE-ARA EX-SSS</v>
      </c>
      <c r="C6160" t="s">
        <v>571</v>
      </c>
      <c r="D6160" s="1" t="str">
        <f t="shared" si="177"/>
        <v>PRG-1029216</v>
      </c>
      <c r="E6160" t="s">
        <v>82</v>
      </c>
      <c r="F6160" t="s">
        <v>4</v>
      </c>
      <c r="G6160" t="str">
        <f>""</f>
        <v/>
      </c>
    </row>
    <row r="6161" spans="1:7" x14ac:dyDescent="0.25">
      <c r="A6161" t="s">
        <v>8</v>
      </c>
      <c r="B6161" s="1" t="str">
        <f>"000115811 - RICH FDS BB CORE-ARA EX-SSS"</f>
        <v>000115811 - RICH FDS BB CORE-ARA EX-SSS</v>
      </c>
      <c r="C6161" t="s">
        <v>570</v>
      </c>
      <c r="D6161" s="1" t="str">
        <f t="shared" si="177"/>
        <v>PRG-1029216</v>
      </c>
      <c r="E6161" t="s">
        <v>82</v>
      </c>
      <c r="F6161" t="s">
        <v>4</v>
      </c>
      <c r="G6161" t="str">
        <f>""</f>
        <v/>
      </c>
    </row>
    <row r="6162" spans="1:7" x14ac:dyDescent="0.25">
      <c r="A6162" t="s">
        <v>8</v>
      </c>
      <c r="B6162" s="1" t="str">
        <f>"000116659 - RICH FDS BB NCORE-ARA EX-SSS"</f>
        <v>000116659 - RICH FDS BB NCORE-ARA EX-SSS</v>
      </c>
      <c r="C6162" t="s">
        <v>571</v>
      </c>
      <c r="D6162" s="1" t="str">
        <f t="shared" si="177"/>
        <v>PRG-1029216</v>
      </c>
      <c r="E6162" t="s">
        <v>82</v>
      </c>
      <c r="F6162" t="s">
        <v>4</v>
      </c>
      <c r="G6162" t="str">
        <f>""</f>
        <v/>
      </c>
    </row>
    <row r="6163" spans="1:7" x14ac:dyDescent="0.25">
      <c r="A6163" t="s">
        <v>8</v>
      </c>
      <c r="B6163" s="1" t="str">
        <f>"000116660 - RICH RDS BB CORE-ARA EX-SSS"</f>
        <v>000116660 - RICH RDS BB CORE-ARA EX-SSS</v>
      </c>
      <c r="C6163" t="s">
        <v>581</v>
      </c>
      <c r="D6163" s="1" t="str">
        <f t="shared" si="177"/>
        <v>PRG-1029216</v>
      </c>
      <c r="E6163" t="s">
        <v>82</v>
      </c>
      <c r="F6163" t="s">
        <v>4</v>
      </c>
      <c r="G6163" t="str">
        <f>""</f>
        <v/>
      </c>
    </row>
    <row r="6164" spans="1:7" x14ac:dyDescent="0.25">
      <c r="A6164" t="s">
        <v>8</v>
      </c>
      <c r="B6164" s="1" t="str">
        <f>"000124584 - RICH'S FDS-MAIN ARAMARK EX-SSS"</f>
        <v>000124584 - RICH'S FDS-MAIN ARAMARK EX-SSS</v>
      </c>
      <c r="C6164" t="s">
        <v>540</v>
      </c>
      <c r="D6164" s="1" t="str">
        <f t="shared" si="177"/>
        <v>PRG-1029216</v>
      </c>
      <c r="E6164" t="s">
        <v>82</v>
      </c>
      <c r="F6164" t="s">
        <v>4</v>
      </c>
      <c r="G6164" t="str">
        <f>""</f>
        <v/>
      </c>
    </row>
    <row r="6165" spans="1:7" x14ac:dyDescent="0.25">
      <c r="A6165" t="s">
        <v>8</v>
      </c>
      <c r="B6165" s="1" t="str">
        <f>"000124585 - RICH'S FDS-SSS ARAMARK"</f>
        <v>000124585 - RICH'S FDS-SSS ARAMARK</v>
      </c>
      <c r="C6165" t="s">
        <v>541</v>
      </c>
      <c r="D6165" s="1" t="str">
        <f t="shared" si="177"/>
        <v>PRG-1029216</v>
      </c>
      <c r="E6165" t="s">
        <v>82</v>
      </c>
      <c r="F6165" t="s">
        <v>4</v>
      </c>
      <c r="G6165" t="str">
        <f>""</f>
        <v/>
      </c>
    </row>
    <row r="6166" spans="1:7" x14ac:dyDescent="0.25">
      <c r="A6166" t="s">
        <v>8</v>
      </c>
      <c r="B6166" s="1" t="str">
        <f>"000127087 - RICH FDS-MAIN ARAMARK EX-SSS"</f>
        <v>000127087 - RICH FDS-MAIN ARAMARK EX-SSS</v>
      </c>
      <c r="C6166" t="s">
        <v>556</v>
      </c>
      <c r="D6166" s="1" t="str">
        <f t="shared" si="177"/>
        <v>PRG-1029216</v>
      </c>
      <c r="E6166" t="s">
        <v>82</v>
      </c>
      <c r="F6166" t="s">
        <v>4</v>
      </c>
      <c r="G6166" t="str">
        <f>""</f>
        <v/>
      </c>
    </row>
    <row r="6167" spans="1:7" x14ac:dyDescent="0.25">
      <c r="A6167" t="s">
        <v>8</v>
      </c>
      <c r="B6167" s="1" t="str">
        <f>"000128146 - RICH FDS BB CORE-ARA EX-SSS"</f>
        <v>000128146 - RICH FDS BB CORE-ARA EX-SSS</v>
      </c>
      <c r="C6167" t="s">
        <v>570</v>
      </c>
      <c r="D6167" s="1" t="str">
        <f t="shared" si="177"/>
        <v>PRG-1029216</v>
      </c>
      <c r="E6167" t="s">
        <v>82</v>
      </c>
      <c r="F6167" t="s">
        <v>4</v>
      </c>
      <c r="G6167" t="str">
        <f>""</f>
        <v/>
      </c>
    </row>
    <row r="6168" spans="1:7" x14ac:dyDescent="0.25">
      <c r="A6168" t="s">
        <v>8</v>
      </c>
      <c r="B6168" s="1" t="str">
        <f>"000128147 - RICH FDS BB NCORE-ARA EX-SSS"</f>
        <v>000128147 - RICH FDS BB NCORE-ARA EX-SSS</v>
      </c>
      <c r="C6168" t="s">
        <v>571</v>
      </c>
      <c r="D6168" s="1" t="str">
        <f t="shared" si="177"/>
        <v>PRG-1029216</v>
      </c>
      <c r="E6168" t="s">
        <v>82</v>
      </c>
      <c r="F6168" t="s">
        <v>4</v>
      </c>
      <c r="G6168" t="str">
        <f>""</f>
        <v/>
      </c>
    </row>
    <row r="6169" spans="1:7" x14ac:dyDescent="0.25">
      <c r="A6169" t="s">
        <v>8</v>
      </c>
      <c r="B6169" s="1" t="str">
        <f>"000128769 - RICH FDS BB NCORE-ARA EX-SSS"</f>
        <v>000128769 - RICH FDS BB NCORE-ARA EX-SSS</v>
      </c>
      <c r="C6169" t="s">
        <v>571</v>
      </c>
      <c r="D6169" s="1" t="str">
        <f t="shared" si="177"/>
        <v>PRG-1029216</v>
      </c>
      <c r="E6169" t="s">
        <v>82</v>
      </c>
      <c r="F6169" t="s">
        <v>4</v>
      </c>
      <c r="G6169" t="str">
        <f>""</f>
        <v/>
      </c>
    </row>
    <row r="6170" spans="1:7" x14ac:dyDescent="0.25">
      <c r="A6170" t="s">
        <v>8</v>
      </c>
      <c r="B6170" s="1" t="str">
        <f>"000128770 - RICH FDS BB CORE-ARA EX-SSS"</f>
        <v>000128770 - RICH FDS BB CORE-ARA EX-SSS</v>
      </c>
      <c r="C6170" t="s">
        <v>570</v>
      </c>
      <c r="D6170" s="1" t="str">
        <f t="shared" si="177"/>
        <v>PRG-1029216</v>
      </c>
      <c r="E6170" t="s">
        <v>82</v>
      </c>
      <c r="F6170" t="s">
        <v>4</v>
      </c>
      <c r="G6170" t="str">
        <f>""</f>
        <v/>
      </c>
    </row>
    <row r="6171" spans="1:7" x14ac:dyDescent="0.25">
      <c r="A6171" t="s">
        <v>8</v>
      </c>
      <c r="B6171" s="1" t="str">
        <f>"000129714 - RICH FDS BB NCORE-ARA EX-SSS"</f>
        <v>000129714 - RICH FDS BB NCORE-ARA EX-SSS</v>
      </c>
      <c r="C6171" t="s">
        <v>571</v>
      </c>
      <c r="D6171" s="1" t="str">
        <f t="shared" si="177"/>
        <v>PRG-1029216</v>
      </c>
      <c r="E6171" t="s">
        <v>82</v>
      </c>
      <c r="F6171" t="s">
        <v>4</v>
      </c>
      <c r="G6171" t="str">
        <f>""</f>
        <v/>
      </c>
    </row>
    <row r="6172" spans="1:7" x14ac:dyDescent="0.25">
      <c r="A6172" t="s">
        <v>8</v>
      </c>
      <c r="B6172" s="1" t="str">
        <f>"000129715 - RICH RDS BB CORE-ARA EX-SSS"</f>
        <v>000129715 - RICH RDS BB CORE-ARA EX-SSS</v>
      </c>
      <c r="C6172" t="s">
        <v>581</v>
      </c>
      <c r="D6172" s="1" t="str">
        <f t="shared" si="177"/>
        <v>PRG-1029216</v>
      </c>
      <c r="E6172" t="s">
        <v>82</v>
      </c>
      <c r="F6172" t="s">
        <v>4</v>
      </c>
      <c r="G6172" t="str">
        <f>""</f>
        <v/>
      </c>
    </row>
    <row r="6173" spans="1:7" x14ac:dyDescent="0.25">
      <c r="A6173" t="s">
        <v>8</v>
      </c>
      <c r="B6173" s="1" t="str">
        <f>"000133148 - RICH'S FDS-MAIN ARAMARK EX-SSS"</f>
        <v>000133148 - RICH'S FDS-MAIN ARAMARK EX-SSS</v>
      </c>
      <c r="C6173" t="s">
        <v>540</v>
      </c>
      <c r="D6173" s="1" t="str">
        <f t="shared" si="177"/>
        <v>PRG-1029216</v>
      </c>
      <c r="E6173" t="s">
        <v>82</v>
      </c>
      <c r="F6173" t="s">
        <v>4</v>
      </c>
      <c r="G6173" t="str">
        <f>""</f>
        <v/>
      </c>
    </row>
    <row r="6174" spans="1:7" x14ac:dyDescent="0.25">
      <c r="A6174" t="s">
        <v>8</v>
      </c>
      <c r="B6174" s="1" t="str">
        <f>"000135132 - RICH FDS-MAIN ARAMARK EX-SSS"</f>
        <v>000135132 - RICH FDS-MAIN ARAMARK EX-SSS</v>
      </c>
      <c r="C6174" t="s">
        <v>556</v>
      </c>
      <c r="D6174" s="1" t="str">
        <f t="shared" si="177"/>
        <v>PRG-1029216</v>
      </c>
      <c r="E6174" t="s">
        <v>82</v>
      </c>
      <c r="F6174" t="s">
        <v>4</v>
      </c>
      <c r="G6174" t="str">
        <f>""</f>
        <v/>
      </c>
    </row>
    <row r="6175" spans="1:7" x14ac:dyDescent="0.25">
      <c r="A6175" t="s">
        <v>8</v>
      </c>
      <c r="B6175" s="1" t="str">
        <f>"000137413 - "</f>
        <v xml:space="preserve">000137413 - </v>
      </c>
      <c r="D6175" s="1" t="str">
        <f t="shared" si="177"/>
        <v>PRG-1029216</v>
      </c>
      <c r="E6175" t="s">
        <v>82</v>
      </c>
      <c r="F6175" t="s">
        <v>4</v>
      </c>
      <c r="G6175" t="str">
        <f>""</f>
        <v/>
      </c>
    </row>
    <row r="6176" spans="1:7" x14ac:dyDescent="0.25">
      <c r="A6176" t="s">
        <v>8</v>
      </c>
      <c r="B6176" s="1" t="str">
        <f>"000137414 - "</f>
        <v xml:space="preserve">000137414 - </v>
      </c>
      <c r="D6176" s="1" t="str">
        <f t="shared" si="177"/>
        <v>PRG-1029216</v>
      </c>
      <c r="E6176" t="s">
        <v>82</v>
      </c>
      <c r="F6176" t="s">
        <v>4</v>
      </c>
      <c r="G6176" t="str">
        <f>""</f>
        <v/>
      </c>
    </row>
    <row r="6177" spans="1:7" x14ac:dyDescent="0.25">
      <c r="A6177" t="s">
        <v>8</v>
      </c>
      <c r="B6177" s="1" t="str">
        <f>"000154599 - "</f>
        <v xml:space="preserve">000154599 - </v>
      </c>
      <c r="D6177" s="1" t="str">
        <f t="shared" si="177"/>
        <v>PRG-1029216</v>
      </c>
      <c r="E6177" t="s">
        <v>82</v>
      </c>
      <c r="F6177" t="s">
        <v>4</v>
      </c>
      <c r="G6177" t="str">
        <f>""</f>
        <v/>
      </c>
    </row>
    <row r="6178" spans="1:7" x14ac:dyDescent="0.25">
      <c r="A6178" t="s">
        <v>8</v>
      </c>
      <c r="B6178" s="1" t="str">
        <f>"000154600 - "</f>
        <v xml:space="preserve">000154600 - </v>
      </c>
      <c r="D6178" s="1" t="str">
        <f t="shared" si="177"/>
        <v>PRG-1029216</v>
      </c>
      <c r="E6178" t="s">
        <v>82</v>
      </c>
      <c r="F6178" t="s">
        <v>4</v>
      </c>
      <c r="G6178" t="str">
        <f>""</f>
        <v/>
      </c>
    </row>
    <row r="6179" spans="1:7" x14ac:dyDescent="0.25">
      <c r="A6179" t="s">
        <v>8</v>
      </c>
      <c r="B6179" s="1" t="str">
        <f>"000156418 - "</f>
        <v xml:space="preserve">000156418 - </v>
      </c>
      <c r="D6179" s="1" t="str">
        <f t="shared" si="177"/>
        <v>PRG-1029216</v>
      </c>
      <c r="E6179" t="s">
        <v>82</v>
      </c>
      <c r="F6179" t="s">
        <v>4</v>
      </c>
      <c r="G6179" t="str">
        <f>""</f>
        <v/>
      </c>
    </row>
    <row r="6180" spans="1:7" x14ac:dyDescent="0.25">
      <c r="A6180" t="s">
        <v>8</v>
      </c>
      <c r="B6180" s="1" t="str">
        <f>"000156419 - "</f>
        <v xml:space="preserve">000156419 - </v>
      </c>
      <c r="D6180" s="1" t="str">
        <f t="shared" si="177"/>
        <v>PRG-1029216</v>
      </c>
      <c r="E6180" t="s">
        <v>82</v>
      </c>
      <c r="F6180" t="s">
        <v>4</v>
      </c>
      <c r="G6180" t="str">
        <f>""</f>
        <v/>
      </c>
    </row>
    <row r="6181" spans="1:7" x14ac:dyDescent="0.25">
      <c r="A6181" t="s">
        <v>8</v>
      </c>
      <c r="B6181" s="1" t="str">
        <f>"000191078 - RICH'S FDS-MAIN ARAMARK EX-SSS"</f>
        <v>000191078 - RICH'S FDS-MAIN ARAMARK EX-SSS</v>
      </c>
      <c r="C6181" t="s">
        <v>540</v>
      </c>
      <c r="D6181" s="1" t="str">
        <f t="shared" si="177"/>
        <v>PRG-1029216</v>
      </c>
      <c r="E6181" t="s">
        <v>82</v>
      </c>
      <c r="F6181" t="s">
        <v>4</v>
      </c>
      <c r="G6181" t="str">
        <f>""</f>
        <v/>
      </c>
    </row>
    <row r="6182" spans="1:7" x14ac:dyDescent="0.25">
      <c r="A6182" t="s">
        <v>8</v>
      </c>
      <c r="B6182" s="1" t="str">
        <f>"000191079 - RICH'S FDS-SSS ARAMARK"</f>
        <v>000191079 - RICH'S FDS-SSS ARAMARK</v>
      </c>
      <c r="C6182" t="s">
        <v>541</v>
      </c>
      <c r="D6182" s="1" t="str">
        <f t="shared" si="177"/>
        <v>PRG-1029216</v>
      </c>
      <c r="E6182" t="s">
        <v>82</v>
      </c>
      <c r="F6182" t="s">
        <v>4</v>
      </c>
      <c r="G6182" t="str">
        <f>""</f>
        <v/>
      </c>
    </row>
    <row r="6183" spans="1:7" x14ac:dyDescent="0.25">
      <c r="A6183" t="s">
        <v>8</v>
      </c>
      <c r="B6183" s="1" t="str">
        <f>"000191115 - RICH'S FDS-MAIN ARAMARK EX-SSS"</f>
        <v>000191115 - RICH'S FDS-MAIN ARAMARK EX-SSS</v>
      </c>
      <c r="C6183" t="s">
        <v>540</v>
      </c>
      <c r="D6183" s="1" t="str">
        <f t="shared" si="177"/>
        <v>PRG-1029216</v>
      </c>
      <c r="E6183" t="s">
        <v>82</v>
      </c>
      <c r="F6183" t="s">
        <v>4</v>
      </c>
      <c r="G6183" t="str">
        <f>""</f>
        <v/>
      </c>
    </row>
    <row r="6184" spans="1:7" x14ac:dyDescent="0.25">
      <c r="A6184" t="s">
        <v>8</v>
      </c>
      <c r="B6184" s="1" t="str">
        <f>"000191116 - RICH'S FDS-SSS ARAMARK"</f>
        <v>000191116 - RICH'S FDS-SSS ARAMARK</v>
      </c>
      <c r="C6184" t="s">
        <v>541</v>
      </c>
      <c r="D6184" s="1" t="str">
        <f t="shared" si="177"/>
        <v>PRG-1029216</v>
      </c>
      <c r="E6184" t="s">
        <v>82</v>
      </c>
      <c r="F6184" t="s">
        <v>4</v>
      </c>
      <c r="G6184" t="str">
        <f>""</f>
        <v/>
      </c>
    </row>
    <row r="6185" spans="1:7" x14ac:dyDescent="0.25">
      <c r="A6185" t="s">
        <v>8</v>
      </c>
      <c r="B6185" s="1" t="str">
        <f>"000193537 - (L)RICH FDS(SSS ARA-191116)"</f>
        <v>000193537 - (L)RICH FDS(SSS ARA-191116)</v>
      </c>
      <c r="C6185" t="s">
        <v>1235</v>
      </c>
      <c r="D6185" s="1" t="str">
        <f t="shared" si="177"/>
        <v>PRG-1029216</v>
      </c>
      <c r="E6185" t="s">
        <v>82</v>
      </c>
      <c r="F6185" t="s">
        <v>4</v>
      </c>
      <c r="G6185" t="str">
        <f>""</f>
        <v/>
      </c>
    </row>
    <row r="6186" spans="1:7" x14ac:dyDescent="0.25">
      <c r="A6186" t="s">
        <v>8</v>
      </c>
      <c r="B6186" s="1" t="str">
        <f>"000193597 - RICH FDS-MAIN ARAMARK EX-SSS"</f>
        <v>000193597 - RICH FDS-MAIN ARAMARK EX-SSS</v>
      </c>
      <c r="C6186" t="s">
        <v>556</v>
      </c>
      <c r="D6186" s="1" t="str">
        <f t="shared" si="177"/>
        <v>PRG-1029216</v>
      </c>
      <c r="E6186" t="s">
        <v>82</v>
      </c>
      <c r="F6186" t="s">
        <v>4</v>
      </c>
      <c r="G6186" t="str">
        <f>""</f>
        <v/>
      </c>
    </row>
    <row r="6187" spans="1:7" x14ac:dyDescent="0.25">
      <c r="A6187" t="s">
        <v>8</v>
      </c>
      <c r="B6187" s="1" t="str">
        <f>"000194093 - RICH FDS-MAIN ARAMARK EX-SSS"</f>
        <v>000194093 - RICH FDS-MAIN ARAMARK EX-SSS</v>
      </c>
      <c r="C6187" t="s">
        <v>556</v>
      </c>
      <c r="D6187" s="1" t="str">
        <f t="shared" si="177"/>
        <v>PRG-1029216</v>
      </c>
      <c r="E6187" t="s">
        <v>82</v>
      </c>
      <c r="F6187" t="s">
        <v>4</v>
      </c>
      <c r="G6187" t="str">
        <f>""</f>
        <v/>
      </c>
    </row>
    <row r="6188" spans="1:7" x14ac:dyDescent="0.25">
      <c r="A6188" t="s">
        <v>8</v>
      </c>
      <c r="B6188" s="1" t="str">
        <f>"000194823 - RICH FDS BB CORE-ARA EX-SSS"</f>
        <v>000194823 - RICH FDS BB CORE-ARA EX-SSS</v>
      </c>
      <c r="C6188" t="s">
        <v>570</v>
      </c>
      <c r="D6188" s="1" t="str">
        <f t="shared" si="177"/>
        <v>PRG-1029216</v>
      </c>
      <c r="E6188" t="s">
        <v>82</v>
      </c>
      <c r="F6188" t="s">
        <v>4</v>
      </c>
      <c r="G6188" t="str">
        <f>""</f>
        <v/>
      </c>
    </row>
    <row r="6189" spans="1:7" x14ac:dyDescent="0.25">
      <c r="A6189" t="s">
        <v>8</v>
      </c>
      <c r="B6189" s="1" t="str">
        <f>"000194824 - RICH FDS BB NCORE-ARA EX-SSS"</f>
        <v>000194824 - RICH FDS BB NCORE-ARA EX-SSS</v>
      </c>
      <c r="C6189" t="s">
        <v>571</v>
      </c>
      <c r="D6189" s="1" t="str">
        <f t="shared" si="177"/>
        <v>PRG-1029216</v>
      </c>
      <c r="E6189" t="s">
        <v>82</v>
      </c>
      <c r="F6189" t="s">
        <v>4</v>
      </c>
      <c r="G6189" t="str">
        <f>""</f>
        <v/>
      </c>
    </row>
    <row r="6190" spans="1:7" x14ac:dyDescent="0.25">
      <c r="A6190" t="s">
        <v>8</v>
      </c>
      <c r="B6190" s="1" t="str">
        <f>"000195477 - RICH FDS BB CORE-ARA EX-SSS"</f>
        <v>000195477 - RICH FDS BB CORE-ARA EX-SSS</v>
      </c>
      <c r="C6190" t="s">
        <v>570</v>
      </c>
      <c r="D6190" s="1" t="str">
        <f t="shared" si="177"/>
        <v>PRG-1029216</v>
      </c>
      <c r="E6190" t="s">
        <v>82</v>
      </c>
      <c r="F6190" t="s">
        <v>4</v>
      </c>
      <c r="G6190" t="str">
        <f>""</f>
        <v/>
      </c>
    </row>
    <row r="6191" spans="1:7" x14ac:dyDescent="0.25">
      <c r="A6191" t="s">
        <v>8</v>
      </c>
      <c r="B6191" s="1" t="str">
        <f>"000195478 - RICH FDS BB NCORE-ARA EX-SSS"</f>
        <v>000195478 - RICH FDS BB NCORE-ARA EX-SSS</v>
      </c>
      <c r="C6191" t="s">
        <v>571</v>
      </c>
      <c r="D6191" s="1" t="str">
        <f t="shared" si="177"/>
        <v>PRG-1029216</v>
      </c>
      <c r="E6191" t="s">
        <v>82</v>
      </c>
      <c r="F6191" t="s">
        <v>4</v>
      </c>
      <c r="G6191" t="str">
        <f>""</f>
        <v/>
      </c>
    </row>
    <row r="6192" spans="1:7" x14ac:dyDescent="0.25">
      <c r="A6192" t="s">
        <v>8</v>
      </c>
      <c r="B6192" s="1" t="str">
        <f>"000195539 - RICH FDS BB NCORE-ARA EX-SSS"</f>
        <v>000195539 - RICH FDS BB NCORE-ARA EX-SSS</v>
      </c>
      <c r="C6192" t="s">
        <v>571</v>
      </c>
      <c r="D6192" s="1" t="str">
        <f t="shared" ref="D6192:D6255" si="178">"PRG-1029216"</f>
        <v>PRG-1029216</v>
      </c>
      <c r="E6192" t="s">
        <v>82</v>
      </c>
      <c r="F6192" t="s">
        <v>4</v>
      </c>
      <c r="G6192" t="str">
        <f>""</f>
        <v/>
      </c>
    </row>
    <row r="6193" spans="1:7" x14ac:dyDescent="0.25">
      <c r="A6193" t="s">
        <v>8</v>
      </c>
      <c r="B6193" s="1" t="str">
        <f>"000195540 - RICH FDS BB CORE-ARA EX-SSS"</f>
        <v>000195540 - RICH FDS BB CORE-ARA EX-SSS</v>
      </c>
      <c r="C6193" t="s">
        <v>570</v>
      </c>
      <c r="D6193" s="1" t="str">
        <f t="shared" si="178"/>
        <v>PRG-1029216</v>
      </c>
      <c r="E6193" t="s">
        <v>82</v>
      </c>
      <c r="F6193" t="s">
        <v>4</v>
      </c>
      <c r="G6193" t="str">
        <f>""</f>
        <v/>
      </c>
    </row>
    <row r="6194" spans="1:7" x14ac:dyDescent="0.25">
      <c r="A6194" t="s">
        <v>8</v>
      </c>
      <c r="B6194" s="1" t="str">
        <f>"000196225 - RICH FDS BB NCORE-ARA EX-SSS"</f>
        <v>000196225 - RICH FDS BB NCORE-ARA EX-SSS</v>
      </c>
      <c r="C6194" t="s">
        <v>571</v>
      </c>
      <c r="D6194" s="1" t="str">
        <f t="shared" si="178"/>
        <v>PRG-1029216</v>
      </c>
      <c r="E6194" t="s">
        <v>82</v>
      </c>
      <c r="F6194" t="s">
        <v>4</v>
      </c>
      <c r="G6194" t="str">
        <f>""</f>
        <v/>
      </c>
    </row>
    <row r="6195" spans="1:7" x14ac:dyDescent="0.25">
      <c r="A6195" t="s">
        <v>8</v>
      </c>
      <c r="B6195" s="1" t="str">
        <f>"000196226 - RICH FDS BB CORE-ARA EX-SSS"</f>
        <v>000196226 - RICH FDS BB CORE-ARA EX-SSS</v>
      </c>
      <c r="C6195" t="s">
        <v>570</v>
      </c>
      <c r="D6195" s="1" t="str">
        <f t="shared" si="178"/>
        <v>PRG-1029216</v>
      </c>
      <c r="E6195" t="s">
        <v>82</v>
      </c>
      <c r="F6195" t="s">
        <v>4</v>
      </c>
      <c r="G6195" t="str">
        <f>""</f>
        <v/>
      </c>
    </row>
    <row r="6196" spans="1:7" x14ac:dyDescent="0.25">
      <c r="A6196" t="s">
        <v>8</v>
      </c>
      <c r="B6196" s="1" t="str">
        <f>"000196769 - RICH FDS BB NCORE-ARA EX-SSS"</f>
        <v>000196769 - RICH FDS BB NCORE-ARA EX-SSS</v>
      </c>
      <c r="C6196" t="s">
        <v>571</v>
      </c>
      <c r="D6196" s="1" t="str">
        <f t="shared" si="178"/>
        <v>PRG-1029216</v>
      </c>
      <c r="E6196" t="s">
        <v>82</v>
      </c>
      <c r="F6196" t="s">
        <v>4</v>
      </c>
      <c r="G6196" t="str">
        <f>""</f>
        <v/>
      </c>
    </row>
    <row r="6197" spans="1:7" x14ac:dyDescent="0.25">
      <c r="A6197" t="s">
        <v>8</v>
      </c>
      <c r="B6197" s="1" t="str">
        <f>"000196770 - RICH RDS BB CORE-ARA EX-SSS"</f>
        <v>000196770 - RICH RDS BB CORE-ARA EX-SSS</v>
      </c>
      <c r="C6197" t="s">
        <v>581</v>
      </c>
      <c r="D6197" s="1" t="str">
        <f t="shared" si="178"/>
        <v>PRG-1029216</v>
      </c>
      <c r="E6197" t="s">
        <v>82</v>
      </c>
      <c r="F6197" t="s">
        <v>4</v>
      </c>
      <c r="G6197" t="str">
        <f>""</f>
        <v/>
      </c>
    </row>
    <row r="6198" spans="1:7" x14ac:dyDescent="0.25">
      <c r="A6198" t="s">
        <v>8</v>
      </c>
      <c r="B6198" s="1" t="str">
        <f>"000197381 - RICH FDS BB NCORE-ARA EX-SSS"</f>
        <v>000197381 - RICH FDS BB NCORE-ARA EX-SSS</v>
      </c>
      <c r="C6198" t="s">
        <v>571</v>
      </c>
      <c r="D6198" s="1" t="str">
        <f t="shared" si="178"/>
        <v>PRG-1029216</v>
      </c>
      <c r="E6198" t="s">
        <v>82</v>
      </c>
      <c r="F6198" t="s">
        <v>4</v>
      </c>
      <c r="G6198" t="str">
        <f>""</f>
        <v/>
      </c>
    </row>
    <row r="6199" spans="1:7" x14ac:dyDescent="0.25">
      <c r="A6199" t="s">
        <v>8</v>
      </c>
      <c r="B6199" s="1" t="str">
        <f>"000197383 - RICH RDS BB CORE-ARA EX-SSS"</f>
        <v>000197383 - RICH RDS BB CORE-ARA EX-SSS</v>
      </c>
      <c r="C6199" t="s">
        <v>581</v>
      </c>
      <c r="D6199" s="1" t="str">
        <f t="shared" si="178"/>
        <v>PRG-1029216</v>
      </c>
      <c r="E6199" t="s">
        <v>82</v>
      </c>
      <c r="F6199" t="s">
        <v>4</v>
      </c>
      <c r="G6199" t="str">
        <f>""</f>
        <v/>
      </c>
    </row>
    <row r="6200" spans="1:7" x14ac:dyDescent="0.25">
      <c r="A6200" t="s">
        <v>8</v>
      </c>
      <c r="B6200" s="1" t="str">
        <f>"000200730 - RICH FDS-MAIN ARAMARK EX-SSS"</f>
        <v>000200730 - RICH FDS-MAIN ARAMARK EX-SSS</v>
      </c>
      <c r="C6200" t="s">
        <v>556</v>
      </c>
      <c r="D6200" s="1" t="str">
        <f t="shared" si="178"/>
        <v>PRG-1029216</v>
      </c>
      <c r="E6200" t="s">
        <v>82</v>
      </c>
      <c r="F6200" t="s">
        <v>4</v>
      </c>
      <c r="G6200" t="str">
        <f>""</f>
        <v/>
      </c>
    </row>
    <row r="6201" spans="1:7" x14ac:dyDescent="0.25">
      <c r="A6201" t="s">
        <v>8</v>
      </c>
      <c r="B6201" s="1" t="str">
        <f>"000201937 - RICH FDS BB CORE-ARA EX-SSS"</f>
        <v>000201937 - RICH FDS BB CORE-ARA EX-SSS</v>
      </c>
      <c r="C6201" t="s">
        <v>570</v>
      </c>
      <c r="D6201" s="1" t="str">
        <f t="shared" si="178"/>
        <v>PRG-1029216</v>
      </c>
      <c r="E6201" t="s">
        <v>82</v>
      </c>
      <c r="F6201" t="s">
        <v>4</v>
      </c>
      <c r="G6201" t="str">
        <f>""</f>
        <v/>
      </c>
    </row>
    <row r="6202" spans="1:7" x14ac:dyDescent="0.25">
      <c r="A6202" t="s">
        <v>8</v>
      </c>
      <c r="B6202" s="1" t="str">
        <f>"000201938 - RICH FDS BB NCORE-ARA EX-SSS"</f>
        <v>000201938 - RICH FDS BB NCORE-ARA EX-SSS</v>
      </c>
      <c r="C6202" t="s">
        <v>571</v>
      </c>
      <c r="D6202" s="1" t="str">
        <f t="shared" si="178"/>
        <v>PRG-1029216</v>
      </c>
      <c r="E6202" t="s">
        <v>82</v>
      </c>
      <c r="F6202" t="s">
        <v>4</v>
      </c>
      <c r="G6202" t="str">
        <f>""</f>
        <v/>
      </c>
    </row>
    <row r="6203" spans="1:7" x14ac:dyDescent="0.25">
      <c r="A6203" t="s">
        <v>8</v>
      </c>
      <c r="B6203" s="1" t="str">
        <f>"000202621 - RICH FDS BB NCORE-ARA EX-SSS"</f>
        <v>000202621 - RICH FDS BB NCORE-ARA EX-SSS</v>
      </c>
      <c r="C6203" t="s">
        <v>571</v>
      </c>
      <c r="D6203" s="1" t="str">
        <f t="shared" si="178"/>
        <v>PRG-1029216</v>
      </c>
      <c r="E6203" t="s">
        <v>82</v>
      </c>
      <c r="F6203" t="s">
        <v>4</v>
      </c>
      <c r="G6203" t="str">
        <f>""</f>
        <v/>
      </c>
    </row>
    <row r="6204" spans="1:7" x14ac:dyDescent="0.25">
      <c r="A6204" t="s">
        <v>8</v>
      </c>
      <c r="B6204" s="1" t="str">
        <f>"000202622 - RICH FDS BB CORE-ARA EX-SSS"</f>
        <v>000202622 - RICH FDS BB CORE-ARA EX-SSS</v>
      </c>
      <c r="C6204" t="s">
        <v>570</v>
      </c>
      <c r="D6204" s="1" t="str">
        <f t="shared" si="178"/>
        <v>PRG-1029216</v>
      </c>
      <c r="E6204" t="s">
        <v>82</v>
      </c>
      <c r="F6204" t="s">
        <v>4</v>
      </c>
      <c r="G6204" t="str">
        <f>""</f>
        <v/>
      </c>
    </row>
    <row r="6205" spans="1:7" x14ac:dyDescent="0.25">
      <c r="A6205" t="s">
        <v>8</v>
      </c>
      <c r="B6205" s="1" t="str">
        <f>"000210608 - BB ARA FOB RICHS"</f>
        <v>000210608 - BB ARA FOB RICHS</v>
      </c>
      <c r="C6205" t="s">
        <v>1269</v>
      </c>
      <c r="D6205" s="1" t="str">
        <f t="shared" si="178"/>
        <v>PRG-1029216</v>
      </c>
      <c r="E6205" t="s">
        <v>82</v>
      </c>
      <c r="F6205" t="s">
        <v>4</v>
      </c>
      <c r="G6205" t="str">
        <f>""</f>
        <v/>
      </c>
    </row>
    <row r="6206" spans="1:7" x14ac:dyDescent="0.25">
      <c r="A6206" t="s">
        <v>8</v>
      </c>
      <c r="B6206" s="1" t="str">
        <f>"000210609 - BB ARA SSS FOB RICHS"</f>
        <v>000210609 - BB ARA SSS FOB RICHS</v>
      </c>
      <c r="C6206" t="s">
        <v>1230</v>
      </c>
      <c r="D6206" s="1" t="str">
        <f t="shared" si="178"/>
        <v>PRG-1029216</v>
      </c>
      <c r="E6206" t="s">
        <v>82</v>
      </c>
      <c r="F6206" t="s">
        <v>4</v>
      </c>
      <c r="G6206" t="str">
        <f>""</f>
        <v/>
      </c>
    </row>
    <row r="6207" spans="1:7" x14ac:dyDescent="0.25">
      <c r="A6207" t="s">
        <v>8</v>
      </c>
      <c r="B6207" s="1" t="str">
        <f>"000212189 - RICH'S FDS-MAIN ARAMARK EX-SSS"</f>
        <v>000212189 - RICH'S FDS-MAIN ARAMARK EX-SSS</v>
      </c>
      <c r="C6207" t="s">
        <v>540</v>
      </c>
      <c r="D6207" s="1" t="str">
        <f t="shared" si="178"/>
        <v>PRG-1029216</v>
      </c>
      <c r="E6207" t="s">
        <v>82</v>
      </c>
      <c r="F6207" t="s">
        <v>4</v>
      </c>
      <c r="G6207" t="str">
        <f>""</f>
        <v/>
      </c>
    </row>
    <row r="6208" spans="1:7" x14ac:dyDescent="0.25">
      <c r="A6208" t="s">
        <v>8</v>
      </c>
      <c r="B6208" s="1" t="str">
        <f>"000212682 - RICH'S FDS-SSS ARAMARK"</f>
        <v>000212682 - RICH'S FDS-SSS ARAMARK</v>
      </c>
      <c r="C6208" t="s">
        <v>541</v>
      </c>
      <c r="D6208" s="1" t="str">
        <f t="shared" si="178"/>
        <v>PRG-1029216</v>
      </c>
      <c r="E6208" t="s">
        <v>82</v>
      </c>
      <c r="F6208" t="s">
        <v>4</v>
      </c>
      <c r="G6208" t="str">
        <f>""</f>
        <v/>
      </c>
    </row>
    <row r="6209" spans="1:7" x14ac:dyDescent="0.25">
      <c r="A6209" t="s">
        <v>8</v>
      </c>
      <c r="B6209" s="1" t="str">
        <f>"000213342 - BB ARA FOB RICHS"</f>
        <v>000213342 - BB ARA FOB RICHS</v>
      </c>
      <c r="C6209" t="s">
        <v>1269</v>
      </c>
      <c r="D6209" s="1" t="str">
        <f t="shared" si="178"/>
        <v>PRG-1029216</v>
      </c>
      <c r="E6209" t="s">
        <v>82</v>
      </c>
      <c r="F6209" t="s">
        <v>4</v>
      </c>
      <c r="G6209" t="str">
        <f>""</f>
        <v/>
      </c>
    </row>
    <row r="6210" spans="1:7" x14ac:dyDescent="0.25">
      <c r="A6210" t="s">
        <v>8</v>
      </c>
      <c r="B6210" s="1" t="str">
        <f>"000214218 - RICH FDS-MAIN ARAMARK EX-SSS"</f>
        <v>000214218 - RICH FDS-MAIN ARAMARK EX-SSS</v>
      </c>
      <c r="C6210" t="s">
        <v>556</v>
      </c>
      <c r="D6210" s="1" t="str">
        <f t="shared" si="178"/>
        <v>PRG-1029216</v>
      </c>
      <c r="E6210" t="s">
        <v>82</v>
      </c>
      <c r="F6210" t="s">
        <v>4</v>
      </c>
      <c r="G6210" t="str">
        <f>""</f>
        <v/>
      </c>
    </row>
    <row r="6211" spans="1:7" x14ac:dyDescent="0.25">
      <c r="A6211" t="s">
        <v>8</v>
      </c>
      <c r="B6211" s="1" t="str">
        <f>"000214774 - RICH FDS BB CORE-ARA EX-SSS"</f>
        <v>000214774 - RICH FDS BB CORE-ARA EX-SSS</v>
      </c>
      <c r="C6211" t="s">
        <v>570</v>
      </c>
      <c r="D6211" s="1" t="str">
        <f t="shared" si="178"/>
        <v>PRG-1029216</v>
      </c>
      <c r="E6211" t="s">
        <v>82</v>
      </c>
      <c r="F6211" t="s">
        <v>4</v>
      </c>
      <c r="G6211" t="str">
        <f>""</f>
        <v/>
      </c>
    </row>
    <row r="6212" spans="1:7" x14ac:dyDescent="0.25">
      <c r="A6212" t="s">
        <v>8</v>
      </c>
      <c r="B6212" s="1" t="str">
        <f>"000214861 - RICH FDS-MAIN ARAMARK EX-SSS"</f>
        <v>000214861 - RICH FDS-MAIN ARAMARK EX-SSS</v>
      </c>
      <c r="C6212" t="s">
        <v>556</v>
      </c>
      <c r="D6212" s="1" t="str">
        <f t="shared" si="178"/>
        <v>PRG-1029216</v>
      </c>
      <c r="E6212" t="s">
        <v>82</v>
      </c>
      <c r="F6212" t="s">
        <v>4</v>
      </c>
      <c r="G6212" t="str">
        <f>""</f>
        <v/>
      </c>
    </row>
    <row r="6213" spans="1:7" x14ac:dyDescent="0.25">
      <c r="A6213" t="s">
        <v>8</v>
      </c>
      <c r="B6213" s="1" t="str">
        <f>"000215246 - RICH FDS BB NCORE-ARA EX-SSS"</f>
        <v>000215246 - RICH FDS BB NCORE-ARA EX-SSS</v>
      </c>
      <c r="C6213" t="s">
        <v>571</v>
      </c>
      <c r="D6213" s="1" t="str">
        <f t="shared" si="178"/>
        <v>PRG-1029216</v>
      </c>
      <c r="E6213" t="s">
        <v>82</v>
      </c>
      <c r="F6213" t="s">
        <v>4</v>
      </c>
      <c r="G6213" t="str">
        <f>""</f>
        <v/>
      </c>
    </row>
    <row r="6214" spans="1:7" x14ac:dyDescent="0.25">
      <c r="A6214" t="s">
        <v>8</v>
      </c>
      <c r="B6214" s="1" t="str">
        <f>"000215281 - RICHS FDS NCORE BB-SSS ARAMARK"</f>
        <v>000215281 - RICHS FDS NCORE BB-SSS ARAMARK</v>
      </c>
      <c r="C6214" t="s">
        <v>558</v>
      </c>
      <c r="D6214" s="1" t="str">
        <f t="shared" si="178"/>
        <v>PRG-1029216</v>
      </c>
      <c r="E6214" t="s">
        <v>82</v>
      </c>
      <c r="F6214" t="s">
        <v>4</v>
      </c>
      <c r="G6214" t="str">
        <f>""</f>
        <v/>
      </c>
    </row>
    <row r="6215" spans="1:7" x14ac:dyDescent="0.25">
      <c r="A6215" t="s">
        <v>8</v>
      </c>
      <c r="B6215" s="1" t="str">
        <f>"000215630 - RICH FDS BB CORE-ARA EX-SSS"</f>
        <v>000215630 - RICH FDS BB CORE-ARA EX-SSS</v>
      </c>
      <c r="C6215" t="s">
        <v>570</v>
      </c>
      <c r="D6215" s="1" t="str">
        <f t="shared" si="178"/>
        <v>PRG-1029216</v>
      </c>
      <c r="E6215" t="s">
        <v>82</v>
      </c>
      <c r="F6215" t="s">
        <v>4</v>
      </c>
      <c r="G6215" t="str">
        <f>""</f>
        <v/>
      </c>
    </row>
    <row r="6216" spans="1:7" x14ac:dyDescent="0.25">
      <c r="A6216" t="s">
        <v>8</v>
      </c>
      <c r="B6216" s="1" t="str">
        <f>"000215812 - RICH FDS BB NCORE-ARA EX-SSS"</f>
        <v>000215812 - RICH FDS BB NCORE-ARA EX-SSS</v>
      </c>
      <c r="C6216" t="s">
        <v>571</v>
      </c>
      <c r="D6216" s="1" t="str">
        <f t="shared" si="178"/>
        <v>PRG-1029216</v>
      </c>
      <c r="E6216" t="s">
        <v>82</v>
      </c>
      <c r="F6216" t="s">
        <v>4</v>
      </c>
      <c r="G6216" t="str">
        <f>""</f>
        <v/>
      </c>
    </row>
    <row r="6217" spans="1:7" x14ac:dyDescent="0.25">
      <c r="A6217" t="s">
        <v>8</v>
      </c>
      <c r="B6217" s="1" t="str">
        <f>"000215841 - RICH FDS BB NCORE-ARA EX-SSS"</f>
        <v>000215841 - RICH FDS BB NCORE-ARA EX-SSS</v>
      </c>
      <c r="C6217" t="s">
        <v>571</v>
      </c>
      <c r="D6217" s="1" t="str">
        <f t="shared" si="178"/>
        <v>PRG-1029216</v>
      </c>
      <c r="E6217" t="s">
        <v>82</v>
      </c>
      <c r="F6217" t="s">
        <v>4</v>
      </c>
      <c r="G6217" t="str">
        <f>""</f>
        <v/>
      </c>
    </row>
    <row r="6218" spans="1:7" x14ac:dyDescent="0.25">
      <c r="A6218" t="s">
        <v>8</v>
      </c>
      <c r="B6218" s="1" t="str">
        <f>"000215842 - RICH FDS BB CORE-ARA EX-SSS"</f>
        <v>000215842 - RICH FDS BB CORE-ARA EX-SSS</v>
      </c>
      <c r="C6218" t="s">
        <v>570</v>
      </c>
      <c r="D6218" s="1" t="str">
        <f t="shared" si="178"/>
        <v>PRG-1029216</v>
      </c>
      <c r="E6218" t="s">
        <v>82</v>
      </c>
      <c r="F6218" t="s">
        <v>4</v>
      </c>
      <c r="G6218" t="str">
        <f>""</f>
        <v/>
      </c>
    </row>
    <row r="6219" spans="1:7" x14ac:dyDescent="0.25">
      <c r="A6219" t="s">
        <v>8</v>
      </c>
      <c r="B6219" s="1" t="str">
        <f>"000216356 - RICH FDS BB NCORE-ARA EX-SSS"</f>
        <v>000216356 - RICH FDS BB NCORE-ARA EX-SSS</v>
      </c>
      <c r="C6219" t="s">
        <v>571</v>
      </c>
      <c r="D6219" s="1" t="str">
        <f t="shared" si="178"/>
        <v>PRG-1029216</v>
      </c>
      <c r="E6219" t="s">
        <v>82</v>
      </c>
      <c r="F6219" t="s">
        <v>4</v>
      </c>
      <c r="G6219" t="str">
        <f>""</f>
        <v/>
      </c>
    </row>
    <row r="6220" spans="1:7" x14ac:dyDescent="0.25">
      <c r="A6220" t="s">
        <v>8</v>
      </c>
      <c r="B6220" s="1" t="str">
        <f>"000216357 - RICH FDS BB CORE-ARA EX-SSS"</f>
        <v>000216357 - RICH FDS BB CORE-ARA EX-SSS</v>
      </c>
      <c r="C6220" t="s">
        <v>570</v>
      </c>
      <c r="D6220" s="1" t="str">
        <f t="shared" si="178"/>
        <v>PRG-1029216</v>
      </c>
      <c r="E6220" t="s">
        <v>82</v>
      </c>
      <c r="F6220" t="s">
        <v>4</v>
      </c>
      <c r="G6220" t="str">
        <f>""</f>
        <v/>
      </c>
    </row>
    <row r="6221" spans="1:7" x14ac:dyDescent="0.25">
      <c r="A6221" t="s">
        <v>8</v>
      </c>
      <c r="B6221" s="1" t="str">
        <f>"000216896 - RICH FDS BB NCORE-ARA EX-SSS"</f>
        <v>000216896 - RICH FDS BB NCORE-ARA EX-SSS</v>
      </c>
      <c r="C6221" t="s">
        <v>571</v>
      </c>
      <c r="D6221" s="1" t="str">
        <f t="shared" si="178"/>
        <v>PRG-1029216</v>
      </c>
      <c r="E6221" t="s">
        <v>82</v>
      </c>
      <c r="F6221" t="s">
        <v>4</v>
      </c>
      <c r="G6221" t="str">
        <f>""</f>
        <v/>
      </c>
    </row>
    <row r="6222" spans="1:7" x14ac:dyDescent="0.25">
      <c r="A6222" t="s">
        <v>8</v>
      </c>
      <c r="B6222" s="1" t="str">
        <f>"000216959 - BB ARA EX SSS FOB NC RICHS"</f>
        <v>000216959 - BB ARA EX SSS FOB NC RICHS</v>
      </c>
      <c r="C6222" t="s">
        <v>1546</v>
      </c>
      <c r="D6222" s="1" t="str">
        <f t="shared" si="178"/>
        <v>PRG-1029216</v>
      </c>
      <c r="E6222" t="s">
        <v>82</v>
      </c>
      <c r="F6222" t="s">
        <v>4</v>
      </c>
      <c r="G6222" t="str">
        <f>""</f>
        <v/>
      </c>
    </row>
    <row r="6223" spans="1:7" x14ac:dyDescent="0.25">
      <c r="A6223" t="s">
        <v>8</v>
      </c>
      <c r="B6223" s="1" t="str">
        <f>"000217425 - RICH FDS BB NCORE-ARA EX-SSS"</f>
        <v>000217425 - RICH FDS BB NCORE-ARA EX-SSS</v>
      </c>
      <c r="C6223" t="s">
        <v>571</v>
      </c>
      <c r="D6223" s="1" t="str">
        <f t="shared" si="178"/>
        <v>PRG-1029216</v>
      </c>
      <c r="E6223" t="s">
        <v>82</v>
      </c>
      <c r="F6223" t="s">
        <v>4</v>
      </c>
      <c r="G6223" t="str">
        <f>""</f>
        <v/>
      </c>
    </row>
    <row r="6224" spans="1:7" x14ac:dyDescent="0.25">
      <c r="A6224" t="s">
        <v>8</v>
      </c>
      <c r="B6224" s="1" t="str">
        <f>"000217426 - RICH RDS BB CORE-ARA EX-SSS"</f>
        <v>000217426 - RICH RDS BB CORE-ARA EX-SSS</v>
      </c>
      <c r="C6224" t="s">
        <v>581</v>
      </c>
      <c r="D6224" s="1" t="str">
        <f t="shared" si="178"/>
        <v>PRG-1029216</v>
      </c>
      <c r="E6224" t="s">
        <v>82</v>
      </c>
      <c r="F6224" t="s">
        <v>4</v>
      </c>
      <c r="G6224" t="str">
        <f>""</f>
        <v/>
      </c>
    </row>
    <row r="6225" spans="1:7" x14ac:dyDescent="0.25">
      <c r="A6225" t="s">
        <v>8</v>
      </c>
      <c r="B6225" s="1" t="str">
        <f>"000220460 - RICH FDS-MAIN ARAMARK EX-SSS"</f>
        <v>000220460 - RICH FDS-MAIN ARAMARK EX-SSS</v>
      </c>
      <c r="C6225" t="s">
        <v>556</v>
      </c>
      <c r="D6225" s="1" t="str">
        <f t="shared" si="178"/>
        <v>PRG-1029216</v>
      </c>
      <c r="E6225" t="s">
        <v>82</v>
      </c>
      <c r="F6225" t="s">
        <v>4</v>
      </c>
      <c r="G6225" t="str">
        <f>""</f>
        <v/>
      </c>
    </row>
    <row r="6226" spans="1:7" x14ac:dyDescent="0.25">
      <c r="A6226" t="s">
        <v>8</v>
      </c>
      <c r="B6226" s="1" t="str">
        <f>"000221748 - RICH FDS BB CORE-ARA EX-SSS"</f>
        <v>000221748 - RICH FDS BB CORE-ARA EX-SSS</v>
      </c>
      <c r="C6226" t="s">
        <v>570</v>
      </c>
      <c r="D6226" s="1" t="str">
        <f t="shared" si="178"/>
        <v>PRG-1029216</v>
      </c>
      <c r="E6226" t="s">
        <v>82</v>
      </c>
      <c r="F6226" t="s">
        <v>4</v>
      </c>
      <c r="G6226" t="str">
        <f>""</f>
        <v/>
      </c>
    </row>
    <row r="6227" spans="1:7" x14ac:dyDescent="0.25">
      <c r="A6227" t="s">
        <v>8</v>
      </c>
      <c r="B6227" s="1" t="str">
        <f>"000221749 - RICH FOODS-RED ROBIN(GF)"</f>
        <v>000221749 - RICH FOODS-RED ROBIN(GF)</v>
      </c>
      <c r="C6227" t="s">
        <v>1081</v>
      </c>
      <c r="D6227" s="1" t="str">
        <f t="shared" si="178"/>
        <v>PRG-1029216</v>
      </c>
      <c r="E6227" t="s">
        <v>82</v>
      </c>
      <c r="F6227" t="s">
        <v>4</v>
      </c>
      <c r="G6227" t="str">
        <f>""</f>
        <v/>
      </c>
    </row>
    <row r="6228" spans="1:7" x14ac:dyDescent="0.25">
      <c r="A6228" t="s">
        <v>8</v>
      </c>
      <c r="B6228" s="1" t="str">
        <f>"000221973 - RICH'S-ARAMARK EX-SSS (221933)"</f>
        <v>000221973 - RICH'S-ARAMARK EX-SSS (221933)</v>
      </c>
      <c r="C6228" t="s">
        <v>1615</v>
      </c>
      <c r="D6228" s="1" t="str">
        <f t="shared" si="178"/>
        <v>PRG-1029216</v>
      </c>
      <c r="E6228" t="s">
        <v>82</v>
      </c>
      <c r="F6228" t="s">
        <v>4</v>
      </c>
      <c r="G6228" t="str">
        <f>""</f>
        <v/>
      </c>
    </row>
    <row r="6229" spans="1:7" x14ac:dyDescent="0.25">
      <c r="A6229" t="s">
        <v>8</v>
      </c>
      <c r="B6229" s="1" t="str">
        <f>"000222472 - RICH FDS BB NCORE-ARA EX-SSS"</f>
        <v>000222472 - RICH FDS BB NCORE-ARA EX-SSS</v>
      </c>
      <c r="C6229" t="s">
        <v>571</v>
      </c>
      <c r="D6229" s="1" t="str">
        <f t="shared" si="178"/>
        <v>PRG-1029216</v>
      </c>
      <c r="E6229" t="s">
        <v>82</v>
      </c>
      <c r="F6229" t="s">
        <v>4</v>
      </c>
      <c r="G6229" t="str">
        <f>""</f>
        <v/>
      </c>
    </row>
    <row r="6230" spans="1:7" x14ac:dyDescent="0.25">
      <c r="A6230" t="s">
        <v>8</v>
      </c>
      <c r="B6230" s="1" t="str">
        <f>"000222473 - RICH FDS BB CORE-ARA EX-SSS"</f>
        <v>000222473 - RICH FDS BB CORE-ARA EX-SSS</v>
      </c>
      <c r="C6230" t="s">
        <v>570</v>
      </c>
      <c r="D6230" s="1" t="str">
        <f t="shared" si="178"/>
        <v>PRG-1029216</v>
      </c>
      <c r="E6230" t="s">
        <v>82</v>
      </c>
      <c r="F6230" t="s">
        <v>4</v>
      </c>
      <c r="G6230" t="str">
        <f>""</f>
        <v/>
      </c>
    </row>
    <row r="6231" spans="1:7" x14ac:dyDescent="0.25">
      <c r="A6231" t="s">
        <v>8</v>
      </c>
      <c r="B6231" s="1" t="str">
        <f>"000222877 - RICH FDS-MAIN ARAMARK EX-SSS"</f>
        <v>000222877 - RICH FDS-MAIN ARAMARK EX-SSS</v>
      </c>
      <c r="C6231" t="s">
        <v>556</v>
      </c>
      <c r="D6231" s="1" t="str">
        <f t="shared" si="178"/>
        <v>PRG-1029216</v>
      </c>
      <c r="E6231" t="s">
        <v>82</v>
      </c>
      <c r="F6231" t="s">
        <v>4</v>
      </c>
      <c r="G6231" t="str">
        <f>""</f>
        <v/>
      </c>
    </row>
    <row r="6232" spans="1:7" x14ac:dyDescent="0.25">
      <c r="A6232" t="s">
        <v>8</v>
      </c>
      <c r="B6232" s="1" t="str">
        <f>"000222966 - RICH'S FDS-MAIN ARAMARK EX-SSS"</f>
        <v>000222966 - RICH'S FDS-MAIN ARAMARK EX-SSS</v>
      </c>
      <c r="C6232" t="s">
        <v>540</v>
      </c>
      <c r="D6232" s="1" t="str">
        <f t="shared" si="178"/>
        <v>PRG-1029216</v>
      </c>
      <c r="E6232" t="s">
        <v>82</v>
      </c>
      <c r="F6232" t="s">
        <v>4</v>
      </c>
      <c r="G6232" t="str">
        <f>""</f>
        <v/>
      </c>
    </row>
    <row r="6233" spans="1:7" x14ac:dyDescent="0.25">
      <c r="A6233" t="s">
        <v>8</v>
      </c>
      <c r="B6233" s="1" t="str">
        <f>"000222967 - RICH'S FDS-SSS ARAMARK"</f>
        <v>000222967 - RICH'S FDS-SSS ARAMARK</v>
      </c>
      <c r="C6233" t="s">
        <v>541</v>
      </c>
      <c r="D6233" s="1" t="str">
        <f t="shared" si="178"/>
        <v>PRG-1029216</v>
      </c>
      <c r="E6233" t="s">
        <v>82</v>
      </c>
      <c r="F6233" t="s">
        <v>4</v>
      </c>
      <c r="G6233" t="str">
        <f>""</f>
        <v/>
      </c>
    </row>
    <row r="6234" spans="1:7" x14ac:dyDescent="0.25">
      <c r="A6234" t="s">
        <v>8</v>
      </c>
      <c r="B6234" s="1" t="str">
        <f>"000223778 - RICH RDS BB CORE-ARA EX-SSS"</f>
        <v>000223778 - RICH RDS BB CORE-ARA EX-SSS</v>
      </c>
      <c r="C6234" t="s">
        <v>581</v>
      </c>
      <c r="D6234" s="1" t="str">
        <f t="shared" si="178"/>
        <v>PRG-1029216</v>
      </c>
      <c r="E6234" t="s">
        <v>82</v>
      </c>
      <c r="F6234" t="s">
        <v>4</v>
      </c>
      <c r="G6234" t="str">
        <f>""</f>
        <v/>
      </c>
    </row>
    <row r="6235" spans="1:7" x14ac:dyDescent="0.25">
      <c r="A6235" t="s">
        <v>8</v>
      </c>
      <c r="B6235" s="1" t="str">
        <f>"000223914 - RICH'S FDS-MAIN ARAMARK EX-SSS"</f>
        <v>000223914 - RICH'S FDS-MAIN ARAMARK EX-SSS</v>
      </c>
      <c r="C6235" t="s">
        <v>540</v>
      </c>
      <c r="D6235" s="1" t="str">
        <f t="shared" si="178"/>
        <v>PRG-1029216</v>
      </c>
      <c r="E6235" t="s">
        <v>82</v>
      </c>
      <c r="F6235" t="s">
        <v>4</v>
      </c>
      <c r="G6235" t="str">
        <f>""</f>
        <v/>
      </c>
    </row>
    <row r="6236" spans="1:7" x14ac:dyDescent="0.25">
      <c r="A6236" t="s">
        <v>8</v>
      </c>
      <c r="B6236" s="1" t="str">
        <f>"000224236 - RICH FDS-MAIN ARAMARK EX-SSS"</f>
        <v>000224236 - RICH FDS-MAIN ARAMARK EX-SSS</v>
      </c>
      <c r="C6236" t="s">
        <v>556</v>
      </c>
      <c r="D6236" s="1" t="str">
        <f t="shared" si="178"/>
        <v>PRG-1029216</v>
      </c>
      <c r="E6236" t="s">
        <v>82</v>
      </c>
      <c r="F6236" t="s">
        <v>4</v>
      </c>
      <c r="G6236" t="str">
        <f>""</f>
        <v/>
      </c>
    </row>
    <row r="6237" spans="1:7" x14ac:dyDescent="0.25">
      <c r="A6237" t="s">
        <v>8</v>
      </c>
      <c r="B6237" s="1" t="str">
        <f>"000224314 - RICH FDS BB CORE-ARA EX-SSS"</f>
        <v>000224314 - RICH FDS BB CORE-ARA EX-SSS</v>
      </c>
      <c r="C6237" t="s">
        <v>570</v>
      </c>
      <c r="D6237" s="1" t="str">
        <f t="shared" si="178"/>
        <v>PRG-1029216</v>
      </c>
      <c r="E6237" t="s">
        <v>82</v>
      </c>
      <c r="F6237" t="s">
        <v>4</v>
      </c>
      <c r="G6237" t="str">
        <f>""</f>
        <v/>
      </c>
    </row>
    <row r="6238" spans="1:7" x14ac:dyDescent="0.25">
      <c r="A6238" t="s">
        <v>8</v>
      </c>
      <c r="B6238" s="1" t="str">
        <f>"000224315 - RICH FDS BB NCORE-ARA EX-SSS"</f>
        <v>000224315 - RICH FDS BB NCORE-ARA EX-SSS</v>
      </c>
      <c r="C6238" t="s">
        <v>571</v>
      </c>
      <c r="D6238" s="1" t="str">
        <f t="shared" si="178"/>
        <v>PRG-1029216</v>
      </c>
      <c r="E6238" t="s">
        <v>82</v>
      </c>
      <c r="F6238" t="s">
        <v>4</v>
      </c>
      <c r="G6238" t="str">
        <f>""</f>
        <v/>
      </c>
    </row>
    <row r="6239" spans="1:7" x14ac:dyDescent="0.25">
      <c r="A6239" t="s">
        <v>8</v>
      </c>
      <c r="B6239" s="1" t="str">
        <f>"000225345 - RICH FDS BB NCORE-ARA EX-SSS"</f>
        <v>000225345 - RICH FDS BB NCORE-ARA EX-SSS</v>
      </c>
      <c r="C6239" t="s">
        <v>571</v>
      </c>
      <c r="D6239" s="1" t="str">
        <f t="shared" si="178"/>
        <v>PRG-1029216</v>
      </c>
      <c r="E6239" t="s">
        <v>82</v>
      </c>
      <c r="F6239" t="s">
        <v>4</v>
      </c>
      <c r="G6239" t="str">
        <f>""</f>
        <v/>
      </c>
    </row>
    <row r="6240" spans="1:7" x14ac:dyDescent="0.25">
      <c r="A6240" t="s">
        <v>8</v>
      </c>
      <c r="B6240" s="1" t="str">
        <f>"000225346 - RICH FDS BB CORE-ARA EX-SSS"</f>
        <v>000225346 - RICH FDS BB CORE-ARA EX-SSS</v>
      </c>
      <c r="C6240" t="s">
        <v>570</v>
      </c>
      <c r="D6240" s="1" t="str">
        <f t="shared" si="178"/>
        <v>PRG-1029216</v>
      </c>
      <c r="E6240" t="s">
        <v>82</v>
      </c>
      <c r="F6240" t="s">
        <v>4</v>
      </c>
      <c r="G6240" t="str">
        <f>""</f>
        <v/>
      </c>
    </row>
    <row r="6241" spans="1:7" x14ac:dyDescent="0.25">
      <c r="A6241" t="s">
        <v>8</v>
      </c>
      <c r="B6241" s="1" t="str">
        <f>"000225384 - RICH FDS-MAIN ARAMARK EX-SSS"</f>
        <v>000225384 - RICH FDS-MAIN ARAMARK EX-SSS</v>
      </c>
      <c r="C6241" t="s">
        <v>556</v>
      </c>
      <c r="D6241" s="1" t="str">
        <f t="shared" si="178"/>
        <v>PRG-1029216</v>
      </c>
      <c r="E6241" t="s">
        <v>82</v>
      </c>
      <c r="F6241" t="s">
        <v>4</v>
      </c>
      <c r="G6241" t="str">
        <f>""</f>
        <v/>
      </c>
    </row>
    <row r="6242" spans="1:7" x14ac:dyDescent="0.25">
      <c r="A6242" t="s">
        <v>8</v>
      </c>
      <c r="B6242" s="1" t="str">
        <f>"000225400 - RICH FDS BB CORE-ARA EX-SSS"</f>
        <v>000225400 - RICH FDS BB CORE-ARA EX-SSS</v>
      </c>
      <c r="C6242" t="s">
        <v>570</v>
      </c>
      <c r="D6242" s="1" t="str">
        <f t="shared" si="178"/>
        <v>PRG-1029216</v>
      </c>
      <c r="E6242" t="s">
        <v>82</v>
      </c>
      <c r="F6242" t="s">
        <v>4</v>
      </c>
      <c r="G6242" t="str">
        <f>""</f>
        <v/>
      </c>
    </row>
    <row r="6243" spans="1:7" x14ac:dyDescent="0.25">
      <c r="A6243" t="s">
        <v>8</v>
      </c>
      <c r="B6243" s="1" t="str">
        <f>"000225401 - RICH FDS BB NCORE-ARA EX-SSS"</f>
        <v>000225401 - RICH FDS BB NCORE-ARA EX-SSS</v>
      </c>
      <c r="C6243" t="s">
        <v>571</v>
      </c>
      <c r="D6243" s="1" t="str">
        <f t="shared" si="178"/>
        <v>PRG-1029216</v>
      </c>
      <c r="E6243" t="s">
        <v>82</v>
      </c>
      <c r="F6243" t="s">
        <v>4</v>
      </c>
      <c r="G6243" t="str">
        <f>""</f>
        <v/>
      </c>
    </row>
    <row r="6244" spans="1:7" x14ac:dyDescent="0.25">
      <c r="A6244" t="s">
        <v>8</v>
      </c>
      <c r="B6244" s="1" t="str">
        <f>"000226062 - RICH FDS BB NCORE-ARA EX-SSS"</f>
        <v>000226062 - RICH FDS BB NCORE-ARA EX-SSS</v>
      </c>
      <c r="C6244" t="s">
        <v>571</v>
      </c>
      <c r="D6244" s="1" t="str">
        <f t="shared" si="178"/>
        <v>PRG-1029216</v>
      </c>
      <c r="E6244" t="s">
        <v>82</v>
      </c>
      <c r="F6244" t="s">
        <v>4</v>
      </c>
      <c r="G6244" t="str">
        <f>""</f>
        <v/>
      </c>
    </row>
    <row r="6245" spans="1:7" x14ac:dyDescent="0.25">
      <c r="A6245" t="s">
        <v>8</v>
      </c>
      <c r="B6245" s="1" t="str">
        <f>"000226063 - RICH FDS BB CORE-ARA EX-SSS"</f>
        <v>000226063 - RICH FDS BB CORE-ARA EX-SSS</v>
      </c>
      <c r="C6245" t="s">
        <v>570</v>
      </c>
      <c r="D6245" s="1" t="str">
        <f t="shared" si="178"/>
        <v>PRG-1029216</v>
      </c>
      <c r="E6245" t="s">
        <v>82</v>
      </c>
      <c r="F6245" t="s">
        <v>4</v>
      </c>
      <c r="G6245" t="str">
        <f>""</f>
        <v/>
      </c>
    </row>
    <row r="6246" spans="1:7" x14ac:dyDescent="0.25">
      <c r="A6246" t="s">
        <v>8</v>
      </c>
      <c r="B6246" s="1" t="str">
        <f>"000226078 - RICH FDS-MAIN ARAMARK EX-SSS"</f>
        <v>000226078 - RICH FDS-MAIN ARAMARK EX-SSS</v>
      </c>
      <c r="C6246" t="s">
        <v>556</v>
      </c>
      <c r="D6246" s="1" t="str">
        <f t="shared" si="178"/>
        <v>PRG-1029216</v>
      </c>
      <c r="E6246" t="s">
        <v>82</v>
      </c>
      <c r="F6246" t="s">
        <v>4</v>
      </c>
      <c r="G6246" t="str">
        <f>""</f>
        <v/>
      </c>
    </row>
    <row r="6247" spans="1:7" x14ac:dyDescent="0.25">
      <c r="A6247" t="s">
        <v>8</v>
      </c>
      <c r="B6247" s="1" t="str">
        <f>"000226525 - RICH FDS BB CORE-ARA EX-SSS"</f>
        <v>000226525 - RICH FDS BB CORE-ARA EX-SSS</v>
      </c>
      <c r="C6247" t="s">
        <v>570</v>
      </c>
      <c r="D6247" s="1" t="str">
        <f t="shared" si="178"/>
        <v>PRG-1029216</v>
      </c>
      <c r="E6247" t="s">
        <v>82</v>
      </c>
      <c r="F6247" t="s">
        <v>4</v>
      </c>
      <c r="G6247" t="str">
        <f>""</f>
        <v/>
      </c>
    </row>
    <row r="6248" spans="1:7" x14ac:dyDescent="0.25">
      <c r="A6248" t="s">
        <v>8</v>
      </c>
      <c r="B6248" s="1" t="str">
        <f>"000226526 - RICH FDS BB NCORE-ARA EX-SSS"</f>
        <v>000226526 - RICH FDS BB NCORE-ARA EX-SSS</v>
      </c>
      <c r="C6248" t="s">
        <v>571</v>
      </c>
      <c r="D6248" s="1" t="str">
        <f t="shared" si="178"/>
        <v>PRG-1029216</v>
      </c>
      <c r="E6248" t="s">
        <v>82</v>
      </c>
      <c r="F6248" t="s">
        <v>4</v>
      </c>
      <c r="G6248" t="str">
        <f>""</f>
        <v/>
      </c>
    </row>
    <row r="6249" spans="1:7" x14ac:dyDescent="0.25">
      <c r="A6249" t="s">
        <v>8</v>
      </c>
      <c r="B6249" s="1" t="str">
        <f>"000226743 - RICH FDS BB NCORE-ARA EX-SSS"</f>
        <v>000226743 - RICH FDS BB NCORE-ARA EX-SSS</v>
      </c>
      <c r="C6249" t="s">
        <v>571</v>
      </c>
      <c r="D6249" s="1" t="str">
        <f t="shared" si="178"/>
        <v>PRG-1029216</v>
      </c>
      <c r="E6249" t="s">
        <v>82</v>
      </c>
      <c r="F6249" t="s">
        <v>4</v>
      </c>
      <c r="G6249" t="str">
        <f>""</f>
        <v/>
      </c>
    </row>
    <row r="6250" spans="1:7" x14ac:dyDescent="0.25">
      <c r="A6250" t="s">
        <v>8</v>
      </c>
      <c r="B6250" s="1" t="str">
        <f>"000226744 - RICH RDS BB CORE-ARA EX-SSS"</f>
        <v>000226744 - RICH RDS BB CORE-ARA EX-SSS</v>
      </c>
      <c r="C6250" t="s">
        <v>581</v>
      </c>
      <c r="D6250" s="1" t="str">
        <f t="shared" si="178"/>
        <v>PRG-1029216</v>
      </c>
      <c r="E6250" t="s">
        <v>82</v>
      </c>
      <c r="F6250" t="s">
        <v>4</v>
      </c>
      <c r="G6250" t="str">
        <f>""</f>
        <v/>
      </c>
    </row>
    <row r="6251" spans="1:7" x14ac:dyDescent="0.25">
      <c r="A6251" t="s">
        <v>8</v>
      </c>
      <c r="B6251" s="1" t="str">
        <f>"000226986 - RICH FDS BB CORE-ARA EX-SSS"</f>
        <v>000226986 - RICH FDS BB CORE-ARA EX-SSS</v>
      </c>
      <c r="C6251" t="s">
        <v>570</v>
      </c>
      <c r="D6251" s="1" t="str">
        <f t="shared" si="178"/>
        <v>PRG-1029216</v>
      </c>
      <c r="E6251" t="s">
        <v>82</v>
      </c>
      <c r="F6251" t="s">
        <v>4</v>
      </c>
      <c r="G6251" t="str">
        <f>""</f>
        <v/>
      </c>
    </row>
    <row r="6252" spans="1:7" x14ac:dyDescent="0.25">
      <c r="A6252" t="s">
        <v>8</v>
      </c>
      <c r="B6252" s="1" t="str">
        <f>"000226987 - RICH FDS BB NCORE-ARA EX-SSS"</f>
        <v>000226987 - RICH FDS BB NCORE-ARA EX-SSS</v>
      </c>
      <c r="C6252" t="s">
        <v>571</v>
      </c>
      <c r="D6252" s="1" t="str">
        <f t="shared" si="178"/>
        <v>PRG-1029216</v>
      </c>
      <c r="E6252" t="s">
        <v>82</v>
      </c>
      <c r="F6252" t="s">
        <v>4</v>
      </c>
      <c r="G6252" t="str">
        <f>""</f>
        <v/>
      </c>
    </row>
    <row r="6253" spans="1:7" x14ac:dyDescent="0.25">
      <c r="A6253" t="s">
        <v>8</v>
      </c>
      <c r="B6253" s="1" t="str">
        <f>"000227114 - RICH FDS BB NCORE-ARA EX-SSS"</f>
        <v>000227114 - RICH FDS BB NCORE-ARA EX-SSS</v>
      </c>
      <c r="C6253" t="s">
        <v>571</v>
      </c>
      <c r="D6253" s="1" t="str">
        <f t="shared" si="178"/>
        <v>PRG-1029216</v>
      </c>
      <c r="E6253" t="s">
        <v>82</v>
      </c>
      <c r="F6253" t="s">
        <v>4</v>
      </c>
      <c r="G6253" t="str">
        <f>""</f>
        <v/>
      </c>
    </row>
    <row r="6254" spans="1:7" x14ac:dyDescent="0.25">
      <c r="A6254" t="s">
        <v>8</v>
      </c>
      <c r="B6254" s="1" t="str">
        <f>"000227115 - RICH RDS BB CORE-ARA EX-SSS"</f>
        <v>000227115 - RICH RDS BB CORE-ARA EX-SSS</v>
      </c>
      <c r="C6254" t="s">
        <v>581</v>
      </c>
      <c r="D6254" s="1" t="str">
        <f t="shared" si="178"/>
        <v>PRG-1029216</v>
      </c>
      <c r="E6254" t="s">
        <v>82</v>
      </c>
      <c r="F6254" t="s">
        <v>4</v>
      </c>
      <c r="G6254" t="str">
        <f>""</f>
        <v/>
      </c>
    </row>
    <row r="6255" spans="1:7" x14ac:dyDescent="0.25">
      <c r="A6255" t="s">
        <v>8</v>
      </c>
      <c r="B6255" s="1" t="str">
        <f>"000227246 - RICH FDS BB NCORE-ARA EX-SSS"</f>
        <v>000227246 - RICH FDS BB NCORE-ARA EX-SSS</v>
      </c>
      <c r="C6255" t="s">
        <v>571</v>
      </c>
      <c r="D6255" s="1" t="str">
        <f t="shared" si="178"/>
        <v>PRG-1029216</v>
      </c>
      <c r="E6255" t="s">
        <v>82</v>
      </c>
      <c r="F6255" t="s">
        <v>4</v>
      </c>
      <c r="G6255" t="str">
        <f>""</f>
        <v/>
      </c>
    </row>
    <row r="6256" spans="1:7" x14ac:dyDescent="0.25">
      <c r="A6256" t="s">
        <v>8</v>
      </c>
      <c r="B6256" s="1" t="str">
        <f>"000227247 - RICH FDS BB CORE-ARA EX-SSS"</f>
        <v>000227247 - RICH FDS BB CORE-ARA EX-SSS</v>
      </c>
      <c r="C6256" t="s">
        <v>570</v>
      </c>
      <c r="D6256" s="1" t="str">
        <f t="shared" ref="D6256:D6319" si="179">"PRG-1029216"</f>
        <v>PRG-1029216</v>
      </c>
      <c r="E6256" t="s">
        <v>82</v>
      </c>
      <c r="F6256" t="s">
        <v>4</v>
      </c>
      <c r="G6256" t="str">
        <f>""</f>
        <v/>
      </c>
    </row>
    <row r="6257" spans="1:7" x14ac:dyDescent="0.25">
      <c r="A6257" t="s">
        <v>8</v>
      </c>
      <c r="B6257" s="1" t="str">
        <f>"000227617 - RICH FDS BB NCORE-ARA EX-SSS"</f>
        <v>000227617 - RICH FDS BB NCORE-ARA EX-SSS</v>
      </c>
      <c r="C6257" t="s">
        <v>571</v>
      </c>
      <c r="D6257" s="1" t="str">
        <f t="shared" si="179"/>
        <v>PRG-1029216</v>
      </c>
      <c r="E6257" t="s">
        <v>82</v>
      </c>
      <c r="F6257" t="s">
        <v>4</v>
      </c>
      <c r="G6257" t="str">
        <f>""</f>
        <v/>
      </c>
    </row>
    <row r="6258" spans="1:7" x14ac:dyDescent="0.25">
      <c r="A6258" t="s">
        <v>8</v>
      </c>
      <c r="B6258" s="1" t="str">
        <f>"000227618 - RICH FDS BB CORE-ARA EX-SSS"</f>
        <v>000227618 - RICH FDS BB CORE-ARA EX-SSS</v>
      </c>
      <c r="C6258" t="s">
        <v>570</v>
      </c>
      <c r="D6258" s="1" t="str">
        <f t="shared" si="179"/>
        <v>PRG-1029216</v>
      </c>
      <c r="E6258" t="s">
        <v>82</v>
      </c>
      <c r="F6258" t="s">
        <v>4</v>
      </c>
      <c r="G6258" t="str">
        <f>""</f>
        <v/>
      </c>
    </row>
    <row r="6259" spans="1:7" x14ac:dyDescent="0.25">
      <c r="A6259" t="s">
        <v>8</v>
      </c>
      <c r="B6259" s="1" t="str">
        <f>"000227896 - RICH'S FDS-MAIN ARAMARK EX-SSS"</f>
        <v>000227896 - RICH'S FDS-MAIN ARAMARK EX-SSS</v>
      </c>
      <c r="C6259" t="s">
        <v>540</v>
      </c>
      <c r="D6259" s="1" t="str">
        <f t="shared" si="179"/>
        <v>PRG-1029216</v>
      </c>
      <c r="E6259" t="s">
        <v>82</v>
      </c>
      <c r="F6259" t="s">
        <v>4</v>
      </c>
      <c r="G6259" t="str">
        <f>""</f>
        <v/>
      </c>
    </row>
    <row r="6260" spans="1:7" x14ac:dyDescent="0.25">
      <c r="A6260" t="s">
        <v>8</v>
      </c>
      <c r="B6260" s="1" t="str">
        <f>"000228418 - RICH FDS BB NCORE-ARA EX-SSS"</f>
        <v>000228418 - RICH FDS BB NCORE-ARA EX-SSS</v>
      </c>
      <c r="C6260" t="s">
        <v>571</v>
      </c>
      <c r="D6260" s="1" t="str">
        <f t="shared" si="179"/>
        <v>PRG-1029216</v>
      </c>
      <c r="E6260" t="s">
        <v>82</v>
      </c>
      <c r="F6260" t="s">
        <v>4</v>
      </c>
      <c r="G6260" t="str">
        <f>""</f>
        <v/>
      </c>
    </row>
    <row r="6261" spans="1:7" x14ac:dyDescent="0.25">
      <c r="A6261" t="s">
        <v>8</v>
      </c>
      <c r="B6261" s="1" t="str">
        <f>"000228419 - RICH RDS BB CORE-ARA EX-SSS"</f>
        <v>000228419 - RICH RDS BB CORE-ARA EX-SSS</v>
      </c>
      <c r="C6261" t="s">
        <v>581</v>
      </c>
      <c r="D6261" s="1" t="str">
        <f t="shared" si="179"/>
        <v>PRG-1029216</v>
      </c>
      <c r="E6261" t="s">
        <v>82</v>
      </c>
      <c r="F6261" t="s">
        <v>4</v>
      </c>
      <c r="G6261" t="str">
        <f>""</f>
        <v/>
      </c>
    </row>
    <row r="6262" spans="1:7" x14ac:dyDescent="0.25">
      <c r="A6262" t="s">
        <v>8</v>
      </c>
      <c r="B6262" s="1" t="str">
        <f>"000228459 - RICH FDS BB NCORE-ARA EX-SSS"</f>
        <v>000228459 - RICH FDS BB NCORE-ARA EX-SSS</v>
      </c>
      <c r="C6262" t="s">
        <v>571</v>
      </c>
      <c r="D6262" s="1" t="str">
        <f t="shared" si="179"/>
        <v>PRG-1029216</v>
      </c>
      <c r="E6262" t="s">
        <v>82</v>
      </c>
      <c r="F6262" t="s">
        <v>4</v>
      </c>
      <c r="G6262" t="str">
        <f>""</f>
        <v/>
      </c>
    </row>
    <row r="6263" spans="1:7" x14ac:dyDescent="0.25">
      <c r="A6263" t="s">
        <v>8</v>
      </c>
      <c r="B6263" s="1" t="str">
        <f>"000228460 - RICH RDS BB CORE-ARA EX-SSS"</f>
        <v>000228460 - RICH RDS BB CORE-ARA EX-SSS</v>
      </c>
      <c r="C6263" t="s">
        <v>581</v>
      </c>
      <c r="D6263" s="1" t="str">
        <f t="shared" si="179"/>
        <v>PRG-1029216</v>
      </c>
      <c r="E6263" t="s">
        <v>82</v>
      </c>
      <c r="F6263" t="s">
        <v>4</v>
      </c>
      <c r="G6263" t="str">
        <f>""</f>
        <v/>
      </c>
    </row>
    <row r="6264" spans="1:7" x14ac:dyDescent="0.25">
      <c r="A6264" t="s">
        <v>8</v>
      </c>
      <c r="B6264" s="1" t="str">
        <f>"000230054 - RICH FDS-MAIN ARAMARK EX-SSS"</f>
        <v>000230054 - RICH FDS-MAIN ARAMARK EX-SSS</v>
      </c>
      <c r="C6264" t="s">
        <v>556</v>
      </c>
      <c r="D6264" s="1" t="str">
        <f t="shared" si="179"/>
        <v>PRG-1029216</v>
      </c>
      <c r="E6264" t="s">
        <v>82</v>
      </c>
      <c r="F6264" t="s">
        <v>4</v>
      </c>
      <c r="G6264" t="str">
        <f>""</f>
        <v/>
      </c>
    </row>
    <row r="6265" spans="1:7" x14ac:dyDescent="0.25">
      <c r="A6265" t="s">
        <v>8</v>
      </c>
      <c r="B6265" s="1" t="str">
        <f>"000230814 - RICH FDS-MAIN ARAMARK EX-SSS"</f>
        <v>000230814 - RICH FDS-MAIN ARAMARK EX-SSS</v>
      </c>
      <c r="C6265" t="s">
        <v>556</v>
      </c>
      <c r="D6265" s="1" t="str">
        <f t="shared" si="179"/>
        <v>PRG-1029216</v>
      </c>
      <c r="E6265" t="s">
        <v>82</v>
      </c>
      <c r="F6265" t="s">
        <v>4</v>
      </c>
      <c r="G6265" t="str">
        <f>""</f>
        <v/>
      </c>
    </row>
    <row r="6266" spans="1:7" x14ac:dyDescent="0.25">
      <c r="A6266" t="s">
        <v>8</v>
      </c>
      <c r="B6266" s="1" t="str">
        <f>"000231714 - "</f>
        <v xml:space="preserve">000231714 - </v>
      </c>
      <c r="D6266" s="1" t="str">
        <f t="shared" si="179"/>
        <v>PRG-1029216</v>
      </c>
      <c r="E6266" t="s">
        <v>82</v>
      </c>
      <c r="F6266" t="s">
        <v>4</v>
      </c>
      <c r="G6266" t="str">
        <f>""</f>
        <v/>
      </c>
    </row>
    <row r="6267" spans="1:7" x14ac:dyDescent="0.25">
      <c r="A6267" t="s">
        <v>8</v>
      </c>
      <c r="B6267" s="1" t="str">
        <f>"000232128 - RICH FDS BB NCORE-ARA EX-SSS"</f>
        <v>000232128 - RICH FDS BB NCORE-ARA EX-SSS</v>
      </c>
      <c r="C6267" t="s">
        <v>571</v>
      </c>
      <c r="D6267" s="1" t="str">
        <f t="shared" si="179"/>
        <v>PRG-1029216</v>
      </c>
      <c r="E6267" t="s">
        <v>82</v>
      </c>
      <c r="F6267" t="s">
        <v>4</v>
      </c>
      <c r="G6267" t="str">
        <f>""</f>
        <v/>
      </c>
    </row>
    <row r="6268" spans="1:7" x14ac:dyDescent="0.25">
      <c r="A6268" t="s">
        <v>8</v>
      </c>
      <c r="B6268" s="1" t="str">
        <f>"000232750 - RICH FDS BB NCORE-ARA EX-SSS"</f>
        <v>000232750 - RICH FDS BB NCORE-ARA EX-SSS</v>
      </c>
      <c r="C6268" t="s">
        <v>571</v>
      </c>
      <c r="D6268" s="1" t="str">
        <f t="shared" si="179"/>
        <v>PRG-1029216</v>
      </c>
      <c r="E6268" t="s">
        <v>82</v>
      </c>
      <c r="F6268" t="s">
        <v>4</v>
      </c>
      <c r="G6268" t="str">
        <f>""</f>
        <v/>
      </c>
    </row>
    <row r="6269" spans="1:7" x14ac:dyDescent="0.25">
      <c r="A6269" t="s">
        <v>8</v>
      </c>
      <c r="B6269" s="1" t="str">
        <f>"000232751 - RICH FDS BB CORE-ARA EX-SSS"</f>
        <v>000232751 - RICH FDS BB CORE-ARA EX-SSS</v>
      </c>
      <c r="C6269" t="s">
        <v>570</v>
      </c>
      <c r="D6269" s="1" t="str">
        <f t="shared" si="179"/>
        <v>PRG-1029216</v>
      </c>
      <c r="E6269" t="s">
        <v>82</v>
      </c>
      <c r="F6269" t="s">
        <v>4</v>
      </c>
      <c r="G6269" t="str">
        <f>""</f>
        <v/>
      </c>
    </row>
    <row r="6270" spans="1:7" x14ac:dyDescent="0.25">
      <c r="A6270" t="s">
        <v>8</v>
      </c>
      <c r="B6270" s="1" t="str">
        <f>"000233735 - RICH'S FDS-MAIN ARAMARK EX-SSS"</f>
        <v>000233735 - RICH'S FDS-MAIN ARAMARK EX-SSS</v>
      </c>
      <c r="C6270" t="s">
        <v>540</v>
      </c>
      <c r="D6270" s="1" t="str">
        <f t="shared" si="179"/>
        <v>PRG-1029216</v>
      </c>
      <c r="E6270" t="s">
        <v>82</v>
      </c>
      <c r="F6270" t="s">
        <v>4</v>
      </c>
      <c r="G6270" t="str">
        <f>""</f>
        <v/>
      </c>
    </row>
    <row r="6271" spans="1:7" x14ac:dyDescent="0.25">
      <c r="A6271" t="s">
        <v>8</v>
      </c>
      <c r="B6271" s="1" t="str">
        <f>"000233832 - RICH FDS BB NCORE-ARA EX-SSS"</f>
        <v>000233832 - RICH FDS BB NCORE-ARA EX-SSS</v>
      </c>
      <c r="C6271" t="s">
        <v>571</v>
      </c>
      <c r="D6271" s="1" t="str">
        <f t="shared" si="179"/>
        <v>PRG-1029216</v>
      </c>
      <c r="E6271" t="s">
        <v>82</v>
      </c>
      <c r="F6271" t="s">
        <v>4</v>
      </c>
      <c r="G6271" t="str">
        <f>""</f>
        <v/>
      </c>
    </row>
    <row r="6272" spans="1:7" x14ac:dyDescent="0.25">
      <c r="A6272" t="s">
        <v>8</v>
      </c>
      <c r="B6272" s="1" t="str">
        <f>"000234266 - "</f>
        <v xml:space="preserve">000234266 - </v>
      </c>
      <c r="D6272" s="1" t="str">
        <f t="shared" si="179"/>
        <v>PRG-1029216</v>
      </c>
      <c r="E6272" t="s">
        <v>82</v>
      </c>
      <c r="F6272" t="s">
        <v>4</v>
      </c>
      <c r="G6272" t="str">
        <f>""</f>
        <v/>
      </c>
    </row>
    <row r="6273" spans="1:7" x14ac:dyDescent="0.25">
      <c r="A6273" t="s">
        <v>8</v>
      </c>
      <c r="B6273" s="1" t="str">
        <f>"000234290 - RICH'S FDS-MAIN ARAMARK EX-SSS"</f>
        <v>000234290 - RICH'S FDS-MAIN ARAMARK EX-SSS</v>
      </c>
      <c r="C6273" t="s">
        <v>540</v>
      </c>
      <c r="D6273" s="1" t="str">
        <f t="shared" si="179"/>
        <v>PRG-1029216</v>
      </c>
      <c r="E6273" t="s">
        <v>82</v>
      </c>
      <c r="F6273" t="s">
        <v>4</v>
      </c>
      <c r="G6273" t="str">
        <f>""</f>
        <v/>
      </c>
    </row>
    <row r="6274" spans="1:7" x14ac:dyDescent="0.25">
      <c r="A6274" t="s">
        <v>8</v>
      </c>
      <c r="B6274" s="1" t="str">
        <f>"000236174 - RICH FDS-MAIN ARAMARK EX-SSS"</f>
        <v>000236174 - RICH FDS-MAIN ARAMARK EX-SSS</v>
      </c>
      <c r="C6274" t="s">
        <v>556</v>
      </c>
      <c r="D6274" s="1" t="str">
        <f t="shared" si="179"/>
        <v>PRG-1029216</v>
      </c>
      <c r="E6274" t="s">
        <v>82</v>
      </c>
      <c r="F6274" t="s">
        <v>4</v>
      </c>
      <c r="G6274" t="str">
        <f>""</f>
        <v/>
      </c>
    </row>
    <row r="6275" spans="1:7" x14ac:dyDescent="0.25">
      <c r="A6275" t="s">
        <v>8</v>
      </c>
      <c r="B6275" s="1" t="str">
        <f>"000237320 - RICH FDS BB CORE-ARA EX-SSS"</f>
        <v>000237320 - RICH FDS BB CORE-ARA EX-SSS</v>
      </c>
      <c r="C6275" t="s">
        <v>570</v>
      </c>
      <c r="D6275" s="1" t="str">
        <f t="shared" si="179"/>
        <v>PRG-1029216</v>
      </c>
      <c r="E6275" t="s">
        <v>82</v>
      </c>
      <c r="F6275" t="s">
        <v>4</v>
      </c>
      <c r="G6275" t="str">
        <f>""</f>
        <v/>
      </c>
    </row>
    <row r="6276" spans="1:7" x14ac:dyDescent="0.25">
      <c r="A6276" t="s">
        <v>8</v>
      </c>
      <c r="B6276" s="1" t="str">
        <f>"000237321 - RICH FDS BB NCORE-ARA EX-SSS"</f>
        <v>000237321 - RICH FDS BB NCORE-ARA EX-SSS</v>
      </c>
      <c r="C6276" t="s">
        <v>571</v>
      </c>
      <c r="D6276" s="1" t="str">
        <f t="shared" si="179"/>
        <v>PRG-1029216</v>
      </c>
      <c r="E6276" t="s">
        <v>82</v>
      </c>
      <c r="F6276" t="s">
        <v>4</v>
      </c>
      <c r="G6276" t="str">
        <f>""</f>
        <v/>
      </c>
    </row>
    <row r="6277" spans="1:7" x14ac:dyDescent="0.25">
      <c r="A6277" t="s">
        <v>8</v>
      </c>
      <c r="B6277" s="1" t="str">
        <f>"000237566 - RICH FDS-MAIN ARAMARK EX-SSS"</f>
        <v>000237566 - RICH FDS-MAIN ARAMARK EX-SSS</v>
      </c>
      <c r="C6277" t="s">
        <v>556</v>
      </c>
      <c r="D6277" s="1" t="str">
        <f t="shared" si="179"/>
        <v>PRG-1029216</v>
      </c>
      <c r="E6277" t="s">
        <v>82</v>
      </c>
      <c r="F6277" t="s">
        <v>4</v>
      </c>
      <c r="G6277" t="str">
        <f>""</f>
        <v/>
      </c>
    </row>
    <row r="6278" spans="1:7" x14ac:dyDescent="0.25">
      <c r="A6278" t="s">
        <v>8</v>
      </c>
      <c r="B6278" s="1" t="str">
        <f>"000238036 - RICH FDS BB NCORE-ARA EX-SSS"</f>
        <v>000238036 - RICH FDS BB NCORE-ARA EX-SSS</v>
      </c>
      <c r="C6278" t="s">
        <v>571</v>
      </c>
      <c r="D6278" s="1" t="str">
        <f t="shared" si="179"/>
        <v>PRG-1029216</v>
      </c>
      <c r="E6278" t="s">
        <v>82</v>
      </c>
      <c r="F6278" t="s">
        <v>4</v>
      </c>
      <c r="G6278" t="str">
        <f>""</f>
        <v/>
      </c>
    </row>
    <row r="6279" spans="1:7" x14ac:dyDescent="0.25">
      <c r="A6279" t="s">
        <v>8</v>
      </c>
      <c r="B6279" s="1" t="str">
        <f>"000238037 - RICH FDS BB CORE-ARA EX-SSS"</f>
        <v>000238037 - RICH FDS BB CORE-ARA EX-SSS</v>
      </c>
      <c r="C6279" t="s">
        <v>570</v>
      </c>
      <c r="D6279" s="1" t="str">
        <f t="shared" si="179"/>
        <v>PRG-1029216</v>
      </c>
      <c r="E6279" t="s">
        <v>82</v>
      </c>
      <c r="F6279" t="s">
        <v>4</v>
      </c>
      <c r="G6279" t="str">
        <f>""</f>
        <v/>
      </c>
    </row>
    <row r="6280" spans="1:7" x14ac:dyDescent="0.25">
      <c r="A6280" t="s">
        <v>8</v>
      </c>
      <c r="B6280" s="1" t="str">
        <f>"000238218 - RICH'S FDS-MAIN ARAMARK EX-SSS"</f>
        <v>000238218 - RICH'S FDS-MAIN ARAMARK EX-SSS</v>
      </c>
      <c r="C6280" t="s">
        <v>540</v>
      </c>
      <c r="D6280" s="1" t="str">
        <f t="shared" si="179"/>
        <v>PRG-1029216</v>
      </c>
      <c r="E6280" t="s">
        <v>82</v>
      </c>
      <c r="F6280" t="s">
        <v>4</v>
      </c>
      <c r="G6280" t="str">
        <f>""</f>
        <v/>
      </c>
    </row>
    <row r="6281" spans="1:7" x14ac:dyDescent="0.25">
      <c r="A6281" t="s">
        <v>8</v>
      </c>
      <c r="B6281" s="1" t="str">
        <f>"000239046 - RICH FDS BB NCORE-ARA EX-SSS"</f>
        <v>000239046 - RICH FDS BB NCORE-ARA EX-SSS</v>
      </c>
      <c r="C6281" t="s">
        <v>571</v>
      </c>
      <c r="D6281" s="1" t="str">
        <f t="shared" si="179"/>
        <v>PRG-1029216</v>
      </c>
      <c r="E6281" t="s">
        <v>82</v>
      </c>
      <c r="F6281" t="s">
        <v>4</v>
      </c>
      <c r="G6281" t="str">
        <f>""</f>
        <v/>
      </c>
    </row>
    <row r="6282" spans="1:7" x14ac:dyDescent="0.25">
      <c r="A6282" t="s">
        <v>8</v>
      </c>
      <c r="B6282" s="1" t="str">
        <f>"000239047 - RICH RDS BB CORE-ARA EX-SSS"</f>
        <v>000239047 - RICH RDS BB CORE-ARA EX-SSS</v>
      </c>
      <c r="C6282" t="s">
        <v>581</v>
      </c>
      <c r="D6282" s="1" t="str">
        <f t="shared" si="179"/>
        <v>PRG-1029216</v>
      </c>
      <c r="E6282" t="s">
        <v>82</v>
      </c>
      <c r="F6282" t="s">
        <v>4</v>
      </c>
      <c r="G6282" t="str">
        <f>""</f>
        <v/>
      </c>
    </row>
    <row r="6283" spans="1:7" x14ac:dyDescent="0.25">
      <c r="A6283" t="s">
        <v>8</v>
      </c>
      <c r="B6283" s="1" t="str">
        <f>"000239197 - RICH FDS BB CORE-ARA EX-SSS"</f>
        <v>000239197 - RICH FDS BB CORE-ARA EX-SSS</v>
      </c>
      <c r="C6283" t="s">
        <v>570</v>
      </c>
      <c r="D6283" s="1" t="str">
        <f t="shared" si="179"/>
        <v>PRG-1029216</v>
      </c>
      <c r="E6283" t="s">
        <v>82</v>
      </c>
      <c r="F6283" t="s">
        <v>4</v>
      </c>
      <c r="G6283" t="str">
        <f>""</f>
        <v/>
      </c>
    </row>
    <row r="6284" spans="1:7" x14ac:dyDescent="0.25">
      <c r="A6284" t="s">
        <v>8</v>
      </c>
      <c r="B6284" s="1" t="str">
        <f>"000239198 - RICH FDS BB NCORE-ARA EX-SSS"</f>
        <v>000239198 - RICH FDS BB NCORE-ARA EX-SSS</v>
      </c>
      <c r="C6284" t="s">
        <v>571</v>
      </c>
      <c r="D6284" s="1" t="str">
        <f t="shared" si="179"/>
        <v>PRG-1029216</v>
      </c>
      <c r="E6284" t="s">
        <v>82</v>
      </c>
      <c r="F6284" t="s">
        <v>4</v>
      </c>
      <c r="G6284" t="str">
        <f>""</f>
        <v/>
      </c>
    </row>
    <row r="6285" spans="1:7" x14ac:dyDescent="0.25">
      <c r="A6285" t="s">
        <v>8</v>
      </c>
      <c r="B6285" s="1" t="str">
        <f>"000239246 - RICH BB NCORE-ARA-SSS-RETRO"</f>
        <v>000239246 - RICH BB NCORE-ARA-SSS-RETRO</v>
      </c>
      <c r="C6285" t="s">
        <v>1892</v>
      </c>
      <c r="D6285" s="1" t="str">
        <f t="shared" si="179"/>
        <v>PRG-1029216</v>
      </c>
      <c r="E6285" t="s">
        <v>82</v>
      </c>
      <c r="F6285" t="s">
        <v>4</v>
      </c>
      <c r="G6285" t="str">
        <f>""</f>
        <v/>
      </c>
    </row>
    <row r="6286" spans="1:7" x14ac:dyDescent="0.25">
      <c r="A6286" t="s">
        <v>8</v>
      </c>
      <c r="B6286" s="1" t="str">
        <f>"000240281 - RICH FDS BB CORE-ARA EX-SSS"</f>
        <v>000240281 - RICH FDS BB CORE-ARA EX-SSS</v>
      </c>
      <c r="C6286" t="s">
        <v>570</v>
      </c>
      <c r="D6286" s="1" t="str">
        <f t="shared" si="179"/>
        <v>PRG-1029216</v>
      </c>
      <c r="E6286" t="s">
        <v>82</v>
      </c>
      <c r="F6286" t="s">
        <v>4</v>
      </c>
      <c r="G6286" t="str">
        <f>""</f>
        <v/>
      </c>
    </row>
    <row r="6287" spans="1:7" x14ac:dyDescent="0.25">
      <c r="A6287" t="s">
        <v>8</v>
      </c>
      <c r="B6287" s="1" t="str">
        <f>"000240569 - RICH'S FDS-MAIN ARAMARK EX-SSS"</f>
        <v>000240569 - RICH'S FDS-MAIN ARAMARK EX-SSS</v>
      </c>
      <c r="C6287" t="s">
        <v>540</v>
      </c>
      <c r="D6287" s="1" t="str">
        <f t="shared" si="179"/>
        <v>PRG-1029216</v>
      </c>
      <c r="E6287" t="s">
        <v>82</v>
      </c>
      <c r="F6287" t="s">
        <v>4</v>
      </c>
      <c r="G6287" t="str">
        <f>""</f>
        <v/>
      </c>
    </row>
    <row r="6288" spans="1:7" x14ac:dyDescent="0.25">
      <c r="A6288" t="s">
        <v>8</v>
      </c>
      <c r="B6288" s="1" t="str">
        <f>"000240672 - RICH'S FDS-MAIN ARAMARK EX-SSS"</f>
        <v>000240672 - RICH'S FDS-MAIN ARAMARK EX-SSS</v>
      </c>
      <c r="C6288" t="s">
        <v>540</v>
      </c>
      <c r="D6288" s="1" t="str">
        <f t="shared" si="179"/>
        <v>PRG-1029216</v>
      </c>
      <c r="E6288" t="s">
        <v>82</v>
      </c>
      <c r="F6288" t="s">
        <v>4</v>
      </c>
      <c r="G6288" t="str">
        <f>""</f>
        <v/>
      </c>
    </row>
    <row r="6289" spans="1:7" x14ac:dyDescent="0.25">
      <c r="A6289" t="s">
        <v>8</v>
      </c>
      <c r="B6289" s="1" t="str">
        <f>"000240790 - "</f>
        <v xml:space="preserve">000240790 - </v>
      </c>
      <c r="D6289" s="1" t="str">
        <f t="shared" si="179"/>
        <v>PRG-1029216</v>
      </c>
      <c r="E6289" t="s">
        <v>82</v>
      </c>
      <c r="F6289" t="s">
        <v>4</v>
      </c>
      <c r="G6289" t="str">
        <f>""</f>
        <v/>
      </c>
    </row>
    <row r="6290" spans="1:7" x14ac:dyDescent="0.25">
      <c r="A6290" t="s">
        <v>8</v>
      </c>
      <c r="B6290" s="1" t="str">
        <f>"000241825 - RICH FDS BB NCORE-ARA EX-SSS"</f>
        <v>000241825 - RICH FDS BB NCORE-ARA EX-SSS</v>
      </c>
      <c r="C6290" t="s">
        <v>571</v>
      </c>
      <c r="D6290" s="1" t="str">
        <f t="shared" si="179"/>
        <v>PRG-1029216</v>
      </c>
      <c r="E6290" t="s">
        <v>82</v>
      </c>
      <c r="F6290" t="s">
        <v>4</v>
      </c>
      <c r="G6290" t="str">
        <f>""</f>
        <v/>
      </c>
    </row>
    <row r="6291" spans="1:7" x14ac:dyDescent="0.25">
      <c r="A6291" t="s">
        <v>8</v>
      </c>
      <c r="B6291" s="1" t="str">
        <f>"000241826 - RICH RDS BB CORE-ARA EX-SSS"</f>
        <v>000241826 - RICH RDS BB CORE-ARA EX-SSS</v>
      </c>
      <c r="C6291" t="s">
        <v>581</v>
      </c>
      <c r="D6291" s="1" t="str">
        <f t="shared" si="179"/>
        <v>PRG-1029216</v>
      </c>
      <c r="E6291" t="s">
        <v>82</v>
      </c>
      <c r="F6291" t="s">
        <v>4</v>
      </c>
      <c r="G6291" t="str">
        <f>""</f>
        <v/>
      </c>
    </row>
    <row r="6292" spans="1:7" x14ac:dyDescent="0.25">
      <c r="A6292" t="s">
        <v>8</v>
      </c>
      <c r="B6292" s="1" t="str">
        <f>"000241992 - "</f>
        <v xml:space="preserve">000241992 - </v>
      </c>
      <c r="D6292" s="1" t="str">
        <f t="shared" si="179"/>
        <v>PRG-1029216</v>
      </c>
      <c r="E6292" t="s">
        <v>82</v>
      </c>
      <c r="F6292" t="s">
        <v>4</v>
      </c>
      <c r="G6292" t="str">
        <f>""</f>
        <v/>
      </c>
    </row>
    <row r="6293" spans="1:7" x14ac:dyDescent="0.25">
      <c r="A6293" t="s">
        <v>8</v>
      </c>
      <c r="B6293" s="1" t="str">
        <f>"000241993 - "</f>
        <v xml:space="preserve">000241993 - </v>
      </c>
      <c r="D6293" s="1" t="str">
        <f t="shared" si="179"/>
        <v>PRG-1029216</v>
      </c>
      <c r="E6293" t="s">
        <v>82</v>
      </c>
      <c r="F6293" t="s">
        <v>4</v>
      </c>
      <c r="G6293" t="str">
        <f>""</f>
        <v/>
      </c>
    </row>
    <row r="6294" spans="1:7" x14ac:dyDescent="0.25">
      <c r="A6294" t="s">
        <v>8</v>
      </c>
      <c r="B6294" s="1" t="str">
        <f>"000242758 - "</f>
        <v xml:space="preserve">000242758 - </v>
      </c>
      <c r="D6294" s="1" t="str">
        <f t="shared" si="179"/>
        <v>PRG-1029216</v>
      </c>
      <c r="E6294" t="s">
        <v>82</v>
      </c>
      <c r="F6294" t="s">
        <v>4</v>
      </c>
      <c r="G6294" t="str">
        <f>""</f>
        <v/>
      </c>
    </row>
    <row r="6295" spans="1:7" x14ac:dyDescent="0.25">
      <c r="A6295" t="s">
        <v>8</v>
      </c>
      <c r="B6295" s="1" t="str">
        <f>"000242967 - RICH FDS-MAIN ARAMARK EX-SSS"</f>
        <v>000242967 - RICH FDS-MAIN ARAMARK EX-SSS</v>
      </c>
      <c r="C6295" t="s">
        <v>556</v>
      </c>
      <c r="D6295" s="1" t="str">
        <f t="shared" si="179"/>
        <v>PRG-1029216</v>
      </c>
      <c r="E6295" t="s">
        <v>82</v>
      </c>
      <c r="F6295" t="s">
        <v>4</v>
      </c>
      <c r="G6295" t="str">
        <f>""</f>
        <v/>
      </c>
    </row>
    <row r="6296" spans="1:7" x14ac:dyDescent="0.25">
      <c r="A6296" t="s">
        <v>8</v>
      </c>
      <c r="B6296" s="1" t="str">
        <f>"000243516 - RICH'S FDS-MAIN ARAMARK EX-SSS"</f>
        <v>000243516 - RICH'S FDS-MAIN ARAMARK EX-SSS</v>
      </c>
      <c r="C6296" t="s">
        <v>540</v>
      </c>
      <c r="D6296" s="1" t="str">
        <f t="shared" si="179"/>
        <v>PRG-1029216</v>
      </c>
      <c r="E6296" t="s">
        <v>82</v>
      </c>
      <c r="F6296" t="s">
        <v>4</v>
      </c>
      <c r="G6296" t="str">
        <f>""</f>
        <v/>
      </c>
    </row>
    <row r="6297" spans="1:7" x14ac:dyDescent="0.25">
      <c r="A6297" t="s">
        <v>8</v>
      </c>
      <c r="B6297" s="1" t="str">
        <f>"000243937 - "</f>
        <v xml:space="preserve">000243937 - </v>
      </c>
      <c r="D6297" s="1" t="str">
        <f t="shared" si="179"/>
        <v>PRG-1029216</v>
      </c>
      <c r="E6297" t="s">
        <v>82</v>
      </c>
      <c r="F6297" t="s">
        <v>4</v>
      </c>
      <c r="G6297" t="str">
        <f>""</f>
        <v/>
      </c>
    </row>
    <row r="6298" spans="1:7" x14ac:dyDescent="0.25">
      <c r="A6298" t="s">
        <v>8</v>
      </c>
      <c r="B6298" s="1" t="str">
        <f>"000243938 - "</f>
        <v xml:space="preserve">000243938 - </v>
      </c>
      <c r="D6298" s="1" t="str">
        <f t="shared" si="179"/>
        <v>PRG-1029216</v>
      </c>
      <c r="E6298" t="s">
        <v>82</v>
      </c>
      <c r="F6298" t="s">
        <v>4</v>
      </c>
      <c r="G6298" t="str">
        <f>""</f>
        <v/>
      </c>
    </row>
    <row r="6299" spans="1:7" x14ac:dyDescent="0.25">
      <c r="A6299" t="s">
        <v>8</v>
      </c>
      <c r="B6299" s="1" t="str">
        <f>"000243971 - RICH FDS-MAIN ARAMARK EX-SSS"</f>
        <v>000243971 - RICH FDS-MAIN ARAMARK EX-SSS</v>
      </c>
      <c r="C6299" t="s">
        <v>556</v>
      </c>
      <c r="D6299" s="1" t="str">
        <f t="shared" si="179"/>
        <v>PRG-1029216</v>
      </c>
      <c r="E6299" t="s">
        <v>82</v>
      </c>
      <c r="F6299" t="s">
        <v>4</v>
      </c>
      <c r="G6299" t="str">
        <f>""</f>
        <v/>
      </c>
    </row>
    <row r="6300" spans="1:7" x14ac:dyDescent="0.25">
      <c r="A6300" t="s">
        <v>8</v>
      </c>
      <c r="B6300" s="1" t="str">
        <f>"000244124 - RICH FDS BB CORE-ARA EX-SSS"</f>
        <v>000244124 - RICH FDS BB CORE-ARA EX-SSS</v>
      </c>
      <c r="C6300" t="s">
        <v>570</v>
      </c>
      <c r="D6300" s="1" t="str">
        <f t="shared" si="179"/>
        <v>PRG-1029216</v>
      </c>
      <c r="E6300" t="s">
        <v>82</v>
      </c>
      <c r="F6300" t="s">
        <v>4</v>
      </c>
      <c r="G6300" t="str">
        <f>""</f>
        <v/>
      </c>
    </row>
    <row r="6301" spans="1:7" x14ac:dyDescent="0.25">
      <c r="A6301" t="s">
        <v>8</v>
      </c>
      <c r="B6301" s="1" t="str">
        <f>"000244125 - RICH FDS BB NCORE-ARA EX-SSS"</f>
        <v>000244125 - RICH FDS BB NCORE-ARA EX-SSS</v>
      </c>
      <c r="C6301" t="s">
        <v>571</v>
      </c>
      <c r="D6301" s="1" t="str">
        <f t="shared" si="179"/>
        <v>PRG-1029216</v>
      </c>
      <c r="E6301" t="s">
        <v>82</v>
      </c>
      <c r="F6301" t="s">
        <v>4</v>
      </c>
      <c r="G6301" t="str">
        <f>""</f>
        <v/>
      </c>
    </row>
    <row r="6302" spans="1:7" x14ac:dyDescent="0.25">
      <c r="A6302" t="s">
        <v>8</v>
      </c>
      <c r="B6302" s="1" t="str">
        <f>"000244785 - RICH FDS BB NCORE-ARA EX-SSS"</f>
        <v>000244785 - RICH FDS BB NCORE-ARA EX-SSS</v>
      </c>
      <c r="C6302" t="s">
        <v>571</v>
      </c>
      <c r="D6302" s="1" t="str">
        <f t="shared" si="179"/>
        <v>PRG-1029216</v>
      </c>
      <c r="E6302" t="s">
        <v>82</v>
      </c>
      <c r="F6302" t="s">
        <v>4</v>
      </c>
      <c r="G6302" t="str">
        <f>""</f>
        <v/>
      </c>
    </row>
    <row r="6303" spans="1:7" x14ac:dyDescent="0.25">
      <c r="A6303" t="s">
        <v>8</v>
      </c>
      <c r="B6303" s="1" t="str">
        <f>"000244786 - RICH FDS BB CORE-ARA EX-SSS"</f>
        <v>000244786 - RICH FDS BB CORE-ARA EX-SSS</v>
      </c>
      <c r="C6303" t="s">
        <v>570</v>
      </c>
      <c r="D6303" s="1" t="str">
        <f t="shared" si="179"/>
        <v>PRG-1029216</v>
      </c>
      <c r="E6303" t="s">
        <v>82</v>
      </c>
      <c r="F6303" t="s">
        <v>4</v>
      </c>
      <c r="G6303" t="str">
        <f>""</f>
        <v/>
      </c>
    </row>
    <row r="6304" spans="1:7" x14ac:dyDescent="0.25">
      <c r="A6304" t="s">
        <v>8</v>
      </c>
      <c r="B6304" s="1" t="str">
        <f>"000245549 - RICH FDS BB CORE-ARA EX-SSS"</f>
        <v>000245549 - RICH FDS BB CORE-ARA EX-SSS</v>
      </c>
      <c r="C6304" t="s">
        <v>570</v>
      </c>
      <c r="D6304" s="1" t="str">
        <f t="shared" si="179"/>
        <v>PRG-1029216</v>
      </c>
      <c r="E6304" t="s">
        <v>82</v>
      </c>
      <c r="F6304" t="s">
        <v>4</v>
      </c>
      <c r="G6304" t="str">
        <f>""</f>
        <v/>
      </c>
    </row>
    <row r="6305" spans="1:7" x14ac:dyDescent="0.25">
      <c r="A6305" t="s">
        <v>8</v>
      </c>
      <c r="B6305" s="1" t="str">
        <f>"000245550 - RICH FDS BB NCORE-ARA EX-SSS"</f>
        <v>000245550 - RICH FDS BB NCORE-ARA EX-SSS</v>
      </c>
      <c r="C6305" t="s">
        <v>571</v>
      </c>
      <c r="D6305" s="1" t="str">
        <f t="shared" si="179"/>
        <v>PRG-1029216</v>
      </c>
      <c r="E6305" t="s">
        <v>82</v>
      </c>
      <c r="F6305" t="s">
        <v>4</v>
      </c>
      <c r="G6305" t="str">
        <f>""</f>
        <v/>
      </c>
    </row>
    <row r="6306" spans="1:7" x14ac:dyDescent="0.25">
      <c r="A6306" t="s">
        <v>8</v>
      </c>
      <c r="B6306" s="1" t="str">
        <f>"000245589 - RICH FDS-MAIN ARAMARK EX-SSS"</f>
        <v>000245589 - RICH FDS-MAIN ARAMARK EX-SSS</v>
      </c>
      <c r="C6306" t="s">
        <v>556</v>
      </c>
      <c r="D6306" s="1" t="str">
        <f t="shared" si="179"/>
        <v>PRG-1029216</v>
      </c>
      <c r="E6306" t="s">
        <v>82</v>
      </c>
      <c r="F6306" t="s">
        <v>4</v>
      </c>
      <c r="G6306" t="str">
        <f>""</f>
        <v/>
      </c>
    </row>
    <row r="6307" spans="1:7" x14ac:dyDescent="0.25">
      <c r="A6307" t="s">
        <v>8</v>
      </c>
      <c r="B6307" s="1" t="str">
        <f>"000245836 - RICH RDS BB CORE-ARA EX-SSS"</f>
        <v>000245836 - RICH RDS BB CORE-ARA EX-SSS</v>
      </c>
      <c r="C6307" t="s">
        <v>581</v>
      </c>
      <c r="D6307" s="1" t="str">
        <f t="shared" si="179"/>
        <v>PRG-1029216</v>
      </c>
      <c r="E6307" t="s">
        <v>82</v>
      </c>
      <c r="F6307" t="s">
        <v>4</v>
      </c>
      <c r="G6307" t="str">
        <f>""</f>
        <v/>
      </c>
    </row>
    <row r="6308" spans="1:7" x14ac:dyDescent="0.25">
      <c r="A6308" t="s">
        <v>8</v>
      </c>
      <c r="B6308" s="1" t="str">
        <f>"000246329 - RICH FDS BB NCORE-ARA EX-SSS"</f>
        <v>000246329 - RICH FDS BB NCORE-ARA EX-SSS</v>
      </c>
      <c r="C6308" t="s">
        <v>571</v>
      </c>
      <c r="D6308" s="1" t="str">
        <f t="shared" si="179"/>
        <v>PRG-1029216</v>
      </c>
      <c r="E6308" t="s">
        <v>82</v>
      </c>
      <c r="F6308" t="s">
        <v>4</v>
      </c>
      <c r="G6308" t="str">
        <f>""</f>
        <v/>
      </c>
    </row>
    <row r="6309" spans="1:7" x14ac:dyDescent="0.25">
      <c r="A6309" t="s">
        <v>8</v>
      </c>
      <c r="B6309" s="1" t="str">
        <f>"000246330 - RICH FDS BB CORE-ARA EX-SSS"</f>
        <v>000246330 - RICH FDS BB CORE-ARA EX-SSS</v>
      </c>
      <c r="C6309" t="s">
        <v>570</v>
      </c>
      <c r="D6309" s="1" t="str">
        <f t="shared" si="179"/>
        <v>PRG-1029216</v>
      </c>
      <c r="E6309" t="s">
        <v>82</v>
      </c>
      <c r="F6309" t="s">
        <v>4</v>
      </c>
      <c r="G6309" t="str">
        <f>""</f>
        <v/>
      </c>
    </row>
    <row r="6310" spans="1:7" x14ac:dyDescent="0.25">
      <c r="A6310" t="s">
        <v>8</v>
      </c>
      <c r="B6310" s="1" t="str">
        <f>"000246664 - RICH'S FDS-MAIN ARAMARK EX-SSS"</f>
        <v>000246664 - RICH'S FDS-MAIN ARAMARK EX-SSS</v>
      </c>
      <c r="C6310" t="s">
        <v>540</v>
      </c>
      <c r="D6310" s="1" t="str">
        <f t="shared" si="179"/>
        <v>PRG-1029216</v>
      </c>
      <c r="E6310" t="s">
        <v>82</v>
      </c>
      <c r="F6310" t="s">
        <v>4</v>
      </c>
      <c r="G6310" t="str">
        <f>""</f>
        <v/>
      </c>
    </row>
    <row r="6311" spans="1:7" x14ac:dyDescent="0.25">
      <c r="A6311" t="s">
        <v>8</v>
      </c>
      <c r="B6311" s="1" t="str">
        <f>"000246787 - RICH FDS-MAIN ARAMARK EX-SSS"</f>
        <v>000246787 - RICH FDS-MAIN ARAMARK EX-SSS</v>
      </c>
      <c r="C6311" t="s">
        <v>556</v>
      </c>
      <c r="D6311" s="1" t="str">
        <f t="shared" si="179"/>
        <v>PRG-1029216</v>
      </c>
      <c r="E6311" t="s">
        <v>82</v>
      </c>
      <c r="F6311" t="s">
        <v>4</v>
      </c>
      <c r="G6311" t="str">
        <f>""</f>
        <v/>
      </c>
    </row>
    <row r="6312" spans="1:7" x14ac:dyDescent="0.25">
      <c r="A6312" t="s">
        <v>8</v>
      </c>
      <c r="B6312" s="1" t="str">
        <f>"000246822 - RICH FDS BB CORE-ARA EX-SSS"</f>
        <v>000246822 - RICH FDS BB CORE-ARA EX-SSS</v>
      </c>
      <c r="C6312" t="s">
        <v>570</v>
      </c>
      <c r="D6312" s="1" t="str">
        <f t="shared" si="179"/>
        <v>PRG-1029216</v>
      </c>
      <c r="E6312" t="s">
        <v>82</v>
      </c>
      <c r="F6312" t="s">
        <v>4</v>
      </c>
      <c r="G6312" t="str">
        <f>""</f>
        <v/>
      </c>
    </row>
    <row r="6313" spans="1:7" x14ac:dyDescent="0.25">
      <c r="A6313" t="s">
        <v>8</v>
      </c>
      <c r="B6313" s="1" t="str">
        <f>"000246823 - RICH FDS BB NCORE-ARA EX-SSS"</f>
        <v>000246823 - RICH FDS BB NCORE-ARA EX-SSS</v>
      </c>
      <c r="C6313" t="s">
        <v>571</v>
      </c>
      <c r="D6313" s="1" t="str">
        <f t="shared" si="179"/>
        <v>PRG-1029216</v>
      </c>
      <c r="E6313" t="s">
        <v>82</v>
      </c>
      <c r="F6313" t="s">
        <v>4</v>
      </c>
      <c r="G6313" t="str">
        <f>""</f>
        <v/>
      </c>
    </row>
    <row r="6314" spans="1:7" x14ac:dyDescent="0.25">
      <c r="A6314" t="s">
        <v>8</v>
      </c>
      <c r="B6314" s="1" t="str">
        <f>"000247619 - RICH'S FDS-MAIN ARAMARK EX-SSS"</f>
        <v>000247619 - RICH'S FDS-MAIN ARAMARK EX-SSS</v>
      </c>
      <c r="C6314" t="s">
        <v>540</v>
      </c>
      <c r="D6314" s="1" t="str">
        <f t="shared" si="179"/>
        <v>PRG-1029216</v>
      </c>
      <c r="E6314" t="s">
        <v>82</v>
      </c>
      <c r="F6314" t="s">
        <v>4</v>
      </c>
      <c r="G6314" t="str">
        <f>""</f>
        <v/>
      </c>
    </row>
    <row r="6315" spans="1:7" x14ac:dyDescent="0.25">
      <c r="A6315" t="s">
        <v>8</v>
      </c>
      <c r="B6315" s="1" t="str">
        <f>"000247631 - RICH FDS BB NCORE-ARA EX-SSS"</f>
        <v>000247631 - RICH FDS BB NCORE-ARA EX-SSS</v>
      </c>
      <c r="C6315" t="s">
        <v>571</v>
      </c>
      <c r="D6315" s="1" t="str">
        <f t="shared" si="179"/>
        <v>PRG-1029216</v>
      </c>
      <c r="E6315" t="s">
        <v>82</v>
      </c>
      <c r="F6315" t="s">
        <v>4</v>
      </c>
      <c r="G6315" t="str">
        <f>""</f>
        <v/>
      </c>
    </row>
    <row r="6316" spans="1:7" x14ac:dyDescent="0.25">
      <c r="A6316" t="s">
        <v>8</v>
      </c>
      <c r="B6316" s="1" t="str">
        <f>"000247632 - RICH FDS BB CORE-ARA EX-SSS"</f>
        <v>000247632 - RICH FDS BB CORE-ARA EX-SSS</v>
      </c>
      <c r="C6316" t="s">
        <v>570</v>
      </c>
      <c r="D6316" s="1" t="str">
        <f t="shared" si="179"/>
        <v>PRG-1029216</v>
      </c>
      <c r="E6316" t="s">
        <v>82</v>
      </c>
      <c r="F6316" t="s">
        <v>4</v>
      </c>
      <c r="G6316" t="str">
        <f>""</f>
        <v/>
      </c>
    </row>
    <row r="6317" spans="1:7" x14ac:dyDescent="0.25">
      <c r="A6317" t="s">
        <v>8</v>
      </c>
      <c r="B6317" s="1" t="str">
        <f>"000247693 - RICH RDS BB CORE-ARA EX-SSS"</f>
        <v>000247693 - RICH RDS BB CORE-ARA EX-SSS</v>
      </c>
      <c r="C6317" t="s">
        <v>581</v>
      </c>
      <c r="D6317" s="1" t="str">
        <f t="shared" si="179"/>
        <v>PRG-1029216</v>
      </c>
      <c r="E6317" t="s">
        <v>82</v>
      </c>
      <c r="F6317" t="s">
        <v>4</v>
      </c>
      <c r="G6317" t="str">
        <f>""</f>
        <v/>
      </c>
    </row>
    <row r="6318" spans="1:7" x14ac:dyDescent="0.25">
      <c r="A6318" t="s">
        <v>8</v>
      </c>
      <c r="B6318" s="1" t="str">
        <f>"000248159 - RICH FDS BB CORE-ARA EX-SSS"</f>
        <v>000248159 - RICH FDS BB CORE-ARA EX-SSS</v>
      </c>
      <c r="C6318" t="s">
        <v>570</v>
      </c>
      <c r="D6318" s="1" t="str">
        <f t="shared" si="179"/>
        <v>PRG-1029216</v>
      </c>
      <c r="E6318" t="s">
        <v>82</v>
      </c>
      <c r="F6318" t="s">
        <v>4</v>
      </c>
      <c r="G6318" t="str">
        <f>""</f>
        <v/>
      </c>
    </row>
    <row r="6319" spans="1:7" x14ac:dyDescent="0.25">
      <c r="A6319" t="s">
        <v>8</v>
      </c>
      <c r="B6319" s="1" t="str">
        <f>"000248160 - RICH FDS BB NCORE-ARA EX-SSS"</f>
        <v>000248160 - RICH FDS BB NCORE-ARA EX-SSS</v>
      </c>
      <c r="C6319" t="s">
        <v>571</v>
      </c>
      <c r="D6319" s="1" t="str">
        <f t="shared" si="179"/>
        <v>PRG-1029216</v>
      </c>
      <c r="E6319" t="s">
        <v>82</v>
      </c>
      <c r="F6319" t="s">
        <v>4</v>
      </c>
      <c r="G6319" t="str">
        <f>""</f>
        <v/>
      </c>
    </row>
    <row r="6320" spans="1:7" x14ac:dyDescent="0.25">
      <c r="A6320" t="s">
        <v>8</v>
      </c>
      <c r="B6320" s="1" t="str">
        <f>"000248872 - RICH FDS BB NCORE-ARA EX-SSS"</f>
        <v>000248872 - RICH FDS BB NCORE-ARA EX-SSS</v>
      </c>
      <c r="C6320" t="s">
        <v>571</v>
      </c>
      <c r="D6320" s="1" t="str">
        <f t="shared" ref="D6320:D6383" si="180">"PRG-1029216"</f>
        <v>PRG-1029216</v>
      </c>
      <c r="E6320" t="s">
        <v>82</v>
      </c>
      <c r="F6320" t="s">
        <v>4</v>
      </c>
      <c r="G6320" t="str">
        <f>""</f>
        <v/>
      </c>
    </row>
    <row r="6321" spans="1:7" x14ac:dyDescent="0.25">
      <c r="A6321" t="s">
        <v>8</v>
      </c>
      <c r="B6321" s="1" t="str">
        <f>"000248873 - RICH RDS BB CORE-ARA EX-SSS"</f>
        <v>000248873 - RICH RDS BB CORE-ARA EX-SSS</v>
      </c>
      <c r="C6321" t="s">
        <v>581</v>
      </c>
      <c r="D6321" s="1" t="str">
        <f t="shared" si="180"/>
        <v>PRG-1029216</v>
      </c>
      <c r="E6321" t="s">
        <v>82</v>
      </c>
      <c r="F6321" t="s">
        <v>4</v>
      </c>
      <c r="G6321" t="str">
        <f>""</f>
        <v/>
      </c>
    </row>
    <row r="6322" spans="1:7" x14ac:dyDescent="0.25">
      <c r="A6322" t="s">
        <v>8</v>
      </c>
      <c r="B6322" s="1" t="str">
        <f>"000248905 - RICH FDS-MAIN ARAMARK EX-SSS"</f>
        <v>000248905 - RICH FDS-MAIN ARAMARK EX-SSS</v>
      </c>
      <c r="C6322" t="s">
        <v>556</v>
      </c>
      <c r="D6322" s="1" t="str">
        <f t="shared" si="180"/>
        <v>PRG-1029216</v>
      </c>
      <c r="E6322" t="s">
        <v>82</v>
      </c>
      <c r="F6322" t="s">
        <v>4</v>
      </c>
      <c r="G6322" t="str">
        <f>""</f>
        <v/>
      </c>
    </row>
    <row r="6323" spans="1:7" x14ac:dyDescent="0.25">
      <c r="A6323" t="s">
        <v>8</v>
      </c>
      <c r="B6323" s="1" t="str">
        <f>"000248985 - RICH FDS BB NCORE-ARA EX-SSS"</f>
        <v>000248985 - RICH FDS BB NCORE-ARA EX-SSS</v>
      </c>
      <c r="C6323" t="s">
        <v>571</v>
      </c>
      <c r="D6323" s="1" t="str">
        <f t="shared" si="180"/>
        <v>PRG-1029216</v>
      </c>
      <c r="E6323" t="s">
        <v>82</v>
      </c>
      <c r="F6323" t="s">
        <v>4</v>
      </c>
      <c r="G6323" t="str">
        <f>""</f>
        <v/>
      </c>
    </row>
    <row r="6324" spans="1:7" x14ac:dyDescent="0.25">
      <c r="A6324" t="s">
        <v>8</v>
      </c>
      <c r="B6324" s="1" t="str">
        <f>"000248986 - RICH FDS BB CORE-ARA EX-SSS"</f>
        <v>000248986 - RICH FDS BB CORE-ARA EX-SSS</v>
      </c>
      <c r="C6324" t="s">
        <v>570</v>
      </c>
      <c r="D6324" s="1" t="str">
        <f t="shared" si="180"/>
        <v>PRG-1029216</v>
      </c>
      <c r="E6324" t="s">
        <v>82</v>
      </c>
      <c r="F6324" t="s">
        <v>4</v>
      </c>
      <c r="G6324" t="str">
        <f>""</f>
        <v/>
      </c>
    </row>
    <row r="6325" spans="1:7" x14ac:dyDescent="0.25">
      <c r="A6325" t="s">
        <v>8</v>
      </c>
      <c r="B6325" s="1" t="str">
        <f>"000249471 - RICH'S FDS-MAIN ARAMARK EX-SSS"</f>
        <v>000249471 - RICH'S FDS-MAIN ARAMARK EX-SSS</v>
      </c>
      <c r="C6325" t="s">
        <v>540</v>
      </c>
      <c r="D6325" s="1" t="str">
        <f t="shared" si="180"/>
        <v>PRG-1029216</v>
      </c>
      <c r="E6325" t="s">
        <v>82</v>
      </c>
      <c r="F6325" t="s">
        <v>4</v>
      </c>
      <c r="G6325" t="str">
        <f>""</f>
        <v/>
      </c>
    </row>
    <row r="6326" spans="1:7" x14ac:dyDescent="0.25">
      <c r="A6326" t="s">
        <v>8</v>
      </c>
      <c r="B6326" s="1" t="str">
        <f>"000249472 - RICH'S FDS-SSS ARAMARK"</f>
        <v>000249472 - RICH'S FDS-SSS ARAMARK</v>
      </c>
      <c r="C6326" t="s">
        <v>541</v>
      </c>
      <c r="D6326" s="1" t="str">
        <f t="shared" si="180"/>
        <v>PRG-1029216</v>
      </c>
      <c r="E6326" t="s">
        <v>82</v>
      </c>
      <c r="F6326" t="s">
        <v>4</v>
      </c>
      <c r="G6326" t="str">
        <f>""</f>
        <v/>
      </c>
    </row>
    <row r="6327" spans="1:7" x14ac:dyDescent="0.25">
      <c r="A6327" t="s">
        <v>8</v>
      </c>
      <c r="B6327" s="1" t="str">
        <f>"000249983 - RICH FDS BB CORE-ARA EX-SSS"</f>
        <v>000249983 - RICH FDS BB CORE-ARA EX-SSS</v>
      </c>
      <c r="C6327" t="s">
        <v>570</v>
      </c>
      <c r="D6327" s="1" t="str">
        <f t="shared" si="180"/>
        <v>PRG-1029216</v>
      </c>
      <c r="E6327" t="s">
        <v>82</v>
      </c>
      <c r="F6327" t="s">
        <v>4</v>
      </c>
      <c r="G6327" t="str">
        <f>""</f>
        <v/>
      </c>
    </row>
    <row r="6328" spans="1:7" x14ac:dyDescent="0.25">
      <c r="A6328" t="s">
        <v>8</v>
      </c>
      <c r="B6328" s="1" t="str">
        <f>"000250264 - RICH FDS BB NCORE-ARA EX-SSS"</f>
        <v>000250264 - RICH FDS BB NCORE-ARA EX-SSS</v>
      </c>
      <c r="C6328" t="s">
        <v>571</v>
      </c>
      <c r="D6328" s="1" t="str">
        <f t="shared" si="180"/>
        <v>PRG-1029216</v>
      </c>
      <c r="E6328" t="s">
        <v>82</v>
      </c>
      <c r="F6328" t="s">
        <v>4</v>
      </c>
      <c r="G6328" t="str">
        <f>""</f>
        <v/>
      </c>
    </row>
    <row r="6329" spans="1:7" x14ac:dyDescent="0.25">
      <c r="A6329" t="s">
        <v>8</v>
      </c>
      <c r="B6329" s="1" t="str">
        <f>"000250265 - RICH RDS BB CORE-ARA EX-SSS"</f>
        <v>000250265 - RICH RDS BB CORE-ARA EX-SSS</v>
      </c>
      <c r="C6329" t="s">
        <v>581</v>
      </c>
      <c r="D6329" s="1" t="str">
        <f t="shared" si="180"/>
        <v>PRG-1029216</v>
      </c>
      <c r="E6329" t="s">
        <v>82</v>
      </c>
      <c r="F6329" t="s">
        <v>4</v>
      </c>
      <c r="G6329" t="str">
        <f>""</f>
        <v/>
      </c>
    </row>
    <row r="6330" spans="1:7" x14ac:dyDescent="0.25">
      <c r="A6330" t="s">
        <v>8</v>
      </c>
      <c r="B6330" s="1" t="str">
        <f>"000250658 - RICH FDS BB NCORE-ARA EX-SSS"</f>
        <v>000250658 - RICH FDS BB NCORE-ARA EX-SSS</v>
      </c>
      <c r="C6330" t="s">
        <v>571</v>
      </c>
      <c r="D6330" s="1" t="str">
        <f t="shared" si="180"/>
        <v>PRG-1029216</v>
      </c>
      <c r="E6330" t="s">
        <v>82</v>
      </c>
      <c r="F6330" t="s">
        <v>4</v>
      </c>
      <c r="G6330" t="str">
        <f>""</f>
        <v/>
      </c>
    </row>
    <row r="6331" spans="1:7" x14ac:dyDescent="0.25">
      <c r="A6331" t="s">
        <v>8</v>
      </c>
      <c r="B6331" s="1" t="str">
        <f>"000250659 - RICH FDS BB CORE-ARA EX-SSS"</f>
        <v>000250659 - RICH FDS BB CORE-ARA EX-SSS</v>
      </c>
      <c r="C6331" t="s">
        <v>570</v>
      </c>
      <c r="D6331" s="1" t="str">
        <f t="shared" si="180"/>
        <v>PRG-1029216</v>
      </c>
      <c r="E6331" t="s">
        <v>82</v>
      </c>
      <c r="F6331" t="s">
        <v>4</v>
      </c>
      <c r="G6331" t="str">
        <f>""</f>
        <v/>
      </c>
    </row>
    <row r="6332" spans="1:7" x14ac:dyDescent="0.25">
      <c r="A6332" t="s">
        <v>8</v>
      </c>
      <c r="B6332" s="1" t="str">
        <f>"000251452 - RICH FDS BB CORE-ARA EX-SSS"</f>
        <v>000251452 - RICH FDS BB CORE-ARA EX-SSS</v>
      </c>
      <c r="C6332" t="s">
        <v>570</v>
      </c>
      <c r="D6332" s="1" t="str">
        <f t="shared" si="180"/>
        <v>PRG-1029216</v>
      </c>
      <c r="E6332" t="s">
        <v>82</v>
      </c>
      <c r="F6332" t="s">
        <v>4</v>
      </c>
      <c r="G6332" t="str">
        <f>""</f>
        <v/>
      </c>
    </row>
    <row r="6333" spans="1:7" x14ac:dyDescent="0.25">
      <c r="A6333" t="s">
        <v>8</v>
      </c>
      <c r="B6333" s="1" t="str">
        <f>"000251453 - RICH FDS BB NCORE-ARA EX-SSS"</f>
        <v>000251453 - RICH FDS BB NCORE-ARA EX-SSS</v>
      </c>
      <c r="C6333" t="s">
        <v>571</v>
      </c>
      <c r="D6333" s="1" t="str">
        <f t="shared" si="180"/>
        <v>PRG-1029216</v>
      </c>
      <c r="E6333" t="s">
        <v>82</v>
      </c>
      <c r="F6333" t="s">
        <v>4</v>
      </c>
      <c r="G6333" t="str">
        <f>""</f>
        <v/>
      </c>
    </row>
    <row r="6334" spans="1:7" x14ac:dyDescent="0.25">
      <c r="A6334" t="s">
        <v>8</v>
      </c>
      <c r="B6334" s="1" t="str">
        <f>"000251492 - RICH FDS-MAIN ARAMARK EX-SSS"</f>
        <v>000251492 - RICH FDS-MAIN ARAMARK EX-SSS</v>
      </c>
      <c r="C6334" t="s">
        <v>556</v>
      </c>
      <c r="D6334" s="1" t="str">
        <f t="shared" si="180"/>
        <v>PRG-1029216</v>
      </c>
      <c r="E6334" t="s">
        <v>82</v>
      </c>
      <c r="F6334" t="s">
        <v>4</v>
      </c>
      <c r="G6334" t="str">
        <f>""</f>
        <v/>
      </c>
    </row>
    <row r="6335" spans="1:7" x14ac:dyDescent="0.25">
      <c r="A6335" t="s">
        <v>8</v>
      </c>
      <c r="B6335" s="1" t="str">
        <f>"000252013 - Which Wich"</f>
        <v>000252013 - Which Wich</v>
      </c>
      <c r="C6335" t="s">
        <v>2125</v>
      </c>
      <c r="D6335" s="1" t="str">
        <f t="shared" si="180"/>
        <v>PRG-1029216</v>
      </c>
      <c r="E6335" t="s">
        <v>82</v>
      </c>
      <c r="F6335" t="s">
        <v>4</v>
      </c>
      <c r="G6335" t="str">
        <f>""</f>
        <v/>
      </c>
    </row>
    <row r="6336" spans="1:7" x14ac:dyDescent="0.25">
      <c r="A6336" t="s">
        <v>8</v>
      </c>
      <c r="B6336" s="1" t="str">
        <f>"000252218 - RICH FDS BB NCORE-ARA EX-SSS"</f>
        <v>000252218 - RICH FDS BB NCORE-ARA EX-SSS</v>
      </c>
      <c r="C6336" t="s">
        <v>571</v>
      </c>
      <c r="D6336" s="1" t="str">
        <f t="shared" si="180"/>
        <v>PRG-1029216</v>
      </c>
      <c r="E6336" t="s">
        <v>82</v>
      </c>
      <c r="F6336" t="s">
        <v>4</v>
      </c>
      <c r="G6336" t="str">
        <f>""</f>
        <v/>
      </c>
    </row>
    <row r="6337" spans="1:7" x14ac:dyDescent="0.25">
      <c r="A6337" t="s">
        <v>8</v>
      </c>
      <c r="B6337" s="1" t="str">
        <f>"000252219 - RICH FDS BB CORE-ARA EX-SSS"</f>
        <v>000252219 - RICH FDS BB CORE-ARA EX-SSS</v>
      </c>
      <c r="C6337" t="s">
        <v>570</v>
      </c>
      <c r="D6337" s="1" t="str">
        <f t="shared" si="180"/>
        <v>PRG-1029216</v>
      </c>
      <c r="E6337" t="s">
        <v>82</v>
      </c>
      <c r="F6337" t="s">
        <v>4</v>
      </c>
      <c r="G6337" t="str">
        <f>""</f>
        <v/>
      </c>
    </row>
    <row r="6338" spans="1:7" x14ac:dyDescent="0.25">
      <c r="A6338" t="s">
        <v>8</v>
      </c>
      <c r="B6338" s="1" t="str">
        <f>"000252237 - RICH FDS-MAIN ARAMARK EX-SSS"</f>
        <v>000252237 - RICH FDS-MAIN ARAMARK EX-SSS</v>
      </c>
      <c r="C6338" t="s">
        <v>556</v>
      </c>
      <c r="D6338" s="1" t="str">
        <f t="shared" si="180"/>
        <v>PRG-1029216</v>
      </c>
      <c r="E6338" t="s">
        <v>82</v>
      </c>
      <c r="F6338" t="s">
        <v>4</v>
      </c>
      <c r="G6338" t="str">
        <f>""</f>
        <v/>
      </c>
    </row>
    <row r="6339" spans="1:7" x14ac:dyDescent="0.25">
      <c r="A6339" t="s">
        <v>8</v>
      </c>
      <c r="B6339" s="1" t="str">
        <f>"000252955 - RICH FDS BB CORE-ARA EX-SSS"</f>
        <v>000252955 - RICH FDS BB CORE-ARA EX-SSS</v>
      </c>
      <c r="C6339" t="s">
        <v>570</v>
      </c>
      <c r="D6339" s="1" t="str">
        <f t="shared" si="180"/>
        <v>PRG-1029216</v>
      </c>
      <c r="E6339" t="s">
        <v>82</v>
      </c>
      <c r="F6339" t="s">
        <v>4</v>
      </c>
      <c r="G6339" t="str">
        <f>""</f>
        <v/>
      </c>
    </row>
    <row r="6340" spans="1:7" x14ac:dyDescent="0.25">
      <c r="A6340" t="s">
        <v>8</v>
      </c>
      <c r="B6340" s="1" t="str">
        <f>"000252956 - RICH FDS BB NCORE-ARA EX-SSS"</f>
        <v>000252956 - RICH FDS BB NCORE-ARA EX-SSS</v>
      </c>
      <c r="C6340" t="s">
        <v>571</v>
      </c>
      <c r="D6340" s="1" t="str">
        <f t="shared" si="180"/>
        <v>PRG-1029216</v>
      </c>
      <c r="E6340" t="s">
        <v>82</v>
      </c>
      <c r="F6340" t="s">
        <v>4</v>
      </c>
      <c r="G6340" t="str">
        <f>""</f>
        <v/>
      </c>
    </row>
    <row r="6341" spans="1:7" x14ac:dyDescent="0.25">
      <c r="A6341" t="s">
        <v>8</v>
      </c>
      <c r="B6341" s="1" t="str">
        <f>"000253548 - RICH FDS BB NCORE-ARA EX-SSS"</f>
        <v>000253548 - RICH FDS BB NCORE-ARA EX-SSS</v>
      </c>
      <c r="C6341" t="s">
        <v>571</v>
      </c>
      <c r="D6341" s="1" t="str">
        <f t="shared" si="180"/>
        <v>PRG-1029216</v>
      </c>
      <c r="E6341" t="s">
        <v>82</v>
      </c>
      <c r="F6341" t="s">
        <v>4</v>
      </c>
      <c r="G6341" t="str">
        <f>""</f>
        <v/>
      </c>
    </row>
    <row r="6342" spans="1:7" x14ac:dyDescent="0.25">
      <c r="A6342" t="s">
        <v>8</v>
      </c>
      <c r="B6342" s="1" t="str">
        <f>"000253549 - RICH RDS BB CORE-ARA EX-SSS"</f>
        <v>000253549 - RICH RDS BB CORE-ARA EX-SSS</v>
      </c>
      <c r="C6342" t="s">
        <v>581</v>
      </c>
      <c r="D6342" s="1" t="str">
        <f t="shared" si="180"/>
        <v>PRG-1029216</v>
      </c>
      <c r="E6342" t="s">
        <v>82</v>
      </c>
      <c r="F6342" t="s">
        <v>4</v>
      </c>
      <c r="G6342" t="str">
        <f>""</f>
        <v/>
      </c>
    </row>
    <row r="6343" spans="1:7" x14ac:dyDescent="0.25">
      <c r="A6343" t="s">
        <v>8</v>
      </c>
      <c r="B6343" s="1" t="str">
        <f>"000253588 - RICH'S FDS-MAIN ARAMARK EX-SSS"</f>
        <v>000253588 - RICH'S FDS-MAIN ARAMARK EX-SSS</v>
      </c>
      <c r="C6343" t="s">
        <v>540</v>
      </c>
      <c r="D6343" s="1" t="str">
        <f t="shared" si="180"/>
        <v>PRG-1029216</v>
      </c>
      <c r="E6343" t="s">
        <v>82</v>
      </c>
      <c r="F6343" t="s">
        <v>4</v>
      </c>
      <c r="G6343" t="str">
        <f>""</f>
        <v/>
      </c>
    </row>
    <row r="6344" spans="1:7" x14ac:dyDescent="0.25">
      <c r="A6344" t="s">
        <v>8</v>
      </c>
      <c r="B6344" s="1" t="str">
        <f>"000253721 - RICH FDS BB NCORE-ARA EX-SSS"</f>
        <v>000253721 - RICH FDS BB NCORE-ARA EX-SSS</v>
      </c>
      <c r="C6344" t="s">
        <v>571</v>
      </c>
      <c r="D6344" s="1" t="str">
        <f t="shared" si="180"/>
        <v>PRG-1029216</v>
      </c>
      <c r="E6344" t="s">
        <v>82</v>
      </c>
      <c r="F6344" t="s">
        <v>4</v>
      </c>
      <c r="G6344" t="str">
        <f>""</f>
        <v/>
      </c>
    </row>
    <row r="6345" spans="1:7" x14ac:dyDescent="0.25">
      <c r="A6345" t="s">
        <v>8</v>
      </c>
      <c r="B6345" s="1" t="str">
        <f>"000253722 - RICH FDS BB CORE-ARA EX-SSS"</f>
        <v>000253722 - RICH FDS BB CORE-ARA EX-SSS</v>
      </c>
      <c r="C6345" t="s">
        <v>570</v>
      </c>
      <c r="D6345" s="1" t="str">
        <f t="shared" si="180"/>
        <v>PRG-1029216</v>
      </c>
      <c r="E6345" t="s">
        <v>82</v>
      </c>
      <c r="F6345" t="s">
        <v>4</v>
      </c>
      <c r="G6345" t="str">
        <f>""</f>
        <v/>
      </c>
    </row>
    <row r="6346" spans="1:7" x14ac:dyDescent="0.25">
      <c r="A6346" t="s">
        <v>8</v>
      </c>
      <c r="B6346" s="1" t="str">
        <f>"000253860 - RICH FDS BB CORE-ARA EX-SSS"</f>
        <v>000253860 - RICH FDS BB CORE-ARA EX-SSS</v>
      </c>
      <c r="C6346" t="s">
        <v>570</v>
      </c>
      <c r="D6346" s="1" t="str">
        <f t="shared" si="180"/>
        <v>PRG-1029216</v>
      </c>
      <c r="E6346" t="s">
        <v>82</v>
      </c>
      <c r="F6346" t="s">
        <v>4</v>
      </c>
      <c r="G6346" t="str">
        <f>""</f>
        <v/>
      </c>
    </row>
    <row r="6347" spans="1:7" x14ac:dyDescent="0.25">
      <c r="A6347" t="s">
        <v>8</v>
      </c>
      <c r="B6347" s="1" t="str">
        <f>"000253861 - RICH FDS BB NCORE-ARA EX-SSS"</f>
        <v>000253861 - RICH FDS BB NCORE-ARA EX-SSS</v>
      </c>
      <c r="C6347" t="s">
        <v>571</v>
      </c>
      <c r="D6347" s="1" t="str">
        <f t="shared" si="180"/>
        <v>PRG-1029216</v>
      </c>
      <c r="E6347" t="s">
        <v>82</v>
      </c>
      <c r="F6347" t="s">
        <v>4</v>
      </c>
      <c r="G6347" t="str">
        <f>""</f>
        <v/>
      </c>
    </row>
    <row r="6348" spans="1:7" x14ac:dyDescent="0.25">
      <c r="A6348" t="s">
        <v>8</v>
      </c>
      <c r="B6348" s="1" t="str">
        <f>"000253867 - RICH FDS BB CORE-ARA EX-SSS"</f>
        <v>000253867 - RICH FDS BB CORE-ARA EX-SSS</v>
      </c>
      <c r="C6348" t="s">
        <v>570</v>
      </c>
      <c r="D6348" s="1" t="str">
        <f t="shared" si="180"/>
        <v>PRG-1029216</v>
      </c>
      <c r="E6348" t="s">
        <v>82</v>
      </c>
      <c r="F6348" t="s">
        <v>4</v>
      </c>
      <c r="G6348" t="str">
        <f>""</f>
        <v/>
      </c>
    </row>
    <row r="6349" spans="1:7" x14ac:dyDescent="0.25">
      <c r="A6349" t="s">
        <v>8</v>
      </c>
      <c r="B6349" s="1" t="str">
        <f>"000253868 - RICH FDS BB NCORE-ARA EX-SSS"</f>
        <v>000253868 - RICH FDS BB NCORE-ARA EX-SSS</v>
      </c>
      <c r="C6349" t="s">
        <v>571</v>
      </c>
      <c r="D6349" s="1" t="str">
        <f t="shared" si="180"/>
        <v>PRG-1029216</v>
      </c>
      <c r="E6349" t="s">
        <v>82</v>
      </c>
      <c r="F6349" t="s">
        <v>4</v>
      </c>
      <c r="G6349" t="str">
        <f>""</f>
        <v/>
      </c>
    </row>
    <row r="6350" spans="1:7" x14ac:dyDescent="0.25">
      <c r="A6350" t="s">
        <v>8</v>
      </c>
      <c r="B6350" s="1" t="str">
        <f>"000254616 - RICH FDS BB NCORE-ARA EX-SSS"</f>
        <v>000254616 - RICH FDS BB NCORE-ARA EX-SSS</v>
      </c>
      <c r="C6350" t="s">
        <v>571</v>
      </c>
      <c r="D6350" s="1" t="str">
        <f t="shared" si="180"/>
        <v>PRG-1029216</v>
      </c>
      <c r="E6350" t="s">
        <v>82</v>
      </c>
      <c r="F6350" t="s">
        <v>4</v>
      </c>
      <c r="G6350" t="str">
        <f>""</f>
        <v/>
      </c>
    </row>
    <row r="6351" spans="1:7" x14ac:dyDescent="0.25">
      <c r="A6351" t="s">
        <v>8</v>
      </c>
      <c r="B6351" s="1" t="str">
        <f>"000254617 - RICH FDS BB CORE-ARA EX-SSS"</f>
        <v>000254617 - RICH FDS BB CORE-ARA EX-SSS</v>
      </c>
      <c r="C6351" t="s">
        <v>570</v>
      </c>
      <c r="D6351" s="1" t="str">
        <f t="shared" si="180"/>
        <v>PRG-1029216</v>
      </c>
      <c r="E6351" t="s">
        <v>82</v>
      </c>
      <c r="F6351" t="s">
        <v>4</v>
      </c>
      <c r="G6351" t="str">
        <f>""</f>
        <v/>
      </c>
    </row>
    <row r="6352" spans="1:7" x14ac:dyDescent="0.25">
      <c r="A6352" t="s">
        <v>8</v>
      </c>
      <c r="B6352" s="1" t="str">
        <f>"000254688 - RICH FDS BB NCORE-ARA EX-SSS"</f>
        <v>000254688 - RICH FDS BB NCORE-ARA EX-SSS</v>
      </c>
      <c r="C6352" t="s">
        <v>571</v>
      </c>
      <c r="D6352" s="1" t="str">
        <f t="shared" si="180"/>
        <v>PRG-1029216</v>
      </c>
      <c r="E6352" t="s">
        <v>82</v>
      </c>
      <c r="F6352" t="s">
        <v>4</v>
      </c>
      <c r="G6352" t="str">
        <f>""</f>
        <v/>
      </c>
    </row>
    <row r="6353" spans="1:7" x14ac:dyDescent="0.25">
      <c r="A6353" t="s">
        <v>8</v>
      </c>
      <c r="B6353" s="1" t="str">
        <f>"000254689 - RICH FDS BB CORE-ARA EX-SSS"</f>
        <v>000254689 - RICH FDS BB CORE-ARA EX-SSS</v>
      </c>
      <c r="C6353" t="s">
        <v>570</v>
      </c>
      <c r="D6353" s="1" t="str">
        <f t="shared" si="180"/>
        <v>PRG-1029216</v>
      </c>
      <c r="E6353" t="s">
        <v>82</v>
      </c>
      <c r="F6353" t="s">
        <v>4</v>
      </c>
      <c r="G6353" t="str">
        <f>""</f>
        <v/>
      </c>
    </row>
    <row r="6354" spans="1:7" x14ac:dyDescent="0.25">
      <c r="A6354" t="s">
        <v>8</v>
      </c>
      <c r="B6354" s="1" t="str">
        <f>"000254860 - RICH FDS BB NCORE-ARA EX-SSS"</f>
        <v>000254860 - RICH FDS BB NCORE-ARA EX-SSS</v>
      </c>
      <c r="C6354" t="s">
        <v>571</v>
      </c>
      <c r="D6354" s="1" t="str">
        <f t="shared" si="180"/>
        <v>PRG-1029216</v>
      </c>
      <c r="E6354" t="s">
        <v>82</v>
      </c>
      <c r="F6354" t="s">
        <v>4</v>
      </c>
      <c r="G6354" t="str">
        <f>""</f>
        <v/>
      </c>
    </row>
    <row r="6355" spans="1:7" x14ac:dyDescent="0.25">
      <c r="A6355" t="s">
        <v>8</v>
      </c>
      <c r="B6355" s="1" t="str">
        <f>"000254861 - RICH RDS BB CORE-ARA EX-SSS"</f>
        <v>000254861 - RICH RDS BB CORE-ARA EX-SSS</v>
      </c>
      <c r="C6355" t="s">
        <v>581</v>
      </c>
      <c r="D6355" s="1" t="str">
        <f t="shared" si="180"/>
        <v>PRG-1029216</v>
      </c>
      <c r="E6355" t="s">
        <v>82</v>
      </c>
      <c r="F6355" t="s">
        <v>4</v>
      </c>
      <c r="G6355" t="str">
        <f>""</f>
        <v/>
      </c>
    </row>
    <row r="6356" spans="1:7" x14ac:dyDescent="0.25">
      <c r="A6356" t="s">
        <v>8</v>
      </c>
      <c r="B6356" s="1" t="str">
        <f>"000255911 - RICH FDS BB NCORE-ARA EX-SSS"</f>
        <v>000255911 - RICH FDS BB NCORE-ARA EX-SSS</v>
      </c>
      <c r="C6356" t="s">
        <v>571</v>
      </c>
      <c r="D6356" s="1" t="str">
        <f t="shared" si="180"/>
        <v>PRG-1029216</v>
      </c>
      <c r="E6356" t="s">
        <v>82</v>
      </c>
      <c r="F6356" t="s">
        <v>4</v>
      </c>
      <c r="G6356" t="str">
        <f>""</f>
        <v/>
      </c>
    </row>
    <row r="6357" spans="1:7" x14ac:dyDescent="0.25">
      <c r="A6357" t="s">
        <v>8</v>
      </c>
      <c r="B6357" s="1" t="str">
        <f>"000255932 - RICH FDS-MAIN ARAMARK EX-SSS"</f>
        <v>000255932 - RICH FDS-MAIN ARAMARK EX-SSS</v>
      </c>
      <c r="C6357" t="s">
        <v>556</v>
      </c>
      <c r="D6357" s="1" t="str">
        <f t="shared" si="180"/>
        <v>PRG-1029216</v>
      </c>
      <c r="E6357" t="s">
        <v>82</v>
      </c>
      <c r="F6357" t="s">
        <v>4</v>
      </c>
      <c r="G6357" t="str">
        <f>""</f>
        <v/>
      </c>
    </row>
    <row r="6358" spans="1:7" x14ac:dyDescent="0.25">
      <c r="A6358" t="s">
        <v>8</v>
      </c>
      <c r="B6358" s="1" t="str">
        <f>"000256028 - RICH FDS BB NCORE-ARA EX-SSS"</f>
        <v>000256028 - RICH FDS BB NCORE-ARA EX-SSS</v>
      </c>
      <c r="C6358" t="s">
        <v>571</v>
      </c>
      <c r="D6358" s="1" t="str">
        <f t="shared" si="180"/>
        <v>PRG-1029216</v>
      </c>
      <c r="E6358" t="s">
        <v>82</v>
      </c>
      <c r="F6358" t="s">
        <v>4</v>
      </c>
      <c r="G6358" t="str">
        <f>""</f>
        <v/>
      </c>
    </row>
    <row r="6359" spans="1:7" x14ac:dyDescent="0.25">
      <c r="A6359" t="s">
        <v>8</v>
      </c>
      <c r="B6359" s="1" t="str">
        <f>"000256029 - RICH RDS BB CORE-ARA EX-SSS"</f>
        <v>000256029 - RICH RDS BB CORE-ARA EX-SSS</v>
      </c>
      <c r="C6359" t="s">
        <v>581</v>
      </c>
      <c r="D6359" s="1" t="str">
        <f t="shared" si="180"/>
        <v>PRG-1029216</v>
      </c>
      <c r="E6359" t="s">
        <v>82</v>
      </c>
      <c r="F6359" t="s">
        <v>4</v>
      </c>
      <c r="G6359" t="str">
        <f>""</f>
        <v/>
      </c>
    </row>
    <row r="6360" spans="1:7" x14ac:dyDescent="0.25">
      <c r="A6360" t="s">
        <v>8</v>
      </c>
      <c r="B6360" s="1" t="str">
        <f>"000257038 - RICH FDS BB CORE-ARA EX-SSS"</f>
        <v>000257038 - RICH FDS BB CORE-ARA EX-SSS</v>
      </c>
      <c r="C6360" t="s">
        <v>570</v>
      </c>
      <c r="D6360" s="1" t="str">
        <f t="shared" si="180"/>
        <v>PRG-1029216</v>
      </c>
      <c r="E6360" t="s">
        <v>82</v>
      </c>
      <c r="F6360" t="s">
        <v>4</v>
      </c>
      <c r="G6360" t="str">
        <f>""</f>
        <v/>
      </c>
    </row>
    <row r="6361" spans="1:7" x14ac:dyDescent="0.25">
      <c r="A6361" t="s">
        <v>8</v>
      </c>
      <c r="B6361" s="1" t="str">
        <f>"000257039 - RICH FDS BB NCORE-ARA EX-SSS"</f>
        <v>000257039 - RICH FDS BB NCORE-ARA EX-SSS</v>
      </c>
      <c r="C6361" t="s">
        <v>571</v>
      </c>
      <c r="D6361" s="1" t="str">
        <f t="shared" si="180"/>
        <v>PRG-1029216</v>
      </c>
      <c r="E6361" t="s">
        <v>82</v>
      </c>
      <c r="F6361" t="s">
        <v>4</v>
      </c>
      <c r="G6361" t="str">
        <f>""</f>
        <v/>
      </c>
    </row>
    <row r="6362" spans="1:7" x14ac:dyDescent="0.25">
      <c r="A6362" t="s">
        <v>8</v>
      </c>
      <c r="B6362" s="1" t="str">
        <f>"000257734 - RICH FDS BB NCORE-ARA EX-SSS"</f>
        <v>000257734 - RICH FDS BB NCORE-ARA EX-SSS</v>
      </c>
      <c r="C6362" t="s">
        <v>571</v>
      </c>
      <c r="D6362" s="1" t="str">
        <f t="shared" si="180"/>
        <v>PRG-1029216</v>
      </c>
      <c r="E6362" t="s">
        <v>82</v>
      </c>
      <c r="F6362" t="s">
        <v>4</v>
      </c>
      <c r="G6362" t="str">
        <f>""</f>
        <v/>
      </c>
    </row>
    <row r="6363" spans="1:7" x14ac:dyDescent="0.25">
      <c r="A6363" t="s">
        <v>8</v>
      </c>
      <c r="B6363" s="1" t="str">
        <f>"000257735 - RICH FDS BB CORE-ARA EX-SSS"</f>
        <v>000257735 - RICH FDS BB CORE-ARA EX-SSS</v>
      </c>
      <c r="C6363" t="s">
        <v>570</v>
      </c>
      <c r="D6363" s="1" t="str">
        <f t="shared" si="180"/>
        <v>PRG-1029216</v>
      </c>
      <c r="E6363" t="s">
        <v>82</v>
      </c>
      <c r="F6363" t="s">
        <v>4</v>
      </c>
      <c r="G6363" t="str">
        <f>""</f>
        <v/>
      </c>
    </row>
    <row r="6364" spans="1:7" x14ac:dyDescent="0.25">
      <c r="A6364" t="s">
        <v>8</v>
      </c>
      <c r="B6364" s="1" t="str">
        <f>"000258789 - RICH FDS BB NCORE-ARA EX-SSS"</f>
        <v>000258789 - RICH FDS BB NCORE-ARA EX-SSS</v>
      </c>
      <c r="C6364" t="s">
        <v>571</v>
      </c>
      <c r="D6364" s="1" t="str">
        <f t="shared" si="180"/>
        <v>PRG-1029216</v>
      </c>
      <c r="E6364" t="s">
        <v>82</v>
      </c>
      <c r="F6364" t="s">
        <v>4</v>
      </c>
      <c r="G6364" t="str">
        <f>""</f>
        <v/>
      </c>
    </row>
    <row r="6365" spans="1:7" x14ac:dyDescent="0.25">
      <c r="A6365" t="s">
        <v>8</v>
      </c>
      <c r="B6365" s="1" t="str">
        <f>"000258790 - RICH RDS BB CORE-ARA EX-SSS"</f>
        <v>000258790 - RICH RDS BB CORE-ARA EX-SSS</v>
      </c>
      <c r="C6365" t="s">
        <v>581</v>
      </c>
      <c r="D6365" s="1" t="str">
        <f t="shared" si="180"/>
        <v>PRG-1029216</v>
      </c>
      <c r="E6365" t="s">
        <v>82</v>
      </c>
      <c r="F6365" t="s">
        <v>4</v>
      </c>
      <c r="G6365" t="str">
        <f>""</f>
        <v/>
      </c>
    </row>
    <row r="6366" spans="1:7" x14ac:dyDescent="0.25">
      <c r="A6366" t="s">
        <v>8</v>
      </c>
      <c r="B6366" s="1" t="str">
        <f>"000259383 - CASA DIBERTACCHI-MAIN ARAMARK"</f>
        <v>000259383 - CASA DIBERTACCHI-MAIN ARAMARK</v>
      </c>
      <c r="C6366" t="s">
        <v>148</v>
      </c>
      <c r="D6366" s="1" t="str">
        <f t="shared" si="180"/>
        <v>PRG-1029216</v>
      </c>
      <c r="E6366" t="s">
        <v>82</v>
      </c>
      <c r="F6366" t="s">
        <v>4</v>
      </c>
      <c r="G6366" t="str">
        <f>""</f>
        <v/>
      </c>
    </row>
    <row r="6367" spans="1:7" x14ac:dyDescent="0.25">
      <c r="A6367" t="s">
        <v>8</v>
      </c>
      <c r="B6367" s="1" t="str">
        <f>"000259427 - RICH'S FDS-MAIN ARAMARK EX-SSS"</f>
        <v>000259427 - RICH'S FDS-MAIN ARAMARK EX-SSS</v>
      </c>
      <c r="C6367" t="s">
        <v>540</v>
      </c>
      <c r="D6367" s="1" t="str">
        <f t="shared" si="180"/>
        <v>PRG-1029216</v>
      </c>
      <c r="E6367" t="s">
        <v>82</v>
      </c>
      <c r="F6367" t="s">
        <v>4</v>
      </c>
      <c r="G6367" t="str">
        <f>""</f>
        <v/>
      </c>
    </row>
    <row r="6368" spans="1:7" x14ac:dyDescent="0.25">
      <c r="A6368" t="s">
        <v>8</v>
      </c>
      <c r="B6368" s="1" t="str">
        <f>"000262498 - RICH FDS-MAIN ARAMARK EX-SSS"</f>
        <v>000262498 - RICH FDS-MAIN ARAMARK EX-SSS</v>
      </c>
      <c r="C6368" t="s">
        <v>556</v>
      </c>
      <c r="D6368" s="1" t="str">
        <f t="shared" si="180"/>
        <v>PRG-1029216</v>
      </c>
      <c r="E6368" t="s">
        <v>82</v>
      </c>
      <c r="F6368" t="s">
        <v>4</v>
      </c>
      <c r="G6368" t="str">
        <f>""</f>
        <v/>
      </c>
    </row>
    <row r="6369" spans="1:7" x14ac:dyDescent="0.25">
      <c r="A6369" t="s">
        <v>8</v>
      </c>
      <c r="B6369" s="1" t="str">
        <f>"000266214 - RICH'S FDS-MAIN ARAMARK EX-SSS"</f>
        <v>000266214 - RICH'S FDS-MAIN ARAMARK EX-SSS</v>
      </c>
      <c r="C6369" t="s">
        <v>540</v>
      </c>
      <c r="D6369" s="1" t="str">
        <f t="shared" si="180"/>
        <v>PRG-1029216</v>
      </c>
      <c r="E6369" t="s">
        <v>82</v>
      </c>
      <c r="F6369" t="s">
        <v>4</v>
      </c>
      <c r="G6369" t="str">
        <f>""</f>
        <v/>
      </c>
    </row>
    <row r="6370" spans="1:7" x14ac:dyDescent="0.25">
      <c r="A6370" t="s">
        <v>8</v>
      </c>
      <c r="B6370" s="1" t="str">
        <f>"000266217 - RICH'S FDS-SSS ARAMARK"</f>
        <v>000266217 - RICH'S FDS-SSS ARAMARK</v>
      </c>
      <c r="C6370" t="s">
        <v>541</v>
      </c>
      <c r="D6370" s="1" t="str">
        <f t="shared" si="180"/>
        <v>PRG-1029216</v>
      </c>
      <c r="E6370" t="s">
        <v>82</v>
      </c>
      <c r="F6370" t="s">
        <v>4</v>
      </c>
      <c r="G6370" t="str">
        <f>""</f>
        <v/>
      </c>
    </row>
    <row r="6371" spans="1:7" x14ac:dyDescent="0.25">
      <c r="A6371" t="s">
        <v>8</v>
      </c>
      <c r="B6371" s="1" t="str">
        <f>"000266393 - "</f>
        <v xml:space="preserve">000266393 - </v>
      </c>
      <c r="D6371" s="1" t="str">
        <f t="shared" si="180"/>
        <v>PRG-1029216</v>
      </c>
      <c r="E6371" t="s">
        <v>82</v>
      </c>
      <c r="F6371" t="s">
        <v>4</v>
      </c>
      <c r="G6371" t="str">
        <f>""</f>
        <v/>
      </c>
    </row>
    <row r="6372" spans="1:7" x14ac:dyDescent="0.25">
      <c r="A6372" t="s">
        <v>8</v>
      </c>
      <c r="B6372" s="1" t="str">
        <f>"000270440 - RICH FDS-MAIN ARAMARK EX-SSS"</f>
        <v>000270440 - RICH FDS-MAIN ARAMARK EX-SSS</v>
      </c>
      <c r="C6372" t="s">
        <v>556</v>
      </c>
      <c r="D6372" s="1" t="str">
        <f t="shared" si="180"/>
        <v>PRG-1029216</v>
      </c>
      <c r="E6372" t="s">
        <v>82</v>
      </c>
      <c r="F6372" t="s">
        <v>4</v>
      </c>
      <c r="G6372" t="str">
        <f>""</f>
        <v/>
      </c>
    </row>
    <row r="6373" spans="1:7" x14ac:dyDescent="0.25">
      <c r="A6373" t="s">
        <v>8</v>
      </c>
      <c r="B6373" s="1" t="str">
        <f>"000272103 - RICH FDS BB CORE-ARA EX-SSS"</f>
        <v>000272103 - RICH FDS BB CORE-ARA EX-SSS</v>
      </c>
      <c r="C6373" t="s">
        <v>570</v>
      </c>
      <c r="D6373" s="1" t="str">
        <f t="shared" si="180"/>
        <v>PRG-1029216</v>
      </c>
      <c r="E6373" t="s">
        <v>82</v>
      </c>
      <c r="F6373" t="s">
        <v>4</v>
      </c>
      <c r="G6373" t="str">
        <f>""</f>
        <v/>
      </c>
    </row>
    <row r="6374" spans="1:7" x14ac:dyDescent="0.25">
      <c r="A6374" t="s">
        <v>8</v>
      </c>
      <c r="B6374" s="1" t="str">
        <f>"000272104 - RICH FDS BB NCORE-ARA EX-SSS"</f>
        <v>000272104 - RICH FDS BB NCORE-ARA EX-SSS</v>
      </c>
      <c r="C6374" t="s">
        <v>571</v>
      </c>
      <c r="D6374" s="1" t="str">
        <f t="shared" si="180"/>
        <v>PRG-1029216</v>
      </c>
      <c r="E6374" t="s">
        <v>82</v>
      </c>
      <c r="F6374" t="s">
        <v>4</v>
      </c>
      <c r="G6374" t="str">
        <f>""</f>
        <v/>
      </c>
    </row>
    <row r="6375" spans="1:7" x14ac:dyDescent="0.25">
      <c r="A6375" t="s">
        <v>8</v>
      </c>
      <c r="B6375" s="1" t="str">
        <f>"000273025 - RICH FDS BB NCORE-ARA EX-SSS"</f>
        <v>000273025 - RICH FDS BB NCORE-ARA EX-SSS</v>
      </c>
      <c r="C6375" t="s">
        <v>571</v>
      </c>
      <c r="D6375" s="1" t="str">
        <f t="shared" si="180"/>
        <v>PRG-1029216</v>
      </c>
      <c r="E6375" t="s">
        <v>82</v>
      </c>
      <c r="F6375" t="s">
        <v>4</v>
      </c>
      <c r="G6375" t="str">
        <f>""</f>
        <v/>
      </c>
    </row>
    <row r="6376" spans="1:7" x14ac:dyDescent="0.25">
      <c r="A6376" t="s">
        <v>8</v>
      </c>
      <c r="B6376" s="1" t="str">
        <f>"000273026 - RICH FDS BB CORE-ARA EX-SSS"</f>
        <v>000273026 - RICH FDS BB CORE-ARA EX-SSS</v>
      </c>
      <c r="C6376" t="s">
        <v>570</v>
      </c>
      <c r="D6376" s="1" t="str">
        <f t="shared" si="180"/>
        <v>PRG-1029216</v>
      </c>
      <c r="E6376" t="s">
        <v>82</v>
      </c>
      <c r="F6376" t="s">
        <v>4</v>
      </c>
      <c r="G6376" t="str">
        <f>""</f>
        <v/>
      </c>
    </row>
    <row r="6377" spans="1:7" x14ac:dyDescent="0.25">
      <c r="A6377" t="s">
        <v>8</v>
      </c>
      <c r="B6377" s="1" t="str">
        <f>"000274697 - RICH FDS-MAIN ARAMARK EX-SSS"</f>
        <v>000274697 - RICH FDS-MAIN ARAMARK EX-SSS</v>
      </c>
      <c r="C6377" t="s">
        <v>556</v>
      </c>
      <c r="D6377" s="1" t="str">
        <f t="shared" si="180"/>
        <v>PRG-1029216</v>
      </c>
      <c r="E6377" t="s">
        <v>82</v>
      </c>
      <c r="F6377" t="s">
        <v>4</v>
      </c>
      <c r="G6377" t="str">
        <f>""</f>
        <v/>
      </c>
    </row>
    <row r="6378" spans="1:7" x14ac:dyDescent="0.25">
      <c r="A6378" t="s">
        <v>8</v>
      </c>
      <c r="B6378" s="1" t="str">
        <f>"000276164 - RICH FDS BB CORE-ARA EX-SSS"</f>
        <v>000276164 - RICH FDS BB CORE-ARA EX-SSS</v>
      </c>
      <c r="C6378" t="s">
        <v>570</v>
      </c>
      <c r="D6378" s="1" t="str">
        <f t="shared" si="180"/>
        <v>PRG-1029216</v>
      </c>
      <c r="E6378" t="s">
        <v>82</v>
      </c>
      <c r="F6378" t="s">
        <v>4</v>
      </c>
      <c r="G6378" t="str">
        <f>""</f>
        <v/>
      </c>
    </row>
    <row r="6379" spans="1:7" x14ac:dyDescent="0.25">
      <c r="A6379" t="s">
        <v>8</v>
      </c>
      <c r="B6379" s="1" t="str">
        <f>"000276165 - RICH FDS BB NCORE-ARA EX-SSS"</f>
        <v>000276165 - RICH FDS BB NCORE-ARA EX-SSS</v>
      </c>
      <c r="C6379" t="s">
        <v>571</v>
      </c>
      <c r="D6379" s="1" t="str">
        <f t="shared" si="180"/>
        <v>PRG-1029216</v>
      </c>
      <c r="E6379" t="s">
        <v>82</v>
      </c>
      <c r="F6379" t="s">
        <v>4</v>
      </c>
      <c r="G6379" t="str">
        <f>""</f>
        <v/>
      </c>
    </row>
    <row r="6380" spans="1:7" x14ac:dyDescent="0.25">
      <c r="A6380" t="s">
        <v>8</v>
      </c>
      <c r="B6380" s="1" t="str">
        <f>"000276981 - RICH FDS BB NCORE-ARA EX-SSS"</f>
        <v>000276981 - RICH FDS BB NCORE-ARA EX-SSS</v>
      </c>
      <c r="C6380" t="s">
        <v>571</v>
      </c>
      <c r="D6380" s="1" t="str">
        <f t="shared" si="180"/>
        <v>PRG-1029216</v>
      </c>
      <c r="E6380" t="s">
        <v>82</v>
      </c>
      <c r="F6380" t="s">
        <v>4</v>
      </c>
      <c r="G6380" t="str">
        <f>""</f>
        <v/>
      </c>
    </row>
    <row r="6381" spans="1:7" x14ac:dyDescent="0.25">
      <c r="A6381" t="s">
        <v>8</v>
      </c>
      <c r="B6381" s="1" t="str">
        <f>"000276982 - RICH FDS BB CORE-ARA EX-SSS"</f>
        <v>000276982 - RICH FDS BB CORE-ARA EX-SSS</v>
      </c>
      <c r="C6381" t="s">
        <v>570</v>
      </c>
      <c r="D6381" s="1" t="str">
        <f t="shared" si="180"/>
        <v>PRG-1029216</v>
      </c>
      <c r="E6381" t="s">
        <v>82</v>
      </c>
      <c r="F6381" t="s">
        <v>4</v>
      </c>
      <c r="G6381" t="str">
        <f>""</f>
        <v/>
      </c>
    </row>
    <row r="6382" spans="1:7" x14ac:dyDescent="0.25">
      <c r="A6382" t="s">
        <v>8</v>
      </c>
      <c r="B6382" s="1" t="str">
        <f>"000278383 - RICH RDS BB CORE-ARA EX-SSS"</f>
        <v>000278383 - RICH RDS BB CORE-ARA EX-SSS</v>
      </c>
      <c r="C6382" t="s">
        <v>581</v>
      </c>
      <c r="D6382" s="1" t="str">
        <f t="shared" si="180"/>
        <v>PRG-1029216</v>
      </c>
      <c r="E6382" t="s">
        <v>82</v>
      </c>
      <c r="F6382" t="s">
        <v>4</v>
      </c>
      <c r="G6382" t="str">
        <f>""</f>
        <v/>
      </c>
    </row>
    <row r="6383" spans="1:7" x14ac:dyDescent="0.25">
      <c r="A6383" t="s">
        <v>8</v>
      </c>
      <c r="B6383" s="1" t="str">
        <f>"000284680 - RICH'S FDS-MAIN ARAMARK EX-SSS"</f>
        <v>000284680 - RICH'S FDS-MAIN ARAMARK EX-SSS</v>
      </c>
      <c r="C6383" t="s">
        <v>540</v>
      </c>
      <c r="D6383" s="1" t="str">
        <f t="shared" si="180"/>
        <v>PRG-1029216</v>
      </c>
      <c r="E6383" t="s">
        <v>82</v>
      </c>
      <c r="F6383" t="s">
        <v>4</v>
      </c>
      <c r="G6383" t="str">
        <f>""</f>
        <v/>
      </c>
    </row>
    <row r="6384" spans="1:7" x14ac:dyDescent="0.25">
      <c r="A6384" t="s">
        <v>8</v>
      </c>
      <c r="B6384" s="1" t="str">
        <f>"000286378 - RICH FDS-MAIN ARAMARK EX-SSS"</f>
        <v>000286378 - RICH FDS-MAIN ARAMARK EX-SSS</v>
      </c>
      <c r="C6384" t="s">
        <v>556</v>
      </c>
      <c r="D6384" s="1" t="str">
        <f t="shared" ref="D6384:D6447" si="181">"PRG-1029216"</f>
        <v>PRG-1029216</v>
      </c>
      <c r="E6384" t="s">
        <v>82</v>
      </c>
      <c r="F6384" t="s">
        <v>4</v>
      </c>
      <c r="G6384" t="str">
        <f>""</f>
        <v/>
      </c>
    </row>
    <row r="6385" spans="1:7" x14ac:dyDescent="0.25">
      <c r="A6385" t="s">
        <v>8</v>
      </c>
      <c r="B6385" s="1" t="str">
        <f>"000287758 - RICH'S FDS-MAIN ARAMARK EX-SSS"</f>
        <v>000287758 - RICH'S FDS-MAIN ARAMARK EX-SSS</v>
      </c>
      <c r="C6385" t="s">
        <v>540</v>
      </c>
      <c r="D6385" s="1" t="str">
        <f t="shared" si="181"/>
        <v>PRG-1029216</v>
      </c>
      <c r="E6385" t="s">
        <v>82</v>
      </c>
      <c r="F6385" t="s">
        <v>4</v>
      </c>
      <c r="G6385" t="str">
        <f>""</f>
        <v/>
      </c>
    </row>
    <row r="6386" spans="1:7" x14ac:dyDescent="0.25">
      <c r="A6386" t="s">
        <v>8</v>
      </c>
      <c r="B6386" s="1" t="str">
        <f>"000287761 - Variety - Aramark"</f>
        <v>000287761 - Variety - Aramark</v>
      </c>
      <c r="C6386" t="s">
        <v>2767</v>
      </c>
      <c r="D6386" s="1" t="str">
        <f t="shared" si="181"/>
        <v>PRG-1029216</v>
      </c>
      <c r="E6386" t="s">
        <v>82</v>
      </c>
      <c r="F6386" t="s">
        <v>4</v>
      </c>
      <c r="G6386" t="str">
        <f>""</f>
        <v/>
      </c>
    </row>
    <row r="6387" spans="1:7" x14ac:dyDescent="0.25">
      <c r="A6387" t="s">
        <v>8</v>
      </c>
      <c r="B6387" s="1" t="str">
        <f>"000287986 - RICH FDS BB CORE-ARA EX-SSS"</f>
        <v>000287986 - RICH FDS BB CORE-ARA EX-SSS</v>
      </c>
      <c r="C6387" t="s">
        <v>570</v>
      </c>
      <c r="D6387" s="1" t="str">
        <f t="shared" si="181"/>
        <v>PRG-1029216</v>
      </c>
      <c r="E6387" t="s">
        <v>82</v>
      </c>
      <c r="F6387" t="s">
        <v>4</v>
      </c>
      <c r="G6387" t="str">
        <f>""</f>
        <v/>
      </c>
    </row>
    <row r="6388" spans="1:7" x14ac:dyDescent="0.25">
      <c r="A6388" t="s">
        <v>8</v>
      </c>
      <c r="B6388" s="1" t="str">
        <f>"000287987 - RICH FDS BB NCORE-ARA EX-SSS"</f>
        <v>000287987 - RICH FDS BB NCORE-ARA EX-SSS</v>
      </c>
      <c r="C6388" t="s">
        <v>571</v>
      </c>
      <c r="D6388" s="1" t="str">
        <f t="shared" si="181"/>
        <v>PRG-1029216</v>
      </c>
      <c r="E6388" t="s">
        <v>82</v>
      </c>
      <c r="F6388" t="s">
        <v>4</v>
      </c>
      <c r="G6388" t="str">
        <f>""</f>
        <v/>
      </c>
    </row>
    <row r="6389" spans="1:7" x14ac:dyDescent="0.25">
      <c r="A6389" t="s">
        <v>8</v>
      </c>
      <c r="B6389" s="1" t="str">
        <f>"000288259 - RICH FDS-MAIN ARAMARK EX-SSS"</f>
        <v>000288259 - RICH FDS-MAIN ARAMARK EX-SSS</v>
      </c>
      <c r="C6389" t="s">
        <v>556</v>
      </c>
      <c r="D6389" s="1" t="str">
        <f t="shared" si="181"/>
        <v>PRG-1029216</v>
      </c>
      <c r="E6389" t="s">
        <v>82</v>
      </c>
      <c r="F6389" t="s">
        <v>4</v>
      </c>
      <c r="G6389" t="str">
        <f>""</f>
        <v/>
      </c>
    </row>
    <row r="6390" spans="1:7" x14ac:dyDescent="0.25">
      <c r="A6390" t="s">
        <v>8</v>
      </c>
      <c r="B6390" s="1" t="str">
        <f>"000288744 - RICH FDS BB CORE-ARA EX-SSS"</f>
        <v>000288744 - RICH FDS BB CORE-ARA EX-SSS</v>
      </c>
      <c r="C6390" t="s">
        <v>570</v>
      </c>
      <c r="D6390" s="1" t="str">
        <f t="shared" si="181"/>
        <v>PRG-1029216</v>
      </c>
      <c r="E6390" t="s">
        <v>82</v>
      </c>
      <c r="F6390" t="s">
        <v>4</v>
      </c>
      <c r="G6390" t="str">
        <f>""</f>
        <v/>
      </c>
    </row>
    <row r="6391" spans="1:7" x14ac:dyDescent="0.25">
      <c r="A6391" t="s">
        <v>8</v>
      </c>
      <c r="B6391" s="1" t="str">
        <f>"000289809 - RICH FDS BB NCORE-ARA EX-SSS"</f>
        <v>000289809 - RICH FDS BB NCORE-ARA EX-SSS</v>
      </c>
      <c r="C6391" t="s">
        <v>571</v>
      </c>
      <c r="D6391" s="1" t="str">
        <f t="shared" si="181"/>
        <v>PRG-1029216</v>
      </c>
      <c r="E6391" t="s">
        <v>82</v>
      </c>
      <c r="F6391" t="s">
        <v>4</v>
      </c>
      <c r="G6391" t="str">
        <f>""</f>
        <v/>
      </c>
    </row>
    <row r="6392" spans="1:7" x14ac:dyDescent="0.25">
      <c r="A6392" t="s">
        <v>8</v>
      </c>
      <c r="B6392" s="1" t="str">
        <f>"000290144 - RICH'S FDS-MAIN ARAMARK EX-SSS"</f>
        <v>000290144 - RICH'S FDS-MAIN ARAMARK EX-SSS</v>
      </c>
      <c r="C6392" t="s">
        <v>540</v>
      </c>
      <c r="D6392" s="1" t="str">
        <f t="shared" si="181"/>
        <v>PRG-1029216</v>
      </c>
      <c r="E6392" t="s">
        <v>82</v>
      </c>
      <c r="F6392" t="s">
        <v>4</v>
      </c>
      <c r="G6392" t="str">
        <f>""</f>
        <v/>
      </c>
    </row>
    <row r="6393" spans="1:7" x14ac:dyDescent="0.25">
      <c r="A6393" t="s">
        <v>8</v>
      </c>
      <c r="B6393" s="1" t="str">
        <f>"000290172 - RICH FDS BB CORE-ARA EX-SSS"</f>
        <v>000290172 - RICH FDS BB CORE-ARA EX-SSS</v>
      </c>
      <c r="C6393" t="s">
        <v>570</v>
      </c>
      <c r="D6393" s="1" t="str">
        <f t="shared" si="181"/>
        <v>PRG-1029216</v>
      </c>
      <c r="E6393" t="s">
        <v>82</v>
      </c>
      <c r="F6393" t="s">
        <v>4</v>
      </c>
      <c r="G6393" t="str">
        <f>""</f>
        <v/>
      </c>
    </row>
    <row r="6394" spans="1:7" x14ac:dyDescent="0.25">
      <c r="A6394" t="s">
        <v>8</v>
      </c>
      <c r="B6394" s="1" t="str">
        <f>"000290173 - RICH FDS BB NCORE-ARA EX-SSS"</f>
        <v>000290173 - RICH FDS BB NCORE-ARA EX-SSS</v>
      </c>
      <c r="C6394" t="s">
        <v>571</v>
      </c>
      <c r="D6394" s="1" t="str">
        <f t="shared" si="181"/>
        <v>PRG-1029216</v>
      </c>
      <c r="E6394" t="s">
        <v>82</v>
      </c>
      <c r="F6394" t="s">
        <v>4</v>
      </c>
      <c r="G6394" t="str">
        <f>""</f>
        <v/>
      </c>
    </row>
    <row r="6395" spans="1:7" x14ac:dyDescent="0.25">
      <c r="A6395" t="s">
        <v>8</v>
      </c>
      <c r="B6395" s="1" t="str">
        <f>"000291152 - RICHS FDS CORE BB-SSS ARAMARK"</f>
        <v>000291152 - RICHS FDS CORE BB-SSS ARAMARK</v>
      </c>
      <c r="C6395" t="s">
        <v>858</v>
      </c>
      <c r="D6395" s="1" t="str">
        <f t="shared" si="181"/>
        <v>PRG-1029216</v>
      </c>
      <c r="E6395" t="s">
        <v>82</v>
      </c>
      <c r="F6395" t="s">
        <v>4</v>
      </c>
      <c r="G6395" t="str">
        <f>""</f>
        <v/>
      </c>
    </row>
    <row r="6396" spans="1:7" x14ac:dyDescent="0.25">
      <c r="A6396" t="s">
        <v>8</v>
      </c>
      <c r="B6396" s="1" t="str">
        <f>"000291165 - RICH FDS BB NCORE-ARA EX-SSS"</f>
        <v>000291165 - RICH FDS BB NCORE-ARA EX-SSS</v>
      </c>
      <c r="C6396" t="s">
        <v>571</v>
      </c>
      <c r="D6396" s="1" t="str">
        <f t="shared" si="181"/>
        <v>PRG-1029216</v>
      </c>
      <c r="E6396" t="s">
        <v>82</v>
      </c>
      <c r="F6396" t="s">
        <v>4</v>
      </c>
      <c r="G6396" t="str">
        <f>""</f>
        <v/>
      </c>
    </row>
    <row r="6397" spans="1:7" x14ac:dyDescent="0.25">
      <c r="A6397" t="s">
        <v>8</v>
      </c>
      <c r="B6397" s="1" t="str">
        <f>"000291166 - RICH FDS BB CORE-ARA EX-SSS"</f>
        <v>000291166 - RICH FDS BB CORE-ARA EX-SSS</v>
      </c>
      <c r="C6397" t="s">
        <v>570</v>
      </c>
      <c r="D6397" s="1" t="str">
        <f t="shared" si="181"/>
        <v>PRG-1029216</v>
      </c>
      <c r="E6397" t="s">
        <v>82</v>
      </c>
      <c r="F6397" t="s">
        <v>4</v>
      </c>
      <c r="G6397" t="str">
        <f>""</f>
        <v/>
      </c>
    </row>
    <row r="6398" spans="1:7" x14ac:dyDescent="0.25">
      <c r="A6398" t="s">
        <v>8</v>
      </c>
      <c r="B6398" s="1" t="str">
        <f>"000291782 - RICH FDS BB CORE-ARA EX-SSS"</f>
        <v>000291782 - RICH FDS BB CORE-ARA EX-SSS</v>
      </c>
      <c r="C6398" t="s">
        <v>570</v>
      </c>
      <c r="D6398" s="1" t="str">
        <f t="shared" si="181"/>
        <v>PRG-1029216</v>
      </c>
      <c r="E6398" t="s">
        <v>82</v>
      </c>
      <c r="F6398" t="s">
        <v>4</v>
      </c>
      <c r="G6398" t="str">
        <f>""</f>
        <v/>
      </c>
    </row>
    <row r="6399" spans="1:7" x14ac:dyDescent="0.25">
      <c r="A6399" t="s">
        <v>8</v>
      </c>
      <c r="B6399" s="1" t="str">
        <f>"000291783 - RICH FDS BB NCORE-ARA EX-SSS"</f>
        <v>000291783 - RICH FDS BB NCORE-ARA EX-SSS</v>
      </c>
      <c r="C6399" t="s">
        <v>571</v>
      </c>
      <c r="D6399" s="1" t="str">
        <f t="shared" si="181"/>
        <v>PRG-1029216</v>
      </c>
      <c r="E6399" t="s">
        <v>82</v>
      </c>
      <c r="F6399" t="s">
        <v>4</v>
      </c>
      <c r="G6399" t="str">
        <f>""</f>
        <v/>
      </c>
    </row>
    <row r="6400" spans="1:7" x14ac:dyDescent="0.25">
      <c r="A6400" t="s">
        <v>8</v>
      </c>
      <c r="B6400" s="1" t="str">
        <f>"000292432 - RICH FDS BB NCORE-ARA EX-SSS"</f>
        <v>000292432 - RICH FDS BB NCORE-ARA EX-SSS</v>
      </c>
      <c r="C6400" t="s">
        <v>571</v>
      </c>
      <c r="D6400" s="1" t="str">
        <f t="shared" si="181"/>
        <v>PRG-1029216</v>
      </c>
      <c r="E6400" t="s">
        <v>82</v>
      </c>
      <c r="F6400" t="s">
        <v>4</v>
      </c>
      <c r="G6400" t="str">
        <f>""</f>
        <v/>
      </c>
    </row>
    <row r="6401" spans="1:7" x14ac:dyDescent="0.25">
      <c r="A6401" t="s">
        <v>8</v>
      </c>
      <c r="B6401" s="1" t="str">
        <f>"000292433 - RICH FDS BB CORE-ARA EX-SSS"</f>
        <v>000292433 - RICH FDS BB CORE-ARA EX-SSS</v>
      </c>
      <c r="C6401" t="s">
        <v>570</v>
      </c>
      <c r="D6401" s="1" t="str">
        <f t="shared" si="181"/>
        <v>PRG-1029216</v>
      </c>
      <c r="E6401" t="s">
        <v>82</v>
      </c>
      <c r="F6401" t="s">
        <v>4</v>
      </c>
      <c r="G6401" t="str">
        <f>""</f>
        <v/>
      </c>
    </row>
    <row r="6402" spans="1:7" x14ac:dyDescent="0.25">
      <c r="A6402" t="s">
        <v>8</v>
      </c>
      <c r="B6402" s="1" t="str">
        <f>"000292589 - RICH FDS BB NCORE-ARA EX-SSS"</f>
        <v>000292589 - RICH FDS BB NCORE-ARA EX-SSS</v>
      </c>
      <c r="C6402" t="s">
        <v>571</v>
      </c>
      <c r="D6402" s="1" t="str">
        <f t="shared" si="181"/>
        <v>PRG-1029216</v>
      </c>
      <c r="E6402" t="s">
        <v>82</v>
      </c>
      <c r="F6402" t="s">
        <v>4</v>
      </c>
      <c r="G6402" t="str">
        <f>""</f>
        <v/>
      </c>
    </row>
    <row r="6403" spans="1:7" x14ac:dyDescent="0.25">
      <c r="A6403" t="s">
        <v>8</v>
      </c>
      <c r="B6403" s="1" t="str">
        <f>"000292590 - RICH RDS BB CORE-ARA EX-SSS"</f>
        <v>000292590 - RICH RDS BB CORE-ARA EX-SSS</v>
      </c>
      <c r="C6403" t="s">
        <v>581</v>
      </c>
      <c r="D6403" s="1" t="str">
        <f t="shared" si="181"/>
        <v>PRG-1029216</v>
      </c>
      <c r="E6403" t="s">
        <v>82</v>
      </c>
      <c r="F6403" t="s">
        <v>4</v>
      </c>
      <c r="G6403" t="str">
        <f>""</f>
        <v/>
      </c>
    </row>
    <row r="6404" spans="1:7" x14ac:dyDescent="0.25">
      <c r="A6404" t="s">
        <v>8</v>
      </c>
      <c r="B6404" s="1" t="str">
        <f>"000293181 - RICH FDS-MAIN ARAMARK EX-SSS"</f>
        <v>000293181 - RICH FDS-MAIN ARAMARK EX-SSS</v>
      </c>
      <c r="C6404" t="s">
        <v>556</v>
      </c>
      <c r="D6404" s="1" t="str">
        <f t="shared" si="181"/>
        <v>PRG-1029216</v>
      </c>
      <c r="E6404" t="s">
        <v>82</v>
      </c>
      <c r="F6404" t="s">
        <v>4</v>
      </c>
      <c r="G6404" t="str">
        <f>""</f>
        <v/>
      </c>
    </row>
    <row r="6405" spans="1:7" x14ac:dyDescent="0.25">
      <c r="A6405" t="s">
        <v>8</v>
      </c>
      <c r="B6405" s="1" t="str">
        <f>"000293483 - RICH FDS BB NCORE-ARA EX-SSS"</f>
        <v>000293483 - RICH FDS BB NCORE-ARA EX-SSS</v>
      </c>
      <c r="C6405" t="s">
        <v>571</v>
      </c>
      <c r="D6405" s="1" t="str">
        <f t="shared" si="181"/>
        <v>PRG-1029216</v>
      </c>
      <c r="E6405" t="s">
        <v>82</v>
      </c>
      <c r="F6405" t="s">
        <v>4</v>
      </c>
      <c r="G6405" t="str">
        <f>""</f>
        <v/>
      </c>
    </row>
    <row r="6406" spans="1:7" x14ac:dyDescent="0.25">
      <c r="A6406" t="s">
        <v>8</v>
      </c>
      <c r="B6406" s="1" t="str">
        <f>"000293484 - RICH RDS BB CORE-ARA EX-SSS"</f>
        <v>000293484 - RICH RDS BB CORE-ARA EX-SSS</v>
      </c>
      <c r="C6406" t="s">
        <v>581</v>
      </c>
      <c r="D6406" s="1" t="str">
        <f t="shared" si="181"/>
        <v>PRG-1029216</v>
      </c>
      <c r="E6406" t="s">
        <v>82</v>
      </c>
      <c r="F6406" t="s">
        <v>4</v>
      </c>
      <c r="G6406" t="str">
        <f>""</f>
        <v/>
      </c>
    </row>
    <row r="6407" spans="1:7" x14ac:dyDescent="0.25">
      <c r="A6407" t="s">
        <v>8</v>
      </c>
      <c r="B6407" s="1" t="str">
        <f>"000293630 - RICH'S FDS-MAIN ARAMARK EX-SSS"</f>
        <v>000293630 - RICH'S FDS-MAIN ARAMARK EX-SSS</v>
      </c>
      <c r="C6407" t="s">
        <v>540</v>
      </c>
      <c r="D6407" s="1" t="str">
        <f t="shared" si="181"/>
        <v>PRG-1029216</v>
      </c>
      <c r="E6407" t="s">
        <v>82</v>
      </c>
      <c r="F6407" t="s">
        <v>4</v>
      </c>
      <c r="G6407" t="str">
        <f>""</f>
        <v/>
      </c>
    </row>
    <row r="6408" spans="1:7" x14ac:dyDescent="0.25">
      <c r="A6408" t="s">
        <v>8</v>
      </c>
      <c r="B6408" s="1" t="str">
        <f>"000293632 - RICH'S FDS-SSS ARAMARK"</f>
        <v>000293632 - RICH'S FDS-SSS ARAMARK</v>
      </c>
      <c r="C6408" t="s">
        <v>541</v>
      </c>
      <c r="D6408" s="1" t="str">
        <f t="shared" si="181"/>
        <v>PRG-1029216</v>
      </c>
      <c r="E6408" t="s">
        <v>82</v>
      </c>
      <c r="F6408" t="s">
        <v>4</v>
      </c>
      <c r="G6408" t="str">
        <f>""</f>
        <v/>
      </c>
    </row>
    <row r="6409" spans="1:7" x14ac:dyDescent="0.25">
      <c r="A6409" t="s">
        <v>8</v>
      </c>
      <c r="B6409" s="1" t="str">
        <f>"000294508 - "</f>
        <v xml:space="preserve">000294508 - </v>
      </c>
      <c r="D6409" s="1" t="str">
        <f t="shared" si="181"/>
        <v>PRG-1029216</v>
      </c>
      <c r="E6409" t="s">
        <v>82</v>
      </c>
      <c r="F6409" t="s">
        <v>4</v>
      </c>
      <c r="G6409" t="str">
        <f>""</f>
        <v/>
      </c>
    </row>
    <row r="6410" spans="1:7" x14ac:dyDescent="0.25">
      <c r="A6410" t="s">
        <v>8</v>
      </c>
      <c r="B6410" s="1" t="str">
        <f>"000294509 - "</f>
        <v xml:space="preserve">000294509 - </v>
      </c>
      <c r="D6410" s="1" t="str">
        <f t="shared" si="181"/>
        <v>PRG-1029216</v>
      </c>
      <c r="E6410" t="s">
        <v>82</v>
      </c>
      <c r="F6410" t="s">
        <v>4</v>
      </c>
      <c r="G6410" t="str">
        <f>""</f>
        <v/>
      </c>
    </row>
    <row r="6411" spans="1:7" x14ac:dyDescent="0.25">
      <c r="A6411" t="s">
        <v>8</v>
      </c>
      <c r="B6411" s="1" t="str">
        <f>"000296657 - "</f>
        <v xml:space="preserve">000296657 - </v>
      </c>
      <c r="D6411" s="1" t="str">
        <f t="shared" si="181"/>
        <v>PRG-1029216</v>
      </c>
      <c r="E6411" t="s">
        <v>82</v>
      </c>
      <c r="F6411" t="s">
        <v>4</v>
      </c>
      <c r="G6411" t="str">
        <f>""</f>
        <v/>
      </c>
    </row>
    <row r="6412" spans="1:7" x14ac:dyDescent="0.25">
      <c r="A6412" t="s">
        <v>8</v>
      </c>
      <c r="B6412" s="1" t="str">
        <f>"000296658 - "</f>
        <v xml:space="preserve">000296658 - </v>
      </c>
      <c r="D6412" s="1" t="str">
        <f t="shared" si="181"/>
        <v>PRG-1029216</v>
      </c>
      <c r="E6412" t="s">
        <v>82</v>
      </c>
      <c r="F6412" t="s">
        <v>4</v>
      </c>
      <c r="G6412" t="str">
        <f>""</f>
        <v/>
      </c>
    </row>
    <row r="6413" spans="1:7" x14ac:dyDescent="0.25">
      <c r="A6413" t="s">
        <v>8</v>
      </c>
      <c r="B6413" s="1" t="str">
        <f>"000296983 - RICH'S FDS-SSS ARAMARK"</f>
        <v>000296983 - RICH'S FDS-SSS ARAMARK</v>
      </c>
      <c r="C6413" t="s">
        <v>541</v>
      </c>
      <c r="D6413" s="1" t="str">
        <f t="shared" si="181"/>
        <v>PRG-1029216</v>
      </c>
      <c r="E6413" t="s">
        <v>82</v>
      </c>
      <c r="F6413" t="s">
        <v>4</v>
      </c>
      <c r="G6413" t="str">
        <f>""</f>
        <v/>
      </c>
    </row>
    <row r="6414" spans="1:7" x14ac:dyDescent="0.25">
      <c r="A6414" t="s">
        <v>8</v>
      </c>
      <c r="B6414" s="1" t="str">
        <f>"000298626 - RICH FDS-MAIN ARAMARK EX-SSS"</f>
        <v>000298626 - RICH FDS-MAIN ARAMARK EX-SSS</v>
      </c>
      <c r="C6414" t="s">
        <v>556</v>
      </c>
      <c r="D6414" s="1" t="str">
        <f t="shared" si="181"/>
        <v>PRG-1029216</v>
      </c>
      <c r="E6414" t="s">
        <v>82</v>
      </c>
      <c r="F6414" t="s">
        <v>4</v>
      </c>
      <c r="G6414" t="str">
        <f>""</f>
        <v/>
      </c>
    </row>
    <row r="6415" spans="1:7" x14ac:dyDescent="0.25">
      <c r="A6415" t="s">
        <v>8</v>
      </c>
      <c r="B6415" s="1" t="str">
        <f>"000300789 - RICH FDS-MAIN ARAMARK EX-SSS"</f>
        <v>000300789 - RICH FDS-MAIN ARAMARK EX-SSS</v>
      </c>
      <c r="C6415" t="s">
        <v>556</v>
      </c>
      <c r="D6415" s="1" t="str">
        <f t="shared" si="181"/>
        <v>PRG-1029216</v>
      </c>
      <c r="E6415" t="s">
        <v>82</v>
      </c>
      <c r="F6415" t="s">
        <v>4</v>
      </c>
      <c r="G6415" t="str">
        <f>""</f>
        <v/>
      </c>
    </row>
    <row r="6416" spans="1:7" x14ac:dyDescent="0.25">
      <c r="A6416" t="s">
        <v>8</v>
      </c>
      <c r="B6416" s="1" t="str">
        <f>"000300948 - RICH FDS BB CORE-ARA EX-SSS"</f>
        <v>000300948 - RICH FDS BB CORE-ARA EX-SSS</v>
      </c>
      <c r="C6416" t="s">
        <v>570</v>
      </c>
      <c r="D6416" s="1" t="str">
        <f t="shared" si="181"/>
        <v>PRG-1029216</v>
      </c>
      <c r="E6416" t="s">
        <v>82</v>
      </c>
      <c r="F6416" t="s">
        <v>4</v>
      </c>
      <c r="G6416" t="str">
        <f>""</f>
        <v/>
      </c>
    </row>
    <row r="6417" spans="1:7" x14ac:dyDescent="0.25">
      <c r="A6417" t="s">
        <v>8</v>
      </c>
      <c r="B6417" s="1" t="str">
        <f>"000300949 - RICH FDS BB NCORE-ARA EX-SSS"</f>
        <v>000300949 - RICH FDS BB NCORE-ARA EX-SSS</v>
      </c>
      <c r="C6417" t="s">
        <v>571</v>
      </c>
      <c r="D6417" s="1" t="str">
        <f t="shared" si="181"/>
        <v>PRG-1029216</v>
      </c>
      <c r="E6417" t="s">
        <v>82</v>
      </c>
      <c r="F6417" t="s">
        <v>4</v>
      </c>
      <c r="G6417" t="str">
        <f>""</f>
        <v/>
      </c>
    </row>
    <row r="6418" spans="1:7" x14ac:dyDescent="0.25">
      <c r="A6418" t="s">
        <v>8</v>
      </c>
      <c r="B6418" s="1" t="str">
        <f>"000302184 - RICH FDS BB CORE-ARA EX-SSS"</f>
        <v>000302184 - RICH FDS BB CORE-ARA EX-SSS</v>
      </c>
      <c r="C6418" t="s">
        <v>570</v>
      </c>
      <c r="D6418" s="1" t="str">
        <f t="shared" si="181"/>
        <v>PRG-1029216</v>
      </c>
      <c r="E6418" t="s">
        <v>82</v>
      </c>
      <c r="F6418" t="s">
        <v>4</v>
      </c>
      <c r="G6418" t="str">
        <f>""</f>
        <v/>
      </c>
    </row>
    <row r="6419" spans="1:7" x14ac:dyDescent="0.25">
      <c r="A6419" t="s">
        <v>8</v>
      </c>
      <c r="B6419" s="1" t="str">
        <f>"000302620 - RICH FDS BB CORE-ARA EX-SSS"</f>
        <v>000302620 - RICH FDS BB CORE-ARA EX-SSS</v>
      </c>
      <c r="C6419" t="s">
        <v>570</v>
      </c>
      <c r="D6419" s="1" t="str">
        <f t="shared" si="181"/>
        <v>PRG-1029216</v>
      </c>
      <c r="E6419" t="s">
        <v>82</v>
      </c>
      <c r="F6419" t="s">
        <v>4</v>
      </c>
      <c r="G6419" t="str">
        <f>""</f>
        <v/>
      </c>
    </row>
    <row r="6420" spans="1:7" x14ac:dyDescent="0.25">
      <c r="A6420" t="s">
        <v>8</v>
      </c>
      <c r="B6420" s="1" t="str">
        <f>"000302621 - RICH FDS BB NCORE-ARA EX-SSS"</f>
        <v>000302621 - RICH FDS BB NCORE-ARA EX-SSS</v>
      </c>
      <c r="C6420" t="s">
        <v>571</v>
      </c>
      <c r="D6420" s="1" t="str">
        <f t="shared" si="181"/>
        <v>PRG-1029216</v>
      </c>
      <c r="E6420" t="s">
        <v>82</v>
      </c>
      <c r="F6420" t="s">
        <v>4</v>
      </c>
      <c r="G6420" t="str">
        <f>""</f>
        <v/>
      </c>
    </row>
    <row r="6421" spans="1:7" x14ac:dyDescent="0.25">
      <c r="A6421" t="s">
        <v>8</v>
      </c>
      <c r="B6421" s="1" t="str">
        <f>"000303626 - RICH FDS BB NCORE-ARA EX-SSS"</f>
        <v>000303626 - RICH FDS BB NCORE-ARA EX-SSS</v>
      </c>
      <c r="C6421" t="s">
        <v>571</v>
      </c>
      <c r="D6421" s="1" t="str">
        <f t="shared" si="181"/>
        <v>PRG-1029216</v>
      </c>
      <c r="E6421" t="s">
        <v>82</v>
      </c>
      <c r="F6421" t="s">
        <v>4</v>
      </c>
      <c r="G6421" t="str">
        <f>""</f>
        <v/>
      </c>
    </row>
    <row r="6422" spans="1:7" x14ac:dyDescent="0.25">
      <c r="A6422" t="s">
        <v>8</v>
      </c>
      <c r="B6422" s="1" t="str">
        <f>"000303627 - RICH FDS BB CORE-ARA EX-SSS"</f>
        <v>000303627 - RICH FDS BB CORE-ARA EX-SSS</v>
      </c>
      <c r="C6422" t="s">
        <v>570</v>
      </c>
      <c r="D6422" s="1" t="str">
        <f t="shared" si="181"/>
        <v>PRG-1029216</v>
      </c>
      <c r="E6422" t="s">
        <v>82</v>
      </c>
      <c r="F6422" t="s">
        <v>4</v>
      </c>
      <c r="G6422" t="str">
        <f>""</f>
        <v/>
      </c>
    </row>
    <row r="6423" spans="1:7" x14ac:dyDescent="0.25">
      <c r="A6423" t="s">
        <v>8</v>
      </c>
      <c r="B6423" s="1" t="str">
        <f>"000303978 - RICH FDS BB NCORE-ARA EX-SSS"</f>
        <v>000303978 - RICH FDS BB NCORE-ARA EX-SSS</v>
      </c>
      <c r="C6423" t="s">
        <v>571</v>
      </c>
      <c r="D6423" s="1" t="str">
        <f t="shared" si="181"/>
        <v>PRG-1029216</v>
      </c>
      <c r="E6423" t="s">
        <v>82</v>
      </c>
      <c r="F6423" t="s">
        <v>4</v>
      </c>
      <c r="G6423" t="str">
        <f>""</f>
        <v/>
      </c>
    </row>
    <row r="6424" spans="1:7" x14ac:dyDescent="0.25">
      <c r="A6424" t="s">
        <v>8</v>
      </c>
      <c r="B6424" s="1" t="str">
        <f>"000303979 - RICH RDS BB CORE-ARA EX-SSS"</f>
        <v>000303979 - RICH RDS BB CORE-ARA EX-SSS</v>
      </c>
      <c r="C6424" t="s">
        <v>581</v>
      </c>
      <c r="D6424" s="1" t="str">
        <f t="shared" si="181"/>
        <v>PRG-1029216</v>
      </c>
      <c r="E6424" t="s">
        <v>82</v>
      </c>
      <c r="F6424" t="s">
        <v>4</v>
      </c>
      <c r="G6424" t="str">
        <f>""</f>
        <v/>
      </c>
    </row>
    <row r="6425" spans="1:7" x14ac:dyDescent="0.25">
      <c r="A6425" t="s">
        <v>8</v>
      </c>
      <c r="B6425" s="1" t="str">
        <f>"000305531 - RICH FDS BB NCORE-ARA EX-SSS"</f>
        <v>000305531 - RICH FDS BB NCORE-ARA EX-SSS</v>
      </c>
      <c r="C6425" t="s">
        <v>571</v>
      </c>
      <c r="D6425" s="1" t="str">
        <f t="shared" si="181"/>
        <v>PRG-1029216</v>
      </c>
      <c r="E6425" t="s">
        <v>82</v>
      </c>
      <c r="F6425" t="s">
        <v>4</v>
      </c>
      <c r="G6425" t="str">
        <f>""</f>
        <v/>
      </c>
    </row>
    <row r="6426" spans="1:7" x14ac:dyDescent="0.25">
      <c r="A6426" t="s">
        <v>8</v>
      </c>
      <c r="B6426" s="1" t="str">
        <f>"000305532 - VOID H BREAD &amp; ROLL BB-SODEXO"</f>
        <v>000305532 - VOID H BREAD &amp; ROLL BB-SODEXO</v>
      </c>
      <c r="C6426" t="s">
        <v>564</v>
      </c>
      <c r="D6426" s="1" t="str">
        <f t="shared" si="181"/>
        <v>PRG-1029216</v>
      </c>
      <c r="E6426" t="s">
        <v>82</v>
      </c>
      <c r="F6426" t="s">
        <v>4</v>
      </c>
      <c r="G6426" t="str">
        <f>""</f>
        <v/>
      </c>
    </row>
    <row r="6427" spans="1:7" x14ac:dyDescent="0.25">
      <c r="A6427" t="s">
        <v>8</v>
      </c>
      <c r="B6427" s="1" t="str">
        <f>"000307523 - RICH'S FDS-MAIN ARAMARK EX-SSS"</f>
        <v>000307523 - RICH'S FDS-MAIN ARAMARK EX-SSS</v>
      </c>
      <c r="C6427" t="s">
        <v>540</v>
      </c>
      <c r="D6427" s="1" t="str">
        <f t="shared" si="181"/>
        <v>PRG-1029216</v>
      </c>
      <c r="E6427" t="s">
        <v>82</v>
      </c>
      <c r="F6427" t="s">
        <v>4</v>
      </c>
      <c r="G6427" t="str">
        <f>""</f>
        <v/>
      </c>
    </row>
    <row r="6428" spans="1:7" x14ac:dyDescent="0.25">
      <c r="A6428" t="s">
        <v>8</v>
      </c>
      <c r="B6428" s="1" t="str">
        <f>"000307874 - RICH'S FDS-MAIN ARAMARK EX-SSS"</f>
        <v>000307874 - RICH'S FDS-MAIN ARAMARK EX-SSS</v>
      </c>
      <c r="C6428" t="s">
        <v>540</v>
      </c>
      <c r="D6428" s="1" t="str">
        <f t="shared" si="181"/>
        <v>PRG-1029216</v>
      </c>
      <c r="E6428" t="s">
        <v>82</v>
      </c>
      <c r="F6428" t="s">
        <v>4</v>
      </c>
      <c r="G6428" t="str">
        <f>""</f>
        <v/>
      </c>
    </row>
    <row r="6429" spans="1:7" x14ac:dyDescent="0.25">
      <c r="A6429" t="s">
        <v>8</v>
      </c>
      <c r="B6429" s="1" t="str">
        <f>"000310806 - RICH FDS-MAIN ARAMARK EX-SSS"</f>
        <v>000310806 - RICH FDS-MAIN ARAMARK EX-SSS</v>
      </c>
      <c r="C6429" t="s">
        <v>556</v>
      </c>
      <c r="D6429" s="1" t="str">
        <f t="shared" si="181"/>
        <v>PRG-1029216</v>
      </c>
      <c r="E6429" t="s">
        <v>82</v>
      </c>
      <c r="F6429" t="s">
        <v>4</v>
      </c>
      <c r="G6429" t="str">
        <f>""</f>
        <v/>
      </c>
    </row>
    <row r="6430" spans="1:7" x14ac:dyDescent="0.25">
      <c r="A6430" t="s">
        <v>8</v>
      </c>
      <c r="B6430" s="1" t="str">
        <f>"000311269 - RICH FDS-MAIN ARAMARK EX-SSS"</f>
        <v>000311269 - RICH FDS-MAIN ARAMARK EX-SSS</v>
      </c>
      <c r="C6430" t="s">
        <v>556</v>
      </c>
      <c r="D6430" s="1" t="str">
        <f t="shared" si="181"/>
        <v>PRG-1029216</v>
      </c>
      <c r="E6430" t="s">
        <v>82</v>
      </c>
      <c r="F6430" t="s">
        <v>4</v>
      </c>
      <c r="G6430" t="str">
        <f>""</f>
        <v/>
      </c>
    </row>
    <row r="6431" spans="1:7" x14ac:dyDescent="0.25">
      <c r="A6431" t="s">
        <v>8</v>
      </c>
      <c r="B6431" s="1" t="str">
        <f>"000312553 - RICH FDS BB CORE-ARA EX-SSS"</f>
        <v>000312553 - RICH FDS BB CORE-ARA EX-SSS</v>
      </c>
      <c r="C6431" t="s">
        <v>570</v>
      </c>
      <c r="D6431" s="1" t="str">
        <f t="shared" si="181"/>
        <v>PRG-1029216</v>
      </c>
      <c r="E6431" t="s">
        <v>82</v>
      </c>
      <c r="F6431" t="s">
        <v>4</v>
      </c>
      <c r="G6431" t="str">
        <f>""</f>
        <v/>
      </c>
    </row>
    <row r="6432" spans="1:7" x14ac:dyDescent="0.25">
      <c r="A6432" t="s">
        <v>8</v>
      </c>
      <c r="B6432" s="1" t="str">
        <f>"000312554 - RICH FDS BB NCORE-ARA EX-SSS"</f>
        <v>000312554 - RICH FDS BB NCORE-ARA EX-SSS</v>
      </c>
      <c r="C6432" t="s">
        <v>571</v>
      </c>
      <c r="D6432" s="1" t="str">
        <f t="shared" si="181"/>
        <v>PRG-1029216</v>
      </c>
      <c r="E6432" t="s">
        <v>82</v>
      </c>
      <c r="F6432" t="s">
        <v>4</v>
      </c>
      <c r="G6432" t="str">
        <f>""</f>
        <v/>
      </c>
    </row>
    <row r="6433" spans="1:7" x14ac:dyDescent="0.25">
      <c r="A6433" t="s">
        <v>8</v>
      </c>
      <c r="B6433" s="1" t="str">
        <f>"000312776 - "</f>
        <v xml:space="preserve">000312776 - </v>
      </c>
      <c r="D6433" s="1" t="str">
        <f t="shared" si="181"/>
        <v>PRG-1029216</v>
      </c>
      <c r="E6433" t="s">
        <v>82</v>
      </c>
      <c r="F6433" t="s">
        <v>4</v>
      </c>
      <c r="G6433" t="str">
        <f>""</f>
        <v/>
      </c>
    </row>
    <row r="6434" spans="1:7" x14ac:dyDescent="0.25">
      <c r="A6434" t="s">
        <v>8</v>
      </c>
      <c r="B6434" s="1" t="str">
        <f>"000312777 - "</f>
        <v xml:space="preserve">000312777 - </v>
      </c>
      <c r="D6434" s="1" t="str">
        <f t="shared" si="181"/>
        <v>PRG-1029216</v>
      </c>
      <c r="E6434" t="s">
        <v>82</v>
      </c>
      <c r="F6434" t="s">
        <v>4</v>
      </c>
      <c r="G6434" t="str">
        <f>""</f>
        <v/>
      </c>
    </row>
    <row r="6435" spans="1:7" x14ac:dyDescent="0.25">
      <c r="A6435" t="s">
        <v>8</v>
      </c>
      <c r="B6435" s="1" t="str">
        <f>"000313528 - RICH FDS BB NCORE-ARA EX-SSS"</f>
        <v>000313528 - RICH FDS BB NCORE-ARA EX-SSS</v>
      </c>
      <c r="C6435" t="s">
        <v>571</v>
      </c>
      <c r="D6435" s="1" t="str">
        <f t="shared" si="181"/>
        <v>PRG-1029216</v>
      </c>
      <c r="E6435" t="s">
        <v>82</v>
      </c>
      <c r="F6435" t="s">
        <v>4</v>
      </c>
      <c r="G6435" t="str">
        <f>""</f>
        <v/>
      </c>
    </row>
    <row r="6436" spans="1:7" x14ac:dyDescent="0.25">
      <c r="A6436" t="s">
        <v>8</v>
      </c>
      <c r="B6436" s="1" t="str">
        <f>"000314988 - RICH FDS BB NCORE-ARA EX-SSS"</f>
        <v>000314988 - RICH FDS BB NCORE-ARA EX-SSS</v>
      </c>
      <c r="C6436" t="s">
        <v>571</v>
      </c>
      <c r="D6436" s="1" t="str">
        <f t="shared" si="181"/>
        <v>PRG-1029216</v>
      </c>
      <c r="E6436" t="s">
        <v>82</v>
      </c>
      <c r="F6436" t="s">
        <v>4</v>
      </c>
      <c r="G6436" t="str">
        <f>""</f>
        <v/>
      </c>
    </row>
    <row r="6437" spans="1:7" x14ac:dyDescent="0.25">
      <c r="A6437" t="s">
        <v>8</v>
      </c>
      <c r="B6437" s="1" t="str">
        <f>"000314989 - RICH RDS BB CORE-ARA EX-SSS"</f>
        <v>000314989 - RICH RDS BB CORE-ARA EX-SSS</v>
      </c>
      <c r="C6437" t="s">
        <v>581</v>
      </c>
      <c r="D6437" s="1" t="str">
        <f t="shared" si="181"/>
        <v>PRG-1029216</v>
      </c>
      <c r="E6437" t="s">
        <v>82</v>
      </c>
      <c r="F6437" t="s">
        <v>4</v>
      </c>
      <c r="G6437" t="str">
        <f>""</f>
        <v/>
      </c>
    </row>
    <row r="6438" spans="1:7" x14ac:dyDescent="0.25">
      <c r="A6438" t="s">
        <v>8</v>
      </c>
      <c r="B6438" s="1" t="str">
        <f>"000315038 - "</f>
        <v xml:space="preserve">000315038 - </v>
      </c>
      <c r="D6438" s="1" t="str">
        <f t="shared" si="181"/>
        <v>PRG-1029216</v>
      </c>
      <c r="E6438" t="s">
        <v>82</v>
      </c>
      <c r="F6438" t="s">
        <v>4</v>
      </c>
      <c r="G6438" t="str">
        <f>""</f>
        <v/>
      </c>
    </row>
    <row r="6439" spans="1:7" x14ac:dyDescent="0.25">
      <c r="A6439" t="s">
        <v>8</v>
      </c>
      <c r="B6439" s="1" t="str">
        <f>"000315039 - "</f>
        <v xml:space="preserve">000315039 - </v>
      </c>
      <c r="D6439" s="1" t="str">
        <f t="shared" si="181"/>
        <v>PRG-1029216</v>
      </c>
      <c r="E6439" t="s">
        <v>82</v>
      </c>
      <c r="F6439" t="s">
        <v>4</v>
      </c>
      <c r="G6439" t="str">
        <f>""</f>
        <v/>
      </c>
    </row>
    <row r="6440" spans="1:7" x14ac:dyDescent="0.25">
      <c r="A6440" t="s">
        <v>8</v>
      </c>
      <c r="B6440" s="1" t="str">
        <f>"000315898 - RICH'S FDS-MAIN ARAMARK EX-SSS"</f>
        <v>000315898 - RICH'S FDS-MAIN ARAMARK EX-SSS</v>
      </c>
      <c r="C6440" t="s">
        <v>540</v>
      </c>
      <c r="D6440" s="1" t="str">
        <f t="shared" si="181"/>
        <v>PRG-1029216</v>
      </c>
      <c r="E6440" t="s">
        <v>82</v>
      </c>
      <c r="F6440" t="s">
        <v>4</v>
      </c>
      <c r="G6440" t="str">
        <f>""</f>
        <v/>
      </c>
    </row>
    <row r="6441" spans="1:7" x14ac:dyDescent="0.25">
      <c r="A6441" t="s">
        <v>8</v>
      </c>
      <c r="B6441" s="1" t="str">
        <f>"000320090 - RICH FDS-MAIN ARAMARK EX-SSS"</f>
        <v>000320090 - RICH FDS-MAIN ARAMARK EX-SSS</v>
      </c>
      <c r="C6441" t="s">
        <v>556</v>
      </c>
      <c r="D6441" s="1" t="str">
        <f t="shared" si="181"/>
        <v>PRG-1029216</v>
      </c>
      <c r="E6441" t="s">
        <v>82</v>
      </c>
      <c r="F6441" t="s">
        <v>4</v>
      </c>
      <c r="G6441" t="str">
        <f>""</f>
        <v/>
      </c>
    </row>
    <row r="6442" spans="1:7" x14ac:dyDescent="0.25">
      <c r="A6442" t="s">
        <v>8</v>
      </c>
      <c r="B6442" s="1" t="str">
        <f>"000321806 - RICH'S FDS-MAIN ARAMARK EX-SSS"</f>
        <v>000321806 - RICH'S FDS-MAIN ARAMARK EX-SSS</v>
      </c>
      <c r="C6442" t="s">
        <v>540</v>
      </c>
      <c r="D6442" s="1" t="str">
        <f t="shared" si="181"/>
        <v>PRG-1029216</v>
      </c>
      <c r="E6442" t="s">
        <v>82</v>
      </c>
      <c r="F6442" t="s">
        <v>4</v>
      </c>
      <c r="G6442" t="str">
        <f>""</f>
        <v/>
      </c>
    </row>
    <row r="6443" spans="1:7" x14ac:dyDescent="0.25">
      <c r="A6443" t="s">
        <v>8</v>
      </c>
      <c r="B6443" s="1" t="str">
        <f>"000321997 - RICH FDS-MAIN ARAMARK EX-SSS"</f>
        <v>000321997 - RICH FDS-MAIN ARAMARK EX-SSS</v>
      </c>
      <c r="C6443" t="s">
        <v>556</v>
      </c>
      <c r="D6443" s="1" t="str">
        <f t="shared" si="181"/>
        <v>PRG-1029216</v>
      </c>
      <c r="E6443" t="s">
        <v>82</v>
      </c>
      <c r="F6443" t="s">
        <v>4</v>
      </c>
      <c r="G6443" t="str">
        <f>""</f>
        <v/>
      </c>
    </row>
    <row r="6444" spans="1:7" x14ac:dyDescent="0.25">
      <c r="A6444" t="s">
        <v>8</v>
      </c>
      <c r="B6444" s="1" t="str">
        <f>"000322247 - RICH FDS BB CORE-ARA EX-SSS"</f>
        <v>000322247 - RICH FDS BB CORE-ARA EX-SSS</v>
      </c>
      <c r="C6444" t="s">
        <v>570</v>
      </c>
      <c r="D6444" s="1" t="str">
        <f t="shared" si="181"/>
        <v>PRG-1029216</v>
      </c>
      <c r="E6444" t="s">
        <v>82</v>
      </c>
      <c r="F6444" t="s">
        <v>4</v>
      </c>
      <c r="G6444" t="str">
        <f>""</f>
        <v/>
      </c>
    </row>
    <row r="6445" spans="1:7" x14ac:dyDescent="0.25">
      <c r="A6445" t="s">
        <v>8</v>
      </c>
      <c r="B6445" s="1" t="str">
        <f>"000322248 - RICH FDS BB NCORE-ARA EX-SSS"</f>
        <v>000322248 - RICH FDS BB NCORE-ARA EX-SSS</v>
      </c>
      <c r="C6445" t="s">
        <v>571</v>
      </c>
      <c r="D6445" s="1" t="str">
        <f t="shared" si="181"/>
        <v>PRG-1029216</v>
      </c>
      <c r="E6445" t="s">
        <v>82</v>
      </c>
      <c r="F6445" t="s">
        <v>4</v>
      </c>
      <c r="G6445" t="str">
        <f>""</f>
        <v/>
      </c>
    </row>
    <row r="6446" spans="1:7" x14ac:dyDescent="0.25">
      <c r="A6446" t="s">
        <v>8</v>
      </c>
      <c r="B6446" s="1" t="str">
        <f>"000323380 - RICH FDS BB NCORE-ARA EX-SSS"</f>
        <v>000323380 - RICH FDS BB NCORE-ARA EX-SSS</v>
      </c>
      <c r="C6446" t="s">
        <v>571</v>
      </c>
      <c r="D6446" s="1" t="str">
        <f t="shared" si="181"/>
        <v>PRG-1029216</v>
      </c>
      <c r="E6446" t="s">
        <v>82</v>
      </c>
      <c r="F6446" t="s">
        <v>4</v>
      </c>
      <c r="G6446" t="str">
        <f>""</f>
        <v/>
      </c>
    </row>
    <row r="6447" spans="1:7" x14ac:dyDescent="0.25">
      <c r="A6447" t="s">
        <v>8</v>
      </c>
      <c r="B6447" s="1" t="str">
        <f>"000323565 - "</f>
        <v xml:space="preserve">000323565 - </v>
      </c>
      <c r="D6447" s="1" t="str">
        <f t="shared" si="181"/>
        <v>PRG-1029216</v>
      </c>
      <c r="E6447" t="s">
        <v>82</v>
      </c>
      <c r="F6447" t="s">
        <v>4</v>
      </c>
      <c r="G6447" t="str">
        <f>""</f>
        <v/>
      </c>
    </row>
    <row r="6448" spans="1:7" x14ac:dyDescent="0.25">
      <c r="A6448" t="s">
        <v>8</v>
      </c>
      <c r="B6448" s="1" t="str">
        <f>"000324759 - RICH FDS-MAIN ARAMARK EX-SSS"</f>
        <v>000324759 - RICH FDS-MAIN ARAMARK EX-SSS</v>
      </c>
      <c r="C6448" t="s">
        <v>556</v>
      </c>
      <c r="D6448" s="1" t="str">
        <f t="shared" ref="D6448:D6472" si="182">"PRG-1029216"</f>
        <v>PRG-1029216</v>
      </c>
      <c r="E6448" t="s">
        <v>82</v>
      </c>
      <c r="F6448" t="s">
        <v>4</v>
      </c>
      <c r="G6448" t="str">
        <f>""</f>
        <v/>
      </c>
    </row>
    <row r="6449" spans="1:7" x14ac:dyDescent="0.25">
      <c r="A6449" t="s">
        <v>8</v>
      </c>
      <c r="B6449" s="1" t="str">
        <f>"000325161 - RICH FDS BB NCORE-ARA EX-SSS"</f>
        <v>000325161 - RICH FDS BB NCORE-ARA EX-SSS</v>
      </c>
      <c r="C6449" t="s">
        <v>571</v>
      </c>
      <c r="D6449" s="1" t="str">
        <f t="shared" si="182"/>
        <v>PRG-1029216</v>
      </c>
      <c r="E6449" t="s">
        <v>82</v>
      </c>
      <c r="F6449" t="s">
        <v>4</v>
      </c>
      <c r="G6449" t="str">
        <f>""</f>
        <v/>
      </c>
    </row>
    <row r="6450" spans="1:7" x14ac:dyDescent="0.25">
      <c r="A6450" t="s">
        <v>8</v>
      </c>
      <c r="B6450" s="1" t="str">
        <f>"000325162 - RICH RDS BB CORE-ARA EX-SSS"</f>
        <v>000325162 - RICH RDS BB CORE-ARA EX-SSS</v>
      </c>
      <c r="C6450" t="s">
        <v>581</v>
      </c>
      <c r="D6450" s="1" t="str">
        <f t="shared" si="182"/>
        <v>PRG-1029216</v>
      </c>
      <c r="E6450" t="s">
        <v>82</v>
      </c>
      <c r="F6450" t="s">
        <v>4</v>
      </c>
      <c r="G6450" t="str">
        <f>""</f>
        <v/>
      </c>
    </row>
    <row r="6451" spans="1:7" x14ac:dyDescent="0.25">
      <c r="A6451" t="s">
        <v>8</v>
      </c>
      <c r="B6451" s="1" t="str">
        <f>"000325776 - "</f>
        <v xml:space="preserve">000325776 - </v>
      </c>
      <c r="D6451" s="1" t="str">
        <f t="shared" si="182"/>
        <v>PRG-1029216</v>
      </c>
      <c r="E6451" t="s">
        <v>82</v>
      </c>
      <c r="F6451" t="s">
        <v>4</v>
      </c>
      <c r="G6451" t="str">
        <f>""</f>
        <v/>
      </c>
    </row>
    <row r="6452" spans="1:7" x14ac:dyDescent="0.25">
      <c r="A6452" t="s">
        <v>8</v>
      </c>
      <c r="B6452" s="1" t="str">
        <f>"000325777 - "</f>
        <v xml:space="preserve">000325777 - </v>
      </c>
      <c r="D6452" s="1" t="str">
        <f t="shared" si="182"/>
        <v>PRG-1029216</v>
      </c>
      <c r="E6452" t="s">
        <v>82</v>
      </c>
      <c r="F6452" t="s">
        <v>4</v>
      </c>
      <c r="G6452" t="str">
        <f>""</f>
        <v/>
      </c>
    </row>
    <row r="6453" spans="1:7" x14ac:dyDescent="0.25">
      <c r="A6453" t="s">
        <v>8</v>
      </c>
      <c r="B6453" s="1" t="str">
        <f>"000326158 - "</f>
        <v xml:space="preserve">000326158 - </v>
      </c>
      <c r="D6453" s="1" t="str">
        <f t="shared" si="182"/>
        <v>PRG-1029216</v>
      </c>
      <c r="E6453" t="s">
        <v>82</v>
      </c>
      <c r="F6453" t="s">
        <v>4</v>
      </c>
      <c r="G6453" t="str">
        <f>""</f>
        <v/>
      </c>
    </row>
    <row r="6454" spans="1:7" x14ac:dyDescent="0.25">
      <c r="A6454" t="s">
        <v>8</v>
      </c>
      <c r="B6454" s="1" t="str">
        <f>"000327026 - "</f>
        <v xml:space="preserve">000327026 - </v>
      </c>
      <c r="D6454" s="1" t="str">
        <f t="shared" si="182"/>
        <v>PRG-1029216</v>
      </c>
      <c r="E6454" t="s">
        <v>82</v>
      </c>
      <c r="F6454" t="s">
        <v>4</v>
      </c>
      <c r="G6454" t="str">
        <f>""</f>
        <v/>
      </c>
    </row>
    <row r="6455" spans="1:7" x14ac:dyDescent="0.25">
      <c r="A6455" t="s">
        <v>8</v>
      </c>
      <c r="B6455" s="1" t="str">
        <f>"000328449 - "</f>
        <v xml:space="preserve">000328449 - </v>
      </c>
      <c r="D6455" s="1" t="str">
        <f t="shared" si="182"/>
        <v>PRG-1029216</v>
      </c>
      <c r="E6455" t="s">
        <v>82</v>
      </c>
      <c r="F6455" t="s">
        <v>4</v>
      </c>
      <c r="G6455" t="str">
        <f>""</f>
        <v/>
      </c>
    </row>
    <row r="6456" spans="1:7" x14ac:dyDescent="0.25">
      <c r="A6456" t="s">
        <v>8</v>
      </c>
      <c r="B6456" s="1" t="str">
        <f>"000328450 - "</f>
        <v xml:space="preserve">000328450 - </v>
      </c>
      <c r="D6456" s="1" t="str">
        <f t="shared" si="182"/>
        <v>PRG-1029216</v>
      </c>
      <c r="E6456" t="s">
        <v>82</v>
      </c>
      <c r="F6456" t="s">
        <v>4</v>
      </c>
      <c r="G6456" t="str">
        <f>""</f>
        <v/>
      </c>
    </row>
    <row r="6457" spans="1:7" x14ac:dyDescent="0.25">
      <c r="A6457" t="s">
        <v>8</v>
      </c>
      <c r="B6457" s="1" t="str">
        <f>"000333026 - RICH'S FDS-MAIN ARAMARK EX-SSS"</f>
        <v>000333026 - RICH'S FDS-MAIN ARAMARK EX-SSS</v>
      </c>
      <c r="C6457" t="s">
        <v>540</v>
      </c>
      <c r="D6457" s="1" t="str">
        <f t="shared" si="182"/>
        <v>PRG-1029216</v>
      </c>
      <c r="E6457" t="s">
        <v>82</v>
      </c>
      <c r="F6457" t="s">
        <v>4</v>
      </c>
      <c r="G6457" t="str">
        <f>""</f>
        <v/>
      </c>
    </row>
    <row r="6458" spans="1:7" x14ac:dyDescent="0.25">
      <c r="A6458" t="s">
        <v>8</v>
      </c>
      <c r="B6458" s="1" t="str">
        <f>"000336394 - RICH FDS-MAIN ARAMARK EX-SSS"</f>
        <v>000336394 - RICH FDS-MAIN ARAMARK EX-SSS</v>
      </c>
      <c r="C6458" t="s">
        <v>556</v>
      </c>
      <c r="D6458" s="1" t="str">
        <f t="shared" si="182"/>
        <v>PRG-1029216</v>
      </c>
      <c r="E6458" t="s">
        <v>82</v>
      </c>
      <c r="F6458" t="s">
        <v>4</v>
      </c>
      <c r="G6458" t="str">
        <f>""</f>
        <v/>
      </c>
    </row>
    <row r="6459" spans="1:7" x14ac:dyDescent="0.25">
      <c r="A6459" t="s">
        <v>8</v>
      </c>
      <c r="B6459" s="1" t="str">
        <f>"000338110 - RICH FDS BB CORE-ARA EX-SSS"</f>
        <v>000338110 - RICH FDS BB CORE-ARA EX-SSS</v>
      </c>
      <c r="C6459" t="s">
        <v>570</v>
      </c>
      <c r="D6459" s="1" t="str">
        <f t="shared" si="182"/>
        <v>PRG-1029216</v>
      </c>
      <c r="E6459" t="s">
        <v>82</v>
      </c>
      <c r="F6459" t="s">
        <v>4</v>
      </c>
      <c r="G6459" t="str">
        <f>""</f>
        <v/>
      </c>
    </row>
    <row r="6460" spans="1:7" x14ac:dyDescent="0.25">
      <c r="A6460" t="s">
        <v>8</v>
      </c>
      <c r="B6460" s="1" t="str">
        <f>"000338111 - RICH FDS BB NCORE-ARA EX-SSS"</f>
        <v>000338111 - RICH FDS BB NCORE-ARA EX-SSS</v>
      </c>
      <c r="C6460" t="s">
        <v>571</v>
      </c>
      <c r="D6460" s="1" t="str">
        <f t="shared" si="182"/>
        <v>PRG-1029216</v>
      </c>
      <c r="E6460" t="s">
        <v>82</v>
      </c>
      <c r="F6460" t="s">
        <v>4</v>
      </c>
      <c r="G6460" t="str">
        <f>""</f>
        <v/>
      </c>
    </row>
    <row r="6461" spans="1:7" x14ac:dyDescent="0.25">
      <c r="A6461" t="s">
        <v>8</v>
      </c>
      <c r="B6461" s="1" t="str">
        <f>"000339052 - RICH FDS BB NCORE-ARA EX-SSS"</f>
        <v>000339052 - RICH FDS BB NCORE-ARA EX-SSS</v>
      </c>
      <c r="C6461" t="s">
        <v>571</v>
      </c>
      <c r="D6461" s="1" t="str">
        <f t="shared" si="182"/>
        <v>PRG-1029216</v>
      </c>
      <c r="E6461" t="s">
        <v>82</v>
      </c>
      <c r="F6461" t="s">
        <v>4</v>
      </c>
      <c r="G6461" t="str">
        <f>""</f>
        <v/>
      </c>
    </row>
    <row r="6462" spans="1:7" x14ac:dyDescent="0.25">
      <c r="A6462" t="s">
        <v>8</v>
      </c>
      <c r="B6462" s="1" t="str">
        <f>"000339053 - RICH FDS BB CORE-ARA EX-SSS"</f>
        <v>000339053 - RICH FDS BB CORE-ARA EX-SSS</v>
      </c>
      <c r="C6462" t="s">
        <v>570</v>
      </c>
      <c r="D6462" s="1" t="str">
        <f t="shared" si="182"/>
        <v>PRG-1029216</v>
      </c>
      <c r="E6462" t="s">
        <v>82</v>
      </c>
      <c r="F6462" t="s">
        <v>4</v>
      </c>
      <c r="G6462" t="str">
        <f>""</f>
        <v/>
      </c>
    </row>
    <row r="6463" spans="1:7" x14ac:dyDescent="0.25">
      <c r="A6463" t="s">
        <v>8</v>
      </c>
      <c r="B6463" s="1" t="str">
        <f>"000340541 - RICH FDS BB NCORE-ARA EX-SSS"</f>
        <v>000340541 - RICH FDS BB NCORE-ARA EX-SSS</v>
      </c>
      <c r="C6463" t="s">
        <v>571</v>
      </c>
      <c r="D6463" s="1" t="str">
        <f t="shared" si="182"/>
        <v>PRG-1029216</v>
      </c>
      <c r="E6463" t="s">
        <v>82</v>
      </c>
      <c r="F6463" t="s">
        <v>4</v>
      </c>
      <c r="G6463" t="str">
        <f>""</f>
        <v/>
      </c>
    </row>
    <row r="6464" spans="1:7" x14ac:dyDescent="0.25">
      <c r="A6464" t="s">
        <v>8</v>
      </c>
      <c r="B6464" s="1" t="str">
        <f>"000340542 - RICH RDS BB CORE-ARA EX-SSS"</f>
        <v>000340542 - RICH RDS BB CORE-ARA EX-SSS</v>
      </c>
      <c r="C6464" t="s">
        <v>581</v>
      </c>
      <c r="D6464" s="1" t="str">
        <f t="shared" si="182"/>
        <v>PRG-1029216</v>
      </c>
      <c r="E6464" t="s">
        <v>82</v>
      </c>
      <c r="F6464" t="s">
        <v>4</v>
      </c>
      <c r="G6464" t="str">
        <f>""</f>
        <v/>
      </c>
    </row>
    <row r="6465" spans="1:7" x14ac:dyDescent="0.25">
      <c r="A6465" t="s">
        <v>8</v>
      </c>
      <c r="B6465" s="1" t="str">
        <f>"2000279507 - RICH FOODS VARIETY-ARAMARK"</f>
        <v>2000279507 - RICH FOODS VARIETY-ARAMARK</v>
      </c>
      <c r="C6465" t="s">
        <v>439</v>
      </c>
      <c r="D6465" s="1" t="str">
        <f t="shared" si="182"/>
        <v>PRG-1029216</v>
      </c>
      <c r="E6465" t="s">
        <v>82</v>
      </c>
      <c r="F6465" t="s">
        <v>4</v>
      </c>
      <c r="G6465" t="str">
        <f>""</f>
        <v/>
      </c>
    </row>
    <row r="6466" spans="1:7" x14ac:dyDescent="0.25">
      <c r="A6466" t="s">
        <v>8</v>
      </c>
      <c r="B6466" s="1" t="str">
        <f>"2000279508 - RICH FOODS VARIETY-ARAMARK SSS"</f>
        <v>2000279508 - RICH FOODS VARIETY-ARAMARK SSS</v>
      </c>
      <c r="C6466" t="s">
        <v>3989</v>
      </c>
      <c r="D6466" s="1" t="str">
        <f t="shared" si="182"/>
        <v>PRG-1029216</v>
      </c>
      <c r="E6466" t="s">
        <v>82</v>
      </c>
      <c r="F6466" t="s">
        <v>4</v>
      </c>
      <c r="G6466" t="str">
        <f>""</f>
        <v/>
      </c>
    </row>
    <row r="6467" spans="1:7" x14ac:dyDescent="0.25">
      <c r="A6467" t="s">
        <v>8</v>
      </c>
      <c r="B6467" s="1" t="str">
        <f>"2000296578 - RICH FOODS VARIETY-ARAMARK"</f>
        <v>2000296578 - RICH FOODS VARIETY-ARAMARK</v>
      </c>
      <c r="C6467" t="s">
        <v>439</v>
      </c>
      <c r="D6467" s="1" t="str">
        <f t="shared" si="182"/>
        <v>PRG-1029216</v>
      </c>
      <c r="E6467" t="s">
        <v>82</v>
      </c>
      <c r="F6467" t="s">
        <v>4</v>
      </c>
      <c r="G6467" t="str">
        <f>""</f>
        <v/>
      </c>
    </row>
    <row r="6468" spans="1:7" x14ac:dyDescent="0.25">
      <c r="A6468" t="s">
        <v>8</v>
      </c>
      <c r="B6468" s="1" t="str">
        <f>"2000303850 - RICH FOODS VARIETY MAIN-ARAMARK"</f>
        <v>2000303850 - RICH FOODS VARIETY MAIN-ARAMARK</v>
      </c>
      <c r="C6468" t="s">
        <v>4031</v>
      </c>
      <c r="D6468" s="1" t="str">
        <f t="shared" si="182"/>
        <v>PRG-1029216</v>
      </c>
      <c r="E6468" t="s">
        <v>82</v>
      </c>
      <c r="F6468" t="s">
        <v>4</v>
      </c>
      <c r="G6468" t="str">
        <f>""</f>
        <v/>
      </c>
    </row>
    <row r="6469" spans="1:7" x14ac:dyDescent="0.25">
      <c r="A6469" t="s">
        <v>8</v>
      </c>
      <c r="B6469" s="1" t="str">
        <f>"2000304978 - RICH FOODS VARIETY MAIN-ARAMARK"</f>
        <v>2000304978 - RICH FOODS VARIETY MAIN-ARAMARK</v>
      </c>
      <c r="C6469" t="s">
        <v>4031</v>
      </c>
      <c r="D6469" s="1" t="str">
        <f t="shared" si="182"/>
        <v>PRG-1029216</v>
      </c>
      <c r="E6469" t="s">
        <v>82</v>
      </c>
      <c r="F6469" t="s">
        <v>4</v>
      </c>
      <c r="G6469" t="str">
        <f>""</f>
        <v/>
      </c>
    </row>
    <row r="6470" spans="1:7" x14ac:dyDescent="0.25">
      <c r="A6470" t="s">
        <v>8</v>
      </c>
      <c r="B6470" s="1" t="str">
        <f>"2000305418 - RICH FOODS VARIETY MAIN-ARAMARK"</f>
        <v>2000305418 - RICH FOODS VARIETY MAIN-ARAMARK</v>
      </c>
      <c r="C6470" t="s">
        <v>4031</v>
      </c>
      <c r="D6470" s="1" t="str">
        <f t="shared" si="182"/>
        <v>PRG-1029216</v>
      </c>
      <c r="E6470" t="s">
        <v>82</v>
      </c>
      <c r="F6470" t="s">
        <v>4</v>
      </c>
      <c r="G6470" t="str">
        <f>""</f>
        <v/>
      </c>
    </row>
    <row r="6471" spans="1:7" x14ac:dyDescent="0.25">
      <c r="A6471" t="s">
        <v>8</v>
      </c>
      <c r="B6471" s="1" t="str">
        <f>"2000311066 - RICH ARK NOI"</f>
        <v>2000311066 - RICH ARK NOI</v>
      </c>
      <c r="C6471" t="s">
        <v>4032</v>
      </c>
      <c r="D6471" s="1" t="str">
        <f t="shared" si="182"/>
        <v>PRG-1029216</v>
      </c>
      <c r="E6471" t="s">
        <v>82</v>
      </c>
      <c r="F6471" t="s">
        <v>4</v>
      </c>
      <c r="G6471" t="str">
        <f>""</f>
        <v/>
      </c>
    </row>
    <row r="6472" spans="1:7" x14ac:dyDescent="0.25">
      <c r="A6472" t="s">
        <v>8</v>
      </c>
      <c r="B6472" s="1" t="str">
        <f>"2000311693 - RICH FOODS VARIETY MAIN-ARAMARK"</f>
        <v>2000311693 - RICH FOODS VARIETY MAIN-ARAMARK</v>
      </c>
      <c r="C6472" t="s">
        <v>4031</v>
      </c>
      <c r="D6472" s="1" t="str">
        <f t="shared" si="182"/>
        <v>PRG-1029216</v>
      </c>
      <c r="E6472" t="s">
        <v>82</v>
      </c>
      <c r="F6472" t="s">
        <v>4</v>
      </c>
      <c r="G6472" t="str">
        <f>""</f>
        <v/>
      </c>
    </row>
    <row r="6473" spans="1:7" x14ac:dyDescent="0.25">
      <c r="A6473" t="s">
        <v>8</v>
      </c>
      <c r="B6473" s="1" t="str">
        <f>"000038837 - RICHS FDS NCORE BB-SSS ARAMARK"</f>
        <v>000038837 - RICHS FDS NCORE BB-SSS ARAMARK</v>
      </c>
      <c r="C6473" t="s">
        <v>558</v>
      </c>
      <c r="D6473" s="1" t="str">
        <f t="shared" ref="D6473:D6517" si="183">"PRG-1029220"</f>
        <v>PRG-1029220</v>
      </c>
      <c r="E6473" t="s">
        <v>368</v>
      </c>
      <c r="F6473" t="s">
        <v>4</v>
      </c>
      <c r="G6473" t="str">
        <f>""</f>
        <v/>
      </c>
    </row>
    <row r="6474" spans="1:7" x14ac:dyDescent="0.25">
      <c r="A6474" t="s">
        <v>8</v>
      </c>
      <c r="B6474" s="1" t="str">
        <f>"000194087 - RICHS FDS NCORE BB-SSS ARAMARK"</f>
        <v>000194087 - RICHS FDS NCORE BB-SSS ARAMARK</v>
      </c>
      <c r="C6474" t="s">
        <v>558</v>
      </c>
      <c r="D6474" s="1" t="str">
        <f t="shared" si="183"/>
        <v>PRG-1029220</v>
      </c>
      <c r="E6474" t="s">
        <v>368</v>
      </c>
      <c r="F6474" t="s">
        <v>4</v>
      </c>
      <c r="G6474" t="str">
        <f>""</f>
        <v/>
      </c>
    </row>
    <row r="6475" spans="1:7" x14ac:dyDescent="0.25">
      <c r="A6475" t="s">
        <v>8</v>
      </c>
      <c r="B6475" s="1" t="str">
        <f>"000214729 - RICHS FDS NCORE BB-SSS ARAMARK"</f>
        <v>000214729 - RICHS FDS NCORE BB-SSS ARAMARK</v>
      </c>
      <c r="C6475" t="s">
        <v>558</v>
      </c>
      <c r="D6475" s="1" t="str">
        <f t="shared" si="183"/>
        <v>PRG-1029220</v>
      </c>
      <c r="E6475" t="s">
        <v>368</v>
      </c>
      <c r="F6475" t="s">
        <v>4</v>
      </c>
      <c r="G6475" t="str">
        <f>""</f>
        <v/>
      </c>
    </row>
    <row r="6476" spans="1:7" x14ac:dyDescent="0.25">
      <c r="A6476" t="s">
        <v>8</v>
      </c>
      <c r="B6476" s="1" t="str">
        <f>"000214730 - RICHS FDS CORE BB-SSS ARAMARK"</f>
        <v>000214730 - RICHS FDS CORE BB-SSS ARAMARK</v>
      </c>
      <c r="C6476" t="s">
        <v>858</v>
      </c>
      <c r="D6476" s="1" t="str">
        <f t="shared" si="183"/>
        <v>PRG-1029220</v>
      </c>
      <c r="E6476" t="s">
        <v>368</v>
      </c>
      <c r="F6476" t="s">
        <v>4</v>
      </c>
      <c r="G6476" t="str">
        <f>""</f>
        <v/>
      </c>
    </row>
    <row r="6477" spans="1:7" x14ac:dyDescent="0.25">
      <c r="A6477" t="s">
        <v>8</v>
      </c>
      <c r="B6477" s="1" t="str">
        <f>"000217764 - RICH'S FDS-SSS ARAMARK"</f>
        <v>000217764 - RICH'S FDS-SSS ARAMARK</v>
      </c>
      <c r="C6477" t="s">
        <v>541</v>
      </c>
      <c r="D6477" s="1" t="str">
        <f t="shared" si="183"/>
        <v>PRG-1029220</v>
      </c>
      <c r="E6477" t="s">
        <v>368</v>
      </c>
      <c r="F6477" t="s">
        <v>4</v>
      </c>
      <c r="G6477" t="str">
        <f>""</f>
        <v/>
      </c>
    </row>
    <row r="6478" spans="1:7" x14ac:dyDescent="0.25">
      <c r="A6478" t="s">
        <v>8</v>
      </c>
      <c r="B6478" s="1" t="str">
        <f>"000219875 - RICH'S FDS-SSS ARAMARK"</f>
        <v>000219875 - RICH'S FDS-SSS ARAMARK</v>
      </c>
      <c r="C6478" t="s">
        <v>541</v>
      </c>
      <c r="D6478" s="1" t="str">
        <f t="shared" si="183"/>
        <v>PRG-1029220</v>
      </c>
      <c r="E6478" t="s">
        <v>368</v>
      </c>
      <c r="F6478" t="s">
        <v>4</v>
      </c>
      <c r="G6478" t="str">
        <f>""</f>
        <v/>
      </c>
    </row>
    <row r="6479" spans="1:7" x14ac:dyDescent="0.25">
      <c r="A6479" t="s">
        <v>8</v>
      </c>
      <c r="B6479" s="1" t="str">
        <f>"000221036 - RICH BLANKET"</f>
        <v>000221036 - RICH BLANKET</v>
      </c>
      <c r="C6479" t="s">
        <v>1590</v>
      </c>
      <c r="D6479" s="1" t="str">
        <f t="shared" si="183"/>
        <v>PRG-1029220</v>
      </c>
      <c r="E6479" t="s">
        <v>368</v>
      </c>
      <c r="F6479" t="s">
        <v>4</v>
      </c>
      <c r="G6479" t="str">
        <f>""</f>
        <v/>
      </c>
    </row>
    <row r="6480" spans="1:7" x14ac:dyDescent="0.25">
      <c r="A6480" t="s">
        <v>8</v>
      </c>
      <c r="B6480" s="1" t="str">
        <f>"000223040 - USDA-RICH'S ARAMARK-NJ-B198"</f>
        <v>000223040 - USDA-RICH'S ARAMARK-NJ-B198</v>
      </c>
      <c r="C6480" t="s">
        <v>1641</v>
      </c>
      <c r="D6480" s="1" t="str">
        <f t="shared" si="183"/>
        <v>PRG-1029220</v>
      </c>
      <c r="E6480" t="s">
        <v>368</v>
      </c>
      <c r="F6480" t="s">
        <v>4</v>
      </c>
      <c r="G6480" t="str">
        <f>""</f>
        <v/>
      </c>
    </row>
    <row r="6481" spans="1:7" x14ac:dyDescent="0.25">
      <c r="A6481" t="s">
        <v>8</v>
      </c>
      <c r="B6481" s="1" t="str">
        <f>"000223041 - USDA-RICH'S ARAMARK-NY-B198"</f>
        <v>000223041 - USDA-RICH'S ARAMARK-NY-B198</v>
      </c>
      <c r="C6481" t="s">
        <v>1642</v>
      </c>
      <c r="D6481" s="1" t="str">
        <f t="shared" si="183"/>
        <v>PRG-1029220</v>
      </c>
      <c r="E6481" t="s">
        <v>368</v>
      </c>
      <c r="F6481" t="s">
        <v>4</v>
      </c>
      <c r="G6481" t="str">
        <f>""</f>
        <v/>
      </c>
    </row>
    <row r="6482" spans="1:7" x14ac:dyDescent="0.25">
      <c r="A6482" t="s">
        <v>8</v>
      </c>
      <c r="B6482" s="1" t="str">
        <f>"000223626 - RICHS FDS NCORE BB-SSS ARAMARK"</f>
        <v>000223626 - RICHS FDS NCORE BB-SSS ARAMARK</v>
      </c>
      <c r="C6482" t="s">
        <v>558</v>
      </c>
      <c r="D6482" s="1" t="str">
        <f t="shared" si="183"/>
        <v>PRG-1029220</v>
      </c>
      <c r="E6482" t="s">
        <v>368</v>
      </c>
      <c r="F6482" t="s">
        <v>4</v>
      </c>
      <c r="G6482" t="str">
        <f>""</f>
        <v/>
      </c>
    </row>
    <row r="6483" spans="1:7" x14ac:dyDescent="0.25">
      <c r="A6483" t="s">
        <v>8</v>
      </c>
      <c r="B6483" s="1" t="str">
        <f>"000225910 - RICHS FDS NCORE BB-SSS ARAMARK"</f>
        <v>000225910 - RICHS FDS NCORE BB-SSS ARAMARK</v>
      </c>
      <c r="C6483" t="s">
        <v>558</v>
      </c>
      <c r="D6483" s="1" t="str">
        <f t="shared" si="183"/>
        <v>PRG-1029220</v>
      </c>
      <c r="E6483" t="s">
        <v>368</v>
      </c>
      <c r="F6483" t="s">
        <v>4</v>
      </c>
      <c r="G6483" t="str">
        <f>""</f>
        <v/>
      </c>
    </row>
    <row r="6484" spans="1:7" x14ac:dyDescent="0.25">
      <c r="A6484" t="s">
        <v>8</v>
      </c>
      <c r="B6484" s="1" t="str">
        <f>"000233736 - RICH'S FDS-SSS ARAMARK"</f>
        <v>000233736 - RICH'S FDS-SSS ARAMARK</v>
      </c>
      <c r="C6484" t="s">
        <v>541</v>
      </c>
      <c r="D6484" s="1" t="str">
        <f t="shared" si="183"/>
        <v>PRG-1029220</v>
      </c>
      <c r="E6484" t="s">
        <v>368</v>
      </c>
      <c r="F6484" t="s">
        <v>4</v>
      </c>
      <c r="G6484" t="str">
        <f>""</f>
        <v/>
      </c>
    </row>
    <row r="6485" spans="1:7" x14ac:dyDescent="0.25">
      <c r="A6485" t="s">
        <v>8</v>
      </c>
      <c r="B6485" s="1" t="str">
        <f>"000233769 - "</f>
        <v xml:space="preserve">000233769 - </v>
      </c>
      <c r="D6485" s="1" t="str">
        <f t="shared" si="183"/>
        <v>PRG-1029220</v>
      </c>
      <c r="E6485" t="s">
        <v>368</v>
      </c>
      <c r="F6485" t="s">
        <v>4</v>
      </c>
      <c r="G6485" t="str">
        <f>""</f>
        <v/>
      </c>
    </row>
    <row r="6486" spans="1:7" x14ac:dyDescent="0.25">
      <c r="A6486" t="s">
        <v>8</v>
      </c>
      <c r="B6486" s="1" t="str">
        <f>"000234291 - RICH'S FDS-SSS ARAMARK"</f>
        <v>000234291 - RICH'S FDS-SSS ARAMARK</v>
      </c>
      <c r="C6486" t="s">
        <v>541</v>
      </c>
      <c r="D6486" s="1" t="str">
        <f t="shared" si="183"/>
        <v>PRG-1029220</v>
      </c>
      <c r="E6486" t="s">
        <v>368</v>
      </c>
      <c r="F6486" t="s">
        <v>4</v>
      </c>
      <c r="G6486" t="str">
        <f>""</f>
        <v/>
      </c>
    </row>
    <row r="6487" spans="1:7" x14ac:dyDescent="0.25">
      <c r="A6487" t="s">
        <v>8</v>
      </c>
      <c r="B6487" s="1" t="str">
        <f>"000236686 - RICHS FDS NCORE BB-SSS ARAMARK"</f>
        <v>000236686 - RICHS FDS NCORE BB-SSS ARAMARK</v>
      </c>
      <c r="C6487" t="s">
        <v>558</v>
      </c>
      <c r="D6487" s="1" t="str">
        <f t="shared" si="183"/>
        <v>PRG-1029220</v>
      </c>
      <c r="E6487" t="s">
        <v>368</v>
      </c>
      <c r="F6487" t="s">
        <v>4</v>
      </c>
      <c r="G6487" t="str">
        <f>""</f>
        <v/>
      </c>
    </row>
    <row r="6488" spans="1:7" x14ac:dyDescent="0.25">
      <c r="A6488" t="s">
        <v>8</v>
      </c>
      <c r="B6488" s="1" t="str">
        <f>"000238275 - RICHS FDS NCORE BB-SSS ARAMARK"</f>
        <v>000238275 - RICHS FDS NCORE BB-SSS ARAMARK</v>
      </c>
      <c r="C6488" t="s">
        <v>558</v>
      </c>
      <c r="D6488" s="1" t="str">
        <f t="shared" si="183"/>
        <v>PRG-1029220</v>
      </c>
      <c r="E6488" t="s">
        <v>368</v>
      </c>
      <c r="F6488" t="s">
        <v>4</v>
      </c>
      <c r="G6488" t="str">
        <f>""</f>
        <v/>
      </c>
    </row>
    <row r="6489" spans="1:7" x14ac:dyDescent="0.25">
      <c r="A6489" t="s">
        <v>8</v>
      </c>
      <c r="B6489" s="1" t="str">
        <f>"000238276 - RICHS FDS CORE BB-SSS ARAMARK"</f>
        <v>000238276 - RICHS FDS CORE BB-SSS ARAMARK</v>
      </c>
      <c r="C6489" t="s">
        <v>858</v>
      </c>
      <c r="D6489" s="1" t="str">
        <f t="shared" si="183"/>
        <v>PRG-1029220</v>
      </c>
      <c r="E6489" t="s">
        <v>368</v>
      </c>
      <c r="F6489" t="s">
        <v>4</v>
      </c>
      <c r="G6489" t="str">
        <f>""</f>
        <v/>
      </c>
    </row>
    <row r="6490" spans="1:7" x14ac:dyDescent="0.25">
      <c r="A6490" t="s">
        <v>8</v>
      </c>
      <c r="B6490" s="1" t="str">
        <f>"000240673 - RICH'S FDS-SSS ARAMARK"</f>
        <v>000240673 - RICH'S FDS-SSS ARAMARK</v>
      </c>
      <c r="C6490" t="s">
        <v>541</v>
      </c>
      <c r="D6490" s="1" t="str">
        <f t="shared" si="183"/>
        <v>PRG-1029220</v>
      </c>
      <c r="E6490" t="s">
        <v>368</v>
      </c>
      <c r="F6490" t="s">
        <v>4</v>
      </c>
      <c r="G6490" t="str">
        <f>""</f>
        <v/>
      </c>
    </row>
    <row r="6491" spans="1:7" x14ac:dyDescent="0.25">
      <c r="A6491" t="s">
        <v>8</v>
      </c>
      <c r="B6491" s="1" t="str">
        <f>"000242798 - RICH'S FDS-SSS ARAMARK"</f>
        <v>000242798 - RICH'S FDS-SSS ARAMARK</v>
      </c>
      <c r="C6491" t="s">
        <v>541</v>
      </c>
      <c r="D6491" s="1" t="str">
        <f t="shared" si="183"/>
        <v>PRG-1029220</v>
      </c>
      <c r="E6491" t="s">
        <v>368</v>
      </c>
      <c r="F6491" t="s">
        <v>4</v>
      </c>
      <c r="G6491" t="str">
        <f>""</f>
        <v/>
      </c>
    </row>
    <row r="6492" spans="1:7" x14ac:dyDescent="0.25">
      <c r="A6492" t="s">
        <v>8</v>
      </c>
      <c r="B6492" s="1" t="str">
        <f>"000243524 - RICHS FDS NCORE BB-SSS ARAMARK"</f>
        <v>000243524 - RICHS FDS NCORE BB-SSS ARAMARK</v>
      </c>
      <c r="C6492" t="s">
        <v>558</v>
      </c>
      <c r="D6492" s="1" t="str">
        <f t="shared" si="183"/>
        <v>PRG-1029220</v>
      </c>
      <c r="E6492" t="s">
        <v>368</v>
      </c>
      <c r="F6492" t="s">
        <v>4</v>
      </c>
      <c r="G6492" t="str">
        <f>""</f>
        <v/>
      </c>
    </row>
    <row r="6493" spans="1:7" x14ac:dyDescent="0.25">
      <c r="A6493" t="s">
        <v>8</v>
      </c>
      <c r="B6493" s="1" t="str">
        <f>"000243525 - RICHS FDS CORE BB-SSS ARAMARK"</f>
        <v>000243525 - RICHS FDS CORE BB-SSS ARAMARK</v>
      </c>
      <c r="C6493" t="s">
        <v>858</v>
      </c>
      <c r="D6493" s="1" t="str">
        <f t="shared" si="183"/>
        <v>PRG-1029220</v>
      </c>
      <c r="E6493" t="s">
        <v>368</v>
      </c>
      <c r="F6493" t="s">
        <v>4</v>
      </c>
      <c r="G6493" t="str">
        <f>""</f>
        <v/>
      </c>
    </row>
    <row r="6494" spans="1:7" x14ac:dyDescent="0.25">
      <c r="A6494" t="s">
        <v>8</v>
      </c>
      <c r="B6494" s="1" t="str">
        <f>"000244685 - RICHS FDS NCORE BB-SSS ARAMARK"</f>
        <v>000244685 - RICHS FDS NCORE BB-SSS ARAMARK</v>
      </c>
      <c r="C6494" t="s">
        <v>558</v>
      </c>
      <c r="D6494" s="1" t="str">
        <f t="shared" si="183"/>
        <v>PRG-1029220</v>
      </c>
      <c r="E6494" t="s">
        <v>368</v>
      </c>
      <c r="F6494" t="s">
        <v>4</v>
      </c>
      <c r="G6494" t="str">
        <f>""</f>
        <v/>
      </c>
    </row>
    <row r="6495" spans="1:7" x14ac:dyDescent="0.25">
      <c r="A6495" t="s">
        <v>8</v>
      </c>
      <c r="B6495" s="1" t="str">
        <f>"000246111 - RICHS FDS NCORE BB-SSS ARAMARK"</f>
        <v>000246111 - RICHS FDS NCORE BB-SSS ARAMARK</v>
      </c>
      <c r="C6495" t="s">
        <v>558</v>
      </c>
      <c r="D6495" s="1" t="str">
        <f t="shared" si="183"/>
        <v>PRG-1029220</v>
      </c>
      <c r="E6495" t="s">
        <v>368</v>
      </c>
      <c r="F6495" t="s">
        <v>4</v>
      </c>
      <c r="G6495" t="str">
        <f>""</f>
        <v/>
      </c>
    </row>
    <row r="6496" spans="1:7" x14ac:dyDescent="0.25">
      <c r="A6496" t="s">
        <v>8</v>
      </c>
      <c r="B6496" s="1" t="str">
        <f>"000246112 - RICHS FDS CORE BB-SSS ARAMARK"</f>
        <v>000246112 - RICHS FDS CORE BB-SSS ARAMARK</v>
      </c>
      <c r="C6496" t="s">
        <v>858</v>
      </c>
      <c r="D6496" s="1" t="str">
        <f t="shared" si="183"/>
        <v>PRG-1029220</v>
      </c>
      <c r="E6496" t="s">
        <v>368</v>
      </c>
      <c r="F6496" t="s">
        <v>4</v>
      </c>
      <c r="G6496" t="str">
        <f>""</f>
        <v/>
      </c>
    </row>
    <row r="6497" spans="1:7" x14ac:dyDescent="0.25">
      <c r="A6497" t="s">
        <v>8</v>
      </c>
      <c r="B6497" s="1" t="str">
        <f>"000247620 - RICH'S FDS-SSS ARAMARK"</f>
        <v>000247620 - RICH'S FDS-SSS ARAMARK</v>
      </c>
      <c r="C6497" t="s">
        <v>541</v>
      </c>
      <c r="D6497" s="1" t="str">
        <f t="shared" si="183"/>
        <v>PRG-1029220</v>
      </c>
      <c r="E6497" t="s">
        <v>368</v>
      </c>
      <c r="F6497" t="s">
        <v>4</v>
      </c>
      <c r="G6497" t="str">
        <f>""</f>
        <v/>
      </c>
    </row>
    <row r="6498" spans="1:7" x14ac:dyDescent="0.25">
      <c r="A6498" t="s">
        <v>8</v>
      </c>
      <c r="B6498" s="1" t="str">
        <f>"000248671 - RICH'S FDS-SSS ARAMARK"</f>
        <v>000248671 - RICH'S FDS-SSS ARAMARK</v>
      </c>
      <c r="C6498" t="s">
        <v>541</v>
      </c>
      <c r="D6498" s="1" t="str">
        <f t="shared" si="183"/>
        <v>PRG-1029220</v>
      </c>
      <c r="E6498" t="s">
        <v>368</v>
      </c>
      <c r="F6498" t="s">
        <v>4</v>
      </c>
      <c r="G6498" t="str">
        <f>""</f>
        <v/>
      </c>
    </row>
    <row r="6499" spans="1:7" x14ac:dyDescent="0.25">
      <c r="A6499" t="s">
        <v>8</v>
      </c>
      <c r="B6499" s="1" t="str">
        <f>"000249021 - RICH'S FDS-SSS ARAMARK"</f>
        <v>000249021 - RICH'S FDS-SSS ARAMARK</v>
      </c>
      <c r="C6499" t="s">
        <v>541</v>
      </c>
      <c r="D6499" s="1" t="str">
        <f t="shared" si="183"/>
        <v>PRG-1029220</v>
      </c>
      <c r="E6499" t="s">
        <v>368</v>
      </c>
      <c r="F6499" t="s">
        <v>4</v>
      </c>
      <c r="G6499" t="str">
        <f>""</f>
        <v/>
      </c>
    </row>
    <row r="6500" spans="1:7" x14ac:dyDescent="0.25">
      <c r="A6500" t="s">
        <v>8</v>
      </c>
      <c r="B6500" s="1" t="str">
        <f>"000250769 - RICHS FDS NCORE BB-SSS ARAMARK"</f>
        <v>000250769 - RICHS FDS NCORE BB-SSS ARAMARK</v>
      </c>
      <c r="C6500" t="s">
        <v>558</v>
      </c>
      <c r="D6500" s="1" t="str">
        <f t="shared" si="183"/>
        <v>PRG-1029220</v>
      </c>
      <c r="E6500" t="s">
        <v>368</v>
      </c>
      <c r="F6500" t="s">
        <v>4</v>
      </c>
      <c r="G6500" t="str">
        <f>""</f>
        <v/>
      </c>
    </row>
    <row r="6501" spans="1:7" x14ac:dyDescent="0.25">
      <c r="A6501" t="s">
        <v>8</v>
      </c>
      <c r="B6501" s="1" t="str">
        <f>"000252307 - RICHS FDS NCORE BB-SSS ARAMARK"</f>
        <v>000252307 - RICHS FDS NCORE BB-SSS ARAMARK</v>
      </c>
      <c r="C6501" t="s">
        <v>558</v>
      </c>
      <c r="D6501" s="1" t="str">
        <f t="shared" si="183"/>
        <v>PRG-1029220</v>
      </c>
      <c r="E6501" t="s">
        <v>368</v>
      </c>
      <c r="F6501" t="s">
        <v>4</v>
      </c>
      <c r="G6501" t="str">
        <f>""</f>
        <v/>
      </c>
    </row>
    <row r="6502" spans="1:7" x14ac:dyDescent="0.25">
      <c r="A6502" t="s">
        <v>8</v>
      </c>
      <c r="B6502" s="1" t="str">
        <f>"000252308 - RICHS FDS CORE BB-SSS ARAMARK"</f>
        <v>000252308 - RICHS FDS CORE BB-SSS ARAMARK</v>
      </c>
      <c r="C6502" t="s">
        <v>858</v>
      </c>
      <c r="D6502" s="1" t="str">
        <f t="shared" si="183"/>
        <v>PRG-1029220</v>
      </c>
      <c r="E6502" t="s">
        <v>368</v>
      </c>
      <c r="F6502" t="s">
        <v>4</v>
      </c>
      <c r="G6502" t="str">
        <f>""</f>
        <v/>
      </c>
    </row>
    <row r="6503" spans="1:7" x14ac:dyDescent="0.25">
      <c r="A6503" t="s">
        <v>8</v>
      </c>
      <c r="B6503" s="1" t="str">
        <f>"000252997 - RICHS FDS NCORE BB-SSS ARAMARK"</f>
        <v>000252997 - RICHS FDS NCORE BB-SSS ARAMARK</v>
      </c>
      <c r="C6503" t="s">
        <v>558</v>
      </c>
      <c r="D6503" s="1" t="str">
        <f t="shared" si="183"/>
        <v>PRG-1029220</v>
      </c>
      <c r="E6503" t="s">
        <v>368</v>
      </c>
      <c r="F6503" t="s">
        <v>4</v>
      </c>
      <c r="G6503" t="str">
        <f>""</f>
        <v/>
      </c>
    </row>
    <row r="6504" spans="1:7" x14ac:dyDescent="0.25">
      <c r="A6504" t="s">
        <v>8</v>
      </c>
      <c r="B6504" s="1" t="str">
        <f>"000253010 - RICHS FDS NCORE BB-SSS ARAMARK"</f>
        <v>000253010 - RICHS FDS NCORE BB-SSS ARAMARK</v>
      </c>
      <c r="C6504" t="s">
        <v>558</v>
      </c>
      <c r="D6504" s="1" t="str">
        <f t="shared" si="183"/>
        <v>PRG-1029220</v>
      </c>
      <c r="E6504" t="s">
        <v>368</v>
      </c>
      <c r="F6504" t="s">
        <v>4</v>
      </c>
      <c r="G6504" t="str">
        <f>""</f>
        <v/>
      </c>
    </row>
    <row r="6505" spans="1:7" x14ac:dyDescent="0.25">
      <c r="A6505" t="s">
        <v>8</v>
      </c>
      <c r="B6505" s="1" t="str">
        <f>"000255912 - RICH RDS BB CORE-ARA EX-SSS"</f>
        <v>000255912 - RICH RDS BB CORE-ARA EX-SSS</v>
      </c>
      <c r="C6505" t="s">
        <v>581</v>
      </c>
      <c r="D6505" s="1" t="str">
        <f t="shared" si="183"/>
        <v>PRG-1029220</v>
      </c>
      <c r="E6505" t="s">
        <v>368</v>
      </c>
      <c r="F6505" t="s">
        <v>4</v>
      </c>
      <c r="G6505" t="str">
        <f>""</f>
        <v/>
      </c>
    </row>
    <row r="6506" spans="1:7" x14ac:dyDescent="0.25">
      <c r="A6506" t="s">
        <v>8</v>
      </c>
      <c r="B6506" s="1" t="str">
        <f>"000271174 - RICHS FDS NCORE BB-SSS ARAMARK"</f>
        <v>000271174 - RICHS FDS NCORE BB-SSS ARAMARK</v>
      </c>
      <c r="C6506" t="s">
        <v>558</v>
      </c>
      <c r="D6506" s="1" t="str">
        <f t="shared" si="183"/>
        <v>PRG-1029220</v>
      </c>
      <c r="E6506" t="s">
        <v>368</v>
      </c>
      <c r="F6506" t="s">
        <v>4</v>
      </c>
      <c r="G6506" t="str">
        <f>""</f>
        <v/>
      </c>
    </row>
    <row r="6507" spans="1:7" x14ac:dyDescent="0.25">
      <c r="A6507" t="s">
        <v>8</v>
      </c>
      <c r="B6507" s="1" t="str">
        <f>"000271191 - ARMRK SSS NCRE BB RICH  271174"</f>
        <v>000271191 - ARMRK SSS NCRE BB RICH  271174</v>
      </c>
      <c r="C6507" t="s">
        <v>2485</v>
      </c>
      <c r="D6507" s="1" t="str">
        <f t="shared" si="183"/>
        <v>PRG-1029220</v>
      </c>
      <c r="E6507" t="s">
        <v>368</v>
      </c>
      <c r="F6507" t="s">
        <v>4</v>
      </c>
      <c r="G6507" t="str">
        <f>""</f>
        <v/>
      </c>
    </row>
    <row r="6508" spans="1:7" x14ac:dyDescent="0.25">
      <c r="A6508" t="s">
        <v>8</v>
      </c>
      <c r="B6508" s="1" t="str">
        <f>"000279999 - RICH'S FDS-SSS ARAMARK"</f>
        <v>000279999 - RICH'S FDS-SSS ARAMARK</v>
      </c>
      <c r="C6508" t="s">
        <v>541</v>
      </c>
      <c r="D6508" s="1" t="str">
        <f t="shared" si="183"/>
        <v>PRG-1029220</v>
      </c>
      <c r="E6508" t="s">
        <v>368</v>
      </c>
      <c r="F6508" t="s">
        <v>4</v>
      </c>
      <c r="G6508" t="str">
        <f>""</f>
        <v/>
      </c>
    </row>
    <row r="6509" spans="1:7" x14ac:dyDescent="0.25">
      <c r="A6509" t="s">
        <v>8</v>
      </c>
      <c r="B6509" s="1" t="str">
        <f>"000287293 - RICHS FDS NCORE BB-SSS ARAMARK"</f>
        <v>000287293 - RICHS FDS NCORE BB-SSS ARAMARK</v>
      </c>
      <c r="C6509" t="s">
        <v>558</v>
      </c>
      <c r="D6509" s="1" t="str">
        <f t="shared" si="183"/>
        <v>PRG-1029220</v>
      </c>
      <c r="E6509" t="s">
        <v>368</v>
      </c>
      <c r="F6509" t="s">
        <v>4</v>
      </c>
      <c r="G6509" t="str">
        <f>""</f>
        <v/>
      </c>
    </row>
    <row r="6510" spans="1:7" x14ac:dyDescent="0.25">
      <c r="A6510" t="s">
        <v>8</v>
      </c>
      <c r="B6510" s="1" t="str">
        <f>"000289165 - RICHS FDS NCORE BB-SSS ARAMARK"</f>
        <v>000289165 - RICHS FDS NCORE BB-SSS ARAMARK</v>
      </c>
      <c r="C6510" t="s">
        <v>558</v>
      </c>
      <c r="D6510" s="1" t="str">
        <f t="shared" si="183"/>
        <v>PRG-1029220</v>
      </c>
      <c r="E6510" t="s">
        <v>368</v>
      </c>
      <c r="F6510" t="s">
        <v>4</v>
      </c>
      <c r="G6510" t="str">
        <f>""</f>
        <v/>
      </c>
    </row>
    <row r="6511" spans="1:7" x14ac:dyDescent="0.25">
      <c r="A6511" t="s">
        <v>8</v>
      </c>
      <c r="B6511" s="1" t="str">
        <f>"000291151 - RICHS FDS NCORE BB-SSS ARAMARK"</f>
        <v>000291151 - RICHS FDS NCORE BB-SSS ARAMARK</v>
      </c>
      <c r="C6511" t="s">
        <v>558</v>
      </c>
      <c r="D6511" s="1" t="str">
        <f t="shared" si="183"/>
        <v>PRG-1029220</v>
      </c>
      <c r="E6511" t="s">
        <v>368</v>
      </c>
      <c r="F6511" t="s">
        <v>4</v>
      </c>
      <c r="G6511" t="str">
        <f>""</f>
        <v/>
      </c>
    </row>
    <row r="6512" spans="1:7" x14ac:dyDescent="0.25">
      <c r="A6512" t="s">
        <v>8</v>
      </c>
      <c r="B6512" s="1" t="str">
        <f>"000301702 - RICHS FDS NCORE BB-SSS ARAMARK"</f>
        <v>000301702 - RICHS FDS NCORE BB-SSS ARAMARK</v>
      </c>
      <c r="C6512" t="s">
        <v>558</v>
      </c>
      <c r="D6512" s="1" t="str">
        <f t="shared" si="183"/>
        <v>PRG-1029220</v>
      </c>
      <c r="E6512" t="s">
        <v>368</v>
      </c>
      <c r="F6512" t="s">
        <v>4</v>
      </c>
      <c r="G6512" t="str">
        <f>""</f>
        <v/>
      </c>
    </row>
    <row r="6513" spans="1:7" x14ac:dyDescent="0.25">
      <c r="A6513" t="s">
        <v>8</v>
      </c>
      <c r="B6513" s="1" t="str">
        <f>"000301703 - RICHS FDS CORE BB-SSS ARAMARK"</f>
        <v>000301703 - RICHS FDS CORE BB-SSS ARAMARK</v>
      </c>
      <c r="C6513" t="s">
        <v>858</v>
      </c>
      <c r="D6513" s="1" t="str">
        <f t="shared" si="183"/>
        <v>PRG-1029220</v>
      </c>
      <c r="E6513" t="s">
        <v>368</v>
      </c>
      <c r="F6513" t="s">
        <v>4</v>
      </c>
      <c r="G6513" t="str">
        <f>""</f>
        <v/>
      </c>
    </row>
    <row r="6514" spans="1:7" x14ac:dyDescent="0.25">
      <c r="A6514" t="s">
        <v>8</v>
      </c>
      <c r="B6514" s="1" t="str">
        <f>"000307875 - RICH'S FDS-SSS ARAMARK"</f>
        <v>000307875 - RICH'S FDS-SSS ARAMARK</v>
      </c>
      <c r="C6514" t="s">
        <v>541</v>
      </c>
      <c r="D6514" s="1" t="str">
        <f t="shared" si="183"/>
        <v>PRG-1029220</v>
      </c>
      <c r="E6514" t="s">
        <v>368</v>
      </c>
      <c r="F6514" t="s">
        <v>4</v>
      </c>
      <c r="G6514" t="str">
        <f>""</f>
        <v/>
      </c>
    </row>
    <row r="6515" spans="1:7" x14ac:dyDescent="0.25">
      <c r="A6515" t="s">
        <v>8</v>
      </c>
      <c r="B6515" s="1" t="str">
        <f>"000311922 - "</f>
        <v xml:space="preserve">000311922 - </v>
      </c>
      <c r="D6515" s="1" t="str">
        <f t="shared" si="183"/>
        <v>PRG-1029220</v>
      </c>
      <c r="E6515" t="s">
        <v>368</v>
      </c>
      <c r="F6515" t="s">
        <v>4</v>
      </c>
      <c r="G6515" t="str">
        <f>""</f>
        <v/>
      </c>
    </row>
    <row r="6516" spans="1:7" x14ac:dyDescent="0.25">
      <c r="A6516" t="s">
        <v>8</v>
      </c>
      <c r="B6516" s="1" t="str">
        <f>"000311923 - "</f>
        <v xml:space="preserve">000311923 - </v>
      </c>
      <c r="D6516" s="1" t="str">
        <f t="shared" si="183"/>
        <v>PRG-1029220</v>
      </c>
      <c r="E6516" t="s">
        <v>368</v>
      </c>
      <c r="F6516" t="s">
        <v>4</v>
      </c>
      <c r="G6516" t="str">
        <f>""</f>
        <v/>
      </c>
    </row>
    <row r="6517" spans="1:7" x14ac:dyDescent="0.25">
      <c r="A6517" t="s">
        <v>8</v>
      </c>
      <c r="B6517" s="1" t="str">
        <f>"2000300915 - RICH FOODS VARIETY-ARAMARK SSS"</f>
        <v>2000300915 - RICH FOODS VARIETY-ARAMARK SSS</v>
      </c>
      <c r="C6517" t="s">
        <v>3989</v>
      </c>
      <c r="D6517" s="1" t="str">
        <f t="shared" si="183"/>
        <v>PRG-1029220</v>
      </c>
      <c r="E6517" t="s">
        <v>368</v>
      </c>
      <c r="F6517" t="s">
        <v>4</v>
      </c>
      <c r="G6517" t="str">
        <f>""</f>
        <v/>
      </c>
    </row>
    <row r="6518" spans="1:7" x14ac:dyDescent="0.25">
      <c r="A6518" t="s">
        <v>8</v>
      </c>
      <c r="B6518" s="1" t="str">
        <f>"000224135 - DELHI   RICHS"</f>
        <v>000224135 - DELHI   RICHS</v>
      </c>
      <c r="C6518" t="s">
        <v>1658</v>
      </c>
      <c r="D6518" s="1" t="str">
        <f>"PRG-1029234"</f>
        <v>PRG-1029234</v>
      </c>
      <c r="E6518" t="s">
        <v>1659</v>
      </c>
      <c r="F6518" t="s">
        <v>4</v>
      </c>
      <c r="G6518" t="str">
        <f>""</f>
        <v/>
      </c>
    </row>
    <row r="6519" spans="1:7" x14ac:dyDescent="0.25">
      <c r="A6519" t="s">
        <v>8</v>
      </c>
      <c r="B6519" s="1" t="str">
        <f>"2000293113 - "</f>
        <v xml:space="preserve">2000293113 - </v>
      </c>
      <c r="D6519" s="1" t="str">
        <f>"PRG-1029236"</f>
        <v>PRG-1029236</v>
      </c>
      <c r="E6519" t="s">
        <v>4024</v>
      </c>
      <c r="F6519" t="s">
        <v>4</v>
      </c>
      <c r="G6519" t="str">
        <f>""</f>
        <v/>
      </c>
    </row>
    <row r="6520" spans="1:7" x14ac:dyDescent="0.25">
      <c r="A6520" t="s">
        <v>8</v>
      </c>
      <c r="B6520" s="1" t="str">
        <f>"000004029 - &amp;RICH PRODUCTS ALL EXPORT"</f>
        <v>000004029 - &amp;RICH PRODUCTS ALL EXPORT</v>
      </c>
      <c r="C6520" t="s">
        <v>189</v>
      </c>
      <c r="D6520" s="1" t="str">
        <f>"PRG-1029245"</f>
        <v>PRG-1029245</v>
      </c>
      <c r="E6520" t="s">
        <v>89</v>
      </c>
      <c r="F6520" t="s">
        <v>4</v>
      </c>
      <c r="G6520" t="str">
        <f>""</f>
        <v/>
      </c>
    </row>
    <row r="6521" spans="1:7" x14ac:dyDescent="0.25">
      <c r="A6521" t="s">
        <v>8</v>
      </c>
      <c r="B6521" s="1" t="str">
        <f>"000007321 - RICH PRODUCTS ALL EXPORT"</f>
        <v>000007321 - RICH PRODUCTS ALL EXPORT</v>
      </c>
      <c r="C6521" t="s">
        <v>257</v>
      </c>
      <c r="D6521" s="1" t="str">
        <f>"PRG-1029245"</f>
        <v>PRG-1029245</v>
      </c>
      <c r="E6521" t="s">
        <v>89</v>
      </c>
      <c r="F6521" t="s">
        <v>4</v>
      </c>
      <c r="G6521" t="str">
        <f>""</f>
        <v/>
      </c>
    </row>
    <row r="6522" spans="1:7" x14ac:dyDescent="0.25">
      <c r="A6522" t="s">
        <v>8</v>
      </c>
      <c r="B6522" s="1" t="str">
        <f>"S4O00DK0"</f>
        <v>S4O00DK0</v>
      </c>
      <c r="C6522" t="s">
        <v>5733</v>
      </c>
      <c r="D6522" s="1" t="str">
        <f>"PRG-1029266"</f>
        <v>PRG-1029266</v>
      </c>
      <c r="E6522" t="s">
        <v>5734</v>
      </c>
      <c r="F6522" t="s">
        <v>5</v>
      </c>
      <c r="G6522" t="str">
        <f>""</f>
        <v/>
      </c>
    </row>
    <row r="6523" spans="1:7" x14ac:dyDescent="0.25">
      <c r="A6523" t="s">
        <v>8</v>
      </c>
      <c r="B6523" s="1" t="str">
        <f>"S4O00DG0"</f>
        <v>S4O00DG0</v>
      </c>
      <c r="C6523" t="s">
        <v>5731</v>
      </c>
      <c r="D6523" s="1" t="str">
        <f>"PRG-1029267"</f>
        <v>PRG-1029267</v>
      </c>
      <c r="E6523" t="s">
        <v>5732</v>
      </c>
      <c r="F6523" t="s">
        <v>5</v>
      </c>
      <c r="G6523" t="str">
        <f>""</f>
        <v/>
      </c>
    </row>
    <row r="6524" spans="1:7" x14ac:dyDescent="0.25">
      <c r="A6524" t="s">
        <v>8</v>
      </c>
      <c r="B6524" s="1" t="str">
        <f>"2000274653 - RICHS-OK CITY PUBLIC SCHOOLS"</f>
        <v>2000274653 - RICHS-OK CITY PUBLIC SCHOOLS</v>
      </c>
      <c r="C6524" t="s">
        <v>33</v>
      </c>
      <c r="D6524" s="1" t="str">
        <f>"PRG-1029290"</f>
        <v>PRG-1029290</v>
      </c>
      <c r="E6524" t="s">
        <v>4010</v>
      </c>
      <c r="F6524" t="s">
        <v>4</v>
      </c>
      <c r="G6524" t="str">
        <f>""</f>
        <v/>
      </c>
    </row>
    <row r="6525" spans="1:7" x14ac:dyDescent="0.25">
      <c r="A6525" t="s">
        <v>8</v>
      </c>
      <c r="B6525" s="1" t="str">
        <f>"000230512 - RICH PRODUCT   CAFCO"</f>
        <v>000230512 - RICH PRODUCT   CAFCO</v>
      </c>
      <c r="C6525" t="s">
        <v>1748</v>
      </c>
      <c r="D6525" s="1" t="str">
        <f>"PRG-1029291"</f>
        <v>PRG-1029291</v>
      </c>
      <c r="E6525" t="s">
        <v>1749</v>
      </c>
      <c r="F6525" t="s">
        <v>4</v>
      </c>
      <c r="G6525" t="str">
        <f>""</f>
        <v/>
      </c>
    </row>
    <row r="6526" spans="1:7" x14ac:dyDescent="0.25">
      <c r="A6526" t="s">
        <v>8</v>
      </c>
      <c r="B6526" s="1" t="str">
        <f>"000200582 - RICHS CHESTERFIELD SCHLS"</f>
        <v>000200582 - RICHS CHESTERFIELD SCHLS</v>
      </c>
      <c r="C6526" t="s">
        <v>1302</v>
      </c>
      <c r="D6526" s="1" t="str">
        <f>"PRG-1029294"</f>
        <v>PRG-1029294</v>
      </c>
      <c r="E6526" t="s">
        <v>1303</v>
      </c>
      <c r="F6526" t="s">
        <v>4</v>
      </c>
      <c r="G6526" t="str">
        <f>""</f>
        <v/>
      </c>
    </row>
    <row r="6527" spans="1:7" x14ac:dyDescent="0.25">
      <c r="A6527" t="s">
        <v>8</v>
      </c>
      <c r="B6527" s="1" t="str">
        <f>"000213935 - RICHS CHESTERFIELD VA201506823"</f>
        <v>000213935 - RICHS CHESTERFIELD VA201506823</v>
      </c>
      <c r="C6527" t="s">
        <v>1485</v>
      </c>
      <c r="D6527" s="1" t="str">
        <f>"PRG-1029294"</f>
        <v>PRG-1029294</v>
      </c>
      <c r="E6527" t="s">
        <v>1303</v>
      </c>
      <c r="F6527" t="s">
        <v>4</v>
      </c>
      <c r="G6527" t="str">
        <f>""</f>
        <v/>
      </c>
    </row>
    <row r="6528" spans="1:7" x14ac:dyDescent="0.25">
      <c r="A6528" t="s">
        <v>8</v>
      </c>
      <c r="B6528" s="1" t="str">
        <f>"000310033 - RICHS AUBURN-WASHBURN"</f>
        <v>000310033 - RICHS AUBURN-WASHBURN</v>
      </c>
      <c r="C6528" t="s">
        <v>3103</v>
      </c>
      <c r="D6528" s="1" t="str">
        <f>"PRG-1029309"</f>
        <v>PRG-1029309</v>
      </c>
      <c r="E6528" t="s">
        <v>3104</v>
      </c>
      <c r="F6528" t="s">
        <v>4</v>
      </c>
      <c r="G6528" t="str">
        <f>""</f>
        <v/>
      </c>
    </row>
    <row r="6529" spans="1:7" x14ac:dyDescent="0.25">
      <c r="A6529" t="s">
        <v>8</v>
      </c>
      <c r="B6529" s="1" t="str">
        <f>"000004154 - RICH PRODUCTS ARAMARK"</f>
        <v>000004154 - RICH PRODUCTS ARAMARK</v>
      </c>
      <c r="C6529" t="s">
        <v>81</v>
      </c>
      <c r="D6529" s="1" t="str">
        <f>"PRG-1029311"</f>
        <v>PRG-1029311</v>
      </c>
      <c r="E6529" t="s">
        <v>193</v>
      </c>
      <c r="F6529" t="s">
        <v>4</v>
      </c>
      <c r="G6529" t="str">
        <f>""</f>
        <v/>
      </c>
    </row>
    <row r="6530" spans="1:7" x14ac:dyDescent="0.25">
      <c r="A6530" t="s">
        <v>8</v>
      </c>
      <c r="B6530" s="1" t="str">
        <f>"000124960 - RICHS(04) - NCCNPA"</f>
        <v>000124960 - RICHS(04) - NCCNPA</v>
      </c>
      <c r="C6530" t="s">
        <v>832</v>
      </c>
      <c r="D6530" s="1" t="str">
        <f>"PRG-1029311"</f>
        <v>PRG-1029311</v>
      </c>
      <c r="E6530" t="s">
        <v>193</v>
      </c>
      <c r="F6530" t="s">
        <v>4</v>
      </c>
      <c r="G6530" t="str">
        <f>""</f>
        <v/>
      </c>
    </row>
    <row r="6531" spans="1:7" x14ac:dyDescent="0.25">
      <c r="A6531" t="s">
        <v>8</v>
      </c>
      <c r="B6531" s="1" t="str">
        <f>"000124961 - RICHS(06) - NCCNPA"</f>
        <v>000124961 - RICHS(06) - NCCNPA</v>
      </c>
      <c r="C6531" t="s">
        <v>830</v>
      </c>
      <c r="D6531" s="1" t="str">
        <f>"PRG-1029311"</f>
        <v>PRG-1029311</v>
      </c>
      <c r="E6531" t="s">
        <v>193</v>
      </c>
      <c r="F6531" t="s">
        <v>4</v>
      </c>
      <c r="G6531" t="str">
        <f>""</f>
        <v/>
      </c>
    </row>
    <row r="6532" spans="1:7" x14ac:dyDescent="0.25">
      <c r="A6532" t="s">
        <v>8</v>
      </c>
      <c r="B6532" s="1" t="str">
        <f>"000245399 - RICHS(06) - NCCNPA"</f>
        <v>000245399 - RICHS(06) - NCCNPA</v>
      </c>
      <c r="C6532" t="s">
        <v>830</v>
      </c>
      <c r="D6532" s="1" t="str">
        <f>"PRG-1029311"</f>
        <v>PRG-1029311</v>
      </c>
      <c r="E6532" t="s">
        <v>193</v>
      </c>
      <c r="F6532" t="s">
        <v>4</v>
      </c>
      <c r="G6532" t="str">
        <f>""</f>
        <v/>
      </c>
    </row>
    <row r="6533" spans="1:7" x14ac:dyDescent="0.25">
      <c r="A6533" t="s">
        <v>8</v>
      </c>
      <c r="B6533" s="1" t="str">
        <f>"3170K279"</f>
        <v>3170K279</v>
      </c>
      <c r="C6533" t="s">
        <v>4745</v>
      </c>
      <c r="D6533" s="1" t="str">
        <f>"PRG-1029313"</f>
        <v>PRG-1029313</v>
      </c>
      <c r="E6533" t="s">
        <v>4746</v>
      </c>
      <c r="F6533" t="s">
        <v>5</v>
      </c>
      <c r="G6533" t="str">
        <f>""</f>
        <v/>
      </c>
    </row>
    <row r="6534" spans="1:7" x14ac:dyDescent="0.25">
      <c r="A6534" t="s">
        <v>8</v>
      </c>
      <c r="B6534" s="1" t="str">
        <f>"2135A710"</f>
        <v>2135A710</v>
      </c>
      <c r="C6534" t="s">
        <v>4143</v>
      </c>
      <c r="D6534" s="1" t="str">
        <f>"PRG-1029316"</f>
        <v>PRG-1029316</v>
      </c>
      <c r="E6534" t="s">
        <v>4144</v>
      </c>
      <c r="F6534" t="s">
        <v>5</v>
      </c>
      <c r="G6534" t="str">
        <f>""</f>
        <v/>
      </c>
    </row>
    <row r="6535" spans="1:7" x14ac:dyDescent="0.25">
      <c r="A6535" t="s">
        <v>8</v>
      </c>
      <c r="B6535" s="1" t="str">
        <f>"2135B255"</f>
        <v>2135B255</v>
      </c>
      <c r="C6535" t="s">
        <v>4146</v>
      </c>
      <c r="D6535" s="1" t="str">
        <f>"PRG-1029316"</f>
        <v>PRG-1029316</v>
      </c>
      <c r="E6535" t="s">
        <v>4144</v>
      </c>
      <c r="F6535" t="s">
        <v>5</v>
      </c>
      <c r="G6535" t="str">
        <f>""</f>
        <v/>
      </c>
    </row>
    <row r="6536" spans="1:7" x14ac:dyDescent="0.25">
      <c r="A6536" t="s">
        <v>8</v>
      </c>
      <c r="B6536" s="1" t="str">
        <f>"000283735 - RICH PRODUCTS  TURLOCK USD"</f>
        <v>000283735 - RICH PRODUCTS  TURLOCK USD</v>
      </c>
      <c r="C6536" t="s">
        <v>2696</v>
      </c>
      <c r="D6536" s="1" t="str">
        <f>"PRG-1029331"</f>
        <v>PRG-1029331</v>
      </c>
      <c r="E6536" t="s">
        <v>2697</v>
      </c>
      <c r="F6536" t="s">
        <v>4</v>
      </c>
      <c r="G6536" t="str">
        <f>""</f>
        <v/>
      </c>
    </row>
    <row r="6537" spans="1:7" x14ac:dyDescent="0.25">
      <c r="A6537" t="s">
        <v>8</v>
      </c>
      <c r="B6537" s="1" t="str">
        <f>"000243869 - RICH'S-COUNTRY ROADS DEL."</f>
        <v>000243869 - RICH'S-COUNTRY ROADS DEL.</v>
      </c>
      <c r="C6537" t="s">
        <v>1964</v>
      </c>
      <c r="D6537" s="1" t="str">
        <f>"PRG-1029338"</f>
        <v>PRG-1029338</v>
      </c>
      <c r="E6537" t="s">
        <v>1965</v>
      </c>
      <c r="F6537" t="s">
        <v>4</v>
      </c>
      <c r="G6537" t="str">
        <f>""</f>
        <v/>
      </c>
    </row>
    <row r="6538" spans="1:7" x14ac:dyDescent="0.25">
      <c r="A6538" t="s">
        <v>8</v>
      </c>
      <c r="B6538" s="1" t="str">
        <f>"000248929 - OWN THE PLA RICH PRODUCTS CORP"</f>
        <v>000248929 - OWN THE PLA RICH PRODUCTS CORP</v>
      </c>
      <c r="C6538" t="s">
        <v>2053</v>
      </c>
      <c r="D6538" s="1" t="str">
        <f>"PRG-1029377"</f>
        <v>PRG-1029377</v>
      </c>
      <c r="E6538" t="s">
        <v>2054</v>
      </c>
      <c r="F6538" t="s">
        <v>4</v>
      </c>
      <c r="G6538" t="str">
        <f>""</f>
        <v/>
      </c>
    </row>
    <row r="6539" spans="1:7" x14ac:dyDescent="0.25">
      <c r="A6539" t="s">
        <v>8</v>
      </c>
      <c r="B6539" s="1" t="str">
        <f>"000195180 - RICH CC SC PURCHASE ALLIANCE"</f>
        <v>000195180 - RICH CC SC PURCHASE ALLIANCE</v>
      </c>
      <c r="C6539" t="s">
        <v>1104</v>
      </c>
      <c r="D6539" s="1" t="str">
        <f>"PRG-1029389"</f>
        <v>PRG-1029389</v>
      </c>
      <c r="E6539" t="s">
        <v>1252</v>
      </c>
      <c r="F6539" t="s">
        <v>4</v>
      </c>
      <c r="G6539" t="str">
        <f>""</f>
        <v/>
      </c>
    </row>
    <row r="6540" spans="1:7" x14ac:dyDescent="0.25">
      <c r="A6540" t="s">
        <v>8</v>
      </c>
      <c r="B6540" s="1" t="str">
        <f>"22603804"</f>
        <v>22603804</v>
      </c>
      <c r="C6540" t="s">
        <v>4396</v>
      </c>
      <c r="D6540" s="1" t="str">
        <f>"PRG-1029389"</f>
        <v>PRG-1029389</v>
      </c>
      <c r="E6540" t="s">
        <v>1252</v>
      </c>
      <c r="F6540" t="s">
        <v>5</v>
      </c>
      <c r="G6540" t="str">
        <f>""</f>
        <v/>
      </c>
    </row>
    <row r="6541" spans="1:7" x14ac:dyDescent="0.25">
      <c r="A6541" t="s">
        <v>8</v>
      </c>
      <c r="B6541" s="1" t="str">
        <f>"S5D00Z70"</f>
        <v>S5D00Z70</v>
      </c>
      <c r="C6541" t="s">
        <v>5793</v>
      </c>
      <c r="D6541" s="1" t="str">
        <f>"PRG-1029389"</f>
        <v>PRG-1029389</v>
      </c>
      <c r="E6541" t="s">
        <v>1252</v>
      </c>
      <c r="F6541" t="s">
        <v>5</v>
      </c>
      <c r="G6541" t="str">
        <f>""</f>
        <v/>
      </c>
    </row>
    <row r="6542" spans="1:7" x14ac:dyDescent="0.25">
      <c r="A6542" t="s">
        <v>8</v>
      </c>
      <c r="B6542" s="1" t="str">
        <f>"000280644 - RICH PRODUCTS  LINDSAY USD"</f>
        <v>000280644 - RICH PRODUCTS  LINDSAY USD</v>
      </c>
      <c r="C6542" t="s">
        <v>2641</v>
      </c>
      <c r="D6542" s="1" t="str">
        <f>"PRG-1029400"</f>
        <v>PRG-1029400</v>
      </c>
      <c r="E6542" t="s">
        <v>2642</v>
      </c>
      <c r="F6542" t="s">
        <v>4</v>
      </c>
      <c r="G6542" t="str">
        <f>""</f>
        <v/>
      </c>
    </row>
    <row r="6543" spans="1:7" x14ac:dyDescent="0.25">
      <c r="A6543" t="s">
        <v>8</v>
      </c>
      <c r="B6543" s="1" t="str">
        <f>"000285539 - RICH PRODUCTS  LIVINGSTON USD"</f>
        <v>000285539 - RICH PRODUCTS  LIVINGSTON USD</v>
      </c>
      <c r="C6543" t="s">
        <v>2721</v>
      </c>
      <c r="D6543" s="1" t="str">
        <f>"PRG-1029401"</f>
        <v>PRG-1029401</v>
      </c>
      <c r="E6543" t="s">
        <v>2722</v>
      </c>
      <c r="F6543" t="s">
        <v>4</v>
      </c>
      <c r="G6543" t="str">
        <f>""</f>
        <v/>
      </c>
    </row>
    <row r="6544" spans="1:7" x14ac:dyDescent="0.25">
      <c r="A6544" t="s">
        <v>8</v>
      </c>
      <c r="B6544" s="1" t="str">
        <f>"000225094 - MONROE CITY SCHL RICH PRODS"</f>
        <v>000225094 - MONROE CITY SCHL RICH PRODS</v>
      </c>
      <c r="C6544" t="s">
        <v>1666</v>
      </c>
      <c r="D6544" s="1" t="str">
        <f>"PRG-1029405"</f>
        <v>PRG-1029405</v>
      </c>
      <c r="E6544" t="s">
        <v>1667</v>
      </c>
      <c r="F6544" t="s">
        <v>4</v>
      </c>
      <c r="G6544" t="str">
        <f>""</f>
        <v/>
      </c>
    </row>
    <row r="6545" spans="1:7" x14ac:dyDescent="0.25">
      <c r="A6545" t="s">
        <v>8</v>
      </c>
      <c r="B6545" s="1" t="str">
        <f>"000233301 - "</f>
        <v xml:space="preserve">000233301 - </v>
      </c>
      <c r="D6545" s="1" t="str">
        <f>"PRG-1029407"</f>
        <v>PRG-1029407</v>
      </c>
      <c r="E6545" t="s">
        <v>1804</v>
      </c>
      <c r="F6545" t="s">
        <v>4</v>
      </c>
      <c r="G6545" t="str">
        <f>""</f>
        <v/>
      </c>
    </row>
    <row r="6546" spans="1:7" x14ac:dyDescent="0.25">
      <c r="A6546" t="s">
        <v>8</v>
      </c>
      <c r="B6546" s="1" t="str">
        <f>"000262495 - RICH VALAS PUMPKIN PATCH"</f>
        <v>000262495 - RICH VALAS PUMPKIN PATCH</v>
      </c>
      <c r="C6546" t="s">
        <v>2317</v>
      </c>
      <c r="D6546" s="1" t="str">
        <f>"PRG-1029418"</f>
        <v>PRG-1029418</v>
      </c>
      <c r="E6546" t="s">
        <v>2318</v>
      </c>
      <c r="F6546" t="s">
        <v>4</v>
      </c>
      <c r="G6546" t="str">
        <f>""</f>
        <v/>
      </c>
    </row>
    <row r="6547" spans="1:7" x14ac:dyDescent="0.25">
      <c r="A6547" t="s">
        <v>8</v>
      </c>
      <c r="B6547" s="1" t="str">
        <f>"000287007 - "</f>
        <v xml:space="preserve">000287007 - </v>
      </c>
      <c r="D6547" s="1" t="str">
        <f>"PRG-1029418"</f>
        <v>PRG-1029418</v>
      </c>
      <c r="E6547" t="s">
        <v>2318</v>
      </c>
      <c r="F6547" t="s">
        <v>4</v>
      </c>
      <c r="G6547" t="str">
        <f>""</f>
        <v/>
      </c>
    </row>
    <row r="6548" spans="1:7" x14ac:dyDescent="0.25">
      <c r="A6548" t="s">
        <v>8</v>
      </c>
      <c r="B6548" s="1" t="str">
        <f>"000271178 - RICH PRODUCTS DEL NORTE USD"</f>
        <v>000271178 - RICH PRODUCTS DEL NORTE USD</v>
      </c>
      <c r="C6548" t="s">
        <v>2483</v>
      </c>
      <c r="D6548" s="1" t="str">
        <f>"PRG-1029421"</f>
        <v>PRG-1029421</v>
      </c>
      <c r="E6548" t="s">
        <v>2484</v>
      </c>
      <c r="F6548" t="s">
        <v>4</v>
      </c>
      <c r="G6548" t="str">
        <f>""</f>
        <v/>
      </c>
    </row>
    <row r="6549" spans="1:7" x14ac:dyDescent="0.25">
      <c r="A6549" t="s">
        <v>8</v>
      </c>
      <c r="B6549" s="1" t="str">
        <f>"000154093 - "</f>
        <v xml:space="preserve">000154093 - </v>
      </c>
      <c r="D6549" s="1" t="str">
        <f>"PRG-1029441"</f>
        <v>PRG-1029441</v>
      </c>
      <c r="E6549" t="s">
        <v>1023</v>
      </c>
      <c r="F6549" t="s">
        <v>4</v>
      </c>
      <c r="G6549" t="str">
        <f>""</f>
        <v/>
      </c>
    </row>
    <row r="6550" spans="1:7" x14ac:dyDescent="0.25">
      <c r="A6550" t="s">
        <v>8</v>
      </c>
      <c r="B6550" s="1" t="str">
        <f>"000245700 - MILL MTN COFFEE RICHS SCONES"</f>
        <v>000245700 - MILL MTN COFFEE RICHS SCONES</v>
      </c>
      <c r="C6550" t="s">
        <v>2006</v>
      </c>
      <c r="D6550" s="1" t="str">
        <f>"PRG-1029451"</f>
        <v>PRG-1029451</v>
      </c>
      <c r="E6550" t="s">
        <v>2007</v>
      </c>
      <c r="F6550" t="s">
        <v>4</v>
      </c>
      <c r="G6550" t="str">
        <f>""</f>
        <v/>
      </c>
    </row>
    <row r="6551" spans="1:7" x14ac:dyDescent="0.25">
      <c r="A6551" t="s">
        <v>8</v>
      </c>
      <c r="B6551" s="1" t="str">
        <f>"000244339 - RICH'S-FREDERICK DEL."</f>
        <v>000244339 - RICH'S-FREDERICK DEL.</v>
      </c>
      <c r="C6551" t="s">
        <v>1970</v>
      </c>
      <c r="D6551" s="1" t="str">
        <f>"PRG-1029457"</f>
        <v>PRG-1029457</v>
      </c>
      <c r="E6551" t="s">
        <v>1971</v>
      </c>
      <c r="F6551" t="s">
        <v>4</v>
      </c>
      <c r="G6551" t="str">
        <f>""</f>
        <v/>
      </c>
    </row>
    <row r="6552" spans="1:7" x14ac:dyDescent="0.25">
      <c r="A6552" t="s">
        <v>8</v>
      </c>
      <c r="B6552" s="1" t="str">
        <f>"000249580 - RICH'S-FREDERICK DEL."</f>
        <v>000249580 - RICH'S-FREDERICK DEL.</v>
      </c>
      <c r="C6552" t="s">
        <v>1970</v>
      </c>
      <c r="D6552" s="1" t="str">
        <f>"PRG-1029457"</f>
        <v>PRG-1029457</v>
      </c>
      <c r="E6552" t="s">
        <v>1971</v>
      </c>
      <c r="F6552" t="s">
        <v>4</v>
      </c>
      <c r="G6552" t="str">
        <f>""</f>
        <v/>
      </c>
    </row>
    <row r="6553" spans="1:7" x14ac:dyDescent="0.25">
      <c r="A6553" t="s">
        <v>8</v>
      </c>
      <c r="B6553" s="1" t="str">
        <f>"000269058 - RICH'S SAC CITY USD"</f>
        <v>000269058 - RICH'S SAC CITY USD</v>
      </c>
      <c r="C6553" t="s">
        <v>2448</v>
      </c>
      <c r="D6553" s="1" t="str">
        <f>"PRG-1029477"</f>
        <v>PRG-1029477</v>
      </c>
      <c r="E6553" t="s">
        <v>2449</v>
      </c>
      <c r="F6553" t="s">
        <v>4</v>
      </c>
      <c r="G6553" t="str">
        <f>""</f>
        <v/>
      </c>
    </row>
    <row r="6554" spans="1:7" x14ac:dyDescent="0.25">
      <c r="A6554" t="s">
        <v>8</v>
      </c>
      <c r="B6554" s="1" t="str">
        <f>"000137877 - "</f>
        <v xml:space="preserve">000137877 - </v>
      </c>
      <c r="D6554" s="1" t="str">
        <f>"PRG-1029497"</f>
        <v>PRG-1029497</v>
      </c>
      <c r="E6554" t="s">
        <v>969</v>
      </c>
      <c r="F6554" t="s">
        <v>4</v>
      </c>
      <c r="G6554" t="str">
        <f>""</f>
        <v/>
      </c>
    </row>
    <row r="6555" spans="1:7" x14ac:dyDescent="0.25">
      <c r="A6555" t="s">
        <v>8</v>
      </c>
      <c r="B6555" s="1" t="str">
        <f>"000291676 - RICH PRODUCTS OCNC"</f>
        <v>000291676 - RICH PRODUCTS OCNC</v>
      </c>
      <c r="C6555" t="s">
        <v>2849</v>
      </c>
      <c r="D6555" s="1" t="str">
        <f>"PRG-1029497"</f>
        <v>PRG-1029497</v>
      </c>
      <c r="E6555" t="s">
        <v>969</v>
      </c>
      <c r="F6555" t="s">
        <v>4</v>
      </c>
      <c r="G6555" t="str">
        <f>""</f>
        <v/>
      </c>
    </row>
    <row r="6556" spans="1:7" x14ac:dyDescent="0.25">
      <c r="A6556" t="s">
        <v>8</v>
      </c>
      <c r="B6556" s="1" t="str">
        <f>"000191905 - RICH FOODS-SPAGWHSE"</f>
        <v>000191905 - RICH FOODS-SPAGWHSE</v>
      </c>
      <c r="C6556" t="s">
        <v>1218</v>
      </c>
      <c r="D6556" s="1" t="str">
        <f t="shared" ref="D6556:D6563" si="184">"PRG-1029513"</f>
        <v>PRG-1029513</v>
      </c>
      <c r="E6556" t="s">
        <v>1219</v>
      </c>
      <c r="F6556" t="s">
        <v>4</v>
      </c>
      <c r="G6556" t="str">
        <f>""</f>
        <v/>
      </c>
    </row>
    <row r="6557" spans="1:7" x14ac:dyDescent="0.25">
      <c r="A6557" t="s">
        <v>8</v>
      </c>
      <c r="B6557" s="1" t="str">
        <f>"000209490 - RICH FOODS-SPAGHETTI WAREHOUSE"</f>
        <v>000209490 - RICH FOODS-SPAGHETTI WAREHOUSE</v>
      </c>
      <c r="C6557" t="s">
        <v>1423</v>
      </c>
      <c r="D6557" s="1" t="str">
        <f t="shared" si="184"/>
        <v>PRG-1029513</v>
      </c>
      <c r="E6557" t="s">
        <v>1219</v>
      </c>
      <c r="F6557" t="s">
        <v>4</v>
      </c>
      <c r="G6557" t="str">
        <f>""</f>
        <v/>
      </c>
    </row>
    <row r="6558" spans="1:7" x14ac:dyDescent="0.25">
      <c r="A6558" t="s">
        <v>8</v>
      </c>
      <c r="B6558" s="1" t="str">
        <f>"000218533 - RICH FOODS-SPAGWHSE"</f>
        <v>000218533 - RICH FOODS-SPAGWHSE</v>
      </c>
      <c r="C6558" t="s">
        <v>1218</v>
      </c>
      <c r="D6558" s="1" t="str">
        <f t="shared" si="184"/>
        <v>PRG-1029513</v>
      </c>
      <c r="E6558" t="s">
        <v>1219</v>
      </c>
      <c r="F6558" t="s">
        <v>4</v>
      </c>
      <c r="G6558" t="str">
        <f>""</f>
        <v/>
      </c>
    </row>
    <row r="6559" spans="1:7" x14ac:dyDescent="0.25">
      <c r="A6559" t="s">
        <v>8</v>
      </c>
      <c r="B6559" s="1" t="str">
        <f>"000237396 - RICH FOODS-SPAGHETTI WAREHOUSE"</f>
        <v>000237396 - RICH FOODS-SPAGHETTI WAREHOUSE</v>
      </c>
      <c r="C6559" t="s">
        <v>1423</v>
      </c>
      <c r="D6559" s="1" t="str">
        <f t="shared" si="184"/>
        <v>PRG-1029513</v>
      </c>
      <c r="E6559" t="s">
        <v>1219</v>
      </c>
      <c r="F6559" t="s">
        <v>4</v>
      </c>
      <c r="G6559" t="str">
        <f>""</f>
        <v/>
      </c>
    </row>
    <row r="6560" spans="1:7" x14ac:dyDescent="0.25">
      <c r="A6560" t="s">
        <v>8</v>
      </c>
      <c r="B6560" s="1" t="str">
        <f>"000249897 - RICH FOODS-SPAGWHSE"</f>
        <v>000249897 - RICH FOODS-SPAGWHSE</v>
      </c>
      <c r="C6560" t="s">
        <v>1218</v>
      </c>
      <c r="D6560" s="1" t="str">
        <f t="shared" si="184"/>
        <v>PRG-1029513</v>
      </c>
      <c r="E6560" t="s">
        <v>1219</v>
      </c>
      <c r="F6560" t="s">
        <v>4</v>
      </c>
      <c r="G6560" t="str">
        <f>""</f>
        <v/>
      </c>
    </row>
    <row r="6561" spans="1:7" x14ac:dyDescent="0.25">
      <c r="A6561" t="s">
        <v>8</v>
      </c>
      <c r="B6561" s="1" t="str">
        <f>"000270744 - RICH FOODS-SPAGHETTI WAREHOUSE"</f>
        <v>000270744 - RICH FOODS-SPAGHETTI WAREHOUSE</v>
      </c>
      <c r="C6561" t="s">
        <v>1423</v>
      </c>
      <c r="D6561" s="1" t="str">
        <f t="shared" si="184"/>
        <v>PRG-1029513</v>
      </c>
      <c r="E6561" t="s">
        <v>1219</v>
      </c>
      <c r="F6561" t="s">
        <v>4</v>
      </c>
      <c r="G6561" t="str">
        <f>""</f>
        <v/>
      </c>
    </row>
    <row r="6562" spans="1:7" x14ac:dyDescent="0.25">
      <c r="A6562" t="s">
        <v>8</v>
      </c>
      <c r="B6562" s="1" t="str">
        <f>"000285695 - RICH FOODS-SPAGWHSE"</f>
        <v>000285695 - RICH FOODS-SPAGWHSE</v>
      </c>
      <c r="C6562" t="s">
        <v>1218</v>
      </c>
      <c r="D6562" s="1" t="str">
        <f t="shared" si="184"/>
        <v>PRG-1029513</v>
      </c>
      <c r="E6562" t="s">
        <v>1219</v>
      </c>
      <c r="F6562" t="s">
        <v>4</v>
      </c>
      <c r="G6562" t="str">
        <f>""</f>
        <v/>
      </c>
    </row>
    <row r="6563" spans="1:7" x14ac:dyDescent="0.25">
      <c r="A6563" t="s">
        <v>8</v>
      </c>
      <c r="B6563" s="1" t="str">
        <f>"000312114 - RICH FOODS-SPAGHETTI WAREHOUSE"</f>
        <v>000312114 - RICH FOODS-SPAGHETTI WAREHOUSE</v>
      </c>
      <c r="C6563" t="s">
        <v>1423</v>
      </c>
      <c r="D6563" s="1" t="str">
        <f t="shared" si="184"/>
        <v>PRG-1029513</v>
      </c>
      <c r="E6563" t="s">
        <v>1219</v>
      </c>
      <c r="F6563" t="s">
        <v>4</v>
      </c>
      <c r="G6563" t="str">
        <f>""</f>
        <v/>
      </c>
    </row>
    <row r="6564" spans="1:7" x14ac:dyDescent="0.25">
      <c r="A6564" t="s">
        <v>8</v>
      </c>
      <c r="B6564" s="1" t="str">
        <f>"000316955 - RICH PRODUCTS GWINNETT CO."</f>
        <v>000316955 - RICH PRODUCTS GWINNETT CO.</v>
      </c>
      <c r="C6564" t="s">
        <v>3197</v>
      </c>
      <c r="D6564" s="1" t="str">
        <f>"PRG-1029517"</f>
        <v>PRG-1029517</v>
      </c>
      <c r="E6564" t="s">
        <v>3198</v>
      </c>
      <c r="F6564" t="s">
        <v>4</v>
      </c>
      <c r="G6564" t="str">
        <f>""</f>
        <v/>
      </c>
    </row>
    <row r="6565" spans="1:7" x14ac:dyDescent="0.25">
      <c r="A6565" t="s">
        <v>8</v>
      </c>
      <c r="B6565" s="1" t="str">
        <f>"000193046 - RICH CC GREENVILLE CNTY SCHLS"</f>
        <v>000193046 - RICH CC GREENVILLE CNTY SCHLS</v>
      </c>
      <c r="C6565" t="s">
        <v>1228</v>
      </c>
      <c r="D6565" s="1" t="str">
        <f>"PRG-1029526"</f>
        <v>PRG-1029526</v>
      </c>
      <c r="E6565" t="s">
        <v>1229</v>
      </c>
      <c r="F6565" t="s">
        <v>4</v>
      </c>
      <c r="G6565" t="str">
        <f>""</f>
        <v/>
      </c>
    </row>
    <row r="6566" spans="1:7" x14ac:dyDescent="0.25">
      <c r="A6566" t="s">
        <v>8</v>
      </c>
      <c r="B6566" s="1" t="str">
        <f>"000213406 - RICHS PIZZA DOUGH&amp;ICING-SODEXO"</f>
        <v>000213406 - RICHS PIZZA DOUGH&amp;ICING-SODEXO</v>
      </c>
      <c r="C6566" t="s">
        <v>288</v>
      </c>
      <c r="D6566" s="1" t="str">
        <f>"PRG-1029556"</f>
        <v>PRG-1029556</v>
      </c>
      <c r="E6566" t="s">
        <v>1478</v>
      </c>
      <c r="F6566" t="s">
        <v>4</v>
      </c>
      <c r="G6566" t="str">
        <f>""</f>
        <v/>
      </c>
    </row>
    <row r="6567" spans="1:7" x14ac:dyDescent="0.25">
      <c r="A6567" t="s">
        <v>8</v>
      </c>
      <c r="B6567" s="1" t="str">
        <f>"000283599 - RICH PRODUCTS  EMPIRE USD"</f>
        <v>000283599 - RICH PRODUCTS  EMPIRE USD</v>
      </c>
      <c r="C6567" t="s">
        <v>2330</v>
      </c>
      <c r="D6567" s="1" t="str">
        <f>"PRG-1029581"</f>
        <v>PRG-1029581</v>
      </c>
      <c r="E6567" t="s">
        <v>2691</v>
      </c>
      <c r="F6567" t="s">
        <v>4</v>
      </c>
      <c r="G6567" t="str">
        <f>""</f>
        <v/>
      </c>
    </row>
    <row r="6568" spans="1:7" x14ac:dyDescent="0.25">
      <c r="A6568" t="s">
        <v>8</v>
      </c>
      <c r="B6568" s="1" t="str">
        <f>"000241597 - SCHL RICH PROD-UPC"</f>
        <v>000241597 - SCHL RICH PROD-UPC</v>
      </c>
      <c r="C6568" t="s">
        <v>1926</v>
      </c>
      <c r="D6568" s="1" t="str">
        <f>"PRG-1029591"</f>
        <v>PRG-1029591</v>
      </c>
      <c r="E6568" t="s">
        <v>1927</v>
      </c>
      <c r="F6568" t="s">
        <v>4</v>
      </c>
      <c r="G6568" t="str">
        <f>""</f>
        <v/>
      </c>
    </row>
    <row r="6569" spans="1:7" x14ac:dyDescent="0.25">
      <c r="A6569" t="s">
        <v>8</v>
      </c>
      <c r="B6569" s="1" t="str">
        <f>"2000281338 - RICHS-TVC CO-OP"</f>
        <v>2000281338 - RICHS-TVC CO-OP</v>
      </c>
      <c r="C6569" t="s">
        <v>4014</v>
      </c>
      <c r="D6569" s="1" t="str">
        <f>"PRG-1029659"</f>
        <v>PRG-1029659</v>
      </c>
      <c r="E6569" t="s">
        <v>4015</v>
      </c>
      <c r="F6569" t="s">
        <v>4</v>
      </c>
      <c r="G6569" t="str">
        <f>""</f>
        <v/>
      </c>
    </row>
    <row r="6570" spans="1:7" x14ac:dyDescent="0.25">
      <c r="A6570" t="s">
        <v>8</v>
      </c>
      <c r="B6570" s="1" t="str">
        <f>"000353107 - RICH FOODS KINGS HAWAIIAN"</f>
        <v>000353107 - RICH FOODS KINGS HAWAIIAN</v>
      </c>
      <c r="C6570" t="s">
        <v>3528</v>
      </c>
      <c r="D6570" s="1" t="str">
        <f>"PRG-1029669"</f>
        <v>PRG-1029669</v>
      </c>
      <c r="E6570" t="s">
        <v>3529</v>
      </c>
      <c r="F6570" t="s">
        <v>4</v>
      </c>
      <c r="G6570" t="str">
        <f>""</f>
        <v/>
      </c>
    </row>
    <row r="6571" spans="1:7" x14ac:dyDescent="0.25">
      <c r="A6571" t="s">
        <v>8</v>
      </c>
      <c r="B6571" s="1" t="str">
        <f>"000365470 - XRICH FOODS KINGS HAWAIIAN"</f>
        <v>000365470 - XRICH FOODS KINGS HAWAIIAN</v>
      </c>
      <c r="C6571" t="s">
        <v>3608</v>
      </c>
      <c r="D6571" s="1" t="str">
        <f>"PRG-1029669"</f>
        <v>PRG-1029669</v>
      </c>
      <c r="E6571" t="s">
        <v>3529</v>
      </c>
      <c r="F6571" t="s">
        <v>4</v>
      </c>
      <c r="G6571" t="str">
        <f>""</f>
        <v/>
      </c>
    </row>
    <row r="6572" spans="1:7" x14ac:dyDescent="0.25">
      <c r="A6572" t="s">
        <v>8</v>
      </c>
      <c r="B6572" s="1" t="str">
        <f>"000365481 - RICH FOODS KINGS HAWAIIAN"</f>
        <v>000365481 - RICH FOODS KINGS HAWAIIAN</v>
      </c>
      <c r="C6572" t="s">
        <v>3528</v>
      </c>
      <c r="D6572" s="1" t="str">
        <f>"PRG-1029669"</f>
        <v>PRG-1029669</v>
      </c>
      <c r="E6572" t="s">
        <v>3529</v>
      </c>
      <c r="F6572" t="s">
        <v>4</v>
      </c>
      <c r="G6572" t="str">
        <f>""</f>
        <v/>
      </c>
    </row>
    <row r="6573" spans="1:7" x14ac:dyDescent="0.25">
      <c r="A6573" t="s">
        <v>8</v>
      </c>
      <c r="B6573" s="1" t="str">
        <f>"000386565 - RICH FOODS KINGS HAWAIIAN"</f>
        <v>000386565 - RICH FOODS KINGS HAWAIIAN</v>
      </c>
      <c r="C6573" t="s">
        <v>3528</v>
      </c>
      <c r="D6573" s="1" t="str">
        <f>"PRG-1029669"</f>
        <v>PRG-1029669</v>
      </c>
      <c r="E6573" t="s">
        <v>3529</v>
      </c>
      <c r="F6573" t="s">
        <v>4</v>
      </c>
      <c r="G6573" t="str">
        <f>""</f>
        <v/>
      </c>
    </row>
    <row r="6574" spans="1:7" x14ac:dyDescent="0.25">
      <c r="A6574" t="s">
        <v>8</v>
      </c>
      <c r="B6574" s="1" t="str">
        <f>"2000305271 - RICH'S-SNAPPY MART"</f>
        <v>2000305271 - RICH'S-SNAPPY MART</v>
      </c>
      <c r="C6574" t="s">
        <v>74</v>
      </c>
      <c r="D6574" s="1" t="str">
        <f>"PRG-1029690"</f>
        <v>PRG-1029690</v>
      </c>
      <c r="E6574" t="s">
        <v>75</v>
      </c>
      <c r="F6574" t="s">
        <v>4</v>
      </c>
      <c r="G6574" t="str">
        <f>""</f>
        <v/>
      </c>
    </row>
    <row r="6575" spans="1:7" x14ac:dyDescent="0.25">
      <c r="A6575" t="s">
        <v>8</v>
      </c>
      <c r="B6575" s="1" t="str">
        <f>"000269214 - YUBA CITY USD RICH CC"</f>
        <v>000269214 - YUBA CITY USD RICH CC</v>
      </c>
      <c r="C6575" t="s">
        <v>1994</v>
      </c>
      <c r="D6575" s="1" t="str">
        <f>"PRG-1029704"</f>
        <v>PRG-1029704</v>
      </c>
      <c r="E6575" t="s">
        <v>2451</v>
      </c>
      <c r="F6575" t="s">
        <v>4</v>
      </c>
      <c r="G6575" t="str">
        <f>""</f>
        <v/>
      </c>
    </row>
    <row r="6576" spans="1:7" x14ac:dyDescent="0.25">
      <c r="A6576" t="s">
        <v>8</v>
      </c>
      <c r="B6576" s="1" t="str">
        <f>"S2C007M0"</f>
        <v>S2C007M0</v>
      </c>
      <c r="C6576" t="s">
        <v>5473</v>
      </c>
      <c r="D6576" s="1" t="str">
        <f>"PRG-1029728"</f>
        <v>PRG-1029728</v>
      </c>
      <c r="E6576" t="s">
        <v>5474</v>
      </c>
      <c r="F6576" t="s">
        <v>5</v>
      </c>
      <c r="G6576" t="str">
        <f>""</f>
        <v/>
      </c>
    </row>
    <row r="6577" spans="1:7" x14ac:dyDescent="0.25">
      <c r="A6577" t="s">
        <v>8</v>
      </c>
      <c r="B6577" s="1" t="str">
        <f>"S5D01EK0"</f>
        <v>S5D01EK0</v>
      </c>
      <c r="C6577" t="s">
        <v>5794</v>
      </c>
      <c r="D6577" s="1" t="str">
        <f>"PRG-1029731"</f>
        <v>PRG-1029731</v>
      </c>
      <c r="E6577" t="s">
        <v>5795</v>
      </c>
      <c r="F6577" t="s">
        <v>5</v>
      </c>
      <c r="G6577" t="str">
        <f>""</f>
        <v/>
      </c>
    </row>
    <row r="6578" spans="1:7" x14ac:dyDescent="0.25">
      <c r="A6578" t="s">
        <v>8</v>
      </c>
      <c r="B6578" s="1" t="str">
        <f>"000302005 - RICH'S   BUC-EE'S"</f>
        <v>000302005 - RICH'S   BUC-EE'S</v>
      </c>
      <c r="C6578" t="s">
        <v>2068</v>
      </c>
      <c r="D6578" s="1" t="str">
        <f>"PRG-1029779"</f>
        <v>PRG-1029779</v>
      </c>
      <c r="E6578" t="s">
        <v>2069</v>
      </c>
      <c r="F6578" t="s">
        <v>4</v>
      </c>
      <c r="G6578" t="str">
        <f>""</f>
        <v/>
      </c>
    </row>
    <row r="6579" spans="1:7" x14ac:dyDescent="0.25">
      <c r="A6579" t="s">
        <v>8</v>
      </c>
      <c r="B6579" s="1" t="str">
        <f>"000180353 - "</f>
        <v xml:space="preserve">000180353 - </v>
      </c>
      <c r="D6579" s="1" t="str">
        <f t="shared" ref="D6579:D6616" si="185">"PRG-1029802"</f>
        <v>PRG-1029802</v>
      </c>
      <c r="E6579" t="s">
        <v>1141</v>
      </c>
      <c r="F6579" t="s">
        <v>4</v>
      </c>
      <c r="G6579" t="str">
        <f>""</f>
        <v/>
      </c>
    </row>
    <row r="6580" spans="1:7" x14ac:dyDescent="0.25">
      <c r="A6580" t="s">
        <v>8</v>
      </c>
      <c r="B6580" s="1" t="str">
        <f>"000200153 - RICHS FLOUR B198R"</f>
        <v>000200153 - RICHS FLOUR B198R</v>
      </c>
      <c r="C6580" t="s">
        <v>1161</v>
      </c>
      <c r="D6580" s="1" t="str">
        <f t="shared" si="185"/>
        <v>PRG-1029802</v>
      </c>
      <c r="E6580" t="s">
        <v>1141</v>
      </c>
      <c r="F6580" t="s">
        <v>4</v>
      </c>
      <c r="G6580" t="str">
        <f>""</f>
        <v/>
      </c>
    </row>
    <row r="6581" spans="1:7" x14ac:dyDescent="0.25">
      <c r="A6581" t="s">
        <v>8</v>
      </c>
      <c r="B6581" s="1" t="str">
        <f>"000209168 - USDA 100912 RICH PRODUCTS - IL"</f>
        <v>000209168 - USDA 100912 RICH PRODUCTS - IL</v>
      </c>
      <c r="C6581" t="s">
        <v>1213</v>
      </c>
      <c r="D6581" s="1" t="str">
        <f t="shared" si="185"/>
        <v>PRG-1029802</v>
      </c>
      <c r="E6581" t="s">
        <v>1141</v>
      </c>
      <c r="F6581" t="s">
        <v>4</v>
      </c>
      <c r="G6581" t="str">
        <f>""</f>
        <v/>
      </c>
    </row>
    <row r="6582" spans="1:7" x14ac:dyDescent="0.25">
      <c r="A6582" t="s">
        <v>8</v>
      </c>
      <c r="B6582" s="1" t="str">
        <f>"000214584 - RICH'S FLOUR B198R"</f>
        <v>000214584 - RICH'S FLOUR B198R</v>
      </c>
      <c r="C6582" t="s">
        <v>1507</v>
      </c>
      <c r="D6582" s="1" t="str">
        <f t="shared" si="185"/>
        <v>PRG-1029802</v>
      </c>
      <c r="E6582" t="s">
        <v>1141</v>
      </c>
      <c r="F6582" t="s">
        <v>4</v>
      </c>
      <c r="G6582" t="str">
        <f>""</f>
        <v/>
      </c>
    </row>
    <row r="6583" spans="1:7" x14ac:dyDescent="0.25">
      <c r="A6583" t="s">
        <v>8</v>
      </c>
      <c r="B6583" s="1" t="str">
        <f>"000225044 - RICH PRODUCTS B198"</f>
        <v>000225044 - RICH PRODUCTS B198</v>
      </c>
      <c r="C6583" t="s">
        <v>1582</v>
      </c>
      <c r="D6583" s="1" t="str">
        <f t="shared" si="185"/>
        <v>PRG-1029802</v>
      </c>
      <c r="E6583" t="s">
        <v>1141</v>
      </c>
      <c r="F6583" t="s">
        <v>4</v>
      </c>
      <c r="G6583" t="str">
        <f>""</f>
        <v/>
      </c>
    </row>
    <row r="6584" spans="1:7" x14ac:dyDescent="0.25">
      <c r="A6584" t="s">
        <v>8</v>
      </c>
      <c r="B6584" s="1" t="str">
        <f>"000225045 - RICH PRODUCTS B198"</f>
        <v>000225045 - RICH PRODUCTS B198</v>
      </c>
      <c r="C6584" t="s">
        <v>1582</v>
      </c>
      <c r="D6584" s="1" t="str">
        <f t="shared" si="185"/>
        <v>PRG-1029802</v>
      </c>
      <c r="E6584" t="s">
        <v>1141</v>
      </c>
      <c r="F6584" t="s">
        <v>4</v>
      </c>
      <c r="G6584" t="str">
        <f>""</f>
        <v/>
      </c>
    </row>
    <row r="6585" spans="1:7" x14ac:dyDescent="0.25">
      <c r="A6585" t="s">
        <v>8</v>
      </c>
      <c r="B6585" s="1" t="str">
        <f>"000241326 - RCH-110244-NOI"</f>
        <v>000241326 - RCH-110244-NOI</v>
      </c>
      <c r="C6585" t="s">
        <v>1919</v>
      </c>
      <c r="D6585" s="1" t="str">
        <f t="shared" si="185"/>
        <v>PRG-1029802</v>
      </c>
      <c r="E6585" t="s">
        <v>1141</v>
      </c>
      <c r="F6585" t="s">
        <v>4</v>
      </c>
      <c r="G6585" t="str">
        <f>""</f>
        <v/>
      </c>
    </row>
    <row r="6586" spans="1:7" x14ac:dyDescent="0.25">
      <c r="A6586" t="s">
        <v>8</v>
      </c>
      <c r="B6586" s="1" t="str">
        <f>"000246016 - USDA RICHS ROCKINGHAM"</f>
        <v>000246016 - USDA RICHS ROCKINGHAM</v>
      </c>
      <c r="C6586" t="s">
        <v>2015</v>
      </c>
      <c r="D6586" s="1" t="str">
        <f t="shared" si="185"/>
        <v>PRG-1029802</v>
      </c>
      <c r="E6586" t="s">
        <v>1141</v>
      </c>
      <c r="F6586" t="s">
        <v>4</v>
      </c>
      <c r="G6586" t="str">
        <f>""</f>
        <v/>
      </c>
    </row>
    <row r="6587" spans="1:7" x14ac:dyDescent="0.25">
      <c r="A6587" t="s">
        <v>8</v>
      </c>
      <c r="B6587" s="1" t="str">
        <f>"000250674 - RICH NOI QUEEN ANNE 100912"</f>
        <v>000250674 - RICH NOI QUEEN ANNE 100912</v>
      </c>
      <c r="C6587" t="s">
        <v>2097</v>
      </c>
      <c r="D6587" s="1" t="str">
        <f t="shared" si="185"/>
        <v>PRG-1029802</v>
      </c>
      <c r="E6587" t="s">
        <v>1141</v>
      </c>
      <c r="F6587" t="s">
        <v>4</v>
      </c>
      <c r="G6587" t="str">
        <f>""</f>
        <v/>
      </c>
    </row>
    <row r="6588" spans="1:7" x14ac:dyDescent="0.25">
      <c r="A6588" t="s">
        <v>8</v>
      </c>
      <c r="B6588" s="1" t="str">
        <f>"000250675 - RICH NOI WORCESTER 110244"</f>
        <v>000250675 - RICH NOI WORCESTER 110244</v>
      </c>
      <c r="C6588" t="s">
        <v>2098</v>
      </c>
      <c r="D6588" s="1" t="str">
        <f t="shared" si="185"/>
        <v>PRG-1029802</v>
      </c>
      <c r="E6588" t="s">
        <v>1141</v>
      </c>
      <c r="F6588" t="s">
        <v>4</v>
      </c>
      <c r="G6588" t="str">
        <f>""</f>
        <v/>
      </c>
    </row>
    <row r="6589" spans="1:7" x14ac:dyDescent="0.25">
      <c r="A6589" t="s">
        <v>8</v>
      </c>
      <c r="B6589" s="1" t="str">
        <f>"000250676 - RICH NOI SOMERSET 100912"</f>
        <v>000250676 - RICH NOI SOMERSET 100912</v>
      </c>
      <c r="C6589" t="s">
        <v>2099</v>
      </c>
      <c r="D6589" s="1" t="str">
        <f t="shared" si="185"/>
        <v>PRG-1029802</v>
      </c>
      <c r="E6589" t="s">
        <v>1141</v>
      </c>
      <c r="F6589" t="s">
        <v>4</v>
      </c>
      <c r="G6589" t="str">
        <f>""</f>
        <v/>
      </c>
    </row>
    <row r="6590" spans="1:7" x14ac:dyDescent="0.25">
      <c r="A6590" t="s">
        <v>8</v>
      </c>
      <c r="B6590" s="1" t="str">
        <f>"000250677 - RICH NOI CAROLINE 110244"</f>
        <v>000250677 - RICH NOI CAROLINE 110244</v>
      </c>
      <c r="C6590" t="s">
        <v>2100</v>
      </c>
      <c r="D6590" s="1" t="str">
        <f t="shared" si="185"/>
        <v>PRG-1029802</v>
      </c>
      <c r="E6590" t="s">
        <v>1141</v>
      </c>
      <c r="F6590" t="s">
        <v>4</v>
      </c>
      <c r="G6590" t="str">
        <f>""</f>
        <v/>
      </c>
    </row>
    <row r="6591" spans="1:7" x14ac:dyDescent="0.25">
      <c r="A6591" t="s">
        <v>8</v>
      </c>
      <c r="B6591" s="1" t="str">
        <f>"000250678 - RICH NOI CAROLINE 100912"</f>
        <v>000250678 - RICH NOI CAROLINE 100912</v>
      </c>
      <c r="C6591" t="s">
        <v>2101</v>
      </c>
      <c r="D6591" s="1" t="str">
        <f t="shared" si="185"/>
        <v>PRG-1029802</v>
      </c>
      <c r="E6591" t="s">
        <v>1141</v>
      </c>
      <c r="F6591" t="s">
        <v>4</v>
      </c>
      <c r="G6591" t="str">
        <f>""</f>
        <v/>
      </c>
    </row>
    <row r="6592" spans="1:7" x14ac:dyDescent="0.25">
      <c r="A6592" t="s">
        <v>8</v>
      </c>
      <c r="B6592" s="1" t="str">
        <f>"000251914 - USDA RICH'S B198 100912 ALL"</f>
        <v>000251914 - USDA RICH'S B198 100912 ALL</v>
      </c>
      <c r="C6592" t="s">
        <v>2122</v>
      </c>
      <c r="D6592" s="1" t="str">
        <f t="shared" si="185"/>
        <v>PRG-1029802</v>
      </c>
      <c r="E6592" t="s">
        <v>1141</v>
      </c>
      <c r="F6592" t="s">
        <v>4</v>
      </c>
      <c r="G6592" t="str">
        <f>""</f>
        <v/>
      </c>
    </row>
    <row r="6593" spans="1:7" x14ac:dyDescent="0.25">
      <c r="A6593" t="s">
        <v>8</v>
      </c>
      <c r="B6593" s="1" t="str">
        <f>"000252124 - USDA RICH'S B198 100912 ALL"</f>
        <v>000252124 - USDA RICH'S B198 100912 ALL</v>
      </c>
      <c r="C6593" t="s">
        <v>2122</v>
      </c>
      <c r="D6593" s="1" t="str">
        <f t="shared" si="185"/>
        <v>PRG-1029802</v>
      </c>
      <c r="E6593" t="s">
        <v>1141</v>
      </c>
      <c r="F6593" t="s">
        <v>4</v>
      </c>
      <c r="G6593" t="str">
        <f>""</f>
        <v/>
      </c>
    </row>
    <row r="6594" spans="1:7" x14ac:dyDescent="0.25">
      <c r="A6594" t="s">
        <v>8</v>
      </c>
      <c r="B6594" s="1" t="str">
        <f>"000252125 - USDA RICH'S B077 ALL"</f>
        <v>000252125 - USDA RICH'S B077 ALL</v>
      </c>
      <c r="C6594" t="s">
        <v>2126</v>
      </c>
      <c r="D6594" s="1" t="str">
        <f t="shared" si="185"/>
        <v>PRG-1029802</v>
      </c>
      <c r="E6594" t="s">
        <v>1141</v>
      </c>
      <c r="F6594" t="s">
        <v>4</v>
      </c>
      <c r="G6594" t="str">
        <f>""</f>
        <v/>
      </c>
    </row>
    <row r="6595" spans="1:7" x14ac:dyDescent="0.25">
      <c r="A6595" t="s">
        <v>8</v>
      </c>
      <c r="B6595" s="1" t="str">
        <f>"000252576 - USDA RICH'S B198 100912 ALL"</f>
        <v>000252576 - USDA RICH'S B198 100912 ALL</v>
      </c>
      <c r="C6595" t="s">
        <v>2122</v>
      </c>
      <c r="D6595" s="1" t="str">
        <f t="shared" si="185"/>
        <v>PRG-1029802</v>
      </c>
      <c r="E6595" t="s">
        <v>1141</v>
      </c>
      <c r="F6595" t="s">
        <v>4</v>
      </c>
      <c r="G6595" t="str">
        <f>""</f>
        <v/>
      </c>
    </row>
    <row r="6596" spans="1:7" x14ac:dyDescent="0.25">
      <c r="A6596" t="s">
        <v>8</v>
      </c>
      <c r="B6596" s="1" t="str">
        <f>"000253089 - USDA RICH'S B198 100912 ALL"</f>
        <v>000253089 - USDA RICH'S B198 100912 ALL</v>
      </c>
      <c r="C6596" t="s">
        <v>2122</v>
      </c>
      <c r="D6596" s="1" t="str">
        <f t="shared" si="185"/>
        <v>PRG-1029802</v>
      </c>
      <c r="E6596" t="s">
        <v>1141</v>
      </c>
      <c r="F6596" t="s">
        <v>4</v>
      </c>
      <c r="G6596" t="str">
        <f>""</f>
        <v/>
      </c>
    </row>
    <row r="6597" spans="1:7" x14ac:dyDescent="0.25">
      <c r="A6597" t="s">
        <v>8</v>
      </c>
      <c r="B6597" s="1" t="str">
        <f>"000253523 - USDA RICH'S B198 100912 ALL"</f>
        <v>000253523 - USDA RICH'S B198 100912 ALL</v>
      </c>
      <c r="C6597" t="s">
        <v>2122</v>
      </c>
      <c r="D6597" s="1" t="str">
        <f t="shared" si="185"/>
        <v>PRG-1029802</v>
      </c>
      <c r="E6597" t="s">
        <v>1141</v>
      </c>
      <c r="F6597" t="s">
        <v>4</v>
      </c>
      <c r="G6597" t="str">
        <f>""</f>
        <v/>
      </c>
    </row>
    <row r="6598" spans="1:7" x14ac:dyDescent="0.25">
      <c r="A6598" t="s">
        <v>8</v>
      </c>
      <c r="B6598" s="1" t="str">
        <f>"000253525 - USDA RICH'S B077 ALL"</f>
        <v>000253525 - USDA RICH'S B077 ALL</v>
      </c>
      <c r="C6598" t="s">
        <v>2126</v>
      </c>
      <c r="D6598" s="1" t="str">
        <f t="shared" si="185"/>
        <v>PRG-1029802</v>
      </c>
      <c r="E6598" t="s">
        <v>1141</v>
      </c>
      <c r="F6598" t="s">
        <v>4</v>
      </c>
      <c r="G6598" t="str">
        <f>""</f>
        <v/>
      </c>
    </row>
    <row r="6599" spans="1:7" x14ac:dyDescent="0.25">
      <c r="A6599" t="s">
        <v>8</v>
      </c>
      <c r="B6599" s="1" t="str">
        <f>"000253985 - USDA RICH'S B198 100912 ALL"</f>
        <v>000253985 - USDA RICH'S B198 100912 ALL</v>
      </c>
      <c r="C6599" t="s">
        <v>2122</v>
      </c>
      <c r="D6599" s="1" t="str">
        <f t="shared" si="185"/>
        <v>PRG-1029802</v>
      </c>
      <c r="E6599" t="s">
        <v>1141</v>
      </c>
      <c r="F6599" t="s">
        <v>4</v>
      </c>
      <c r="G6599" t="str">
        <f>""</f>
        <v/>
      </c>
    </row>
    <row r="6600" spans="1:7" x14ac:dyDescent="0.25">
      <c r="A6600" t="s">
        <v>8</v>
      </c>
      <c r="B6600" s="1" t="str">
        <f>"000253986 - USDA RICH'S B077 ALL"</f>
        <v>000253986 - USDA RICH'S B077 ALL</v>
      </c>
      <c r="C6600" t="s">
        <v>2126</v>
      </c>
      <c r="D6600" s="1" t="str">
        <f t="shared" si="185"/>
        <v>PRG-1029802</v>
      </c>
      <c r="E6600" t="s">
        <v>1141</v>
      </c>
      <c r="F6600" t="s">
        <v>4</v>
      </c>
      <c r="G6600" t="str">
        <f>""</f>
        <v/>
      </c>
    </row>
    <row r="6601" spans="1:7" x14ac:dyDescent="0.25">
      <c r="A6601" t="s">
        <v>8</v>
      </c>
      <c r="B6601" s="1" t="str">
        <f>"000254419 - USDA RICH'S B198 100912 ALL"</f>
        <v>000254419 - USDA RICH'S B198 100912 ALL</v>
      </c>
      <c r="C6601" t="s">
        <v>2122</v>
      </c>
      <c r="D6601" s="1" t="str">
        <f t="shared" si="185"/>
        <v>PRG-1029802</v>
      </c>
      <c r="E6601" t="s">
        <v>1141</v>
      </c>
      <c r="F6601" t="s">
        <v>4</v>
      </c>
      <c r="G6601" t="str">
        <f>""</f>
        <v/>
      </c>
    </row>
    <row r="6602" spans="1:7" x14ac:dyDescent="0.25">
      <c r="A6602" t="s">
        <v>8</v>
      </c>
      <c r="B6602" s="1" t="str">
        <f>"000254420 - USDA RICH'S B077 ALL"</f>
        <v>000254420 - USDA RICH'S B077 ALL</v>
      </c>
      <c r="C6602" t="s">
        <v>2126</v>
      </c>
      <c r="D6602" s="1" t="str">
        <f t="shared" si="185"/>
        <v>PRG-1029802</v>
      </c>
      <c r="E6602" t="s">
        <v>1141</v>
      </c>
      <c r="F6602" t="s">
        <v>4</v>
      </c>
      <c r="G6602" t="str">
        <f>""</f>
        <v/>
      </c>
    </row>
    <row r="6603" spans="1:7" x14ac:dyDescent="0.25">
      <c r="A6603" t="s">
        <v>8</v>
      </c>
      <c r="B6603" s="1" t="str">
        <f>"000254731 - USDA RICH'S B198 100912 ALL"</f>
        <v>000254731 - USDA RICH'S B198 100912 ALL</v>
      </c>
      <c r="C6603" t="s">
        <v>2122</v>
      </c>
      <c r="D6603" s="1" t="str">
        <f t="shared" si="185"/>
        <v>PRG-1029802</v>
      </c>
      <c r="E6603" t="s">
        <v>1141</v>
      </c>
      <c r="F6603" t="s">
        <v>4</v>
      </c>
      <c r="G6603" t="str">
        <f>""</f>
        <v/>
      </c>
    </row>
    <row r="6604" spans="1:7" x14ac:dyDescent="0.25">
      <c r="A6604" t="s">
        <v>8</v>
      </c>
      <c r="B6604" s="1" t="str">
        <f>"000254733 - USDA RICH'S B077 ALL"</f>
        <v>000254733 - USDA RICH'S B077 ALL</v>
      </c>
      <c r="C6604" t="s">
        <v>2126</v>
      </c>
      <c r="D6604" s="1" t="str">
        <f t="shared" si="185"/>
        <v>PRG-1029802</v>
      </c>
      <c r="E6604" t="s">
        <v>1141</v>
      </c>
      <c r="F6604" t="s">
        <v>4</v>
      </c>
      <c r="G6604" t="str">
        <f>""</f>
        <v/>
      </c>
    </row>
    <row r="6605" spans="1:7" x14ac:dyDescent="0.25">
      <c r="A6605" t="s">
        <v>8</v>
      </c>
      <c r="B6605" s="1" t="str">
        <f>"000255579 - USDA RICH'S B198 100912 ALL"</f>
        <v>000255579 - USDA RICH'S B198 100912 ALL</v>
      </c>
      <c r="C6605" t="s">
        <v>2122</v>
      </c>
      <c r="D6605" s="1" t="str">
        <f t="shared" si="185"/>
        <v>PRG-1029802</v>
      </c>
      <c r="E6605" t="s">
        <v>1141</v>
      </c>
      <c r="F6605" t="s">
        <v>4</v>
      </c>
      <c r="G6605" t="str">
        <f>""</f>
        <v/>
      </c>
    </row>
    <row r="6606" spans="1:7" x14ac:dyDescent="0.25">
      <c r="A6606" t="s">
        <v>8</v>
      </c>
      <c r="B6606" s="1" t="str">
        <f>"000255902 - USDA RICH'S B198 100912 ALL"</f>
        <v>000255902 - USDA RICH'S B198 100912 ALL</v>
      </c>
      <c r="C6606" t="s">
        <v>2122</v>
      </c>
      <c r="D6606" s="1" t="str">
        <f t="shared" si="185"/>
        <v>PRG-1029802</v>
      </c>
      <c r="E6606" t="s">
        <v>1141</v>
      </c>
      <c r="F6606" t="s">
        <v>4</v>
      </c>
      <c r="G6606" t="str">
        <f>""</f>
        <v/>
      </c>
    </row>
    <row r="6607" spans="1:7" x14ac:dyDescent="0.25">
      <c r="A6607" t="s">
        <v>8</v>
      </c>
      <c r="B6607" s="1" t="str">
        <f>"000256514 - USDA RICH'S B198 100912 ALL"</f>
        <v>000256514 - USDA RICH'S B198 100912 ALL</v>
      </c>
      <c r="C6607" t="s">
        <v>2122</v>
      </c>
      <c r="D6607" s="1" t="str">
        <f t="shared" si="185"/>
        <v>PRG-1029802</v>
      </c>
      <c r="E6607" t="s">
        <v>1141</v>
      </c>
      <c r="F6607" t="s">
        <v>4</v>
      </c>
      <c r="G6607" t="str">
        <f>""</f>
        <v/>
      </c>
    </row>
    <row r="6608" spans="1:7" x14ac:dyDescent="0.25">
      <c r="A6608" t="s">
        <v>8</v>
      </c>
      <c r="B6608" s="1" t="str">
        <f>"000256842 - USDA RICH'S B198 100912 ALL"</f>
        <v>000256842 - USDA RICH'S B198 100912 ALL</v>
      </c>
      <c r="C6608" t="s">
        <v>2122</v>
      </c>
      <c r="D6608" s="1" t="str">
        <f t="shared" si="185"/>
        <v>PRG-1029802</v>
      </c>
      <c r="E6608" t="s">
        <v>1141</v>
      </c>
      <c r="F6608" t="s">
        <v>4</v>
      </c>
      <c r="G6608" t="str">
        <f>""</f>
        <v/>
      </c>
    </row>
    <row r="6609" spans="1:7" x14ac:dyDescent="0.25">
      <c r="A6609" t="s">
        <v>8</v>
      </c>
      <c r="B6609" s="1" t="str">
        <f>"2000277945 - "</f>
        <v xml:space="preserve">2000277945 - </v>
      </c>
      <c r="D6609" s="1" t="str">
        <f t="shared" si="185"/>
        <v>PRG-1029802</v>
      </c>
      <c r="E6609" t="s">
        <v>1141</v>
      </c>
      <c r="F6609" t="s">
        <v>4</v>
      </c>
      <c r="G6609" t="str">
        <f>""</f>
        <v/>
      </c>
    </row>
    <row r="6610" spans="1:7" x14ac:dyDescent="0.25">
      <c r="A6610" t="s">
        <v>8</v>
      </c>
      <c r="B6610" s="1" t="str">
        <f>"2000281221 - RICH OK NOI"</f>
        <v>2000281221 - RICH OK NOI</v>
      </c>
      <c r="C6610" t="s">
        <v>3896</v>
      </c>
      <c r="D6610" s="1" t="str">
        <f t="shared" si="185"/>
        <v>PRG-1029802</v>
      </c>
      <c r="E6610" t="s">
        <v>1141</v>
      </c>
      <c r="F6610" t="s">
        <v>4</v>
      </c>
      <c r="G6610" t="str">
        <f>""</f>
        <v/>
      </c>
    </row>
    <row r="6611" spans="1:7" x14ac:dyDescent="0.25">
      <c r="A6611" t="s">
        <v>8</v>
      </c>
      <c r="B6611" s="1" t="str">
        <f>"2000293560 - "</f>
        <v xml:space="preserve">2000293560 - </v>
      </c>
      <c r="D6611" s="1" t="str">
        <f t="shared" si="185"/>
        <v>PRG-1029802</v>
      </c>
      <c r="E6611" t="s">
        <v>1141</v>
      </c>
      <c r="F6611" t="s">
        <v>4</v>
      </c>
      <c r="G6611" t="str">
        <f>""</f>
        <v/>
      </c>
    </row>
    <row r="6612" spans="1:7" x14ac:dyDescent="0.25">
      <c r="A6612" t="s">
        <v>8</v>
      </c>
      <c r="B6612" s="1" t="str">
        <f>"S6D008C1"</f>
        <v>S6D008C1</v>
      </c>
      <c r="C6612" t="s">
        <v>6022</v>
      </c>
      <c r="D6612" s="1" t="str">
        <f t="shared" si="185"/>
        <v>PRG-1029802</v>
      </c>
      <c r="E6612" t="s">
        <v>1141</v>
      </c>
      <c r="F6612" t="s">
        <v>5</v>
      </c>
      <c r="G6612" t="str">
        <f>""</f>
        <v/>
      </c>
    </row>
    <row r="6613" spans="1:7" x14ac:dyDescent="0.25">
      <c r="A6613" t="s">
        <v>8</v>
      </c>
      <c r="B6613" s="1" t="str">
        <f>"S6D008C2"</f>
        <v>S6D008C2</v>
      </c>
      <c r="C6613" t="s">
        <v>6023</v>
      </c>
      <c r="D6613" s="1" t="str">
        <f t="shared" si="185"/>
        <v>PRG-1029802</v>
      </c>
      <c r="E6613" t="s">
        <v>1141</v>
      </c>
      <c r="F6613" t="s">
        <v>5</v>
      </c>
      <c r="G6613" t="str">
        <f>""</f>
        <v/>
      </c>
    </row>
    <row r="6614" spans="1:7" x14ac:dyDescent="0.25">
      <c r="A6614" t="s">
        <v>8</v>
      </c>
      <c r="B6614" s="1" t="str">
        <f>"S6D008D3"</f>
        <v>S6D008D3</v>
      </c>
      <c r="C6614" t="s">
        <v>6024</v>
      </c>
      <c r="D6614" s="1" t="str">
        <f t="shared" si="185"/>
        <v>PRG-1029802</v>
      </c>
      <c r="E6614" t="s">
        <v>1141</v>
      </c>
      <c r="F6614" t="s">
        <v>5</v>
      </c>
      <c r="G6614" t="str">
        <f>""</f>
        <v/>
      </c>
    </row>
    <row r="6615" spans="1:7" x14ac:dyDescent="0.25">
      <c r="A6615" t="s">
        <v>8</v>
      </c>
      <c r="B6615" s="1" t="str">
        <f>"S6D008D4"</f>
        <v>S6D008D4</v>
      </c>
      <c r="C6615" t="s">
        <v>6025</v>
      </c>
      <c r="D6615" s="1" t="str">
        <f t="shared" si="185"/>
        <v>PRG-1029802</v>
      </c>
      <c r="E6615" t="s">
        <v>1141</v>
      </c>
      <c r="F6615" t="s">
        <v>5</v>
      </c>
      <c r="G6615" t="str">
        <f>""</f>
        <v/>
      </c>
    </row>
    <row r="6616" spans="1:7" x14ac:dyDescent="0.25">
      <c r="A6616" t="s">
        <v>8</v>
      </c>
      <c r="B6616" s="1" t="str">
        <f>"S6D008D5"</f>
        <v>S6D008D5</v>
      </c>
      <c r="C6616" t="s">
        <v>6026</v>
      </c>
      <c r="D6616" s="1" t="str">
        <f t="shared" si="185"/>
        <v>PRG-1029802</v>
      </c>
      <c r="E6616" t="s">
        <v>1141</v>
      </c>
      <c r="F6616" t="s">
        <v>5</v>
      </c>
      <c r="G6616" t="str">
        <f>""</f>
        <v/>
      </c>
    </row>
    <row r="6617" spans="1:7" x14ac:dyDescent="0.25">
      <c r="A6617" t="s">
        <v>8</v>
      </c>
      <c r="B6617" s="1" t="str">
        <f>"000215597 - RICHS WASSERHUND BREWING"</f>
        <v>000215597 - RICHS WASSERHUND BREWING</v>
      </c>
      <c r="C6617" t="s">
        <v>1525</v>
      </c>
      <c r="D6617" s="1" t="str">
        <f>"PRG-1029870"</f>
        <v>PRG-1029870</v>
      </c>
      <c r="E6617" t="s">
        <v>1526</v>
      </c>
      <c r="F6617" t="s">
        <v>4</v>
      </c>
      <c r="G6617" t="str">
        <f>""</f>
        <v/>
      </c>
    </row>
    <row r="6618" spans="1:7" x14ac:dyDescent="0.25">
      <c r="A6618" t="s">
        <v>8</v>
      </c>
      <c r="B6618" s="1" t="str">
        <f>"000038862 - RICHS FOODS BB-FOODBUY"</f>
        <v>000038862 - RICHS FOODS BB-FOODBUY</v>
      </c>
      <c r="C6618" t="s">
        <v>393</v>
      </c>
      <c r="D6618" s="1" t="str">
        <f t="shared" ref="D6618:D6649" si="186">"PRG-1029898"</f>
        <v>PRG-1029898</v>
      </c>
      <c r="E6618" t="s">
        <v>147</v>
      </c>
      <c r="F6618" t="s">
        <v>4</v>
      </c>
      <c r="G6618" t="str">
        <f>""</f>
        <v/>
      </c>
    </row>
    <row r="6619" spans="1:7" x14ac:dyDescent="0.25">
      <c r="A6619" t="s">
        <v>8</v>
      </c>
      <c r="B6619" s="1" t="str">
        <f>"000038981 - RICHS FOODS BB FOODBUY"</f>
        <v>000038981 - RICHS FOODS BB FOODBUY</v>
      </c>
      <c r="C6619" t="s">
        <v>562</v>
      </c>
      <c r="D6619" s="1" t="str">
        <f t="shared" si="186"/>
        <v>PRG-1029898</v>
      </c>
      <c r="E6619" t="s">
        <v>147</v>
      </c>
      <c r="F6619" t="s">
        <v>4</v>
      </c>
      <c r="G6619" t="str">
        <f>""</f>
        <v/>
      </c>
    </row>
    <row r="6620" spans="1:7" x14ac:dyDescent="0.25">
      <c r="A6620" t="s">
        <v>8</v>
      </c>
      <c r="B6620" s="1" t="str">
        <f>"000046816 - RICHS FOODS BB-FOODBUY"</f>
        <v>000046816 - RICHS FOODS BB-FOODBUY</v>
      </c>
      <c r="C6620" t="s">
        <v>393</v>
      </c>
      <c r="D6620" s="1" t="str">
        <f t="shared" si="186"/>
        <v>PRG-1029898</v>
      </c>
      <c r="E6620" t="s">
        <v>147</v>
      </c>
      <c r="F6620" t="s">
        <v>4</v>
      </c>
      <c r="G6620" t="str">
        <f>""</f>
        <v/>
      </c>
    </row>
    <row r="6621" spans="1:7" x14ac:dyDescent="0.25">
      <c r="A6621" t="s">
        <v>8</v>
      </c>
      <c r="B6621" s="1" t="str">
        <f>"000048975 - RICH FOODS BB-FOODBUY"</f>
        <v>000048975 - RICH FOODS BB-FOODBUY</v>
      </c>
      <c r="C6621" t="s">
        <v>209</v>
      </c>
      <c r="D6621" s="1" t="str">
        <f t="shared" si="186"/>
        <v>PRG-1029898</v>
      </c>
      <c r="E6621" t="s">
        <v>147</v>
      </c>
      <c r="F6621" t="s">
        <v>4</v>
      </c>
      <c r="G6621" t="str">
        <f>""</f>
        <v/>
      </c>
    </row>
    <row r="6622" spans="1:7" x14ac:dyDescent="0.25">
      <c r="A6622" t="s">
        <v>8</v>
      </c>
      <c r="B6622" s="1" t="str">
        <f>"000105321 - RICHS FOODS BB-FOODBUY"</f>
        <v>000105321 - RICHS FOODS BB-FOODBUY</v>
      </c>
      <c r="C6622" t="s">
        <v>393</v>
      </c>
      <c r="D6622" s="1" t="str">
        <f t="shared" si="186"/>
        <v>PRG-1029898</v>
      </c>
      <c r="E6622" t="s">
        <v>147</v>
      </c>
      <c r="F6622" t="s">
        <v>4</v>
      </c>
      <c r="G6622" t="str">
        <f>""</f>
        <v/>
      </c>
    </row>
    <row r="6623" spans="1:7" x14ac:dyDescent="0.25">
      <c r="A6623" t="s">
        <v>8</v>
      </c>
      <c r="B6623" s="1" t="str">
        <f>"000106560 - RICH FDBY BB Z"</f>
        <v>000106560 - RICH FDBY BB Z</v>
      </c>
      <c r="C6623" t="s">
        <v>795</v>
      </c>
      <c r="D6623" s="1" t="str">
        <f t="shared" si="186"/>
        <v>PRG-1029898</v>
      </c>
      <c r="E6623" t="s">
        <v>147</v>
      </c>
      <c r="F6623" t="s">
        <v>4</v>
      </c>
      <c r="G6623" t="str">
        <f>""</f>
        <v/>
      </c>
    </row>
    <row r="6624" spans="1:7" x14ac:dyDescent="0.25">
      <c r="A6624" t="s">
        <v>8</v>
      </c>
      <c r="B6624" s="1" t="str">
        <f>"000107468 - RICH FOODS BB-FOODBUY"</f>
        <v>000107468 - RICH FOODS BB-FOODBUY</v>
      </c>
      <c r="C6624" t="s">
        <v>209</v>
      </c>
      <c r="D6624" s="1" t="str">
        <f t="shared" si="186"/>
        <v>PRG-1029898</v>
      </c>
      <c r="E6624" t="s">
        <v>147</v>
      </c>
      <c r="F6624" t="s">
        <v>4</v>
      </c>
      <c r="G6624" t="str">
        <f>""</f>
        <v/>
      </c>
    </row>
    <row r="6625" spans="1:7" x14ac:dyDescent="0.25">
      <c r="A6625" t="s">
        <v>8</v>
      </c>
      <c r="B6625" s="1" t="str">
        <f>"000114714 - RICHS FOODS BB-FOODBUY"</f>
        <v>000114714 - RICHS FOODS BB-FOODBUY</v>
      </c>
      <c r="C6625" t="s">
        <v>393</v>
      </c>
      <c r="D6625" s="1" t="str">
        <f t="shared" si="186"/>
        <v>PRG-1029898</v>
      </c>
      <c r="E6625" t="s">
        <v>147</v>
      </c>
      <c r="F6625" t="s">
        <v>4</v>
      </c>
      <c r="G6625" t="str">
        <f>""</f>
        <v/>
      </c>
    </row>
    <row r="6626" spans="1:7" x14ac:dyDescent="0.25">
      <c r="A6626" t="s">
        <v>8</v>
      </c>
      <c r="B6626" s="1" t="str">
        <f>"000116390 - RICH FOODS BB-FOODBUY"</f>
        <v>000116390 - RICH FOODS BB-FOODBUY</v>
      </c>
      <c r="C6626" t="s">
        <v>209</v>
      </c>
      <c r="D6626" s="1" t="str">
        <f t="shared" si="186"/>
        <v>PRG-1029898</v>
      </c>
      <c r="E6626" t="s">
        <v>147</v>
      </c>
      <c r="F6626" t="s">
        <v>4</v>
      </c>
      <c r="G6626" t="str">
        <f>""</f>
        <v/>
      </c>
    </row>
    <row r="6627" spans="1:7" x14ac:dyDescent="0.25">
      <c r="A6627" t="s">
        <v>8</v>
      </c>
      <c r="B6627" s="1" t="str">
        <f>"000127574 - RICHS FOODS BB-FOODBUY"</f>
        <v>000127574 - RICHS FOODS BB-FOODBUY</v>
      </c>
      <c r="C6627" t="s">
        <v>393</v>
      </c>
      <c r="D6627" s="1" t="str">
        <f t="shared" si="186"/>
        <v>PRG-1029898</v>
      </c>
      <c r="E6627" t="s">
        <v>147</v>
      </c>
      <c r="F6627" t="s">
        <v>4</v>
      </c>
      <c r="G6627" t="str">
        <f>""</f>
        <v/>
      </c>
    </row>
    <row r="6628" spans="1:7" x14ac:dyDescent="0.25">
      <c r="A6628" t="s">
        <v>8</v>
      </c>
      <c r="B6628" s="1" t="str">
        <f>"000129448 - RICH FOODS BB-FOODBUY"</f>
        <v>000129448 - RICH FOODS BB-FOODBUY</v>
      </c>
      <c r="C6628" t="s">
        <v>209</v>
      </c>
      <c r="D6628" s="1" t="str">
        <f t="shared" si="186"/>
        <v>PRG-1029898</v>
      </c>
      <c r="E6628" t="s">
        <v>147</v>
      </c>
      <c r="F6628" t="s">
        <v>4</v>
      </c>
      <c r="G6628" t="str">
        <f>""</f>
        <v/>
      </c>
    </row>
    <row r="6629" spans="1:7" x14ac:dyDescent="0.25">
      <c r="A6629" t="s">
        <v>8</v>
      </c>
      <c r="B6629" s="1" t="str">
        <f>"000138220 - RICH FOODS BB-FOODBUY"</f>
        <v>000138220 - RICH FOODS BB-FOODBUY</v>
      </c>
      <c r="C6629" t="s">
        <v>209</v>
      </c>
      <c r="D6629" s="1" t="str">
        <f t="shared" si="186"/>
        <v>PRG-1029898</v>
      </c>
      <c r="E6629" t="s">
        <v>147</v>
      </c>
      <c r="F6629" t="s">
        <v>4</v>
      </c>
      <c r="G6629" t="str">
        <f>""</f>
        <v/>
      </c>
    </row>
    <row r="6630" spans="1:7" x14ac:dyDescent="0.25">
      <c r="A6630" t="s">
        <v>8</v>
      </c>
      <c r="B6630" s="1" t="str">
        <f>"000194695 - RICHS FOODS BB-FOODBUY"</f>
        <v>000194695 - RICHS FOODS BB-FOODBUY</v>
      </c>
      <c r="C6630" t="s">
        <v>393</v>
      </c>
      <c r="D6630" s="1" t="str">
        <f t="shared" si="186"/>
        <v>PRG-1029898</v>
      </c>
      <c r="E6630" t="s">
        <v>147</v>
      </c>
      <c r="F6630" t="s">
        <v>4</v>
      </c>
      <c r="G6630" t="str">
        <f>""</f>
        <v/>
      </c>
    </row>
    <row r="6631" spans="1:7" x14ac:dyDescent="0.25">
      <c r="A6631" t="s">
        <v>8</v>
      </c>
      <c r="B6631" s="1" t="str">
        <f>"000195241 - RICHS BB CR PURCHASING FBY"</f>
        <v>000195241 - RICHS BB CR PURCHASING FBY</v>
      </c>
      <c r="C6631" t="s">
        <v>1253</v>
      </c>
      <c r="D6631" s="1" t="str">
        <f t="shared" si="186"/>
        <v>PRG-1029898</v>
      </c>
      <c r="E6631" t="s">
        <v>147</v>
      </c>
      <c r="F6631" t="s">
        <v>4</v>
      </c>
      <c r="G6631" t="str">
        <f>""</f>
        <v/>
      </c>
    </row>
    <row r="6632" spans="1:7" x14ac:dyDescent="0.25">
      <c r="A6632" t="s">
        <v>8</v>
      </c>
      <c r="B6632" s="1" t="str">
        <f>"000196437 - RICH FOODS BB-FOODBUY"</f>
        <v>000196437 - RICH FOODS BB-FOODBUY</v>
      </c>
      <c r="C6632" t="s">
        <v>209</v>
      </c>
      <c r="D6632" s="1" t="str">
        <f t="shared" si="186"/>
        <v>PRG-1029898</v>
      </c>
      <c r="E6632" t="s">
        <v>147</v>
      </c>
      <c r="F6632" t="s">
        <v>4</v>
      </c>
      <c r="G6632" t="str">
        <f>""</f>
        <v/>
      </c>
    </row>
    <row r="6633" spans="1:7" x14ac:dyDescent="0.25">
      <c r="A6633" t="s">
        <v>8</v>
      </c>
      <c r="B6633" s="1" t="str">
        <f>"000197078 - RICH FOODS BB-FOODBUY"</f>
        <v>000197078 - RICH FOODS BB-FOODBUY</v>
      </c>
      <c r="C6633" t="s">
        <v>209</v>
      </c>
      <c r="D6633" s="1" t="str">
        <f t="shared" si="186"/>
        <v>PRG-1029898</v>
      </c>
      <c r="E6633" t="s">
        <v>147</v>
      </c>
      <c r="F6633" t="s">
        <v>4</v>
      </c>
      <c r="G6633" t="str">
        <f>""</f>
        <v/>
      </c>
    </row>
    <row r="6634" spans="1:7" x14ac:dyDescent="0.25">
      <c r="A6634" t="s">
        <v>8</v>
      </c>
      <c r="B6634" s="1" t="str">
        <f>"000201308 - RICHS FOODS BB-FOODBUY"</f>
        <v>000201308 - RICHS FOODS BB-FOODBUY</v>
      </c>
      <c r="C6634" t="s">
        <v>393</v>
      </c>
      <c r="D6634" s="1" t="str">
        <f t="shared" si="186"/>
        <v>PRG-1029898</v>
      </c>
      <c r="E6634" t="s">
        <v>147</v>
      </c>
      <c r="F6634" t="s">
        <v>4</v>
      </c>
      <c r="G6634" t="str">
        <f>""</f>
        <v/>
      </c>
    </row>
    <row r="6635" spans="1:7" x14ac:dyDescent="0.25">
      <c r="A6635" t="s">
        <v>8</v>
      </c>
      <c r="B6635" s="1" t="str">
        <f>"000213981 - BB FDBY FOB RICHS"</f>
        <v>000213981 - BB FDBY FOB RICHS</v>
      </c>
      <c r="C6635" t="s">
        <v>1488</v>
      </c>
      <c r="D6635" s="1" t="str">
        <f t="shared" si="186"/>
        <v>PRG-1029898</v>
      </c>
      <c r="E6635" t="s">
        <v>147</v>
      </c>
      <c r="F6635" t="s">
        <v>4</v>
      </c>
      <c r="G6635" t="str">
        <f>""</f>
        <v/>
      </c>
    </row>
    <row r="6636" spans="1:7" x14ac:dyDescent="0.25">
      <c r="A6636" t="s">
        <v>8</v>
      </c>
      <c r="B6636" s="1" t="str">
        <f>"000214751 - RICHS FOODS BB-FOODBUY"</f>
        <v>000214751 - RICHS FOODS BB-FOODBUY</v>
      </c>
      <c r="C6636" t="s">
        <v>393</v>
      </c>
      <c r="D6636" s="1" t="str">
        <f t="shared" si="186"/>
        <v>PRG-1029898</v>
      </c>
      <c r="E6636" t="s">
        <v>147</v>
      </c>
      <c r="F6636" t="s">
        <v>4</v>
      </c>
      <c r="G6636" t="str">
        <f>""</f>
        <v/>
      </c>
    </row>
    <row r="6637" spans="1:7" x14ac:dyDescent="0.25">
      <c r="A6637" t="s">
        <v>8</v>
      </c>
      <c r="B6637" s="1" t="str">
        <f>"000215298 - RICHS FOODS BB-FOODBUY"</f>
        <v>000215298 - RICHS FOODS BB-FOODBUY</v>
      </c>
      <c r="C6637" t="s">
        <v>393</v>
      </c>
      <c r="D6637" s="1" t="str">
        <f t="shared" si="186"/>
        <v>PRG-1029898</v>
      </c>
      <c r="E6637" t="s">
        <v>147</v>
      </c>
      <c r="F6637" t="s">
        <v>4</v>
      </c>
      <c r="G6637" t="str">
        <f>""</f>
        <v/>
      </c>
    </row>
    <row r="6638" spans="1:7" x14ac:dyDescent="0.25">
      <c r="A6638" t="s">
        <v>8</v>
      </c>
      <c r="B6638" s="1" t="str">
        <f>"000216662 - RICH FOODS BB-FOODBUY"</f>
        <v>000216662 - RICH FOODS BB-FOODBUY</v>
      </c>
      <c r="C6638" t="s">
        <v>209</v>
      </c>
      <c r="D6638" s="1" t="str">
        <f t="shared" si="186"/>
        <v>PRG-1029898</v>
      </c>
      <c r="E6638" t="s">
        <v>147</v>
      </c>
      <c r="F6638" t="s">
        <v>4</v>
      </c>
      <c r="G6638" t="str">
        <f>""</f>
        <v/>
      </c>
    </row>
    <row r="6639" spans="1:7" x14ac:dyDescent="0.25">
      <c r="A6639" t="s">
        <v>8</v>
      </c>
      <c r="B6639" s="1" t="str">
        <f>"000217186 - RICH FOODS BB-FOODBUY"</f>
        <v>000217186 - RICH FOODS BB-FOODBUY</v>
      </c>
      <c r="C6639" t="s">
        <v>209</v>
      </c>
      <c r="D6639" s="1" t="str">
        <f t="shared" si="186"/>
        <v>PRG-1029898</v>
      </c>
      <c r="E6639" t="s">
        <v>147</v>
      </c>
      <c r="F6639" t="s">
        <v>4</v>
      </c>
      <c r="G6639" t="str">
        <f>""</f>
        <v/>
      </c>
    </row>
    <row r="6640" spans="1:7" x14ac:dyDescent="0.25">
      <c r="A6640" t="s">
        <v>8</v>
      </c>
      <c r="B6640" s="1" t="str">
        <f>"000223453 - RICH FOODS BB-FOODBUY"</f>
        <v>000223453 - RICH FOODS BB-FOODBUY</v>
      </c>
      <c r="C6640" t="s">
        <v>209</v>
      </c>
      <c r="D6640" s="1" t="str">
        <f t="shared" si="186"/>
        <v>PRG-1029898</v>
      </c>
      <c r="E6640" t="s">
        <v>147</v>
      </c>
      <c r="F6640" t="s">
        <v>4</v>
      </c>
      <c r="G6640" t="str">
        <f>""</f>
        <v/>
      </c>
    </row>
    <row r="6641" spans="1:7" x14ac:dyDescent="0.25">
      <c r="A6641" t="s">
        <v>8</v>
      </c>
      <c r="B6641" s="1" t="str">
        <f>"000225931 - RICHS FOODS BB-FOODBUY"</f>
        <v>000225931 - RICHS FOODS BB-FOODBUY</v>
      </c>
      <c r="C6641" t="s">
        <v>393</v>
      </c>
      <c r="D6641" s="1" t="str">
        <f t="shared" si="186"/>
        <v>PRG-1029898</v>
      </c>
      <c r="E6641" t="s">
        <v>147</v>
      </c>
      <c r="F6641" t="s">
        <v>4</v>
      </c>
      <c r="G6641" t="str">
        <f>""</f>
        <v/>
      </c>
    </row>
    <row r="6642" spans="1:7" x14ac:dyDescent="0.25">
      <c r="A6642" t="s">
        <v>8</v>
      </c>
      <c r="B6642" s="1" t="str">
        <f>"000226501 - RICHS FOODS BB-FOODBUY"</f>
        <v>000226501 - RICHS FOODS BB-FOODBUY</v>
      </c>
      <c r="C6642" t="s">
        <v>393</v>
      </c>
      <c r="D6642" s="1" t="str">
        <f t="shared" si="186"/>
        <v>PRG-1029898</v>
      </c>
      <c r="E6642" t="s">
        <v>147</v>
      </c>
      <c r="F6642" t="s">
        <v>4</v>
      </c>
      <c r="G6642" t="str">
        <f>""</f>
        <v/>
      </c>
    </row>
    <row r="6643" spans="1:7" x14ac:dyDescent="0.25">
      <c r="A6643" t="s">
        <v>8</v>
      </c>
      <c r="B6643" s="1" t="str">
        <f>"000227712 - RICHS FOODS BB-FOODBUY"</f>
        <v>000227712 - RICHS FOODS BB-FOODBUY</v>
      </c>
      <c r="C6643" t="s">
        <v>393</v>
      </c>
      <c r="D6643" s="1" t="str">
        <f t="shared" si="186"/>
        <v>PRG-1029898</v>
      </c>
      <c r="E6643" t="s">
        <v>147</v>
      </c>
      <c r="F6643" t="s">
        <v>4</v>
      </c>
      <c r="G6643" t="str">
        <f>""</f>
        <v/>
      </c>
    </row>
    <row r="6644" spans="1:7" x14ac:dyDescent="0.25">
      <c r="A6644" t="s">
        <v>8</v>
      </c>
      <c r="B6644" s="1" t="str">
        <f>"000227717 - RICHS FOODS BB-FOODBUY RETRO"</f>
        <v>000227717 - RICHS FOODS BB-FOODBUY RETRO</v>
      </c>
      <c r="C6644" t="s">
        <v>1651</v>
      </c>
      <c r="D6644" s="1" t="str">
        <f t="shared" si="186"/>
        <v>PRG-1029898</v>
      </c>
      <c r="E6644" t="s">
        <v>147</v>
      </c>
      <c r="F6644" t="s">
        <v>4</v>
      </c>
      <c r="G6644" t="str">
        <f>""</f>
        <v/>
      </c>
    </row>
    <row r="6645" spans="1:7" x14ac:dyDescent="0.25">
      <c r="A6645" t="s">
        <v>8</v>
      </c>
      <c r="B6645" s="1" t="str">
        <f>"000228102 - RICH FOODS BB-FOODBUY"</f>
        <v>000228102 - RICH FOODS BB-FOODBUY</v>
      </c>
      <c r="C6645" t="s">
        <v>209</v>
      </c>
      <c r="D6645" s="1" t="str">
        <f t="shared" si="186"/>
        <v>PRG-1029898</v>
      </c>
      <c r="E6645" t="s">
        <v>147</v>
      </c>
      <c r="F6645" t="s">
        <v>4</v>
      </c>
      <c r="G6645" t="str">
        <f>""</f>
        <v/>
      </c>
    </row>
    <row r="6646" spans="1:7" x14ac:dyDescent="0.25">
      <c r="A6646" t="s">
        <v>8</v>
      </c>
      <c r="B6646" s="1" t="str">
        <f>"000228154 - RICH FOODS BB-FOODBUY"</f>
        <v>000228154 - RICH FOODS BB-FOODBUY</v>
      </c>
      <c r="C6646" t="s">
        <v>209</v>
      </c>
      <c r="D6646" s="1" t="str">
        <f t="shared" si="186"/>
        <v>PRG-1029898</v>
      </c>
      <c r="E6646" t="s">
        <v>147</v>
      </c>
      <c r="F6646" t="s">
        <v>4</v>
      </c>
      <c r="G6646" t="str">
        <f>""</f>
        <v/>
      </c>
    </row>
    <row r="6647" spans="1:7" x14ac:dyDescent="0.25">
      <c r="A6647" t="s">
        <v>8</v>
      </c>
      <c r="B6647" s="1" t="str">
        <f>"000229419 - MMI HLTH BB RICHS"</f>
        <v>000229419 - MMI HLTH BB RICHS</v>
      </c>
      <c r="C6647" t="s">
        <v>1736</v>
      </c>
      <c r="D6647" s="1" t="str">
        <f t="shared" si="186"/>
        <v>PRG-1029898</v>
      </c>
      <c r="E6647" t="s">
        <v>147</v>
      </c>
      <c r="F6647" t="s">
        <v>4</v>
      </c>
      <c r="G6647" t="str">
        <f>""</f>
        <v/>
      </c>
    </row>
    <row r="6648" spans="1:7" x14ac:dyDescent="0.25">
      <c r="A6648" t="s">
        <v>8</v>
      </c>
      <c r="B6648" s="1" t="str">
        <f>"000229573 - RICH FOODS BB-FOODBUY"</f>
        <v>000229573 - RICH FOODS BB-FOODBUY</v>
      </c>
      <c r="C6648" t="s">
        <v>209</v>
      </c>
      <c r="D6648" s="1" t="str">
        <f t="shared" si="186"/>
        <v>PRG-1029898</v>
      </c>
      <c r="E6648" t="s">
        <v>147</v>
      </c>
      <c r="F6648" t="s">
        <v>4</v>
      </c>
      <c r="G6648" t="str">
        <f>""</f>
        <v/>
      </c>
    </row>
    <row r="6649" spans="1:7" x14ac:dyDescent="0.25">
      <c r="A6649" t="s">
        <v>8</v>
      </c>
      <c r="B6649" s="1" t="str">
        <f>"000231488 - RICHS FOODS BB-FOODBUY"</f>
        <v>000231488 - RICHS FOODS BB-FOODBUY</v>
      </c>
      <c r="C6649" t="s">
        <v>393</v>
      </c>
      <c r="D6649" s="1" t="str">
        <f t="shared" si="186"/>
        <v>PRG-1029898</v>
      </c>
      <c r="E6649" t="s">
        <v>147</v>
      </c>
      <c r="F6649" t="s">
        <v>4</v>
      </c>
      <c r="G6649" t="str">
        <f>""</f>
        <v/>
      </c>
    </row>
    <row r="6650" spans="1:7" x14ac:dyDescent="0.25">
      <c r="A6650" t="s">
        <v>8</v>
      </c>
      <c r="B6650" s="1" t="str">
        <f>"000233511 - RICH FOODS BB-FOODBUY"</f>
        <v>000233511 - RICH FOODS BB-FOODBUY</v>
      </c>
      <c r="C6650" t="s">
        <v>209</v>
      </c>
      <c r="D6650" s="1" t="str">
        <f t="shared" ref="D6650:D6681" si="187">"PRG-1029898"</f>
        <v>PRG-1029898</v>
      </c>
      <c r="E6650" t="s">
        <v>147</v>
      </c>
      <c r="F6650" t="s">
        <v>4</v>
      </c>
      <c r="G6650" t="str">
        <f>""</f>
        <v/>
      </c>
    </row>
    <row r="6651" spans="1:7" x14ac:dyDescent="0.25">
      <c r="A6651" t="s">
        <v>8</v>
      </c>
      <c r="B6651" s="1" t="str">
        <f>"000236711 - RICHS FOODS BB-FOODBUY"</f>
        <v>000236711 - RICHS FOODS BB-FOODBUY</v>
      </c>
      <c r="C6651" t="s">
        <v>393</v>
      </c>
      <c r="D6651" s="1" t="str">
        <f t="shared" si="187"/>
        <v>PRG-1029898</v>
      </c>
      <c r="E6651" t="s">
        <v>147</v>
      </c>
      <c r="F6651" t="s">
        <v>4</v>
      </c>
      <c r="G6651" t="str">
        <f>""</f>
        <v/>
      </c>
    </row>
    <row r="6652" spans="1:7" x14ac:dyDescent="0.25">
      <c r="A6652" t="s">
        <v>8</v>
      </c>
      <c r="B6652" s="1" t="str">
        <f>"000238777 - RICH FOODS BB-FOODBUY"</f>
        <v>000238777 - RICH FOODS BB-FOODBUY</v>
      </c>
      <c r="C6652" t="s">
        <v>209</v>
      </c>
      <c r="D6652" s="1" t="str">
        <f t="shared" si="187"/>
        <v>PRG-1029898</v>
      </c>
      <c r="E6652" t="s">
        <v>147</v>
      </c>
      <c r="F6652" t="s">
        <v>4</v>
      </c>
      <c r="G6652" t="str">
        <f>""</f>
        <v/>
      </c>
    </row>
    <row r="6653" spans="1:7" x14ac:dyDescent="0.25">
      <c r="A6653" t="s">
        <v>8</v>
      </c>
      <c r="B6653" s="1" t="str">
        <f>"000241404 - RICH FOODS BB-FOODBUY"</f>
        <v>000241404 - RICH FOODS BB-FOODBUY</v>
      </c>
      <c r="C6653" t="s">
        <v>209</v>
      </c>
      <c r="D6653" s="1" t="str">
        <f t="shared" si="187"/>
        <v>PRG-1029898</v>
      </c>
      <c r="E6653" t="s">
        <v>147</v>
      </c>
      <c r="F6653" t="s">
        <v>4</v>
      </c>
      <c r="G6653" t="str">
        <f>""</f>
        <v/>
      </c>
    </row>
    <row r="6654" spans="1:7" x14ac:dyDescent="0.25">
      <c r="A6654" t="s">
        <v>8</v>
      </c>
      <c r="B6654" s="1" t="str">
        <f>"000243546 - RICHS FOODS BB-FOODBUY"</f>
        <v>000243546 - RICHS FOODS BB-FOODBUY</v>
      </c>
      <c r="C6654" t="s">
        <v>393</v>
      </c>
      <c r="D6654" s="1" t="str">
        <f t="shared" si="187"/>
        <v>PRG-1029898</v>
      </c>
      <c r="E6654" t="s">
        <v>147</v>
      </c>
      <c r="F6654" t="s">
        <v>4</v>
      </c>
      <c r="G6654" t="str">
        <f>""</f>
        <v/>
      </c>
    </row>
    <row r="6655" spans="1:7" x14ac:dyDescent="0.25">
      <c r="A6655" t="s">
        <v>8</v>
      </c>
      <c r="B6655" s="1" t="str">
        <f>"000245563 - RICH FOODS BB-FOODBUY"</f>
        <v>000245563 - RICH FOODS BB-FOODBUY</v>
      </c>
      <c r="C6655" t="s">
        <v>209</v>
      </c>
      <c r="D6655" s="1" t="str">
        <f t="shared" si="187"/>
        <v>PRG-1029898</v>
      </c>
      <c r="E6655" t="s">
        <v>147</v>
      </c>
      <c r="F6655" t="s">
        <v>4</v>
      </c>
      <c r="G6655" t="str">
        <f>""</f>
        <v/>
      </c>
    </row>
    <row r="6656" spans="1:7" x14ac:dyDescent="0.25">
      <c r="A6656" t="s">
        <v>8</v>
      </c>
      <c r="B6656" s="1" t="str">
        <f>"000247341 - RICH FOODS BB-FOODBUY"</f>
        <v>000247341 - RICH FOODS BB-FOODBUY</v>
      </c>
      <c r="C6656" t="s">
        <v>209</v>
      </c>
      <c r="D6656" s="1" t="str">
        <f t="shared" si="187"/>
        <v>PRG-1029898</v>
      </c>
      <c r="E6656" t="s">
        <v>147</v>
      </c>
      <c r="F6656" t="s">
        <v>4</v>
      </c>
      <c r="G6656" t="str">
        <f>""</f>
        <v/>
      </c>
    </row>
    <row r="6657" spans="1:7" x14ac:dyDescent="0.25">
      <c r="A6657" t="s">
        <v>8</v>
      </c>
      <c r="B6657" s="1" t="str">
        <f>"000247461 - RICHS FOODS BB-FOODBUY"</f>
        <v>000247461 - RICHS FOODS BB-FOODBUY</v>
      </c>
      <c r="C6657" t="s">
        <v>393</v>
      </c>
      <c r="D6657" s="1" t="str">
        <f t="shared" si="187"/>
        <v>PRG-1029898</v>
      </c>
      <c r="E6657" t="s">
        <v>147</v>
      </c>
      <c r="F6657" t="s">
        <v>4</v>
      </c>
      <c r="G6657" t="str">
        <f>""</f>
        <v/>
      </c>
    </row>
    <row r="6658" spans="1:7" x14ac:dyDescent="0.25">
      <c r="A6658" t="s">
        <v>8</v>
      </c>
      <c r="B6658" s="1" t="str">
        <f>"000249432 - RICHS FOODS BB-FOODBUY"</f>
        <v>000249432 - RICHS FOODS BB-FOODBUY</v>
      </c>
      <c r="C6658" t="s">
        <v>393</v>
      </c>
      <c r="D6658" s="1" t="str">
        <f t="shared" si="187"/>
        <v>PRG-1029898</v>
      </c>
      <c r="E6658" t="s">
        <v>147</v>
      </c>
      <c r="F6658" t="s">
        <v>4</v>
      </c>
      <c r="G6658" t="str">
        <f>""</f>
        <v/>
      </c>
    </row>
    <row r="6659" spans="1:7" x14ac:dyDescent="0.25">
      <c r="A6659" t="s">
        <v>8</v>
      </c>
      <c r="B6659" s="1" t="str">
        <f>"000249984 - RICH FDS BB NCORE-ARA EX-SSS"</f>
        <v>000249984 - RICH FDS BB NCORE-ARA EX-SSS</v>
      </c>
      <c r="C6659" t="s">
        <v>571</v>
      </c>
      <c r="D6659" s="1" t="str">
        <f t="shared" si="187"/>
        <v>PRG-1029898</v>
      </c>
      <c r="E6659" t="s">
        <v>147</v>
      </c>
      <c r="F6659" t="s">
        <v>4</v>
      </c>
      <c r="G6659" t="str">
        <f>""</f>
        <v/>
      </c>
    </row>
    <row r="6660" spans="1:7" x14ac:dyDescent="0.25">
      <c r="A6660" t="s">
        <v>8</v>
      </c>
      <c r="B6660" s="1" t="str">
        <f>"000252333 - RICHS FOODS BB-FOODBUY"</f>
        <v>000252333 - RICHS FOODS BB-FOODBUY</v>
      </c>
      <c r="C6660" t="s">
        <v>393</v>
      </c>
      <c r="D6660" s="1" t="str">
        <f t="shared" si="187"/>
        <v>PRG-1029898</v>
      </c>
      <c r="E6660" t="s">
        <v>147</v>
      </c>
      <c r="F6660" t="s">
        <v>4</v>
      </c>
      <c r="G6660" t="str">
        <f>""</f>
        <v/>
      </c>
    </row>
    <row r="6661" spans="1:7" x14ac:dyDescent="0.25">
      <c r="A6661" t="s">
        <v>8</v>
      </c>
      <c r="B6661" s="1" t="str">
        <f>"000253197 - RICHS FOODS BB-FOODBUY"</f>
        <v>000253197 - RICHS FOODS BB-FOODBUY</v>
      </c>
      <c r="C6661" t="s">
        <v>393</v>
      </c>
      <c r="D6661" s="1" t="str">
        <f t="shared" si="187"/>
        <v>PRG-1029898</v>
      </c>
      <c r="E6661" t="s">
        <v>147</v>
      </c>
      <c r="F6661" t="s">
        <v>4</v>
      </c>
      <c r="G6661" t="str">
        <f>""</f>
        <v/>
      </c>
    </row>
    <row r="6662" spans="1:7" x14ac:dyDescent="0.25">
      <c r="A6662" t="s">
        <v>8</v>
      </c>
      <c r="B6662" s="1" t="str">
        <f>"000254510 - RICH FOODS BB-FOODBUY"</f>
        <v>000254510 - RICH FOODS BB-FOODBUY</v>
      </c>
      <c r="C6662" t="s">
        <v>209</v>
      </c>
      <c r="D6662" s="1" t="str">
        <f t="shared" si="187"/>
        <v>PRG-1029898</v>
      </c>
      <c r="E6662" t="s">
        <v>147</v>
      </c>
      <c r="F6662" t="s">
        <v>4</v>
      </c>
      <c r="G6662" t="str">
        <f>""</f>
        <v/>
      </c>
    </row>
    <row r="6663" spans="1:7" x14ac:dyDescent="0.25">
      <c r="A6663" t="s">
        <v>8</v>
      </c>
      <c r="B6663" s="1" t="str">
        <f>"000255580 - RICH FOODS BB-FOODBUY"</f>
        <v>000255580 - RICH FOODS BB-FOODBUY</v>
      </c>
      <c r="C6663" t="s">
        <v>209</v>
      </c>
      <c r="D6663" s="1" t="str">
        <f t="shared" si="187"/>
        <v>PRG-1029898</v>
      </c>
      <c r="E6663" t="s">
        <v>147</v>
      </c>
      <c r="F6663" t="s">
        <v>4</v>
      </c>
      <c r="G6663" t="str">
        <f>""</f>
        <v/>
      </c>
    </row>
    <row r="6664" spans="1:7" x14ac:dyDescent="0.25">
      <c r="A6664" t="s">
        <v>8</v>
      </c>
      <c r="B6664" s="1" t="str">
        <f>"000255670 - RICH FOODS BB-FOODBUY"</f>
        <v>000255670 - RICH FOODS BB-FOODBUY</v>
      </c>
      <c r="C6664" t="s">
        <v>209</v>
      </c>
      <c r="D6664" s="1" t="str">
        <f t="shared" si="187"/>
        <v>PRG-1029898</v>
      </c>
      <c r="E6664" t="s">
        <v>147</v>
      </c>
      <c r="F6664" t="s">
        <v>4</v>
      </c>
      <c r="G6664" t="str">
        <f>""</f>
        <v/>
      </c>
    </row>
    <row r="6665" spans="1:7" x14ac:dyDescent="0.25">
      <c r="A6665" t="s">
        <v>8</v>
      </c>
      <c r="B6665" s="1" t="str">
        <f>"000256440 - RICHS FOODS BB-FOODBUY"</f>
        <v>000256440 - RICHS FOODS BB-FOODBUY</v>
      </c>
      <c r="C6665" t="s">
        <v>393</v>
      </c>
      <c r="D6665" s="1" t="str">
        <f t="shared" si="187"/>
        <v>PRG-1029898</v>
      </c>
      <c r="E6665" t="s">
        <v>147</v>
      </c>
      <c r="F6665" t="s">
        <v>4</v>
      </c>
      <c r="G6665" t="str">
        <f>""</f>
        <v/>
      </c>
    </row>
    <row r="6666" spans="1:7" x14ac:dyDescent="0.25">
      <c r="A6666" t="s">
        <v>8</v>
      </c>
      <c r="B6666" s="1" t="str">
        <f>"000256715 - RICH FOODS BB-AFV"</f>
        <v>000256715 - RICH FOODS BB-AFV</v>
      </c>
      <c r="C6666" t="s">
        <v>2192</v>
      </c>
      <c r="D6666" s="1" t="str">
        <f t="shared" si="187"/>
        <v>PRG-1029898</v>
      </c>
      <c r="E6666" t="s">
        <v>147</v>
      </c>
      <c r="F6666" t="s">
        <v>4</v>
      </c>
      <c r="G6666" t="str">
        <f>""</f>
        <v/>
      </c>
    </row>
    <row r="6667" spans="1:7" x14ac:dyDescent="0.25">
      <c r="A6667" t="s">
        <v>8</v>
      </c>
      <c r="B6667" s="1" t="str">
        <f>"000258486 - RICH FOODS BB-FOODBUY"</f>
        <v>000258486 - RICH FOODS BB-FOODBUY</v>
      </c>
      <c r="C6667" t="s">
        <v>209</v>
      </c>
      <c r="D6667" s="1" t="str">
        <f t="shared" si="187"/>
        <v>PRG-1029898</v>
      </c>
      <c r="E6667" t="s">
        <v>147</v>
      </c>
      <c r="F6667" t="s">
        <v>4</v>
      </c>
      <c r="G6667" t="str">
        <f>""</f>
        <v/>
      </c>
    </row>
    <row r="6668" spans="1:7" x14ac:dyDescent="0.25">
      <c r="A6668" t="s">
        <v>8</v>
      </c>
      <c r="B6668" s="1" t="str">
        <f>"000271210 - RICHS FOODS BB-FOODBUY"</f>
        <v>000271210 - RICHS FOODS BB-FOODBUY</v>
      </c>
      <c r="C6668" t="s">
        <v>393</v>
      </c>
      <c r="D6668" s="1" t="str">
        <f t="shared" si="187"/>
        <v>PRG-1029898</v>
      </c>
      <c r="E6668" t="s">
        <v>147</v>
      </c>
      <c r="F6668" t="s">
        <v>4</v>
      </c>
      <c r="G6668" t="str">
        <f>""</f>
        <v/>
      </c>
    </row>
    <row r="6669" spans="1:7" x14ac:dyDescent="0.25">
      <c r="A6669" t="s">
        <v>8</v>
      </c>
      <c r="B6669" s="1" t="str">
        <f>"000275501 - RICHS FOODS BB-FOODBUY"</f>
        <v>000275501 - RICHS FOODS BB-FOODBUY</v>
      </c>
      <c r="C6669" t="s">
        <v>393</v>
      </c>
      <c r="D6669" s="1" t="str">
        <f t="shared" si="187"/>
        <v>PRG-1029898</v>
      </c>
      <c r="E6669" t="s">
        <v>147</v>
      </c>
      <c r="F6669" t="s">
        <v>4</v>
      </c>
      <c r="G6669" t="str">
        <f>""</f>
        <v/>
      </c>
    </row>
    <row r="6670" spans="1:7" x14ac:dyDescent="0.25">
      <c r="A6670" t="s">
        <v>8</v>
      </c>
      <c r="B6670" s="1" t="str">
        <f>"000289468 - RICHS IRON C-Z TEJAS  CLRW"</f>
        <v>000289468 - RICHS IRON C-Z TEJAS  CLRW</v>
      </c>
      <c r="C6670" t="s">
        <v>2796</v>
      </c>
      <c r="D6670" s="1" t="str">
        <f t="shared" si="187"/>
        <v>PRG-1029898</v>
      </c>
      <c r="E6670" t="s">
        <v>147</v>
      </c>
      <c r="F6670" t="s">
        <v>4</v>
      </c>
      <c r="G6670" t="str">
        <f>""</f>
        <v/>
      </c>
    </row>
    <row r="6671" spans="1:7" x14ac:dyDescent="0.25">
      <c r="A6671" t="s">
        <v>8</v>
      </c>
      <c r="B6671" s="1" t="str">
        <f>"000289538 - RICH FOODS BB-FOODBUY"</f>
        <v>000289538 - RICH FOODS BB-FOODBUY</v>
      </c>
      <c r="C6671" t="s">
        <v>209</v>
      </c>
      <c r="D6671" s="1" t="str">
        <f t="shared" si="187"/>
        <v>PRG-1029898</v>
      </c>
      <c r="E6671" t="s">
        <v>147</v>
      </c>
      <c r="F6671" t="s">
        <v>4</v>
      </c>
      <c r="G6671" t="str">
        <f>""</f>
        <v/>
      </c>
    </row>
    <row r="6672" spans="1:7" x14ac:dyDescent="0.25">
      <c r="A6672" t="s">
        <v>8</v>
      </c>
      <c r="B6672" s="1" t="str">
        <f>"000289893 - RICH FOODS GREEN MESQ CLRW"</f>
        <v>000289893 - RICH FOODS GREEN MESQ CLRW</v>
      </c>
      <c r="C6672" t="s">
        <v>2800</v>
      </c>
      <c r="D6672" s="1" t="str">
        <f t="shared" si="187"/>
        <v>PRG-1029898</v>
      </c>
      <c r="E6672" t="s">
        <v>147</v>
      </c>
      <c r="F6672" t="s">
        <v>4</v>
      </c>
      <c r="G6672" t="str">
        <f>""</f>
        <v/>
      </c>
    </row>
    <row r="6673" spans="1:7" x14ac:dyDescent="0.25">
      <c r="A6673" t="s">
        <v>8</v>
      </c>
      <c r="B6673" s="1" t="str">
        <f>"000291180 - RICHS FOODS BB-FOODBUY"</f>
        <v>000291180 - RICHS FOODS BB-FOODBUY</v>
      </c>
      <c r="C6673" t="s">
        <v>393</v>
      </c>
      <c r="D6673" s="1" t="str">
        <f t="shared" si="187"/>
        <v>PRG-1029898</v>
      </c>
      <c r="E6673" t="s">
        <v>147</v>
      </c>
      <c r="F6673" t="s">
        <v>4</v>
      </c>
      <c r="G6673" t="str">
        <f>""</f>
        <v/>
      </c>
    </row>
    <row r="6674" spans="1:7" x14ac:dyDescent="0.25">
      <c r="A6674" t="s">
        <v>8</v>
      </c>
      <c r="B6674" s="1" t="str">
        <f>"000292255 - RICH FOODS BB-FOODBUY"</f>
        <v>000292255 - RICH FOODS BB-FOODBUY</v>
      </c>
      <c r="C6674" t="s">
        <v>209</v>
      </c>
      <c r="D6674" s="1" t="str">
        <f t="shared" si="187"/>
        <v>PRG-1029898</v>
      </c>
      <c r="E6674" t="s">
        <v>147</v>
      </c>
      <c r="F6674" t="s">
        <v>4</v>
      </c>
      <c r="G6674" t="str">
        <f>""</f>
        <v/>
      </c>
    </row>
    <row r="6675" spans="1:7" x14ac:dyDescent="0.25">
      <c r="A6675" t="s">
        <v>8</v>
      </c>
      <c r="B6675" s="1" t="str">
        <f>"000293208 - RICH FOODS BB-FOODBUY"</f>
        <v>000293208 - RICH FOODS BB-FOODBUY</v>
      </c>
      <c r="C6675" t="s">
        <v>209</v>
      </c>
      <c r="D6675" s="1" t="str">
        <f t="shared" si="187"/>
        <v>PRG-1029898</v>
      </c>
      <c r="E6675" t="s">
        <v>147</v>
      </c>
      <c r="F6675" t="s">
        <v>4</v>
      </c>
      <c r="G6675" t="str">
        <f>""</f>
        <v/>
      </c>
    </row>
    <row r="6676" spans="1:7" x14ac:dyDescent="0.25">
      <c r="A6676" t="s">
        <v>8</v>
      </c>
      <c r="B6676" s="1" t="str">
        <f>"000293820 - RICHS FOODS BB-FOODBUY"</f>
        <v>000293820 - RICHS FOODS BB-FOODBUY</v>
      </c>
      <c r="C6676" t="s">
        <v>393</v>
      </c>
      <c r="D6676" s="1" t="str">
        <f t="shared" si="187"/>
        <v>PRG-1029898</v>
      </c>
      <c r="E6676" t="s">
        <v>147</v>
      </c>
      <c r="F6676" t="s">
        <v>4</v>
      </c>
      <c r="G6676" t="str">
        <f>""</f>
        <v/>
      </c>
    </row>
    <row r="6677" spans="1:7" x14ac:dyDescent="0.25">
      <c r="A6677" t="s">
        <v>8</v>
      </c>
      <c r="B6677" s="1" t="str">
        <f>"000299846 - RICHS FOODS BB-FOODBUY"</f>
        <v>000299846 - RICHS FOODS BB-FOODBUY</v>
      </c>
      <c r="C6677" t="s">
        <v>393</v>
      </c>
      <c r="D6677" s="1" t="str">
        <f t="shared" si="187"/>
        <v>PRG-1029898</v>
      </c>
      <c r="E6677" t="s">
        <v>147</v>
      </c>
      <c r="F6677" t="s">
        <v>4</v>
      </c>
      <c r="G6677" t="str">
        <f>""</f>
        <v/>
      </c>
    </row>
    <row r="6678" spans="1:7" x14ac:dyDescent="0.25">
      <c r="A6678" t="s">
        <v>8</v>
      </c>
      <c r="B6678" s="1" t="str">
        <f>"000300881 - RICH FOODS BB-FOODBUY (RETRO)"</f>
        <v>000300881 - RICH FOODS BB-FOODBUY (RETRO)</v>
      </c>
      <c r="C6678" t="s">
        <v>2802</v>
      </c>
      <c r="D6678" s="1" t="str">
        <f t="shared" si="187"/>
        <v>PRG-1029898</v>
      </c>
      <c r="E6678" t="s">
        <v>147</v>
      </c>
      <c r="F6678" t="s">
        <v>4</v>
      </c>
      <c r="G6678" t="str">
        <f>""</f>
        <v/>
      </c>
    </row>
    <row r="6679" spans="1:7" x14ac:dyDescent="0.25">
      <c r="A6679" t="s">
        <v>8</v>
      </c>
      <c r="B6679" s="1" t="str">
        <f>"000301750 - RICHS FOODS BB-FOODBUY"</f>
        <v>000301750 - RICHS FOODS BB-FOODBUY</v>
      </c>
      <c r="C6679" t="s">
        <v>393</v>
      </c>
      <c r="D6679" s="1" t="str">
        <f t="shared" si="187"/>
        <v>PRG-1029898</v>
      </c>
      <c r="E6679" t="s">
        <v>147</v>
      </c>
      <c r="F6679" t="s">
        <v>4</v>
      </c>
      <c r="G6679" t="str">
        <f>""</f>
        <v/>
      </c>
    </row>
    <row r="6680" spans="1:7" x14ac:dyDescent="0.25">
      <c r="A6680" t="s">
        <v>8</v>
      </c>
      <c r="B6680" s="1" t="str">
        <f>"000301809 - RICHS FOODS BB-FOODBUY"</f>
        <v>000301809 - RICHS FOODS BB-FOODBUY</v>
      </c>
      <c r="C6680" t="s">
        <v>393</v>
      </c>
      <c r="D6680" s="1" t="str">
        <f t="shared" si="187"/>
        <v>PRG-1029898</v>
      </c>
      <c r="E6680" t="s">
        <v>147</v>
      </c>
      <c r="F6680" t="s">
        <v>4</v>
      </c>
      <c r="G6680" t="str">
        <f>""</f>
        <v/>
      </c>
    </row>
    <row r="6681" spans="1:7" x14ac:dyDescent="0.25">
      <c r="A6681" t="s">
        <v>8</v>
      </c>
      <c r="B6681" s="1" t="str">
        <f>"000303552 - RICH FOODS BB-FOODBUY"</f>
        <v>000303552 - RICH FOODS BB-FOODBUY</v>
      </c>
      <c r="C6681" t="s">
        <v>209</v>
      </c>
      <c r="D6681" s="1" t="str">
        <f t="shared" si="187"/>
        <v>PRG-1029898</v>
      </c>
      <c r="E6681" t="s">
        <v>147</v>
      </c>
      <c r="F6681" t="s">
        <v>4</v>
      </c>
      <c r="G6681" t="str">
        <f>""</f>
        <v/>
      </c>
    </row>
    <row r="6682" spans="1:7" x14ac:dyDescent="0.25">
      <c r="A6682" t="s">
        <v>8</v>
      </c>
      <c r="B6682" s="1" t="str">
        <f>"000305067 - RICH FOODS BB-FOODBUY"</f>
        <v>000305067 - RICH FOODS BB-FOODBUY</v>
      </c>
      <c r="C6682" t="s">
        <v>209</v>
      </c>
      <c r="D6682" s="1" t="str">
        <f t="shared" ref="D6682:D6695" si="188">"PRG-1029898"</f>
        <v>PRG-1029898</v>
      </c>
      <c r="E6682" t="s">
        <v>147</v>
      </c>
      <c r="F6682" t="s">
        <v>4</v>
      </c>
      <c r="G6682" t="str">
        <f>""</f>
        <v/>
      </c>
    </row>
    <row r="6683" spans="1:7" x14ac:dyDescent="0.25">
      <c r="A6683" t="s">
        <v>8</v>
      </c>
      <c r="B6683" s="1" t="str">
        <f>"000313529 - RICH FDS BB CORE-ARA EX-SSS"</f>
        <v>000313529 - RICH FDS BB CORE-ARA EX-SSS</v>
      </c>
      <c r="C6683" t="s">
        <v>570</v>
      </c>
      <c r="D6683" s="1" t="str">
        <f t="shared" si="188"/>
        <v>PRG-1029898</v>
      </c>
      <c r="E6683" t="s">
        <v>147</v>
      </c>
      <c r="F6683" t="s">
        <v>4</v>
      </c>
      <c r="G6683" t="str">
        <f>""</f>
        <v/>
      </c>
    </row>
    <row r="6684" spans="1:7" x14ac:dyDescent="0.25">
      <c r="A6684" t="s">
        <v>8</v>
      </c>
      <c r="B6684" s="1" t="str">
        <f>"000314583 - RICH FOODS BB-FOODBUY"</f>
        <v>000314583 - RICH FOODS BB-FOODBUY</v>
      </c>
      <c r="C6684" t="s">
        <v>209</v>
      </c>
      <c r="D6684" s="1" t="str">
        <f t="shared" si="188"/>
        <v>PRG-1029898</v>
      </c>
      <c r="E6684" t="s">
        <v>147</v>
      </c>
      <c r="F6684" t="s">
        <v>4</v>
      </c>
      <c r="G6684" t="str">
        <f>""</f>
        <v/>
      </c>
    </row>
    <row r="6685" spans="1:7" x14ac:dyDescent="0.25">
      <c r="A6685" t="s">
        <v>8</v>
      </c>
      <c r="B6685" s="1" t="str">
        <f>"000321272 - RICHS FOODS BB-FOODBUY"</f>
        <v>000321272 - RICHS FOODS BB-FOODBUY</v>
      </c>
      <c r="C6685" t="s">
        <v>393</v>
      </c>
      <c r="D6685" s="1" t="str">
        <f t="shared" si="188"/>
        <v>PRG-1029898</v>
      </c>
      <c r="E6685" t="s">
        <v>147</v>
      </c>
      <c r="F6685" t="s">
        <v>4</v>
      </c>
      <c r="G6685" t="str">
        <f>""</f>
        <v/>
      </c>
    </row>
    <row r="6686" spans="1:7" x14ac:dyDescent="0.25">
      <c r="A6686" t="s">
        <v>8</v>
      </c>
      <c r="B6686" s="1" t="str">
        <f>"000337245 - RICHS FOODS BB-FOODBUY"</f>
        <v>000337245 - RICHS FOODS BB-FOODBUY</v>
      </c>
      <c r="C6686" t="s">
        <v>393</v>
      </c>
      <c r="D6686" s="1" t="str">
        <f t="shared" si="188"/>
        <v>PRG-1029898</v>
      </c>
      <c r="E6686" t="s">
        <v>147</v>
      </c>
      <c r="F6686" t="s">
        <v>4</v>
      </c>
      <c r="G6686" t="str">
        <f>""</f>
        <v/>
      </c>
    </row>
    <row r="6687" spans="1:7" x14ac:dyDescent="0.25">
      <c r="A6687" t="s">
        <v>8</v>
      </c>
      <c r="B6687" s="1" t="str">
        <f>"000339077 - RICHS BB(DPMRETRO)-FOODBUY"</f>
        <v>000339077 - RICHS BB(DPMRETRO)-FOODBUY</v>
      </c>
      <c r="C6687" t="s">
        <v>861</v>
      </c>
      <c r="D6687" s="1" t="str">
        <f t="shared" si="188"/>
        <v>PRG-1029898</v>
      </c>
      <c r="E6687" t="s">
        <v>147</v>
      </c>
      <c r="F6687" t="s">
        <v>4</v>
      </c>
      <c r="G6687" t="str">
        <f>""</f>
        <v/>
      </c>
    </row>
    <row r="6688" spans="1:7" x14ac:dyDescent="0.25">
      <c r="A6688" t="s">
        <v>8</v>
      </c>
      <c r="B6688" s="1" t="str">
        <f>"000353040 - RICHS FOODS BB CRO-FDBY"</f>
        <v>000353040 - RICHS FOODS BB CRO-FDBY</v>
      </c>
      <c r="C6688" t="s">
        <v>3527</v>
      </c>
      <c r="D6688" s="1" t="str">
        <f t="shared" si="188"/>
        <v>PRG-1029898</v>
      </c>
      <c r="E6688" t="s">
        <v>147</v>
      </c>
      <c r="F6688" t="s">
        <v>4</v>
      </c>
      <c r="G6688" t="str">
        <f>""</f>
        <v/>
      </c>
    </row>
    <row r="6689" spans="1:7" x14ac:dyDescent="0.25">
      <c r="A6689" t="s">
        <v>8</v>
      </c>
      <c r="B6689" s="1" t="str">
        <f>"000355826 - RICH FOODS BB-FOODBUY"</f>
        <v>000355826 - RICH FOODS BB-FOODBUY</v>
      </c>
      <c r="C6689" t="s">
        <v>209</v>
      </c>
      <c r="D6689" s="1" t="str">
        <f t="shared" si="188"/>
        <v>PRG-1029898</v>
      </c>
      <c r="E6689" t="s">
        <v>147</v>
      </c>
      <c r="F6689" t="s">
        <v>4</v>
      </c>
      <c r="G6689" t="str">
        <f>""</f>
        <v/>
      </c>
    </row>
    <row r="6690" spans="1:7" x14ac:dyDescent="0.25">
      <c r="A6690" t="s">
        <v>8</v>
      </c>
      <c r="B6690" s="1" t="str">
        <f>"000356908 - RICHS FOODS BB-FOODBUY"</f>
        <v>000356908 - RICHS FOODS BB-FOODBUY</v>
      </c>
      <c r="C6690" t="s">
        <v>393</v>
      </c>
      <c r="D6690" s="1" t="str">
        <f t="shared" si="188"/>
        <v>PRG-1029898</v>
      </c>
      <c r="E6690" t="s">
        <v>147</v>
      </c>
      <c r="F6690" t="s">
        <v>4</v>
      </c>
      <c r="G6690" t="str">
        <f>""</f>
        <v/>
      </c>
    </row>
    <row r="6691" spans="1:7" x14ac:dyDescent="0.25">
      <c r="A6691" t="s">
        <v>8</v>
      </c>
      <c r="B6691" s="1" t="str">
        <f>"2000111239 - RICH PRODUCTS-DOD NAPA"</f>
        <v>2000111239 - RICH PRODUCTS-DOD NAPA</v>
      </c>
      <c r="C6691" t="s">
        <v>11</v>
      </c>
      <c r="D6691" s="1" t="str">
        <f t="shared" si="188"/>
        <v>PRG-1029898</v>
      </c>
      <c r="E6691" t="s">
        <v>147</v>
      </c>
      <c r="F6691" t="s">
        <v>4</v>
      </c>
      <c r="G6691" t="str">
        <f>""</f>
        <v/>
      </c>
    </row>
    <row r="6692" spans="1:7" x14ac:dyDescent="0.25">
      <c r="A6692" t="s">
        <v>8</v>
      </c>
      <c r="B6692" s="1" t="str">
        <f>"2000265629 - RICH FDS-FOODBUY COMP COMM"</f>
        <v>2000265629 - RICH FDS-FOODBUY COMP COMM</v>
      </c>
      <c r="C6692" t="s">
        <v>3831</v>
      </c>
      <c r="D6692" s="1" t="str">
        <f t="shared" si="188"/>
        <v>PRG-1029898</v>
      </c>
      <c r="E6692" t="s">
        <v>147</v>
      </c>
      <c r="F6692" t="s">
        <v>4</v>
      </c>
      <c r="G6692" t="str">
        <f>""</f>
        <v/>
      </c>
    </row>
    <row r="6693" spans="1:7" x14ac:dyDescent="0.25">
      <c r="A6693" t="s">
        <v>8</v>
      </c>
      <c r="B6693" s="1" t="str">
        <f>"2000300623 - RICH FDS-FOODBUY COMP COMM"</f>
        <v>2000300623 - RICH FDS-FOODBUY COMP COMM</v>
      </c>
      <c r="C6693" t="s">
        <v>3831</v>
      </c>
      <c r="D6693" s="1" t="str">
        <f t="shared" si="188"/>
        <v>PRG-1029898</v>
      </c>
      <c r="E6693" t="s">
        <v>147</v>
      </c>
      <c r="F6693" t="s">
        <v>4</v>
      </c>
      <c r="G6693" t="str">
        <f>""</f>
        <v/>
      </c>
    </row>
    <row r="6694" spans="1:7" x14ac:dyDescent="0.25">
      <c r="A6694" t="s">
        <v>8</v>
      </c>
      <c r="B6694" s="1" t="str">
        <f>"2000300625 - RICH FDS-FOODBUY COMP COMM"</f>
        <v>2000300625 - RICH FDS-FOODBUY COMP COMM</v>
      </c>
      <c r="C6694" t="s">
        <v>3831</v>
      </c>
      <c r="D6694" s="1" t="str">
        <f t="shared" si="188"/>
        <v>PRG-1029898</v>
      </c>
      <c r="E6694" t="s">
        <v>147</v>
      </c>
      <c r="F6694" t="s">
        <v>4</v>
      </c>
      <c r="G6694" t="str">
        <f>""</f>
        <v/>
      </c>
    </row>
    <row r="6695" spans="1:7" x14ac:dyDescent="0.25">
      <c r="A6695" t="s">
        <v>8</v>
      </c>
      <c r="B6695" s="1" t="str">
        <f>"S1Z08WR0"</f>
        <v>S1Z08WR0</v>
      </c>
      <c r="C6695" t="s">
        <v>5351</v>
      </c>
      <c r="D6695" s="1" t="str">
        <f t="shared" si="188"/>
        <v>PRG-1029898</v>
      </c>
      <c r="E6695" t="s">
        <v>147</v>
      </c>
      <c r="F6695" t="s">
        <v>5</v>
      </c>
      <c r="G6695" t="str">
        <f>""</f>
        <v/>
      </c>
    </row>
    <row r="6696" spans="1:7" x14ac:dyDescent="0.25">
      <c r="A6696" t="s">
        <v>8</v>
      </c>
      <c r="B6696" s="1" t="str">
        <f>"000059716 - RICH WHITE POST FARMS"</f>
        <v>000059716 - RICH WHITE POST FARMS</v>
      </c>
      <c r="C6696" t="s">
        <v>700</v>
      </c>
      <c r="D6696" s="1" t="str">
        <f>"PRG-1029900"</f>
        <v>PRG-1029900</v>
      </c>
      <c r="E6696" t="s">
        <v>701</v>
      </c>
      <c r="F6696" t="s">
        <v>4</v>
      </c>
      <c r="G6696" t="str">
        <f>""</f>
        <v/>
      </c>
    </row>
    <row r="6697" spans="1:7" x14ac:dyDescent="0.25">
      <c r="A6697" t="s">
        <v>8</v>
      </c>
      <c r="B6697" s="1" t="str">
        <f>"000006455 - RICHS WESTERN SIZZLIN"</f>
        <v>000006455 - RICHS WESTERN SIZZLIN</v>
      </c>
      <c r="C6697" t="s">
        <v>239</v>
      </c>
      <c r="D6697" s="1" t="str">
        <f>"PRG-1029901"</f>
        <v>PRG-1029901</v>
      </c>
      <c r="E6697" t="s">
        <v>240</v>
      </c>
      <c r="F6697" t="s">
        <v>4</v>
      </c>
      <c r="G6697" t="str">
        <f>""</f>
        <v/>
      </c>
    </row>
    <row r="6698" spans="1:7" x14ac:dyDescent="0.25">
      <c r="A6698" t="s">
        <v>8</v>
      </c>
      <c r="B6698" s="1" t="str">
        <f>"000027363 - RICHS-WESTERN SIZZLIN"</f>
        <v>000027363 - RICHS-WESTERN SIZZLIN</v>
      </c>
      <c r="C6698" t="s">
        <v>455</v>
      </c>
      <c r="D6698" s="1" t="str">
        <f>"PRG-1029901"</f>
        <v>PRG-1029901</v>
      </c>
      <c r="E6698" t="s">
        <v>240</v>
      </c>
      <c r="F6698" t="s">
        <v>4</v>
      </c>
      <c r="G6698" t="str">
        <f>""</f>
        <v/>
      </c>
    </row>
    <row r="6699" spans="1:7" x14ac:dyDescent="0.25">
      <c r="A6699" t="s">
        <v>8</v>
      </c>
      <c r="B6699" s="1" t="str">
        <f>"000051480 - RICHS-WESTERN SIZZLIN"</f>
        <v>000051480 - RICHS-WESTERN SIZZLIN</v>
      </c>
      <c r="C6699" t="s">
        <v>455</v>
      </c>
      <c r="D6699" s="1" t="str">
        <f>"PRG-1029901"</f>
        <v>PRG-1029901</v>
      </c>
      <c r="E6699" t="s">
        <v>240</v>
      </c>
      <c r="F6699" t="s">
        <v>4</v>
      </c>
      <c r="G6699" t="str">
        <f>""</f>
        <v/>
      </c>
    </row>
    <row r="6700" spans="1:7" x14ac:dyDescent="0.25">
      <c r="A6700" t="s">
        <v>8</v>
      </c>
      <c r="B6700" s="1" t="str">
        <f>"S4H00BB0"</f>
        <v>S4H00BB0</v>
      </c>
      <c r="C6700" t="s">
        <v>5712</v>
      </c>
      <c r="D6700" s="1" t="str">
        <f>"PRG-1029902"</f>
        <v>PRG-1029902</v>
      </c>
      <c r="E6700" t="s">
        <v>5713</v>
      </c>
      <c r="F6700" t="s">
        <v>5</v>
      </c>
      <c r="G6700" t="str">
        <f>""</f>
        <v/>
      </c>
    </row>
    <row r="6701" spans="1:7" x14ac:dyDescent="0.25">
      <c r="A6701" t="s">
        <v>8</v>
      </c>
      <c r="B6701" s="1" t="str">
        <f>"000309655 - RICHS LAWRENCE"</f>
        <v>000309655 - RICHS LAWRENCE</v>
      </c>
      <c r="C6701" t="s">
        <v>3098</v>
      </c>
      <c r="D6701" s="1" t="str">
        <f>"PRG-1029911"</f>
        <v>PRG-1029911</v>
      </c>
      <c r="E6701" t="s">
        <v>3099</v>
      </c>
      <c r="F6701" t="s">
        <v>4</v>
      </c>
      <c r="G6701" t="str">
        <f>""</f>
        <v/>
      </c>
    </row>
    <row r="6702" spans="1:7" x14ac:dyDescent="0.25">
      <c r="A6702" t="s">
        <v>8</v>
      </c>
      <c r="B6702" s="1" t="str">
        <f>"000116843 - RICHS COUSIN EDDIE'S"</f>
        <v>000116843 - RICHS COUSIN EDDIE'S</v>
      </c>
      <c r="C6702" t="s">
        <v>867</v>
      </c>
      <c r="D6702" s="1" t="str">
        <f>"PRG-1029928"</f>
        <v>PRG-1029928</v>
      </c>
      <c r="E6702" t="s">
        <v>868</v>
      </c>
      <c r="F6702" t="s">
        <v>4</v>
      </c>
      <c r="G6702" t="str">
        <f>""</f>
        <v/>
      </c>
    </row>
    <row r="6703" spans="1:7" x14ac:dyDescent="0.25">
      <c r="A6703" t="s">
        <v>8</v>
      </c>
      <c r="B6703" s="1" t="str">
        <f>"000261218 - "</f>
        <v xml:space="preserve">000261218 - </v>
      </c>
      <c r="D6703" s="1" t="str">
        <f>"PRG-1029970"</f>
        <v>PRG-1029970</v>
      </c>
      <c r="E6703" t="s">
        <v>2278</v>
      </c>
      <c r="F6703" t="s">
        <v>4</v>
      </c>
      <c r="G6703" t="str">
        <f>""</f>
        <v/>
      </c>
    </row>
    <row r="6704" spans="1:7" x14ac:dyDescent="0.25">
      <c r="A6704" t="s">
        <v>8</v>
      </c>
      <c r="B6704" s="1" t="str">
        <f>"000003253 - CASA DIBERTACCHI-MAIN ARAMARK"</f>
        <v>000003253 - CASA DIBERTACCHI-MAIN ARAMARK</v>
      </c>
      <c r="C6704" t="s">
        <v>148</v>
      </c>
      <c r="D6704" s="1" t="str">
        <f t="shared" ref="D6704:D6735" si="189">"PRG-1029979"</f>
        <v>PRG-1029979</v>
      </c>
      <c r="E6704" t="s">
        <v>149</v>
      </c>
      <c r="F6704" t="s">
        <v>4</v>
      </c>
      <c r="G6704" t="str">
        <f>""</f>
        <v/>
      </c>
    </row>
    <row r="6705" spans="1:7" x14ac:dyDescent="0.25">
      <c r="A6705" t="s">
        <v>8</v>
      </c>
      <c r="B6705" s="1" t="str">
        <f>"000003254 - CASA DIBERTACCHI-SSS ARAMARK"</f>
        <v>000003254 - CASA DIBERTACCHI-SSS ARAMARK</v>
      </c>
      <c r="C6705" t="s">
        <v>150</v>
      </c>
      <c r="D6705" s="1" t="str">
        <f t="shared" si="189"/>
        <v>PRG-1029979</v>
      </c>
      <c r="E6705" t="s">
        <v>149</v>
      </c>
      <c r="F6705" t="s">
        <v>4</v>
      </c>
      <c r="G6705" t="str">
        <f>""</f>
        <v/>
      </c>
    </row>
    <row r="6706" spans="1:7" x14ac:dyDescent="0.25">
      <c r="A6706" t="s">
        <v>8</v>
      </c>
      <c r="B6706" s="1" t="str">
        <f>"000004248 - CASA DIBERTACCHI-MAIN ARAMARK"</f>
        <v>000004248 - CASA DIBERTACCHI-MAIN ARAMARK</v>
      </c>
      <c r="C6706" t="s">
        <v>148</v>
      </c>
      <c r="D6706" s="1" t="str">
        <f t="shared" si="189"/>
        <v>PRG-1029979</v>
      </c>
      <c r="E6706" t="s">
        <v>149</v>
      </c>
      <c r="F6706" t="s">
        <v>4</v>
      </c>
      <c r="G6706" t="str">
        <f>""</f>
        <v/>
      </c>
    </row>
    <row r="6707" spans="1:7" x14ac:dyDescent="0.25">
      <c r="A6707" t="s">
        <v>8</v>
      </c>
      <c r="B6707" s="1" t="str">
        <f>"000011118 - CASA DIBERTACCHI-MAIN ARAMARK"</f>
        <v>000011118 - CASA DIBERTACCHI-MAIN ARAMARK</v>
      </c>
      <c r="C6707" t="s">
        <v>148</v>
      </c>
      <c r="D6707" s="1" t="str">
        <f t="shared" si="189"/>
        <v>PRG-1029979</v>
      </c>
      <c r="E6707" t="s">
        <v>149</v>
      </c>
      <c r="F6707" t="s">
        <v>4</v>
      </c>
      <c r="G6707" t="str">
        <f>""</f>
        <v/>
      </c>
    </row>
    <row r="6708" spans="1:7" x14ac:dyDescent="0.25">
      <c r="A6708" t="s">
        <v>8</v>
      </c>
      <c r="B6708" s="1" t="str">
        <f>"000039661 - CASA DIBERTACCHI-MAIN ARAMARK"</f>
        <v>000039661 - CASA DIBERTACCHI-MAIN ARAMARK</v>
      </c>
      <c r="C6708" t="s">
        <v>148</v>
      </c>
      <c r="D6708" s="1" t="str">
        <f t="shared" si="189"/>
        <v>PRG-1029979</v>
      </c>
      <c r="E6708" t="s">
        <v>149</v>
      </c>
      <c r="F6708" t="s">
        <v>4</v>
      </c>
      <c r="G6708" t="str">
        <f>""</f>
        <v/>
      </c>
    </row>
    <row r="6709" spans="1:7" x14ac:dyDescent="0.25">
      <c r="A6709" t="s">
        <v>8</v>
      </c>
      <c r="B6709" s="1" t="str">
        <f>"000047960 - CASA DIBERTACCHI-MAIN ARAMARK"</f>
        <v>000047960 - CASA DIBERTACCHI-MAIN ARAMARK</v>
      </c>
      <c r="C6709" t="s">
        <v>148</v>
      </c>
      <c r="D6709" s="1" t="str">
        <f t="shared" si="189"/>
        <v>PRG-1029979</v>
      </c>
      <c r="E6709" t="s">
        <v>149</v>
      </c>
      <c r="F6709" t="s">
        <v>4</v>
      </c>
      <c r="G6709" t="str">
        <f>""</f>
        <v/>
      </c>
    </row>
    <row r="6710" spans="1:7" x14ac:dyDescent="0.25">
      <c r="A6710" t="s">
        <v>8</v>
      </c>
      <c r="B6710" s="1" t="str">
        <f>"000049236 - CASA DIBERTACCHI-MAIN ARAMARK"</f>
        <v>000049236 - CASA DIBERTACCHI-MAIN ARAMARK</v>
      </c>
      <c r="C6710" t="s">
        <v>148</v>
      </c>
      <c r="D6710" s="1" t="str">
        <f t="shared" si="189"/>
        <v>PRG-1029979</v>
      </c>
      <c r="E6710" t="s">
        <v>149</v>
      </c>
      <c r="F6710" t="s">
        <v>4</v>
      </c>
      <c r="G6710" t="str">
        <f>""</f>
        <v/>
      </c>
    </row>
    <row r="6711" spans="1:7" x14ac:dyDescent="0.25">
      <c r="A6711" t="s">
        <v>8</v>
      </c>
      <c r="B6711" s="1" t="str">
        <f>"000053558 - CASA DIBERTACCHI-MAIN ARAMARK"</f>
        <v>000053558 - CASA DIBERTACCHI-MAIN ARAMARK</v>
      </c>
      <c r="C6711" t="s">
        <v>148</v>
      </c>
      <c r="D6711" s="1" t="str">
        <f t="shared" si="189"/>
        <v>PRG-1029979</v>
      </c>
      <c r="E6711" t="s">
        <v>149</v>
      </c>
      <c r="F6711" t="s">
        <v>4</v>
      </c>
      <c r="G6711" t="str">
        <f>""</f>
        <v/>
      </c>
    </row>
    <row r="6712" spans="1:7" x14ac:dyDescent="0.25">
      <c r="A6712" t="s">
        <v>8</v>
      </c>
      <c r="B6712" s="1" t="str">
        <f>"000061387 - CASA DIBERTACCHI-MAIN ARAMARK"</f>
        <v>000061387 - CASA DIBERTACCHI-MAIN ARAMARK</v>
      </c>
      <c r="C6712" t="s">
        <v>148</v>
      </c>
      <c r="D6712" s="1" t="str">
        <f t="shared" si="189"/>
        <v>PRG-1029979</v>
      </c>
      <c r="E6712" t="s">
        <v>149</v>
      </c>
      <c r="F6712" t="s">
        <v>4</v>
      </c>
      <c r="G6712" t="str">
        <f>""</f>
        <v/>
      </c>
    </row>
    <row r="6713" spans="1:7" x14ac:dyDescent="0.25">
      <c r="A6713" t="s">
        <v>8</v>
      </c>
      <c r="B6713" s="1" t="str">
        <f>"000066341 - CASA DIBERTACCHI-MAIN ARAMARK"</f>
        <v>000066341 - CASA DIBERTACCHI-MAIN ARAMARK</v>
      </c>
      <c r="C6713" t="s">
        <v>148</v>
      </c>
      <c r="D6713" s="1" t="str">
        <f t="shared" si="189"/>
        <v>PRG-1029979</v>
      </c>
      <c r="E6713" t="s">
        <v>149</v>
      </c>
      <c r="F6713" t="s">
        <v>4</v>
      </c>
      <c r="G6713" t="str">
        <f>""</f>
        <v/>
      </c>
    </row>
    <row r="6714" spans="1:7" x14ac:dyDescent="0.25">
      <c r="A6714" t="s">
        <v>8</v>
      </c>
      <c r="B6714" s="1" t="str">
        <f>"000066888 - RETRO BB CASA DIBERTACCHI-MAIN"</f>
        <v>000066888 - RETRO BB CASA DIBERTACCHI-MAIN</v>
      </c>
      <c r="C6714" t="s">
        <v>719</v>
      </c>
      <c r="D6714" s="1" t="str">
        <f t="shared" si="189"/>
        <v>PRG-1029979</v>
      </c>
      <c r="E6714" t="s">
        <v>149</v>
      </c>
      <c r="F6714" t="s">
        <v>4</v>
      </c>
      <c r="G6714" t="str">
        <f>""</f>
        <v/>
      </c>
    </row>
    <row r="6715" spans="1:7" x14ac:dyDescent="0.25">
      <c r="A6715" t="s">
        <v>8</v>
      </c>
      <c r="B6715" s="1" t="str">
        <f>"000106424 - CASA DIBERTACCHI-MAIN ARAMARK"</f>
        <v>000106424 - CASA DIBERTACCHI-MAIN ARAMARK</v>
      </c>
      <c r="C6715" t="s">
        <v>148</v>
      </c>
      <c r="D6715" s="1" t="str">
        <f t="shared" si="189"/>
        <v>PRG-1029979</v>
      </c>
      <c r="E6715" t="s">
        <v>149</v>
      </c>
      <c r="F6715" t="s">
        <v>4</v>
      </c>
      <c r="G6715" t="str">
        <f>""</f>
        <v/>
      </c>
    </row>
    <row r="6716" spans="1:7" x14ac:dyDescent="0.25">
      <c r="A6716" t="s">
        <v>8</v>
      </c>
      <c r="B6716" s="1" t="str">
        <f>"000115669 - CASA DIBERTACCHI-MAIN ARAMARK"</f>
        <v>000115669 - CASA DIBERTACCHI-MAIN ARAMARK</v>
      </c>
      <c r="C6716" t="s">
        <v>148</v>
      </c>
      <c r="D6716" s="1" t="str">
        <f t="shared" si="189"/>
        <v>PRG-1029979</v>
      </c>
      <c r="E6716" t="s">
        <v>149</v>
      </c>
      <c r="F6716" t="s">
        <v>4</v>
      </c>
      <c r="G6716" t="str">
        <f>""</f>
        <v/>
      </c>
    </row>
    <row r="6717" spans="1:7" x14ac:dyDescent="0.25">
      <c r="A6717" t="s">
        <v>8</v>
      </c>
      <c r="B6717" s="1" t="str">
        <f>"000119114 - CASA DIBERTACCHI-MAIN ARAMARK"</f>
        <v>000119114 - CASA DIBERTACCHI-MAIN ARAMARK</v>
      </c>
      <c r="C6717" t="s">
        <v>148</v>
      </c>
      <c r="D6717" s="1" t="str">
        <f t="shared" si="189"/>
        <v>PRG-1029979</v>
      </c>
      <c r="E6717" t="s">
        <v>149</v>
      </c>
      <c r="F6717" t="s">
        <v>4</v>
      </c>
      <c r="G6717" t="str">
        <f>""</f>
        <v/>
      </c>
    </row>
    <row r="6718" spans="1:7" x14ac:dyDescent="0.25">
      <c r="A6718" t="s">
        <v>8</v>
      </c>
      <c r="B6718" s="1" t="str">
        <f>"000123804 - CASA DIBERTACCHI-MAIN ARAMARK"</f>
        <v>000123804 - CASA DIBERTACCHI-MAIN ARAMARK</v>
      </c>
      <c r="C6718" t="s">
        <v>148</v>
      </c>
      <c r="D6718" s="1" t="str">
        <f t="shared" si="189"/>
        <v>PRG-1029979</v>
      </c>
      <c r="E6718" t="s">
        <v>149</v>
      </c>
      <c r="F6718" t="s">
        <v>4</v>
      </c>
      <c r="G6718" t="str">
        <f>""</f>
        <v/>
      </c>
    </row>
    <row r="6719" spans="1:7" x14ac:dyDescent="0.25">
      <c r="A6719" t="s">
        <v>8</v>
      </c>
      <c r="B6719" s="1" t="str">
        <f>"000125460 - CASA DIBERTACCHI-MAIN ARAMARK"</f>
        <v>000125460 - CASA DIBERTACCHI-MAIN ARAMARK</v>
      </c>
      <c r="C6719" t="s">
        <v>148</v>
      </c>
      <c r="D6719" s="1" t="str">
        <f t="shared" si="189"/>
        <v>PRG-1029979</v>
      </c>
      <c r="E6719" t="s">
        <v>149</v>
      </c>
      <c r="F6719" t="s">
        <v>4</v>
      </c>
      <c r="G6719" t="str">
        <f>""</f>
        <v/>
      </c>
    </row>
    <row r="6720" spans="1:7" x14ac:dyDescent="0.25">
      <c r="A6720" t="s">
        <v>8</v>
      </c>
      <c r="B6720" s="1" t="str">
        <f>"000128620 - CASA DIBERTACCHI-MAIN ARAMARK"</f>
        <v>000128620 - CASA DIBERTACCHI-MAIN ARAMARK</v>
      </c>
      <c r="C6720" t="s">
        <v>148</v>
      </c>
      <c r="D6720" s="1" t="str">
        <f t="shared" si="189"/>
        <v>PRG-1029979</v>
      </c>
      <c r="E6720" t="s">
        <v>149</v>
      </c>
      <c r="F6720" t="s">
        <v>4</v>
      </c>
      <c r="G6720" t="str">
        <f>""</f>
        <v/>
      </c>
    </row>
    <row r="6721" spans="1:7" x14ac:dyDescent="0.25">
      <c r="A6721" t="s">
        <v>8</v>
      </c>
      <c r="B6721" s="1" t="str">
        <f>"000129258 - CASA DIBERTACCHI-MAIN ARAMARK"</f>
        <v>000129258 - CASA DIBERTACCHI-MAIN ARAMARK</v>
      </c>
      <c r="C6721" t="s">
        <v>148</v>
      </c>
      <c r="D6721" s="1" t="str">
        <f t="shared" si="189"/>
        <v>PRG-1029979</v>
      </c>
      <c r="E6721" t="s">
        <v>149</v>
      </c>
      <c r="F6721" t="s">
        <v>4</v>
      </c>
      <c r="G6721" t="str">
        <f>""</f>
        <v/>
      </c>
    </row>
    <row r="6722" spans="1:7" x14ac:dyDescent="0.25">
      <c r="A6722" t="s">
        <v>8</v>
      </c>
      <c r="B6722" s="1" t="str">
        <f>"000133121 - CASA DIBERTACCHI-MAIN ARAMARK"</f>
        <v>000133121 - CASA DIBERTACCHI-MAIN ARAMARK</v>
      </c>
      <c r="C6722" t="s">
        <v>148</v>
      </c>
      <c r="D6722" s="1" t="str">
        <f t="shared" si="189"/>
        <v>PRG-1029979</v>
      </c>
      <c r="E6722" t="s">
        <v>149</v>
      </c>
      <c r="F6722" t="s">
        <v>4</v>
      </c>
      <c r="G6722" t="str">
        <f>""</f>
        <v/>
      </c>
    </row>
    <row r="6723" spans="1:7" x14ac:dyDescent="0.25">
      <c r="A6723" t="s">
        <v>8</v>
      </c>
      <c r="B6723" s="1" t="str">
        <f>"000136410 - "</f>
        <v xml:space="preserve">000136410 - </v>
      </c>
      <c r="D6723" s="1" t="str">
        <f t="shared" si="189"/>
        <v>PRG-1029979</v>
      </c>
      <c r="E6723" t="s">
        <v>149</v>
      </c>
      <c r="F6723" t="s">
        <v>4</v>
      </c>
      <c r="G6723" t="str">
        <f>""</f>
        <v/>
      </c>
    </row>
    <row r="6724" spans="1:7" x14ac:dyDescent="0.25">
      <c r="A6724" t="s">
        <v>8</v>
      </c>
      <c r="B6724" s="1" t="str">
        <f>"000139790 - "</f>
        <v xml:space="preserve">000139790 - </v>
      </c>
      <c r="D6724" s="1" t="str">
        <f t="shared" si="189"/>
        <v>PRG-1029979</v>
      </c>
      <c r="E6724" t="s">
        <v>149</v>
      </c>
      <c r="F6724" t="s">
        <v>4</v>
      </c>
      <c r="G6724" t="str">
        <f>""</f>
        <v/>
      </c>
    </row>
    <row r="6725" spans="1:7" x14ac:dyDescent="0.25">
      <c r="A6725" t="s">
        <v>8</v>
      </c>
      <c r="B6725" s="1" t="str">
        <f>"000140789 - CASA DIBERTACCHI-MAIN ARAMARK"</f>
        <v>000140789 - CASA DIBERTACCHI-MAIN ARAMARK</v>
      </c>
      <c r="C6725" t="s">
        <v>148</v>
      </c>
      <c r="D6725" s="1" t="str">
        <f t="shared" si="189"/>
        <v>PRG-1029979</v>
      </c>
      <c r="E6725" t="s">
        <v>149</v>
      </c>
      <c r="F6725" t="s">
        <v>4</v>
      </c>
      <c r="G6725" t="str">
        <f>""</f>
        <v/>
      </c>
    </row>
    <row r="6726" spans="1:7" x14ac:dyDescent="0.25">
      <c r="A6726" t="s">
        <v>8</v>
      </c>
      <c r="B6726" s="1" t="str">
        <f>"000145567 - CASA DIBERTACCHI-MAIN ARAMARK"</f>
        <v>000145567 - CASA DIBERTACCHI-MAIN ARAMARK</v>
      </c>
      <c r="C6726" t="s">
        <v>148</v>
      </c>
      <c r="D6726" s="1" t="str">
        <f t="shared" si="189"/>
        <v>PRG-1029979</v>
      </c>
      <c r="E6726" t="s">
        <v>149</v>
      </c>
      <c r="F6726" t="s">
        <v>4</v>
      </c>
      <c r="G6726" t="str">
        <f>""</f>
        <v/>
      </c>
    </row>
    <row r="6727" spans="1:7" x14ac:dyDescent="0.25">
      <c r="A6727" t="s">
        <v>8</v>
      </c>
      <c r="B6727" s="1" t="str">
        <f>"000146418 - CASA DIBERTACCHI-MAIN ARAMARK"</f>
        <v>000146418 - CASA DIBERTACCHI-MAIN ARAMARK</v>
      </c>
      <c r="C6727" t="s">
        <v>148</v>
      </c>
      <c r="D6727" s="1" t="str">
        <f t="shared" si="189"/>
        <v>PRG-1029979</v>
      </c>
      <c r="E6727" t="s">
        <v>149</v>
      </c>
      <c r="F6727" t="s">
        <v>4</v>
      </c>
      <c r="G6727" t="str">
        <f>""</f>
        <v/>
      </c>
    </row>
    <row r="6728" spans="1:7" x14ac:dyDescent="0.25">
      <c r="A6728" t="s">
        <v>8</v>
      </c>
      <c r="B6728" s="1" t="str">
        <f>"000150532 - CASA DIBERTACCHI-MAIN ARAMARK"</f>
        <v>000150532 - CASA DIBERTACCHI-MAIN ARAMARK</v>
      </c>
      <c r="C6728" t="s">
        <v>148</v>
      </c>
      <c r="D6728" s="1" t="str">
        <f t="shared" si="189"/>
        <v>PRG-1029979</v>
      </c>
      <c r="E6728" t="s">
        <v>149</v>
      </c>
      <c r="F6728" t="s">
        <v>4</v>
      </c>
      <c r="G6728" t="str">
        <f>""</f>
        <v/>
      </c>
    </row>
    <row r="6729" spans="1:7" x14ac:dyDescent="0.25">
      <c r="A6729" t="s">
        <v>8</v>
      </c>
      <c r="B6729" s="1" t="str">
        <f>"000155093 - CASA DIBERTACCHI-MAIN ARAMARK"</f>
        <v>000155093 - CASA DIBERTACCHI-MAIN ARAMARK</v>
      </c>
      <c r="C6729" t="s">
        <v>148</v>
      </c>
      <c r="D6729" s="1" t="str">
        <f t="shared" si="189"/>
        <v>PRG-1029979</v>
      </c>
      <c r="E6729" t="s">
        <v>149</v>
      </c>
      <c r="F6729" t="s">
        <v>4</v>
      </c>
      <c r="G6729" t="str">
        <f>""</f>
        <v/>
      </c>
    </row>
    <row r="6730" spans="1:7" x14ac:dyDescent="0.25">
      <c r="A6730" t="s">
        <v>8</v>
      </c>
      <c r="B6730" s="1" t="str">
        <f>"000167224 - "</f>
        <v xml:space="preserve">000167224 - </v>
      </c>
      <c r="D6730" s="1" t="str">
        <f t="shared" si="189"/>
        <v>PRG-1029979</v>
      </c>
      <c r="E6730" t="s">
        <v>149</v>
      </c>
      <c r="F6730" t="s">
        <v>4</v>
      </c>
      <c r="G6730" t="str">
        <f>""</f>
        <v/>
      </c>
    </row>
    <row r="6731" spans="1:7" x14ac:dyDescent="0.25">
      <c r="A6731" t="s">
        <v>8</v>
      </c>
      <c r="B6731" s="1" t="str">
        <f>"000195363 - CASA DIBERTACCHI-MAIN ARAMARK"</f>
        <v>000195363 - CASA DIBERTACCHI-MAIN ARAMARK</v>
      </c>
      <c r="C6731" t="s">
        <v>148</v>
      </c>
      <c r="D6731" s="1" t="str">
        <f t="shared" si="189"/>
        <v>PRG-1029979</v>
      </c>
      <c r="E6731" t="s">
        <v>149</v>
      </c>
      <c r="F6731" t="s">
        <v>4</v>
      </c>
      <c r="G6731" t="str">
        <f>""</f>
        <v/>
      </c>
    </row>
    <row r="6732" spans="1:7" x14ac:dyDescent="0.25">
      <c r="A6732" t="s">
        <v>8</v>
      </c>
      <c r="B6732" s="1" t="str">
        <f>"000196063 - CASA DIBERTACCHI-MAIN ARAMARK"</f>
        <v>000196063 - CASA DIBERTACCHI-MAIN ARAMARK</v>
      </c>
      <c r="C6732" t="s">
        <v>148</v>
      </c>
      <c r="D6732" s="1" t="str">
        <f t="shared" si="189"/>
        <v>PRG-1029979</v>
      </c>
      <c r="E6732" t="s">
        <v>149</v>
      </c>
      <c r="F6732" t="s">
        <v>4</v>
      </c>
      <c r="G6732" t="str">
        <f>""</f>
        <v/>
      </c>
    </row>
    <row r="6733" spans="1:7" x14ac:dyDescent="0.25">
      <c r="A6733" t="s">
        <v>8</v>
      </c>
      <c r="B6733" s="1" t="str">
        <f>"000202490 - CASA DIBERTACCHI-MAIN ARAMARK"</f>
        <v>000202490 - CASA DIBERTACCHI-MAIN ARAMARK</v>
      </c>
      <c r="C6733" t="s">
        <v>148</v>
      </c>
      <c r="D6733" s="1" t="str">
        <f t="shared" si="189"/>
        <v>PRG-1029979</v>
      </c>
      <c r="E6733" t="s">
        <v>149</v>
      </c>
      <c r="F6733" t="s">
        <v>4</v>
      </c>
      <c r="G6733" t="str">
        <f>""</f>
        <v/>
      </c>
    </row>
    <row r="6734" spans="1:7" x14ac:dyDescent="0.25">
      <c r="A6734" t="s">
        <v>8</v>
      </c>
      <c r="B6734" s="1" t="str">
        <f>"000208673 - CASA DIBERTACCHI-MAIN ARAMARK"</f>
        <v>000208673 - CASA DIBERTACCHI-MAIN ARAMARK</v>
      </c>
      <c r="C6734" t="s">
        <v>148</v>
      </c>
      <c r="D6734" s="1" t="str">
        <f t="shared" si="189"/>
        <v>PRG-1029979</v>
      </c>
      <c r="E6734" t="s">
        <v>149</v>
      </c>
      <c r="F6734" t="s">
        <v>4</v>
      </c>
      <c r="G6734" t="str">
        <f>""</f>
        <v/>
      </c>
    </row>
    <row r="6735" spans="1:7" x14ac:dyDescent="0.25">
      <c r="A6735" t="s">
        <v>8</v>
      </c>
      <c r="B6735" s="1" t="str">
        <f>"000210606 - CASA DIBERTACCHI-MAIN ARAMARK"</f>
        <v>000210606 - CASA DIBERTACCHI-MAIN ARAMARK</v>
      </c>
      <c r="C6735" t="s">
        <v>148</v>
      </c>
      <c r="D6735" s="1" t="str">
        <f t="shared" si="189"/>
        <v>PRG-1029979</v>
      </c>
      <c r="E6735" t="s">
        <v>149</v>
      </c>
      <c r="F6735" t="s">
        <v>4</v>
      </c>
      <c r="G6735" t="str">
        <f>""</f>
        <v/>
      </c>
    </row>
    <row r="6736" spans="1:7" x14ac:dyDescent="0.25">
      <c r="A6736" t="s">
        <v>8</v>
      </c>
      <c r="B6736" s="1" t="str">
        <f>"000213474 - CASA DIBERTACCHI-MAIN ARAMARK"</f>
        <v>000213474 - CASA DIBERTACCHI-MAIN ARAMARK</v>
      </c>
      <c r="C6736" t="s">
        <v>148</v>
      </c>
      <c r="D6736" s="1" t="str">
        <f t="shared" ref="D6736:D6767" si="190">"PRG-1029979"</f>
        <v>PRG-1029979</v>
      </c>
      <c r="E6736" t="s">
        <v>149</v>
      </c>
      <c r="F6736" t="s">
        <v>4</v>
      </c>
      <c r="G6736" t="str">
        <f>""</f>
        <v/>
      </c>
    </row>
    <row r="6737" spans="1:7" x14ac:dyDescent="0.25">
      <c r="A6737" t="s">
        <v>8</v>
      </c>
      <c r="B6737" s="1" t="str">
        <f>"000215119 - CASA DIBERTACCHI-MAIN ARAMARK"</f>
        <v>000215119 - CASA DIBERTACCHI-MAIN ARAMARK</v>
      </c>
      <c r="C6737" t="s">
        <v>148</v>
      </c>
      <c r="D6737" s="1" t="str">
        <f t="shared" si="190"/>
        <v>PRG-1029979</v>
      </c>
      <c r="E6737" t="s">
        <v>149</v>
      </c>
      <c r="F6737" t="s">
        <v>4</v>
      </c>
      <c r="G6737" t="str">
        <f>""</f>
        <v/>
      </c>
    </row>
    <row r="6738" spans="1:7" x14ac:dyDescent="0.25">
      <c r="A6738" t="s">
        <v>8</v>
      </c>
      <c r="B6738" s="1" t="str">
        <f>"000215394 - CASA DIBERTACCHI-MAIN ARAMARK"</f>
        <v>000215394 - CASA DIBERTACCHI-MAIN ARAMARK</v>
      </c>
      <c r="C6738" t="s">
        <v>148</v>
      </c>
      <c r="D6738" s="1" t="str">
        <f t="shared" si="190"/>
        <v>PRG-1029979</v>
      </c>
      <c r="E6738" t="s">
        <v>149</v>
      </c>
      <c r="F6738" t="s">
        <v>4</v>
      </c>
      <c r="G6738" t="str">
        <f>""</f>
        <v/>
      </c>
    </row>
    <row r="6739" spans="1:7" x14ac:dyDescent="0.25">
      <c r="A6739" t="s">
        <v>8</v>
      </c>
      <c r="B6739" s="1" t="str">
        <f>"000215686 - CASA DIBERTACCHI-MAIN ARAMARK"</f>
        <v>000215686 - CASA DIBERTACCHI-MAIN ARAMARK</v>
      </c>
      <c r="C6739" t="s">
        <v>148</v>
      </c>
      <c r="D6739" s="1" t="str">
        <f t="shared" si="190"/>
        <v>PRG-1029979</v>
      </c>
      <c r="E6739" t="s">
        <v>149</v>
      </c>
      <c r="F6739" t="s">
        <v>4</v>
      </c>
      <c r="G6739" t="str">
        <f>""</f>
        <v/>
      </c>
    </row>
    <row r="6740" spans="1:7" x14ac:dyDescent="0.25">
      <c r="A6740" t="s">
        <v>8</v>
      </c>
      <c r="B6740" s="1" t="str">
        <f>"000216227 - CASA DIBERTACCHI-MAIN ARAMARK"</f>
        <v>000216227 - CASA DIBERTACCHI-MAIN ARAMARK</v>
      </c>
      <c r="C6740" t="s">
        <v>148</v>
      </c>
      <c r="D6740" s="1" t="str">
        <f t="shared" si="190"/>
        <v>PRG-1029979</v>
      </c>
      <c r="E6740" t="s">
        <v>149</v>
      </c>
      <c r="F6740" t="s">
        <v>4</v>
      </c>
      <c r="G6740" t="str">
        <f>""</f>
        <v/>
      </c>
    </row>
    <row r="6741" spans="1:7" x14ac:dyDescent="0.25">
      <c r="A6741" t="s">
        <v>8</v>
      </c>
      <c r="B6741" s="1" t="str">
        <f>"000222324 - CASA DIBERTACCHI-MAIN ARAMARK"</f>
        <v>000222324 - CASA DIBERTACCHI-MAIN ARAMARK</v>
      </c>
      <c r="C6741" t="s">
        <v>148</v>
      </c>
      <c r="D6741" s="1" t="str">
        <f t="shared" si="190"/>
        <v>PRG-1029979</v>
      </c>
      <c r="E6741" t="s">
        <v>149</v>
      </c>
      <c r="F6741" t="s">
        <v>4</v>
      </c>
      <c r="G6741" t="str">
        <f>""</f>
        <v/>
      </c>
    </row>
    <row r="6742" spans="1:7" x14ac:dyDescent="0.25">
      <c r="A6742" t="s">
        <v>8</v>
      </c>
      <c r="B6742" s="1" t="str">
        <f>"000224968 - CASA DIBERTACCHI-MAIN ARAMARK"</f>
        <v>000224968 - CASA DIBERTACCHI-MAIN ARAMARK</v>
      </c>
      <c r="C6742" t="s">
        <v>148</v>
      </c>
      <c r="D6742" s="1" t="str">
        <f t="shared" si="190"/>
        <v>PRG-1029979</v>
      </c>
      <c r="E6742" t="s">
        <v>149</v>
      </c>
      <c r="F6742" t="s">
        <v>4</v>
      </c>
      <c r="G6742" t="str">
        <f>""</f>
        <v/>
      </c>
    </row>
    <row r="6743" spans="1:7" x14ac:dyDescent="0.25">
      <c r="A6743" t="s">
        <v>8</v>
      </c>
      <c r="B6743" s="1" t="str">
        <f>"000225932 - CASA DIBERTACCHI-MAIN ARAMARK"</f>
        <v>000225932 - CASA DIBERTACCHI-MAIN ARAMARK</v>
      </c>
      <c r="C6743" t="s">
        <v>148</v>
      </c>
      <c r="D6743" s="1" t="str">
        <f t="shared" si="190"/>
        <v>PRG-1029979</v>
      </c>
      <c r="E6743" t="s">
        <v>149</v>
      </c>
      <c r="F6743" t="s">
        <v>4</v>
      </c>
      <c r="G6743" t="str">
        <f>""</f>
        <v/>
      </c>
    </row>
    <row r="6744" spans="1:7" x14ac:dyDescent="0.25">
      <c r="A6744" t="s">
        <v>8</v>
      </c>
      <c r="B6744" s="1" t="str">
        <f>"000227082 - CASA DIBERTACCHI-MAIN ARAMARK"</f>
        <v>000227082 - CASA DIBERTACCHI-MAIN ARAMARK</v>
      </c>
      <c r="C6744" t="s">
        <v>148</v>
      </c>
      <c r="D6744" s="1" t="str">
        <f t="shared" si="190"/>
        <v>PRG-1029979</v>
      </c>
      <c r="E6744" t="s">
        <v>149</v>
      </c>
      <c r="F6744" t="s">
        <v>4</v>
      </c>
      <c r="G6744" t="str">
        <f>""</f>
        <v/>
      </c>
    </row>
    <row r="6745" spans="1:7" x14ac:dyDescent="0.25">
      <c r="A6745" t="s">
        <v>8</v>
      </c>
      <c r="B6745" s="1" t="str">
        <f>"000227480 - CASA DIBERTACCHI-MAIN ARAMARK"</f>
        <v>000227480 - CASA DIBERTACCHI-MAIN ARAMARK</v>
      </c>
      <c r="C6745" t="s">
        <v>148</v>
      </c>
      <c r="D6745" s="1" t="str">
        <f t="shared" si="190"/>
        <v>PRG-1029979</v>
      </c>
      <c r="E6745" t="s">
        <v>149</v>
      </c>
      <c r="F6745" t="s">
        <v>4</v>
      </c>
      <c r="G6745" t="str">
        <f>""</f>
        <v/>
      </c>
    </row>
    <row r="6746" spans="1:7" x14ac:dyDescent="0.25">
      <c r="A6746" t="s">
        <v>8</v>
      </c>
      <c r="B6746" s="1" t="str">
        <f>"000229285 - CASA DIBERTACCHI  MAIN ARAMARK"</f>
        <v>000229285 - CASA DIBERTACCHI  MAIN ARAMARK</v>
      </c>
      <c r="C6746" t="s">
        <v>1735</v>
      </c>
      <c r="D6746" s="1" t="str">
        <f t="shared" si="190"/>
        <v>PRG-1029979</v>
      </c>
      <c r="E6746" t="s">
        <v>149</v>
      </c>
      <c r="F6746" t="s">
        <v>4</v>
      </c>
      <c r="G6746" t="str">
        <f>""</f>
        <v/>
      </c>
    </row>
    <row r="6747" spans="1:7" x14ac:dyDescent="0.25">
      <c r="A6747" t="s">
        <v>8</v>
      </c>
      <c r="B6747" s="1" t="str">
        <f>"000230191 - CASA DIBERTACCHI-MAIN ARAMARK"</f>
        <v>000230191 - CASA DIBERTACCHI-MAIN ARAMARK</v>
      </c>
      <c r="C6747" t="s">
        <v>148</v>
      </c>
      <c r="D6747" s="1" t="str">
        <f t="shared" si="190"/>
        <v>PRG-1029979</v>
      </c>
      <c r="E6747" t="s">
        <v>149</v>
      </c>
      <c r="F6747" t="s">
        <v>4</v>
      </c>
      <c r="G6747" t="str">
        <f>""</f>
        <v/>
      </c>
    </row>
    <row r="6748" spans="1:7" x14ac:dyDescent="0.25">
      <c r="A6748" t="s">
        <v>8</v>
      </c>
      <c r="B6748" s="1" t="str">
        <f>"000230330 - CASA DIBERTACCHI-MAIN ARAMARK"</f>
        <v>000230330 - CASA DIBERTACCHI-MAIN ARAMARK</v>
      </c>
      <c r="C6748" t="s">
        <v>148</v>
      </c>
      <c r="D6748" s="1" t="str">
        <f t="shared" si="190"/>
        <v>PRG-1029979</v>
      </c>
      <c r="E6748" t="s">
        <v>149</v>
      </c>
      <c r="F6748" t="s">
        <v>4</v>
      </c>
      <c r="G6748" t="str">
        <f>""</f>
        <v/>
      </c>
    </row>
    <row r="6749" spans="1:7" x14ac:dyDescent="0.25">
      <c r="A6749" t="s">
        <v>8</v>
      </c>
      <c r="B6749" s="1" t="str">
        <f>"000230590 - CASA DIBERTACCHI-MAIN ARAMARK"</f>
        <v>000230590 - CASA DIBERTACCHI-MAIN ARAMARK</v>
      </c>
      <c r="C6749" t="s">
        <v>148</v>
      </c>
      <c r="D6749" s="1" t="str">
        <f t="shared" si="190"/>
        <v>PRG-1029979</v>
      </c>
      <c r="E6749" t="s">
        <v>149</v>
      </c>
      <c r="F6749" t="s">
        <v>4</v>
      </c>
      <c r="G6749" t="str">
        <f>""</f>
        <v/>
      </c>
    </row>
    <row r="6750" spans="1:7" x14ac:dyDescent="0.25">
      <c r="A6750" t="s">
        <v>8</v>
      </c>
      <c r="B6750" s="1" t="str">
        <f>"000231595 - "</f>
        <v xml:space="preserve">000231595 - </v>
      </c>
      <c r="D6750" s="1" t="str">
        <f t="shared" si="190"/>
        <v>PRG-1029979</v>
      </c>
      <c r="E6750" t="s">
        <v>149</v>
      </c>
      <c r="F6750" t="s">
        <v>4</v>
      </c>
      <c r="G6750" t="str">
        <f>""</f>
        <v/>
      </c>
    </row>
    <row r="6751" spans="1:7" x14ac:dyDescent="0.25">
      <c r="A6751" t="s">
        <v>8</v>
      </c>
      <c r="B6751" s="1" t="str">
        <f>"000232624 - CASA DIBERTACCHI-MAIN ARAMARK"</f>
        <v>000232624 - CASA DIBERTACCHI-MAIN ARAMARK</v>
      </c>
      <c r="C6751" t="s">
        <v>148</v>
      </c>
      <c r="D6751" s="1" t="str">
        <f t="shared" si="190"/>
        <v>PRG-1029979</v>
      </c>
      <c r="E6751" t="s">
        <v>149</v>
      </c>
      <c r="F6751" t="s">
        <v>4</v>
      </c>
      <c r="G6751" t="str">
        <f>""</f>
        <v/>
      </c>
    </row>
    <row r="6752" spans="1:7" x14ac:dyDescent="0.25">
      <c r="A6752" t="s">
        <v>8</v>
      </c>
      <c r="B6752" s="1" t="str">
        <f>"000237410 - CASA DIBERTACCHI-MAIN ARAMARK"</f>
        <v>000237410 - CASA DIBERTACCHI-MAIN ARAMARK</v>
      </c>
      <c r="C6752" t="s">
        <v>148</v>
      </c>
      <c r="D6752" s="1" t="str">
        <f t="shared" si="190"/>
        <v>PRG-1029979</v>
      </c>
      <c r="E6752" t="s">
        <v>149</v>
      </c>
      <c r="F6752" t="s">
        <v>4</v>
      </c>
      <c r="G6752" t="str">
        <f>""</f>
        <v/>
      </c>
    </row>
    <row r="6753" spans="1:7" x14ac:dyDescent="0.25">
      <c r="A6753" t="s">
        <v>8</v>
      </c>
      <c r="B6753" s="1" t="str">
        <f>"000237868 - CASA DIBERTACCHI-MAIN ARAMARK"</f>
        <v>000237868 - CASA DIBERTACCHI-MAIN ARAMARK</v>
      </c>
      <c r="C6753" t="s">
        <v>148</v>
      </c>
      <c r="D6753" s="1" t="str">
        <f t="shared" si="190"/>
        <v>PRG-1029979</v>
      </c>
      <c r="E6753" t="s">
        <v>149</v>
      </c>
      <c r="F6753" t="s">
        <v>4</v>
      </c>
      <c r="G6753" t="str">
        <f>""</f>
        <v/>
      </c>
    </row>
    <row r="6754" spans="1:7" x14ac:dyDescent="0.25">
      <c r="A6754" t="s">
        <v>8</v>
      </c>
      <c r="B6754" s="1" t="str">
        <f>"000238177 - CASA DIBERTACCHI-MAIN ARAMARK"</f>
        <v>000238177 - CASA DIBERTACCHI-MAIN ARAMARK</v>
      </c>
      <c r="C6754" t="s">
        <v>148</v>
      </c>
      <c r="D6754" s="1" t="str">
        <f t="shared" si="190"/>
        <v>PRG-1029979</v>
      </c>
      <c r="E6754" t="s">
        <v>149</v>
      </c>
      <c r="F6754" t="s">
        <v>4</v>
      </c>
      <c r="G6754" t="str">
        <f>""</f>
        <v/>
      </c>
    </row>
    <row r="6755" spans="1:7" x14ac:dyDescent="0.25">
      <c r="A6755" t="s">
        <v>8</v>
      </c>
      <c r="B6755" s="1" t="str">
        <f>"000238671 - CASA DIBERTACCHI-MAIN ARAMARK"</f>
        <v>000238671 - CASA DIBERTACCHI-MAIN ARAMARK</v>
      </c>
      <c r="C6755" t="s">
        <v>148</v>
      </c>
      <c r="D6755" s="1" t="str">
        <f t="shared" si="190"/>
        <v>PRG-1029979</v>
      </c>
      <c r="E6755" t="s">
        <v>149</v>
      </c>
      <c r="F6755" t="s">
        <v>4</v>
      </c>
      <c r="G6755" t="str">
        <f>""</f>
        <v/>
      </c>
    </row>
    <row r="6756" spans="1:7" x14ac:dyDescent="0.25">
      <c r="A6756" t="s">
        <v>8</v>
      </c>
      <c r="B6756" s="1" t="str">
        <f>"000239511 - CASA DIBERTACCHI-MAIN ARAMARK"</f>
        <v>000239511 - CASA DIBERTACCHI-MAIN ARAMARK</v>
      </c>
      <c r="C6756" t="s">
        <v>148</v>
      </c>
      <c r="D6756" s="1" t="str">
        <f t="shared" si="190"/>
        <v>PRG-1029979</v>
      </c>
      <c r="E6756" t="s">
        <v>149</v>
      </c>
      <c r="F6756" t="s">
        <v>4</v>
      </c>
      <c r="G6756" t="str">
        <f>""</f>
        <v/>
      </c>
    </row>
    <row r="6757" spans="1:7" x14ac:dyDescent="0.25">
      <c r="A6757" t="s">
        <v>8</v>
      </c>
      <c r="B6757" s="1" t="str">
        <f>"000239951 - CASA DIBERTACCHI-MAIN ARAMARK"</f>
        <v>000239951 - CASA DIBERTACCHI-MAIN ARAMARK</v>
      </c>
      <c r="C6757" t="s">
        <v>148</v>
      </c>
      <c r="D6757" s="1" t="str">
        <f t="shared" si="190"/>
        <v>PRG-1029979</v>
      </c>
      <c r="E6757" t="s">
        <v>149</v>
      </c>
      <c r="F6757" t="s">
        <v>4</v>
      </c>
      <c r="G6757" t="str">
        <f>""</f>
        <v/>
      </c>
    </row>
    <row r="6758" spans="1:7" x14ac:dyDescent="0.25">
      <c r="A6758" t="s">
        <v>8</v>
      </c>
      <c r="B6758" s="1" t="str">
        <f>"000241176 - CASA DIBERTACCHI-MAIN ARAMARK"</f>
        <v>000241176 - CASA DIBERTACCHI-MAIN ARAMARK</v>
      </c>
      <c r="C6758" t="s">
        <v>148</v>
      </c>
      <c r="D6758" s="1" t="str">
        <f t="shared" si="190"/>
        <v>PRG-1029979</v>
      </c>
      <c r="E6758" t="s">
        <v>149</v>
      </c>
      <c r="F6758" t="s">
        <v>4</v>
      </c>
      <c r="G6758" t="str">
        <f>""</f>
        <v/>
      </c>
    </row>
    <row r="6759" spans="1:7" x14ac:dyDescent="0.25">
      <c r="A6759" t="s">
        <v>8</v>
      </c>
      <c r="B6759" s="1" t="str">
        <f>"000242567 - "</f>
        <v xml:space="preserve">000242567 - </v>
      </c>
      <c r="D6759" s="1" t="str">
        <f t="shared" si="190"/>
        <v>PRG-1029979</v>
      </c>
      <c r="E6759" t="s">
        <v>149</v>
      </c>
      <c r="F6759" t="s">
        <v>4</v>
      </c>
      <c r="G6759" t="str">
        <f>""</f>
        <v/>
      </c>
    </row>
    <row r="6760" spans="1:7" x14ac:dyDescent="0.25">
      <c r="A6760" t="s">
        <v>8</v>
      </c>
      <c r="B6760" s="1" t="str">
        <f>"000242845 - "</f>
        <v xml:space="preserve">000242845 - </v>
      </c>
      <c r="D6760" s="1" t="str">
        <f t="shared" si="190"/>
        <v>PRG-1029979</v>
      </c>
      <c r="E6760" t="s">
        <v>149</v>
      </c>
      <c r="F6760" t="s">
        <v>4</v>
      </c>
      <c r="G6760" t="str">
        <f>""</f>
        <v/>
      </c>
    </row>
    <row r="6761" spans="1:7" x14ac:dyDescent="0.25">
      <c r="A6761" t="s">
        <v>8</v>
      </c>
      <c r="B6761" s="1" t="str">
        <f>"000243293 - CASA DIBERTACCHI-MAIN ARAMARK"</f>
        <v>000243293 - CASA DIBERTACCHI-MAIN ARAMARK</v>
      </c>
      <c r="C6761" t="s">
        <v>148</v>
      </c>
      <c r="D6761" s="1" t="str">
        <f t="shared" si="190"/>
        <v>PRG-1029979</v>
      </c>
      <c r="E6761" t="s">
        <v>149</v>
      </c>
      <c r="F6761" t="s">
        <v>4</v>
      </c>
      <c r="G6761" t="str">
        <f>""</f>
        <v/>
      </c>
    </row>
    <row r="6762" spans="1:7" x14ac:dyDescent="0.25">
      <c r="A6762" t="s">
        <v>8</v>
      </c>
      <c r="B6762" s="1" t="str">
        <f>"000244454 - CASA DIBERTACCHI-MAIN ARAMARK"</f>
        <v>000244454 - CASA DIBERTACCHI-MAIN ARAMARK</v>
      </c>
      <c r="C6762" t="s">
        <v>148</v>
      </c>
      <c r="D6762" s="1" t="str">
        <f t="shared" si="190"/>
        <v>PRG-1029979</v>
      </c>
      <c r="E6762" t="s">
        <v>149</v>
      </c>
      <c r="F6762" t="s">
        <v>4</v>
      </c>
      <c r="G6762" t="str">
        <f>""</f>
        <v/>
      </c>
    </row>
    <row r="6763" spans="1:7" x14ac:dyDescent="0.25">
      <c r="A6763" t="s">
        <v>8</v>
      </c>
      <c r="B6763" s="1" t="str">
        <f>"000244619 - CASA DIBERTACCHI-MAIN ARAMARK"</f>
        <v>000244619 - CASA DIBERTACCHI-MAIN ARAMARK</v>
      </c>
      <c r="C6763" t="s">
        <v>148</v>
      </c>
      <c r="D6763" s="1" t="str">
        <f t="shared" si="190"/>
        <v>PRG-1029979</v>
      </c>
      <c r="E6763" t="s">
        <v>149</v>
      </c>
      <c r="F6763" t="s">
        <v>4</v>
      </c>
      <c r="G6763" t="str">
        <f>""</f>
        <v/>
      </c>
    </row>
    <row r="6764" spans="1:7" x14ac:dyDescent="0.25">
      <c r="A6764" t="s">
        <v>8</v>
      </c>
      <c r="B6764" s="1" t="str">
        <f>"000245369 - CASA DIBERTACCHI-MAIN ARAMARK"</f>
        <v>000245369 - CASA DIBERTACCHI-MAIN ARAMARK</v>
      </c>
      <c r="C6764" t="s">
        <v>148</v>
      </c>
      <c r="D6764" s="1" t="str">
        <f t="shared" si="190"/>
        <v>PRG-1029979</v>
      </c>
      <c r="E6764" t="s">
        <v>149</v>
      </c>
      <c r="F6764" t="s">
        <v>4</v>
      </c>
      <c r="G6764" t="str">
        <f>""</f>
        <v/>
      </c>
    </row>
    <row r="6765" spans="1:7" x14ac:dyDescent="0.25">
      <c r="A6765" t="s">
        <v>8</v>
      </c>
      <c r="B6765" s="1" t="str">
        <f>"000245647 - CASA DIBERTACCHI-MAIN ARAMARK"</f>
        <v>000245647 - CASA DIBERTACCHI-MAIN ARAMARK</v>
      </c>
      <c r="C6765" t="s">
        <v>148</v>
      </c>
      <c r="D6765" s="1" t="str">
        <f t="shared" si="190"/>
        <v>PRG-1029979</v>
      </c>
      <c r="E6765" t="s">
        <v>149</v>
      </c>
      <c r="F6765" t="s">
        <v>4</v>
      </c>
      <c r="G6765" t="str">
        <f>""</f>
        <v/>
      </c>
    </row>
    <row r="6766" spans="1:7" x14ac:dyDescent="0.25">
      <c r="A6766" t="s">
        <v>8</v>
      </c>
      <c r="B6766" s="1" t="str">
        <f>"000246164 - CASA DIBERTACCHI-MAIN ARAMARK"</f>
        <v>000246164 - CASA DIBERTACCHI-MAIN ARAMARK</v>
      </c>
      <c r="C6766" t="s">
        <v>148</v>
      </c>
      <c r="D6766" s="1" t="str">
        <f t="shared" si="190"/>
        <v>PRG-1029979</v>
      </c>
      <c r="E6766" t="s">
        <v>149</v>
      </c>
      <c r="F6766" t="s">
        <v>4</v>
      </c>
      <c r="G6766" t="str">
        <f>""</f>
        <v/>
      </c>
    </row>
    <row r="6767" spans="1:7" x14ac:dyDescent="0.25">
      <c r="A6767" t="s">
        <v>8</v>
      </c>
      <c r="B6767" s="1" t="str">
        <f>"000247440 - CASA DIBERTACCHI-MAIN ARAMARK"</f>
        <v>000247440 - CASA DIBERTACCHI-MAIN ARAMARK</v>
      </c>
      <c r="C6767" t="s">
        <v>148</v>
      </c>
      <c r="D6767" s="1" t="str">
        <f t="shared" si="190"/>
        <v>PRG-1029979</v>
      </c>
      <c r="E6767" t="s">
        <v>149</v>
      </c>
      <c r="F6767" t="s">
        <v>4</v>
      </c>
      <c r="G6767" t="str">
        <f>""</f>
        <v/>
      </c>
    </row>
    <row r="6768" spans="1:7" x14ac:dyDescent="0.25">
      <c r="A6768" t="s">
        <v>8</v>
      </c>
      <c r="B6768" s="1" t="str">
        <f>"000248796 - CASA DIBERTACCHI-MAIN ARAMARK"</f>
        <v>000248796 - CASA DIBERTACCHI-MAIN ARAMARK</v>
      </c>
      <c r="C6768" t="s">
        <v>148</v>
      </c>
      <c r="D6768" s="1" t="str">
        <f t="shared" ref="D6768:D6799" si="191">"PRG-1029979"</f>
        <v>PRG-1029979</v>
      </c>
      <c r="E6768" t="s">
        <v>149</v>
      </c>
      <c r="F6768" t="s">
        <v>4</v>
      </c>
      <c r="G6768" t="str">
        <f>""</f>
        <v/>
      </c>
    </row>
    <row r="6769" spans="1:7" x14ac:dyDescent="0.25">
      <c r="A6769" t="s">
        <v>8</v>
      </c>
      <c r="B6769" s="1" t="str">
        <f>"000249854 - CASA DIBERTACCHI-MAIN ARAMARK"</f>
        <v>000249854 - CASA DIBERTACCHI-MAIN ARAMARK</v>
      </c>
      <c r="C6769" t="s">
        <v>148</v>
      </c>
      <c r="D6769" s="1" t="str">
        <f t="shared" si="191"/>
        <v>PRG-1029979</v>
      </c>
      <c r="E6769" t="s">
        <v>149</v>
      </c>
      <c r="F6769" t="s">
        <v>4</v>
      </c>
      <c r="G6769" t="str">
        <f>""</f>
        <v/>
      </c>
    </row>
    <row r="6770" spans="1:7" x14ac:dyDescent="0.25">
      <c r="A6770" t="s">
        <v>8</v>
      </c>
      <c r="B6770" s="1" t="str">
        <f>"000250003 - CASA DIBERTACCHI-MAIN ARAMARK"</f>
        <v>000250003 - CASA DIBERTACCHI-MAIN ARAMARK</v>
      </c>
      <c r="C6770" t="s">
        <v>148</v>
      </c>
      <c r="D6770" s="1" t="str">
        <f t="shared" si="191"/>
        <v>PRG-1029979</v>
      </c>
      <c r="E6770" t="s">
        <v>149</v>
      </c>
      <c r="F6770" t="s">
        <v>4</v>
      </c>
      <c r="G6770" t="str">
        <f>""</f>
        <v/>
      </c>
    </row>
    <row r="6771" spans="1:7" x14ac:dyDescent="0.25">
      <c r="A6771" t="s">
        <v>8</v>
      </c>
      <c r="B6771" s="1" t="str">
        <f>"000250485 - CASA DIBERTACCHI-MAIN ARAMARK"</f>
        <v>000250485 - CASA DIBERTACCHI-MAIN ARAMARK</v>
      </c>
      <c r="C6771" t="s">
        <v>148</v>
      </c>
      <c r="D6771" s="1" t="str">
        <f t="shared" si="191"/>
        <v>PRG-1029979</v>
      </c>
      <c r="E6771" t="s">
        <v>149</v>
      </c>
      <c r="F6771" t="s">
        <v>4</v>
      </c>
      <c r="G6771" t="str">
        <f>""</f>
        <v/>
      </c>
    </row>
    <row r="6772" spans="1:7" x14ac:dyDescent="0.25">
      <c r="A6772" t="s">
        <v>8</v>
      </c>
      <c r="B6772" s="1" t="str">
        <f>"000252083 - CASA DIBERTACCHI-MAIN ARAMARK"</f>
        <v>000252083 - CASA DIBERTACCHI-MAIN ARAMARK</v>
      </c>
      <c r="C6772" t="s">
        <v>148</v>
      </c>
      <c r="D6772" s="1" t="str">
        <f t="shared" si="191"/>
        <v>PRG-1029979</v>
      </c>
      <c r="E6772" t="s">
        <v>149</v>
      </c>
      <c r="F6772" t="s">
        <v>4</v>
      </c>
      <c r="G6772" t="str">
        <f>""</f>
        <v/>
      </c>
    </row>
    <row r="6773" spans="1:7" x14ac:dyDescent="0.25">
      <c r="A6773" t="s">
        <v>8</v>
      </c>
      <c r="B6773" s="1" t="str">
        <f>"000252168 - CASA DIBERTACCHI-MAIN ARAMARK"</f>
        <v>000252168 - CASA DIBERTACCHI-MAIN ARAMARK</v>
      </c>
      <c r="C6773" t="s">
        <v>148</v>
      </c>
      <c r="D6773" s="1" t="str">
        <f t="shared" si="191"/>
        <v>PRG-1029979</v>
      </c>
      <c r="E6773" t="s">
        <v>149</v>
      </c>
      <c r="F6773" t="s">
        <v>4</v>
      </c>
      <c r="G6773" t="str">
        <f>""</f>
        <v/>
      </c>
    </row>
    <row r="6774" spans="1:7" x14ac:dyDescent="0.25">
      <c r="A6774" t="s">
        <v>8</v>
      </c>
      <c r="B6774" s="1" t="str">
        <f>"000253587 - CASA DIBERTACCHI-MAIN ARAMARK"</f>
        <v>000253587 - CASA DIBERTACCHI-MAIN ARAMARK</v>
      </c>
      <c r="C6774" t="s">
        <v>148</v>
      </c>
      <c r="D6774" s="1" t="str">
        <f t="shared" si="191"/>
        <v>PRG-1029979</v>
      </c>
      <c r="E6774" t="s">
        <v>149</v>
      </c>
      <c r="F6774" t="s">
        <v>4</v>
      </c>
      <c r="G6774" t="str">
        <f>""</f>
        <v/>
      </c>
    </row>
    <row r="6775" spans="1:7" x14ac:dyDescent="0.25">
      <c r="A6775" t="s">
        <v>8</v>
      </c>
      <c r="B6775" s="1" t="str">
        <f>"000254426 - CASA DIBERTACCHI-MAIN ARAMARK"</f>
        <v>000254426 - CASA DIBERTACCHI-MAIN ARAMARK</v>
      </c>
      <c r="C6775" t="s">
        <v>148</v>
      </c>
      <c r="D6775" s="1" t="str">
        <f t="shared" si="191"/>
        <v>PRG-1029979</v>
      </c>
      <c r="E6775" t="s">
        <v>149</v>
      </c>
      <c r="F6775" t="s">
        <v>4</v>
      </c>
      <c r="G6775" t="str">
        <f>""</f>
        <v/>
      </c>
    </row>
    <row r="6776" spans="1:7" x14ac:dyDescent="0.25">
      <c r="A6776" t="s">
        <v>8</v>
      </c>
      <c r="B6776" s="1" t="str">
        <f>"000254429 - CASA DIBERTACCHI-MAIN ARAMARK"</f>
        <v>000254429 - CASA DIBERTACCHI-MAIN ARAMARK</v>
      </c>
      <c r="C6776" t="s">
        <v>148</v>
      </c>
      <c r="D6776" s="1" t="str">
        <f t="shared" si="191"/>
        <v>PRG-1029979</v>
      </c>
      <c r="E6776" t="s">
        <v>149</v>
      </c>
      <c r="F6776" t="s">
        <v>4</v>
      </c>
      <c r="G6776" t="str">
        <f>""</f>
        <v/>
      </c>
    </row>
    <row r="6777" spans="1:7" x14ac:dyDescent="0.25">
      <c r="A6777" t="s">
        <v>8</v>
      </c>
      <c r="B6777" s="1" t="str">
        <f>"000254506 - CASA DIBERTACCHI-MAIN ARAMARK"</f>
        <v>000254506 - CASA DIBERTACCHI-MAIN ARAMARK</v>
      </c>
      <c r="C6777" t="s">
        <v>148</v>
      </c>
      <c r="D6777" s="1" t="str">
        <f t="shared" si="191"/>
        <v>PRG-1029979</v>
      </c>
      <c r="E6777" t="s">
        <v>149</v>
      </c>
      <c r="F6777" t="s">
        <v>4</v>
      </c>
      <c r="G6777" t="str">
        <f>""</f>
        <v/>
      </c>
    </row>
    <row r="6778" spans="1:7" x14ac:dyDescent="0.25">
      <c r="A6778" t="s">
        <v>8</v>
      </c>
      <c r="B6778" s="1" t="str">
        <f>"000257258 - CASA DIBERTACCHI-MAIN ARAMARK"</f>
        <v>000257258 - CASA DIBERTACCHI-MAIN ARAMARK</v>
      </c>
      <c r="C6778" t="s">
        <v>148</v>
      </c>
      <c r="D6778" s="1" t="str">
        <f t="shared" si="191"/>
        <v>PRG-1029979</v>
      </c>
      <c r="E6778" t="s">
        <v>149</v>
      </c>
      <c r="F6778" t="s">
        <v>4</v>
      </c>
      <c r="G6778" t="str">
        <f>""</f>
        <v/>
      </c>
    </row>
    <row r="6779" spans="1:7" x14ac:dyDescent="0.25">
      <c r="A6779" t="s">
        <v>8</v>
      </c>
      <c r="B6779" s="1" t="str">
        <f>"000257568 - CASA DIBERTACCHI-MAIN ARAMARK"</f>
        <v>000257568 - CASA DIBERTACCHI-MAIN ARAMARK</v>
      </c>
      <c r="C6779" t="s">
        <v>148</v>
      </c>
      <c r="D6779" s="1" t="str">
        <f t="shared" si="191"/>
        <v>PRG-1029979</v>
      </c>
      <c r="E6779" t="s">
        <v>149</v>
      </c>
      <c r="F6779" t="s">
        <v>4</v>
      </c>
      <c r="G6779" t="str">
        <f>""</f>
        <v/>
      </c>
    </row>
    <row r="6780" spans="1:7" x14ac:dyDescent="0.25">
      <c r="A6780" t="s">
        <v>8</v>
      </c>
      <c r="B6780" s="1" t="str">
        <f>"000257731 - CASA DIBERTACCHI-MAIN ARAMARK"</f>
        <v>000257731 - CASA DIBERTACCHI-MAIN ARAMARK</v>
      </c>
      <c r="C6780" t="s">
        <v>148</v>
      </c>
      <c r="D6780" s="1" t="str">
        <f t="shared" si="191"/>
        <v>PRG-1029979</v>
      </c>
      <c r="E6780" t="s">
        <v>149</v>
      </c>
      <c r="F6780" t="s">
        <v>4</v>
      </c>
      <c r="G6780" t="str">
        <f>""</f>
        <v/>
      </c>
    </row>
    <row r="6781" spans="1:7" x14ac:dyDescent="0.25">
      <c r="A6781" t="s">
        <v>8</v>
      </c>
      <c r="B6781" s="1" t="str">
        <f>"000257733 - CASA DIBERTACCHI-SSS ARAMARK"</f>
        <v>000257733 - CASA DIBERTACCHI-SSS ARAMARK</v>
      </c>
      <c r="C6781" t="s">
        <v>150</v>
      </c>
      <c r="D6781" s="1" t="str">
        <f t="shared" si="191"/>
        <v>PRG-1029979</v>
      </c>
      <c r="E6781" t="s">
        <v>149</v>
      </c>
      <c r="F6781" t="s">
        <v>4</v>
      </c>
      <c r="G6781" t="str">
        <f>""</f>
        <v/>
      </c>
    </row>
    <row r="6782" spans="1:7" x14ac:dyDescent="0.25">
      <c r="A6782" t="s">
        <v>8</v>
      </c>
      <c r="B6782" s="1" t="str">
        <f>"000261010 - CASA DIBERTACCHI-MAIN ARAMARK"</f>
        <v>000261010 - CASA DIBERTACCHI-MAIN ARAMARK</v>
      </c>
      <c r="C6782" t="s">
        <v>148</v>
      </c>
      <c r="D6782" s="1" t="str">
        <f t="shared" si="191"/>
        <v>PRG-1029979</v>
      </c>
      <c r="E6782" t="s">
        <v>149</v>
      </c>
      <c r="F6782" t="s">
        <v>4</v>
      </c>
      <c r="G6782" t="str">
        <f>""</f>
        <v/>
      </c>
    </row>
    <row r="6783" spans="1:7" x14ac:dyDescent="0.25">
      <c r="A6783" t="s">
        <v>8</v>
      </c>
      <c r="B6783" s="1" t="str">
        <f>"000262137 - CASA DIBERTACCHI-MAIN ARAMARK"</f>
        <v>000262137 - CASA DIBERTACCHI-MAIN ARAMARK</v>
      </c>
      <c r="C6783" t="s">
        <v>148</v>
      </c>
      <c r="D6783" s="1" t="str">
        <f t="shared" si="191"/>
        <v>PRG-1029979</v>
      </c>
      <c r="E6783" t="s">
        <v>149</v>
      </c>
      <c r="F6783" t="s">
        <v>4</v>
      </c>
      <c r="G6783" t="str">
        <f>""</f>
        <v/>
      </c>
    </row>
    <row r="6784" spans="1:7" x14ac:dyDescent="0.25">
      <c r="A6784" t="s">
        <v>8</v>
      </c>
      <c r="B6784" s="1" t="str">
        <f>"000262521 - CASA DIBERTACCHI-MAIN ARAMARK"</f>
        <v>000262521 - CASA DIBERTACCHI-MAIN ARAMARK</v>
      </c>
      <c r="C6784" t="s">
        <v>148</v>
      </c>
      <c r="D6784" s="1" t="str">
        <f t="shared" si="191"/>
        <v>PRG-1029979</v>
      </c>
      <c r="E6784" t="s">
        <v>149</v>
      </c>
      <c r="F6784" t="s">
        <v>4</v>
      </c>
      <c r="G6784" t="str">
        <f>""</f>
        <v/>
      </c>
    </row>
    <row r="6785" spans="1:7" x14ac:dyDescent="0.25">
      <c r="A6785" t="s">
        <v>8</v>
      </c>
      <c r="B6785" s="1" t="str">
        <f>"000262572 - CASA DIBERTACCHI-MAIN ARAMARK"</f>
        <v>000262572 - CASA DIBERTACCHI-MAIN ARAMARK</v>
      </c>
      <c r="C6785" t="s">
        <v>148</v>
      </c>
      <c r="D6785" s="1" t="str">
        <f t="shared" si="191"/>
        <v>PRG-1029979</v>
      </c>
      <c r="E6785" t="s">
        <v>149</v>
      </c>
      <c r="F6785" t="s">
        <v>4</v>
      </c>
      <c r="G6785" t="str">
        <f>""</f>
        <v/>
      </c>
    </row>
    <row r="6786" spans="1:7" x14ac:dyDescent="0.25">
      <c r="A6786" t="s">
        <v>8</v>
      </c>
      <c r="B6786" s="1" t="str">
        <f>"000263241 - CASA DIBERTACCHI-MAIN ARAMARK"</f>
        <v>000263241 - CASA DIBERTACCHI-MAIN ARAMARK</v>
      </c>
      <c r="C6786" t="s">
        <v>148</v>
      </c>
      <c r="D6786" s="1" t="str">
        <f t="shared" si="191"/>
        <v>PRG-1029979</v>
      </c>
      <c r="E6786" t="s">
        <v>149</v>
      </c>
      <c r="F6786" t="s">
        <v>4</v>
      </c>
      <c r="G6786" t="str">
        <f>""</f>
        <v/>
      </c>
    </row>
    <row r="6787" spans="1:7" x14ac:dyDescent="0.25">
      <c r="A6787" t="s">
        <v>8</v>
      </c>
      <c r="B6787" s="1" t="str">
        <f>"000263555 - CASA DIBERTACCHI-MAIN ARAMARK"</f>
        <v>000263555 - CASA DIBERTACCHI-MAIN ARAMARK</v>
      </c>
      <c r="C6787" t="s">
        <v>148</v>
      </c>
      <c r="D6787" s="1" t="str">
        <f t="shared" si="191"/>
        <v>PRG-1029979</v>
      </c>
      <c r="E6787" t="s">
        <v>149</v>
      </c>
      <c r="F6787" t="s">
        <v>4</v>
      </c>
      <c r="G6787" t="str">
        <f>""</f>
        <v/>
      </c>
    </row>
    <row r="6788" spans="1:7" x14ac:dyDescent="0.25">
      <c r="A6788" t="s">
        <v>8</v>
      </c>
      <c r="B6788" s="1" t="str">
        <f>"000264671 - "</f>
        <v xml:space="preserve">000264671 - </v>
      </c>
      <c r="D6788" s="1" t="str">
        <f t="shared" si="191"/>
        <v>PRG-1029979</v>
      </c>
      <c r="E6788" t="s">
        <v>149</v>
      </c>
      <c r="F6788" t="s">
        <v>4</v>
      </c>
      <c r="G6788" t="str">
        <f>""</f>
        <v/>
      </c>
    </row>
    <row r="6789" spans="1:7" x14ac:dyDescent="0.25">
      <c r="A6789" t="s">
        <v>8</v>
      </c>
      <c r="B6789" s="1" t="str">
        <f>"000265562 - CASA DIBERTACCHI-MAIN ARAMARK"</f>
        <v>000265562 - CASA DIBERTACCHI-MAIN ARAMARK</v>
      </c>
      <c r="C6789" t="s">
        <v>148</v>
      </c>
      <c r="D6789" s="1" t="str">
        <f t="shared" si="191"/>
        <v>PRG-1029979</v>
      </c>
      <c r="E6789" t="s">
        <v>149</v>
      </c>
      <c r="F6789" t="s">
        <v>4</v>
      </c>
      <c r="G6789" t="str">
        <f>""</f>
        <v/>
      </c>
    </row>
    <row r="6790" spans="1:7" x14ac:dyDescent="0.25">
      <c r="A6790" t="s">
        <v>8</v>
      </c>
      <c r="B6790" s="1" t="str">
        <f>"000266593 - CASA DIBERTACCHI-MAIN ARAMARK"</f>
        <v>000266593 - CASA DIBERTACCHI-MAIN ARAMARK</v>
      </c>
      <c r="C6790" t="s">
        <v>148</v>
      </c>
      <c r="D6790" s="1" t="str">
        <f t="shared" si="191"/>
        <v>PRG-1029979</v>
      </c>
      <c r="E6790" t="s">
        <v>149</v>
      </c>
      <c r="F6790" t="s">
        <v>4</v>
      </c>
      <c r="G6790" t="str">
        <f>""</f>
        <v/>
      </c>
    </row>
    <row r="6791" spans="1:7" x14ac:dyDescent="0.25">
      <c r="A6791" t="s">
        <v>8</v>
      </c>
      <c r="B6791" s="1" t="str">
        <f>"000267127 - RICH FDS NCORE BB-MAIN ARAMARK"</f>
        <v>000267127 - RICH FDS NCORE BB-MAIN ARAMARK</v>
      </c>
      <c r="C6791" t="s">
        <v>194</v>
      </c>
      <c r="D6791" s="1" t="str">
        <f t="shared" si="191"/>
        <v>PRG-1029979</v>
      </c>
      <c r="E6791" t="s">
        <v>149</v>
      </c>
      <c r="F6791" t="s">
        <v>4</v>
      </c>
      <c r="G6791" t="str">
        <f>""</f>
        <v/>
      </c>
    </row>
    <row r="6792" spans="1:7" x14ac:dyDescent="0.25">
      <c r="A6792" t="s">
        <v>8</v>
      </c>
      <c r="B6792" s="1" t="str">
        <f>"000267280 - CASA DIBERTACCHI-MAIN ARAMARK"</f>
        <v>000267280 - CASA DIBERTACCHI-MAIN ARAMARK</v>
      </c>
      <c r="C6792" t="s">
        <v>148</v>
      </c>
      <c r="D6792" s="1" t="str">
        <f t="shared" si="191"/>
        <v>PRG-1029979</v>
      </c>
      <c r="E6792" t="s">
        <v>149</v>
      </c>
      <c r="F6792" t="s">
        <v>4</v>
      </c>
      <c r="G6792" t="str">
        <f>""</f>
        <v/>
      </c>
    </row>
    <row r="6793" spans="1:7" x14ac:dyDescent="0.25">
      <c r="A6793" t="s">
        <v>8</v>
      </c>
      <c r="B6793" s="1" t="str">
        <f>"000267343 - CASA DIBERTACCHI-MAIN ARAMARK"</f>
        <v>000267343 - CASA DIBERTACCHI-MAIN ARAMARK</v>
      </c>
      <c r="C6793" t="s">
        <v>148</v>
      </c>
      <c r="D6793" s="1" t="str">
        <f t="shared" si="191"/>
        <v>PRG-1029979</v>
      </c>
      <c r="E6793" t="s">
        <v>149</v>
      </c>
      <c r="F6793" t="s">
        <v>4</v>
      </c>
      <c r="G6793" t="str">
        <f>""</f>
        <v/>
      </c>
    </row>
    <row r="6794" spans="1:7" x14ac:dyDescent="0.25">
      <c r="A6794" t="s">
        <v>8</v>
      </c>
      <c r="B6794" s="1" t="str">
        <f>"000267724 - CASA DIBERTACCHI-MAIN ARAMARK"</f>
        <v>000267724 - CASA DIBERTACCHI-MAIN ARAMARK</v>
      </c>
      <c r="C6794" t="s">
        <v>148</v>
      </c>
      <c r="D6794" s="1" t="str">
        <f t="shared" si="191"/>
        <v>PRG-1029979</v>
      </c>
      <c r="E6794" t="s">
        <v>149</v>
      </c>
      <c r="F6794" t="s">
        <v>4</v>
      </c>
      <c r="G6794" t="str">
        <f>""</f>
        <v/>
      </c>
    </row>
    <row r="6795" spans="1:7" x14ac:dyDescent="0.25">
      <c r="A6795" t="s">
        <v>8</v>
      </c>
      <c r="B6795" s="1" t="str">
        <f>"000269048 - CASA DIBERTACCHI-MAIN ARAMARK"</f>
        <v>000269048 - CASA DIBERTACCHI-MAIN ARAMARK</v>
      </c>
      <c r="C6795" t="s">
        <v>148</v>
      </c>
      <c r="D6795" s="1" t="str">
        <f t="shared" si="191"/>
        <v>PRG-1029979</v>
      </c>
      <c r="E6795" t="s">
        <v>149</v>
      </c>
      <c r="F6795" t="s">
        <v>4</v>
      </c>
      <c r="G6795" t="str">
        <f>""</f>
        <v/>
      </c>
    </row>
    <row r="6796" spans="1:7" x14ac:dyDescent="0.25">
      <c r="A6796" t="s">
        <v>8</v>
      </c>
      <c r="B6796" s="1" t="str">
        <f>"000269693 - CASA DIBERTACCHI-MAIN ARAMARK"</f>
        <v>000269693 - CASA DIBERTACCHI-MAIN ARAMARK</v>
      </c>
      <c r="C6796" t="s">
        <v>148</v>
      </c>
      <c r="D6796" s="1" t="str">
        <f t="shared" si="191"/>
        <v>PRG-1029979</v>
      </c>
      <c r="E6796" t="s">
        <v>149</v>
      </c>
      <c r="F6796" t="s">
        <v>4</v>
      </c>
      <c r="G6796" t="str">
        <f>""</f>
        <v/>
      </c>
    </row>
    <row r="6797" spans="1:7" x14ac:dyDescent="0.25">
      <c r="A6797" t="s">
        <v>8</v>
      </c>
      <c r="B6797" s="1" t="str">
        <f>"000269825 - CASA DIBERTACCHI-MAIN ARAMARK"</f>
        <v>000269825 - CASA DIBERTACCHI-MAIN ARAMARK</v>
      </c>
      <c r="C6797" t="s">
        <v>148</v>
      </c>
      <c r="D6797" s="1" t="str">
        <f t="shared" si="191"/>
        <v>PRG-1029979</v>
      </c>
      <c r="E6797" t="s">
        <v>149</v>
      </c>
      <c r="F6797" t="s">
        <v>4</v>
      </c>
      <c r="G6797" t="str">
        <f>""</f>
        <v/>
      </c>
    </row>
    <row r="6798" spans="1:7" x14ac:dyDescent="0.25">
      <c r="A6798" t="s">
        <v>8</v>
      </c>
      <c r="B6798" s="1" t="str">
        <f>"000269826 - CASA DIBERTACCHI-SSS ARAMARK"</f>
        <v>000269826 - CASA DIBERTACCHI-SSS ARAMARK</v>
      </c>
      <c r="C6798" t="s">
        <v>150</v>
      </c>
      <c r="D6798" s="1" t="str">
        <f t="shared" si="191"/>
        <v>PRG-1029979</v>
      </c>
      <c r="E6798" t="s">
        <v>149</v>
      </c>
      <c r="F6798" t="s">
        <v>4</v>
      </c>
      <c r="G6798" t="str">
        <f>""</f>
        <v/>
      </c>
    </row>
    <row r="6799" spans="1:7" x14ac:dyDescent="0.25">
      <c r="A6799" t="s">
        <v>8</v>
      </c>
      <c r="B6799" s="1" t="str">
        <f>"000270365 - CASA DIBERTACCHI-MAIN ARAMARK"</f>
        <v>000270365 - CASA DIBERTACCHI-MAIN ARAMARK</v>
      </c>
      <c r="C6799" t="s">
        <v>148</v>
      </c>
      <c r="D6799" s="1" t="str">
        <f t="shared" si="191"/>
        <v>PRG-1029979</v>
      </c>
      <c r="E6799" t="s">
        <v>149</v>
      </c>
      <c r="F6799" t="s">
        <v>4</v>
      </c>
      <c r="G6799" t="str">
        <f>""</f>
        <v/>
      </c>
    </row>
    <row r="6800" spans="1:7" x14ac:dyDescent="0.25">
      <c r="A6800" t="s">
        <v>8</v>
      </c>
      <c r="B6800" s="1" t="str">
        <f>"000272211 - CASA DIBERTACCHI-MAIN ARAMARK"</f>
        <v>000272211 - CASA DIBERTACCHI-MAIN ARAMARK</v>
      </c>
      <c r="C6800" t="s">
        <v>148</v>
      </c>
      <c r="D6800" s="1" t="str">
        <f t="shared" ref="D6800:D6831" si="192">"PRG-1029979"</f>
        <v>PRG-1029979</v>
      </c>
      <c r="E6800" t="s">
        <v>149</v>
      </c>
      <c r="F6800" t="s">
        <v>4</v>
      </c>
      <c r="G6800" t="str">
        <f>""</f>
        <v/>
      </c>
    </row>
    <row r="6801" spans="1:7" x14ac:dyDescent="0.25">
      <c r="A6801" t="s">
        <v>8</v>
      </c>
      <c r="B6801" s="1" t="str">
        <f>"000272387 - CASA DIBERTACCHI-MAIN ARAMARK"</f>
        <v>000272387 - CASA DIBERTACCHI-MAIN ARAMARK</v>
      </c>
      <c r="C6801" t="s">
        <v>148</v>
      </c>
      <c r="D6801" s="1" t="str">
        <f t="shared" si="192"/>
        <v>PRG-1029979</v>
      </c>
      <c r="E6801" t="s">
        <v>149</v>
      </c>
      <c r="F6801" t="s">
        <v>4</v>
      </c>
      <c r="G6801" t="str">
        <f>""</f>
        <v/>
      </c>
    </row>
    <row r="6802" spans="1:7" x14ac:dyDescent="0.25">
      <c r="A6802" t="s">
        <v>8</v>
      </c>
      <c r="B6802" s="1" t="str">
        <f>"000272798 - CASA DIBERTACCHI-MAIN ARAMARK"</f>
        <v>000272798 - CASA DIBERTACCHI-MAIN ARAMARK</v>
      </c>
      <c r="C6802" t="s">
        <v>148</v>
      </c>
      <c r="D6802" s="1" t="str">
        <f t="shared" si="192"/>
        <v>PRG-1029979</v>
      </c>
      <c r="E6802" t="s">
        <v>149</v>
      </c>
      <c r="F6802" t="s">
        <v>4</v>
      </c>
      <c r="G6802" t="str">
        <f>""</f>
        <v/>
      </c>
    </row>
    <row r="6803" spans="1:7" x14ac:dyDescent="0.25">
      <c r="A6803" t="s">
        <v>8</v>
      </c>
      <c r="B6803" s="1" t="str">
        <f>"000274288 - CASA DIBERTACCHI-MAIN ARAMARK"</f>
        <v>000274288 - CASA DIBERTACCHI-MAIN ARAMARK</v>
      </c>
      <c r="C6803" t="s">
        <v>148</v>
      </c>
      <c r="D6803" s="1" t="str">
        <f t="shared" si="192"/>
        <v>PRG-1029979</v>
      </c>
      <c r="E6803" t="s">
        <v>149</v>
      </c>
      <c r="F6803" t="s">
        <v>4</v>
      </c>
      <c r="G6803" t="str">
        <f>""</f>
        <v/>
      </c>
    </row>
    <row r="6804" spans="1:7" x14ac:dyDescent="0.25">
      <c r="A6804" t="s">
        <v>8</v>
      </c>
      <c r="B6804" s="1" t="str">
        <f>"000275485 - CASA DIBERTACCHI-MAIN ARAMARK"</f>
        <v>000275485 - CASA DIBERTACCHI-MAIN ARAMARK</v>
      </c>
      <c r="C6804" t="s">
        <v>148</v>
      </c>
      <c r="D6804" s="1" t="str">
        <f t="shared" si="192"/>
        <v>PRG-1029979</v>
      </c>
      <c r="E6804" t="s">
        <v>149</v>
      </c>
      <c r="F6804" t="s">
        <v>4</v>
      </c>
      <c r="G6804" t="str">
        <f>""</f>
        <v/>
      </c>
    </row>
    <row r="6805" spans="1:7" x14ac:dyDescent="0.25">
      <c r="A6805" t="s">
        <v>8</v>
      </c>
      <c r="B6805" s="1" t="str">
        <f>"000276744 - CASA DIBERTACCHI-MAIN ARAMARK"</f>
        <v>000276744 - CASA DIBERTACCHI-MAIN ARAMARK</v>
      </c>
      <c r="C6805" t="s">
        <v>148</v>
      </c>
      <c r="D6805" s="1" t="str">
        <f t="shared" si="192"/>
        <v>PRG-1029979</v>
      </c>
      <c r="E6805" t="s">
        <v>149</v>
      </c>
      <c r="F6805" t="s">
        <v>4</v>
      </c>
      <c r="G6805" t="str">
        <f>""</f>
        <v/>
      </c>
    </row>
    <row r="6806" spans="1:7" x14ac:dyDescent="0.25">
      <c r="A6806" t="s">
        <v>8</v>
      </c>
      <c r="B6806" s="1" t="str">
        <f>"000280188 - CASA DIBERTACCHI-MAIN ARAMARK"</f>
        <v>000280188 - CASA DIBERTACCHI-MAIN ARAMARK</v>
      </c>
      <c r="C6806" t="s">
        <v>148</v>
      </c>
      <c r="D6806" s="1" t="str">
        <f t="shared" si="192"/>
        <v>PRG-1029979</v>
      </c>
      <c r="E6806" t="s">
        <v>149</v>
      </c>
      <c r="F6806" t="s">
        <v>4</v>
      </c>
      <c r="G6806" t="str">
        <f>""</f>
        <v/>
      </c>
    </row>
    <row r="6807" spans="1:7" x14ac:dyDescent="0.25">
      <c r="A6807" t="s">
        <v>8</v>
      </c>
      <c r="B6807" s="1" t="str">
        <f>"000287716 - CASA DIBERTACCHI-MAIN ARAMARK"</f>
        <v>000287716 - CASA DIBERTACCHI-MAIN ARAMARK</v>
      </c>
      <c r="C6807" t="s">
        <v>148</v>
      </c>
      <c r="D6807" s="1" t="str">
        <f t="shared" si="192"/>
        <v>PRG-1029979</v>
      </c>
      <c r="E6807" t="s">
        <v>149</v>
      </c>
      <c r="F6807" t="s">
        <v>4</v>
      </c>
      <c r="G6807" t="str">
        <f>""</f>
        <v/>
      </c>
    </row>
    <row r="6808" spans="1:7" x14ac:dyDescent="0.25">
      <c r="A6808" t="s">
        <v>8</v>
      </c>
      <c r="B6808" s="1" t="str">
        <f>"000290097 - CASA DIBERTACCHI-MAIN ARAMARK"</f>
        <v>000290097 - CASA DIBERTACCHI-MAIN ARAMARK</v>
      </c>
      <c r="C6808" t="s">
        <v>148</v>
      </c>
      <c r="D6808" s="1" t="str">
        <f t="shared" si="192"/>
        <v>PRG-1029979</v>
      </c>
      <c r="E6808" t="s">
        <v>149</v>
      </c>
      <c r="F6808" t="s">
        <v>4</v>
      </c>
      <c r="G6808" t="str">
        <f>""</f>
        <v/>
      </c>
    </row>
    <row r="6809" spans="1:7" x14ac:dyDescent="0.25">
      <c r="A6809" t="s">
        <v>8</v>
      </c>
      <c r="B6809" s="1" t="str">
        <f>"000290768 - CASA DIBERTACCHI-MAIN ARAMARK"</f>
        <v>000290768 - CASA DIBERTACCHI-MAIN ARAMARK</v>
      </c>
      <c r="C6809" t="s">
        <v>148</v>
      </c>
      <c r="D6809" s="1" t="str">
        <f t="shared" si="192"/>
        <v>PRG-1029979</v>
      </c>
      <c r="E6809" t="s">
        <v>149</v>
      </c>
      <c r="F6809" t="s">
        <v>4</v>
      </c>
      <c r="G6809" t="str">
        <f>""</f>
        <v/>
      </c>
    </row>
    <row r="6810" spans="1:7" x14ac:dyDescent="0.25">
      <c r="A6810" t="s">
        <v>8</v>
      </c>
      <c r="B6810" s="1" t="str">
        <f>"000290939 - CASA DIBERTACCHI-MAIN ARAMARK"</f>
        <v>000290939 - CASA DIBERTACCHI-MAIN ARAMARK</v>
      </c>
      <c r="C6810" t="s">
        <v>148</v>
      </c>
      <c r="D6810" s="1" t="str">
        <f t="shared" si="192"/>
        <v>PRG-1029979</v>
      </c>
      <c r="E6810" t="s">
        <v>149</v>
      </c>
      <c r="F6810" t="s">
        <v>4</v>
      </c>
      <c r="G6810" t="str">
        <f>""</f>
        <v/>
      </c>
    </row>
    <row r="6811" spans="1:7" x14ac:dyDescent="0.25">
      <c r="A6811" t="s">
        <v>8</v>
      </c>
      <c r="B6811" s="1" t="str">
        <f>"000292066 - CASA DIBERTACCHI-MAIN ARAMARK"</f>
        <v>000292066 - CASA DIBERTACCHI-MAIN ARAMARK</v>
      </c>
      <c r="C6811" t="s">
        <v>148</v>
      </c>
      <c r="D6811" s="1" t="str">
        <f t="shared" si="192"/>
        <v>PRG-1029979</v>
      </c>
      <c r="E6811" t="s">
        <v>149</v>
      </c>
      <c r="F6811" t="s">
        <v>4</v>
      </c>
      <c r="G6811" t="str">
        <f>""</f>
        <v/>
      </c>
    </row>
    <row r="6812" spans="1:7" x14ac:dyDescent="0.25">
      <c r="A6812" t="s">
        <v>8</v>
      </c>
      <c r="B6812" s="1" t="str">
        <f>"000292264 - RICHS FOODS(R)-CARMEL CAFE"</f>
        <v>000292264 - RICHS FOODS(R)-CARMEL CAFE</v>
      </c>
      <c r="C6812" t="s">
        <v>2860</v>
      </c>
      <c r="D6812" s="1" t="str">
        <f t="shared" si="192"/>
        <v>PRG-1029979</v>
      </c>
      <c r="E6812" t="s">
        <v>149</v>
      </c>
      <c r="F6812" t="s">
        <v>4</v>
      </c>
      <c r="G6812" t="str">
        <f>""</f>
        <v/>
      </c>
    </row>
    <row r="6813" spans="1:7" x14ac:dyDescent="0.25">
      <c r="A6813" t="s">
        <v>8</v>
      </c>
      <c r="B6813" s="1" t="str">
        <f>"000295113 - "</f>
        <v xml:space="preserve">000295113 - </v>
      </c>
      <c r="D6813" s="1" t="str">
        <f t="shared" si="192"/>
        <v>PRG-1029979</v>
      </c>
      <c r="E6813" t="s">
        <v>149</v>
      </c>
      <c r="F6813" t="s">
        <v>4</v>
      </c>
      <c r="G6813" t="str">
        <f>""</f>
        <v/>
      </c>
    </row>
    <row r="6814" spans="1:7" x14ac:dyDescent="0.25">
      <c r="A6814" t="s">
        <v>8</v>
      </c>
      <c r="B6814" s="1" t="str">
        <f>"000296863 - CASA DIBERTACCHI-MAIN ARAMARK"</f>
        <v>000296863 - CASA DIBERTACCHI-MAIN ARAMARK</v>
      </c>
      <c r="C6814" t="s">
        <v>148</v>
      </c>
      <c r="D6814" s="1" t="str">
        <f t="shared" si="192"/>
        <v>PRG-1029979</v>
      </c>
      <c r="E6814" t="s">
        <v>149</v>
      </c>
      <c r="F6814" t="s">
        <v>4</v>
      </c>
      <c r="G6814" t="str">
        <f>""</f>
        <v/>
      </c>
    </row>
    <row r="6815" spans="1:7" x14ac:dyDescent="0.25">
      <c r="A6815" t="s">
        <v>8</v>
      </c>
      <c r="B6815" s="1" t="str">
        <f>"000301902 - CASA DIBERTACCHI-MAIN ARAMARK"</f>
        <v>000301902 - CASA DIBERTACCHI-MAIN ARAMARK</v>
      </c>
      <c r="C6815" t="s">
        <v>148</v>
      </c>
      <c r="D6815" s="1" t="str">
        <f t="shared" si="192"/>
        <v>PRG-1029979</v>
      </c>
      <c r="E6815" t="s">
        <v>149</v>
      </c>
      <c r="F6815" t="s">
        <v>4</v>
      </c>
      <c r="G6815" t="str">
        <f>""</f>
        <v/>
      </c>
    </row>
    <row r="6816" spans="1:7" x14ac:dyDescent="0.25">
      <c r="A6816" t="s">
        <v>8</v>
      </c>
      <c r="B6816" s="1" t="str">
        <f>"000303375 - CASA DIBERTACCHI-MAIN ARAMARK"</f>
        <v>000303375 - CASA DIBERTACCHI-MAIN ARAMARK</v>
      </c>
      <c r="C6816" t="s">
        <v>148</v>
      </c>
      <c r="D6816" s="1" t="str">
        <f t="shared" si="192"/>
        <v>PRG-1029979</v>
      </c>
      <c r="E6816" t="s">
        <v>149</v>
      </c>
      <c r="F6816" t="s">
        <v>4</v>
      </c>
      <c r="G6816" t="str">
        <f>""</f>
        <v/>
      </c>
    </row>
    <row r="6817" spans="1:7" x14ac:dyDescent="0.25">
      <c r="A6817" t="s">
        <v>8</v>
      </c>
      <c r="B6817" s="1" t="str">
        <f>"000304944 - CASA DIBERTACCHI-MAIN ARAMARK"</f>
        <v>000304944 - CASA DIBERTACCHI-MAIN ARAMARK</v>
      </c>
      <c r="C6817" t="s">
        <v>148</v>
      </c>
      <c r="D6817" s="1" t="str">
        <f t="shared" si="192"/>
        <v>PRG-1029979</v>
      </c>
      <c r="E6817" t="s">
        <v>149</v>
      </c>
      <c r="F6817" t="s">
        <v>4</v>
      </c>
      <c r="G6817" t="str">
        <f>""</f>
        <v/>
      </c>
    </row>
    <row r="6818" spans="1:7" x14ac:dyDescent="0.25">
      <c r="A6818" t="s">
        <v>8</v>
      </c>
      <c r="B6818" s="1" t="str">
        <f>"000305177 - CASA DIBERTACCHI-MAIN ARAMARK"</f>
        <v>000305177 - CASA DIBERTACCHI-MAIN ARAMARK</v>
      </c>
      <c r="C6818" t="s">
        <v>148</v>
      </c>
      <c r="D6818" s="1" t="str">
        <f t="shared" si="192"/>
        <v>PRG-1029979</v>
      </c>
      <c r="E6818" t="s">
        <v>149</v>
      </c>
      <c r="F6818" t="s">
        <v>4</v>
      </c>
      <c r="G6818" t="str">
        <f>""</f>
        <v/>
      </c>
    </row>
    <row r="6819" spans="1:7" x14ac:dyDescent="0.25">
      <c r="A6819" t="s">
        <v>8</v>
      </c>
      <c r="B6819" s="1" t="str">
        <f>"000307834 - CASA DIBERTACCHI-MAIN ARAMARK"</f>
        <v>000307834 - CASA DIBERTACCHI-MAIN ARAMARK</v>
      </c>
      <c r="C6819" t="s">
        <v>148</v>
      </c>
      <c r="D6819" s="1" t="str">
        <f t="shared" si="192"/>
        <v>PRG-1029979</v>
      </c>
      <c r="E6819" t="s">
        <v>149</v>
      </c>
      <c r="F6819" t="s">
        <v>4</v>
      </c>
      <c r="G6819" t="str">
        <f>""</f>
        <v/>
      </c>
    </row>
    <row r="6820" spans="1:7" x14ac:dyDescent="0.25">
      <c r="A6820" t="s">
        <v>8</v>
      </c>
      <c r="B6820" s="1" t="str">
        <f>"000310600 - CASA DIBERTACCHI-MAIN ARAMARK"</f>
        <v>000310600 - CASA DIBERTACCHI-MAIN ARAMARK</v>
      </c>
      <c r="C6820" t="s">
        <v>148</v>
      </c>
      <c r="D6820" s="1" t="str">
        <f t="shared" si="192"/>
        <v>PRG-1029979</v>
      </c>
      <c r="E6820" t="s">
        <v>149</v>
      </c>
      <c r="F6820" t="s">
        <v>4</v>
      </c>
      <c r="G6820" t="str">
        <f>""</f>
        <v/>
      </c>
    </row>
    <row r="6821" spans="1:7" x14ac:dyDescent="0.25">
      <c r="A6821" t="s">
        <v>8</v>
      </c>
      <c r="B6821" s="1" t="str">
        <f>"000310884 - CASA DIBERTACCHI-MAIN ARAMARK"</f>
        <v>000310884 - CASA DIBERTACCHI-MAIN ARAMARK</v>
      </c>
      <c r="C6821" t="s">
        <v>148</v>
      </c>
      <c r="D6821" s="1" t="str">
        <f t="shared" si="192"/>
        <v>PRG-1029979</v>
      </c>
      <c r="E6821" t="s">
        <v>149</v>
      </c>
      <c r="F6821" t="s">
        <v>4</v>
      </c>
      <c r="G6821" t="str">
        <f>""</f>
        <v/>
      </c>
    </row>
    <row r="6822" spans="1:7" x14ac:dyDescent="0.25">
      <c r="A6822" t="s">
        <v>8</v>
      </c>
      <c r="B6822" s="1" t="str">
        <f>"000312267 - "</f>
        <v xml:space="preserve">000312267 - </v>
      </c>
      <c r="D6822" s="1" t="str">
        <f t="shared" si="192"/>
        <v>PRG-1029979</v>
      </c>
      <c r="E6822" t="s">
        <v>149</v>
      </c>
      <c r="F6822" t="s">
        <v>4</v>
      </c>
      <c r="G6822" t="str">
        <f>""</f>
        <v/>
      </c>
    </row>
    <row r="6823" spans="1:7" x14ac:dyDescent="0.25">
      <c r="A6823" t="s">
        <v>8</v>
      </c>
      <c r="B6823" s="1" t="str">
        <f>"000313330 - CASA DIBERTACCHI-MAIN ARAMARK"</f>
        <v>000313330 - CASA DIBERTACCHI-MAIN ARAMARK</v>
      </c>
      <c r="C6823" t="s">
        <v>148</v>
      </c>
      <c r="D6823" s="1" t="str">
        <f t="shared" si="192"/>
        <v>PRG-1029979</v>
      </c>
      <c r="E6823" t="s">
        <v>149</v>
      </c>
      <c r="F6823" t="s">
        <v>4</v>
      </c>
      <c r="G6823" t="str">
        <f>""</f>
        <v/>
      </c>
    </row>
    <row r="6824" spans="1:7" x14ac:dyDescent="0.25">
      <c r="A6824" t="s">
        <v>8</v>
      </c>
      <c r="B6824" s="1" t="str">
        <f>"000313516 - "</f>
        <v xml:space="preserve">000313516 - </v>
      </c>
      <c r="D6824" s="1" t="str">
        <f t="shared" si="192"/>
        <v>PRG-1029979</v>
      </c>
      <c r="E6824" t="s">
        <v>149</v>
      </c>
      <c r="F6824" t="s">
        <v>4</v>
      </c>
      <c r="G6824" t="str">
        <f>""</f>
        <v/>
      </c>
    </row>
    <row r="6825" spans="1:7" x14ac:dyDescent="0.25">
      <c r="A6825" t="s">
        <v>8</v>
      </c>
      <c r="B6825" s="1" t="str">
        <f>"000318572 - CASA DIBERTACCHI-MAIN ARAMARK"</f>
        <v>000318572 - CASA DIBERTACCHI-MAIN ARAMARK</v>
      </c>
      <c r="C6825" t="s">
        <v>148</v>
      </c>
      <c r="D6825" s="1" t="str">
        <f t="shared" si="192"/>
        <v>PRG-1029979</v>
      </c>
      <c r="E6825" t="s">
        <v>149</v>
      </c>
      <c r="F6825" t="s">
        <v>4</v>
      </c>
      <c r="G6825" t="str">
        <f>""</f>
        <v/>
      </c>
    </row>
    <row r="6826" spans="1:7" x14ac:dyDescent="0.25">
      <c r="A6826" t="s">
        <v>8</v>
      </c>
      <c r="B6826" s="1" t="str">
        <f>"000319912 - CASA DIBERTACCHI-MAIN ARAMARK"</f>
        <v>000319912 - CASA DIBERTACCHI-MAIN ARAMARK</v>
      </c>
      <c r="C6826" t="s">
        <v>148</v>
      </c>
      <c r="D6826" s="1" t="str">
        <f t="shared" si="192"/>
        <v>PRG-1029979</v>
      </c>
      <c r="E6826" t="s">
        <v>149</v>
      </c>
      <c r="F6826" t="s">
        <v>4</v>
      </c>
      <c r="G6826" t="str">
        <f>""</f>
        <v/>
      </c>
    </row>
    <row r="6827" spans="1:7" x14ac:dyDescent="0.25">
      <c r="A6827" t="s">
        <v>8</v>
      </c>
      <c r="B6827" s="1" t="str">
        <f>"000321775 - CASA DIBERTACCHI-MAIN ARAMARK"</f>
        <v>000321775 - CASA DIBERTACCHI-MAIN ARAMARK</v>
      </c>
      <c r="C6827" t="s">
        <v>148</v>
      </c>
      <c r="D6827" s="1" t="str">
        <f t="shared" si="192"/>
        <v>PRG-1029979</v>
      </c>
      <c r="E6827" t="s">
        <v>149</v>
      </c>
      <c r="F6827" t="s">
        <v>4</v>
      </c>
      <c r="G6827" t="str">
        <f>""</f>
        <v/>
      </c>
    </row>
    <row r="6828" spans="1:7" x14ac:dyDescent="0.25">
      <c r="A6828" t="s">
        <v>8</v>
      </c>
      <c r="B6828" s="1" t="str">
        <f>"000323109 - CASA DIBERTACCHI-MAIN ARAMARK"</f>
        <v>000323109 - CASA DIBERTACCHI-MAIN ARAMARK</v>
      </c>
      <c r="C6828" t="s">
        <v>148</v>
      </c>
      <c r="D6828" s="1" t="str">
        <f t="shared" si="192"/>
        <v>PRG-1029979</v>
      </c>
      <c r="E6828" t="s">
        <v>149</v>
      </c>
      <c r="F6828" t="s">
        <v>4</v>
      </c>
      <c r="G6828" t="str">
        <f>""</f>
        <v/>
      </c>
    </row>
    <row r="6829" spans="1:7" x14ac:dyDescent="0.25">
      <c r="A6829" t="s">
        <v>8</v>
      </c>
      <c r="B6829" s="1" t="str">
        <f>"000323426 - CASA DIBERTACCHI-MAIN ARAMARK"</f>
        <v>000323426 - CASA DIBERTACCHI-MAIN ARAMARK</v>
      </c>
      <c r="C6829" t="s">
        <v>148</v>
      </c>
      <c r="D6829" s="1" t="str">
        <f t="shared" si="192"/>
        <v>PRG-1029979</v>
      </c>
      <c r="E6829" t="s">
        <v>149</v>
      </c>
      <c r="F6829" t="s">
        <v>4</v>
      </c>
      <c r="G6829" t="str">
        <f>""</f>
        <v/>
      </c>
    </row>
    <row r="6830" spans="1:7" x14ac:dyDescent="0.25">
      <c r="A6830" t="s">
        <v>8</v>
      </c>
      <c r="B6830" s="1" t="str">
        <f>"000324233 - "</f>
        <v xml:space="preserve">000324233 - </v>
      </c>
      <c r="D6830" s="1" t="str">
        <f t="shared" si="192"/>
        <v>PRG-1029979</v>
      </c>
      <c r="E6830" t="s">
        <v>149</v>
      </c>
      <c r="F6830" t="s">
        <v>4</v>
      </c>
      <c r="G6830" t="str">
        <f>""</f>
        <v/>
      </c>
    </row>
    <row r="6831" spans="1:7" x14ac:dyDescent="0.25">
      <c r="A6831" t="s">
        <v>8</v>
      </c>
      <c r="B6831" s="1" t="str">
        <f>"000326393 - CASA DIBERTACCHI-MAIN ARAMARK"</f>
        <v>000326393 - CASA DIBERTACCHI-MAIN ARAMARK</v>
      </c>
      <c r="C6831" t="s">
        <v>148</v>
      </c>
      <c r="D6831" s="1" t="str">
        <f t="shared" si="192"/>
        <v>PRG-1029979</v>
      </c>
      <c r="E6831" t="s">
        <v>149</v>
      </c>
      <c r="F6831" t="s">
        <v>4</v>
      </c>
      <c r="G6831" t="str">
        <f>""</f>
        <v/>
      </c>
    </row>
    <row r="6832" spans="1:7" x14ac:dyDescent="0.25">
      <c r="A6832" t="s">
        <v>8</v>
      </c>
      <c r="B6832" s="1" t="str">
        <f>"000326850 - "</f>
        <v xml:space="preserve">000326850 - </v>
      </c>
      <c r="D6832" s="1" t="str">
        <f t="shared" ref="D6832:D6849" si="193">"PRG-1029979"</f>
        <v>PRG-1029979</v>
      </c>
      <c r="E6832" t="s">
        <v>149</v>
      </c>
      <c r="F6832" t="s">
        <v>4</v>
      </c>
      <c r="G6832" t="str">
        <f>""</f>
        <v/>
      </c>
    </row>
    <row r="6833" spans="1:7" x14ac:dyDescent="0.25">
      <c r="A6833" t="s">
        <v>8</v>
      </c>
      <c r="B6833" s="1" t="str">
        <f>"000329852 - CASA DIBERTACCHI-MAIN ARAMARK"</f>
        <v>000329852 - CASA DIBERTACCHI-MAIN ARAMARK</v>
      </c>
      <c r="C6833" t="s">
        <v>148</v>
      </c>
      <c r="D6833" s="1" t="str">
        <f t="shared" si="193"/>
        <v>PRG-1029979</v>
      </c>
      <c r="E6833" t="s">
        <v>149</v>
      </c>
      <c r="F6833" t="s">
        <v>4</v>
      </c>
      <c r="G6833" t="str">
        <f>""</f>
        <v/>
      </c>
    </row>
    <row r="6834" spans="1:7" x14ac:dyDescent="0.25">
      <c r="A6834" t="s">
        <v>8</v>
      </c>
      <c r="B6834" s="1" t="str">
        <f>"000329853 - CASA DIBERTACCHI-SSS ARAMARK"</f>
        <v>000329853 - CASA DIBERTACCHI-SSS ARAMARK</v>
      </c>
      <c r="C6834" t="s">
        <v>150</v>
      </c>
      <c r="D6834" s="1" t="str">
        <f t="shared" si="193"/>
        <v>PRG-1029979</v>
      </c>
      <c r="E6834" t="s">
        <v>149</v>
      </c>
      <c r="F6834" t="s">
        <v>4</v>
      </c>
      <c r="G6834" t="str">
        <f>""</f>
        <v/>
      </c>
    </row>
    <row r="6835" spans="1:7" x14ac:dyDescent="0.25">
      <c r="A6835" t="s">
        <v>8</v>
      </c>
      <c r="B6835" s="1" t="str">
        <f>"000330093 - CASA DIBERTACCHI-MAIN ARAMARK"</f>
        <v>000330093 - CASA DIBERTACCHI-MAIN ARAMARK</v>
      </c>
      <c r="C6835" t="s">
        <v>148</v>
      </c>
      <c r="D6835" s="1" t="str">
        <f t="shared" si="193"/>
        <v>PRG-1029979</v>
      </c>
      <c r="E6835" t="s">
        <v>149</v>
      </c>
      <c r="F6835" t="s">
        <v>4</v>
      </c>
      <c r="G6835" t="str">
        <f>""</f>
        <v/>
      </c>
    </row>
    <row r="6836" spans="1:7" x14ac:dyDescent="0.25">
      <c r="A6836" t="s">
        <v>8</v>
      </c>
      <c r="B6836" s="1" t="str">
        <f>"000330491 - CASA DIBERTACCHI-MAIN ARAMARK"</f>
        <v>000330491 - CASA DIBERTACCHI-MAIN ARAMARK</v>
      </c>
      <c r="C6836" t="s">
        <v>148</v>
      </c>
      <c r="D6836" s="1" t="str">
        <f t="shared" si="193"/>
        <v>PRG-1029979</v>
      </c>
      <c r="E6836" t="s">
        <v>149</v>
      </c>
      <c r="F6836" t="s">
        <v>4</v>
      </c>
      <c r="G6836" t="str">
        <f>""</f>
        <v/>
      </c>
    </row>
    <row r="6837" spans="1:7" x14ac:dyDescent="0.25">
      <c r="A6837" t="s">
        <v>8</v>
      </c>
      <c r="B6837" s="1" t="str">
        <f>"000332080 - CASA DIBERTACCHI-MAIN ARAMARK"</f>
        <v>000332080 - CASA DIBERTACCHI-MAIN ARAMARK</v>
      </c>
      <c r="C6837" t="s">
        <v>148</v>
      </c>
      <c r="D6837" s="1" t="str">
        <f t="shared" si="193"/>
        <v>PRG-1029979</v>
      </c>
      <c r="E6837" t="s">
        <v>149</v>
      </c>
      <c r="F6837" t="s">
        <v>4</v>
      </c>
      <c r="G6837" t="str">
        <f>""</f>
        <v/>
      </c>
    </row>
    <row r="6838" spans="1:7" x14ac:dyDescent="0.25">
      <c r="A6838" t="s">
        <v>8</v>
      </c>
      <c r="B6838" s="1" t="str">
        <f>"000335973 - CASA DIBERTACCHI-MAIN ARAMARK"</f>
        <v>000335973 - CASA DIBERTACCHI-MAIN ARAMARK</v>
      </c>
      <c r="C6838" t="s">
        <v>148</v>
      </c>
      <c r="D6838" s="1" t="str">
        <f t="shared" si="193"/>
        <v>PRG-1029979</v>
      </c>
      <c r="E6838" t="s">
        <v>149</v>
      </c>
      <c r="F6838" t="s">
        <v>4</v>
      </c>
      <c r="G6838" t="str">
        <f>""</f>
        <v/>
      </c>
    </row>
    <row r="6839" spans="1:7" x14ac:dyDescent="0.25">
      <c r="A6839" t="s">
        <v>8</v>
      </c>
      <c r="B6839" s="1" t="str">
        <f>"000338856 - CASA DIBERTACCHI-MAIN ARAMARK"</f>
        <v>000338856 - CASA DIBERTACCHI-MAIN ARAMARK</v>
      </c>
      <c r="C6839" t="s">
        <v>148</v>
      </c>
      <c r="D6839" s="1" t="str">
        <f t="shared" si="193"/>
        <v>PRG-1029979</v>
      </c>
      <c r="E6839" t="s">
        <v>149</v>
      </c>
      <c r="F6839" t="s">
        <v>4</v>
      </c>
      <c r="G6839" t="str">
        <f>""</f>
        <v/>
      </c>
    </row>
    <row r="6840" spans="1:7" x14ac:dyDescent="0.25">
      <c r="A6840" t="s">
        <v>8</v>
      </c>
      <c r="B6840" s="1" t="str">
        <f>"000340874 - CASA DIBERTACCHI-MAIN ARAMARK"</f>
        <v>000340874 - CASA DIBERTACCHI-MAIN ARAMARK</v>
      </c>
      <c r="C6840" t="s">
        <v>148</v>
      </c>
      <c r="D6840" s="1" t="str">
        <f t="shared" si="193"/>
        <v>PRG-1029979</v>
      </c>
      <c r="E6840" t="s">
        <v>149</v>
      </c>
      <c r="F6840" t="s">
        <v>4</v>
      </c>
      <c r="G6840" t="str">
        <f>""</f>
        <v/>
      </c>
    </row>
    <row r="6841" spans="1:7" x14ac:dyDescent="0.25">
      <c r="A6841" t="s">
        <v>8</v>
      </c>
      <c r="B6841" s="1" t="str">
        <f>"000342214 - CASA DIBERTACCHI-MAIN ARAMARK"</f>
        <v>000342214 - CASA DIBERTACCHI-MAIN ARAMARK</v>
      </c>
      <c r="C6841" t="s">
        <v>148</v>
      </c>
      <c r="D6841" s="1" t="str">
        <f t="shared" si="193"/>
        <v>PRG-1029979</v>
      </c>
      <c r="E6841" t="s">
        <v>149</v>
      </c>
      <c r="F6841" t="s">
        <v>4</v>
      </c>
      <c r="G6841" t="str">
        <f>""</f>
        <v/>
      </c>
    </row>
    <row r="6842" spans="1:7" x14ac:dyDescent="0.25">
      <c r="A6842" t="s">
        <v>8</v>
      </c>
      <c r="B6842" s="1" t="str">
        <f>"000343166 - CASA DIBERTACCHI-MAIN ARAMARK"</f>
        <v>000343166 - CASA DIBERTACCHI-MAIN ARAMARK</v>
      </c>
      <c r="C6842" t="s">
        <v>148</v>
      </c>
      <c r="D6842" s="1" t="str">
        <f t="shared" si="193"/>
        <v>PRG-1029979</v>
      </c>
      <c r="E6842" t="s">
        <v>149</v>
      </c>
      <c r="F6842" t="s">
        <v>4</v>
      </c>
      <c r="G6842" t="str">
        <f>""</f>
        <v/>
      </c>
    </row>
    <row r="6843" spans="1:7" x14ac:dyDescent="0.25">
      <c r="A6843" t="s">
        <v>8</v>
      </c>
      <c r="B6843" s="1" t="str">
        <f>"000349032 - CASA DIBERTACCHI-MAIN ARAMARK"</f>
        <v>000349032 - CASA DIBERTACCHI-MAIN ARAMARK</v>
      </c>
      <c r="C6843" t="s">
        <v>148</v>
      </c>
      <c r="D6843" s="1" t="str">
        <f t="shared" si="193"/>
        <v>PRG-1029979</v>
      </c>
      <c r="E6843" t="s">
        <v>149</v>
      </c>
      <c r="F6843" t="s">
        <v>4</v>
      </c>
      <c r="G6843" t="str">
        <f>""</f>
        <v/>
      </c>
    </row>
    <row r="6844" spans="1:7" x14ac:dyDescent="0.25">
      <c r="A6844" t="s">
        <v>8</v>
      </c>
      <c r="B6844" s="1" t="str">
        <f>"000356344 - CASA DIBERTACCHI-MAIN ARAMARK"</f>
        <v>000356344 - CASA DIBERTACCHI-MAIN ARAMARK</v>
      </c>
      <c r="C6844" t="s">
        <v>148</v>
      </c>
      <c r="D6844" s="1" t="str">
        <f t="shared" si="193"/>
        <v>PRG-1029979</v>
      </c>
      <c r="E6844" t="s">
        <v>149</v>
      </c>
      <c r="F6844" t="s">
        <v>4</v>
      </c>
      <c r="G6844" t="str">
        <f>""</f>
        <v/>
      </c>
    </row>
    <row r="6845" spans="1:7" x14ac:dyDescent="0.25">
      <c r="A6845" t="s">
        <v>8</v>
      </c>
      <c r="B6845" s="1" t="str">
        <f>"000362399 - CASA DIBERTACCHI-MAIN ARAMARK"</f>
        <v>000362399 - CASA DIBERTACCHI-MAIN ARAMARK</v>
      </c>
      <c r="C6845" t="s">
        <v>148</v>
      </c>
      <c r="D6845" s="1" t="str">
        <f t="shared" si="193"/>
        <v>PRG-1029979</v>
      </c>
      <c r="E6845" t="s">
        <v>149</v>
      </c>
      <c r="F6845" t="s">
        <v>4</v>
      </c>
      <c r="G6845" t="str">
        <f>""</f>
        <v/>
      </c>
    </row>
    <row r="6846" spans="1:7" x14ac:dyDescent="0.25">
      <c r="A6846" t="s">
        <v>8</v>
      </c>
      <c r="B6846" s="1" t="str">
        <f>"2000276397 - CASA DI BERTACCHI(RICH PRODUCTS)-AR"</f>
        <v>2000276397 - CASA DI BERTACCHI(RICH PRODUCTS)-AR</v>
      </c>
      <c r="C6846" t="s">
        <v>3893</v>
      </c>
      <c r="D6846" s="1" t="str">
        <f t="shared" si="193"/>
        <v>PRG-1029979</v>
      </c>
      <c r="E6846" t="s">
        <v>149</v>
      </c>
      <c r="F6846" t="s">
        <v>4</v>
      </c>
      <c r="G6846" t="str">
        <f>""</f>
        <v/>
      </c>
    </row>
    <row r="6847" spans="1:7" x14ac:dyDescent="0.25">
      <c r="A6847" t="s">
        <v>8</v>
      </c>
      <c r="B6847" s="1" t="str">
        <f>"2000305933 - CASA DI BERTACCHI(RICH PRODUCTS)-AR"</f>
        <v>2000305933 - CASA DI BERTACCHI(RICH PRODUCTS)-AR</v>
      </c>
      <c r="C6847" t="s">
        <v>3893</v>
      </c>
      <c r="D6847" s="1" t="str">
        <f t="shared" si="193"/>
        <v>PRG-1029979</v>
      </c>
      <c r="E6847" t="s">
        <v>149</v>
      </c>
      <c r="F6847" t="s">
        <v>4</v>
      </c>
      <c r="G6847" t="str">
        <f>""</f>
        <v/>
      </c>
    </row>
    <row r="6848" spans="1:7" x14ac:dyDescent="0.25">
      <c r="A6848" t="s">
        <v>8</v>
      </c>
      <c r="B6848" s="1" t="str">
        <f>"2000370696 - CASA DI BERTACCHI(RICH PRODUCTS)-AR"</f>
        <v>2000370696 - CASA DI BERTACCHI(RICH PRODUCTS)-AR</v>
      </c>
      <c r="C6848" t="s">
        <v>3893</v>
      </c>
      <c r="D6848" s="1" t="str">
        <f t="shared" si="193"/>
        <v>PRG-1029979</v>
      </c>
      <c r="E6848" t="s">
        <v>149</v>
      </c>
      <c r="F6848" t="s">
        <v>4</v>
      </c>
      <c r="G6848" t="str">
        <f>""</f>
        <v/>
      </c>
    </row>
    <row r="6849" spans="1:7" x14ac:dyDescent="0.25">
      <c r="A6849" t="s">
        <v>8</v>
      </c>
      <c r="B6849" s="1" t="str">
        <f>"2000370697 - CASA DI BERTACHI-ARAMARK SSS"</f>
        <v>2000370697 - CASA DI BERTACHI-ARAMARK SSS</v>
      </c>
      <c r="C6849" t="s">
        <v>4012</v>
      </c>
      <c r="D6849" s="1" t="str">
        <f t="shared" si="193"/>
        <v>PRG-1029979</v>
      </c>
      <c r="E6849" t="s">
        <v>149</v>
      </c>
      <c r="F6849" t="s">
        <v>4</v>
      </c>
      <c r="G6849" t="str">
        <f>""</f>
        <v/>
      </c>
    </row>
    <row r="6850" spans="1:7" x14ac:dyDescent="0.25">
      <c r="A6850" t="s">
        <v>8</v>
      </c>
      <c r="B6850" s="1" t="str">
        <f>"000137403 - "</f>
        <v xml:space="preserve">000137403 - </v>
      </c>
      <c r="D6850" s="1" t="str">
        <f>"PRG-1030033"</f>
        <v>PRG-1030033</v>
      </c>
      <c r="E6850" t="s">
        <v>968</v>
      </c>
      <c r="F6850" t="s">
        <v>4</v>
      </c>
      <c r="G6850" t="str">
        <f>""</f>
        <v/>
      </c>
    </row>
    <row r="6851" spans="1:7" x14ac:dyDescent="0.25">
      <c r="A6851" t="s">
        <v>8</v>
      </c>
      <c r="B6851" s="1" t="str">
        <f>"000036460 - CASA DIBERTACCHI-SSS ARAMARK"</f>
        <v>000036460 - CASA DIBERTACCHI-SSS ARAMARK</v>
      </c>
      <c r="C6851" t="s">
        <v>150</v>
      </c>
      <c r="D6851" s="1" t="str">
        <f t="shared" ref="D6851:D6884" si="194">"PRG-1030036"</f>
        <v>PRG-1030036</v>
      </c>
      <c r="E6851" t="s">
        <v>149</v>
      </c>
      <c r="F6851" t="s">
        <v>4</v>
      </c>
      <c r="G6851" t="str">
        <f>""</f>
        <v/>
      </c>
    </row>
    <row r="6852" spans="1:7" x14ac:dyDescent="0.25">
      <c r="A6852" t="s">
        <v>8</v>
      </c>
      <c r="B6852" s="1" t="str">
        <f>"000049237 - CASA DIBERTACCHI-SSS ARAMARK"</f>
        <v>000049237 - CASA DIBERTACCHI-SSS ARAMARK</v>
      </c>
      <c r="C6852" t="s">
        <v>150</v>
      </c>
      <c r="D6852" s="1" t="str">
        <f t="shared" si="194"/>
        <v>PRG-1030036</v>
      </c>
      <c r="E6852" t="s">
        <v>149</v>
      </c>
      <c r="F6852" t="s">
        <v>4</v>
      </c>
      <c r="G6852" t="str">
        <f>""</f>
        <v/>
      </c>
    </row>
    <row r="6853" spans="1:7" x14ac:dyDescent="0.25">
      <c r="A6853" t="s">
        <v>8</v>
      </c>
      <c r="B6853" s="1" t="str">
        <f>"000112017 - CASA DIBERTACCHI-SSS ARAMARK"</f>
        <v>000112017 - CASA DIBERTACCHI-SSS ARAMARK</v>
      </c>
      <c r="C6853" t="s">
        <v>150</v>
      </c>
      <c r="D6853" s="1" t="str">
        <f t="shared" si="194"/>
        <v>PRG-1030036</v>
      </c>
      <c r="E6853" t="s">
        <v>149</v>
      </c>
      <c r="F6853" t="s">
        <v>4</v>
      </c>
      <c r="G6853" t="str">
        <f>""</f>
        <v/>
      </c>
    </row>
    <row r="6854" spans="1:7" x14ac:dyDescent="0.25">
      <c r="A6854" t="s">
        <v>8</v>
      </c>
      <c r="B6854" s="1" t="str">
        <f>"000125461 - CASA DIBERTACCHI-SSS ARAMARK"</f>
        <v>000125461 - CASA DIBERTACCHI-SSS ARAMARK</v>
      </c>
      <c r="C6854" t="s">
        <v>150</v>
      </c>
      <c r="D6854" s="1" t="str">
        <f t="shared" si="194"/>
        <v>PRG-1030036</v>
      </c>
      <c r="E6854" t="s">
        <v>149</v>
      </c>
      <c r="F6854" t="s">
        <v>4</v>
      </c>
      <c r="G6854" t="str">
        <f>""</f>
        <v/>
      </c>
    </row>
    <row r="6855" spans="1:7" x14ac:dyDescent="0.25">
      <c r="A6855" t="s">
        <v>8</v>
      </c>
      <c r="B6855" s="1" t="str">
        <f>"000210574 - CASA DIBERTACCHI-SSS ARAMARK"</f>
        <v>000210574 - CASA DIBERTACCHI-SSS ARAMARK</v>
      </c>
      <c r="C6855" t="s">
        <v>150</v>
      </c>
      <c r="D6855" s="1" t="str">
        <f t="shared" si="194"/>
        <v>PRG-1030036</v>
      </c>
      <c r="E6855" t="s">
        <v>149</v>
      </c>
      <c r="F6855" t="s">
        <v>4</v>
      </c>
      <c r="G6855" t="str">
        <f>""</f>
        <v/>
      </c>
    </row>
    <row r="6856" spans="1:7" x14ac:dyDescent="0.25">
      <c r="A6856" t="s">
        <v>8</v>
      </c>
      <c r="B6856" s="1" t="str">
        <f>"000217735 - CASA DIBERTACCHI-SSS ARAMARK"</f>
        <v>000217735 - CASA DIBERTACCHI-SSS ARAMARK</v>
      </c>
      <c r="C6856" t="s">
        <v>150</v>
      </c>
      <c r="D6856" s="1" t="str">
        <f t="shared" si="194"/>
        <v>PRG-1030036</v>
      </c>
      <c r="E6856" t="s">
        <v>149</v>
      </c>
      <c r="F6856" t="s">
        <v>4</v>
      </c>
      <c r="G6856" t="str">
        <f>""</f>
        <v/>
      </c>
    </row>
    <row r="6857" spans="1:7" x14ac:dyDescent="0.25">
      <c r="A6857" t="s">
        <v>8</v>
      </c>
      <c r="B6857" s="1" t="str">
        <f>"000219805 - CASA DIBERTACCHI-SSS ARAMARK"</f>
        <v>000219805 - CASA DIBERTACCHI-SSS ARAMARK</v>
      </c>
      <c r="C6857" t="s">
        <v>150</v>
      </c>
      <c r="D6857" s="1" t="str">
        <f t="shared" si="194"/>
        <v>PRG-1030036</v>
      </c>
      <c r="E6857" t="s">
        <v>149</v>
      </c>
      <c r="F6857" t="s">
        <v>4</v>
      </c>
      <c r="G6857" t="str">
        <f>""</f>
        <v/>
      </c>
    </row>
    <row r="6858" spans="1:7" x14ac:dyDescent="0.25">
      <c r="A6858" t="s">
        <v>8</v>
      </c>
      <c r="B6858" s="1" t="str">
        <f>"000222933 - CASA DIBERTACCHI-SSS ARAMARK"</f>
        <v>000222933 - CASA DIBERTACCHI-SSS ARAMARK</v>
      </c>
      <c r="C6858" t="s">
        <v>150</v>
      </c>
      <c r="D6858" s="1" t="str">
        <f t="shared" si="194"/>
        <v>PRG-1030036</v>
      </c>
      <c r="E6858" t="s">
        <v>149</v>
      </c>
      <c r="F6858" t="s">
        <v>4</v>
      </c>
      <c r="G6858" t="str">
        <f>""</f>
        <v/>
      </c>
    </row>
    <row r="6859" spans="1:7" x14ac:dyDescent="0.25">
      <c r="A6859" t="s">
        <v>8</v>
      </c>
      <c r="B6859" s="1" t="str">
        <f>"000230192 - CASA DIBERTACCHI-SSS ARAMARK"</f>
        <v>000230192 - CASA DIBERTACCHI-SSS ARAMARK</v>
      </c>
      <c r="C6859" t="s">
        <v>150</v>
      </c>
      <c r="D6859" s="1" t="str">
        <f t="shared" si="194"/>
        <v>PRG-1030036</v>
      </c>
      <c r="E6859" t="s">
        <v>149</v>
      </c>
      <c r="F6859" t="s">
        <v>4</v>
      </c>
      <c r="G6859" t="str">
        <f>""</f>
        <v/>
      </c>
    </row>
    <row r="6860" spans="1:7" x14ac:dyDescent="0.25">
      <c r="A6860" t="s">
        <v>8</v>
      </c>
      <c r="B6860" s="1" t="str">
        <f>"000230593 - "</f>
        <v xml:space="preserve">000230593 - </v>
      </c>
      <c r="D6860" s="1" t="str">
        <f t="shared" si="194"/>
        <v>PRG-1030036</v>
      </c>
      <c r="E6860" t="s">
        <v>149</v>
      </c>
      <c r="F6860" t="s">
        <v>4</v>
      </c>
      <c r="G6860" t="str">
        <f>""</f>
        <v/>
      </c>
    </row>
    <row r="6861" spans="1:7" x14ac:dyDescent="0.25">
      <c r="A6861" t="s">
        <v>8</v>
      </c>
      <c r="B6861" s="1" t="str">
        <f>"000233715 - CASA DIBERTACCHI-SSS ARAMARK"</f>
        <v>000233715 - CASA DIBERTACCHI-SSS ARAMARK</v>
      </c>
      <c r="C6861" t="s">
        <v>150</v>
      </c>
      <c r="D6861" s="1" t="str">
        <f t="shared" si="194"/>
        <v>PRG-1030036</v>
      </c>
      <c r="E6861" t="s">
        <v>149</v>
      </c>
      <c r="F6861" t="s">
        <v>4</v>
      </c>
      <c r="G6861" t="str">
        <f>""</f>
        <v/>
      </c>
    </row>
    <row r="6862" spans="1:7" x14ac:dyDescent="0.25">
      <c r="A6862" t="s">
        <v>8</v>
      </c>
      <c r="B6862" s="1" t="str">
        <f>"000234224 - CASA DIBERTACCHI-SSS ARAMARK"</f>
        <v>000234224 - CASA DIBERTACCHI-SSS ARAMARK</v>
      </c>
      <c r="C6862" t="s">
        <v>150</v>
      </c>
      <c r="D6862" s="1" t="str">
        <f t="shared" si="194"/>
        <v>PRG-1030036</v>
      </c>
      <c r="E6862" t="s">
        <v>149</v>
      </c>
      <c r="F6862" t="s">
        <v>4</v>
      </c>
      <c r="G6862" t="str">
        <f>""</f>
        <v/>
      </c>
    </row>
    <row r="6863" spans="1:7" x14ac:dyDescent="0.25">
      <c r="A6863" t="s">
        <v>8</v>
      </c>
      <c r="B6863" s="1" t="str">
        <f>"000235608 - "</f>
        <v xml:space="preserve">000235608 - </v>
      </c>
      <c r="D6863" s="1" t="str">
        <f t="shared" si="194"/>
        <v>PRG-1030036</v>
      </c>
      <c r="E6863" t="s">
        <v>149</v>
      </c>
      <c r="F6863" t="s">
        <v>4</v>
      </c>
      <c r="G6863" t="str">
        <f>""</f>
        <v/>
      </c>
    </row>
    <row r="6864" spans="1:7" x14ac:dyDescent="0.25">
      <c r="A6864" t="s">
        <v>8</v>
      </c>
      <c r="B6864" s="1" t="str">
        <f>"000236566 - CASA DIBERTACCHI-SSS ARAMARK"</f>
        <v>000236566 - CASA DIBERTACCHI-SSS ARAMARK</v>
      </c>
      <c r="C6864" t="s">
        <v>150</v>
      </c>
      <c r="D6864" s="1" t="str">
        <f t="shared" si="194"/>
        <v>PRG-1030036</v>
      </c>
      <c r="E6864" t="s">
        <v>149</v>
      </c>
      <c r="F6864" t="s">
        <v>4</v>
      </c>
      <c r="G6864" t="str">
        <f>""</f>
        <v/>
      </c>
    </row>
    <row r="6865" spans="1:7" x14ac:dyDescent="0.25">
      <c r="A6865" t="s">
        <v>8</v>
      </c>
      <c r="B6865" s="1" t="str">
        <f>"000239512 - CASA DIBERTACCHI-SSS ARAMARK"</f>
        <v>000239512 - CASA DIBERTACCHI-SSS ARAMARK</v>
      </c>
      <c r="C6865" t="s">
        <v>150</v>
      </c>
      <c r="D6865" s="1" t="str">
        <f t="shared" si="194"/>
        <v>PRG-1030036</v>
      </c>
      <c r="E6865" t="s">
        <v>149</v>
      </c>
      <c r="F6865" t="s">
        <v>4</v>
      </c>
      <c r="G6865" t="str">
        <f>""</f>
        <v/>
      </c>
    </row>
    <row r="6866" spans="1:7" x14ac:dyDescent="0.25">
      <c r="A6866" t="s">
        <v>8</v>
      </c>
      <c r="B6866" s="1" t="str">
        <f>"000240525 - CASA DIBERTACCHI-SSS ARAMARK"</f>
        <v>000240525 - CASA DIBERTACCHI-SSS ARAMARK</v>
      </c>
      <c r="C6866" t="s">
        <v>150</v>
      </c>
      <c r="D6866" s="1" t="str">
        <f t="shared" si="194"/>
        <v>PRG-1030036</v>
      </c>
      <c r="E6866" t="s">
        <v>149</v>
      </c>
      <c r="F6866" t="s">
        <v>4</v>
      </c>
      <c r="G6866" t="str">
        <f>""</f>
        <v/>
      </c>
    </row>
    <row r="6867" spans="1:7" x14ac:dyDescent="0.25">
      <c r="A6867" t="s">
        <v>8</v>
      </c>
      <c r="B6867" s="1" t="str">
        <f>"000240650 - CASA DIBERTACCHI-SSS ARAMARK"</f>
        <v>000240650 - CASA DIBERTACCHI-SSS ARAMARK</v>
      </c>
      <c r="C6867" t="s">
        <v>150</v>
      </c>
      <c r="D6867" s="1" t="str">
        <f t="shared" si="194"/>
        <v>PRG-1030036</v>
      </c>
      <c r="E6867" t="s">
        <v>149</v>
      </c>
      <c r="F6867" t="s">
        <v>4</v>
      </c>
      <c r="G6867" t="str">
        <f>""</f>
        <v/>
      </c>
    </row>
    <row r="6868" spans="1:7" x14ac:dyDescent="0.25">
      <c r="A6868" t="s">
        <v>8</v>
      </c>
      <c r="B6868" s="1" t="str">
        <f>"000247591 - CASA DIBERTACCHI-SSS ARAMARK"</f>
        <v>000247591 - CASA DIBERTACCHI-SSS ARAMARK</v>
      </c>
      <c r="C6868" t="s">
        <v>150</v>
      </c>
      <c r="D6868" s="1" t="str">
        <f t="shared" si="194"/>
        <v>PRG-1030036</v>
      </c>
      <c r="E6868" t="s">
        <v>149</v>
      </c>
      <c r="F6868" t="s">
        <v>4</v>
      </c>
      <c r="G6868" t="str">
        <f>""</f>
        <v/>
      </c>
    </row>
    <row r="6869" spans="1:7" x14ac:dyDescent="0.25">
      <c r="A6869" t="s">
        <v>8</v>
      </c>
      <c r="B6869" s="1" t="str">
        <f>"000248614 - CASA DIBERTACCHI-SSS ARAMARK"</f>
        <v>000248614 - CASA DIBERTACCHI-SSS ARAMARK</v>
      </c>
      <c r="C6869" t="s">
        <v>150</v>
      </c>
      <c r="D6869" s="1" t="str">
        <f t="shared" si="194"/>
        <v>PRG-1030036</v>
      </c>
      <c r="E6869" t="s">
        <v>149</v>
      </c>
      <c r="F6869" t="s">
        <v>4</v>
      </c>
      <c r="G6869" t="str">
        <f>""</f>
        <v/>
      </c>
    </row>
    <row r="6870" spans="1:7" x14ac:dyDescent="0.25">
      <c r="A6870" t="s">
        <v>8</v>
      </c>
      <c r="B6870" s="1" t="str">
        <f>"000249421 - CASA DIBERTACCHI-SSS ARAMARK"</f>
        <v>000249421 - CASA DIBERTACCHI-SSS ARAMARK</v>
      </c>
      <c r="C6870" t="s">
        <v>150</v>
      </c>
      <c r="D6870" s="1" t="str">
        <f t="shared" si="194"/>
        <v>PRG-1030036</v>
      </c>
      <c r="E6870" t="s">
        <v>149</v>
      </c>
      <c r="F6870" t="s">
        <v>4</v>
      </c>
      <c r="G6870" t="str">
        <f>""</f>
        <v/>
      </c>
    </row>
    <row r="6871" spans="1:7" x14ac:dyDescent="0.25">
      <c r="A6871" t="s">
        <v>8</v>
      </c>
      <c r="B6871" s="1" t="str">
        <f>"000250004 - CASA DIBERTACCHI-SSS ARAMARK"</f>
        <v>000250004 - CASA DIBERTACCHI-SSS ARAMARK</v>
      </c>
      <c r="C6871" t="s">
        <v>150</v>
      </c>
      <c r="D6871" s="1" t="str">
        <f t="shared" si="194"/>
        <v>PRG-1030036</v>
      </c>
      <c r="E6871" t="s">
        <v>149</v>
      </c>
      <c r="F6871" t="s">
        <v>4</v>
      </c>
      <c r="G6871" t="str">
        <f>""</f>
        <v/>
      </c>
    </row>
    <row r="6872" spans="1:7" x14ac:dyDescent="0.25">
      <c r="A6872" t="s">
        <v>8</v>
      </c>
      <c r="B6872" s="1" t="str">
        <f>"000257259 - CASA DIBERTACCHI-SSS ARAMARK"</f>
        <v>000257259 - CASA DIBERTACCHI-SSS ARAMARK</v>
      </c>
      <c r="C6872" t="s">
        <v>150</v>
      </c>
      <c r="D6872" s="1" t="str">
        <f t="shared" si="194"/>
        <v>PRG-1030036</v>
      </c>
      <c r="E6872" t="s">
        <v>149</v>
      </c>
      <c r="F6872" t="s">
        <v>4</v>
      </c>
      <c r="G6872" t="str">
        <f>""</f>
        <v/>
      </c>
    </row>
    <row r="6873" spans="1:7" x14ac:dyDescent="0.25">
      <c r="A6873" t="s">
        <v>8</v>
      </c>
      <c r="B6873" s="1" t="str">
        <f>"000267281 - CASA DIBERTACCHI-SSS ARAMARK"</f>
        <v>000267281 - CASA DIBERTACCHI-SSS ARAMARK</v>
      </c>
      <c r="C6873" t="s">
        <v>150</v>
      </c>
      <c r="D6873" s="1" t="str">
        <f t="shared" si="194"/>
        <v>PRG-1030036</v>
      </c>
      <c r="E6873" t="s">
        <v>149</v>
      </c>
      <c r="F6873" t="s">
        <v>4</v>
      </c>
      <c r="G6873" t="str">
        <f>""</f>
        <v/>
      </c>
    </row>
    <row r="6874" spans="1:7" x14ac:dyDescent="0.25">
      <c r="A6874" t="s">
        <v>8</v>
      </c>
      <c r="B6874" s="1" t="str">
        <f>"000267725 - CASA DIBERTACCHI-SSS ARAMARK"</f>
        <v>000267725 - CASA DIBERTACCHI-SSS ARAMARK</v>
      </c>
      <c r="C6874" t="s">
        <v>150</v>
      </c>
      <c r="D6874" s="1" t="str">
        <f t="shared" si="194"/>
        <v>PRG-1030036</v>
      </c>
      <c r="E6874" t="s">
        <v>149</v>
      </c>
      <c r="F6874" t="s">
        <v>4</v>
      </c>
      <c r="G6874" t="str">
        <f>""</f>
        <v/>
      </c>
    </row>
    <row r="6875" spans="1:7" x14ac:dyDescent="0.25">
      <c r="A6875" t="s">
        <v>8</v>
      </c>
      <c r="B6875" s="1" t="str">
        <f>"000284540 - CASA DIBERTACCHI-SSS ARAMARK"</f>
        <v>000284540 - CASA DIBERTACCHI-SSS ARAMARK</v>
      </c>
      <c r="C6875" t="s">
        <v>150</v>
      </c>
      <c r="D6875" s="1" t="str">
        <f t="shared" si="194"/>
        <v>PRG-1030036</v>
      </c>
      <c r="E6875" t="s">
        <v>149</v>
      </c>
      <c r="F6875" t="s">
        <v>4</v>
      </c>
      <c r="G6875" t="str">
        <f>""</f>
        <v/>
      </c>
    </row>
    <row r="6876" spans="1:7" x14ac:dyDescent="0.25">
      <c r="A6876" t="s">
        <v>8</v>
      </c>
      <c r="B6876" s="1" t="str">
        <f>"000287721 - CASA DIBERTACCHI-SSS ARAMARK"</f>
        <v>000287721 - CASA DIBERTACCHI-SSS ARAMARK</v>
      </c>
      <c r="C6876" t="s">
        <v>150</v>
      </c>
      <c r="D6876" s="1" t="str">
        <f t="shared" si="194"/>
        <v>PRG-1030036</v>
      </c>
      <c r="E6876" t="s">
        <v>149</v>
      </c>
      <c r="F6876" t="s">
        <v>4</v>
      </c>
      <c r="G6876" t="str">
        <f>""</f>
        <v/>
      </c>
    </row>
    <row r="6877" spans="1:7" x14ac:dyDescent="0.25">
      <c r="A6877" t="s">
        <v>8</v>
      </c>
      <c r="B6877" s="1" t="str">
        <f>"000293549 - CASA DIBERTACCHI-SSS ARAMARK"</f>
        <v>000293549 - CASA DIBERTACCHI-SSS ARAMARK</v>
      </c>
      <c r="C6877" t="s">
        <v>150</v>
      </c>
      <c r="D6877" s="1" t="str">
        <f t="shared" si="194"/>
        <v>PRG-1030036</v>
      </c>
      <c r="E6877" t="s">
        <v>149</v>
      </c>
      <c r="F6877" t="s">
        <v>4</v>
      </c>
      <c r="G6877" t="str">
        <f>""</f>
        <v/>
      </c>
    </row>
    <row r="6878" spans="1:7" x14ac:dyDescent="0.25">
      <c r="A6878" t="s">
        <v>8</v>
      </c>
      <c r="B6878" s="1" t="str">
        <f>"000296924 - CASA DIBERTACCHI-SSS ARAMARK"</f>
        <v>000296924 - CASA DIBERTACCHI-SSS ARAMARK</v>
      </c>
      <c r="C6878" t="s">
        <v>150</v>
      </c>
      <c r="D6878" s="1" t="str">
        <f t="shared" si="194"/>
        <v>PRG-1030036</v>
      </c>
      <c r="E6878" t="s">
        <v>149</v>
      </c>
      <c r="F6878" t="s">
        <v>4</v>
      </c>
      <c r="G6878" t="str">
        <f>""</f>
        <v/>
      </c>
    </row>
    <row r="6879" spans="1:7" x14ac:dyDescent="0.25">
      <c r="A6879" t="s">
        <v>8</v>
      </c>
      <c r="B6879" s="1" t="str">
        <f>"000304945 - CASA DIBERTACCHI-SSS ARAMARK"</f>
        <v>000304945 - CASA DIBERTACCHI-SSS ARAMARK</v>
      </c>
      <c r="C6879" t="s">
        <v>150</v>
      </c>
      <c r="D6879" s="1" t="str">
        <f t="shared" si="194"/>
        <v>PRG-1030036</v>
      </c>
      <c r="E6879" t="s">
        <v>149</v>
      </c>
      <c r="F6879" t="s">
        <v>4</v>
      </c>
      <c r="G6879" t="str">
        <f>""</f>
        <v/>
      </c>
    </row>
    <row r="6880" spans="1:7" x14ac:dyDescent="0.25">
      <c r="A6880" t="s">
        <v>8</v>
      </c>
      <c r="B6880" s="1" t="str">
        <f>"000307837 - "</f>
        <v xml:space="preserve">000307837 - </v>
      </c>
      <c r="D6880" s="1" t="str">
        <f t="shared" si="194"/>
        <v>PRG-1030036</v>
      </c>
      <c r="E6880" t="s">
        <v>149</v>
      </c>
      <c r="F6880" t="s">
        <v>4</v>
      </c>
      <c r="G6880" t="str">
        <f>""</f>
        <v/>
      </c>
    </row>
    <row r="6881" spans="1:7" x14ac:dyDescent="0.25">
      <c r="A6881" t="s">
        <v>8</v>
      </c>
      <c r="B6881" s="1" t="str">
        <f>"000310886 - CASA DIBERTACCHI-SSS ARAMARK"</f>
        <v>000310886 - CASA DIBERTACCHI-SSS ARAMARK</v>
      </c>
      <c r="C6881" t="s">
        <v>150</v>
      </c>
      <c r="D6881" s="1" t="str">
        <f t="shared" si="194"/>
        <v>PRG-1030036</v>
      </c>
      <c r="E6881" t="s">
        <v>149</v>
      </c>
      <c r="F6881" t="s">
        <v>4</v>
      </c>
      <c r="G6881" t="str">
        <f>""</f>
        <v/>
      </c>
    </row>
    <row r="6882" spans="1:7" x14ac:dyDescent="0.25">
      <c r="A6882" t="s">
        <v>8</v>
      </c>
      <c r="B6882" s="1" t="str">
        <f>"000319917 - CASA DIBERTACCHI-SSS ARAMARK"</f>
        <v>000319917 - CASA DIBERTACCHI-SSS ARAMARK</v>
      </c>
      <c r="C6882" t="s">
        <v>150</v>
      </c>
      <c r="D6882" s="1" t="str">
        <f t="shared" si="194"/>
        <v>PRG-1030036</v>
      </c>
      <c r="E6882" t="s">
        <v>149</v>
      </c>
      <c r="F6882" t="s">
        <v>4</v>
      </c>
      <c r="G6882" t="str">
        <f>""</f>
        <v/>
      </c>
    </row>
    <row r="6883" spans="1:7" x14ac:dyDescent="0.25">
      <c r="A6883" t="s">
        <v>8</v>
      </c>
      <c r="B6883" s="1" t="str">
        <f>"000323428 - CASA DIBERTACCHI-SSS ARAMARK"</f>
        <v>000323428 - CASA DIBERTACCHI-SSS ARAMARK</v>
      </c>
      <c r="C6883" t="s">
        <v>150</v>
      </c>
      <c r="D6883" s="1" t="str">
        <f t="shared" si="194"/>
        <v>PRG-1030036</v>
      </c>
      <c r="E6883" t="s">
        <v>149</v>
      </c>
      <c r="F6883" t="s">
        <v>4</v>
      </c>
      <c r="G6883" t="str">
        <f>""</f>
        <v/>
      </c>
    </row>
    <row r="6884" spans="1:7" x14ac:dyDescent="0.25">
      <c r="A6884" t="s">
        <v>8</v>
      </c>
      <c r="B6884" s="1" t="str">
        <f>"2000276795 - CASA DI BERTACHI-ARAMARK SSS"</f>
        <v>2000276795 - CASA DI BERTACHI-ARAMARK SSS</v>
      </c>
      <c r="C6884" t="s">
        <v>4012</v>
      </c>
      <c r="D6884" s="1" t="str">
        <f t="shared" si="194"/>
        <v>PRG-1030036</v>
      </c>
      <c r="E6884" t="s">
        <v>149</v>
      </c>
      <c r="F6884" t="s">
        <v>4</v>
      </c>
      <c r="G6884" t="str">
        <f>""</f>
        <v/>
      </c>
    </row>
    <row r="6885" spans="1:7" x14ac:dyDescent="0.25">
      <c r="A6885" t="s">
        <v>8</v>
      </c>
      <c r="B6885" s="1" t="str">
        <f>"000292914 - RICH  TX HHSC BBQ BEEF"</f>
        <v>000292914 - RICH  TX HHSC BBQ BEEF</v>
      </c>
      <c r="C6885" t="s">
        <v>2869</v>
      </c>
      <c r="D6885" s="1" t="str">
        <f>"PRG-1030044"</f>
        <v>PRG-1030044</v>
      </c>
      <c r="E6885" t="s">
        <v>2870</v>
      </c>
      <c r="F6885" t="s">
        <v>4</v>
      </c>
      <c r="G6885" t="str">
        <f>""</f>
        <v/>
      </c>
    </row>
    <row r="6886" spans="1:7" x14ac:dyDescent="0.25">
      <c r="A6886" t="s">
        <v>8</v>
      </c>
      <c r="B6886" s="1" t="str">
        <f>"S2I00LS0"</f>
        <v>S2I00LS0</v>
      </c>
      <c r="C6886" t="s">
        <v>5522</v>
      </c>
      <c r="D6886" s="1" t="str">
        <f>"PRG-1030047"</f>
        <v>PRG-1030047</v>
      </c>
      <c r="E6886" t="s">
        <v>5523</v>
      </c>
      <c r="F6886" t="s">
        <v>5</v>
      </c>
      <c r="G6886" t="str">
        <f>""</f>
        <v/>
      </c>
    </row>
    <row r="6887" spans="1:7" x14ac:dyDescent="0.25">
      <c r="A6887" t="s">
        <v>8</v>
      </c>
      <c r="B6887" s="1" t="str">
        <f>"2000294825 - "</f>
        <v xml:space="preserve">2000294825 - </v>
      </c>
      <c r="D6887" s="1" t="str">
        <f>"PRG-1030059"</f>
        <v>PRG-1030059</v>
      </c>
      <c r="E6887" t="s">
        <v>4027</v>
      </c>
      <c r="F6887" t="s">
        <v>4</v>
      </c>
      <c r="G6887" t="str">
        <f>""</f>
        <v/>
      </c>
    </row>
    <row r="6888" spans="1:7" x14ac:dyDescent="0.25">
      <c r="A6888" t="s">
        <v>8</v>
      </c>
      <c r="B6888" s="1" t="str">
        <f>"000230940 - PARTY SAFARI RICH"</f>
        <v>000230940 - PARTY SAFARI RICH</v>
      </c>
      <c r="C6888" t="s">
        <v>1759</v>
      </c>
      <c r="D6888" s="1" t="str">
        <f>"PRG-1030065"</f>
        <v>PRG-1030065</v>
      </c>
      <c r="E6888" t="s">
        <v>1760</v>
      </c>
      <c r="F6888" t="s">
        <v>4</v>
      </c>
      <c r="G6888" t="str">
        <f>""</f>
        <v/>
      </c>
    </row>
    <row r="6889" spans="1:7" x14ac:dyDescent="0.25">
      <c r="A6889" t="s">
        <v>8</v>
      </c>
      <c r="B6889" s="1" t="str">
        <f>"2270A667"</f>
        <v>2270A667</v>
      </c>
      <c r="C6889" t="s">
        <v>4478</v>
      </c>
      <c r="D6889" s="1" t="str">
        <f>"PRG-1030101"</f>
        <v>PRG-1030101</v>
      </c>
      <c r="E6889" t="s">
        <v>4479</v>
      </c>
      <c r="F6889" t="s">
        <v>5</v>
      </c>
      <c r="G6889" t="str">
        <f>""</f>
        <v/>
      </c>
    </row>
    <row r="6890" spans="1:7" x14ac:dyDescent="0.25">
      <c r="A6890" t="s">
        <v>8</v>
      </c>
      <c r="B6890" s="1" t="str">
        <f>"S6H00JU0"</f>
        <v>S6H00JU0</v>
      </c>
      <c r="C6890" t="s">
        <v>6076</v>
      </c>
      <c r="D6890" s="1" t="str">
        <f>"PRG-1030101"</f>
        <v>PRG-1030101</v>
      </c>
      <c r="E6890" t="s">
        <v>4479</v>
      </c>
      <c r="F6890" t="s">
        <v>5</v>
      </c>
      <c r="G6890" t="str">
        <f>""</f>
        <v/>
      </c>
    </row>
    <row r="6891" spans="1:7" x14ac:dyDescent="0.25">
      <c r="A6891" t="s">
        <v>8</v>
      </c>
      <c r="B6891" s="1" t="str">
        <f>"S2I00CY0"</f>
        <v>S2I00CY0</v>
      </c>
      <c r="C6891" t="s">
        <v>5516</v>
      </c>
      <c r="D6891" s="1" t="str">
        <f>"PRG-1030130"</f>
        <v>PRG-1030130</v>
      </c>
      <c r="E6891" t="s">
        <v>5517</v>
      </c>
      <c r="F6891" t="s">
        <v>5</v>
      </c>
      <c r="G6891" t="str">
        <f>""</f>
        <v/>
      </c>
    </row>
    <row r="6892" spans="1:7" x14ac:dyDescent="0.25">
      <c r="A6892" t="s">
        <v>8</v>
      </c>
      <c r="B6892" s="1" t="str">
        <f>"S9D00VC0"</f>
        <v>S9D00VC0</v>
      </c>
      <c r="C6892" t="s">
        <v>6344</v>
      </c>
      <c r="D6892" s="1" t="str">
        <f>"PRG-1030163"</f>
        <v>PRG-1030163</v>
      </c>
      <c r="E6892" t="s">
        <v>6345</v>
      </c>
      <c r="F6892" t="s">
        <v>5</v>
      </c>
      <c r="G6892" t="str">
        <f>""</f>
        <v/>
      </c>
    </row>
    <row r="6893" spans="1:7" x14ac:dyDescent="0.25">
      <c r="A6893" t="s">
        <v>8</v>
      </c>
      <c r="B6893" s="1" t="str">
        <f>"S4H00FL0"</f>
        <v>S4H00FL0</v>
      </c>
      <c r="C6893" t="s">
        <v>5721</v>
      </c>
      <c r="D6893" s="1" t="str">
        <f>"PRG-1030176"</f>
        <v>PRG-1030176</v>
      </c>
      <c r="E6893" t="s">
        <v>5722</v>
      </c>
      <c r="F6893" t="s">
        <v>5</v>
      </c>
      <c r="G6893" t="str">
        <f>""</f>
        <v/>
      </c>
    </row>
    <row r="6894" spans="1:7" x14ac:dyDescent="0.25">
      <c r="A6894" t="s">
        <v>8</v>
      </c>
      <c r="B6894" s="1" t="str">
        <f>"000182547 - RICHS TRIP INTO CASES"</f>
        <v>000182547 - RICHS TRIP INTO CASES</v>
      </c>
      <c r="C6894" t="s">
        <v>1154</v>
      </c>
      <c r="D6894" s="1" t="str">
        <f>"PRG-1030201"</f>
        <v>PRG-1030201</v>
      </c>
      <c r="E6894" t="s">
        <v>1155</v>
      </c>
      <c r="F6894" t="s">
        <v>4</v>
      </c>
      <c r="G6894" t="str">
        <f>""</f>
        <v/>
      </c>
    </row>
    <row r="6895" spans="1:7" x14ac:dyDescent="0.25">
      <c r="A6895" t="s">
        <v>8</v>
      </c>
      <c r="B6895" s="1" t="str">
        <f>"000316387 - SPENCERVILLE ACADEMY RICH PROD"</f>
        <v>000316387 - SPENCERVILLE ACADEMY RICH PROD</v>
      </c>
      <c r="C6895" t="s">
        <v>3187</v>
      </c>
      <c r="D6895" s="1" t="str">
        <f>"PRG-1030261"</f>
        <v>PRG-1030261</v>
      </c>
      <c r="E6895" t="s">
        <v>3188</v>
      </c>
      <c r="F6895" t="s">
        <v>4</v>
      </c>
      <c r="G6895" t="str">
        <f>""</f>
        <v/>
      </c>
    </row>
    <row r="6896" spans="1:7" x14ac:dyDescent="0.25">
      <c r="A6896" t="s">
        <v>8</v>
      </c>
      <c r="B6896" s="1" t="str">
        <f>"000337700 - SPENCERVILLE ACADEMY RICH PROD"</f>
        <v>000337700 - SPENCERVILLE ACADEMY RICH PROD</v>
      </c>
      <c r="C6896" t="s">
        <v>3187</v>
      </c>
      <c r="D6896" s="1" t="str">
        <f>"PRG-1030261"</f>
        <v>PRG-1030261</v>
      </c>
      <c r="E6896" t="s">
        <v>3188</v>
      </c>
      <c r="F6896" t="s">
        <v>4</v>
      </c>
      <c r="G6896" t="str">
        <f>""</f>
        <v/>
      </c>
    </row>
    <row r="6897" spans="1:7" x14ac:dyDescent="0.25">
      <c r="A6897" t="s">
        <v>8</v>
      </c>
      <c r="B6897" s="1" t="str">
        <f>"000260947 - "</f>
        <v xml:space="preserve">000260947 - </v>
      </c>
      <c r="D6897" s="1" t="str">
        <f>"PRG-1030278"</f>
        <v>PRG-1030278</v>
      </c>
      <c r="E6897" t="s">
        <v>2275</v>
      </c>
      <c r="F6897" t="s">
        <v>4</v>
      </c>
      <c r="G6897" t="str">
        <f>""</f>
        <v/>
      </c>
    </row>
    <row r="6898" spans="1:7" x14ac:dyDescent="0.25">
      <c r="A6898" t="s">
        <v>8</v>
      </c>
      <c r="B6898" s="1" t="str">
        <f>"000352106 - "</f>
        <v xml:space="preserve">000352106 - </v>
      </c>
      <c r="D6898" s="1" t="str">
        <f>"PRG-1030328"</f>
        <v>PRG-1030328</v>
      </c>
      <c r="E6898" t="s">
        <v>3521</v>
      </c>
      <c r="F6898" t="s">
        <v>4</v>
      </c>
      <c r="G6898" t="str">
        <f>""</f>
        <v/>
      </c>
    </row>
    <row r="6899" spans="1:7" x14ac:dyDescent="0.25">
      <c r="A6899" t="s">
        <v>8</v>
      </c>
      <c r="B6899" s="1" t="str">
        <f>"3220E200"</f>
        <v>3220E200</v>
      </c>
      <c r="C6899" t="s">
        <v>4826</v>
      </c>
      <c r="D6899" s="1" t="str">
        <f>"PRG-1030333"</f>
        <v>PRG-1030333</v>
      </c>
      <c r="E6899" t="s">
        <v>4827</v>
      </c>
      <c r="F6899" t="s">
        <v>5</v>
      </c>
      <c r="G6899" t="str">
        <f>""</f>
        <v/>
      </c>
    </row>
    <row r="6900" spans="1:7" x14ac:dyDescent="0.25">
      <c r="A6900" t="s">
        <v>8</v>
      </c>
      <c r="B6900" s="1" t="str">
        <f>"000199961 - 1030371 SHIPLEY DONUTS #1 &amp; #2"</f>
        <v>000199961 - 1030371 SHIPLEY DONUTS #1 &amp; #2</v>
      </c>
      <c r="C6900" t="s">
        <v>1296</v>
      </c>
      <c r="D6900" s="1" t="str">
        <f>"PRG-1030371"</f>
        <v>PRG-1030371</v>
      </c>
      <c r="E6900" t="s">
        <v>1297</v>
      </c>
      <c r="F6900" t="s">
        <v>4</v>
      </c>
      <c r="G6900" t="str">
        <f>""</f>
        <v/>
      </c>
    </row>
    <row r="6901" spans="1:7" x14ac:dyDescent="0.25">
      <c r="A6901" t="s">
        <v>8</v>
      </c>
      <c r="B6901" s="1" t="str">
        <f>"000304257 - RICH UW MADISON"</f>
        <v>000304257 - RICH UW MADISON</v>
      </c>
      <c r="C6901" t="s">
        <v>3020</v>
      </c>
      <c r="D6901" s="1" t="str">
        <f>"PRG-1030381"</f>
        <v>PRG-1030381</v>
      </c>
      <c r="E6901" t="s">
        <v>3021</v>
      </c>
      <c r="F6901" t="s">
        <v>4</v>
      </c>
      <c r="G6901" t="str">
        <f>""</f>
        <v/>
      </c>
    </row>
    <row r="6902" spans="1:7" x14ac:dyDescent="0.25">
      <c r="A6902" t="s">
        <v>8</v>
      </c>
      <c r="B6902" s="1" t="str">
        <f>"000196736 - CASA DI BERTACCHI-SODEXO"</f>
        <v>000196736 - CASA DI BERTACCHI-SODEXO</v>
      </c>
      <c r="C6902" t="s">
        <v>378</v>
      </c>
      <c r="D6902" s="1" t="str">
        <f>"PRG-1030526"</f>
        <v>PRG-1030526</v>
      </c>
      <c r="E6902" t="s">
        <v>36</v>
      </c>
      <c r="F6902" t="s">
        <v>4</v>
      </c>
      <c r="G6902" t="str">
        <f>""</f>
        <v/>
      </c>
    </row>
    <row r="6903" spans="1:7" x14ac:dyDescent="0.25">
      <c r="A6903" t="s">
        <v>8</v>
      </c>
      <c r="B6903" s="1" t="str">
        <f>"000223845 - CASA DI BERTACCHI-SODEXO"</f>
        <v>000223845 - CASA DI BERTACCHI-SODEXO</v>
      </c>
      <c r="C6903" t="s">
        <v>378</v>
      </c>
      <c r="D6903" s="1" t="str">
        <f>"PRG-1030526"</f>
        <v>PRG-1030526</v>
      </c>
      <c r="E6903" t="s">
        <v>36</v>
      </c>
      <c r="F6903" t="s">
        <v>4</v>
      </c>
      <c r="G6903" t="str">
        <f>""</f>
        <v/>
      </c>
    </row>
    <row r="6904" spans="1:7" x14ac:dyDescent="0.25">
      <c r="A6904" t="s">
        <v>8</v>
      </c>
      <c r="B6904" s="1" t="str">
        <f>"000264433 - CASA DI BERTACCHI-SODEXO"</f>
        <v>000264433 - CASA DI BERTACCHI-SODEXO</v>
      </c>
      <c r="C6904" t="s">
        <v>378</v>
      </c>
      <c r="D6904" s="1" t="str">
        <f>"PRG-1030526"</f>
        <v>PRG-1030526</v>
      </c>
      <c r="E6904" t="s">
        <v>36</v>
      </c>
      <c r="F6904" t="s">
        <v>4</v>
      </c>
      <c r="G6904" t="str">
        <f>""</f>
        <v/>
      </c>
    </row>
    <row r="6905" spans="1:7" x14ac:dyDescent="0.25">
      <c r="A6905" t="s">
        <v>8</v>
      </c>
      <c r="B6905" s="1" t="str">
        <f>"000350654 - CASA DI BERTACCHI-SODEXO"</f>
        <v>000350654 - CASA DI BERTACCHI-SODEXO</v>
      </c>
      <c r="C6905" t="s">
        <v>378</v>
      </c>
      <c r="D6905" s="1" t="str">
        <f>"PRG-1030526"</f>
        <v>PRG-1030526</v>
      </c>
      <c r="E6905" t="s">
        <v>36</v>
      </c>
      <c r="F6905" t="s">
        <v>4</v>
      </c>
      <c r="G6905" t="str">
        <f>""</f>
        <v/>
      </c>
    </row>
    <row r="6906" spans="1:7" x14ac:dyDescent="0.25">
      <c r="A6906" t="s">
        <v>8</v>
      </c>
      <c r="B6906" s="1" t="str">
        <f>"1933B176"</f>
        <v>1933B176</v>
      </c>
      <c r="C6906" t="s">
        <v>3823</v>
      </c>
      <c r="D6906" s="1" t="str">
        <f t="shared" ref="D6906:D6911" si="195">"PRG-1030538"</f>
        <v>PRG-1030538</v>
      </c>
      <c r="E6906" t="s">
        <v>3824</v>
      </c>
      <c r="F6906" t="s">
        <v>5</v>
      </c>
      <c r="G6906" t="str">
        <f>""</f>
        <v/>
      </c>
    </row>
    <row r="6907" spans="1:7" x14ac:dyDescent="0.25">
      <c r="A6907" t="s">
        <v>8</v>
      </c>
      <c r="B6907" s="1" t="str">
        <f>"3023B445"</f>
        <v>3023B445</v>
      </c>
      <c r="C6907" t="s">
        <v>4579</v>
      </c>
      <c r="D6907" s="1" t="str">
        <f t="shared" si="195"/>
        <v>PRG-1030538</v>
      </c>
      <c r="E6907" t="s">
        <v>3824</v>
      </c>
      <c r="F6907" t="s">
        <v>5</v>
      </c>
      <c r="G6907" t="str">
        <f>""</f>
        <v/>
      </c>
    </row>
    <row r="6908" spans="1:7" x14ac:dyDescent="0.25">
      <c r="A6908" t="s">
        <v>8</v>
      </c>
      <c r="B6908" s="1" t="str">
        <f>"3126B060"</f>
        <v>3126B060</v>
      </c>
      <c r="C6908" t="s">
        <v>4625</v>
      </c>
      <c r="D6908" s="1" t="str">
        <f t="shared" si="195"/>
        <v>PRG-1030538</v>
      </c>
      <c r="E6908" t="s">
        <v>3824</v>
      </c>
      <c r="F6908" t="s">
        <v>5</v>
      </c>
      <c r="G6908" t="str">
        <f>""</f>
        <v/>
      </c>
    </row>
    <row r="6909" spans="1:7" x14ac:dyDescent="0.25">
      <c r="A6909" t="s">
        <v>8</v>
      </c>
      <c r="B6909" s="1" t="str">
        <f>"3150B367"</f>
        <v>3150B367</v>
      </c>
      <c r="C6909" t="s">
        <v>4665</v>
      </c>
      <c r="D6909" s="1" t="str">
        <f t="shared" si="195"/>
        <v>PRG-1030538</v>
      </c>
      <c r="E6909" t="s">
        <v>3824</v>
      </c>
      <c r="F6909" t="s">
        <v>5</v>
      </c>
      <c r="G6909" t="str">
        <f>""</f>
        <v/>
      </c>
    </row>
    <row r="6910" spans="1:7" x14ac:dyDescent="0.25">
      <c r="A6910" t="s">
        <v>8</v>
      </c>
      <c r="B6910" s="1" t="str">
        <f>"3170EF78"</f>
        <v>3170EF78</v>
      </c>
      <c r="C6910" t="s">
        <v>4721</v>
      </c>
      <c r="D6910" s="1" t="str">
        <f t="shared" si="195"/>
        <v>PRG-1030538</v>
      </c>
      <c r="E6910" t="s">
        <v>3824</v>
      </c>
      <c r="F6910" t="s">
        <v>5</v>
      </c>
      <c r="G6910" t="str">
        <f>""</f>
        <v/>
      </c>
    </row>
    <row r="6911" spans="1:7" x14ac:dyDescent="0.25">
      <c r="A6911" t="s">
        <v>8</v>
      </c>
      <c r="B6911" s="1" t="str">
        <f>"4146C473"</f>
        <v>4146C473</v>
      </c>
      <c r="C6911" t="s">
        <v>5002</v>
      </c>
      <c r="D6911" s="1" t="str">
        <f t="shared" si="195"/>
        <v>PRG-1030538</v>
      </c>
      <c r="E6911" t="s">
        <v>3824</v>
      </c>
      <c r="F6911" t="s">
        <v>5</v>
      </c>
      <c r="G6911" t="str">
        <f>""</f>
        <v/>
      </c>
    </row>
    <row r="6912" spans="1:7" x14ac:dyDescent="0.25">
      <c r="A6912" t="s">
        <v>8</v>
      </c>
      <c r="B6912" s="1" t="str">
        <f>"000319451 - "</f>
        <v xml:space="preserve">000319451 - </v>
      </c>
      <c r="D6912" s="1" t="str">
        <f>"PRG-1030572"</f>
        <v>PRG-1030572</v>
      </c>
      <c r="E6912" t="s">
        <v>3232</v>
      </c>
      <c r="F6912" t="s">
        <v>4</v>
      </c>
      <c r="G6912" t="str">
        <f>""</f>
        <v/>
      </c>
    </row>
    <row r="6913" spans="1:7" x14ac:dyDescent="0.25">
      <c r="A6913" t="s">
        <v>8</v>
      </c>
      <c r="B6913" s="1" t="str">
        <f>"2000287471 - "</f>
        <v xml:space="preserve">2000287471 - </v>
      </c>
      <c r="D6913" s="1" t="str">
        <f>"PRG-1030585"</f>
        <v>PRG-1030585</v>
      </c>
      <c r="E6913" t="s">
        <v>4022</v>
      </c>
      <c r="F6913" t="s">
        <v>4</v>
      </c>
      <c r="G6913" t="str">
        <f>""</f>
        <v/>
      </c>
    </row>
    <row r="6914" spans="1:7" x14ac:dyDescent="0.25">
      <c r="A6914" t="s">
        <v>8</v>
      </c>
      <c r="B6914" s="1" t="str">
        <f>"000301215 - "</f>
        <v xml:space="preserve">000301215 - </v>
      </c>
      <c r="D6914" s="1" t="str">
        <f>"PRG-1030590"</f>
        <v>PRG-1030590</v>
      </c>
      <c r="E6914" t="s">
        <v>2979</v>
      </c>
      <c r="F6914" t="s">
        <v>4</v>
      </c>
      <c r="G6914" t="str">
        <f>""</f>
        <v/>
      </c>
    </row>
    <row r="6915" spans="1:7" x14ac:dyDescent="0.25">
      <c r="A6915" t="s">
        <v>8</v>
      </c>
      <c r="B6915" s="1" t="str">
        <f>"000303681 - "</f>
        <v xml:space="preserve">000303681 - </v>
      </c>
      <c r="D6915" s="1" t="str">
        <f>"PRG-1030590"</f>
        <v>PRG-1030590</v>
      </c>
      <c r="E6915" t="s">
        <v>2979</v>
      </c>
      <c r="F6915" t="s">
        <v>4</v>
      </c>
      <c r="G6915" t="str">
        <f>""</f>
        <v/>
      </c>
    </row>
    <row r="6916" spans="1:7" x14ac:dyDescent="0.25">
      <c r="A6916" t="s">
        <v>8</v>
      </c>
      <c r="B6916" s="1" t="str">
        <f>"000342266 - RICHS SKI BOWL"</f>
        <v>000342266 - RICHS SKI BOWL</v>
      </c>
      <c r="C6916" t="s">
        <v>2589</v>
      </c>
      <c r="D6916" s="1" t="str">
        <f>"PRG-1030590"</f>
        <v>PRG-1030590</v>
      </c>
      <c r="E6916" t="s">
        <v>2979</v>
      </c>
      <c r="F6916" t="s">
        <v>4</v>
      </c>
      <c r="G6916" t="str">
        <f>""</f>
        <v/>
      </c>
    </row>
    <row r="6917" spans="1:7" x14ac:dyDescent="0.25">
      <c r="A6917" t="s">
        <v>8</v>
      </c>
      <c r="B6917" s="1" t="str">
        <f>"000009333 - RICH PRODUCTS-BEEF O BRADY"</f>
        <v>000009333 - RICH PRODUCTS-BEEF O BRADY</v>
      </c>
      <c r="C6917" t="s">
        <v>219</v>
      </c>
      <c r="D6917" s="1" t="str">
        <f t="shared" ref="D6917:D6948" si="196">"PRG-1030639"</f>
        <v>PRG-1030639</v>
      </c>
      <c r="E6917" t="s">
        <v>291</v>
      </c>
      <c r="F6917" t="s">
        <v>4</v>
      </c>
      <c r="G6917" t="str">
        <f>""</f>
        <v/>
      </c>
    </row>
    <row r="6918" spans="1:7" x14ac:dyDescent="0.25">
      <c r="A6918" t="s">
        <v>8</v>
      </c>
      <c r="B6918" s="1" t="str">
        <f>"000011624 - RICH PRODUCTS-BOB"</f>
        <v>000011624 - RICH PRODUCTS-BOB</v>
      </c>
      <c r="C6918" t="s">
        <v>327</v>
      </c>
      <c r="D6918" s="1" t="str">
        <f t="shared" si="196"/>
        <v>PRG-1030639</v>
      </c>
      <c r="E6918" t="s">
        <v>291</v>
      </c>
      <c r="F6918" t="s">
        <v>4</v>
      </c>
      <c r="G6918" t="str">
        <f>""</f>
        <v/>
      </c>
    </row>
    <row r="6919" spans="1:7" x14ac:dyDescent="0.25">
      <c r="A6919" t="s">
        <v>8</v>
      </c>
      <c r="B6919" s="1" t="str">
        <f>"000015979 - RICH FOODS BAPA-BEEF OBRADY"</f>
        <v>000015979 - RICH FOODS BAPA-BEEF OBRADY</v>
      </c>
      <c r="C6919" t="s">
        <v>366</v>
      </c>
      <c r="D6919" s="1" t="str">
        <f t="shared" si="196"/>
        <v>PRG-1030639</v>
      </c>
      <c r="E6919" t="s">
        <v>291</v>
      </c>
      <c r="F6919" t="s">
        <v>4</v>
      </c>
      <c r="G6919" t="str">
        <f>""</f>
        <v/>
      </c>
    </row>
    <row r="6920" spans="1:7" x14ac:dyDescent="0.25">
      <c r="A6920" t="s">
        <v>8</v>
      </c>
      <c r="B6920" s="1" t="str">
        <f>"000017459 - "</f>
        <v xml:space="preserve">000017459 - </v>
      </c>
      <c r="D6920" s="1" t="str">
        <f t="shared" si="196"/>
        <v>PRG-1030639</v>
      </c>
      <c r="E6920" t="s">
        <v>291</v>
      </c>
      <c r="F6920" t="s">
        <v>4</v>
      </c>
      <c r="G6920" t="str">
        <f>""</f>
        <v/>
      </c>
    </row>
    <row r="6921" spans="1:7" x14ac:dyDescent="0.25">
      <c r="A6921" t="s">
        <v>8</v>
      </c>
      <c r="B6921" s="1" t="str">
        <f>"000056550 - RICH PRODUCTS-BEEF O BRADY"</f>
        <v>000056550 - RICH PRODUCTS-BEEF O BRADY</v>
      </c>
      <c r="C6921" t="s">
        <v>219</v>
      </c>
      <c r="D6921" s="1" t="str">
        <f t="shared" si="196"/>
        <v>PRG-1030639</v>
      </c>
      <c r="E6921" t="s">
        <v>291</v>
      </c>
      <c r="F6921" t="s">
        <v>4</v>
      </c>
      <c r="G6921" t="str">
        <f>""</f>
        <v/>
      </c>
    </row>
    <row r="6922" spans="1:7" x14ac:dyDescent="0.25">
      <c r="A6922" t="s">
        <v>8</v>
      </c>
      <c r="B6922" s="1" t="str">
        <f>"000066029 - RICH FOODS BAPA-BEEF OBRADY"</f>
        <v>000066029 - RICH FOODS BAPA-BEEF OBRADY</v>
      </c>
      <c r="C6922" t="s">
        <v>366</v>
      </c>
      <c r="D6922" s="1" t="str">
        <f t="shared" si="196"/>
        <v>PRG-1030639</v>
      </c>
      <c r="E6922" t="s">
        <v>291</v>
      </c>
      <c r="F6922" t="s">
        <v>4</v>
      </c>
      <c r="G6922" t="str">
        <f>""</f>
        <v/>
      </c>
    </row>
    <row r="6923" spans="1:7" x14ac:dyDescent="0.25">
      <c r="A6923" t="s">
        <v>8</v>
      </c>
      <c r="B6923" s="1" t="str">
        <f>"000126303 - RICH PRODUCTS-BOB"</f>
        <v>000126303 - RICH PRODUCTS-BOB</v>
      </c>
      <c r="C6923" t="s">
        <v>327</v>
      </c>
      <c r="D6923" s="1" t="str">
        <f t="shared" si="196"/>
        <v>PRG-1030639</v>
      </c>
      <c r="E6923" t="s">
        <v>291</v>
      </c>
      <c r="F6923" t="s">
        <v>4</v>
      </c>
      <c r="G6923" t="str">
        <f>""</f>
        <v/>
      </c>
    </row>
    <row r="6924" spans="1:7" x14ac:dyDescent="0.25">
      <c r="A6924" t="s">
        <v>8</v>
      </c>
      <c r="B6924" s="1" t="str">
        <f>"000128678 - RICH PRODUCTS-BOB"</f>
        <v>000128678 - RICH PRODUCTS-BOB</v>
      </c>
      <c r="C6924" t="s">
        <v>327</v>
      </c>
      <c r="D6924" s="1" t="str">
        <f t="shared" si="196"/>
        <v>PRG-1030639</v>
      </c>
      <c r="E6924" t="s">
        <v>291</v>
      </c>
      <c r="F6924" t="s">
        <v>4</v>
      </c>
      <c r="G6924" t="str">
        <f>""</f>
        <v/>
      </c>
    </row>
    <row r="6925" spans="1:7" x14ac:dyDescent="0.25">
      <c r="A6925" t="s">
        <v>8</v>
      </c>
      <c r="B6925" s="1" t="str">
        <f>"000132040 - RICH PRODUCTS-BEEF O BRADY"</f>
        <v>000132040 - RICH PRODUCTS-BEEF O BRADY</v>
      </c>
      <c r="C6925" t="s">
        <v>219</v>
      </c>
      <c r="D6925" s="1" t="str">
        <f t="shared" si="196"/>
        <v>PRG-1030639</v>
      </c>
      <c r="E6925" t="s">
        <v>291</v>
      </c>
      <c r="F6925" t="s">
        <v>4</v>
      </c>
      <c r="G6925" t="str">
        <f>""</f>
        <v/>
      </c>
    </row>
    <row r="6926" spans="1:7" x14ac:dyDescent="0.25">
      <c r="A6926" t="s">
        <v>8</v>
      </c>
      <c r="B6926" s="1" t="str">
        <f>"000138619 - RICH FOODS BAPA-BEEF OBRADY"</f>
        <v>000138619 - RICH FOODS BAPA-BEEF OBRADY</v>
      </c>
      <c r="C6926" t="s">
        <v>366</v>
      </c>
      <c r="D6926" s="1" t="str">
        <f t="shared" si="196"/>
        <v>PRG-1030639</v>
      </c>
      <c r="E6926" t="s">
        <v>291</v>
      </c>
      <c r="F6926" t="s">
        <v>4</v>
      </c>
      <c r="G6926" t="str">
        <f>""</f>
        <v/>
      </c>
    </row>
    <row r="6927" spans="1:7" x14ac:dyDescent="0.25">
      <c r="A6927" t="s">
        <v>8</v>
      </c>
      <c r="B6927" s="1" t="str">
        <f>"000139422 - RICH FOOD-BEEF O BRADY"</f>
        <v>000139422 - RICH FOOD-BEEF O BRADY</v>
      </c>
      <c r="C6927" t="s">
        <v>92</v>
      </c>
      <c r="D6927" s="1" t="str">
        <f t="shared" si="196"/>
        <v>PRG-1030639</v>
      </c>
      <c r="E6927" t="s">
        <v>291</v>
      </c>
      <c r="F6927" t="s">
        <v>4</v>
      </c>
      <c r="G6927" t="str">
        <f>""</f>
        <v/>
      </c>
    </row>
    <row r="6928" spans="1:7" x14ac:dyDescent="0.25">
      <c r="A6928" t="s">
        <v>8</v>
      </c>
      <c r="B6928" s="1" t="str">
        <f>"000148872 - RICH FOOD-BEEF O BRADY"</f>
        <v>000148872 - RICH FOOD-BEEF O BRADY</v>
      </c>
      <c r="C6928" t="s">
        <v>92</v>
      </c>
      <c r="D6928" s="1" t="str">
        <f t="shared" si="196"/>
        <v>PRG-1030639</v>
      </c>
      <c r="E6928" t="s">
        <v>291</v>
      </c>
      <c r="F6928" t="s">
        <v>4</v>
      </c>
      <c r="G6928" t="str">
        <f>""</f>
        <v/>
      </c>
    </row>
    <row r="6929" spans="1:7" x14ac:dyDescent="0.25">
      <c r="A6929" t="s">
        <v>8</v>
      </c>
      <c r="B6929" s="1" t="str">
        <f>"000156233 - RICH PRODUCTS-BOB"</f>
        <v>000156233 - RICH PRODUCTS-BOB</v>
      </c>
      <c r="C6929" t="s">
        <v>327</v>
      </c>
      <c r="D6929" s="1" t="str">
        <f t="shared" si="196"/>
        <v>PRG-1030639</v>
      </c>
      <c r="E6929" t="s">
        <v>291</v>
      </c>
      <c r="F6929" t="s">
        <v>4</v>
      </c>
      <c r="G6929" t="str">
        <f>""</f>
        <v/>
      </c>
    </row>
    <row r="6930" spans="1:7" x14ac:dyDescent="0.25">
      <c r="A6930" t="s">
        <v>8</v>
      </c>
      <c r="B6930" s="1" t="str">
        <f>"000158346 - RICH PRODUCTS-BOB"</f>
        <v>000158346 - RICH PRODUCTS-BOB</v>
      </c>
      <c r="C6930" t="s">
        <v>327</v>
      </c>
      <c r="D6930" s="1" t="str">
        <f t="shared" si="196"/>
        <v>PRG-1030639</v>
      </c>
      <c r="E6930" t="s">
        <v>291</v>
      </c>
      <c r="F6930" t="s">
        <v>4</v>
      </c>
      <c r="G6930" t="str">
        <f>""</f>
        <v/>
      </c>
    </row>
    <row r="6931" spans="1:7" x14ac:dyDescent="0.25">
      <c r="A6931" t="s">
        <v>8</v>
      </c>
      <c r="B6931" s="1" t="str">
        <f>"000161690 - RICH PRODUCTS-BEEF O BRADY"</f>
        <v>000161690 - RICH PRODUCTS-BEEF O BRADY</v>
      </c>
      <c r="C6931" t="s">
        <v>219</v>
      </c>
      <c r="D6931" s="1" t="str">
        <f t="shared" si="196"/>
        <v>PRG-1030639</v>
      </c>
      <c r="E6931" t="s">
        <v>291</v>
      </c>
      <c r="F6931" t="s">
        <v>4</v>
      </c>
      <c r="G6931" t="str">
        <f>""</f>
        <v/>
      </c>
    </row>
    <row r="6932" spans="1:7" x14ac:dyDescent="0.25">
      <c r="A6932" t="s">
        <v>8</v>
      </c>
      <c r="B6932" s="1" t="str">
        <f>"000167827 - RICH FOODS BAPA-BEEF OBRADY"</f>
        <v>000167827 - RICH FOODS BAPA-BEEF OBRADY</v>
      </c>
      <c r="C6932" t="s">
        <v>366</v>
      </c>
      <c r="D6932" s="1" t="str">
        <f t="shared" si="196"/>
        <v>PRG-1030639</v>
      </c>
      <c r="E6932" t="s">
        <v>291</v>
      </c>
      <c r="F6932" t="s">
        <v>4</v>
      </c>
      <c r="G6932" t="str">
        <f>""</f>
        <v/>
      </c>
    </row>
    <row r="6933" spans="1:7" x14ac:dyDescent="0.25">
      <c r="A6933" t="s">
        <v>8</v>
      </c>
      <c r="B6933" s="1" t="str">
        <f>"000227899 - RICH FOOD-BEEF O BRADY"</f>
        <v>000227899 - RICH FOOD-BEEF O BRADY</v>
      </c>
      <c r="C6933" t="s">
        <v>92</v>
      </c>
      <c r="D6933" s="1" t="str">
        <f t="shared" si="196"/>
        <v>PRG-1030639</v>
      </c>
      <c r="E6933" t="s">
        <v>291</v>
      </c>
      <c r="F6933" t="s">
        <v>4</v>
      </c>
      <c r="G6933" t="str">
        <f>""</f>
        <v/>
      </c>
    </row>
    <row r="6934" spans="1:7" x14ac:dyDescent="0.25">
      <c r="A6934" t="s">
        <v>8</v>
      </c>
      <c r="B6934" s="1" t="str">
        <f>"000230617 - RICH FOOD-BEEF O BRADY"</f>
        <v>000230617 - RICH FOOD-BEEF O BRADY</v>
      </c>
      <c r="C6934" t="s">
        <v>92</v>
      </c>
      <c r="D6934" s="1" t="str">
        <f t="shared" si="196"/>
        <v>PRG-1030639</v>
      </c>
      <c r="E6934" t="s">
        <v>291</v>
      </c>
      <c r="F6934" t="s">
        <v>4</v>
      </c>
      <c r="G6934" t="str">
        <f>""</f>
        <v/>
      </c>
    </row>
    <row r="6935" spans="1:7" x14ac:dyDescent="0.25">
      <c r="A6935" t="s">
        <v>8</v>
      </c>
      <c r="B6935" s="1" t="str">
        <f>"000239233 - RICH FOOD-BEEF O BRADY"</f>
        <v>000239233 - RICH FOOD-BEEF O BRADY</v>
      </c>
      <c r="C6935" t="s">
        <v>92</v>
      </c>
      <c r="D6935" s="1" t="str">
        <f t="shared" si="196"/>
        <v>PRG-1030639</v>
      </c>
      <c r="E6935" t="s">
        <v>291</v>
      </c>
      <c r="F6935" t="s">
        <v>4</v>
      </c>
      <c r="G6935" t="str">
        <f>""</f>
        <v/>
      </c>
    </row>
    <row r="6936" spans="1:7" x14ac:dyDescent="0.25">
      <c r="A6936" t="s">
        <v>8</v>
      </c>
      <c r="B6936" s="1" t="str">
        <f>"000240053 - RICH FOOD-BEEF O BRADY"</f>
        <v>000240053 - RICH FOOD-BEEF O BRADY</v>
      </c>
      <c r="C6936" t="s">
        <v>92</v>
      </c>
      <c r="D6936" s="1" t="str">
        <f t="shared" si="196"/>
        <v>PRG-1030639</v>
      </c>
      <c r="E6936" t="s">
        <v>291</v>
      </c>
      <c r="F6936" t="s">
        <v>4</v>
      </c>
      <c r="G6936" t="str">
        <f>""</f>
        <v/>
      </c>
    </row>
    <row r="6937" spans="1:7" x14ac:dyDescent="0.25">
      <c r="A6937" t="s">
        <v>8</v>
      </c>
      <c r="B6937" s="1" t="str">
        <f>"000245850 - RICH PRODUCTS-BOB"</f>
        <v>000245850 - RICH PRODUCTS-BOB</v>
      </c>
      <c r="C6937" t="s">
        <v>327</v>
      </c>
      <c r="D6937" s="1" t="str">
        <f t="shared" si="196"/>
        <v>PRG-1030639</v>
      </c>
      <c r="E6937" t="s">
        <v>291</v>
      </c>
      <c r="F6937" t="s">
        <v>4</v>
      </c>
      <c r="G6937" t="str">
        <f>""</f>
        <v/>
      </c>
    </row>
    <row r="6938" spans="1:7" x14ac:dyDescent="0.25">
      <c r="A6938" t="s">
        <v>8</v>
      </c>
      <c r="B6938" s="1" t="str">
        <f>"000248630 - RICH PRODUCTS-BOB"</f>
        <v>000248630 - RICH PRODUCTS-BOB</v>
      </c>
      <c r="C6938" t="s">
        <v>327</v>
      </c>
      <c r="D6938" s="1" t="str">
        <f t="shared" si="196"/>
        <v>PRG-1030639</v>
      </c>
      <c r="E6938" t="s">
        <v>291</v>
      </c>
      <c r="F6938" t="s">
        <v>4</v>
      </c>
      <c r="G6938" t="str">
        <f>""</f>
        <v/>
      </c>
    </row>
    <row r="6939" spans="1:7" x14ac:dyDescent="0.25">
      <c r="A6939" t="s">
        <v>8</v>
      </c>
      <c r="B6939" s="1" t="str">
        <f>"000248960 - RICH FOOD-BEEF O BRADY"</f>
        <v>000248960 - RICH FOOD-BEEF O BRADY</v>
      </c>
      <c r="C6939" t="s">
        <v>92</v>
      </c>
      <c r="D6939" s="1" t="str">
        <f t="shared" si="196"/>
        <v>PRG-1030639</v>
      </c>
      <c r="E6939" t="s">
        <v>291</v>
      </c>
      <c r="F6939" t="s">
        <v>4</v>
      </c>
      <c r="G6939" t="str">
        <f>""</f>
        <v/>
      </c>
    </row>
    <row r="6940" spans="1:7" x14ac:dyDescent="0.25">
      <c r="A6940" t="s">
        <v>8</v>
      </c>
      <c r="B6940" s="1" t="str">
        <f>"000250928 - RICH PRODUCTS-BEEF O BRADY"</f>
        <v>000250928 - RICH PRODUCTS-BEEF O BRADY</v>
      </c>
      <c r="C6940" t="s">
        <v>219</v>
      </c>
      <c r="D6940" s="1" t="str">
        <f t="shared" si="196"/>
        <v>PRG-1030639</v>
      </c>
      <c r="E6940" t="s">
        <v>291</v>
      </c>
      <c r="F6940" t="s">
        <v>4</v>
      </c>
      <c r="G6940" t="str">
        <f>""</f>
        <v/>
      </c>
    </row>
    <row r="6941" spans="1:7" x14ac:dyDescent="0.25">
      <c r="A6941" t="s">
        <v>8</v>
      </c>
      <c r="B6941" s="1" t="str">
        <f>"000251167 - RICH PRODUCTS-BEEF O BRADY"</f>
        <v>000251167 - RICH PRODUCTS-BEEF O BRADY</v>
      </c>
      <c r="C6941" t="s">
        <v>219</v>
      </c>
      <c r="D6941" s="1" t="str">
        <f t="shared" si="196"/>
        <v>PRG-1030639</v>
      </c>
      <c r="E6941" t="s">
        <v>291</v>
      </c>
      <c r="F6941" t="s">
        <v>4</v>
      </c>
      <c r="G6941" t="str">
        <f>""</f>
        <v/>
      </c>
    </row>
    <row r="6942" spans="1:7" x14ac:dyDescent="0.25">
      <c r="A6942" t="s">
        <v>8</v>
      </c>
      <c r="B6942" s="1" t="str">
        <f>"000251498 - RICH FOOD-BEEF O BRADY"</f>
        <v>000251498 - RICH FOOD-BEEF O BRADY</v>
      </c>
      <c r="C6942" t="s">
        <v>92</v>
      </c>
      <c r="D6942" s="1" t="str">
        <f t="shared" si="196"/>
        <v>PRG-1030639</v>
      </c>
      <c r="E6942" t="s">
        <v>291</v>
      </c>
      <c r="F6942" t="s">
        <v>4</v>
      </c>
      <c r="G6942" t="str">
        <f>""</f>
        <v/>
      </c>
    </row>
    <row r="6943" spans="1:7" x14ac:dyDescent="0.25">
      <c r="A6943" t="s">
        <v>8</v>
      </c>
      <c r="B6943" s="1" t="str">
        <f>"000253518 - RICH PRODUCTS-BEEF O BRADY"</f>
        <v>000253518 - RICH PRODUCTS-BEEF O BRADY</v>
      </c>
      <c r="C6943" t="s">
        <v>219</v>
      </c>
      <c r="D6943" s="1" t="str">
        <f t="shared" si="196"/>
        <v>PRG-1030639</v>
      </c>
      <c r="E6943" t="s">
        <v>291</v>
      </c>
      <c r="F6943" t="s">
        <v>4</v>
      </c>
      <c r="G6943" t="str">
        <f>""</f>
        <v/>
      </c>
    </row>
    <row r="6944" spans="1:7" x14ac:dyDescent="0.25">
      <c r="A6944" t="s">
        <v>8</v>
      </c>
      <c r="B6944" s="1" t="str">
        <f>"000255406 - RICH PRODUCTS-BEEF O BRADY"</f>
        <v>000255406 - RICH PRODUCTS-BEEF O BRADY</v>
      </c>
      <c r="C6944" t="s">
        <v>219</v>
      </c>
      <c r="D6944" s="1" t="str">
        <f t="shared" si="196"/>
        <v>PRG-1030639</v>
      </c>
      <c r="E6944" t="s">
        <v>291</v>
      </c>
      <c r="F6944" t="s">
        <v>4</v>
      </c>
      <c r="G6944" t="str">
        <f>""</f>
        <v/>
      </c>
    </row>
    <row r="6945" spans="1:7" x14ac:dyDescent="0.25">
      <c r="A6945" t="s">
        <v>8</v>
      </c>
      <c r="B6945" s="1" t="str">
        <f>"000259530 - RICH FOODS BAPA-BEEF OBRADY"</f>
        <v>000259530 - RICH FOODS BAPA-BEEF OBRADY</v>
      </c>
      <c r="C6945" t="s">
        <v>366</v>
      </c>
      <c r="D6945" s="1" t="str">
        <f t="shared" si="196"/>
        <v>PRG-1030639</v>
      </c>
      <c r="E6945" t="s">
        <v>291</v>
      </c>
      <c r="F6945" t="s">
        <v>4</v>
      </c>
      <c r="G6945" t="str">
        <f>""</f>
        <v/>
      </c>
    </row>
    <row r="6946" spans="1:7" x14ac:dyDescent="0.25">
      <c r="A6946" t="s">
        <v>8</v>
      </c>
      <c r="B6946" s="1" t="str">
        <f>"000260578 - RICH NCORE=TONY ROMA"</f>
        <v>000260578 - RICH NCORE=TONY ROMA</v>
      </c>
      <c r="C6946" t="s">
        <v>603</v>
      </c>
      <c r="D6946" s="1" t="str">
        <f t="shared" si="196"/>
        <v>PRG-1030639</v>
      </c>
      <c r="E6946" t="s">
        <v>291</v>
      </c>
      <c r="F6946" t="s">
        <v>4</v>
      </c>
      <c r="G6946" t="str">
        <f>""</f>
        <v/>
      </c>
    </row>
    <row r="6947" spans="1:7" x14ac:dyDescent="0.25">
      <c r="A6947" t="s">
        <v>8</v>
      </c>
      <c r="B6947" s="1" t="str">
        <f>"000260600 - RICH FOOD-BEEF O BRADY"</f>
        <v>000260600 - RICH FOOD-BEEF O BRADY</v>
      </c>
      <c r="C6947" t="s">
        <v>92</v>
      </c>
      <c r="D6947" s="1" t="str">
        <f t="shared" si="196"/>
        <v>PRG-1030639</v>
      </c>
      <c r="E6947" t="s">
        <v>291</v>
      </c>
      <c r="F6947" t="s">
        <v>4</v>
      </c>
      <c r="G6947" t="str">
        <f>""</f>
        <v/>
      </c>
    </row>
    <row r="6948" spans="1:7" x14ac:dyDescent="0.25">
      <c r="A6948" t="s">
        <v>8</v>
      </c>
      <c r="B6948" s="1" t="str">
        <f>"000261649 - RICH FOOD-BEEF O BRADY"</f>
        <v>000261649 - RICH FOOD-BEEF O BRADY</v>
      </c>
      <c r="C6948" t="s">
        <v>92</v>
      </c>
      <c r="D6948" s="1" t="str">
        <f t="shared" si="196"/>
        <v>PRG-1030639</v>
      </c>
      <c r="E6948" t="s">
        <v>291</v>
      </c>
      <c r="F6948" t="s">
        <v>4</v>
      </c>
      <c r="G6948" t="str">
        <f>""</f>
        <v/>
      </c>
    </row>
    <row r="6949" spans="1:7" x14ac:dyDescent="0.25">
      <c r="A6949" t="s">
        <v>8</v>
      </c>
      <c r="B6949" s="1" t="str">
        <f>"000263126 - RICH FOOD-BEEF O BRADY"</f>
        <v>000263126 - RICH FOOD-BEEF O BRADY</v>
      </c>
      <c r="C6949" t="s">
        <v>92</v>
      </c>
      <c r="D6949" s="1" t="str">
        <f t="shared" ref="D6949:D6980" si="197">"PRG-1030639"</f>
        <v>PRG-1030639</v>
      </c>
      <c r="E6949" t="s">
        <v>291</v>
      </c>
      <c r="F6949" t="s">
        <v>4</v>
      </c>
      <c r="G6949" t="str">
        <f>""</f>
        <v/>
      </c>
    </row>
    <row r="6950" spans="1:7" x14ac:dyDescent="0.25">
      <c r="A6950" t="s">
        <v>8</v>
      </c>
      <c r="B6950" s="1" t="str">
        <f>"000266388 - "</f>
        <v xml:space="preserve">000266388 - </v>
      </c>
      <c r="D6950" s="1" t="str">
        <f t="shared" si="197"/>
        <v>PRG-1030639</v>
      </c>
      <c r="E6950" t="s">
        <v>291</v>
      </c>
      <c r="F6950" t="s">
        <v>4</v>
      </c>
      <c r="G6950" t="str">
        <f>""</f>
        <v/>
      </c>
    </row>
    <row r="6951" spans="1:7" x14ac:dyDescent="0.25">
      <c r="A6951" t="s">
        <v>8</v>
      </c>
      <c r="B6951" s="1" t="str">
        <f>"000269836 - RICH PRODUCTS-BOB"</f>
        <v>000269836 - RICH PRODUCTS-BOB</v>
      </c>
      <c r="C6951" t="s">
        <v>327</v>
      </c>
      <c r="D6951" s="1" t="str">
        <f t="shared" si="197"/>
        <v>PRG-1030639</v>
      </c>
      <c r="E6951" t="s">
        <v>291</v>
      </c>
      <c r="F6951" t="s">
        <v>4</v>
      </c>
      <c r="G6951" t="str">
        <f>""</f>
        <v/>
      </c>
    </row>
    <row r="6952" spans="1:7" x14ac:dyDescent="0.25">
      <c r="A6952" t="s">
        <v>8</v>
      </c>
      <c r="B6952" s="1" t="str">
        <f>"000270057 - "</f>
        <v xml:space="preserve">000270057 - </v>
      </c>
      <c r="D6952" s="1" t="str">
        <f t="shared" si="197"/>
        <v>PRG-1030639</v>
      </c>
      <c r="E6952" t="s">
        <v>291</v>
      </c>
      <c r="F6952" t="s">
        <v>4</v>
      </c>
      <c r="G6952" t="str">
        <f>""</f>
        <v/>
      </c>
    </row>
    <row r="6953" spans="1:7" x14ac:dyDescent="0.25">
      <c r="A6953" t="s">
        <v>8</v>
      </c>
      <c r="B6953" s="1" t="str">
        <f>"000272186 - RICH PRODUCTS-BOB"</f>
        <v>000272186 - RICH PRODUCTS-BOB</v>
      </c>
      <c r="C6953" t="s">
        <v>327</v>
      </c>
      <c r="D6953" s="1" t="str">
        <f t="shared" si="197"/>
        <v>PRG-1030639</v>
      </c>
      <c r="E6953" t="s">
        <v>291</v>
      </c>
      <c r="F6953" t="s">
        <v>4</v>
      </c>
      <c r="G6953" t="str">
        <f>""</f>
        <v/>
      </c>
    </row>
    <row r="6954" spans="1:7" x14ac:dyDescent="0.25">
      <c r="A6954" t="s">
        <v>8</v>
      </c>
      <c r="B6954" s="1" t="str">
        <f>"000272692 - RICH PRODUCTS-BOB"</f>
        <v>000272692 - RICH PRODUCTS-BOB</v>
      </c>
      <c r="C6954" t="s">
        <v>327</v>
      </c>
      <c r="D6954" s="1" t="str">
        <f t="shared" si="197"/>
        <v>PRG-1030639</v>
      </c>
      <c r="E6954" t="s">
        <v>291</v>
      </c>
      <c r="F6954" t="s">
        <v>4</v>
      </c>
      <c r="G6954" t="str">
        <f>""</f>
        <v/>
      </c>
    </row>
    <row r="6955" spans="1:7" x14ac:dyDescent="0.25">
      <c r="A6955" t="s">
        <v>8</v>
      </c>
      <c r="B6955" s="1" t="str">
        <f>"000274929 - RICH PRODUCTS-BOB"</f>
        <v>000274929 - RICH PRODUCTS-BOB</v>
      </c>
      <c r="C6955" t="s">
        <v>327</v>
      </c>
      <c r="D6955" s="1" t="str">
        <f t="shared" si="197"/>
        <v>PRG-1030639</v>
      </c>
      <c r="E6955" t="s">
        <v>291</v>
      </c>
      <c r="F6955" t="s">
        <v>4</v>
      </c>
      <c r="G6955" t="str">
        <f>""</f>
        <v/>
      </c>
    </row>
    <row r="6956" spans="1:7" x14ac:dyDescent="0.25">
      <c r="A6956" t="s">
        <v>8</v>
      </c>
      <c r="B6956" s="1" t="str">
        <f>"000276033 - CPS   RICHS - 100912 FLOUR"</f>
        <v>000276033 - CPS   RICHS - 100912 FLOUR</v>
      </c>
      <c r="C6956" t="s">
        <v>2569</v>
      </c>
      <c r="D6956" s="1" t="str">
        <f t="shared" si="197"/>
        <v>PRG-1030639</v>
      </c>
      <c r="E6956" t="s">
        <v>291</v>
      </c>
      <c r="F6956" t="s">
        <v>4</v>
      </c>
      <c r="G6956" t="str">
        <f>""</f>
        <v/>
      </c>
    </row>
    <row r="6957" spans="1:7" x14ac:dyDescent="0.25">
      <c r="A6957" t="s">
        <v>8</v>
      </c>
      <c r="B6957" s="1" t="str">
        <f>"000276582 - RICH PRODUCTS-BEEF O BRADY"</f>
        <v>000276582 - RICH PRODUCTS-BEEF O BRADY</v>
      </c>
      <c r="C6957" t="s">
        <v>219</v>
      </c>
      <c r="D6957" s="1" t="str">
        <f t="shared" si="197"/>
        <v>PRG-1030639</v>
      </c>
      <c r="E6957" t="s">
        <v>291</v>
      </c>
      <c r="F6957" t="s">
        <v>4</v>
      </c>
      <c r="G6957" t="str">
        <f>""</f>
        <v/>
      </c>
    </row>
    <row r="6958" spans="1:7" x14ac:dyDescent="0.25">
      <c r="A6958" t="s">
        <v>8</v>
      </c>
      <c r="B6958" s="1" t="str">
        <f>"000278754 - RICH PRODUCTS-BEEF O BRADY"</f>
        <v>000278754 - RICH PRODUCTS-BEEF O BRADY</v>
      </c>
      <c r="C6958" t="s">
        <v>219</v>
      </c>
      <c r="D6958" s="1" t="str">
        <f t="shared" si="197"/>
        <v>PRG-1030639</v>
      </c>
      <c r="E6958" t="s">
        <v>291</v>
      </c>
      <c r="F6958" t="s">
        <v>4</v>
      </c>
      <c r="G6958" t="str">
        <f>""</f>
        <v/>
      </c>
    </row>
    <row r="6959" spans="1:7" x14ac:dyDescent="0.25">
      <c r="A6959" t="s">
        <v>8</v>
      </c>
      <c r="B6959" s="1" t="str">
        <f>"000287356 - RICH FOODS BAPA-BEEF OBRADY"</f>
        <v>000287356 - RICH FOODS BAPA-BEEF OBRADY</v>
      </c>
      <c r="C6959" t="s">
        <v>366</v>
      </c>
      <c r="D6959" s="1" t="str">
        <f t="shared" si="197"/>
        <v>PRG-1030639</v>
      </c>
      <c r="E6959" t="s">
        <v>291</v>
      </c>
      <c r="F6959" t="s">
        <v>4</v>
      </c>
      <c r="G6959" t="str">
        <f>""</f>
        <v/>
      </c>
    </row>
    <row r="6960" spans="1:7" x14ac:dyDescent="0.25">
      <c r="A6960" t="s">
        <v>8</v>
      </c>
      <c r="B6960" s="1" t="str">
        <f>"000294331 - RICH FOOD-BEEF O BRADY"</f>
        <v>000294331 - RICH FOOD-BEEF O BRADY</v>
      </c>
      <c r="C6960" t="s">
        <v>92</v>
      </c>
      <c r="D6960" s="1" t="str">
        <f t="shared" si="197"/>
        <v>PRG-1030639</v>
      </c>
      <c r="E6960" t="s">
        <v>291</v>
      </c>
      <c r="F6960" t="s">
        <v>4</v>
      </c>
      <c r="G6960" t="str">
        <f>""</f>
        <v/>
      </c>
    </row>
    <row r="6961" spans="1:7" x14ac:dyDescent="0.25">
      <c r="A6961" t="s">
        <v>8</v>
      </c>
      <c r="B6961" s="1" t="str">
        <f>"000301586 - RICH PRODUCTS-BOB"</f>
        <v>000301586 - RICH PRODUCTS-BOB</v>
      </c>
      <c r="C6961" t="s">
        <v>327</v>
      </c>
      <c r="D6961" s="1" t="str">
        <f t="shared" si="197"/>
        <v>PRG-1030639</v>
      </c>
      <c r="E6961" t="s">
        <v>291</v>
      </c>
      <c r="F6961" t="s">
        <v>4</v>
      </c>
      <c r="G6961" t="str">
        <f>""</f>
        <v/>
      </c>
    </row>
    <row r="6962" spans="1:7" x14ac:dyDescent="0.25">
      <c r="A6962" t="s">
        <v>8</v>
      </c>
      <c r="B6962" s="1" t="str">
        <f>"000309569 - RICH PRODUCTS-BEEF O BRADY"</f>
        <v>000309569 - RICH PRODUCTS-BEEF O BRADY</v>
      </c>
      <c r="C6962" t="s">
        <v>219</v>
      </c>
      <c r="D6962" s="1" t="str">
        <f t="shared" si="197"/>
        <v>PRG-1030639</v>
      </c>
      <c r="E6962" t="s">
        <v>291</v>
      </c>
      <c r="F6962" t="s">
        <v>4</v>
      </c>
      <c r="G6962" t="str">
        <f>""</f>
        <v/>
      </c>
    </row>
    <row r="6963" spans="1:7" x14ac:dyDescent="0.25">
      <c r="A6963" t="s">
        <v>8</v>
      </c>
      <c r="B6963" s="1" t="str">
        <f>"000310220 - RICH FOOD-BEEF O BRADY"</f>
        <v>000310220 - RICH FOOD-BEEF O BRADY</v>
      </c>
      <c r="C6963" t="s">
        <v>92</v>
      </c>
      <c r="D6963" s="1" t="str">
        <f t="shared" si="197"/>
        <v>PRG-1030639</v>
      </c>
      <c r="E6963" t="s">
        <v>291</v>
      </c>
      <c r="F6963" t="s">
        <v>4</v>
      </c>
      <c r="G6963" t="str">
        <f>""</f>
        <v/>
      </c>
    </row>
    <row r="6964" spans="1:7" x14ac:dyDescent="0.25">
      <c r="A6964" t="s">
        <v>8</v>
      </c>
      <c r="B6964" s="1" t="str">
        <f>"000322532 - RICH PRODUCTS-BOB"</f>
        <v>000322532 - RICH PRODUCTS-BOB</v>
      </c>
      <c r="C6964" t="s">
        <v>327</v>
      </c>
      <c r="D6964" s="1" t="str">
        <f t="shared" si="197"/>
        <v>PRG-1030639</v>
      </c>
      <c r="E6964" t="s">
        <v>291</v>
      </c>
      <c r="F6964" t="s">
        <v>4</v>
      </c>
      <c r="G6964" t="str">
        <f>""</f>
        <v/>
      </c>
    </row>
    <row r="6965" spans="1:7" x14ac:dyDescent="0.25">
      <c r="A6965" t="s">
        <v>8</v>
      </c>
      <c r="B6965" s="1" t="str">
        <f>"000331768 - RICH PRODUCTS-BEEF O BRADY"</f>
        <v>000331768 - RICH PRODUCTS-BEEF O BRADY</v>
      </c>
      <c r="C6965" t="s">
        <v>219</v>
      </c>
      <c r="D6965" s="1" t="str">
        <f t="shared" si="197"/>
        <v>PRG-1030639</v>
      </c>
      <c r="E6965" t="s">
        <v>291</v>
      </c>
      <c r="F6965" t="s">
        <v>4</v>
      </c>
      <c r="G6965" t="str">
        <f>""</f>
        <v/>
      </c>
    </row>
    <row r="6966" spans="1:7" x14ac:dyDescent="0.25">
      <c r="A6966" t="s">
        <v>8</v>
      </c>
      <c r="B6966" s="1" t="str">
        <f>"000332613 - RICH PRODUCTS-BOB"</f>
        <v>000332613 - RICH PRODUCTS-BOB</v>
      </c>
      <c r="C6966" t="s">
        <v>327</v>
      </c>
      <c r="D6966" s="1" t="str">
        <f t="shared" si="197"/>
        <v>PRG-1030639</v>
      </c>
      <c r="E6966" t="s">
        <v>291</v>
      </c>
      <c r="F6966" t="s">
        <v>4</v>
      </c>
      <c r="G6966" t="str">
        <f>""</f>
        <v/>
      </c>
    </row>
    <row r="6967" spans="1:7" x14ac:dyDescent="0.25">
      <c r="A6967" t="s">
        <v>8</v>
      </c>
      <c r="B6967" s="1" t="str">
        <f>"000334785 - RICH PRODUCTS-BOB"</f>
        <v>000334785 - RICH PRODUCTS-BOB</v>
      </c>
      <c r="C6967" t="s">
        <v>327</v>
      </c>
      <c r="D6967" s="1" t="str">
        <f t="shared" si="197"/>
        <v>PRG-1030639</v>
      </c>
      <c r="E6967" t="s">
        <v>291</v>
      </c>
      <c r="F6967" t="s">
        <v>4</v>
      </c>
      <c r="G6967" t="str">
        <f>""</f>
        <v/>
      </c>
    </row>
    <row r="6968" spans="1:7" x14ac:dyDescent="0.25">
      <c r="A6968" t="s">
        <v>8</v>
      </c>
      <c r="B6968" s="1" t="str">
        <f>"000342487 - RICH FOODS BAPA-BEEF OBRADY"</f>
        <v>000342487 - RICH FOODS BAPA-BEEF OBRADY</v>
      </c>
      <c r="C6968" t="s">
        <v>366</v>
      </c>
      <c r="D6968" s="1" t="str">
        <f t="shared" si="197"/>
        <v>PRG-1030639</v>
      </c>
      <c r="E6968" t="s">
        <v>291</v>
      </c>
      <c r="F6968" t="s">
        <v>4</v>
      </c>
      <c r="G6968" t="str">
        <f>""</f>
        <v/>
      </c>
    </row>
    <row r="6969" spans="1:7" x14ac:dyDescent="0.25">
      <c r="A6969" t="s">
        <v>8</v>
      </c>
      <c r="B6969" s="1" t="str">
        <f>"000343340 - RICH PRODUCTS-BOB"</f>
        <v>000343340 - RICH PRODUCTS-BOB</v>
      </c>
      <c r="C6969" t="s">
        <v>327</v>
      </c>
      <c r="D6969" s="1" t="str">
        <f t="shared" si="197"/>
        <v>PRG-1030639</v>
      </c>
      <c r="E6969" t="s">
        <v>291</v>
      </c>
      <c r="F6969" t="s">
        <v>4</v>
      </c>
      <c r="G6969" t="str">
        <f>""</f>
        <v/>
      </c>
    </row>
    <row r="6970" spans="1:7" x14ac:dyDescent="0.25">
      <c r="A6970" t="s">
        <v>8</v>
      </c>
      <c r="B6970" s="1" t="str">
        <f>"000343392 - RICH PRODUCTS-BEEF O BRADY"</f>
        <v>000343392 - RICH PRODUCTS-BEEF O BRADY</v>
      </c>
      <c r="C6970" t="s">
        <v>219</v>
      </c>
      <c r="D6970" s="1" t="str">
        <f t="shared" si="197"/>
        <v>PRG-1030639</v>
      </c>
      <c r="E6970" t="s">
        <v>291</v>
      </c>
      <c r="F6970" t="s">
        <v>4</v>
      </c>
      <c r="G6970" t="str">
        <f>""</f>
        <v/>
      </c>
    </row>
    <row r="6971" spans="1:7" x14ac:dyDescent="0.25">
      <c r="A6971" t="s">
        <v>8</v>
      </c>
      <c r="B6971" s="1" t="str">
        <f>"000346988 - "</f>
        <v xml:space="preserve">000346988 - </v>
      </c>
      <c r="D6971" s="1" t="str">
        <f t="shared" si="197"/>
        <v>PRG-1030639</v>
      </c>
      <c r="E6971" t="s">
        <v>291</v>
      </c>
      <c r="F6971" t="s">
        <v>4</v>
      </c>
      <c r="G6971" t="str">
        <f>""</f>
        <v/>
      </c>
    </row>
    <row r="6972" spans="1:7" x14ac:dyDescent="0.25">
      <c r="A6972" t="s">
        <v>8</v>
      </c>
      <c r="B6972" s="1" t="str">
        <f>"000347053 - RICH PRODUCTS-BEEF O BRADY"</f>
        <v>000347053 - RICH PRODUCTS-BEEF O BRADY</v>
      </c>
      <c r="C6972" t="s">
        <v>219</v>
      </c>
      <c r="D6972" s="1" t="str">
        <f t="shared" si="197"/>
        <v>PRG-1030639</v>
      </c>
      <c r="E6972" t="s">
        <v>291</v>
      </c>
      <c r="F6972" t="s">
        <v>4</v>
      </c>
      <c r="G6972" t="str">
        <f>""</f>
        <v/>
      </c>
    </row>
    <row r="6973" spans="1:7" x14ac:dyDescent="0.25">
      <c r="A6973" t="s">
        <v>8</v>
      </c>
      <c r="B6973" s="1" t="str">
        <f>"000352419 - "</f>
        <v xml:space="preserve">000352419 - </v>
      </c>
      <c r="D6973" s="1" t="str">
        <f t="shared" si="197"/>
        <v>PRG-1030639</v>
      </c>
      <c r="E6973" t="s">
        <v>291</v>
      </c>
      <c r="F6973" t="s">
        <v>4</v>
      </c>
      <c r="G6973" t="str">
        <f>""</f>
        <v/>
      </c>
    </row>
    <row r="6974" spans="1:7" x14ac:dyDescent="0.25">
      <c r="A6974" t="s">
        <v>8</v>
      </c>
      <c r="B6974" s="1" t="str">
        <f>"000355376 - RICH FOODS BAPA-BEEF OBRADY"</f>
        <v>000355376 - RICH FOODS BAPA-BEEF OBRADY</v>
      </c>
      <c r="C6974" t="s">
        <v>366</v>
      </c>
      <c r="D6974" s="1" t="str">
        <f t="shared" si="197"/>
        <v>PRG-1030639</v>
      </c>
      <c r="E6974" t="s">
        <v>291</v>
      </c>
      <c r="F6974" t="s">
        <v>4</v>
      </c>
      <c r="G6974" t="str">
        <f>""</f>
        <v/>
      </c>
    </row>
    <row r="6975" spans="1:7" x14ac:dyDescent="0.25">
      <c r="A6975" t="s">
        <v>8</v>
      </c>
      <c r="B6975" s="1" t="str">
        <f>"000374033 - RICH PRODUCTS-BEEF O BRADY"</f>
        <v>000374033 - RICH PRODUCTS-BEEF O BRADY</v>
      </c>
      <c r="C6975" t="s">
        <v>219</v>
      </c>
      <c r="D6975" s="1" t="str">
        <f t="shared" si="197"/>
        <v>PRG-1030639</v>
      </c>
      <c r="E6975" t="s">
        <v>291</v>
      </c>
      <c r="F6975" t="s">
        <v>4</v>
      </c>
      <c r="G6975" t="str">
        <f>""</f>
        <v/>
      </c>
    </row>
    <row r="6976" spans="1:7" x14ac:dyDescent="0.25">
      <c r="A6976" t="s">
        <v>8</v>
      </c>
      <c r="B6976" s="1" t="str">
        <f>"2000324271 - RICH FOODS-BEEF O BRADY'S"</f>
        <v>2000324271 - RICH FOODS-BEEF O BRADY'S</v>
      </c>
      <c r="C6976" t="s">
        <v>3990</v>
      </c>
      <c r="D6976" s="1" t="str">
        <f t="shared" si="197"/>
        <v>PRG-1030639</v>
      </c>
      <c r="E6976" t="s">
        <v>291</v>
      </c>
      <c r="F6976" t="s">
        <v>4</v>
      </c>
      <c r="G6976" t="str">
        <f>""</f>
        <v/>
      </c>
    </row>
    <row r="6977" spans="1:7" x14ac:dyDescent="0.25">
      <c r="A6977" t="s">
        <v>8</v>
      </c>
      <c r="B6977" s="1" t="str">
        <f>"2000373811 - RICH FOODS-BEEF O BRADY'S"</f>
        <v>2000373811 - RICH FOODS-BEEF O BRADY'S</v>
      </c>
      <c r="C6977" t="s">
        <v>3990</v>
      </c>
      <c r="D6977" s="1" t="str">
        <f t="shared" si="197"/>
        <v>PRG-1030639</v>
      </c>
      <c r="E6977" t="s">
        <v>291</v>
      </c>
      <c r="F6977" t="s">
        <v>4</v>
      </c>
      <c r="G6977" t="str">
        <f>""</f>
        <v/>
      </c>
    </row>
    <row r="6978" spans="1:7" x14ac:dyDescent="0.25">
      <c r="A6978" t="s">
        <v>8</v>
      </c>
      <c r="B6978" s="1" t="str">
        <f>"2000413951 - RICH FOODS-BEEF O BRADYS"</f>
        <v>2000413951 - RICH FOODS-BEEF O BRADYS</v>
      </c>
      <c r="C6978" t="s">
        <v>4071</v>
      </c>
      <c r="D6978" s="1" t="str">
        <f t="shared" si="197"/>
        <v>PRG-1030639</v>
      </c>
      <c r="E6978" t="s">
        <v>291</v>
      </c>
      <c r="F6978" t="s">
        <v>4</v>
      </c>
      <c r="G6978" t="str">
        <f>""</f>
        <v/>
      </c>
    </row>
    <row r="6979" spans="1:7" x14ac:dyDescent="0.25">
      <c r="A6979" t="s">
        <v>8</v>
      </c>
      <c r="B6979" s="1" t="str">
        <f>"2000428075 - RICH FOODS-BEEF O BRADYS"</f>
        <v>2000428075 - RICH FOODS-BEEF O BRADYS</v>
      </c>
      <c r="C6979" t="s">
        <v>4071</v>
      </c>
      <c r="D6979" s="1" t="str">
        <f t="shared" si="197"/>
        <v>PRG-1030639</v>
      </c>
      <c r="E6979" t="s">
        <v>291</v>
      </c>
      <c r="F6979" t="s">
        <v>4</v>
      </c>
      <c r="G6979" t="str">
        <f>""</f>
        <v/>
      </c>
    </row>
    <row r="6980" spans="1:7" x14ac:dyDescent="0.25">
      <c r="A6980" t="s">
        <v>8</v>
      </c>
      <c r="B6980" s="1" t="str">
        <f>"362221 - "</f>
        <v xml:space="preserve">362221 - </v>
      </c>
      <c r="D6980" s="1" t="str">
        <f t="shared" si="197"/>
        <v>PRG-1030639</v>
      </c>
      <c r="E6980" t="s">
        <v>291</v>
      </c>
      <c r="F6980" t="s">
        <v>4</v>
      </c>
      <c r="G6980" t="str">
        <f>""</f>
        <v/>
      </c>
    </row>
    <row r="6981" spans="1:7" x14ac:dyDescent="0.25">
      <c r="A6981" t="s">
        <v>8</v>
      </c>
      <c r="B6981" s="1" t="str">
        <f>"000291136 - RICH PRODUCTS  CHUBBY'S &amp; OTH"</f>
        <v>000291136 - RICH PRODUCTS  CHUBBY'S &amp; OTH</v>
      </c>
      <c r="C6981" t="s">
        <v>2841</v>
      </c>
      <c r="D6981" s="1" t="str">
        <f>"PRG-1030680"</f>
        <v>PRG-1030680</v>
      </c>
      <c r="E6981" t="s">
        <v>2686</v>
      </c>
      <c r="F6981" t="s">
        <v>4</v>
      </c>
      <c r="G6981" t="str">
        <f>""</f>
        <v/>
      </c>
    </row>
    <row r="6982" spans="1:7" x14ac:dyDescent="0.25">
      <c r="A6982" t="s">
        <v>8</v>
      </c>
      <c r="B6982" s="1" t="str">
        <f>"000271167 - "</f>
        <v xml:space="preserve">000271167 - </v>
      </c>
      <c r="D6982" s="1" t="str">
        <f>"PRG-1030704"</f>
        <v>PRG-1030704</v>
      </c>
      <c r="E6982" t="s">
        <v>2482</v>
      </c>
      <c r="F6982" t="s">
        <v>4</v>
      </c>
      <c r="G6982" t="str">
        <f>""</f>
        <v/>
      </c>
    </row>
    <row r="6983" spans="1:7" x14ac:dyDescent="0.25">
      <c r="A6983" t="s">
        <v>8</v>
      </c>
      <c r="B6983" s="1" t="str">
        <f>"000267968 - "</f>
        <v xml:space="preserve">000267968 - </v>
      </c>
      <c r="D6983" s="1" t="str">
        <f>"PRG-1030720"</f>
        <v>PRG-1030720</v>
      </c>
      <c r="E6983" t="s">
        <v>2429</v>
      </c>
      <c r="F6983" t="s">
        <v>4</v>
      </c>
      <c r="G6983" t="str">
        <f>""</f>
        <v/>
      </c>
    </row>
    <row r="6984" spans="1:7" x14ac:dyDescent="0.25">
      <c r="A6984" t="s">
        <v>8</v>
      </c>
      <c r="B6984" s="1" t="str">
        <f>"2370B267"</f>
        <v>2370B267</v>
      </c>
      <c r="C6984" t="s">
        <v>4548</v>
      </c>
      <c r="D6984" s="1" t="str">
        <f>"PRG-1030748"</f>
        <v>PRG-1030748</v>
      </c>
      <c r="E6984" t="s">
        <v>4549</v>
      </c>
      <c r="F6984" t="s">
        <v>5</v>
      </c>
      <c r="G6984" t="str">
        <f>""</f>
        <v/>
      </c>
    </row>
    <row r="6985" spans="1:7" x14ac:dyDescent="0.25">
      <c r="A6985" t="s">
        <v>8</v>
      </c>
      <c r="B6985" s="1" t="str">
        <f>"000269704 - "</f>
        <v xml:space="preserve">000269704 - </v>
      </c>
      <c r="D6985" s="1" t="str">
        <f>"PRG-1030756"</f>
        <v>PRG-1030756</v>
      </c>
      <c r="E6985" t="s">
        <v>2457</v>
      </c>
      <c r="F6985" t="s">
        <v>4</v>
      </c>
      <c r="G6985" t="str">
        <f>""</f>
        <v/>
      </c>
    </row>
    <row r="6986" spans="1:7" x14ac:dyDescent="0.25">
      <c r="A6986" t="s">
        <v>8</v>
      </c>
      <c r="B6986" s="1" t="str">
        <f>"000361232 - RICH FOOD AYRES HOTEL GROUP"</f>
        <v>000361232 - RICH FOOD AYRES HOTEL GROUP</v>
      </c>
      <c r="C6986" t="s">
        <v>3372</v>
      </c>
      <c r="D6986" s="1" t="str">
        <f>"PRG-1030793"</f>
        <v>PRG-1030793</v>
      </c>
      <c r="E6986" t="s">
        <v>3583</v>
      </c>
      <c r="F6986" t="s">
        <v>4</v>
      </c>
      <c r="G6986" t="str">
        <f>""</f>
        <v/>
      </c>
    </row>
    <row r="6987" spans="1:7" x14ac:dyDescent="0.25">
      <c r="A6987" t="s">
        <v>8</v>
      </c>
      <c r="B6987" s="1" t="str">
        <f>"000372797 - "</f>
        <v xml:space="preserve">000372797 - </v>
      </c>
      <c r="D6987" s="1" t="str">
        <f>"PRG-1030793"</f>
        <v>PRG-1030793</v>
      </c>
      <c r="E6987" t="s">
        <v>3583</v>
      </c>
      <c r="F6987" t="s">
        <v>4</v>
      </c>
      <c r="G6987" t="str">
        <f>""</f>
        <v/>
      </c>
    </row>
    <row r="6988" spans="1:7" x14ac:dyDescent="0.25">
      <c r="A6988" t="s">
        <v>8</v>
      </c>
      <c r="B6988" s="1" t="str">
        <f>"000377385 - RICH FOOD AYRES HOTEL GROUP"</f>
        <v>000377385 - RICH FOOD AYRES HOTEL GROUP</v>
      </c>
      <c r="C6988" t="s">
        <v>3372</v>
      </c>
      <c r="D6988" s="1" t="str">
        <f>"PRG-1030793"</f>
        <v>PRG-1030793</v>
      </c>
      <c r="E6988" t="s">
        <v>3583</v>
      </c>
      <c r="F6988" t="s">
        <v>4</v>
      </c>
      <c r="G6988" t="str">
        <f>""</f>
        <v/>
      </c>
    </row>
    <row r="6989" spans="1:7" x14ac:dyDescent="0.25">
      <c r="A6989" t="s">
        <v>8</v>
      </c>
      <c r="B6989" s="1" t="str">
        <f>"000377881 - "</f>
        <v xml:space="preserve">000377881 - </v>
      </c>
      <c r="D6989" s="1" t="str">
        <f>"PRG-1030793"</f>
        <v>PRG-1030793</v>
      </c>
      <c r="E6989" t="s">
        <v>3583</v>
      </c>
      <c r="F6989" t="s">
        <v>4</v>
      </c>
      <c r="G6989" t="str">
        <f>""</f>
        <v/>
      </c>
    </row>
    <row r="6990" spans="1:7" x14ac:dyDescent="0.25">
      <c r="A6990" t="s">
        <v>8</v>
      </c>
      <c r="B6990" s="1" t="str">
        <f>"2000325719 - RICH'S-DESOTO PARISH"</f>
        <v>2000325719 - RICH'S-DESOTO PARISH</v>
      </c>
      <c r="C6990" t="s">
        <v>4035</v>
      </c>
      <c r="D6990" s="1" t="str">
        <f>"PRG-1030800"</f>
        <v>PRG-1030800</v>
      </c>
      <c r="E6990" t="s">
        <v>4036</v>
      </c>
      <c r="F6990" t="s">
        <v>4</v>
      </c>
      <c r="G6990" t="str">
        <f>""</f>
        <v/>
      </c>
    </row>
    <row r="6991" spans="1:7" x14ac:dyDescent="0.25">
      <c r="A6991" t="s">
        <v>8</v>
      </c>
      <c r="B6991" s="1" t="str">
        <f>"000213823 - RICHS VA BEACH SCHL GROUP"</f>
        <v>000213823 - RICHS VA BEACH SCHL GROUP</v>
      </c>
      <c r="C6991" t="s">
        <v>1483</v>
      </c>
      <c r="D6991" s="1" t="str">
        <f>"PRG-1030809"</f>
        <v>PRG-1030809</v>
      </c>
      <c r="E6991" t="s">
        <v>1484</v>
      </c>
      <c r="F6991" t="s">
        <v>4</v>
      </c>
      <c r="G6991" t="str">
        <f>""</f>
        <v/>
      </c>
    </row>
    <row r="6992" spans="1:7" x14ac:dyDescent="0.25">
      <c r="A6992" t="s">
        <v>8</v>
      </c>
      <c r="B6992" s="1" t="str">
        <f>"000216009 - RICH CC WOODY'S BBQ"</f>
        <v>000216009 - RICH CC WOODY'S BBQ</v>
      </c>
      <c r="C6992" t="s">
        <v>1528</v>
      </c>
      <c r="D6992" s="1" t="str">
        <f>"PRG-1030832"</f>
        <v>PRG-1030832</v>
      </c>
      <c r="E6992" t="s">
        <v>1529</v>
      </c>
      <c r="F6992" t="s">
        <v>4</v>
      </c>
      <c r="G6992" t="str">
        <f>""</f>
        <v/>
      </c>
    </row>
    <row r="6993" spans="1:7" x14ac:dyDescent="0.25">
      <c r="A6993" t="s">
        <v>8</v>
      </c>
      <c r="B6993" s="1" t="str">
        <f>"000233764 - RICH WOODYS"</f>
        <v>000233764 - RICH WOODYS</v>
      </c>
      <c r="C6993" t="s">
        <v>1808</v>
      </c>
      <c r="D6993" s="1" t="str">
        <f>"PRG-1030832"</f>
        <v>PRG-1030832</v>
      </c>
      <c r="E6993" t="s">
        <v>1529</v>
      </c>
      <c r="F6993" t="s">
        <v>4</v>
      </c>
      <c r="G6993" t="str">
        <f>""</f>
        <v/>
      </c>
    </row>
    <row r="6994" spans="1:7" x14ac:dyDescent="0.25">
      <c r="A6994" t="s">
        <v>8</v>
      </c>
      <c r="B6994" s="1" t="str">
        <f>"000256742 - RICH FOODS WOODYS BBQ"</f>
        <v>000256742 - RICH FOODS WOODYS BBQ</v>
      </c>
      <c r="C6994" t="s">
        <v>2194</v>
      </c>
      <c r="D6994" s="1" t="str">
        <f>"PRG-1030832"</f>
        <v>PRG-1030832</v>
      </c>
      <c r="E6994" t="s">
        <v>1529</v>
      </c>
      <c r="F6994" t="s">
        <v>4</v>
      </c>
      <c r="G6994" t="str">
        <f>""</f>
        <v/>
      </c>
    </row>
    <row r="6995" spans="1:7" x14ac:dyDescent="0.25">
      <c r="A6995" t="s">
        <v>8</v>
      </c>
      <c r="B6995" s="1" t="str">
        <f>"000264085 - RICH   WOODYS BBQ"</f>
        <v>000264085 - RICH   WOODYS BBQ</v>
      </c>
      <c r="C6995" t="s">
        <v>2341</v>
      </c>
      <c r="D6995" s="1" t="str">
        <f>"PRG-1030832"</f>
        <v>PRG-1030832</v>
      </c>
      <c r="E6995" t="s">
        <v>1529</v>
      </c>
      <c r="F6995" t="s">
        <v>4</v>
      </c>
      <c r="G6995" t="str">
        <f>""</f>
        <v/>
      </c>
    </row>
    <row r="6996" spans="1:7" x14ac:dyDescent="0.25">
      <c r="A6996" t="s">
        <v>8</v>
      </c>
      <c r="B6996" s="1" t="str">
        <f>"000042229 - RICH FOODS-HURRICANE GRILL"</f>
        <v>000042229 - RICH FOODS-HURRICANE GRILL</v>
      </c>
      <c r="C6996" t="s">
        <v>475</v>
      </c>
      <c r="D6996" s="1" t="str">
        <f t="shared" ref="D6996:D7030" si="198">"PRG-1030864"</f>
        <v>PRG-1030864</v>
      </c>
      <c r="E6996" t="s">
        <v>476</v>
      </c>
      <c r="F6996" t="s">
        <v>4</v>
      </c>
      <c r="G6996" t="str">
        <f>""</f>
        <v/>
      </c>
    </row>
    <row r="6997" spans="1:7" x14ac:dyDescent="0.25">
      <c r="A6997" t="s">
        <v>8</v>
      </c>
      <c r="B6997" s="1" t="str">
        <f>"000043655 - RICHS NONCORE-HURRICANE GRILL"</f>
        <v>000043655 - RICHS NONCORE-HURRICANE GRILL</v>
      </c>
      <c r="C6997" t="s">
        <v>605</v>
      </c>
      <c r="D6997" s="1" t="str">
        <f t="shared" si="198"/>
        <v>PRG-1030864</v>
      </c>
      <c r="E6997" t="s">
        <v>476</v>
      </c>
      <c r="F6997" t="s">
        <v>4</v>
      </c>
      <c r="G6997" t="str">
        <f>""</f>
        <v/>
      </c>
    </row>
    <row r="6998" spans="1:7" x14ac:dyDescent="0.25">
      <c r="A6998" t="s">
        <v>8</v>
      </c>
      <c r="B6998" s="1" t="str">
        <f>"000043656 - RICHS BB-HURRICANE GRILL"</f>
        <v>000043656 - RICHS BB-HURRICANE GRILL</v>
      </c>
      <c r="C6998" t="s">
        <v>606</v>
      </c>
      <c r="D6998" s="1" t="str">
        <f t="shared" si="198"/>
        <v>PRG-1030864</v>
      </c>
      <c r="E6998" t="s">
        <v>476</v>
      </c>
      <c r="F6998" t="s">
        <v>4</v>
      </c>
      <c r="G6998" t="str">
        <f>""</f>
        <v/>
      </c>
    </row>
    <row r="6999" spans="1:7" x14ac:dyDescent="0.25">
      <c r="A6999" t="s">
        <v>8</v>
      </c>
      <c r="B6999" s="1" t="str">
        <f>"000050487 - RICH CORE BB-HURRICANE GRILL"</f>
        <v>000050487 - RICH CORE BB-HURRICANE GRILL</v>
      </c>
      <c r="C6999" t="s">
        <v>648</v>
      </c>
      <c r="D6999" s="1" t="str">
        <f t="shared" si="198"/>
        <v>PRG-1030864</v>
      </c>
      <c r="E6999" t="s">
        <v>476</v>
      </c>
      <c r="F6999" t="s">
        <v>4</v>
      </c>
      <c r="G6999" t="str">
        <f>""</f>
        <v/>
      </c>
    </row>
    <row r="7000" spans="1:7" x14ac:dyDescent="0.25">
      <c r="A7000" t="s">
        <v>8</v>
      </c>
      <c r="B7000" s="1" t="str">
        <f>"000050488 - RICH NONCORE BB-HURRICANE GRIL"</f>
        <v>000050488 - RICH NONCORE BB-HURRICANE GRIL</v>
      </c>
      <c r="C7000" t="s">
        <v>649</v>
      </c>
      <c r="D7000" s="1" t="str">
        <f t="shared" si="198"/>
        <v>PRG-1030864</v>
      </c>
      <c r="E7000" t="s">
        <v>476</v>
      </c>
      <c r="F7000" t="s">
        <v>4</v>
      </c>
      <c r="G7000" t="str">
        <f>""</f>
        <v/>
      </c>
    </row>
    <row r="7001" spans="1:7" x14ac:dyDescent="0.25">
      <c r="A7001" t="s">
        <v>8</v>
      </c>
      <c r="B7001" s="1" t="str">
        <f>"000109811 - RICH FOODS-HURRICANE GRILL"</f>
        <v>000109811 - RICH FOODS-HURRICANE GRILL</v>
      </c>
      <c r="C7001" t="s">
        <v>475</v>
      </c>
      <c r="D7001" s="1" t="str">
        <f t="shared" si="198"/>
        <v>PRG-1030864</v>
      </c>
      <c r="E7001" t="s">
        <v>476</v>
      </c>
      <c r="F7001" t="s">
        <v>4</v>
      </c>
      <c r="G7001" t="str">
        <f>""</f>
        <v/>
      </c>
    </row>
    <row r="7002" spans="1:7" x14ac:dyDescent="0.25">
      <c r="A7002" t="s">
        <v>8</v>
      </c>
      <c r="B7002" s="1" t="str">
        <f>"000111717 - RICHS NONCORE-HURRICANE GRILL"</f>
        <v>000111717 - RICHS NONCORE-HURRICANE GRILL</v>
      </c>
      <c r="C7002" t="s">
        <v>605</v>
      </c>
      <c r="D7002" s="1" t="str">
        <f t="shared" si="198"/>
        <v>PRG-1030864</v>
      </c>
      <c r="E7002" t="s">
        <v>476</v>
      </c>
      <c r="F7002" t="s">
        <v>4</v>
      </c>
      <c r="G7002" t="str">
        <f>""</f>
        <v/>
      </c>
    </row>
    <row r="7003" spans="1:7" x14ac:dyDescent="0.25">
      <c r="A7003" t="s">
        <v>8</v>
      </c>
      <c r="B7003" s="1" t="str">
        <f>"000120645 - RICH NONCORE BB-HURRICANE GRIL"</f>
        <v>000120645 - RICH NONCORE BB-HURRICANE GRIL</v>
      </c>
      <c r="C7003" t="s">
        <v>649</v>
      </c>
      <c r="D7003" s="1" t="str">
        <f t="shared" si="198"/>
        <v>PRG-1030864</v>
      </c>
      <c r="E7003" t="s">
        <v>476</v>
      </c>
      <c r="F7003" t="s">
        <v>4</v>
      </c>
      <c r="G7003" t="str">
        <f>""</f>
        <v/>
      </c>
    </row>
    <row r="7004" spans="1:7" x14ac:dyDescent="0.25">
      <c r="A7004" t="s">
        <v>8</v>
      </c>
      <c r="B7004" s="1" t="str">
        <f>"000140371 - RICH FOODS-HURRICANE GRILL"</f>
        <v>000140371 - RICH FOODS-HURRICANE GRILL</v>
      </c>
      <c r="C7004" t="s">
        <v>475</v>
      </c>
      <c r="D7004" s="1" t="str">
        <f t="shared" si="198"/>
        <v>PRG-1030864</v>
      </c>
      <c r="E7004" t="s">
        <v>476</v>
      </c>
      <c r="F7004" t="s">
        <v>4</v>
      </c>
      <c r="G7004" t="str">
        <f>""</f>
        <v/>
      </c>
    </row>
    <row r="7005" spans="1:7" x14ac:dyDescent="0.25">
      <c r="A7005" t="s">
        <v>8</v>
      </c>
      <c r="B7005" s="1" t="str">
        <f>"000142186 - RICHS NONCORE-HURRICANE GRILL"</f>
        <v>000142186 - RICHS NONCORE-HURRICANE GRILL</v>
      </c>
      <c r="C7005" t="s">
        <v>605</v>
      </c>
      <c r="D7005" s="1" t="str">
        <f t="shared" si="198"/>
        <v>PRG-1030864</v>
      </c>
      <c r="E7005" t="s">
        <v>476</v>
      </c>
      <c r="F7005" t="s">
        <v>4</v>
      </c>
      <c r="G7005" t="str">
        <f>""</f>
        <v/>
      </c>
    </row>
    <row r="7006" spans="1:7" x14ac:dyDescent="0.25">
      <c r="A7006" t="s">
        <v>8</v>
      </c>
      <c r="B7006" s="1" t="str">
        <f>"000150796 - RICH NONCORE BB-HURRICANE GRIL"</f>
        <v>000150796 - RICH NONCORE BB-HURRICANE GRIL</v>
      </c>
      <c r="C7006" t="s">
        <v>649</v>
      </c>
      <c r="D7006" s="1" t="str">
        <f t="shared" si="198"/>
        <v>PRG-1030864</v>
      </c>
      <c r="E7006" t="s">
        <v>476</v>
      </c>
      <c r="F7006" t="s">
        <v>4</v>
      </c>
      <c r="G7006" t="str">
        <f>""</f>
        <v/>
      </c>
    </row>
    <row r="7007" spans="1:7" x14ac:dyDescent="0.25">
      <c r="A7007" t="s">
        <v>8</v>
      </c>
      <c r="B7007" s="1" t="str">
        <f>"000228960 - RICH FOODS-HURRICANE GRILL"</f>
        <v>000228960 - RICH FOODS-HURRICANE GRILL</v>
      </c>
      <c r="C7007" t="s">
        <v>475</v>
      </c>
      <c r="D7007" s="1" t="str">
        <f t="shared" si="198"/>
        <v>PRG-1030864</v>
      </c>
      <c r="E7007" t="s">
        <v>476</v>
      </c>
      <c r="F7007" t="s">
        <v>4</v>
      </c>
      <c r="G7007" t="str">
        <f>""</f>
        <v/>
      </c>
    </row>
    <row r="7008" spans="1:7" x14ac:dyDescent="0.25">
      <c r="A7008" t="s">
        <v>8</v>
      </c>
      <c r="B7008" s="1" t="str">
        <f>"000230852 - RICHS NONCORE-HURRICANE GRILL"</f>
        <v>000230852 - RICHS NONCORE-HURRICANE GRILL</v>
      </c>
      <c r="C7008" t="s">
        <v>605</v>
      </c>
      <c r="D7008" s="1" t="str">
        <f t="shared" si="198"/>
        <v>PRG-1030864</v>
      </c>
      <c r="E7008" t="s">
        <v>476</v>
      </c>
      <c r="F7008" t="s">
        <v>4</v>
      </c>
      <c r="G7008" t="str">
        <f>""</f>
        <v/>
      </c>
    </row>
    <row r="7009" spans="1:7" x14ac:dyDescent="0.25">
      <c r="A7009" t="s">
        <v>8</v>
      </c>
      <c r="B7009" s="1" t="str">
        <f>"000230855 - RICHS BB-HURRICANE GRILL"</f>
        <v>000230855 - RICHS BB-HURRICANE GRILL</v>
      </c>
      <c r="C7009" t="s">
        <v>606</v>
      </c>
      <c r="D7009" s="1" t="str">
        <f t="shared" si="198"/>
        <v>PRG-1030864</v>
      </c>
      <c r="E7009" t="s">
        <v>476</v>
      </c>
      <c r="F7009" t="s">
        <v>4</v>
      </c>
      <c r="G7009" t="str">
        <f>""</f>
        <v/>
      </c>
    </row>
    <row r="7010" spans="1:7" x14ac:dyDescent="0.25">
      <c r="A7010" t="s">
        <v>8</v>
      </c>
      <c r="B7010" s="1" t="str">
        <f>"000234406 - "</f>
        <v xml:space="preserve">000234406 - </v>
      </c>
      <c r="D7010" s="1" t="str">
        <f t="shared" si="198"/>
        <v>PRG-1030864</v>
      </c>
      <c r="E7010" t="s">
        <v>476</v>
      </c>
      <c r="F7010" t="s">
        <v>4</v>
      </c>
      <c r="G7010" t="str">
        <f>""</f>
        <v/>
      </c>
    </row>
    <row r="7011" spans="1:7" x14ac:dyDescent="0.25">
      <c r="A7011" t="s">
        <v>8</v>
      </c>
      <c r="B7011" s="1" t="str">
        <f>"000236057 - "</f>
        <v xml:space="preserve">000236057 - </v>
      </c>
      <c r="D7011" s="1" t="str">
        <f t="shared" si="198"/>
        <v>PRG-1030864</v>
      </c>
      <c r="E7011" t="s">
        <v>476</v>
      </c>
      <c r="F7011" t="s">
        <v>4</v>
      </c>
      <c r="G7011" t="str">
        <f>""</f>
        <v/>
      </c>
    </row>
    <row r="7012" spans="1:7" x14ac:dyDescent="0.25">
      <c r="A7012" t="s">
        <v>8</v>
      </c>
      <c r="B7012" s="1" t="str">
        <f>"000240177 - RICH CORE BB-HURRICANE GRILL"</f>
        <v>000240177 - RICH CORE BB-HURRICANE GRILL</v>
      </c>
      <c r="C7012" t="s">
        <v>648</v>
      </c>
      <c r="D7012" s="1" t="str">
        <f t="shared" si="198"/>
        <v>PRG-1030864</v>
      </c>
      <c r="E7012" t="s">
        <v>476</v>
      </c>
      <c r="F7012" t="s">
        <v>4</v>
      </c>
      <c r="G7012" t="str">
        <f>""</f>
        <v/>
      </c>
    </row>
    <row r="7013" spans="1:7" x14ac:dyDescent="0.25">
      <c r="A7013" t="s">
        <v>8</v>
      </c>
      <c r="B7013" s="1" t="str">
        <f>"000240178 - RICH NONCORE BB-HURRICANE GRIL"</f>
        <v>000240178 - RICH NONCORE BB-HURRICANE GRIL</v>
      </c>
      <c r="C7013" t="s">
        <v>649</v>
      </c>
      <c r="D7013" s="1" t="str">
        <f t="shared" si="198"/>
        <v>PRG-1030864</v>
      </c>
      <c r="E7013" t="s">
        <v>476</v>
      </c>
      <c r="F7013" t="s">
        <v>4</v>
      </c>
      <c r="G7013" t="str">
        <f>""</f>
        <v/>
      </c>
    </row>
    <row r="7014" spans="1:7" x14ac:dyDescent="0.25">
      <c r="A7014" t="s">
        <v>8</v>
      </c>
      <c r="B7014" s="1" t="str">
        <f>"000244485 - "</f>
        <v xml:space="preserve">000244485 - </v>
      </c>
      <c r="D7014" s="1" t="str">
        <f t="shared" si="198"/>
        <v>PRG-1030864</v>
      </c>
      <c r="E7014" t="s">
        <v>476</v>
      </c>
      <c r="F7014" t="s">
        <v>4</v>
      </c>
      <c r="G7014" t="str">
        <f>""</f>
        <v/>
      </c>
    </row>
    <row r="7015" spans="1:7" x14ac:dyDescent="0.25">
      <c r="A7015" t="s">
        <v>8</v>
      </c>
      <c r="B7015" s="1" t="str">
        <f>"000249742 - RICHS NONCORE-HURRICANE GRILL"</f>
        <v>000249742 - RICHS NONCORE-HURRICANE GRILL</v>
      </c>
      <c r="C7015" t="s">
        <v>605</v>
      </c>
      <c r="D7015" s="1" t="str">
        <f t="shared" si="198"/>
        <v>PRG-1030864</v>
      </c>
      <c r="E7015" t="s">
        <v>476</v>
      </c>
      <c r="F7015" t="s">
        <v>4</v>
      </c>
      <c r="G7015" t="str">
        <f>""</f>
        <v/>
      </c>
    </row>
    <row r="7016" spans="1:7" x14ac:dyDescent="0.25">
      <c r="A7016" t="s">
        <v>8</v>
      </c>
      <c r="B7016" s="1" t="str">
        <f>"000249743 - RICHS BB-HURRICANE GRILL"</f>
        <v>000249743 - RICHS BB-HURRICANE GRILL</v>
      </c>
      <c r="C7016" t="s">
        <v>606</v>
      </c>
      <c r="D7016" s="1" t="str">
        <f t="shared" si="198"/>
        <v>PRG-1030864</v>
      </c>
      <c r="E7016" t="s">
        <v>476</v>
      </c>
      <c r="F7016" t="s">
        <v>4</v>
      </c>
      <c r="G7016" t="str">
        <f>""</f>
        <v/>
      </c>
    </row>
    <row r="7017" spans="1:7" x14ac:dyDescent="0.25">
      <c r="A7017" t="s">
        <v>8</v>
      </c>
      <c r="B7017" s="1" t="str">
        <f>"000249764 - RICH FOODS DC HURRICANE GRILL"</f>
        <v>000249764 - RICH FOODS DC HURRICANE GRILL</v>
      </c>
      <c r="C7017" t="s">
        <v>2081</v>
      </c>
      <c r="D7017" s="1" t="str">
        <f t="shared" si="198"/>
        <v>PRG-1030864</v>
      </c>
      <c r="E7017" t="s">
        <v>476</v>
      </c>
      <c r="F7017" t="s">
        <v>4</v>
      </c>
      <c r="G7017" t="str">
        <f>""</f>
        <v/>
      </c>
    </row>
    <row r="7018" spans="1:7" x14ac:dyDescent="0.25">
      <c r="A7018" t="s">
        <v>8</v>
      </c>
      <c r="B7018" s="1" t="str">
        <f>"000256808 - RICH FOODS-HURRICANE GRILL"</f>
        <v>000256808 - RICH FOODS-HURRICANE GRILL</v>
      </c>
      <c r="C7018" t="s">
        <v>475</v>
      </c>
      <c r="D7018" s="1" t="str">
        <f t="shared" si="198"/>
        <v>PRG-1030864</v>
      </c>
      <c r="E7018" t="s">
        <v>476</v>
      </c>
      <c r="F7018" t="s">
        <v>4</v>
      </c>
      <c r="G7018" t="str">
        <f>""</f>
        <v/>
      </c>
    </row>
    <row r="7019" spans="1:7" x14ac:dyDescent="0.25">
      <c r="A7019" t="s">
        <v>8</v>
      </c>
      <c r="B7019" s="1" t="str">
        <f>"000258808 - RICHS NONCORE-HURRICANE GRILL"</f>
        <v>000258808 - RICHS NONCORE-HURRICANE GRILL</v>
      </c>
      <c r="C7019" t="s">
        <v>605</v>
      </c>
      <c r="D7019" s="1" t="str">
        <f t="shared" si="198"/>
        <v>PRG-1030864</v>
      </c>
      <c r="E7019" t="s">
        <v>476</v>
      </c>
      <c r="F7019" t="s">
        <v>4</v>
      </c>
      <c r="G7019" t="str">
        <f>""</f>
        <v/>
      </c>
    </row>
    <row r="7020" spans="1:7" x14ac:dyDescent="0.25">
      <c r="A7020" t="s">
        <v>8</v>
      </c>
      <c r="B7020" s="1" t="str">
        <f>"000259066 - RICH CORE BB-HURRICANE GRILL"</f>
        <v>000259066 - RICH CORE BB-HURRICANE GRILL</v>
      </c>
      <c r="C7020" t="s">
        <v>648</v>
      </c>
      <c r="D7020" s="1" t="str">
        <f t="shared" si="198"/>
        <v>PRG-1030864</v>
      </c>
      <c r="E7020" t="s">
        <v>476</v>
      </c>
      <c r="F7020" t="s">
        <v>4</v>
      </c>
      <c r="G7020" t="str">
        <f>""</f>
        <v/>
      </c>
    </row>
    <row r="7021" spans="1:7" x14ac:dyDescent="0.25">
      <c r="A7021" t="s">
        <v>8</v>
      </c>
      <c r="B7021" s="1" t="str">
        <f>"000259067 - RICH NONCORE BB-HURRICANE GRIL"</f>
        <v>000259067 - RICH NONCORE BB-HURRICANE GRIL</v>
      </c>
      <c r="C7021" t="s">
        <v>649</v>
      </c>
      <c r="D7021" s="1" t="str">
        <f t="shared" si="198"/>
        <v>PRG-1030864</v>
      </c>
      <c r="E7021" t="s">
        <v>476</v>
      </c>
      <c r="F7021" t="s">
        <v>4</v>
      </c>
      <c r="G7021" t="str">
        <f>""</f>
        <v/>
      </c>
    </row>
    <row r="7022" spans="1:7" x14ac:dyDescent="0.25">
      <c r="A7022" t="s">
        <v>8</v>
      </c>
      <c r="B7022" s="1" t="str">
        <f>"000295911 - RICH FOODS-HURRICANE GRILL"</f>
        <v>000295911 - RICH FOODS-HURRICANE GRILL</v>
      </c>
      <c r="C7022" t="s">
        <v>475</v>
      </c>
      <c r="D7022" s="1" t="str">
        <f t="shared" si="198"/>
        <v>PRG-1030864</v>
      </c>
      <c r="E7022" t="s">
        <v>476</v>
      </c>
      <c r="F7022" t="s">
        <v>4</v>
      </c>
      <c r="G7022" t="str">
        <f>""</f>
        <v/>
      </c>
    </row>
    <row r="7023" spans="1:7" x14ac:dyDescent="0.25">
      <c r="A7023" t="s">
        <v>8</v>
      </c>
      <c r="B7023" s="1" t="str">
        <f>"000298886 - RICHS NONCORE-HURRICANE GRILL"</f>
        <v>000298886 - RICHS NONCORE-HURRICANE GRILL</v>
      </c>
      <c r="C7023" t="s">
        <v>605</v>
      </c>
      <c r="D7023" s="1" t="str">
        <f t="shared" si="198"/>
        <v>PRG-1030864</v>
      </c>
      <c r="E7023" t="s">
        <v>476</v>
      </c>
      <c r="F7023" t="s">
        <v>4</v>
      </c>
      <c r="G7023" t="str">
        <f>""</f>
        <v/>
      </c>
    </row>
    <row r="7024" spans="1:7" x14ac:dyDescent="0.25">
      <c r="A7024" t="s">
        <v>8</v>
      </c>
      <c r="B7024" s="1" t="str">
        <f>"000313363 - RICH NONCORE BB-HURRICANE GRIL"</f>
        <v>000313363 - RICH NONCORE BB-HURRICANE GRIL</v>
      </c>
      <c r="C7024" t="s">
        <v>649</v>
      </c>
      <c r="D7024" s="1" t="str">
        <f t="shared" si="198"/>
        <v>PRG-1030864</v>
      </c>
      <c r="E7024" t="s">
        <v>476</v>
      </c>
      <c r="F7024" t="s">
        <v>4</v>
      </c>
      <c r="G7024" t="str">
        <f>""</f>
        <v/>
      </c>
    </row>
    <row r="7025" spans="1:7" x14ac:dyDescent="0.25">
      <c r="A7025" t="s">
        <v>8</v>
      </c>
      <c r="B7025" s="1" t="str">
        <f>"000328080 - RICH FOODS-HURRICANE GRILL"</f>
        <v>000328080 - RICH FOODS-HURRICANE GRILL</v>
      </c>
      <c r="C7025" t="s">
        <v>475</v>
      </c>
      <c r="D7025" s="1" t="str">
        <f t="shared" si="198"/>
        <v>PRG-1030864</v>
      </c>
      <c r="E7025" t="s">
        <v>476</v>
      </c>
      <c r="F7025" t="s">
        <v>4</v>
      </c>
      <c r="G7025" t="str">
        <f>""</f>
        <v/>
      </c>
    </row>
    <row r="7026" spans="1:7" x14ac:dyDescent="0.25">
      <c r="A7026" t="s">
        <v>8</v>
      </c>
      <c r="B7026" s="1" t="str">
        <f>"000330892 - RICHS NONCORE-HURRICANE GRILL"</f>
        <v>000330892 - RICHS NONCORE-HURRICANE GRILL</v>
      </c>
      <c r="C7026" t="s">
        <v>605</v>
      </c>
      <c r="D7026" s="1" t="str">
        <f t="shared" si="198"/>
        <v>PRG-1030864</v>
      </c>
      <c r="E7026" t="s">
        <v>476</v>
      </c>
      <c r="F7026" t="s">
        <v>4</v>
      </c>
      <c r="G7026" t="str">
        <f>""</f>
        <v/>
      </c>
    </row>
    <row r="7027" spans="1:7" x14ac:dyDescent="0.25">
      <c r="A7027" t="s">
        <v>8</v>
      </c>
      <c r="B7027" s="1" t="str">
        <f>"000332968 - "</f>
        <v xml:space="preserve">000332968 - </v>
      </c>
      <c r="D7027" s="1" t="str">
        <f t="shared" si="198"/>
        <v>PRG-1030864</v>
      </c>
      <c r="E7027" t="s">
        <v>476</v>
      </c>
      <c r="F7027" t="s">
        <v>4</v>
      </c>
      <c r="G7027" t="str">
        <f>""</f>
        <v/>
      </c>
    </row>
    <row r="7028" spans="1:7" x14ac:dyDescent="0.25">
      <c r="A7028" t="s">
        <v>8</v>
      </c>
      <c r="B7028" s="1" t="str">
        <f>"000343418 - RICH FOODS-HURRICANE GRILL"</f>
        <v>000343418 - RICH FOODS-HURRICANE GRILL</v>
      </c>
      <c r="C7028" t="s">
        <v>475</v>
      </c>
      <c r="D7028" s="1" t="str">
        <f t="shared" si="198"/>
        <v>PRG-1030864</v>
      </c>
      <c r="E7028" t="s">
        <v>476</v>
      </c>
      <c r="F7028" t="s">
        <v>4</v>
      </c>
      <c r="G7028" t="str">
        <f>""</f>
        <v/>
      </c>
    </row>
    <row r="7029" spans="1:7" x14ac:dyDescent="0.25">
      <c r="A7029" t="s">
        <v>8</v>
      </c>
      <c r="B7029" s="1" t="str">
        <f>"000346001 - RICHS NONCORE-HURRICANE GRILL"</f>
        <v>000346001 - RICHS NONCORE-HURRICANE GRILL</v>
      </c>
      <c r="C7029" t="s">
        <v>605</v>
      </c>
      <c r="D7029" s="1" t="str">
        <f t="shared" si="198"/>
        <v>PRG-1030864</v>
      </c>
      <c r="E7029" t="s">
        <v>476</v>
      </c>
      <c r="F7029" t="s">
        <v>4</v>
      </c>
      <c r="G7029" t="str">
        <f>""</f>
        <v/>
      </c>
    </row>
    <row r="7030" spans="1:7" x14ac:dyDescent="0.25">
      <c r="A7030" t="s">
        <v>8</v>
      </c>
      <c r="B7030" s="1" t="str">
        <f>"2000327710 - RICH FOODS-HURRICANE GRILL"</f>
        <v>2000327710 - RICH FOODS-HURRICANE GRILL</v>
      </c>
      <c r="C7030" t="s">
        <v>475</v>
      </c>
      <c r="D7030" s="1" t="str">
        <f t="shared" si="198"/>
        <v>PRG-1030864</v>
      </c>
      <c r="E7030" t="s">
        <v>476</v>
      </c>
      <c r="F7030" t="s">
        <v>4</v>
      </c>
      <c r="G7030" t="str">
        <f>""</f>
        <v/>
      </c>
    </row>
    <row r="7031" spans="1:7" x14ac:dyDescent="0.25">
      <c r="A7031" t="s">
        <v>8</v>
      </c>
      <c r="B7031" s="1" t="str">
        <f>"000247441 - RICH FDS TRI CITY FOODS"</f>
        <v>000247441 - RICH FDS TRI CITY FOODS</v>
      </c>
      <c r="C7031" t="s">
        <v>2034</v>
      </c>
      <c r="D7031" s="1" t="str">
        <f>"PRG-1030884"</f>
        <v>PRG-1030884</v>
      </c>
      <c r="E7031" t="s">
        <v>2035</v>
      </c>
      <c r="F7031" t="s">
        <v>4</v>
      </c>
      <c r="G7031" t="str">
        <f>""</f>
        <v/>
      </c>
    </row>
    <row r="7032" spans="1:7" x14ac:dyDescent="0.25">
      <c r="A7032" t="s">
        <v>8</v>
      </c>
      <c r="B7032" s="1" t="str">
        <f>"000270355 - RICH FDS TRI CITY FOODS"</f>
        <v>000270355 - RICH FDS TRI CITY FOODS</v>
      </c>
      <c r="C7032" t="s">
        <v>2034</v>
      </c>
      <c r="D7032" s="1" t="str">
        <f>"PRG-1030884"</f>
        <v>PRG-1030884</v>
      </c>
      <c r="E7032" t="s">
        <v>2035</v>
      </c>
      <c r="F7032" t="s">
        <v>4</v>
      </c>
      <c r="G7032" t="str">
        <f>""</f>
        <v/>
      </c>
    </row>
    <row r="7033" spans="1:7" x14ac:dyDescent="0.25">
      <c r="A7033" t="s">
        <v>8</v>
      </c>
      <c r="B7033" s="1" t="str">
        <f>"000276998 - OTB RICH"</f>
        <v>000276998 - OTB RICH</v>
      </c>
      <c r="C7033" t="s">
        <v>1920</v>
      </c>
      <c r="D7033" s="1" t="str">
        <f>"PRG-1030889"</f>
        <v>PRG-1030889</v>
      </c>
      <c r="E7033" t="s">
        <v>1921</v>
      </c>
      <c r="F7033" t="s">
        <v>4</v>
      </c>
      <c r="G7033" t="str">
        <f>""</f>
        <v/>
      </c>
    </row>
    <row r="7034" spans="1:7" x14ac:dyDescent="0.25">
      <c r="A7034" t="s">
        <v>8</v>
      </c>
      <c r="B7034" s="1" t="str">
        <f>"000269710 - "</f>
        <v xml:space="preserve">000269710 - </v>
      </c>
      <c r="D7034" s="1" t="str">
        <f>"PRG-1030891"</f>
        <v>PRG-1030891</v>
      </c>
      <c r="E7034" t="s">
        <v>2458</v>
      </c>
      <c r="F7034" t="s">
        <v>4</v>
      </c>
      <c r="G7034" t="str">
        <f>""</f>
        <v/>
      </c>
    </row>
    <row r="7035" spans="1:7" x14ac:dyDescent="0.25">
      <c r="A7035" t="s">
        <v>8</v>
      </c>
      <c r="B7035" s="1" t="str">
        <f>"000000201 - RICHS-SHARIS"</f>
        <v>000000201 - RICHS-SHARIS</v>
      </c>
      <c r="C7035" t="s">
        <v>20</v>
      </c>
      <c r="D7035" s="1" t="str">
        <f t="shared" ref="D7035:D7054" si="199">"PRG-1030894"</f>
        <v>PRG-1030894</v>
      </c>
      <c r="E7035" t="s">
        <v>21</v>
      </c>
      <c r="F7035" t="s">
        <v>4</v>
      </c>
      <c r="G7035" t="str">
        <f>""</f>
        <v/>
      </c>
    </row>
    <row r="7036" spans="1:7" x14ac:dyDescent="0.25">
      <c r="A7036" t="s">
        <v>8</v>
      </c>
      <c r="B7036" s="1" t="str">
        <f>"000000255 - RICHS-SHARIS"</f>
        <v>000000255 - RICHS-SHARIS</v>
      </c>
      <c r="C7036" t="s">
        <v>20</v>
      </c>
      <c r="D7036" s="1" t="str">
        <f t="shared" si="199"/>
        <v>PRG-1030894</v>
      </c>
      <c r="E7036" t="s">
        <v>21</v>
      </c>
      <c r="F7036" t="s">
        <v>4</v>
      </c>
      <c r="G7036" t="str">
        <f>""</f>
        <v/>
      </c>
    </row>
    <row r="7037" spans="1:7" x14ac:dyDescent="0.25">
      <c r="A7037" t="s">
        <v>8</v>
      </c>
      <c r="B7037" s="1" t="str">
        <f>"000013192 - RICH PRODUCTS-SHARI'S"</f>
        <v>000013192 - RICH PRODUCTS-SHARI'S</v>
      </c>
      <c r="C7037" t="s">
        <v>343</v>
      </c>
      <c r="D7037" s="1" t="str">
        <f t="shared" si="199"/>
        <v>PRG-1030894</v>
      </c>
      <c r="E7037" t="s">
        <v>21</v>
      </c>
      <c r="F7037" t="s">
        <v>4</v>
      </c>
      <c r="G7037" t="str">
        <f>""</f>
        <v/>
      </c>
    </row>
    <row r="7038" spans="1:7" x14ac:dyDescent="0.25">
      <c r="A7038" t="s">
        <v>8</v>
      </c>
      <c r="B7038" s="1" t="str">
        <f>"000065007 - RICH PRODUCTS-SHARI'S"</f>
        <v>000065007 - RICH PRODUCTS-SHARI'S</v>
      </c>
      <c r="C7038" t="s">
        <v>343</v>
      </c>
      <c r="D7038" s="1" t="str">
        <f t="shared" si="199"/>
        <v>PRG-1030894</v>
      </c>
      <c r="E7038" t="s">
        <v>21</v>
      </c>
      <c r="F7038" t="s">
        <v>4</v>
      </c>
      <c r="G7038" t="str">
        <f>""</f>
        <v/>
      </c>
    </row>
    <row r="7039" spans="1:7" x14ac:dyDescent="0.25">
      <c r="A7039" t="s">
        <v>8</v>
      </c>
      <c r="B7039" s="1" t="str">
        <f>"000143155 - "</f>
        <v xml:space="preserve">000143155 - </v>
      </c>
      <c r="D7039" s="1" t="str">
        <f t="shared" si="199"/>
        <v>PRG-1030894</v>
      </c>
      <c r="E7039" t="s">
        <v>21</v>
      </c>
      <c r="F7039" t="s">
        <v>4</v>
      </c>
      <c r="G7039" t="str">
        <f>""</f>
        <v/>
      </c>
    </row>
    <row r="7040" spans="1:7" x14ac:dyDescent="0.25">
      <c r="A7040" t="s">
        <v>8</v>
      </c>
      <c r="B7040" s="1" t="str">
        <f>"000157618 - "</f>
        <v xml:space="preserve">000157618 - </v>
      </c>
      <c r="D7040" s="1" t="str">
        <f t="shared" si="199"/>
        <v>PRG-1030894</v>
      </c>
      <c r="E7040" t="s">
        <v>21</v>
      </c>
      <c r="F7040" t="s">
        <v>4</v>
      </c>
      <c r="G7040" t="str">
        <f>""</f>
        <v/>
      </c>
    </row>
    <row r="7041" spans="1:7" x14ac:dyDescent="0.25">
      <c r="A7041" t="s">
        <v>8</v>
      </c>
      <c r="B7041" s="1" t="str">
        <f>"000159977 - "</f>
        <v xml:space="preserve">000159977 - </v>
      </c>
      <c r="D7041" s="1" t="str">
        <f t="shared" si="199"/>
        <v>PRG-1030894</v>
      </c>
      <c r="E7041" t="s">
        <v>21</v>
      </c>
      <c r="F7041" t="s">
        <v>4</v>
      </c>
      <c r="G7041" t="str">
        <f>""</f>
        <v/>
      </c>
    </row>
    <row r="7042" spans="1:7" x14ac:dyDescent="0.25">
      <c r="A7042" t="s">
        <v>8</v>
      </c>
      <c r="B7042" s="1" t="str">
        <f>"000166338 - "</f>
        <v xml:space="preserve">000166338 - </v>
      </c>
      <c r="D7042" s="1" t="str">
        <f t="shared" si="199"/>
        <v>PRG-1030894</v>
      </c>
      <c r="E7042" t="s">
        <v>21</v>
      </c>
      <c r="F7042" t="s">
        <v>4</v>
      </c>
      <c r="G7042" t="str">
        <f>""</f>
        <v/>
      </c>
    </row>
    <row r="7043" spans="1:7" x14ac:dyDescent="0.25">
      <c r="A7043" t="s">
        <v>8</v>
      </c>
      <c r="B7043" s="1" t="str">
        <f>"000277840 - RICH PRODUCTS CORP SHARI'S"</f>
        <v>000277840 - RICH PRODUCTS CORP SHARI'S</v>
      </c>
      <c r="C7043" t="s">
        <v>2152</v>
      </c>
      <c r="D7043" s="1" t="str">
        <f t="shared" si="199"/>
        <v>PRG-1030894</v>
      </c>
      <c r="E7043" t="s">
        <v>21</v>
      </c>
      <c r="F7043" t="s">
        <v>4</v>
      </c>
      <c r="G7043" t="str">
        <f>""</f>
        <v/>
      </c>
    </row>
    <row r="7044" spans="1:7" x14ac:dyDescent="0.25">
      <c r="A7044" t="s">
        <v>8</v>
      </c>
      <c r="B7044" s="1" t="str">
        <f>"000299375 - "</f>
        <v xml:space="preserve">000299375 - </v>
      </c>
      <c r="D7044" s="1" t="str">
        <f t="shared" si="199"/>
        <v>PRG-1030894</v>
      </c>
      <c r="E7044" t="s">
        <v>21</v>
      </c>
      <c r="F7044" t="s">
        <v>4</v>
      </c>
      <c r="G7044" t="str">
        <f>""</f>
        <v/>
      </c>
    </row>
    <row r="7045" spans="1:7" x14ac:dyDescent="0.25">
      <c r="A7045" t="s">
        <v>8</v>
      </c>
      <c r="B7045" s="1" t="str">
        <f>"000303659 - RICH PRODUCS SHARIS"</f>
        <v>000303659 - RICH PRODUCS SHARIS</v>
      </c>
      <c r="C7045" t="s">
        <v>3010</v>
      </c>
      <c r="D7045" s="1" t="str">
        <f t="shared" si="199"/>
        <v>PRG-1030894</v>
      </c>
      <c r="E7045" t="s">
        <v>21</v>
      </c>
      <c r="F7045" t="s">
        <v>4</v>
      </c>
      <c r="G7045" t="str">
        <f>""</f>
        <v/>
      </c>
    </row>
    <row r="7046" spans="1:7" x14ac:dyDescent="0.25">
      <c r="A7046" t="s">
        <v>8</v>
      </c>
      <c r="B7046" s="1" t="str">
        <f>"000307628 - RICH PRODUCTS SHARI'S"</f>
        <v>000307628 - RICH PRODUCTS SHARI'S</v>
      </c>
      <c r="C7046" t="s">
        <v>2847</v>
      </c>
      <c r="D7046" s="1" t="str">
        <f t="shared" si="199"/>
        <v>PRG-1030894</v>
      </c>
      <c r="E7046" t="s">
        <v>21</v>
      </c>
      <c r="F7046" t="s">
        <v>4</v>
      </c>
      <c r="G7046" t="str">
        <f>""</f>
        <v/>
      </c>
    </row>
    <row r="7047" spans="1:7" x14ac:dyDescent="0.25">
      <c r="A7047" t="s">
        <v>8</v>
      </c>
      <c r="B7047" s="1" t="str">
        <f>"000317238 - RICH PRODUCTS-SHARI'S"</f>
        <v>000317238 - RICH PRODUCTS-SHARI'S</v>
      </c>
      <c r="C7047" t="s">
        <v>343</v>
      </c>
      <c r="D7047" s="1" t="str">
        <f t="shared" si="199"/>
        <v>PRG-1030894</v>
      </c>
      <c r="E7047" t="s">
        <v>21</v>
      </c>
      <c r="F7047" t="s">
        <v>4</v>
      </c>
      <c r="G7047" t="str">
        <f>""</f>
        <v/>
      </c>
    </row>
    <row r="7048" spans="1:7" x14ac:dyDescent="0.25">
      <c r="A7048" t="s">
        <v>8</v>
      </c>
      <c r="B7048" s="1" t="str">
        <f>"000319773 - "</f>
        <v xml:space="preserve">000319773 - </v>
      </c>
      <c r="D7048" s="1" t="str">
        <f t="shared" si="199"/>
        <v>PRG-1030894</v>
      </c>
      <c r="E7048" t="s">
        <v>21</v>
      </c>
      <c r="F7048" t="s">
        <v>4</v>
      </c>
      <c r="G7048" t="str">
        <f>""</f>
        <v/>
      </c>
    </row>
    <row r="7049" spans="1:7" x14ac:dyDescent="0.25">
      <c r="A7049" t="s">
        <v>8</v>
      </c>
      <c r="B7049" s="1" t="str">
        <f>"000323108 - "</f>
        <v xml:space="preserve">000323108 - </v>
      </c>
      <c r="D7049" s="1" t="str">
        <f t="shared" si="199"/>
        <v>PRG-1030894</v>
      </c>
      <c r="E7049" t="s">
        <v>21</v>
      </c>
      <c r="F7049" t="s">
        <v>4</v>
      </c>
      <c r="G7049" t="str">
        <f>""</f>
        <v/>
      </c>
    </row>
    <row r="7050" spans="1:7" x14ac:dyDescent="0.25">
      <c r="A7050" t="s">
        <v>8</v>
      </c>
      <c r="B7050" s="1" t="str">
        <f>"000331371 - "</f>
        <v xml:space="preserve">000331371 - </v>
      </c>
      <c r="D7050" s="1" t="str">
        <f t="shared" si="199"/>
        <v>PRG-1030894</v>
      </c>
      <c r="E7050" t="s">
        <v>21</v>
      </c>
      <c r="F7050" t="s">
        <v>4</v>
      </c>
      <c r="G7050" t="str">
        <f>""</f>
        <v/>
      </c>
    </row>
    <row r="7051" spans="1:7" x14ac:dyDescent="0.25">
      <c r="A7051" t="s">
        <v>8</v>
      </c>
      <c r="B7051" s="1" t="str">
        <f>"000332526 - "</f>
        <v xml:space="preserve">000332526 - </v>
      </c>
      <c r="D7051" s="1" t="str">
        <f t="shared" si="199"/>
        <v>PRG-1030894</v>
      </c>
      <c r="E7051" t="s">
        <v>21</v>
      </c>
      <c r="F7051" t="s">
        <v>4</v>
      </c>
      <c r="G7051" t="str">
        <f>""</f>
        <v/>
      </c>
    </row>
    <row r="7052" spans="1:7" x14ac:dyDescent="0.25">
      <c r="A7052" t="s">
        <v>8</v>
      </c>
      <c r="B7052" s="1" t="str">
        <f>"000357644 - "</f>
        <v xml:space="preserve">000357644 - </v>
      </c>
      <c r="D7052" s="1" t="str">
        <f t="shared" si="199"/>
        <v>PRG-1030894</v>
      </c>
      <c r="E7052" t="s">
        <v>21</v>
      </c>
      <c r="F7052" t="s">
        <v>4</v>
      </c>
      <c r="G7052" t="str">
        <f>""</f>
        <v/>
      </c>
    </row>
    <row r="7053" spans="1:7" x14ac:dyDescent="0.25">
      <c r="A7053" t="s">
        <v>8</v>
      </c>
      <c r="B7053" s="1" t="str">
        <f>"000366101 - "</f>
        <v xml:space="preserve">000366101 - </v>
      </c>
      <c r="D7053" s="1" t="str">
        <f t="shared" si="199"/>
        <v>PRG-1030894</v>
      </c>
      <c r="E7053" t="s">
        <v>21</v>
      </c>
      <c r="F7053" t="s">
        <v>4</v>
      </c>
      <c r="G7053" t="str">
        <f>""</f>
        <v/>
      </c>
    </row>
    <row r="7054" spans="1:7" x14ac:dyDescent="0.25">
      <c r="A7054" t="s">
        <v>8</v>
      </c>
      <c r="B7054" s="1" t="str">
        <f>"2000327548 - RICHS-SHARIS"</f>
        <v>2000327548 - RICHS-SHARIS</v>
      </c>
      <c r="C7054" t="s">
        <v>20</v>
      </c>
      <c r="D7054" s="1" t="str">
        <f t="shared" si="199"/>
        <v>PRG-1030894</v>
      </c>
      <c r="E7054" t="s">
        <v>21</v>
      </c>
      <c r="F7054" t="s">
        <v>4</v>
      </c>
      <c r="G7054" t="str">
        <f>""</f>
        <v/>
      </c>
    </row>
    <row r="7055" spans="1:7" x14ac:dyDescent="0.25">
      <c r="A7055" t="s">
        <v>8</v>
      </c>
      <c r="B7055" s="1" t="str">
        <f>"000223864 - CASSANOS RICHS"</f>
        <v>000223864 - CASSANOS RICHS</v>
      </c>
      <c r="C7055" t="s">
        <v>1653</v>
      </c>
      <c r="D7055" s="1" t="str">
        <f>"PRG-1030903"</f>
        <v>PRG-1030903</v>
      </c>
      <c r="E7055" t="s">
        <v>892</v>
      </c>
      <c r="F7055" t="s">
        <v>4</v>
      </c>
      <c r="G7055" t="str">
        <f>""</f>
        <v/>
      </c>
    </row>
    <row r="7056" spans="1:7" x14ac:dyDescent="0.25">
      <c r="A7056" t="s">
        <v>8</v>
      </c>
      <c r="B7056" s="1" t="str">
        <f>"000040049 - RICH'S NONCORE-COUNTRYKITCHEN"</f>
        <v>000040049 - RICH'S NONCORE-COUNTRYKITCHEN</v>
      </c>
      <c r="C7056" t="s">
        <v>576</v>
      </c>
      <c r="D7056" s="1" t="str">
        <f t="shared" ref="D7056:D7103" si="200">"PRG-1030910"</f>
        <v>PRG-1030910</v>
      </c>
      <c r="E7056" t="s">
        <v>213</v>
      </c>
      <c r="F7056" t="s">
        <v>4</v>
      </c>
      <c r="G7056" t="str">
        <f>""</f>
        <v/>
      </c>
    </row>
    <row r="7057" spans="1:7" x14ac:dyDescent="0.25">
      <c r="A7057" t="s">
        <v>8</v>
      </c>
      <c r="B7057" s="1" t="str">
        <f>"000043045 - RICH'S STDBB-COUNTRY KITCHEN"</f>
        <v>000043045 - RICH'S STDBB-COUNTRY KITCHEN</v>
      </c>
      <c r="C7057" t="s">
        <v>596</v>
      </c>
      <c r="D7057" s="1" t="str">
        <f t="shared" si="200"/>
        <v>PRG-1030910</v>
      </c>
      <c r="E7057" t="s">
        <v>213</v>
      </c>
      <c r="F7057" t="s">
        <v>4</v>
      </c>
      <c r="G7057" t="str">
        <f>""</f>
        <v/>
      </c>
    </row>
    <row r="7058" spans="1:7" x14ac:dyDescent="0.25">
      <c r="A7058" t="s">
        <v>8</v>
      </c>
      <c r="B7058" s="1" t="str">
        <f>"000046709 - RICH'S FIXBB-COUNTRY KITCHEN"</f>
        <v>000046709 - RICH'S FIXBB-COUNTRY KITCHEN</v>
      </c>
      <c r="C7058" t="s">
        <v>625</v>
      </c>
      <c r="D7058" s="1" t="str">
        <f t="shared" si="200"/>
        <v>PRG-1030910</v>
      </c>
      <c r="E7058" t="s">
        <v>213</v>
      </c>
      <c r="F7058" t="s">
        <v>4</v>
      </c>
      <c r="G7058" t="str">
        <f>""</f>
        <v/>
      </c>
    </row>
    <row r="7059" spans="1:7" x14ac:dyDescent="0.25">
      <c r="A7059" t="s">
        <v>8</v>
      </c>
      <c r="B7059" s="1" t="str">
        <f>"000050654 - RICH FOODS FIXBB-COUNTRYKITCHN"</f>
        <v>000050654 - RICH FOODS FIXBB-COUNTRYKITCHN</v>
      </c>
      <c r="C7059" t="s">
        <v>651</v>
      </c>
      <c r="D7059" s="1" t="str">
        <f t="shared" si="200"/>
        <v>PRG-1030910</v>
      </c>
      <c r="E7059" t="s">
        <v>213</v>
      </c>
      <c r="F7059" t="s">
        <v>4</v>
      </c>
      <c r="G7059" t="str">
        <f>""</f>
        <v/>
      </c>
    </row>
    <row r="7060" spans="1:7" x14ac:dyDescent="0.25">
      <c r="A7060" t="s">
        <v>8</v>
      </c>
      <c r="B7060" s="1" t="str">
        <f>"000057894 - RICH'S FIXBB-COUNTRY KITCHEN"</f>
        <v>000057894 - RICH'S FIXBB-COUNTRY KITCHEN</v>
      </c>
      <c r="C7060" t="s">
        <v>625</v>
      </c>
      <c r="D7060" s="1" t="str">
        <f t="shared" si="200"/>
        <v>PRG-1030910</v>
      </c>
      <c r="E7060" t="s">
        <v>213</v>
      </c>
      <c r="F7060" t="s">
        <v>4</v>
      </c>
      <c r="G7060" t="str">
        <f>""</f>
        <v/>
      </c>
    </row>
    <row r="7061" spans="1:7" x14ac:dyDescent="0.25">
      <c r="A7061" t="s">
        <v>8</v>
      </c>
      <c r="B7061" s="1" t="str">
        <f>"000063346 - RICH FOODS FIXBB-COUNTRYKITCHN"</f>
        <v>000063346 - RICH FOODS FIXBB-COUNTRYKITCHN</v>
      </c>
      <c r="C7061" t="s">
        <v>651</v>
      </c>
      <c r="D7061" s="1" t="str">
        <f t="shared" si="200"/>
        <v>PRG-1030910</v>
      </c>
      <c r="E7061" t="s">
        <v>213</v>
      </c>
      <c r="F7061" t="s">
        <v>4</v>
      </c>
      <c r="G7061" t="str">
        <f>""</f>
        <v/>
      </c>
    </row>
    <row r="7062" spans="1:7" x14ac:dyDescent="0.25">
      <c r="A7062" t="s">
        <v>8</v>
      </c>
      <c r="B7062" s="1" t="str">
        <f>"000147766 - "</f>
        <v xml:space="preserve">000147766 - </v>
      </c>
      <c r="D7062" s="1" t="str">
        <f t="shared" si="200"/>
        <v>PRG-1030910</v>
      </c>
      <c r="E7062" t="s">
        <v>213</v>
      </c>
      <c r="F7062" t="s">
        <v>4</v>
      </c>
      <c r="G7062" t="str">
        <f>""</f>
        <v/>
      </c>
    </row>
    <row r="7063" spans="1:7" x14ac:dyDescent="0.25">
      <c r="A7063" t="s">
        <v>8</v>
      </c>
      <c r="B7063" s="1" t="str">
        <f>"000215923 - RICH'S CORE CC&amp;BB-COUNTRYKITCH"</f>
        <v>000215923 - RICH'S CORE CC&amp;BB-COUNTRYKITCH</v>
      </c>
      <c r="C7063" t="s">
        <v>575</v>
      </c>
      <c r="D7063" s="1" t="str">
        <f t="shared" si="200"/>
        <v>PRG-1030910</v>
      </c>
      <c r="E7063" t="s">
        <v>213</v>
      </c>
      <c r="F7063" t="s">
        <v>4</v>
      </c>
      <c r="G7063" t="str">
        <f>""</f>
        <v/>
      </c>
    </row>
    <row r="7064" spans="1:7" x14ac:dyDescent="0.25">
      <c r="A7064" t="s">
        <v>8</v>
      </c>
      <c r="B7064" s="1" t="str">
        <f>"000215928 - BB CKI FOB NC RICHS"</f>
        <v>000215928 - BB CKI FOB NC RICHS</v>
      </c>
      <c r="C7064" t="s">
        <v>1527</v>
      </c>
      <c r="D7064" s="1" t="str">
        <f t="shared" si="200"/>
        <v>PRG-1030910</v>
      </c>
      <c r="E7064" t="s">
        <v>213</v>
      </c>
      <c r="F7064" t="s">
        <v>4</v>
      </c>
      <c r="G7064" t="str">
        <f>""</f>
        <v/>
      </c>
    </row>
    <row r="7065" spans="1:7" x14ac:dyDescent="0.25">
      <c r="A7065" t="s">
        <v>8</v>
      </c>
      <c r="B7065" s="1" t="str">
        <f>"000219932 - RICH'S STDBB-COUNTRY KITCHEN"</f>
        <v>000219932 - RICH'S STDBB-COUNTRY KITCHEN</v>
      </c>
      <c r="C7065" t="s">
        <v>596</v>
      </c>
      <c r="D7065" s="1" t="str">
        <f t="shared" si="200"/>
        <v>PRG-1030910</v>
      </c>
      <c r="E7065" t="s">
        <v>213</v>
      </c>
      <c r="F7065" t="s">
        <v>4</v>
      </c>
      <c r="G7065" t="str">
        <f>""</f>
        <v/>
      </c>
    </row>
    <row r="7066" spans="1:7" x14ac:dyDescent="0.25">
      <c r="A7066" t="s">
        <v>8</v>
      </c>
      <c r="B7066" s="1" t="str">
        <f>"000220473 - RICH'S STDBB-COUNTRY KITCHEN"</f>
        <v>000220473 - RICH'S STDBB-COUNTRY KITCHEN</v>
      </c>
      <c r="C7066" t="s">
        <v>596</v>
      </c>
      <c r="D7066" s="1" t="str">
        <f t="shared" si="200"/>
        <v>PRG-1030910</v>
      </c>
      <c r="E7066" t="s">
        <v>213</v>
      </c>
      <c r="F7066" t="s">
        <v>4</v>
      </c>
      <c r="G7066" t="str">
        <f>""</f>
        <v/>
      </c>
    </row>
    <row r="7067" spans="1:7" x14ac:dyDescent="0.25">
      <c r="A7067" t="s">
        <v>8</v>
      </c>
      <c r="B7067" s="1" t="str">
        <f>"000223874 - RICH'S FIXBB-COUNTRY KITCHEN"</f>
        <v>000223874 - RICH'S FIXBB-COUNTRY KITCHEN</v>
      </c>
      <c r="C7067" t="s">
        <v>625</v>
      </c>
      <c r="D7067" s="1" t="str">
        <f t="shared" si="200"/>
        <v>PRG-1030910</v>
      </c>
      <c r="E7067" t="s">
        <v>213</v>
      </c>
      <c r="F7067" t="s">
        <v>4</v>
      </c>
      <c r="G7067" t="str">
        <f>""</f>
        <v/>
      </c>
    </row>
    <row r="7068" spans="1:7" x14ac:dyDescent="0.25">
      <c r="A7068" t="s">
        <v>8</v>
      </c>
      <c r="B7068" s="1" t="str">
        <f>"000225282 - RICH'S FIXBB-COUNTRY KITCHEN"</f>
        <v>000225282 - RICH'S FIXBB-COUNTRY KITCHEN</v>
      </c>
      <c r="C7068" t="s">
        <v>625</v>
      </c>
      <c r="D7068" s="1" t="str">
        <f t="shared" si="200"/>
        <v>PRG-1030910</v>
      </c>
      <c r="E7068" t="s">
        <v>213</v>
      </c>
      <c r="F7068" t="s">
        <v>4</v>
      </c>
      <c r="G7068" t="str">
        <f>""</f>
        <v/>
      </c>
    </row>
    <row r="7069" spans="1:7" x14ac:dyDescent="0.25">
      <c r="A7069" t="s">
        <v>8</v>
      </c>
      <c r="B7069" s="1" t="str">
        <f>"000226219 - RICH'S FIXBB-COUNTRY KITCHEN"</f>
        <v>000226219 - RICH'S FIXBB-COUNTRY KITCHEN</v>
      </c>
      <c r="C7069" t="s">
        <v>625</v>
      </c>
      <c r="D7069" s="1" t="str">
        <f t="shared" si="200"/>
        <v>PRG-1030910</v>
      </c>
      <c r="E7069" t="s">
        <v>213</v>
      </c>
      <c r="F7069" t="s">
        <v>4</v>
      </c>
      <c r="G7069" t="str">
        <f>""</f>
        <v/>
      </c>
    </row>
    <row r="7070" spans="1:7" x14ac:dyDescent="0.25">
      <c r="A7070" t="s">
        <v>8</v>
      </c>
      <c r="B7070" s="1" t="str">
        <f>"000226354 - BB CKI DPM CR RICHS"</f>
        <v>000226354 - BB CKI DPM CR RICHS</v>
      </c>
      <c r="C7070" t="s">
        <v>1692</v>
      </c>
      <c r="D7070" s="1" t="str">
        <f t="shared" si="200"/>
        <v>PRG-1030910</v>
      </c>
      <c r="E7070" t="s">
        <v>213</v>
      </c>
      <c r="F7070" t="s">
        <v>4</v>
      </c>
      <c r="G7070" t="str">
        <f>""</f>
        <v/>
      </c>
    </row>
    <row r="7071" spans="1:7" x14ac:dyDescent="0.25">
      <c r="A7071" t="s">
        <v>8</v>
      </c>
      <c r="B7071" s="1" t="str">
        <f>"000226356 - BB CKI FOB RICHS"</f>
        <v>000226356 - BB CKI FOB RICHS</v>
      </c>
      <c r="C7071" t="s">
        <v>1346</v>
      </c>
      <c r="D7071" s="1" t="str">
        <f t="shared" si="200"/>
        <v>PRG-1030910</v>
      </c>
      <c r="E7071" t="s">
        <v>213</v>
      </c>
      <c r="F7071" t="s">
        <v>4</v>
      </c>
      <c r="G7071" t="str">
        <f>""</f>
        <v/>
      </c>
    </row>
    <row r="7072" spans="1:7" x14ac:dyDescent="0.25">
      <c r="A7072" t="s">
        <v>8</v>
      </c>
      <c r="B7072" s="1" t="str">
        <f>"000227735 - RICH'S STDBB-COUNTRY KITCHEN"</f>
        <v>000227735 - RICH'S STDBB-COUNTRY KITCHEN</v>
      </c>
      <c r="C7072" t="s">
        <v>596</v>
      </c>
      <c r="D7072" s="1" t="str">
        <f t="shared" si="200"/>
        <v>PRG-1030910</v>
      </c>
      <c r="E7072" t="s">
        <v>213</v>
      </c>
      <c r="F7072" t="s">
        <v>4</v>
      </c>
      <c r="G7072" t="str">
        <f>""</f>
        <v/>
      </c>
    </row>
    <row r="7073" spans="1:7" x14ac:dyDescent="0.25">
      <c r="A7073" t="s">
        <v>8</v>
      </c>
      <c r="B7073" s="1" t="str">
        <f>"000228047 - BB LANDRYS DPMFX CORE RICH"</f>
        <v>000228047 - BB LANDRYS DPMFX CORE RICH</v>
      </c>
      <c r="C7073" t="s">
        <v>1721</v>
      </c>
      <c r="D7073" s="1" t="str">
        <f t="shared" si="200"/>
        <v>PRG-1030910</v>
      </c>
      <c r="E7073" t="s">
        <v>213</v>
      </c>
      <c r="F7073" t="s">
        <v>4</v>
      </c>
      <c r="G7073" t="str">
        <f>""</f>
        <v/>
      </c>
    </row>
    <row r="7074" spans="1:7" x14ac:dyDescent="0.25">
      <c r="A7074" t="s">
        <v>8</v>
      </c>
      <c r="B7074" s="1" t="str">
        <f>"000232392 - BB CKI CR FOB RICHS"</f>
        <v>000232392 - BB CKI CR FOB RICHS</v>
      </c>
      <c r="C7074" t="s">
        <v>1784</v>
      </c>
      <c r="D7074" s="1" t="str">
        <f t="shared" si="200"/>
        <v>PRG-1030910</v>
      </c>
      <c r="E7074" t="s">
        <v>213</v>
      </c>
      <c r="F7074" t="s">
        <v>4</v>
      </c>
      <c r="G7074" t="str">
        <f>""</f>
        <v/>
      </c>
    </row>
    <row r="7075" spans="1:7" x14ac:dyDescent="0.25">
      <c r="A7075" t="s">
        <v>8</v>
      </c>
      <c r="B7075" s="1" t="str">
        <f>"000232394 - BB CKI NC FOB RICHS"</f>
        <v>000232394 - BB CKI NC FOB RICHS</v>
      </c>
      <c r="C7075" t="s">
        <v>1785</v>
      </c>
      <c r="D7075" s="1" t="str">
        <f t="shared" si="200"/>
        <v>PRG-1030910</v>
      </c>
      <c r="E7075" t="s">
        <v>213</v>
      </c>
      <c r="F7075" t="s">
        <v>4</v>
      </c>
      <c r="G7075" t="str">
        <f>""</f>
        <v/>
      </c>
    </row>
    <row r="7076" spans="1:7" x14ac:dyDescent="0.25">
      <c r="A7076" t="s">
        <v>8</v>
      </c>
      <c r="B7076" s="1" t="str">
        <f>"000239842 - "</f>
        <v xml:space="preserve">000239842 - </v>
      </c>
      <c r="D7076" s="1" t="str">
        <f t="shared" si="200"/>
        <v>PRG-1030910</v>
      </c>
      <c r="E7076" t="s">
        <v>213</v>
      </c>
      <c r="F7076" t="s">
        <v>4</v>
      </c>
      <c r="G7076" t="str">
        <f>""</f>
        <v/>
      </c>
    </row>
    <row r="7077" spans="1:7" x14ac:dyDescent="0.25">
      <c r="A7077" t="s">
        <v>8</v>
      </c>
      <c r="B7077" s="1" t="str">
        <f>"000244617 - "</f>
        <v xml:space="preserve">000244617 - </v>
      </c>
      <c r="D7077" s="1" t="str">
        <f t="shared" si="200"/>
        <v>PRG-1030910</v>
      </c>
      <c r="E7077" t="s">
        <v>213</v>
      </c>
      <c r="F7077" t="s">
        <v>4</v>
      </c>
      <c r="G7077" t="str">
        <f>""</f>
        <v/>
      </c>
    </row>
    <row r="7078" spans="1:7" x14ac:dyDescent="0.25">
      <c r="A7078" t="s">
        <v>8</v>
      </c>
      <c r="B7078" s="1" t="str">
        <f>"000246226 - RICH'S STDBB-COUNTRY KITCHEN"</f>
        <v>000246226 - RICH'S STDBB-COUNTRY KITCHEN</v>
      </c>
      <c r="C7078" t="s">
        <v>596</v>
      </c>
      <c r="D7078" s="1" t="str">
        <f t="shared" si="200"/>
        <v>PRG-1030910</v>
      </c>
      <c r="E7078" t="s">
        <v>213</v>
      </c>
      <c r="F7078" t="s">
        <v>4</v>
      </c>
      <c r="G7078" t="str">
        <f>""</f>
        <v/>
      </c>
    </row>
    <row r="7079" spans="1:7" x14ac:dyDescent="0.25">
      <c r="A7079" t="s">
        <v>8</v>
      </c>
      <c r="B7079" s="1" t="str">
        <f>"000246949 - "</f>
        <v xml:space="preserve">000246949 - </v>
      </c>
      <c r="D7079" s="1" t="str">
        <f t="shared" si="200"/>
        <v>PRG-1030910</v>
      </c>
      <c r="E7079" t="s">
        <v>213</v>
      </c>
      <c r="F7079" t="s">
        <v>4</v>
      </c>
      <c r="G7079" t="str">
        <f>""</f>
        <v/>
      </c>
    </row>
    <row r="7080" spans="1:7" x14ac:dyDescent="0.25">
      <c r="A7080" t="s">
        <v>8</v>
      </c>
      <c r="B7080" s="1" t="str">
        <f>"000252750 - RICH'S FIXBB-COUNTRY KITCHEN"</f>
        <v>000252750 - RICH'S FIXBB-COUNTRY KITCHEN</v>
      </c>
      <c r="C7080" t="s">
        <v>625</v>
      </c>
      <c r="D7080" s="1" t="str">
        <f t="shared" si="200"/>
        <v>PRG-1030910</v>
      </c>
      <c r="E7080" t="s">
        <v>213</v>
      </c>
      <c r="F7080" t="s">
        <v>4</v>
      </c>
      <c r="G7080" t="str">
        <f>""</f>
        <v/>
      </c>
    </row>
    <row r="7081" spans="1:7" x14ac:dyDescent="0.25">
      <c r="A7081" t="s">
        <v>8</v>
      </c>
      <c r="B7081" s="1" t="str">
        <f>"000257370 - RICH'S FIXBB-COUNTRY KITCHEN"</f>
        <v>000257370 - RICH'S FIXBB-COUNTRY KITCHEN</v>
      </c>
      <c r="C7081" t="s">
        <v>625</v>
      </c>
      <c r="D7081" s="1" t="str">
        <f t="shared" si="200"/>
        <v>PRG-1030910</v>
      </c>
      <c r="E7081" t="s">
        <v>213</v>
      </c>
      <c r="F7081" t="s">
        <v>4</v>
      </c>
      <c r="G7081" t="str">
        <f>""</f>
        <v/>
      </c>
    </row>
    <row r="7082" spans="1:7" x14ac:dyDescent="0.25">
      <c r="A7082" t="s">
        <v>8</v>
      </c>
      <c r="B7082" s="1" t="str">
        <f>"000257505 - "</f>
        <v xml:space="preserve">000257505 - </v>
      </c>
      <c r="D7082" s="1" t="str">
        <f t="shared" si="200"/>
        <v>PRG-1030910</v>
      </c>
      <c r="E7082" t="s">
        <v>213</v>
      </c>
      <c r="F7082" t="s">
        <v>4</v>
      </c>
      <c r="G7082" t="str">
        <f>""</f>
        <v/>
      </c>
    </row>
    <row r="7083" spans="1:7" x14ac:dyDescent="0.25">
      <c r="A7083" t="s">
        <v>8</v>
      </c>
      <c r="B7083" s="1" t="str">
        <f>"000257926 - "</f>
        <v xml:space="preserve">000257926 - </v>
      </c>
      <c r="D7083" s="1" t="str">
        <f t="shared" si="200"/>
        <v>PRG-1030910</v>
      </c>
      <c r="E7083" t="s">
        <v>213</v>
      </c>
      <c r="F7083" t="s">
        <v>4</v>
      </c>
      <c r="G7083" t="str">
        <f>""</f>
        <v/>
      </c>
    </row>
    <row r="7084" spans="1:7" x14ac:dyDescent="0.25">
      <c r="A7084" t="s">
        <v>8</v>
      </c>
      <c r="B7084" s="1" t="str">
        <f>"000259679 - RICH FOODS FIXBB-COUNTRYKITCHN"</f>
        <v>000259679 - RICH FOODS FIXBB-COUNTRYKITCHN</v>
      </c>
      <c r="C7084" t="s">
        <v>651</v>
      </c>
      <c r="D7084" s="1" t="str">
        <f t="shared" si="200"/>
        <v>PRG-1030910</v>
      </c>
      <c r="E7084" t="s">
        <v>213</v>
      </c>
      <c r="F7084" t="s">
        <v>4</v>
      </c>
      <c r="G7084" t="str">
        <f>""</f>
        <v/>
      </c>
    </row>
    <row r="7085" spans="1:7" x14ac:dyDescent="0.25">
      <c r="A7085" t="s">
        <v>8</v>
      </c>
      <c r="B7085" s="1" t="str">
        <f>"000263022 - RICH FOODS FIXBB-COUNTRYKITCHN"</f>
        <v>000263022 - RICH FOODS FIXBB-COUNTRYKITCHN</v>
      </c>
      <c r="C7085" t="s">
        <v>651</v>
      </c>
      <c r="D7085" s="1" t="str">
        <f t="shared" si="200"/>
        <v>PRG-1030910</v>
      </c>
      <c r="E7085" t="s">
        <v>213</v>
      </c>
      <c r="F7085" t="s">
        <v>4</v>
      </c>
      <c r="G7085" t="str">
        <f>""</f>
        <v/>
      </c>
    </row>
    <row r="7086" spans="1:7" x14ac:dyDescent="0.25">
      <c r="A7086" t="s">
        <v>8</v>
      </c>
      <c r="B7086" s="1" t="str">
        <f>"000264585 - RICH FOODS FIXBB-COUNTRYKITCHN"</f>
        <v>000264585 - RICH FOODS FIXBB-COUNTRYKITCHN</v>
      </c>
      <c r="C7086" t="s">
        <v>651</v>
      </c>
      <c r="D7086" s="1" t="str">
        <f t="shared" si="200"/>
        <v>PRG-1030910</v>
      </c>
      <c r="E7086" t="s">
        <v>213</v>
      </c>
      <c r="F7086" t="s">
        <v>4</v>
      </c>
      <c r="G7086" t="str">
        <f>""</f>
        <v/>
      </c>
    </row>
    <row r="7087" spans="1:7" x14ac:dyDescent="0.25">
      <c r="A7087" t="s">
        <v>8</v>
      </c>
      <c r="B7087" s="1" t="str">
        <f>"000292815 - RICH'S STDBB-COUNTRY KITCHEN"</f>
        <v>000292815 - RICH'S STDBB-COUNTRY KITCHEN</v>
      </c>
      <c r="C7087" t="s">
        <v>596</v>
      </c>
      <c r="D7087" s="1" t="str">
        <f t="shared" si="200"/>
        <v>PRG-1030910</v>
      </c>
      <c r="E7087" t="s">
        <v>213</v>
      </c>
      <c r="F7087" t="s">
        <v>4</v>
      </c>
      <c r="G7087" t="str">
        <f>""</f>
        <v/>
      </c>
    </row>
    <row r="7088" spans="1:7" x14ac:dyDescent="0.25">
      <c r="A7088" t="s">
        <v>8</v>
      </c>
      <c r="B7088" s="1" t="str">
        <f>"000296401 - RICH'S STDBB-COUNTRY KITCHEN"</f>
        <v>000296401 - RICH'S STDBB-COUNTRY KITCHEN</v>
      </c>
      <c r="C7088" t="s">
        <v>596</v>
      </c>
      <c r="D7088" s="1" t="str">
        <f t="shared" si="200"/>
        <v>PRG-1030910</v>
      </c>
      <c r="E7088" t="s">
        <v>213</v>
      </c>
      <c r="F7088" t="s">
        <v>4</v>
      </c>
      <c r="G7088" t="str">
        <f>""</f>
        <v/>
      </c>
    </row>
    <row r="7089" spans="1:7" x14ac:dyDescent="0.25">
      <c r="A7089" t="s">
        <v>8</v>
      </c>
      <c r="B7089" s="1" t="str">
        <f>"000301356 - RICH'S FIXBB-COUNTRY KITCHEN"</f>
        <v>000301356 - RICH'S FIXBB-COUNTRY KITCHEN</v>
      </c>
      <c r="C7089" t="s">
        <v>625</v>
      </c>
      <c r="D7089" s="1" t="str">
        <f t="shared" si="200"/>
        <v>PRG-1030910</v>
      </c>
      <c r="E7089" t="s">
        <v>213</v>
      </c>
      <c r="F7089" t="s">
        <v>4</v>
      </c>
      <c r="G7089" t="str">
        <f>""</f>
        <v/>
      </c>
    </row>
    <row r="7090" spans="1:7" x14ac:dyDescent="0.25">
      <c r="A7090" t="s">
        <v>8</v>
      </c>
      <c r="B7090" s="1" t="str">
        <f>"000303224 - RICH'S STDBB-COUNTRY KITCHEN"</f>
        <v>000303224 - RICH'S STDBB-COUNTRY KITCHEN</v>
      </c>
      <c r="C7090" t="s">
        <v>596</v>
      </c>
      <c r="D7090" s="1" t="str">
        <f t="shared" si="200"/>
        <v>PRG-1030910</v>
      </c>
      <c r="E7090" t="s">
        <v>213</v>
      </c>
      <c r="F7090" t="s">
        <v>4</v>
      </c>
      <c r="G7090" t="str">
        <f>""</f>
        <v/>
      </c>
    </row>
    <row r="7091" spans="1:7" x14ac:dyDescent="0.25">
      <c r="A7091" t="s">
        <v>8</v>
      </c>
      <c r="B7091" s="1" t="str">
        <f>"000306771 - RICH FOODS FIXBB-COUNTRYKITCHN"</f>
        <v>000306771 - RICH FOODS FIXBB-COUNTRYKITCHN</v>
      </c>
      <c r="C7091" t="s">
        <v>651</v>
      </c>
      <c r="D7091" s="1" t="str">
        <f t="shared" si="200"/>
        <v>PRG-1030910</v>
      </c>
      <c r="E7091" t="s">
        <v>213</v>
      </c>
      <c r="F7091" t="s">
        <v>4</v>
      </c>
      <c r="G7091" t="str">
        <f>""</f>
        <v/>
      </c>
    </row>
    <row r="7092" spans="1:7" x14ac:dyDescent="0.25">
      <c r="A7092" t="s">
        <v>8</v>
      </c>
      <c r="B7092" s="1" t="str">
        <f>"000318941 - "</f>
        <v xml:space="preserve">000318941 - </v>
      </c>
      <c r="D7092" s="1" t="str">
        <f t="shared" si="200"/>
        <v>PRG-1030910</v>
      </c>
      <c r="E7092" t="s">
        <v>213</v>
      </c>
      <c r="F7092" t="s">
        <v>4</v>
      </c>
      <c r="G7092" t="str">
        <f>""</f>
        <v/>
      </c>
    </row>
    <row r="7093" spans="1:7" x14ac:dyDescent="0.25">
      <c r="A7093" t="s">
        <v>8</v>
      </c>
      <c r="B7093" s="1" t="str">
        <f>"000325309 - "</f>
        <v xml:space="preserve">000325309 - </v>
      </c>
      <c r="D7093" s="1" t="str">
        <f t="shared" si="200"/>
        <v>PRG-1030910</v>
      </c>
      <c r="E7093" t="s">
        <v>213</v>
      </c>
      <c r="F7093" t="s">
        <v>4</v>
      </c>
      <c r="G7093" t="str">
        <f>""</f>
        <v/>
      </c>
    </row>
    <row r="7094" spans="1:7" x14ac:dyDescent="0.25">
      <c r="A7094" t="s">
        <v>8</v>
      </c>
      <c r="B7094" s="1" t="str">
        <f>"000325564 - "</f>
        <v xml:space="preserve">000325564 - </v>
      </c>
      <c r="D7094" s="1" t="str">
        <f t="shared" si="200"/>
        <v>PRG-1030910</v>
      </c>
      <c r="E7094" t="s">
        <v>213</v>
      </c>
      <c r="F7094" t="s">
        <v>4</v>
      </c>
      <c r="G7094" t="str">
        <f>""</f>
        <v/>
      </c>
    </row>
    <row r="7095" spans="1:7" x14ac:dyDescent="0.25">
      <c r="A7095" t="s">
        <v>8</v>
      </c>
      <c r="B7095" s="1" t="str">
        <f>"000331463 - "</f>
        <v xml:space="preserve">000331463 - </v>
      </c>
      <c r="D7095" s="1" t="str">
        <f t="shared" si="200"/>
        <v>PRG-1030910</v>
      </c>
      <c r="E7095" t="s">
        <v>213</v>
      </c>
      <c r="F7095" t="s">
        <v>4</v>
      </c>
      <c r="G7095" t="str">
        <f>""</f>
        <v/>
      </c>
    </row>
    <row r="7096" spans="1:7" x14ac:dyDescent="0.25">
      <c r="A7096" t="s">
        <v>8</v>
      </c>
      <c r="B7096" s="1" t="str">
        <f>"000332079 - "</f>
        <v xml:space="preserve">000332079 - </v>
      </c>
      <c r="D7096" s="1" t="str">
        <f t="shared" si="200"/>
        <v>PRG-1030910</v>
      </c>
      <c r="E7096" t="s">
        <v>213</v>
      </c>
      <c r="F7096" t="s">
        <v>4</v>
      </c>
      <c r="G7096" t="str">
        <f>""</f>
        <v/>
      </c>
    </row>
    <row r="7097" spans="1:7" x14ac:dyDescent="0.25">
      <c r="A7097" t="s">
        <v>8</v>
      </c>
      <c r="B7097" s="1" t="str">
        <f>"000339404 - RICH'S NONCORE-COUNTRYKITCHEN"</f>
        <v>000339404 - RICH'S NONCORE-COUNTRYKITCHEN</v>
      </c>
      <c r="C7097" t="s">
        <v>576</v>
      </c>
      <c r="D7097" s="1" t="str">
        <f t="shared" si="200"/>
        <v>PRG-1030910</v>
      </c>
      <c r="E7097" t="s">
        <v>213</v>
      </c>
      <c r="F7097" t="s">
        <v>4</v>
      </c>
      <c r="G7097" t="str">
        <f>""</f>
        <v/>
      </c>
    </row>
    <row r="7098" spans="1:7" x14ac:dyDescent="0.25">
      <c r="A7098" t="s">
        <v>8</v>
      </c>
      <c r="B7098" s="1" t="str">
        <f>"000344853 - RICH'S STDBB-COUNTRY KITCHEN"</f>
        <v>000344853 - RICH'S STDBB-COUNTRY KITCHEN</v>
      </c>
      <c r="C7098" t="s">
        <v>596</v>
      </c>
      <c r="D7098" s="1" t="str">
        <f t="shared" si="200"/>
        <v>PRG-1030910</v>
      </c>
      <c r="E7098" t="s">
        <v>213</v>
      </c>
      <c r="F7098" t="s">
        <v>4</v>
      </c>
      <c r="G7098" t="str">
        <f>""</f>
        <v/>
      </c>
    </row>
    <row r="7099" spans="1:7" x14ac:dyDescent="0.25">
      <c r="A7099" t="s">
        <v>8</v>
      </c>
      <c r="B7099" s="1" t="str">
        <f>"000351644 - RICH'S FIXBB-COUNTRY KITCHEN"</f>
        <v>000351644 - RICH'S FIXBB-COUNTRY KITCHEN</v>
      </c>
      <c r="C7099" t="s">
        <v>625</v>
      </c>
      <c r="D7099" s="1" t="str">
        <f t="shared" si="200"/>
        <v>PRG-1030910</v>
      </c>
      <c r="E7099" t="s">
        <v>213</v>
      </c>
      <c r="F7099" t="s">
        <v>4</v>
      </c>
      <c r="G7099" t="str">
        <f>""</f>
        <v/>
      </c>
    </row>
    <row r="7100" spans="1:7" x14ac:dyDescent="0.25">
      <c r="A7100" t="s">
        <v>8</v>
      </c>
      <c r="B7100" s="1" t="str">
        <f>"000355277 - RICHS BB(DPMRETR)-CNTRY KITCHN"</f>
        <v>000355277 - RICHS BB(DPMRETR)-CNTRY KITCHN</v>
      </c>
      <c r="C7100" t="s">
        <v>3553</v>
      </c>
      <c r="D7100" s="1" t="str">
        <f t="shared" si="200"/>
        <v>PRG-1030910</v>
      </c>
      <c r="E7100" t="s">
        <v>213</v>
      </c>
      <c r="F7100" t="s">
        <v>4</v>
      </c>
      <c r="G7100" t="str">
        <f>""</f>
        <v/>
      </c>
    </row>
    <row r="7101" spans="1:7" x14ac:dyDescent="0.25">
      <c r="A7101" t="s">
        <v>8</v>
      </c>
      <c r="B7101" s="1" t="str">
        <f>"000358177 - RICH'S STDBB-COUNTRY KITCHEN"</f>
        <v>000358177 - RICH'S STDBB-COUNTRY KITCHEN</v>
      </c>
      <c r="C7101" t="s">
        <v>596</v>
      </c>
      <c r="D7101" s="1" t="str">
        <f t="shared" si="200"/>
        <v>PRG-1030910</v>
      </c>
      <c r="E7101" t="s">
        <v>213</v>
      </c>
      <c r="F7101" t="s">
        <v>4</v>
      </c>
      <c r="G7101" t="str">
        <f>""</f>
        <v/>
      </c>
    </row>
    <row r="7102" spans="1:7" x14ac:dyDescent="0.25">
      <c r="A7102" t="s">
        <v>8</v>
      </c>
      <c r="B7102" s="1" t="str">
        <f>"000358826 - RICH FOODS FIXBB-COUNTRYKITCHN"</f>
        <v>000358826 - RICH FOODS FIXBB-COUNTRYKITCHN</v>
      </c>
      <c r="C7102" t="s">
        <v>651</v>
      </c>
      <c r="D7102" s="1" t="str">
        <f t="shared" si="200"/>
        <v>PRG-1030910</v>
      </c>
      <c r="E7102" t="s">
        <v>213</v>
      </c>
      <c r="F7102" t="s">
        <v>4</v>
      </c>
      <c r="G7102" t="str">
        <f>""</f>
        <v/>
      </c>
    </row>
    <row r="7103" spans="1:7" x14ac:dyDescent="0.25">
      <c r="A7103" t="s">
        <v>8</v>
      </c>
      <c r="B7103" s="1" t="str">
        <f>"2000331232 - RICH'S-COUNTRY KITCHEN INTL"</f>
        <v>2000331232 - RICH'S-COUNTRY KITCHEN INTL</v>
      </c>
      <c r="C7103" t="s">
        <v>3987</v>
      </c>
      <c r="D7103" s="1" t="str">
        <f t="shared" si="200"/>
        <v>PRG-1030910</v>
      </c>
      <c r="E7103" t="s">
        <v>213</v>
      </c>
      <c r="F7103" t="s">
        <v>4</v>
      </c>
      <c r="G7103" t="str">
        <f>""</f>
        <v/>
      </c>
    </row>
    <row r="7104" spans="1:7" x14ac:dyDescent="0.25">
      <c r="A7104" t="s">
        <v>8</v>
      </c>
      <c r="B7104" s="1" t="str">
        <f>"2000326926 - RICH-MAKATUS ISLAND"</f>
        <v>2000326926 - RICH-MAKATUS ISLAND</v>
      </c>
      <c r="C7104" t="s">
        <v>4037</v>
      </c>
      <c r="D7104" s="1" t="str">
        <f>"PRG-1030915"</f>
        <v>PRG-1030915</v>
      </c>
      <c r="E7104" t="s">
        <v>2704</v>
      </c>
      <c r="F7104" t="s">
        <v>4</v>
      </c>
      <c r="G7104" t="str">
        <f>""</f>
        <v/>
      </c>
    </row>
    <row r="7105" spans="1:7" x14ac:dyDescent="0.25">
      <c r="A7105" t="s">
        <v>8</v>
      </c>
      <c r="B7105" s="1" t="str">
        <f>"000237241 - "</f>
        <v xml:space="preserve">000237241 - </v>
      </c>
      <c r="D7105" s="1" t="str">
        <f t="shared" ref="D7105:D7117" si="201">"PRG-1030930"</f>
        <v>PRG-1030930</v>
      </c>
      <c r="E7105" t="s">
        <v>1857</v>
      </c>
      <c r="F7105" t="s">
        <v>4</v>
      </c>
      <c r="G7105" t="str">
        <f>""</f>
        <v/>
      </c>
    </row>
    <row r="7106" spans="1:7" x14ac:dyDescent="0.25">
      <c r="A7106" t="s">
        <v>8</v>
      </c>
      <c r="B7106" s="1" t="str">
        <f>"000245137 - "</f>
        <v xml:space="preserve">000245137 - </v>
      </c>
      <c r="D7106" s="1" t="str">
        <f t="shared" si="201"/>
        <v>PRG-1030930</v>
      </c>
      <c r="E7106" t="s">
        <v>1857</v>
      </c>
      <c r="F7106" t="s">
        <v>4</v>
      </c>
      <c r="G7106" t="str">
        <f>""</f>
        <v/>
      </c>
    </row>
    <row r="7107" spans="1:7" x14ac:dyDescent="0.25">
      <c r="A7107" t="s">
        <v>8</v>
      </c>
      <c r="B7107" s="1" t="str">
        <f>"000247256 - "</f>
        <v xml:space="preserve">000247256 - </v>
      </c>
      <c r="D7107" s="1" t="str">
        <f t="shared" si="201"/>
        <v>PRG-1030930</v>
      </c>
      <c r="E7107" t="s">
        <v>1857</v>
      </c>
      <c r="F7107" t="s">
        <v>4</v>
      </c>
      <c r="G7107" t="str">
        <f>""</f>
        <v/>
      </c>
    </row>
    <row r="7108" spans="1:7" x14ac:dyDescent="0.25">
      <c r="A7108" t="s">
        <v>8</v>
      </c>
      <c r="B7108" s="1" t="str">
        <f>"000315013 - RICH CORE-AVENDRA"</f>
        <v>000315013 - RICH CORE-AVENDRA</v>
      </c>
      <c r="C7108" t="s">
        <v>1693</v>
      </c>
      <c r="D7108" s="1" t="str">
        <f t="shared" si="201"/>
        <v>PRG-1030930</v>
      </c>
      <c r="E7108" t="s">
        <v>1857</v>
      </c>
      <c r="F7108" t="s">
        <v>4</v>
      </c>
      <c r="G7108" t="str">
        <f>""</f>
        <v/>
      </c>
    </row>
    <row r="7109" spans="1:7" x14ac:dyDescent="0.25">
      <c r="A7109" t="s">
        <v>8</v>
      </c>
      <c r="B7109" s="1" t="str">
        <f>"000315014 - RICH NONCORE-AVENDRA"</f>
        <v>000315014 - RICH NONCORE-AVENDRA</v>
      </c>
      <c r="C7109" t="s">
        <v>1811</v>
      </c>
      <c r="D7109" s="1" t="str">
        <f t="shared" si="201"/>
        <v>PRG-1030930</v>
      </c>
      <c r="E7109" t="s">
        <v>1857</v>
      </c>
      <c r="F7109" t="s">
        <v>4</v>
      </c>
      <c r="G7109" t="str">
        <f>""</f>
        <v/>
      </c>
    </row>
    <row r="7110" spans="1:7" x14ac:dyDescent="0.25">
      <c r="A7110" t="s">
        <v>8</v>
      </c>
      <c r="B7110" s="1" t="str">
        <f>"000323211 - RICH (BB CORE)-AVENDRA"</f>
        <v>000323211 - RICH (BB CORE)-AVENDRA</v>
      </c>
      <c r="C7110" t="s">
        <v>2114</v>
      </c>
      <c r="D7110" s="1" t="str">
        <f t="shared" si="201"/>
        <v>PRG-1030930</v>
      </c>
      <c r="E7110" t="s">
        <v>1857</v>
      </c>
      <c r="F7110" t="s">
        <v>4</v>
      </c>
      <c r="G7110" t="str">
        <f>""</f>
        <v/>
      </c>
    </row>
    <row r="7111" spans="1:7" x14ac:dyDescent="0.25">
      <c r="A7111" t="s">
        <v>8</v>
      </c>
      <c r="B7111" s="1" t="str">
        <f>"000323212 - RICH (BB NCORE)-AVENDRA"</f>
        <v>000323212 - RICH (BB NCORE)-AVENDRA</v>
      </c>
      <c r="C7111" t="s">
        <v>2031</v>
      </c>
      <c r="D7111" s="1" t="str">
        <f t="shared" si="201"/>
        <v>PRG-1030930</v>
      </c>
      <c r="E7111" t="s">
        <v>1857</v>
      </c>
      <c r="F7111" t="s">
        <v>4</v>
      </c>
      <c r="G7111" t="str">
        <f>""</f>
        <v/>
      </c>
    </row>
    <row r="7112" spans="1:7" x14ac:dyDescent="0.25">
      <c r="A7112" t="s">
        <v>8</v>
      </c>
      <c r="B7112" s="1" t="str">
        <f>"000325363 - RICH (BB CORE)-AVENDRA"</f>
        <v>000325363 - RICH (BB CORE)-AVENDRA</v>
      </c>
      <c r="C7112" t="s">
        <v>2114</v>
      </c>
      <c r="D7112" s="1" t="str">
        <f t="shared" si="201"/>
        <v>PRG-1030930</v>
      </c>
      <c r="E7112" t="s">
        <v>1857</v>
      </c>
      <c r="F7112" t="s">
        <v>4</v>
      </c>
      <c r="G7112" t="str">
        <f>""</f>
        <v/>
      </c>
    </row>
    <row r="7113" spans="1:7" x14ac:dyDescent="0.25">
      <c r="A7113" t="s">
        <v>8</v>
      </c>
      <c r="B7113" s="1" t="str">
        <f>"000325364 - RICH (BB NCORE)-AVENDRA"</f>
        <v>000325364 - RICH (BB NCORE)-AVENDRA</v>
      </c>
      <c r="C7113" t="s">
        <v>2031</v>
      </c>
      <c r="D7113" s="1" t="str">
        <f t="shared" si="201"/>
        <v>PRG-1030930</v>
      </c>
      <c r="E7113" t="s">
        <v>1857</v>
      </c>
      <c r="F7113" t="s">
        <v>4</v>
      </c>
      <c r="G7113" t="str">
        <f>""</f>
        <v/>
      </c>
    </row>
    <row r="7114" spans="1:7" x14ac:dyDescent="0.25">
      <c r="A7114" t="s">
        <v>8</v>
      </c>
      <c r="B7114" s="1" t="str">
        <f>"000329497 - RICH (BB CORE)-AVENDRA"</f>
        <v>000329497 - RICH (BB CORE)-AVENDRA</v>
      </c>
      <c r="C7114" t="s">
        <v>2114</v>
      </c>
      <c r="D7114" s="1" t="str">
        <f t="shared" si="201"/>
        <v>PRG-1030930</v>
      </c>
      <c r="E7114" t="s">
        <v>1857</v>
      </c>
      <c r="F7114" t="s">
        <v>4</v>
      </c>
      <c r="G7114" t="str">
        <f>""</f>
        <v/>
      </c>
    </row>
    <row r="7115" spans="1:7" x14ac:dyDescent="0.25">
      <c r="A7115" t="s">
        <v>8</v>
      </c>
      <c r="B7115" s="1" t="str">
        <f>"000330114 - RICH (BB NCORE)-AVENDRA"</f>
        <v>000330114 - RICH (BB NCORE)-AVENDRA</v>
      </c>
      <c r="C7115" t="s">
        <v>2031</v>
      </c>
      <c r="D7115" s="1" t="str">
        <f t="shared" si="201"/>
        <v>PRG-1030930</v>
      </c>
      <c r="E7115" t="s">
        <v>1857</v>
      </c>
      <c r="F7115" t="s">
        <v>4</v>
      </c>
      <c r="G7115" t="str">
        <f>""</f>
        <v/>
      </c>
    </row>
    <row r="7116" spans="1:7" x14ac:dyDescent="0.25">
      <c r="A7116" t="s">
        <v>8</v>
      </c>
      <c r="B7116" s="1" t="str">
        <f>"000333579 - RICH (BB CORE)-AVENDRA"</f>
        <v>000333579 - RICH (BB CORE)-AVENDRA</v>
      </c>
      <c r="C7116" t="s">
        <v>2114</v>
      </c>
      <c r="D7116" s="1" t="str">
        <f t="shared" si="201"/>
        <v>PRG-1030930</v>
      </c>
      <c r="E7116" t="s">
        <v>1857</v>
      </c>
      <c r="F7116" t="s">
        <v>4</v>
      </c>
      <c r="G7116" t="str">
        <f>""</f>
        <v/>
      </c>
    </row>
    <row r="7117" spans="1:7" x14ac:dyDescent="0.25">
      <c r="A7117" t="s">
        <v>8</v>
      </c>
      <c r="B7117" s="1" t="str">
        <f>"000333580 - RICH (BB NCORE)-AVENDRA"</f>
        <v>000333580 - RICH (BB NCORE)-AVENDRA</v>
      </c>
      <c r="C7117" t="s">
        <v>2031</v>
      </c>
      <c r="D7117" s="1" t="str">
        <f t="shared" si="201"/>
        <v>PRG-1030930</v>
      </c>
      <c r="E7117" t="s">
        <v>1857</v>
      </c>
      <c r="F7117" t="s">
        <v>4</v>
      </c>
      <c r="G7117" t="str">
        <f>""</f>
        <v/>
      </c>
    </row>
    <row r="7118" spans="1:7" x14ac:dyDescent="0.25">
      <c r="A7118" t="s">
        <v>8</v>
      </c>
      <c r="B7118" s="1" t="str">
        <f>"000337995 - RICH PRODCUTS TREASURE ISLAND"</f>
        <v>000337995 - RICH PRODCUTS TREASURE ISLAND</v>
      </c>
      <c r="C7118" t="s">
        <v>3003</v>
      </c>
      <c r="D7118" s="1" t="str">
        <f>"PRG-1030940"</f>
        <v>PRG-1030940</v>
      </c>
      <c r="E7118" t="s">
        <v>3004</v>
      </c>
      <c r="F7118" t="s">
        <v>4</v>
      </c>
      <c r="G7118" t="str">
        <f>""</f>
        <v/>
      </c>
    </row>
    <row r="7119" spans="1:7" x14ac:dyDescent="0.25">
      <c r="A7119" t="s">
        <v>8</v>
      </c>
      <c r="B7119" s="1" t="str">
        <f>"000345149 - RICH PRODCUTS TREASURE ISLAND"</f>
        <v>000345149 - RICH PRODCUTS TREASURE ISLAND</v>
      </c>
      <c r="C7119" t="s">
        <v>3003</v>
      </c>
      <c r="D7119" s="1" t="str">
        <f>"PRG-1030940"</f>
        <v>PRG-1030940</v>
      </c>
      <c r="E7119" t="s">
        <v>3004</v>
      </c>
      <c r="F7119" t="s">
        <v>4</v>
      </c>
      <c r="G7119" t="str">
        <f>""</f>
        <v/>
      </c>
    </row>
    <row r="7120" spans="1:7" x14ac:dyDescent="0.25">
      <c r="A7120" t="s">
        <v>8</v>
      </c>
      <c r="B7120" s="1" t="str">
        <f>"000232174 - AMERICAN FOOD &amp; VENDING-RICH'S"</f>
        <v>000232174 - AMERICAN FOOD &amp; VENDING-RICH'S</v>
      </c>
      <c r="C7120" t="s">
        <v>1777</v>
      </c>
      <c r="D7120" s="1" t="str">
        <f>"PRG-1030982"</f>
        <v>PRG-1030982</v>
      </c>
      <c r="E7120" t="s">
        <v>1778</v>
      </c>
      <c r="F7120" t="s">
        <v>4</v>
      </c>
      <c r="G7120" t="str">
        <f>""</f>
        <v/>
      </c>
    </row>
    <row r="7121" spans="1:7" x14ac:dyDescent="0.25">
      <c r="A7121" t="s">
        <v>8</v>
      </c>
      <c r="B7121" s="1" t="str">
        <f>"000245603 - RICH AFV"</f>
        <v>000245603 - RICH AFV</v>
      </c>
      <c r="C7121" t="s">
        <v>2005</v>
      </c>
      <c r="D7121" s="1" t="str">
        <f>"PRG-1030982"</f>
        <v>PRG-1030982</v>
      </c>
      <c r="E7121" t="s">
        <v>1778</v>
      </c>
      <c r="F7121" t="s">
        <v>4</v>
      </c>
      <c r="G7121" t="str">
        <f>""</f>
        <v/>
      </c>
    </row>
    <row r="7122" spans="1:7" x14ac:dyDescent="0.25">
      <c r="A7122" t="s">
        <v>8</v>
      </c>
      <c r="B7122" s="1" t="str">
        <f>"000254496 - AMERICAN FOOD &amp; VENDING-RICH'S"</f>
        <v>000254496 - AMERICAN FOOD &amp; VENDING-RICH'S</v>
      </c>
      <c r="C7122" t="s">
        <v>1777</v>
      </c>
      <c r="D7122" s="1" t="str">
        <f>"PRG-1030982"</f>
        <v>PRG-1030982</v>
      </c>
      <c r="E7122" t="s">
        <v>1778</v>
      </c>
      <c r="F7122" t="s">
        <v>4</v>
      </c>
      <c r="G7122" t="str">
        <f>""</f>
        <v/>
      </c>
    </row>
    <row r="7123" spans="1:7" x14ac:dyDescent="0.25">
      <c r="A7123" t="s">
        <v>8</v>
      </c>
      <c r="B7123" s="1" t="str">
        <f>"000258724 - RICH FOODS   AMER FD &amp; VND"</f>
        <v>000258724 - RICH FOODS   AMER FD &amp; VND</v>
      </c>
      <c r="C7123" t="s">
        <v>1880</v>
      </c>
      <c r="D7123" s="1" t="str">
        <f>"PRG-1030982"</f>
        <v>PRG-1030982</v>
      </c>
      <c r="E7123" t="s">
        <v>1778</v>
      </c>
      <c r="F7123" t="s">
        <v>4</v>
      </c>
      <c r="G7123" t="str">
        <f>""</f>
        <v/>
      </c>
    </row>
    <row r="7124" spans="1:7" x14ac:dyDescent="0.25">
      <c r="A7124" t="s">
        <v>8</v>
      </c>
      <c r="B7124" s="1" t="str">
        <f>"2000231316 - "</f>
        <v xml:space="preserve">2000231316 - </v>
      </c>
      <c r="D7124" s="1" t="str">
        <f>"PRG-1030982"</f>
        <v>PRG-1030982</v>
      </c>
      <c r="E7124" t="s">
        <v>1778</v>
      </c>
      <c r="F7124" t="s">
        <v>4</v>
      </c>
      <c r="G7124" t="str">
        <f>""</f>
        <v/>
      </c>
    </row>
    <row r="7125" spans="1:7" x14ac:dyDescent="0.25">
      <c r="A7125" t="s">
        <v>8</v>
      </c>
      <c r="B7125" s="1" t="str">
        <f>"S5I01750"</f>
        <v>S5I01750</v>
      </c>
      <c r="C7125" t="s">
        <v>5855</v>
      </c>
      <c r="D7125" s="1" t="str">
        <f>"PRG-1030995"</f>
        <v>PRG-1030995</v>
      </c>
      <c r="E7125" t="s">
        <v>5856</v>
      </c>
      <c r="F7125" t="s">
        <v>5</v>
      </c>
      <c r="G7125" t="str">
        <f>""</f>
        <v/>
      </c>
    </row>
    <row r="7126" spans="1:7" x14ac:dyDescent="0.25">
      <c r="A7126" t="s">
        <v>8</v>
      </c>
      <c r="B7126" s="1" t="str">
        <f>"60296296"</f>
        <v>60296296</v>
      </c>
      <c r="C7126" t="s">
        <v>5242</v>
      </c>
      <c r="D7126" s="1" t="str">
        <f>"PRG-1031051"</f>
        <v>PRG-1031051</v>
      </c>
      <c r="E7126" t="s">
        <v>5060</v>
      </c>
      <c r="F7126" t="s">
        <v>5</v>
      </c>
      <c r="G7126" t="str">
        <f>""</f>
        <v/>
      </c>
    </row>
    <row r="7127" spans="1:7" x14ac:dyDescent="0.25">
      <c r="A7127" t="s">
        <v>8</v>
      </c>
      <c r="B7127" s="1" t="str">
        <f>"000328997 - RICH PRODUCTS BLIMPIE"</f>
        <v>000328997 - RICH PRODUCTS BLIMPIE</v>
      </c>
      <c r="C7127" t="s">
        <v>3048</v>
      </c>
      <c r="D7127" s="1" t="str">
        <f>"PRG-1031109"</f>
        <v>PRG-1031109</v>
      </c>
      <c r="E7127" t="s">
        <v>1727</v>
      </c>
      <c r="F7127" t="s">
        <v>4</v>
      </c>
      <c r="G7127" t="str">
        <f>""</f>
        <v/>
      </c>
    </row>
    <row r="7128" spans="1:7" x14ac:dyDescent="0.25">
      <c r="A7128" t="s">
        <v>8</v>
      </c>
      <c r="B7128" s="1" t="str">
        <f>"000003445 - RICH BREAD &amp; ROLL BB CORE-SODX"</f>
        <v>000003445 - RICH BREAD &amp; ROLL BB CORE-SODX</v>
      </c>
      <c r="C7128" t="s">
        <v>158</v>
      </c>
      <c r="D7128" s="1" t="str">
        <f t="shared" ref="D7128:D7159" si="202">"PRG-1031179"</f>
        <v>PRG-1031179</v>
      </c>
      <c r="E7128" t="s">
        <v>136</v>
      </c>
      <c r="F7128" t="s">
        <v>4</v>
      </c>
      <c r="G7128" t="str">
        <f>""</f>
        <v/>
      </c>
    </row>
    <row r="7129" spans="1:7" x14ac:dyDescent="0.25">
      <c r="A7129" t="s">
        <v>8</v>
      </c>
      <c r="B7129" s="1" t="str">
        <f>"000044584 - RICH BREAD &amp; ROLL BB CORE-SODX"</f>
        <v>000044584 - RICH BREAD &amp; ROLL BB CORE-SODX</v>
      </c>
      <c r="C7129" t="s">
        <v>158</v>
      </c>
      <c r="D7129" s="1" t="str">
        <f t="shared" si="202"/>
        <v>PRG-1031179</v>
      </c>
      <c r="E7129" t="s">
        <v>136</v>
      </c>
      <c r="F7129" t="s">
        <v>4</v>
      </c>
      <c r="G7129" t="str">
        <f>""</f>
        <v/>
      </c>
    </row>
    <row r="7130" spans="1:7" x14ac:dyDescent="0.25">
      <c r="A7130" t="s">
        <v>8</v>
      </c>
      <c r="B7130" s="1" t="str">
        <f>"000044585 - RICH BREAD&amp;ROLL BB NCORE-SODX"</f>
        <v>000044585 - RICH BREAD&amp;ROLL BB NCORE-SODX</v>
      </c>
      <c r="C7130" t="s">
        <v>159</v>
      </c>
      <c r="D7130" s="1" t="str">
        <f t="shared" si="202"/>
        <v>PRG-1031179</v>
      </c>
      <c r="E7130" t="s">
        <v>136</v>
      </c>
      <c r="F7130" t="s">
        <v>4</v>
      </c>
      <c r="G7130" t="str">
        <f>""</f>
        <v/>
      </c>
    </row>
    <row r="7131" spans="1:7" x14ac:dyDescent="0.25">
      <c r="A7131" t="s">
        <v>8</v>
      </c>
      <c r="B7131" s="1" t="str">
        <f>"000044799 - RICH BREAD &amp; ROLL BB CORE SODX"</f>
        <v>000044799 - RICH BREAD &amp; ROLL BB CORE SODX</v>
      </c>
      <c r="C7131" t="s">
        <v>614</v>
      </c>
      <c r="D7131" s="1" t="str">
        <f t="shared" si="202"/>
        <v>PRG-1031179</v>
      </c>
      <c r="E7131" t="s">
        <v>136</v>
      </c>
      <c r="F7131" t="s">
        <v>4</v>
      </c>
      <c r="G7131" t="str">
        <f>""</f>
        <v/>
      </c>
    </row>
    <row r="7132" spans="1:7" x14ac:dyDescent="0.25">
      <c r="A7132" t="s">
        <v>8</v>
      </c>
      <c r="B7132" s="1" t="str">
        <f>"000044800 - RICH BREAD&amp;ROLL BB NCORE-SODX"</f>
        <v>000044800 - RICH BREAD&amp;ROLL BB NCORE-SODX</v>
      </c>
      <c r="C7132" t="s">
        <v>159</v>
      </c>
      <c r="D7132" s="1" t="str">
        <f t="shared" si="202"/>
        <v>PRG-1031179</v>
      </c>
      <c r="E7132" t="s">
        <v>136</v>
      </c>
      <c r="F7132" t="s">
        <v>4</v>
      </c>
      <c r="G7132" t="str">
        <f>""</f>
        <v/>
      </c>
    </row>
    <row r="7133" spans="1:7" x14ac:dyDescent="0.25">
      <c r="A7133" t="s">
        <v>8</v>
      </c>
      <c r="B7133" s="1" t="str">
        <f>"000054798 - RICH BREAD &amp; ROLL BB CORE-SODX"</f>
        <v>000054798 - RICH BREAD &amp; ROLL BB CORE-SODX</v>
      </c>
      <c r="C7133" t="s">
        <v>158</v>
      </c>
      <c r="D7133" s="1" t="str">
        <f t="shared" si="202"/>
        <v>PRG-1031179</v>
      </c>
      <c r="E7133" t="s">
        <v>136</v>
      </c>
      <c r="F7133" t="s">
        <v>4</v>
      </c>
      <c r="G7133" t="str">
        <f>""</f>
        <v/>
      </c>
    </row>
    <row r="7134" spans="1:7" x14ac:dyDescent="0.25">
      <c r="A7134" t="s">
        <v>8</v>
      </c>
      <c r="B7134" s="1" t="str">
        <f>"000054799 - RICH BREAD&amp;ROLL BB NCORE-SODX"</f>
        <v>000054799 - RICH BREAD&amp;ROLL BB NCORE-SODX</v>
      </c>
      <c r="C7134" t="s">
        <v>159</v>
      </c>
      <c r="D7134" s="1" t="str">
        <f t="shared" si="202"/>
        <v>PRG-1031179</v>
      </c>
      <c r="E7134" t="s">
        <v>136</v>
      </c>
      <c r="F7134" t="s">
        <v>4</v>
      </c>
      <c r="G7134" t="str">
        <f>""</f>
        <v/>
      </c>
    </row>
    <row r="7135" spans="1:7" x14ac:dyDescent="0.25">
      <c r="A7135" t="s">
        <v>8</v>
      </c>
      <c r="B7135" s="1" t="str">
        <f>"000113093 - RICH BREAD &amp; ROLL BB CORE-SODX"</f>
        <v>000113093 - RICH BREAD &amp; ROLL BB CORE-SODX</v>
      </c>
      <c r="C7135" t="s">
        <v>158</v>
      </c>
      <c r="D7135" s="1" t="str">
        <f t="shared" si="202"/>
        <v>PRG-1031179</v>
      </c>
      <c r="E7135" t="s">
        <v>136</v>
      </c>
      <c r="F7135" t="s">
        <v>4</v>
      </c>
      <c r="G7135" t="str">
        <f>""</f>
        <v/>
      </c>
    </row>
    <row r="7136" spans="1:7" x14ac:dyDescent="0.25">
      <c r="A7136" t="s">
        <v>8</v>
      </c>
      <c r="B7136" s="1" t="str">
        <f>"000113094 - RICH BREAD&amp;ROLL BB NCORE-SODX"</f>
        <v>000113094 - RICH BREAD&amp;ROLL BB NCORE-SODX</v>
      </c>
      <c r="C7136" t="s">
        <v>159</v>
      </c>
      <c r="D7136" s="1" t="str">
        <f t="shared" si="202"/>
        <v>PRG-1031179</v>
      </c>
      <c r="E7136" t="s">
        <v>136</v>
      </c>
      <c r="F7136" t="s">
        <v>4</v>
      </c>
      <c r="G7136" t="str">
        <f>""</f>
        <v/>
      </c>
    </row>
    <row r="7137" spans="1:7" x14ac:dyDescent="0.25">
      <c r="A7137" t="s">
        <v>8</v>
      </c>
      <c r="B7137" s="1" t="str">
        <f>"000114348 - RICH BREAD &amp; ROLL BB CORE-SODX"</f>
        <v>000114348 - RICH BREAD &amp; ROLL BB CORE-SODX</v>
      </c>
      <c r="C7137" t="s">
        <v>158</v>
      </c>
      <c r="D7137" s="1" t="str">
        <f t="shared" si="202"/>
        <v>PRG-1031179</v>
      </c>
      <c r="E7137" t="s">
        <v>136</v>
      </c>
      <c r="F7137" t="s">
        <v>4</v>
      </c>
      <c r="G7137" t="str">
        <f>""</f>
        <v/>
      </c>
    </row>
    <row r="7138" spans="1:7" x14ac:dyDescent="0.25">
      <c r="A7138" t="s">
        <v>8</v>
      </c>
      <c r="B7138" s="1" t="str">
        <f>"000114349 - RICH BREAD&amp;ROLL BB NCORE-SODX"</f>
        <v>000114349 - RICH BREAD&amp;ROLL BB NCORE-SODX</v>
      </c>
      <c r="C7138" t="s">
        <v>159</v>
      </c>
      <c r="D7138" s="1" t="str">
        <f t="shared" si="202"/>
        <v>PRG-1031179</v>
      </c>
      <c r="E7138" t="s">
        <v>136</v>
      </c>
      <c r="F7138" t="s">
        <v>4</v>
      </c>
      <c r="G7138" t="str">
        <f>""</f>
        <v/>
      </c>
    </row>
    <row r="7139" spans="1:7" x14ac:dyDescent="0.25">
      <c r="A7139" t="s">
        <v>8</v>
      </c>
      <c r="B7139" s="1" t="str">
        <f>"000115165 - RICHS BRD&amp;ROLL NCORE BB-SODEXO"</f>
        <v>000115165 - RICHS BRD&amp;ROLL NCORE BB-SODEXO</v>
      </c>
      <c r="C7139" t="s">
        <v>569</v>
      </c>
      <c r="D7139" s="1" t="str">
        <f t="shared" si="202"/>
        <v>PRG-1031179</v>
      </c>
      <c r="E7139" t="s">
        <v>136</v>
      </c>
      <c r="F7139" t="s">
        <v>4</v>
      </c>
      <c r="G7139" t="str">
        <f>""</f>
        <v/>
      </c>
    </row>
    <row r="7140" spans="1:7" x14ac:dyDescent="0.25">
      <c r="A7140" t="s">
        <v>8</v>
      </c>
      <c r="B7140" s="1" t="str">
        <f>"000120767 - RICH BREAD &amp; ROLL BB CORE-SODX"</f>
        <v>000120767 - RICH BREAD &amp; ROLL BB CORE-SODX</v>
      </c>
      <c r="C7140" t="s">
        <v>158</v>
      </c>
      <c r="D7140" s="1" t="str">
        <f t="shared" si="202"/>
        <v>PRG-1031179</v>
      </c>
      <c r="E7140" t="s">
        <v>136</v>
      </c>
      <c r="F7140" t="s">
        <v>4</v>
      </c>
      <c r="G7140" t="str">
        <f>""</f>
        <v/>
      </c>
    </row>
    <row r="7141" spans="1:7" x14ac:dyDescent="0.25">
      <c r="A7141" t="s">
        <v>8</v>
      </c>
      <c r="B7141" s="1" t="str">
        <f>"000134398 - RICH BREAD &amp; ROLL BB CORE-SODX"</f>
        <v>000134398 - RICH BREAD &amp; ROLL BB CORE-SODX</v>
      </c>
      <c r="C7141" t="s">
        <v>158</v>
      </c>
      <c r="D7141" s="1" t="str">
        <f t="shared" si="202"/>
        <v>PRG-1031179</v>
      </c>
      <c r="E7141" t="s">
        <v>136</v>
      </c>
      <c r="F7141" t="s">
        <v>4</v>
      </c>
      <c r="G7141" t="str">
        <f>""</f>
        <v/>
      </c>
    </row>
    <row r="7142" spans="1:7" x14ac:dyDescent="0.25">
      <c r="A7142" t="s">
        <v>8</v>
      </c>
      <c r="B7142" s="1" t="str">
        <f>"000134399 - RICH BREAD&amp;ROLL BB NCORE-SODX"</f>
        <v>000134399 - RICH BREAD&amp;ROLL BB NCORE-SODX</v>
      </c>
      <c r="C7142" t="s">
        <v>159</v>
      </c>
      <c r="D7142" s="1" t="str">
        <f t="shared" si="202"/>
        <v>PRG-1031179</v>
      </c>
      <c r="E7142" t="s">
        <v>136</v>
      </c>
      <c r="F7142" t="s">
        <v>4</v>
      </c>
      <c r="G7142" t="str">
        <f>""</f>
        <v/>
      </c>
    </row>
    <row r="7143" spans="1:7" x14ac:dyDescent="0.25">
      <c r="A7143" t="s">
        <v>8</v>
      </c>
      <c r="B7143" s="1" t="str">
        <f>"000141390 - "</f>
        <v xml:space="preserve">000141390 - </v>
      </c>
      <c r="D7143" s="1" t="str">
        <f t="shared" si="202"/>
        <v>PRG-1031179</v>
      </c>
      <c r="E7143" t="s">
        <v>136</v>
      </c>
      <c r="F7143" t="s">
        <v>4</v>
      </c>
      <c r="G7143" t="str">
        <f>""</f>
        <v/>
      </c>
    </row>
    <row r="7144" spans="1:7" x14ac:dyDescent="0.25">
      <c r="A7144" t="s">
        <v>8</v>
      </c>
      <c r="B7144" s="1" t="str">
        <f>"000141391 - "</f>
        <v xml:space="preserve">000141391 - </v>
      </c>
      <c r="D7144" s="1" t="str">
        <f t="shared" si="202"/>
        <v>PRG-1031179</v>
      </c>
      <c r="E7144" t="s">
        <v>136</v>
      </c>
      <c r="F7144" t="s">
        <v>4</v>
      </c>
      <c r="G7144" t="str">
        <f>""</f>
        <v/>
      </c>
    </row>
    <row r="7145" spans="1:7" x14ac:dyDescent="0.25">
      <c r="A7145" t="s">
        <v>8</v>
      </c>
      <c r="B7145" s="1" t="str">
        <f>"000143498 - RICH BREAD &amp; ROLL BB CORE-SODX"</f>
        <v>000143498 - RICH BREAD &amp; ROLL BB CORE-SODX</v>
      </c>
      <c r="C7145" t="s">
        <v>158</v>
      </c>
      <c r="D7145" s="1" t="str">
        <f t="shared" si="202"/>
        <v>PRG-1031179</v>
      </c>
      <c r="E7145" t="s">
        <v>136</v>
      </c>
      <c r="F7145" t="s">
        <v>4</v>
      </c>
      <c r="G7145" t="str">
        <f>""</f>
        <v/>
      </c>
    </row>
    <row r="7146" spans="1:7" x14ac:dyDescent="0.25">
      <c r="A7146" t="s">
        <v>8</v>
      </c>
      <c r="B7146" s="1" t="str">
        <f>"000143499 - RICH BREAD&amp;ROLL BB NCORE-SODX"</f>
        <v>000143499 - RICH BREAD&amp;ROLL BB NCORE-SODX</v>
      </c>
      <c r="C7146" t="s">
        <v>159</v>
      </c>
      <c r="D7146" s="1" t="str">
        <f t="shared" si="202"/>
        <v>PRG-1031179</v>
      </c>
      <c r="E7146" t="s">
        <v>136</v>
      </c>
      <c r="F7146" t="s">
        <v>4</v>
      </c>
      <c r="G7146" t="str">
        <f>""</f>
        <v/>
      </c>
    </row>
    <row r="7147" spans="1:7" x14ac:dyDescent="0.25">
      <c r="A7147" t="s">
        <v>8</v>
      </c>
      <c r="B7147" s="1" t="str">
        <f>"000145683 - "</f>
        <v xml:space="preserve">000145683 - </v>
      </c>
      <c r="D7147" s="1" t="str">
        <f t="shared" si="202"/>
        <v>PRG-1031179</v>
      </c>
      <c r="E7147" t="s">
        <v>136</v>
      </c>
      <c r="F7147" t="s">
        <v>4</v>
      </c>
      <c r="G7147" t="str">
        <f>""</f>
        <v/>
      </c>
    </row>
    <row r="7148" spans="1:7" x14ac:dyDescent="0.25">
      <c r="A7148" t="s">
        <v>8</v>
      </c>
      <c r="B7148" s="1" t="str">
        <f>"000145863 - "</f>
        <v xml:space="preserve">000145863 - </v>
      </c>
      <c r="D7148" s="1" t="str">
        <f t="shared" si="202"/>
        <v>PRG-1031179</v>
      </c>
      <c r="E7148" t="s">
        <v>136</v>
      </c>
      <c r="F7148" t="s">
        <v>4</v>
      </c>
      <c r="G7148" t="str">
        <f>""</f>
        <v/>
      </c>
    </row>
    <row r="7149" spans="1:7" x14ac:dyDescent="0.25">
      <c r="A7149" t="s">
        <v>8</v>
      </c>
      <c r="B7149" s="1" t="str">
        <f>"000145864 - "</f>
        <v xml:space="preserve">000145864 - </v>
      </c>
      <c r="D7149" s="1" t="str">
        <f t="shared" si="202"/>
        <v>PRG-1031179</v>
      </c>
      <c r="E7149" t="s">
        <v>136</v>
      </c>
      <c r="F7149" t="s">
        <v>4</v>
      </c>
      <c r="G7149" t="str">
        <f>""</f>
        <v/>
      </c>
    </row>
    <row r="7150" spans="1:7" x14ac:dyDescent="0.25">
      <c r="A7150" t="s">
        <v>8</v>
      </c>
      <c r="B7150" s="1" t="str">
        <f>"000161035 - "</f>
        <v xml:space="preserve">000161035 - </v>
      </c>
      <c r="D7150" s="1" t="str">
        <f t="shared" si="202"/>
        <v>PRG-1031179</v>
      </c>
      <c r="E7150" t="s">
        <v>136</v>
      </c>
      <c r="F7150" t="s">
        <v>4</v>
      </c>
      <c r="G7150" t="str">
        <f>""</f>
        <v/>
      </c>
    </row>
    <row r="7151" spans="1:7" x14ac:dyDescent="0.25">
      <c r="A7151" t="s">
        <v>8</v>
      </c>
      <c r="B7151" s="1" t="str">
        <f>"000161036 - "</f>
        <v xml:space="preserve">000161036 - </v>
      </c>
      <c r="D7151" s="1" t="str">
        <f t="shared" si="202"/>
        <v>PRG-1031179</v>
      </c>
      <c r="E7151" t="s">
        <v>136</v>
      </c>
      <c r="F7151" t="s">
        <v>4</v>
      </c>
      <c r="G7151" t="str">
        <f>""</f>
        <v/>
      </c>
    </row>
    <row r="7152" spans="1:7" x14ac:dyDescent="0.25">
      <c r="A7152" t="s">
        <v>8</v>
      </c>
      <c r="B7152" s="1" t="str">
        <f>"000201953 - RICH BREAD &amp; ROLL BB CORE-SODX"</f>
        <v>000201953 - RICH BREAD &amp; ROLL BB CORE-SODX</v>
      </c>
      <c r="C7152" t="s">
        <v>158</v>
      </c>
      <c r="D7152" s="1" t="str">
        <f t="shared" si="202"/>
        <v>PRG-1031179</v>
      </c>
      <c r="E7152" t="s">
        <v>136</v>
      </c>
      <c r="F7152" t="s">
        <v>4</v>
      </c>
      <c r="G7152" t="str">
        <f>""</f>
        <v/>
      </c>
    </row>
    <row r="7153" spans="1:7" x14ac:dyDescent="0.25">
      <c r="A7153" t="s">
        <v>8</v>
      </c>
      <c r="B7153" s="1" t="str">
        <f>"000201954 - RICH BREAD&amp;ROLL BB NCORE-SODX"</f>
        <v>000201954 - RICH BREAD&amp;ROLL BB NCORE-SODX</v>
      </c>
      <c r="C7153" t="s">
        <v>159</v>
      </c>
      <c r="D7153" s="1" t="str">
        <f t="shared" si="202"/>
        <v>PRG-1031179</v>
      </c>
      <c r="E7153" t="s">
        <v>136</v>
      </c>
      <c r="F7153" t="s">
        <v>4</v>
      </c>
      <c r="G7153" t="str">
        <f>""</f>
        <v/>
      </c>
    </row>
    <row r="7154" spans="1:7" x14ac:dyDescent="0.25">
      <c r="A7154" t="s">
        <v>8</v>
      </c>
      <c r="B7154" s="1" t="str">
        <f>"000201955 - (L)RICH B&amp;R BB C(SODX-201953)"</f>
        <v>000201955 - (L)RICH B&amp;R BB C(SODX-201953)</v>
      </c>
      <c r="C7154" t="s">
        <v>1318</v>
      </c>
      <c r="D7154" s="1" t="str">
        <f t="shared" si="202"/>
        <v>PRG-1031179</v>
      </c>
      <c r="E7154" t="s">
        <v>136</v>
      </c>
      <c r="F7154" t="s">
        <v>4</v>
      </c>
      <c r="G7154" t="str">
        <f>""</f>
        <v/>
      </c>
    </row>
    <row r="7155" spans="1:7" x14ac:dyDescent="0.25">
      <c r="A7155" t="s">
        <v>8</v>
      </c>
      <c r="B7155" s="1" t="str">
        <f>"000201956 - (L)RICH B&amp;R BB NC(SOD-201954)"</f>
        <v>000201956 - (L)RICH B&amp;R BB NC(SOD-201954)</v>
      </c>
      <c r="C7155" t="s">
        <v>1319</v>
      </c>
      <c r="D7155" s="1" t="str">
        <f t="shared" si="202"/>
        <v>PRG-1031179</v>
      </c>
      <c r="E7155" t="s">
        <v>136</v>
      </c>
      <c r="F7155" t="s">
        <v>4</v>
      </c>
      <c r="G7155" t="str">
        <f>""</f>
        <v/>
      </c>
    </row>
    <row r="7156" spans="1:7" x14ac:dyDescent="0.25">
      <c r="A7156" t="s">
        <v>8</v>
      </c>
      <c r="B7156" s="1" t="str">
        <f>"000203362 - RICH BREAD &amp; ROLL BB CORE-SODX"</f>
        <v>000203362 - RICH BREAD &amp; ROLL BB CORE-SODX</v>
      </c>
      <c r="C7156" t="s">
        <v>158</v>
      </c>
      <c r="D7156" s="1" t="str">
        <f t="shared" si="202"/>
        <v>PRG-1031179</v>
      </c>
      <c r="E7156" t="s">
        <v>136</v>
      </c>
      <c r="F7156" t="s">
        <v>4</v>
      </c>
      <c r="G7156" t="str">
        <f>""</f>
        <v/>
      </c>
    </row>
    <row r="7157" spans="1:7" x14ac:dyDescent="0.25">
      <c r="A7157" t="s">
        <v>8</v>
      </c>
      <c r="B7157" s="1" t="str">
        <f>"000203363 - RICH BREAD&amp;ROLL BB NCORE-SODX"</f>
        <v>000203363 - RICH BREAD&amp;ROLL BB NCORE-SODX</v>
      </c>
      <c r="C7157" t="s">
        <v>159</v>
      </c>
      <c r="D7157" s="1" t="str">
        <f t="shared" si="202"/>
        <v>PRG-1031179</v>
      </c>
      <c r="E7157" t="s">
        <v>136</v>
      </c>
      <c r="F7157" t="s">
        <v>4</v>
      </c>
      <c r="G7157" t="str">
        <f>""</f>
        <v/>
      </c>
    </row>
    <row r="7158" spans="1:7" x14ac:dyDescent="0.25">
      <c r="A7158" t="s">
        <v>8</v>
      </c>
      <c r="B7158" s="1" t="str">
        <f>"000220902 - RICH BREAD &amp; ROLL BB CORE-SODX"</f>
        <v>000220902 - RICH BREAD &amp; ROLL BB CORE-SODX</v>
      </c>
      <c r="C7158" t="s">
        <v>158</v>
      </c>
      <c r="D7158" s="1" t="str">
        <f t="shared" si="202"/>
        <v>PRG-1031179</v>
      </c>
      <c r="E7158" t="s">
        <v>136</v>
      </c>
      <c r="F7158" t="s">
        <v>4</v>
      </c>
      <c r="G7158" t="str">
        <f>""</f>
        <v/>
      </c>
    </row>
    <row r="7159" spans="1:7" x14ac:dyDescent="0.25">
      <c r="A7159" t="s">
        <v>8</v>
      </c>
      <c r="B7159" s="1" t="str">
        <f>"000221576 - RICH BREAD &amp; ROLL BB CORE-SODX"</f>
        <v>000221576 - RICH BREAD &amp; ROLL BB CORE-SODX</v>
      </c>
      <c r="C7159" t="s">
        <v>158</v>
      </c>
      <c r="D7159" s="1" t="str">
        <f t="shared" si="202"/>
        <v>PRG-1031179</v>
      </c>
      <c r="E7159" t="s">
        <v>136</v>
      </c>
      <c r="F7159" t="s">
        <v>4</v>
      </c>
      <c r="G7159" t="str">
        <f>""</f>
        <v/>
      </c>
    </row>
    <row r="7160" spans="1:7" x14ac:dyDescent="0.25">
      <c r="A7160" t="s">
        <v>8</v>
      </c>
      <c r="B7160" s="1" t="str">
        <f>"000221577 - RICH BREAD&amp;ROLL BB NCORE-SODX"</f>
        <v>000221577 - RICH BREAD&amp;ROLL BB NCORE-SODX</v>
      </c>
      <c r="C7160" t="s">
        <v>159</v>
      </c>
      <c r="D7160" s="1" t="str">
        <f t="shared" ref="D7160:D7191" si="203">"PRG-1031179"</f>
        <v>PRG-1031179</v>
      </c>
      <c r="E7160" t="s">
        <v>136</v>
      </c>
      <c r="F7160" t="s">
        <v>4</v>
      </c>
      <c r="G7160" t="str">
        <f>""</f>
        <v/>
      </c>
    </row>
    <row r="7161" spans="1:7" x14ac:dyDescent="0.25">
      <c r="A7161" t="s">
        <v>8</v>
      </c>
      <c r="B7161" s="1" t="str">
        <f>"000221792 - RICH BREAD &amp; ROLL BB CORE-SODX"</f>
        <v>000221792 - RICH BREAD &amp; ROLL BB CORE-SODX</v>
      </c>
      <c r="C7161" t="s">
        <v>158</v>
      </c>
      <c r="D7161" s="1" t="str">
        <f t="shared" si="203"/>
        <v>PRG-1031179</v>
      </c>
      <c r="E7161" t="s">
        <v>136</v>
      </c>
      <c r="F7161" t="s">
        <v>4</v>
      </c>
      <c r="G7161" t="str">
        <f>""</f>
        <v/>
      </c>
    </row>
    <row r="7162" spans="1:7" x14ac:dyDescent="0.25">
      <c r="A7162" t="s">
        <v>8</v>
      </c>
      <c r="B7162" s="1" t="str">
        <f>"000221793 - RICH BREAD&amp;ROLL BB NCORE-SODX"</f>
        <v>000221793 - RICH BREAD&amp;ROLL BB NCORE-SODX</v>
      </c>
      <c r="C7162" t="s">
        <v>159</v>
      </c>
      <c r="D7162" s="1" t="str">
        <f t="shared" si="203"/>
        <v>PRG-1031179</v>
      </c>
      <c r="E7162" t="s">
        <v>136</v>
      </c>
      <c r="F7162" t="s">
        <v>4</v>
      </c>
      <c r="G7162" t="str">
        <f>""</f>
        <v/>
      </c>
    </row>
    <row r="7163" spans="1:7" x14ac:dyDescent="0.25">
      <c r="A7163" t="s">
        <v>8</v>
      </c>
      <c r="B7163" s="1" t="str">
        <f>"000222982 - RICH BREAD &amp; ROLL BB CORE-SODX"</f>
        <v>000222982 - RICH BREAD &amp; ROLL BB CORE-SODX</v>
      </c>
      <c r="C7163" t="s">
        <v>158</v>
      </c>
      <c r="D7163" s="1" t="str">
        <f t="shared" si="203"/>
        <v>PRG-1031179</v>
      </c>
      <c r="E7163" t="s">
        <v>136</v>
      </c>
      <c r="F7163" t="s">
        <v>4</v>
      </c>
      <c r="G7163" t="str">
        <f>""</f>
        <v/>
      </c>
    </row>
    <row r="7164" spans="1:7" x14ac:dyDescent="0.25">
      <c r="A7164" t="s">
        <v>8</v>
      </c>
      <c r="B7164" s="1" t="str">
        <f>"000223022 - BB SODEXO DPMFX FOB RICH"</f>
        <v>000223022 - BB SODEXO DPMFX FOB RICH</v>
      </c>
      <c r="C7164" t="s">
        <v>1638</v>
      </c>
      <c r="D7164" s="1" t="str">
        <f t="shared" si="203"/>
        <v>PRG-1031179</v>
      </c>
      <c r="E7164" t="s">
        <v>136</v>
      </c>
      <c r="F7164" t="s">
        <v>4</v>
      </c>
      <c r="G7164" t="str">
        <f>""</f>
        <v/>
      </c>
    </row>
    <row r="7165" spans="1:7" x14ac:dyDescent="0.25">
      <c r="A7165" t="s">
        <v>8</v>
      </c>
      <c r="B7165" s="1" t="str">
        <f>"000223023 - BB SODEXO BREAD DPMFX FOB RICH"</f>
        <v>000223023 - BB SODEXO BREAD DPMFX FOB RICH</v>
      </c>
      <c r="C7165" t="s">
        <v>1640</v>
      </c>
      <c r="D7165" s="1" t="str">
        <f t="shared" si="203"/>
        <v>PRG-1031179</v>
      </c>
      <c r="E7165" t="s">
        <v>136</v>
      </c>
      <c r="F7165" t="s">
        <v>4</v>
      </c>
      <c r="G7165" t="str">
        <f>""</f>
        <v/>
      </c>
    </row>
    <row r="7166" spans="1:7" x14ac:dyDescent="0.25">
      <c r="A7166" t="s">
        <v>8</v>
      </c>
      <c r="B7166" s="1" t="str">
        <f>"000229468 - RICH BREAD &amp; ROLL BB CORE-SODX"</f>
        <v>000229468 - RICH BREAD &amp; ROLL BB CORE-SODX</v>
      </c>
      <c r="C7166" t="s">
        <v>158</v>
      </c>
      <c r="D7166" s="1" t="str">
        <f t="shared" si="203"/>
        <v>PRG-1031179</v>
      </c>
      <c r="E7166" t="s">
        <v>136</v>
      </c>
      <c r="F7166" t="s">
        <v>4</v>
      </c>
      <c r="G7166" t="str">
        <f>""</f>
        <v/>
      </c>
    </row>
    <row r="7167" spans="1:7" x14ac:dyDescent="0.25">
      <c r="A7167" t="s">
        <v>8</v>
      </c>
      <c r="B7167" s="1" t="str">
        <f>"000229469 - RICH BREAD&amp;ROLL BB NCORE-SODX"</f>
        <v>000229469 - RICH BREAD&amp;ROLL BB NCORE-SODX</v>
      </c>
      <c r="C7167" t="s">
        <v>159</v>
      </c>
      <c r="D7167" s="1" t="str">
        <f t="shared" si="203"/>
        <v>PRG-1031179</v>
      </c>
      <c r="E7167" t="s">
        <v>136</v>
      </c>
      <c r="F7167" t="s">
        <v>4</v>
      </c>
      <c r="G7167" t="str">
        <f>""</f>
        <v/>
      </c>
    </row>
    <row r="7168" spans="1:7" x14ac:dyDescent="0.25">
      <c r="A7168" t="s">
        <v>8</v>
      </c>
      <c r="B7168" s="1" t="str">
        <f>"000232142 - RICH BREAD &amp; ROLL BB CORE-SODX"</f>
        <v>000232142 - RICH BREAD &amp; ROLL BB CORE-SODX</v>
      </c>
      <c r="C7168" t="s">
        <v>158</v>
      </c>
      <c r="D7168" s="1" t="str">
        <f t="shared" si="203"/>
        <v>PRG-1031179</v>
      </c>
      <c r="E7168" t="s">
        <v>136</v>
      </c>
      <c r="F7168" t="s">
        <v>4</v>
      </c>
      <c r="G7168" t="str">
        <f>""</f>
        <v/>
      </c>
    </row>
    <row r="7169" spans="1:7" x14ac:dyDescent="0.25">
      <c r="A7169" t="s">
        <v>8</v>
      </c>
      <c r="B7169" s="1" t="str">
        <f>"000232143 - RICH BREAD&amp;ROLL BB NCORE-SODX"</f>
        <v>000232143 - RICH BREAD&amp;ROLL BB NCORE-SODX</v>
      </c>
      <c r="C7169" t="s">
        <v>159</v>
      </c>
      <c r="D7169" s="1" t="str">
        <f t="shared" si="203"/>
        <v>PRG-1031179</v>
      </c>
      <c r="E7169" t="s">
        <v>136</v>
      </c>
      <c r="F7169" t="s">
        <v>4</v>
      </c>
      <c r="G7169" t="str">
        <f>""</f>
        <v/>
      </c>
    </row>
    <row r="7170" spans="1:7" x14ac:dyDescent="0.25">
      <c r="A7170" t="s">
        <v>8</v>
      </c>
      <c r="B7170" s="1" t="str">
        <f>"000232398 - RICH BREAD &amp; ROLL BB CORE-SODX"</f>
        <v>000232398 - RICH BREAD &amp; ROLL BB CORE-SODX</v>
      </c>
      <c r="C7170" t="s">
        <v>158</v>
      </c>
      <c r="D7170" s="1" t="str">
        <f t="shared" si="203"/>
        <v>PRG-1031179</v>
      </c>
      <c r="E7170" t="s">
        <v>136</v>
      </c>
      <c r="F7170" t="s">
        <v>4</v>
      </c>
      <c r="G7170" t="str">
        <f>""</f>
        <v/>
      </c>
    </row>
    <row r="7171" spans="1:7" x14ac:dyDescent="0.25">
      <c r="A7171" t="s">
        <v>8</v>
      </c>
      <c r="B7171" s="1" t="str">
        <f>"000232399 - RICH BREAD&amp;ROLL BB NCORE-SODX"</f>
        <v>000232399 - RICH BREAD&amp;ROLL BB NCORE-SODX</v>
      </c>
      <c r="C7171" t="s">
        <v>159</v>
      </c>
      <c r="D7171" s="1" t="str">
        <f t="shared" si="203"/>
        <v>PRG-1031179</v>
      </c>
      <c r="E7171" t="s">
        <v>136</v>
      </c>
      <c r="F7171" t="s">
        <v>4</v>
      </c>
      <c r="G7171" t="str">
        <f>""</f>
        <v/>
      </c>
    </row>
    <row r="7172" spans="1:7" x14ac:dyDescent="0.25">
      <c r="A7172" t="s">
        <v>8</v>
      </c>
      <c r="B7172" s="1" t="str">
        <f>"000232788 - RICH BREAD &amp; ROLL BB CORE-SODX"</f>
        <v>000232788 - RICH BREAD &amp; ROLL BB CORE-SODX</v>
      </c>
      <c r="C7172" t="s">
        <v>158</v>
      </c>
      <c r="D7172" s="1" t="str">
        <f t="shared" si="203"/>
        <v>PRG-1031179</v>
      </c>
      <c r="E7172" t="s">
        <v>136</v>
      </c>
      <c r="F7172" t="s">
        <v>4</v>
      </c>
      <c r="G7172" t="str">
        <f>""</f>
        <v/>
      </c>
    </row>
    <row r="7173" spans="1:7" x14ac:dyDescent="0.25">
      <c r="A7173" t="s">
        <v>8</v>
      </c>
      <c r="B7173" s="1" t="str">
        <f>"000232789 - RICH BREAD&amp;ROLL BB NCORE-SODX"</f>
        <v>000232789 - RICH BREAD&amp;ROLL BB NCORE-SODX</v>
      </c>
      <c r="C7173" t="s">
        <v>159</v>
      </c>
      <c r="D7173" s="1" t="str">
        <f t="shared" si="203"/>
        <v>PRG-1031179</v>
      </c>
      <c r="E7173" t="s">
        <v>136</v>
      </c>
      <c r="F7173" t="s">
        <v>4</v>
      </c>
      <c r="G7173" t="str">
        <f>""</f>
        <v/>
      </c>
    </row>
    <row r="7174" spans="1:7" x14ac:dyDescent="0.25">
      <c r="A7174" t="s">
        <v>8</v>
      </c>
      <c r="B7174" s="1" t="str">
        <f>"000233323 - RICH BREAD &amp; ROLL BB CORE-SODX"</f>
        <v>000233323 - RICH BREAD &amp; ROLL BB CORE-SODX</v>
      </c>
      <c r="C7174" t="s">
        <v>158</v>
      </c>
      <c r="D7174" s="1" t="str">
        <f t="shared" si="203"/>
        <v>PRG-1031179</v>
      </c>
      <c r="E7174" t="s">
        <v>136</v>
      </c>
      <c r="F7174" t="s">
        <v>4</v>
      </c>
      <c r="G7174" t="str">
        <f>""</f>
        <v/>
      </c>
    </row>
    <row r="7175" spans="1:7" x14ac:dyDescent="0.25">
      <c r="A7175" t="s">
        <v>8</v>
      </c>
      <c r="B7175" s="1" t="str">
        <f>"000233324 - RICH BREAD&amp;ROLL BB NCORE-SODX"</f>
        <v>000233324 - RICH BREAD&amp;ROLL BB NCORE-SODX</v>
      </c>
      <c r="C7175" t="s">
        <v>159</v>
      </c>
      <c r="D7175" s="1" t="str">
        <f t="shared" si="203"/>
        <v>PRG-1031179</v>
      </c>
      <c r="E7175" t="s">
        <v>136</v>
      </c>
      <c r="F7175" t="s">
        <v>4</v>
      </c>
      <c r="G7175" t="str">
        <f>""</f>
        <v/>
      </c>
    </row>
    <row r="7176" spans="1:7" x14ac:dyDescent="0.25">
      <c r="A7176" t="s">
        <v>8</v>
      </c>
      <c r="B7176" s="1" t="str">
        <f>"000233325 - RICH BREAD &amp; ROLL BB CORE-SODX"</f>
        <v>000233325 - RICH BREAD &amp; ROLL BB CORE-SODX</v>
      </c>
      <c r="C7176" t="s">
        <v>158</v>
      </c>
      <c r="D7176" s="1" t="str">
        <f t="shared" si="203"/>
        <v>PRG-1031179</v>
      </c>
      <c r="E7176" t="s">
        <v>136</v>
      </c>
      <c r="F7176" t="s">
        <v>4</v>
      </c>
      <c r="G7176" t="str">
        <f>""</f>
        <v/>
      </c>
    </row>
    <row r="7177" spans="1:7" x14ac:dyDescent="0.25">
      <c r="A7177" t="s">
        <v>8</v>
      </c>
      <c r="B7177" s="1" t="str">
        <f>"000234203 - RICH BREAD &amp; ROLL BB CORE-SODX"</f>
        <v>000234203 - RICH BREAD &amp; ROLL BB CORE-SODX</v>
      </c>
      <c r="C7177" t="s">
        <v>158</v>
      </c>
      <c r="D7177" s="1" t="str">
        <f t="shared" si="203"/>
        <v>PRG-1031179</v>
      </c>
      <c r="E7177" t="s">
        <v>136</v>
      </c>
      <c r="F7177" t="s">
        <v>4</v>
      </c>
      <c r="G7177" t="str">
        <f>""</f>
        <v/>
      </c>
    </row>
    <row r="7178" spans="1:7" x14ac:dyDescent="0.25">
      <c r="A7178" t="s">
        <v>8</v>
      </c>
      <c r="B7178" s="1" t="str">
        <f>"000234204 - RICH BREAD&amp;ROLL BB NCORE-SODX"</f>
        <v>000234204 - RICH BREAD&amp;ROLL BB NCORE-SODX</v>
      </c>
      <c r="C7178" t="s">
        <v>159</v>
      </c>
      <c r="D7178" s="1" t="str">
        <f t="shared" si="203"/>
        <v>PRG-1031179</v>
      </c>
      <c r="E7178" t="s">
        <v>136</v>
      </c>
      <c r="F7178" t="s">
        <v>4</v>
      </c>
      <c r="G7178" t="str">
        <f>""</f>
        <v/>
      </c>
    </row>
    <row r="7179" spans="1:7" x14ac:dyDescent="0.25">
      <c r="A7179" t="s">
        <v>8</v>
      </c>
      <c r="B7179" s="1" t="str">
        <f>"000234205 - RICH BREAD &amp; ROLL BB CORE-SODX"</f>
        <v>000234205 - RICH BREAD &amp; ROLL BB CORE-SODX</v>
      </c>
      <c r="C7179" t="s">
        <v>158</v>
      </c>
      <c r="D7179" s="1" t="str">
        <f t="shared" si="203"/>
        <v>PRG-1031179</v>
      </c>
      <c r="E7179" t="s">
        <v>136</v>
      </c>
      <c r="F7179" t="s">
        <v>4</v>
      </c>
      <c r="G7179" t="str">
        <f>""</f>
        <v/>
      </c>
    </row>
    <row r="7180" spans="1:7" x14ac:dyDescent="0.25">
      <c r="A7180" t="s">
        <v>8</v>
      </c>
      <c r="B7180" s="1" t="str">
        <f>"000234206 - RICH BREAD&amp;ROLL BB NCORE-SODX"</f>
        <v>000234206 - RICH BREAD&amp;ROLL BB NCORE-SODX</v>
      </c>
      <c r="C7180" t="s">
        <v>159</v>
      </c>
      <c r="D7180" s="1" t="str">
        <f t="shared" si="203"/>
        <v>PRG-1031179</v>
      </c>
      <c r="E7180" t="s">
        <v>136</v>
      </c>
      <c r="F7180" t="s">
        <v>4</v>
      </c>
      <c r="G7180" t="str">
        <f>""</f>
        <v/>
      </c>
    </row>
    <row r="7181" spans="1:7" x14ac:dyDescent="0.25">
      <c r="A7181" t="s">
        <v>8</v>
      </c>
      <c r="B7181" s="1" t="str">
        <f>"000237334 - "</f>
        <v xml:space="preserve">000237334 - </v>
      </c>
      <c r="D7181" s="1" t="str">
        <f t="shared" si="203"/>
        <v>PRG-1031179</v>
      </c>
      <c r="E7181" t="s">
        <v>136</v>
      </c>
      <c r="F7181" t="s">
        <v>4</v>
      </c>
      <c r="G7181" t="str">
        <f>""</f>
        <v/>
      </c>
    </row>
    <row r="7182" spans="1:7" x14ac:dyDescent="0.25">
      <c r="A7182" t="s">
        <v>8</v>
      </c>
      <c r="B7182" s="1" t="str">
        <f>"000237335 - "</f>
        <v xml:space="preserve">000237335 - </v>
      </c>
      <c r="D7182" s="1" t="str">
        <f t="shared" si="203"/>
        <v>PRG-1031179</v>
      </c>
      <c r="E7182" t="s">
        <v>136</v>
      </c>
      <c r="F7182" t="s">
        <v>4</v>
      </c>
      <c r="G7182" t="str">
        <f>""</f>
        <v/>
      </c>
    </row>
    <row r="7183" spans="1:7" x14ac:dyDescent="0.25">
      <c r="A7183" t="s">
        <v>8</v>
      </c>
      <c r="B7183" s="1" t="str">
        <f>"000237399 - "</f>
        <v xml:space="preserve">000237399 - </v>
      </c>
      <c r="D7183" s="1" t="str">
        <f t="shared" si="203"/>
        <v>PRG-1031179</v>
      </c>
      <c r="E7183" t="s">
        <v>136</v>
      </c>
      <c r="F7183" t="s">
        <v>4</v>
      </c>
      <c r="G7183" t="str">
        <f>""</f>
        <v/>
      </c>
    </row>
    <row r="7184" spans="1:7" x14ac:dyDescent="0.25">
      <c r="A7184" t="s">
        <v>8</v>
      </c>
      <c r="B7184" s="1" t="str">
        <f>"000237400 - "</f>
        <v xml:space="preserve">000237400 - </v>
      </c>
      <c r="D7184" s="1" t="str">
        <f t="shared" si="203"/>
        <v>PRG-1031179</v>
      </c>
      <c r="E7184" t="s">
        <v>136</v>
      </c>
      <c r="F7184" t="s">
        <v>4</v>
      </c>
      <c r="G7184" t="str">
        <f>""</f>
        <v/>
      </c>
    </row>
    <row r="7185" spans="1:7" x14ac:dyDescent="0.25">
      <c r="A7185" t="s">
        <v>8</v>
      </c>
      <c r="B7185" s="1" t="str">
        <f>"000239064 - RICHS PIZZA DOUGH BB-SODEXO"</f>
        <v>000239064 - RICHS PIZZA DOUGH BB-SODEXO</v>
      </c>
      <c r="C7185" t="s">
        <v>582</v>
      </c>
      <c r="D7185" s="1" t="str">
        <f t="shared" si="203"/>
        <v>PRG-1031179</v>
      </c>
      <c r="E7185" t="s">
        <v>136</v>
      </c>
      <c r="F7185" t="s">
        <v>4</v>
      </c>
      <c r="G7185" t="str">
        <f>""</f>
        <v/>
      </c>
    </row>
    <row r="7186" spans="1:7" x14ac:dyDescent="0.25">
      <c r="A7186" t="s">
        <v>8</v>
      </c>
      <c r="B7186" s="1" t="str">
        <f>"000239065 - RICH BREAD&amp;ROLL BB NCORE-SODX"</f>
        <v>000239065 - RICH BREAD&amp;ROLL BB NCORE-SODX</v>
      </c>
      <c r="C7186" t="s">
        <v>159</v>
      </c>
      <c r="D7186" s="1" t="str">
        <f t="shared" si="203"/>
        <v>PRG-1031179</v>
      </c>
      <c r="E7186" t="s">
        <v>136</v>
      </c>
      <c r="F7186" t="s">
        <v>4</v>
      </c>
      <c r="G7186" t="str">
        <f>""</f>
        <v/>
      </c>
    </row>
    <row r="7187" spans="1:7" x14ac:dyDescent="0.25">
      <c r="A7187" t="s">
        <v>8</v>
      </c>
      <c r="B7187" s="1" t="str">
        <f>"000243895 - "</f>
        <v xml:space="preserve">000243895 - </v>
      </c>
      <c r="D7187" s="1" t="str">
        <f t="shared" si="203"/>
        <v>PRG-1031179</v>
      </c>
      <c r="E7187" t="s">
        <v>136</v>
      </c>
      <c r="F7187" t="s">
        <v>4</v>
      </c>
      <c r="G7187" t="str">
        <f>""</f>
        <v/>
      </c>
    </row>
    <row r="7188" spans="1:7" x14ac:dyDescent="0.25">
      <c r="A7188" t="s">
        <v>8</v>
      </c>
      <c r="B7188" s="1" t="str">
        <f>"000243896 - "</f>
        <v xml:space="preserve">000243896 - </v>
      </c>
      <c r="D7188" s="1" t="str">
        <f t="shared" si="203"/>
        <v>PRG-1031179</v>
      </c>
      <c r="E7188" t="s">
        <v>136</v>
      </c>
      <c r="F7188" t="s">
        <v>4</v>
      </c>
      <c r="G7188" t="str">
        <f>""</f>
        <v/>
      </c>
    </row>
    <row r="7189" spans="1:7" x14ac:dyDescent="0.25">
      <c r="A7189" t="s">
        <v>8</v>
      </c>
      <c r="B7189" s="1" t="str">
        <f>"000243932 - RICH BREAD &amp; ROLL BB CORE-SODX"</f>
        <v>000243932 - RICH BREAD &amp; ROLL BB CORE-SODX</v>
      </c>
      <c r="C7189" t="s">
        <v>158</v>
      </c>
      <c r="D7189" s="1" t="str">
        <f t="shared" si="203"/>
        <v>PRG-1031179</v>
      </c>
      <c r="E7189" t="s">
        <v>136</v>
      </c>
      <c r="F7189" t="s">
        <v>4</v>
      </c>
      <c r="G7189" t="str">
        <f>""</f>
        <v/>
      </c>
    </row>
    <row r="7190" spans="1:7" x14ac:dyDescent="0.25">
      <c r="A7190" t="s">
        <v>8</v>
      </c>
      <c r="B7190" s="1" t="str">
        <f>"000243933 - RICH BREAD&amp;ROLL BB NCORE-SODX"</f>
        <v>000243933 - RICH BREAD&amp;ROLL BB NCORE-SODX</v>
      </c>
      <c r="C7190" t="s">
        <v>159</v>
      </c>
      <c r="D7190" s="1" t="str">
        <f t="shared" si="203"/>
        <v>PRG-1031179</v>
      </c>
      <c r="E7190" t="s">
        <v>136</v>
      </c>
      <c r="F7190" t="s">
        <v>4</v>
      </c>
      <c r="G7190" t="str">
        <f>""</f>
        <v/>
      </c>
    </row>
    <row r="7191" spans="1:7" x14ac:dyDescent="0.25">
      <c r="A7191" t="s">
        <v>8</v>
      </c>
      <c r="B7191" s="1" t="str">
        <f>"000249129 - RICH BREAD &amp; ROLL BB CORE-SODX"</f>
        <v>000249129 - RICH BREAD &amp; ROLL BB CORE-SODX</v>
      </c>
      <c r="C7191" t="s">
        <v>158</v>
      </c>
      <c r="D7191" s="1" t="str">
        <f t="shared" si="203"/>
        <v>PRG-1031179</v>
      </c>
      <c r="E7191" t="s">
        <v>136</v>
      </c>
      <c r="F7191" t="s">
        <v>4</v>
      </c>
      <c r="G7191" t="str">
        <f>""</f>
        <v/>
      </c>
    </row>
    <row r="7192" spans="1:7" x14ac:dyDescent="0.25">
      <c r="A7192" t="s">
        <v>8</v>
      </c>
      <c r="B7192" s="1" t="str">
        <f>"000249130 - RICH BREAD&amp;ROLL BB NCORE-SODX"</f>
        <v>000249130 - RICH BREAD&amp;ROLL BB NCORE-SODX</v>
      </c>
      <c r="C7192" t="s">
        <v>159</v>
      </c>
      <c r="D7192" s="1" t="str">
        <f t="shared" ref="D7192:D7223" si="204">"PRG-1031179"</f>
        <v>PRG-1031179</v>
      </c>
      <c r="E7192" t="s">
        <v>136</v>
      </c>
      <c r="F7192" t="s">
        <v>4</v>
      </c>
      <c r="G7192" t="str">
        <f>""</f>
        <v/>
      </c>
    </row>
    <row r="7193" spans="1:7" x14ac:dyDescent="0.25">
      <c r="A7193" t="s">
        <v>8</v>
      </c>
      <c r="B7193" s="1" t="str">
        <f>"000249132 - RICH BREAD &amp; ROLL BB CORE-SODX"</f>
        <v>000249132 - RICH BREAD &amp; ROLL BB CORE-SODX</v>
      </c>
      <c r="C7193" t="s">
        <v>158</v>
      </c>
      <c r="D7193" s="1" t="str">
        <f t="shared" si="204"/>
        <v>PRG-1031179</v>
      </c>
      <c r="E7193" t="s">
        <v>136</v>
      </c>
      <c r="F7193" t="s">
        <v>4</v>
      </c>
      <c r="G7193" t="str">
        <f>""</f>
        <v/>
      </c>
    </row>
    <row r="7194" spans="1:7" x14ac:dyDescent="0.25">
      <c r="A7194" t="s">
        <v>8</v>
      </c>
      <c r="B7194" s="1" t="str">
        <f>"000249133 - RICH BREAD&amp;ROLL BB NCORE-SODX"</f>
        <v>000249133 - RICH BREAD&amp;ROLL BB NCORE-SODX</v>
      </c>
      <c r="C7194" t="s">
        <v>159</v>
      </c>
      <c r="D7194" s="1" t="str">
        <f t="shared" si="204"/>
        <v>PRG-1031179</v>
      </c>
      <c r="E7194" t="s">
        <v>136</v>
      </c>
      <c r="F7194" t="s">
        <v>4</v>
      </c>
      <c r="G7194" t="str">
        <f>""</f>
        <v/>
      </c>
    </row>
    <row r="7195" spans="1:7" x14ac:dyDescent="0.25">
      <c r="A7195" t="s">
        <v>8</v>
      </c>
      <c r="B7195" s="1" t="str">
        <f>"000249175 - "</f>
        <v xml:space="preserve">000249175 - </v>
      </c>
      <c r="D7195" s="1" t="str">
        <f t="shared" si="204"/>
        <v>PRG-1031179</v>
      </c>
      <c r="E7195" t="s">
        <v>136</v>
      </c>
      <c r="F7195" t="s">
        <v>4</v>
      </c>
      <c r="G7195" t="str">
        <f>""</f>
        <v/>
      </c>
    </row>
    <row r="7196" spans="1:7" x14ac:dyDescent="0.25">
      <c r="A7196" t="s">
        <v>8</v>
      </c>
      <c r="B7196" s="1" t="str">
        <f>"000249176 - RICHS-MHCOOP"</f>
        <v>000249176 - RICHS-MHCOOP</v>
      </c>
      <c r="C7196" t="s">
        <v>1772</v>
      </c>
      <c r="D7196" s="1" t="str">
        <f t="shared" si="204"/>
        <v>PRG-1031179</v>
      </c>
      <c r="E7196" t="s">
        <v>136</v>
      </c>
      <c r="F7196" t="s">
        <v>4</v>
      </c>
      <c r="G7196" t="str">
        <f>""</f>
        <v/>
      </c>
    </row>
    <row r="7197" spans="1:7" x14ac:dyDescent="0.25">
      <c r="A7197" t="s">
        <v>8</v>
      </c>
      <c r="B7197" s="1" t="str">
        <f>"000251241 - RICH BREAD &amp; ROLL BB CORE-SODX"</f>
        <v>000251241 - RICH BREAD &amp; ROLL BB CORE-SODX</v>
      </c>
      <c r="C7197" t="s">
        <v>158</v>
      </c>
      <c r="D7197" s="1" t="str">
        <f t="shared" si="204"/>
        <v>PRG-1031179</v>
      </c>
      <c r="E7197" t="s">
        <v>136</v>
      </c>
      <c r="F7197" t="s">
        <v>4</v>
      </c>
      <c r="G7197" t="str">
        <f>""</f>
        <v/>
      </c>
    </row>
    <row r="7198" spans="1:7" x14ac:dyDescent="0.25">
      <c r="A7198" t="s">
        <v>8</v>
      </c>
      <c r="B7198" s="1" t="str">
        <f>"000251242 - RICH BREAD&amp;ROLL BB NCORE-SODX"</f>
        <v>000251242 - RICH BREAD&amp;ROLL BB NCORE-SODX</v>
      </c>
      <c r="C7198" t="s">
        <v>159</v>
      </c>
      <c r="D7198" s="1" t="str">
        <f t="shared" si="204"/>
        <v>PRG-1031179</v>
      </c>
      <c r="E7198" t="s">
        <v>136</v>
      </c>
      <c r="F7198" t="s">
        <v>4</v>
      </c>
      <c r="G7198" t="str">
        <f>""</f>
        <v/>
      </c>
    </row>
    <row r="7199" spans="1:7" x14ac:dyDescent="0.25">
      <c r="A7199" t="s">
        <v>8</v>
      </c>
      <c r="B7199" s="1" t="str">
        <f>"000251339 - RICH FOODS DOUGH DC SODEXO"</f>
        <v>000251339 - RICH FOODS DOUGH DC SODEXO</v>
      </c>
      <c r="C7199" t="s">
        <v>2112</v>
      </c>
      <c r="D7199" s="1" t="str">
        <f t="shared" si="204"/>
        <v>PRG-1031179</v>
      </c>
      <c r="E7199" t="s">
        <v>136</v>
      </c>
      <c r="F7199" t="s">
        <v>4</v>
      </c>
      <c r="G7199" t="str">
        <f>""</f>
        <v/>
      </c>
    </row>
    <row r="7200" spans="1:7" x14ac:dyDescent="0.25">
      <c r="A7200" t="s">
        <v>8</v>
      </c>
      <c r="B7200" s="1" t="str">
        <f>"000254078 - RICH BREAD &amp; ROLL BB CORE-SODX"</f>
        <v>000254078 - RICH BREAD &amp; ROLL BB CORE-SODX</v>
      </c>
      <c r="C7200" t="s">
        <v>158</v>
      </c>
      <c r="D7200" s="1" t="str">
        <f t="shared" si="204"/>
        <v>PRG-1031179</v>
      </c>
      <c r="E7200" t="s">
        <v>136</v>
      </c>
      <c r="F7200" t="s">
        <v>4</v>
      </c>
      <c r="G7200" t="str">
        <f>""</f>
        <v/>
      </c>
    </row>
    <row r="7201" spans="1:7" x14ac:dyDescent="0.25">
      <c r="A7201" t="s">
        <v>8</v>
      </c>
      <c r="B7201" s="1" t="str">
        <f>"000254079 - RICH BREAD&amp;ROLL BB NCORE-SODX"</f>
        <v>000254079 - RICH BREAD&amp;ROLL BB NCORE-SODX</v>
      </c>
      <c r="C7201" t="s">
        <v>159</v>
      </c>
      <c r="D7201" s="1" t="str">
        <f t="shared" si="204"/>
        <v>PRG-1031179</v>
      </c>
      <c r="E7201" t="s">
        <v>136</v>
      </c>
      <c r="F7201" t="s">
        <v>4</v>
      </c>
      <c r="G7201" t="str">
        <f>""</f>
        <v/>
      </c>
    </row>
    <row r="7202" spans="1:7" x14ac:dyDescent="0.25">
      <c r="A7202" t="s">
        <v>8</v>
      </c>
      <c r="B7202" s="1" t="str">
        <f>"000254415 - RICH BREAD &amp; ROLL BB CORE-SODX"</f>
        <v>000254415 - RICH BREAD &amp; ROLL BB CORE-SODX</v>
      </c>
      <c r="C7202" t="s">
        <v>158</v>
      </c>
      <c r="D7202" s="1" t="str">
        <f t="shared" si="204"/>
        <v>PRG-1031179</v>
      </c>
      <c r="E7202" t="s">
        <v>136</v>
      </c>
      <c r="F7202" t="s">
        <v>4</v>
      </c>
      <c r="G7202" t="str">
        <f>""</f>
        <v/>
      </c>
    </row>
    <row r="7203" spans="1:7" x14ac:dyDescent="0.25">
      <c r="A7203" t="s">
        <v>8</v>
      </c>
      <c r="B7203" s="1" t="str">
        <f>"000254416 - RICH BREAD&amp;ROLL BB NCORE-SODX"</f>
        <v>000254416 - RICH BREAD&amp;ROLL BB NCORE-SODX</v>
      </c>
      <c r="C7203" t="s">
        <v>159</v>
      </c>
      <c r="D7203" s="1" t="str">
        <f t="shared" si="204"/>
        <v>PRG-1031179</v>
      </c>
      <c r="E7203" t="s">
        <v>136</v>
      </c>
      <c r="F7203" t="s">
        <v>4</v>
      </c>
      <c r="G7203" t="str">
        <f>""</f>
        <v/>
      </c>
    </row>
    <row r="7204" spans="1:7" x14ac:dyDescent="0.25">
      <c r="A7204" t="s">
        <v>8</v>
      </c>
      <c r="B7204" s="1" t="str">
        <f>"000254938 - RICH BREAD &amp; ROLL BB CORE-SODX"</f>
        <v>000254938 - RICH BREAD &amp; ROLL BB CORE-SODX</v>
      </c>
      <c r="C7204" t="s">
        <v>158</v>
      </c>
      <c r="D7204" s="1" t="str">
        <f t="shared" si="204"/>
        <v>PRG-1031179</v>
      </c>
      <c r="E7204" t="s">
        <v>136</v>
      </c>
      <c r="F7204" t="s">
        <v>4</v>
      </c>
      <c r="G7204" t="str">
        <f>""</f>
        <v/>
      </c>
    </row>
    <row r="7205" spans="1:7" x14ac:dyDescent="0.25">
      <c r="A7205" t="s">
        <v>8</v>
      </c>
      <c r="B7205" s="1" t="str">
        <f>"000254939 - RICH BREAD&amp;ROLL BB NCORE-SODX"</f>
        <v>000254939 - RICH BREAD&amp;ROLL BB NCORE-SODX</v>
      </c>
      <c r="C7205" t="s">
        <v>159</v>
      </c>
      <c r="D7205" s="1" t="str">
        <f t="shared" si="204"/>
        <v>PRG-1031179</v>
      </c>
      <c r="E7205" t="s">
        <v>136</v>
      </c>
      <c r="F7205" t="s">
        <v>4</v>
      </c>
      <c r="G7205" t="str">
        <f>""</f>
        <v/>
      </c>
    </row>
    <row r="7206" spans="1:7" x14ac:dyDescent="0.25">
      <c r="A7206" t="s">
        <v>8</v>
      </c>
      <c r="B7206" s="1" t="str">
        <f>"000255094 - RICH BREAD &amp; ROLL BB CORE-SODX"</f>
        <v>000255094 - RICH BREAD &amp; ROLL BB CORE-SODX</v>
      </c>
      <c r="C7206" t="s">
        <v>158</v>
      </c>
      <c r="D7206" s="1" t="str">
        <f t="shared" si="204"/>
        <v>PRG-1031179</v>
      </c>
      <c r="E7206" t="s">
        <v>136</v>
      </c>
      <c r="F7206" t="s">
        <v>4</v>
      </c>
      <c r="G7206" t="str">
        <f>""</f>
        <v/>
      </c>
    </row>
    <row r="7207" spans="1:7" x14ac:dyDescent="0.25">
      <c r="A7207" t="s">
        <v>8</v>
      </c>
      <c r="B7207" s="1" t="str">
        <f>"000255096 - RICH BREAD&amp;ROLL BB NCORE-SODX"</f>
        <v>000255096 - RICH BREAD&amp;ROLL BB NCORE-SODX</v>
      </c>
      <c r="C7207" t="s">
        <v>159</v>
      </c>
      <c r="D7207" s="1" t="str">
        <f t="shared" si="204"/>
        <v>PRG-1031179</v>
      </c>
      <c r="E7207" t="s">
        <v>136</v>
      </c>
      <c r="F7207" t="s">
        <v>4</v>
      </c>
      <c r="G7207" t="str">
        <f>""</f>
        <v/>
      </c>
    </row>
    <row r="7208" spans="1:7" x14ac:dyDescent="0.25">
      <c r="A7208" t="s">
        <v>8</v>
      </c>
      <c r="B7208" s="1" t="str">
        <f>"000256220 - RICH BREAD &amp; ROLL BB CORE-SODX"</f>
        <v>000256220 - RICH BREAD &amp; ROLL BB CORE-SODX</v>
      </c>
      <c r="C7208" t="s">
        <v>158</v>
      </c>
      <c r="D7208" s="1" t="str">
        <f t="shared" si="204"/>
        <v>PRG-1031179</v>
      </c>
      <c r="E7208" t="s">
        <v>136</v>
      </c>
      <c r="F7208" t="s">
        <v>4</v>
      </c>
      <c r="G7208" t="str">
        <f>""</f>
        <v/>
      </c>
    </row>
    <row r="7209" spans="1:7" x14ac:dyDescent="0.25">
      <c r="A7209" t="s">
        <v>8</v>
      </c>
      <c r="B7209" s="1" t="str">
        <f>"000256221 - RICH BREAD&amp;ROLL BB NCORE-SODX"</f>
        <v>000256221 - RICH BREAD&amp;ROLL BB NCORE-SODX</v>
      </c>
      <c r="C7209" t="s">
        <v>159</v>
      </c>
      <c r="D7209" s="1" t="str">
        <f t="shared" si="204"/>
        <v>PRG-1031179</v>
      </c>
      <c r="E7209" t="s">
        <v>136</v>
      </c>
      <c r="F7209" t="s">
        <v>4</v>
      </c>
      <c r="G7209" t="str">
        <f>""</f>
        <v/>
      </c>
    </row>
    <row r="7210" spans="1:7" x14ac:dyDescent="0.25">
      <c r="A7210" t="s">
        <v>8</v>
      </c>
      <c r="B7210" s="1" t="str">
        <f>"000256511 - RICH BREAD &amp; ROLL BB CORE-SODX"</f>
        <v>000256511 - RICH BREAD &amp; ROLL BB CORE-SODX</v>
      </c>
      <c r="C7210" t="s">
        <v>158</v>
      </c>
      <c r="D7210" s="1" t="str">
        <f t="shared" si="204"/>
        <v>PRG-1031179</v>
      </c>
      <c r="E7210" t="s">
        <v>136</v>
      </c>
      <c r="F7210" t="s">
        <v>4</v>
      </c>
      <c r="G7210" t="str">
        <f>""</f>
        <v/>
      </c>
    </row>
    <row r="7211" spans="1:7" x14ac:dyDescent="0.25">
      <c r="A7211" t="s">
        <v>8</v>
      </c>
      <c r="B7211" s="1" t="str">
        <f>"000256512 - RICH BREAD&amp;ROLL BB NCORE-SODX"</f>
        <v>000256512 - RICH BREAD&amp;ROLL BB NCORE-SODX</v>
      </c>
      <c r="C7211" t="s">
        <v>159</v>
      </c>
      <c r="D7211" s="1" t="str">
        <f t="shared" si="204"/>
        <v>PRG-1031179</v>
      </c>
      <c r="E7211" t="s">
        <v>136</v>
      </c>
      <c r="F7211" t="s">
        <v>4</v>
      </c>
      <c r="G7211" t="str">
        <f>""</f>
        <v/>
      </c>
    </row>
    <row r="7212" spans="1:7" x14ac:dyDescent="0.25">
      <c r="A7212" t="s">
        <v>8</v>
      </c>
      <c r="B7212" s="1" t="str">
        <f>"000258674 - RICH BREAD &amp; ROLL BB CORE-SODX"</f>
        <v>000258674 - RICH BREAD &amp; ROLL BB CORE-SODX</v>
      </c>
      <c r="C7212" t="s">
        <v>158</v>
      </c>
      <c r="D7212" s="1" t="str">
        <f t="shared" si="204"/>
        <v>PRG-1031179</v>
      </c>
      <c r="E7212" t="s">
        <v>136</v>
      </c>
      <c r="F7212" t="s">
        <v>4</v>
      </c>
      <c r="G7212" t="str">
        <f>""</f>
        <v/>
      </c>
    </row>
    <row r="7213" spans="1:7" x14ac:dyDescent="0.25">
      <c r="A7213" t="s">
        <v>8</v>
      </c>
      <c r="B7213" s="1" t="str">
        <f>"000258675 - RICH BREAD&amp;ROLL BB NCORE-SODX"</f>
        <v>000258675 - RICH BREAD&amp;ROLL BB NCORE-SODX</v>
      </c>
      <c r="C7213" t="s">
        <v>159</v>
      </c>
      <c r="D7213" s="1" t="str">
        <f t="shared" si="204"/>
        <v>PRG-1031179</v>
      </c>
      <c r="E7213" t="s">
        <v>136</v>
      </c>
      <c r="F7213" t="s">
        <v>4</v>
      </c>
      <c r="G7213" t="str">
        <f>""</f>
        <v/>
      </c>
    </row>
    <row r="7214" spans="1:7" x14ac:dyDescent="0.25">
      <c r="A7214" t="s">
        <v>8</v>
      </c>
      <c r="B7214" s="1" t="str">
        <f>"000258706 - RICH BREAD &amp; ROLL BB CORE-SODX"</f>
        <v>000258706 - RICH BREAD &amp; ROLL BB CORE-SODX</v>
      </c>
      <c r="C7214" t="s">
        <v>158</v>
      </c>
      <c r="D7214" s="1" t="str">
        <f t="shared" si="204"/>
        <v>PRG-1031179</v>
      </c>
      <c r="E7214" t="s">
        <v>136</v>
      </c>
      <c r="F7214" t="s">
        <v>4</v>
      </c>
      <c r="G7214" t="str">
        <f>""</f>
        <v/>
      </c>
    </row>
    <row r="7215" spans="1:7" x14ac:dyDescent="0.25">
      <c r="A7215" t="s">
        <v>8</v>
      </c>
      <c r="B7215" s="1" t="str">
        <f>"000258707 - RICH BREAD &amp; ROLL BB CORE-SODX"</f>
        <v>000258707 - RICH BREAD &amp; ROLL BB CORE-SODX</v>
      </c>
      <c r="C7215" t="s">
        <v>158</v>
      </c>
      <c r="D7215" s="1" t="str">
        <f t="shared" si="204"/>
        <v>PRG-1031179</v>
      </c>
      <c r="E7215" t="s">
        <v>136</v>
      </c>
      <c r="F7215" t="s">
        <v>4</v>
      </c>
      <c r="G7215" t="str">
        <f>""</f>
        <v/>
      </c>
    </row>
    <row r="7216" spans="1:7" x14ac:dyDescent="0.25">
      <c r="A7216" t="s">
        <v>8</v>
      </c>
      <c r="B7216" s="1" t="str">
        <f>"000258774 - RICH BRD&amp;ROLL SODX LIBERTY RET"</f>
        <v>000258774 - RICH BRD&amp;ROLL SODX LIBERTY RET</v>
      </c>
      <c r="C7216" t="s">
        <v>2219</v>
      </c>
      <c r="D7216" s="1" t="str">
        <f t="shared" si="204"/>
        <v>PRG-1031179</v>
      </c>
      <c r="E7216" t="s">
        <v>136</v>
      </c>
      <c r="F7216" t="s">
        <v>4</v>
      </c>
      <c r="G7216" t="str">
        <f>""</f>
        <v/>
      </c>
    </row>
    <row r="7217" spans="1:7" x14ac:dyDescent="0.25">
      <c r="A7217" t="s">
        <v>8</v>
      </c>
      <c r="B7217" s="1" t="str">
        <f>"000258775 - RICH BRD&amp;RLL NCORE SODX LIBRTY"</f>
        <v>000258775 - RICH BRD&amp;RLL NCORE SODX LIBRTY</v>
      </c>
      <c r="C7217" t="s">
        <v>2220</v>
      </c>
      <c r="D7217" s="1" t="str">
        <f t="shared" si="204"/>
        <v>PRG-1031179</v>
      </c>
      <c r="E7217" t="s">
        <v>136</v>
      </c>
      <c r="F7217" t="s">
        <v>4</v>
      </c>
      <c r="G7217" t="str">
        <f>""</f>
        <v/>
      </c>
    </row>
    <row r="7218" spans="1:7" x14ac:dyDescent="0.25">
      <c r="A7218" t="s">
        <v>8</v>
      </c>
      <c r="B7218" s="1" t="str">
        <f>"000260261 - RICH BREAD &amp; ROLL BB CORE-SODX"</f>
        <v>000260261 - RICH BREAD &amp; ROLL BB CORE-SODX</v>
      </c>
      <c r="C7218" t="s">
        <v>158</v>
      </c>
      <c r="D7218" s="1" t="str">
        <f t="shared" si="204"/>
        <v>PRG-1031179</v>
      </c>
      <c r="E7218" t="s">
        <v>136</v>
      </c>
      <c r="F7218" t="s">
        <v>4</v>
      </c>
      <c r="G7218" t="str">
        <f>""</f>
        <v/>
      </c>
    </row>
    <row r="7219" spans="1:7" x14ac:dyDescent="0.25">
      <c r="A7219" t="s">
        <v>8</v>
      </c>
      <c r="B7219" s="1" t="str">
        <f>"000260262 - RICH BREAD&amp;ROLL BB NCORE-SODX"</f>
        <v>000260262 - RICH BREAD&amp;ROLL BB NCORE-SODX</v>
      </c>
      <c r="C7219" t="s">
        <v>159</v>
      </c>
      <c r="D7219" s="1" t="str">
        <f t="shared" si="204"/>
        <v>PRG-1031179</v>
      </c>
      <c r="E7219" t="s">
        <v>136</v>
      </c>
      <c r="F7219" t="s">
        <v>4</v>
      </c>
      <c r="G7219" t="str">
        <f>""</f>
        <v/>
      </c>
    </row>
    <row r="7220" spans="1:7" x14ac:dyDescent="0.25">
      <c r="A7220" t="s">
        <v>8</v>
      </c>
      <c r="B7220" s="1" t="str">
        <f>"000260761 - RICH (BREADROLLS)CORE   SODEXO"</f>
        <v>000260761 - RICH (BREADROLLS)CORE   SODEXO</v>
      </c>
      <c r="C7220" t="s">
        <v>2269</v>
      </c>
      <c r="D7220" s="1" t="str">
        <f t="shared" si="204"/>
        <v>PRG-1031179</v>
      </c>
      <c r="E7220" t="s">
        <v>136</v>
      </c>
      <c r="F7220" t="s">
        <v>4</v>
      </c>
      <c r="G7220" t="str">
        <f>""</f>
        <v/>
      </c>
    </row>
    <row r="7221" spans="1:7" x14ac:dyDescent="0.25">
      <c r="A7221" t="s">
        <v>8</v>
      </c>
      <c r="B7221" s="1" t="str">
        <f>"000260762 - RICH (BREADROLLS) NON   SODEXO"</f>
        <v>000260762 - RICH (BREADROLLS) NON   SODEXO</v>
      </c>
      <c r="C7221" t="s">
        <v>2270</v>
      </c>
      <c r="D7221" s="1" t="str">
        <f t="shared" si="204"/>
        <v>PRG-1031179</v>
      </c>
      <c r="E7221" t="s">
        <v>136</v>
      </c>
      <c r="F7221" t="s">
        <v>4</v>
      </c>
      <c r="G7221" t="str">
        <f>""</f>
        <v/>
      </c>
    </row>
    <row r="7222" spans="1:7" x14ac:dyDescent="0.25">
      <c r="A7222" t="s">
        <v>8</v>
      </c>
      <c r="B7222" s="1" t="str">
        <f>"000261083 - RICH BREAD &amp; ROLL BB CORE-SODX"</f>
        <v>000261083 - RICH BREAD &amp; ROLL BB CORE-SODX</v>
      </c>
      <c r="C7222" t="s">
        <v>158</v>
      </c>
      <c r="D7222" s="1" t="str">
        <f t="shared" si="204"/>
        <v>PRG-1031179</v>
      </c>
      <c r="E7222" t="s">
        <v>136</v>
      </c>
      <c r="F7222" t="s">
        <v>4</v>
      </c>
      <c r="G7222" t="str">
        <f>""</f>
        <v/>
      </c>
    </row>
    <row r="7223" spans="1:7" x14ac:dyDescent="0.25">
      <c r="A7223" t="s">
        <v>8</v>
      </c>
      <c r="B7223" s="1" t="str">
        <f>"000261084 - RICH BREAD&amp;ROLL BB NCORE-SODX"</f>
        <v>000261084 - RICH BREAD&amp;ROLL BB NCORE-SODX</v>
      </c>
      <c r="C7223" t="s">
        <v>159</v>
      </c>
      <c r="D7223" s="1" t="str">
        <f t="shared" si="204"/>
        <v>PRG-1031179</v>
      </c>
      <c r="E7223" t="s">
        <v>136</v>
      </c>
      <c r="F7223" t="s">
        <v>4</v>
      </c>
      <c r="G7223" t="str">
        <f>""</f>
        <v/>
      </c>
    </row>
    <row r="7224" spans="1:7" x14ac:dyDescent="0.25">
      <c r="A7224" t="s">
        <v>8</v>
      </c>
      <c r="B7224" s="1" t="str">
        <f>"000262272 - RICH BREAD &amp; ROLL BB CORE-SODX"</f>
        <v>000262272 - RICH BREAD &amp; ROLL BB CORE-SODX</v>
      </c>
      <c r="C7224" t="s">
        <v>158</v>
      </c>
      <c r="D7224" s="1" t="str">
        <f t="shared" ref="D7224:D7255" si="205">"PRG-1031179"</f>
        <v>PRG-1031179</v>
      </c>
      <c r="E7224" t="s">
        <v>136</v>
      </c>
      <c r="F7224" t="s">
        <v>4</v>
      </c>
      <c r="G7224" t="str">
        <f>""</f>
        <v/>
      </c>
    </row>
    <row r="7225" spans="1:7" x14ac:dyDescent="0.25">
      <c r="A7225" t="s">
        <v>8</v>
      </c>
      <c r="B7225" s="1" t="str">
        <f>"000262273 - RICH BREAD&amp;ROLL BB NCORE-SODX"</f>
        <v>000262273 - RICH BREAD&amp;ROLL BB NCORE-SODX</v>
      </c>
      <c r="C7225" t="s">
        <v>159</v>
      </c>
      <c r="D7225" s="1" t="str">
        <f t="shared" si="205"/>
        <v>PRG-1031179</v>
      </c>
      <c r="E7225" t="s">
        <v>136</v>
      </c>
      <c r="F7225" t="s">
        <v>4</v>
      </c>
      <c r="G7225" t="str">
        <f>""</f>
        <v/>
      </c>
    </row>
    <row r="7226" spans="1:7" x14ac:dyDescent="0.25">
      <c r="A7226" t="s">
        <v>8</v>
      </c>
      <c r="B7226" s="1" t="str">
        <f>"000263703 - RICH BREAD &amp; ROLL BB CORE-SODX"</f>
        <v>000263703 - RICH BREAD &amp; ROLL BB CORE-SODX</v>
      </c>
      <c r="C7226" t="s">
        <v>158</v>
      </c>
      <c r="D7226" s="1" t="str">
        <f t="shared" si="205"/>
        <v>PRG-1031179</v>
      </c>
      <c r="E7226" t="s">
        <v>136</v>
      </c>
      <c r="F7226" t="s">
        <v>4</v>
      </c>
      <c r="G7226" t="str">
        <f>""</f>
        <v/>
      </c>
    </row>
    <row r="7227" spans="1:7" x14ac:dyDescent="0.25">
      <c r="A7227" t="s">
        <v>8</v>
      </c>
      <c r="B7227" s="1" t="str">
        <f>"000263704 - RICH BREAD&amp;ROLL BB NCORE-SODX"</f>
        <v>000263704 - RICH BREAD&amp;ROLL BB NCORE-SODX</v>
      </c>
      <c r="C7227" t="s">
        <v>159</v>
      </c>
      <c r="D7227" s="1" t="str">
        <f t="shared" si="205"/>
        <v>PRG-1031179</v>
      </c>
      <c r="E7227" t="s">
        <v>136</v>
      </c>
      <c r="F7227" t="s">
        <v>4</v>
      </c>
      <c r="G7227" t="str">
        <f>""</f>
        <v/>
      </c>
    </row>
    <row r="7228" spans="1:7" x14ac:dyDescent="0.25">
      <c r="A7228" t="s">
        <v>8</v>
      </c>
      <c r="B7228" s="1" t="str">
        <f>"000264877 - RICH BREAD &amp; ROLL BB CORE-SOD"</f>
        <v>000264877 - RICH BREAD &amp; ROLL BB CORE-SOD</v>
      </c>
      <c r="C7228" t="s">
        <v>2375</v>
      </c>
      <c r="D7228" s="1" t="str">
        <f t="shared" si="205"/>
        <v>PRG-1031179</v>
      </c>
      <c r="E7228" t="s">
        <v>136</v>
      </c>
      <c r="F7228" t="s">
        <v>4</v>
      </c>
      <c r="G7228" t="str">
        <f>""</f>
        <v/>
      </c>
    </row>
    <row r="7229" spans="1:7" x14ac:dyDescent="0.25">
      <c r="A7229" t="s">
        <v>8</v>
      </c>
      <c r="B7229" s="1" t="str">
        <f>"000264878 - RICH BREAD&amp;ROLL BB NCORE-SOD"</f>
        <v>000264878 - RICH BREAD&amp;ROLL BB NCORE-SOD</v>
      </c>
      <c r="C7229" t="s">
        <v>2376</v>
      </c>
      <c r="D7229" s="1" t="str">
        <f t="shared" si="205"/>
        <v>PRG-1031179</v>
      </c>
      <c r="E7229" t="s">
        <v>136</v>
      </c>
      <c r="F7229" t="s">
        <v>4</v>
      </c>
      <c r="G7229" t="str">
        <f>""</f>
        <v/>
      </c>
    </row>
    <row r="7230" spans="1:7" x14ac:dyDescent="0.25">
      <c r="A7230" t="s">
        <v>8</v>
      </c>
      <c r="B7230" s="1" t="str">
        <f>"000272727 - "</f>
        <v xml:space="preserve">000272727 - </v>
      </c>
      <c r="D7230" s="1" t="str">
        <f t="shared" si="205"/>
        <v>PRG-1031179</v>
      </c>
      <c r="E7230" t="s">
        <v>136</v>
      </c>
      <c r="F7230" t="s">
        <v>4</v>
      </c>
      <c r="G7230" t="str">
        <f>""</f>
        <v/>
      </c>
    </row>
    <row r="7231" spans="1:7" x14ac:dyDescent="0.25">
      <c r="A7231" t="s">
        <v>8</v>
      </c>
      <c r="B7231" s="1" t="str">
        <f>"000272728 - "</f>
        <v xml:space="preserve">000272728 - </v>
      </c>
      <c r="D7231" s="1" t="str">
        <f t="shared" si="205"/>
        <v>PRG-1031179</v>
      </c>
      <c r="E7231" t="s">
        <v>136</v>
      </c>
      <c r="F7231" t="s">
        <v>4</v>
      </c>
      <c r="G7231" t="str">
        <f>""</f>
        <v/>
      </c>
    </row>
    <row r="7232" spans="1:7" x14ac:dyDescent="0.25">
      <c r="A7232" t="s">
        <v>8</v>
      </c>
      <c r="B7232" s="1" t="str">
        <f>"000272767 - "</f>
        <v xml:space="preserve">000272767 - </v>
      </c>
      <c r="D7232" s="1" t="str">
        <f t="shared" si="205"/>
        <v>PRG-1031179</v>
      </c>
      <c r="E7232" t="s">
        <v>136</v>
      </c>
      <c r="F7232" t="s">
        <v>4</v>
      </c>
      <c r="G7232" t="str">
        <f>""</f>
        <v/>
      </c>
    </row>
    <row r="7233" spans="1:7" x14ac:dyDescent="0.25">
      <c r="A7233" t="s">
        <v>8</v>
      </c>
      <c r="B7233" s="1" t="str">
        <f>"000284648 - RICH BREAD &amp; ROLL BB CORE-SODX"</f>
        <v>000284648 - RICH BREAD &amp; ROLL BB CORE-SODX</v>
      </c>
      <c r="C7233" t="s">
        <v>158</v>
      </c>
      <c r="D7233" s="1" t="str">
        <f t="shared" si="205"/>
        <v>PRG-1031179</v>
      </c>
      <c r="E7233" t="s">
        <v>136</v>
      </c>
      <c r="F7233" t="s">
        <v>4</v>
      </c>
      <c r="G7233" t="str">
        <f>""</f>
        <v/>
      </c>
    </row>
    <row r="7234" spans="1:7" x14ac:dyDescent="0.25">
      <c r="A7234" t="s">
        <v>8</v>
      </c>
      <c r="B7234" s="1" t="str">
        <f>"000284649 - RICH BREAD&amp;ROLL BB NCORE-SODX"</f>
        <v>000284649 - RICH BREAD&amp;ROLL BB NCORE-SODX</v>
      </c>
      <c r="C7234" t="s">
        <v>159</v>
      </c>
      <c r="D7234" s="1" t="str">
        <f t="shared" si="205"/>
        <v>PRG-1031179</v>
      </c>
      <c r="E7234" t="s">
        <v>136</v>
      </c>
      <c r="F7234" t="s">
        <v>4</v>
      </c>
      <c r="G7234" t="str">
        <f>""</f>
        <v/>
      </c>
    </row>
    <row r="7235" spans="1:7" x14ac:dyDescent="0.25">
      <c r="A7235" t="s">
        <v>8</v>
      </c>
      <c r="B7235" s="1" t="str">
        <f>"000295130 - RICH BREAD &amp; ROLL BB CORE-SODX"</f>
        <v>000295130 - RICH BREAD &amp; ROLL BB CORE-SODX</v>
      </c>
      <c r="C7235" t="s">
        <v>158</v>
      </c>
      <c r="D7235" s="1" t="str">
        <f t="shared" si="205"/>
        <v>PRG-1031179</v>
      </c>
      <c r="E7235" t="s">
        <v>136</v>
      </c>
      <c r="F7235" t="s">
        <v>4</v>
      </c>
      <c r="G7235" t="str">
        <f>""</f>
        <v/>
      </c>
    </row>
    <row r="7236" spans="1:7" x14ac:dyDescent="0.25">
      <c r="A7236" t="s">
        <v>8</v>
      </c>
      <c r="B7236" s="1" t="str">
        <f>"000295131 - RICH BREAD&amp;ROLL BB NCORE-SODX"</f>
        <v>000295131 - RICH BREAD&amp;ROLL BB NCORE-SODX</v>
      </c>
      <c r="C7236" t="s">
        <v>159</v>
      </c>
      <c r="D7236" s="1" t="str">
        <f t="shared" si="205"/>
        <v>PRG-1031179</v>
      </c>
      <c r="E7236" t="s">
        <v>136</v>
      </c>
      <c r="F7236" t="s">
        <v>4</v>
      </c>
      <c r="G7236" t="str">
        <f>""</f>
        <v/>
      </c>
    </row>
    <row r="7237" spans="1:7" x14ac:dyDescent="0.25">
      <c r="A7237" t="s">
        <v>8</v>
      </c>
      <c r="B7237" s="1" t="str">
        <f>"000298529 - RICH BREAD &amp; ROLL BB CORE-SODX"</f>
        <v>000298529 - RICH BREAD &amp; ROLL BB CORE-SODX</v>
      </c>
      <c r="C7237" t="s">
        <v>158</v>
      </c>
      <c r="D7237" s="1" t="str">
        <f t="shared" si="205"/>
        <v>PRG-1031179</v>
      </c>
      <c r="E7237" t="s">
        <v>136</v>
      </c>
      <c r="F7237" t="s">
        <v>4</v>
      </c>
      <c r="G7237" t="str">
        <f>""</f>
        <v/>
      </c>
    </row>
    <row r="7238" spans="1:7" x14ac:dyDescent="0.25">
      <c r="A7238" t="s">
        <v>8</v>
      </c>
      <c r="B7238" s="1" t="str">
        <f>"000298530 - RICH'S TOP-SODEXO CORRECTIONS"</f>
        <v>000298530 - RICH'S TOP-SODEXO CORRECTIONS</v>
      </c>
      <c r="C7238" t="s">
        <v>2940</v>
      </c>
      <c r="D7238" s="1" t="str">
        <f t="shared" si="205"/>
        <v>PRG-1031179</v>
      </c>
      <c r="E7238" t="s">
        <v>136</v>
      </c>
      <c r="F7238" t="s">
        <v>4</v>
      </c>
      <c r="G7238" t="str">
        <f>""</f>
        <v/>
      </c>
    </row>
    <row r="7239" spans="1:7" x14ac:dyDescent="0.25">
      <c r="A7239" t="s">
        <v>8</v>
      </c>
      <c r="B7239" s="1" t="str">
        <f>"000301180 - RICH BREAD &amp; ROLL BB CORE-SODX"</f>
        <v>000301180 - RICH BREAD &amp; ROLL BB CORE-SODX</v>
      </c>
      <c r="C7239" t="s">
        <v>158</v>
      </c>
      <c r="D7239" s="1" t="str">
        <f t="shared" si="205"/>
        <v>PRG-1031179</v>
      </c>
      <c r="E7239" t="s">
        <v>136</v>
      </c>
      <c r="F7239" t="s">
        <v>4</v>
      </c>
      <c r="G7239" t="str">
        <f>""</f>
        <v/>
      </c>
    </row>
    <row r="7240" spans="1:7" x14ac:dyDescent="0.25">
      <c r="A7240" t="s">
        <v>8</v>
      </c>
      <c r="B7240" s="1" t="str">
        <f>"000301181 - RICH BREAD&amp;ROLL BB NCORE-SODX"</f>
        <v>000301181 - RICH BREAD&amp;ROLL BB NCORE-SODX</v>
      </c>
      <c r="C7240" t="s">
        <v>159</v>
      </c>
      <c r="D7240" s="1" t="str">
        <f t="shared" si="205"/>
        <v>PRG-1031179</v>
      </c>
      <c r="E7240" t="s">
        <v>136</v>
      </c>
      <c r="F7240" t="s">
        <v>4</v>
      </c>
      <c r="G7240" t="str">
        <f>""</f>
        <v/>
      </c>
    </row>
    <row r="7241" spans="1:7" x14ac:dyDescent="0.25">
      <c r="A7241" t="s">
        <v>8</v>
      </c>
      <c r="B7241" s="1" t="str">
        <f>"000303276 - "</f>
        <v xml:space="preserve">000303276 - </v>
      </c>
      <c r="D7241" s="1" t="str">
        <f t="shared" si="205"/>
        <v>PRG-1031179</v>
      </c>
      <c r="E7241" t="s">
        <v>136</v>
      </c>
      <c r="F7241" t="s">
        <v>4</v>
      </c>
      <c r="G7241" t="str">
        <f>""</f>
        <v/>
      </c>
    </row>
    <row r="7242" spans="1:7" x14ac:dyDescent="0.25">
      <c r="A7242" t="s">
        <v>8</v>
      </c>
      <c r="B7242" s="1" t="str">
        <f>"000303277 - RICH FOODS NCORE-CENTERPLATE"</f>
        <v>000303277 - RICH FOODS NCORE-CENTERPLATE</v>
      </c>
      <c r="C7242" t="s">
        <v>512</v>
      </c>
      <c r="D7242" s="1" t="str">
        <f t="shared" si="205"/>
        <v>PRG-1031179</v>
      </c>
      <c r="E7242" t="s">
        <v>136</v>
      </c>
      <c r="F7242" t="s">
        <v>4</v>
      </c>
      <c r="G7242" t="str">
        <f>""</f>
        <v/>
      </c>
    </row>
    <row r="7243" spans="1:7" x14ac:dyDescent="0.25">
      <c r="A7243" t="s">
        <v>8</v>
      </c>
      <c r="B7243" s="1" t="str">
        <f>"000304611 - "</f>
        <v xml:space="preserve">000304611 - </v>
      </c>
      <c r="D7243" s="1" t="str">
        <f t="shared" si="205"/>
        <v>PRG-1031179</v>
      </c>
      <c r="E7243" t="s">
        <v>136</v>
      </c>
      <c r="F7243" t="s">
        <v>4</v>
      </c>
      <c r="G7243" t="str">
        <f>""</f>
        <v/>
      </c>
    </row>
    <row r="7244" spans="1:7" x14ac:dyDescent="0.25">
      <c r="A7244" t="s">
        <v>8</v>
      </c>
      <c r="B7244" s="1" t="str">
        <f>"000311527 - RICH BREAD &amp; ROLL BB CORE-SODX"</f>
        <v>000311527 - RICH BREAD &amp; ROLL BB CORE-SODX</v>
      </c>
      <c r="C7244" t="s">
        <v>158</v>
      </c>
      <c r="D7244" s="1" t="str">
        <f t="shared" si="205"/>
        <v>PRG-1031179</v>
      </c>
      <c r="E7244" t="s">
        <v>136</v>
      </c>
      <c r="F7244" t="s">
        <v>4</v>
      </c>
      <c r="G7244" t="str">
        <f>""</f>
        <v/>
      </c>
    </row>
    <row r="7245" spans="1:7" x14ac:dyDescent="0.25">
      <c r="A7245" t="s">
        <v>8</v>
      </c>
      <c r="B7245" s="1" t="str">
        <f>"000311528 - RICH BREAD&amp;ROLL BB NCORE-SODX"</f>
        <v>000311528 - RICH BREAD&amp;ROLL BB NCORE-SODX</v>
      </c>
      <c r="C7245" t="s">
        <v>159</v>
      </c>
      <c r="D7245" s="1" t="str">
        <f t="shared" si="205"/>
        <v>PRG-1031179</v>
      </c>
      <c r="E7245" t="s">
        <v>136</v>
      </c>
      <c r="F7245" t="s">
        <v>4</v>
      </c>
      <c r="G7245" t="str">
        <f>""</f>
        <v/>
      </c>
    </row>
    <row r="7246" spans="1:7" x14ac:dyDescent="0.25">
      <c r="A7246" t="s">
        <v>8</v>
      </c>
      <c r="B7246" s="1" t="str">
        <f>"000311631 - RICH BREAD &amp; ROLL BB CORE-SODX"</f>
        <v>000311631 - RICH BREAD &amp; ROLL BB CORE-SODX</v>
      </c>
      <c r="C7246" t="s">
        <v>158</v>
      </c>
      <c r="D7246" s="1" t="str">
        <f t="shared" si="205"/>
        <v>PRG-1031179</v>
      </c>
      <c r="E7246" t="s">
        <v>136</v>
      </c>
      <c r="F7246" t="s">
        <v>4</v>
      </c>
      <c r="G7246" t="str">
        <f>""</f>
        <v/>
      </c>
    </row>
    <row r="7247" spans="1:7" x14ac:dyDescent="0.25">
      <c r="A7247" t="s">
        <v>8</v>
      </c>
      <c r="B7247" s="1" t="str">
        <f>"000311636 - RICH BREAD&amp;ROLL BB NCORE-SODX"</f>
        <v>000311636 - RICH BREAD&amp;ROLL BB NCORE-SODX</v>
      </c>
      <c r="C7247" t="s">
        <v>159</v>
      </c>
      <c r="D7247" s="1" t="str">
        <f t="shared" si="205"/>
        <v>PRG-1031179</v>
      </c>
      <c r="E7247" t="s">
        <v>136</v>
      </c>
      <c r="F7247" t="s">
        <v>4</v>
      </c>
      <c r="G7247" t="str">
        <f>""</f>
        <v/>
      </c>
    </row>
    <row r="7248" spans="1:7" x14ac:dyDescent="0.25">
      <c r="A7248" t="s">
        <v>8</v>
      </c>
      <c r="B7248" s="1" t="str">
        <f>"000313506 - RICH BREAD &amp; ROLL BB CORE-SODX"</f>
        <v>000313506 - RICH BREAD &amp; ROLL BB CORE-SODX</v>
      </c>
      <c r="C7248" t="s">
        <v>158</v>
      </c>
      <c r="D7248" s="1" t="str">
        <f t="shared" si="205"/>
        <v>PRG-1031179</v>
      </c>
      <c r="E7248" t="s">
        <v>136</v>
      </c>
      <c r="F7248" t="s">
        <v>4</v>
      </c>
      <c r="G7248" t="str">
        <f>""</f>
        <v/>
      </c>
    </row>
    <row r="7249" spans="1:7" x14ac:dyDescent="0.25">
      <c r="A7249" t="s">
        <v>8</v>
      </c>
      <c r="B7249" s="1" t="str">
        <f>"000313507 - RICH BREAD&amp;ROLL BB NCORE-SODX"</f>
        <v>000313507 - RICH BREAD&amp;ROLL BB NCORE-SODX</v>
      </c>
      <c r="C7249" t="s">
        <v>159</v>
      </c>
      <c r="D7249" s="1" t="str">
        <f t="shared" si="205"/>
        <v>PRG-1031179</v>
      </c>
      <c r="E7249" t="s">
        <v>136</v>
      </c>
      <c r="F7249" t="s">
        <v>4</v>
      </c>
      <c r="G7249" t="str">
        <f>""</f>
        <v/>
      </c>
    </row>
    <row r="7250" spans="1:7" x14ac:dyDescent="0.25">
      <c r="A7250" t="s">
        <v>8</v>
      </c>
      <c r="B7250" s="1" t="str">
        <f>"000321674 - "</f>
        <v xml:space="preserve">000321674 - </v>
      </c>
      <c r="D7250" s="1" t="str">
        <f t="shared" si="205"/>
        <v>PRG-1031179</v>
      </c>
      <c r="E7250" t="s">
        <v>136</v>
      </c>
      <c r="F7250" t="s">
        <v>4</v>
      </c>
      <c r="G7250" t="str">
        <f>""</f>
        <v/>
      </c>
    </row>
    <row r="7251" spans="1:7" x14ac:dyDescent="0.25">
      <c r="A7251" t="s">
        <v>8</v>
      </c>
      <c r="B7251" s="1" t="str">
        <f>"000321675 - "</f>
        <v xml:space="preserve">000321675 - </v>
      </c>
      <c r="D7251" s="1" t="str">
        <f t="shared" si="205"/>
        <v>PRG-1031179</v>
      </c>
      <c r="E7251" t="s">
        <v>136</v>
      </c>
      <c r="F7251" t="s">
        <v>4</v>
      </c>
      <c r="G7251" t="str">
        <f>""</f>
        <v/>
      </c>
    </row>
    <row r="7252" spans="1:7" x14ac:dyDescent="0.25">
      <c r="A7252" t="s">
        <v>8</v>
      </c>
      <c r="B7252" s="1" t="str">
        <f>"000321962 - RICH BREAD &amp; ROLL BB CORE-SODX"</f>
        <v>000321962 - RICH BREAD &amp; ROLL BB CORE-SODX</v>
      </c>
      <c r="C7252" t="s">
        <v>158</v>
      </c>
      <c r="D7252" s="1" t="str">
        <f t="shared" si="205"/>
        <v>PRG-1031179</v>
      </c>
      <c r="E7252" t="s">
        <v>136</v>
      </c>
      <c r="F7252" t="s">
        <v>4</v>
      </c>
      <c r="G7252" t="str">
        <f>""</f>
        <v/>
      </c>
    </row>
    <row r="7253" spans="1:7" x14ac:dyDescent="0.25">
      <c r="A7253" t="s">
        <v>8</v>
      </c>
      <c r="B7253" s="1" t="str">
        <f>"000321963 - RICH BREAD&amp;ROLL BB NCORE-SODX"</f>
        <v>000321963 - RICH BREAD&amp;ROLL BB NCORE-SODX</v>
      </c>
      <c r="C7253" t="s">
        <v>159</v>
      </c>
      <c r="D7253" s="1" t="str">
        <f t="shared" si="205"/>
        <v>PRG-1031179</v>
      </c>
      <c r="E7253" t="s">
        <v>136</v>
      </c>
      <c r="F7253" t="s">
        <v>4</v>
      </c>
      <c r="G7253" t="str">
        <f>""</f>
        <v/>
      </c>
    </row>
    <row r="7254" spans="1:7" x14ac:dyDescent="0.25">
      <c r="A7254" t="s">
        <v>8</v>
      </c>
      <c r="B7254" s="1" t="str">
        <f>"000322017 - SODEXO RICH BRD ROLL BB-CORE"</f>
        <v>000322017 - SODEXO RICH BRD ROLL BB-CORE</v>
      </c>
      <c r="C7254" t="s">
        <v>3252</v>
      </c>
      <c r="D7254" s="1" t="str">
        <f t="shared" si="205"/>
        <v>PRG-1031179</v>
      </c>
      <c r="E7254" t="s">
        <v>136</v>
      </c>
      <c r="F7254" t="s">
        <v>4</v>
      </c>
      <c r="G7254" t="str">
        <f>""</f>
        <v/>
      </c>
    </row>
    <row r="7255" spans="1:7" x14ac:dyDescent="0.25">
      <c r="A7255" t="s">
        <v>8</v>
      </c>
      <c r="B7255" s="1" t="str">
        <f>"000322018 - SODEXO RICH BRD ROLL BB-NCORE"</f>
        <v>000322018 - SODEXO RICH BRD ROLL BB-NCORE</v>
      </c>
      <c r="C7255" t="s">
        <v>3253</v>
      </c>
      <c r="D7255" s="1" t="str">
        <f t="shared" si="205"/>
        <v>PRG-1031179</v>
      </c>
      <c r="E7255" t="s">
        <v>136</v>
      </c>
      <c r="F7255" t="s">
        <v>4</v>
      </c>
      <c r="G7255" t="str">
        <f>""</f>
        <v/>
      </c>
    </row>
    <row r="7256" spans="1:7" x14ac:dyDescent="0.25">
      <c r="A7256" t="s">
        <v>8</v>
      </c>
      <c r="B7256" s="1" t="str">
        <f>"000330344 - "</f>
        <v xml:space="preserve">000330344 - </v>
      </c>
      <c r="D7256" s="1" t="str">
        <f t="shared" ref="D7256:D7274" si="206">"PRG-1031179"</f>
        <v>PRG-1031179</v>
      </c>
      <c r="E7256" t="s">
        <v>136</v>
      </c>
      <c r="F7256" t="s">
        <v>4</v>
      </c>
      <c r="G7256" t="str">
        <f>""</f>
        <v/>
      </c>
    </row>
    <row r="7257" spans="1:7" x14ac:dyDescent="0.25">
      <c r="A7257" t="s">
        <v>8</v>
      </c>
      <c r="B7257" s="1" t="str">
        <f>"000332134 - "</f>
        <v xml:space="preserve">000332134 - </v>
      </c>
      <c r="D7257" s="1" t="str">
        <f t="shared" si="206"/>
        <v>PRG-1031179</v>
      </c>
      <c r="E7257" t="s">
        <v>136</v>
      </c>
      <c r="F7257" t="s">
        <v>4</v>
      </c>
      <c r="G7257" t="str">
        <f>""</f>
        <v/>
      </c>
    </row>
    <row r="7258" spans="1:7" x14ac:dyDescent="0.25">
      <c r="A7258" t="s">
        <v>8</v>
      </c>
      <c r="B7258" s="1" t="str">
        <f>"000332135 - "</f>
        <v xml:space="preserve">000332135 - </v>
      </c>
      <c r="D7258" s="1" t="str">
        <f t="shared" si="206"/>
        <v>PRG-1031179</v>
      </c>
      <c r="E7258" t="s">
        <v>136</v>
      </c>
      <c r="F7258" t="s">
        <v>4</v>
      </c>
      <c r="G7258" t="str">
        <f>""</f>
        <v/>
      </c>
    </row>
    <row r="7259" spans="1:7" x14ac:dyDescent="0.25">
      <c r="A7259" t="s">
        <v>8</v>
      </c>
      <c r="B7259" s="1" t="str">
        <f>"000332777 - RICH BREAD &amp; ROLL BB CORE-SODX"</f>
        <v>000332777 - RICH BREAD &amp; ROLL BB CORE-SODX</v>
      </c>
      <c r="C7259" t="s">
        <v>158</v>
      </c>
      <c r="D7259" s="1" t="str">
        <f t="shared" si="206"/>
        <v>PRG-1031179</v>
      </c>
      <c r="E7259" t="s">
        <v>136</v>
      </c>
      <c r="F7259" t="s">
        <v>4</v>
      </c>
      <c r="G7259" t="str">
        <f>""</f>
        <v/>
      </c>
    </row>
    <row r="7260" spans="1:7" x14ac:dyDescent="0.25">
      <c r="A7260" t="s">
        <v>8</v>
      </c>
      <c r="B7260" s="1" t="str">
        <f>"000332778 - RICH BREAD&amp;ROLL BB NCORE-SODX"</f>
        <v>000332778 - RICH BREAD&amp;ROLL BB NCORE-SODX</v>
      </c>
      <c r="C7260" t="s">
        <v>159</v>
      </c>
      <c r="D7260" s="1" t="str">
        <f t="shared" si="206"/>
        <v>PRG-1031179</v>
      </c>
      <c r="E7260" t="s">
        <v>136</v>
      </c>
      <c r="F7260" t="s">
        <v>4</v>
      </c>
      <c r="G7260" t="str">
        <f>""</f>
        <v/>
      </c>
    </row>
    <row r="7261" spans="1:7" x14ac:dyDescent="0.25">
      <c r="A7261" t="s">
        <v>8</v>
      </c>
      <c r="B7261" s="1" t="str">
        <f>"000335266 - "</f>
        <v xml:space="preserve">000335266 - </v>
      </c>
      <c r="D7261" s="1" t="str">
        <f t="shared" si="206"/>
        <v>PRG-1031179</v>
      </c>
      <c r="E7261" t="s">
        <v>136</v>
      </c>
      <c r="F7261" t="s">
        <v>4</v>
      </c>
      <c r="G7261" t="str">
        <f>""</f>
        <v/>
      </c>
    </row>
    <row r="7262" spans="1:7" x14ac:dyDescent="0.25">
      <c r="A7262" t="s">
        <v>8</v>
      </c>
      <c r="B7262" s="1" t="str">
        <f>"000335267 - "</f>
        <v xml:space="preserve">000335267 - </v>
      </c>
      <c r="D7262" s="1" t="str">
        <f t="shared" si="206"/>
        <v>PRG-1031179</v>
      </c>
      <c r="E7262" t="s">
        <v>136</v>
      </c>
      <c r="F7262" t="s">
        <v>4</v>
      </c>
      <c r="G7262" t="str">
        <f>""</f>
        <v/>
      </c>
    </row>
    <row r="7263" spans="1:7" x14ac:dyDescent="0.25">
      <c r="A7263" t="s">
        <v>8</v>
      </c>
      <c r="B7263" s="1" t="str">
        <f>"000347706 - RICH BREAD &amp; ROLL BB CORE-SODX"</f>
        <v>000347706 - RICH BREAD &amp; ROLL BB CORE-SODX</v>
      </c>
      <c r="C7263" t="s">
        <v>158</v>
      </c>
      <c r="D7263" s="1" t="str">
        <f t="shared" si="206"/>
        <v>PRG-1031179</v>
      </c>
      <c r="E7263" t="s">
        <v>136</v>
      </c>
      <c r="F7263" t="s">
        <v>4</v>
      </c>
      <c r="G7263" t="str">
        <f>""</f>
        <v/>
      </c>
    </row>
    <row r="7264" spans="1:7" x14ac:dyDescent="0.25">
      <c r="A7264" t="s">
        <v>8</v>
      </c>
      <c r="B7264" s="1" t="str">
        <f>"000347707 - RICH BREAD&amp;ROLL BB NCORE-SODX"</f>
        <v>000347707 - RICH BREAD&amp;ROLL BB NCORE-SODX</v>
      </c>
      <c r="C7264" t="s">
        <v>159</v>
      </c>
      <c r="D7264" s="1" t="str">
        <f t="shared" si="206"/>
        <v>PRG-1031179</v>
      </c>
      <c r="E7264" t="s">
        <v>136</v>
      </c>
      <c r="F7264" t="s">
        <v>4</v>
      </c>
      <c r="G7264" t="str">
        <f>""</f>
        <v/>
      </c>
    </row>
    <row r="7265" spans="1:7" x14ac:dyDescent="0.25">
      <c r="A7265" t="s">
        <v>8</v>
      </c>
      <c r="B7265" s="1" t="str">
        <f>"000363308 - RICH BREAD &amp; ROLL BB CORE-SODX"</f>
        <v>000363308 - RICH BREAD &amp; ROLL BB CORE-SODX</v>
      </c>
      <c r="C7265" t="s">
        <v>158</v>
      </c>
      <c r="D7265" s="1" t="str">
        <f t="shared" si="206"/>
        <v>PRG-1031179</v>
      </c>
      <c r="E7265" t="s">
        <v>136</v>
      </c>
      <c r="F7265" t="s">
        <v>4</v>
      </c>
      <c r="G7265" t="str">
        <f>""</f>
        <v/>
      </c>
    </row>
    <row r="7266" spans="1:7" x14ac:dyDescent="0.25">
      <c r="A7266" t="s">
        <v>8</v>
      </c>
      <c r="B7266" s="1" t="str">
        <f>"000363309 - RICH BREAD&amp;ROLL BB NCORE-SODX"</f>
        <v>000363309 - RICH BREAD&amp;ROLL BB NCORE-SODX</v>
      </c>
      <c r="C7266" t="s">
        <v>159</v>
      </c>
      <c r="D7266" s="1" t="str">
        <f t="shared" si="206"/>
        <v>PRG-1031179</v>
      </c>
      <c r="E7266" t="s">
        <v>136</v>
      </c>
      <c r="F7266" t="s">
        <v>4</v>
      </c>
      <c r="G7266" t="str">
        <f>""</f>
        <v/>
      </c>
    </row>
    <row r="7267" spans="1:7" x14ac:dyDescent="0.25">
      <c r="A7267" t="s">
        <v>8</v>
      </c>
      <c r="B7267" s="1" t="str">
        <f>"000363392 - RICH BREAD&amp;ROLL BBCORE SDX RTR"</f>
        <v>000363392 - RICH BREAD&amp;ROLL BBCORE SDX RTR</v>
      </c>
      <c r="C7267" t="s">
        <v>3590</v>
      </c>
      <c r="D7267" s="1" t="str">
        <f t="shared" si="206"/>
        <v>PRG-1031179</v>
      </c>
      <c r="E7267" t="s">
        <v>136</v>
      </c>
      <c r="F7267" t="s">
        <v>4</v>
      </c>
      <c r="G7267" t="str">
        <f>""</f>
        <v/>
      </c>
    </row>
    <row r="7268" spans="1:7" x14ac:dyDescent="0.25">
      <c r="A7268" t="s">
        <v>8</v>
      </c>
      <c r="B7268" s="1" t="str">
        <f>"000363393 - RICH BREAD&amp;ROLL BBNCORE SDXRTR"</f>
        <v>000363393 - RICH BREAD&amp;ROLL BBNCORE SDXRTR</v>
      </c>
      <c r="C7268" t="s">
        <v>3591</v>
      </c>
      <c r="D7268" s="1" t="str">
        <f t="shared" si="206"/>
        <v>PRG-1031179</v>
      </c>
      <c r="E7268" t="s">
        <v>136</v>
      </c>
      <c r="F7268" t="s">
        <v>4</v>
      </c>
      <c r="G7268" t="str">
        <f>""</f>
        <v/>
      </c>
    </row>
    <row r="7269" spans="1:7" x14ac:dyDescent="0.25">
      <c r="A7269" t="s">
        <v>8</v>
      </c>
      <c r="B7269" s="1" t="str">
        <f>"000366043 - "</f>
        <v xml:space="preserve">000366043 - </v>
      </c>
      <c r="D7269" s="1" t="str">
        <f t="shared" si="206"/>
        <v>PRG-1031179</v>
      </c>
      <c r="E7269" t="s">
        <v>136</v>
      </c>
      <c r="F7269" t="s">
        <v>4</v>
      </c>
      <c r="G7269" t="str">
        <f>""</f>
        <v/>
      </c>
    </row>
    <row r="7270" spans="1:7" x14ac:dyDescent="0.25">
      <c r="A7270" t="s">
        <v>8</v>
      </c>
      <c r="B7270" s="1" t="str">
        <f>"000366044 - "</f>
        <v xml:space="preserve">000366044 - </v>
      </c>
      <c r="D7270" s="1" t="str">
        <f t="shared" si="206"/>
        <v>PRG-1031179</v>
      </c>
      <c r="E7270" t="s">
        <v>136</v>
      </c>
      <c r="F7270" t="s">
        <v>4</v>
      </c>
      <c r="G7270" t="str">
        <f>""</f>
        <v/>
      </c>
    </row>
    <row r="7271" spans="1:7" x14ac:dyDescent="0.25">
      <c r="A7271" t="s">
        <v>8</v>
      </c>
      <c r="B7271" s="1" t="str">
        <f>"2000302908 - RICHS BREAD-SODEXO"</f>
        <v>2000302908 - RICHS BREAD-SODEXO</v>
      </c>
      <c r="C7271" t="s">
        <v>3827</v>
      </c>
      <c r="D7271" s="1" t="str">
        <f t="shared" si="206"/>
        <v>PRG-1031179</v>
      </c>
      <c r="E7271" t="s">
        <v>136</v>
      </c>
      <c r="F7271" t="s">
        <v>4</v>
      </c>
      <c r="G7271" t="str">
        <f>""</f>
        <v/>
      </c>
    </row>
    <row r="7272" spans="1:7" x14ac:dyDescent="0.25">
      <c r="A7272" t="s">
        <v>8</v>
      </c>
      <c r="B7272" s="1" t="str">
        <f>"2000328477 - RICHS BREAD-SODEXO"</f>
        <v>2000328477 - RICHS BREAD-SODEXO</v>
      </c>
      <c r="C7272" t="s">
        <v>3827</v>
      </c>
      <c r="D7272" s="1" t="str">
        <f t="shared" si="206"/>
        <v>PRG-1031179</v>
      </c>
      <c r="E7272" t="s">
        <v>136</v>
      </c>
      <c r="F7272" t="s">
        <v>4</v>
      </c>
      <c r="G7272" t="str">
        <f>""</f>
        <v/>
      </c>
    </row>
    <row r="7273" spans="1:7" x14ac:dyDescent="0.25">
      <c r="A7273" t="s">
        <v>8</v>
      </c>
      <c r="B7273" s="1" t="str">
        <f>"2000338116 - RICHS BREAD-SODEXO"</f>
        <v>2000338116 - RICHS BREAD-SODEXO</v>
      </c>
      <c r="C7273" t="s">
        <v>3827</v>
      </c>
      <c r="D7273" s="1" t="str">
        <f t="shared" si="206"/>
        <v>PRG-1031179</v>
      </c>
      <c r="E7273" t="s">
        <v>136</v>
      </c>
      <c r="F7273" t="s">
        <v>4</v>
      </c>
      <c r="G7273" t="str">
        <f>""</f>
        <v/>
      </c>
    </row>
    <row r="7274" spans="1:7" x14ac:dyDescent="0.25">
      <c r="A7274" t="s">
        <v>8</v>
      </c>
      <c r="B7274" s="1" t="str">
        <f>"S1Z0CTZ0"</f>
        <v>S1Z0CTZ0</v>
      </c>
      <c r="C7274" t="s">
        <v>5375</v>
      </c>
      <c r="D7274" s="1" t="str">
        <f t="shared" si="206"/>
        <v>PRG-1031179</v>
      </c>
      <c r="E7274" t="s">
        <v>136</v>
      </c>
      <c r="F7274" t="s">
        <v>5</v>
      </c>
      <c r="G7274" t="str">
        <f>""</f>
        <v/>
      </c>
    </row>
    <row r="7275" spans="1:7" x14ac:dyDescent="0.25">
      <c r="A7275" t="s">
        <v>8</v>
      </c>
      <c r="B7275" s="1" t="str">
        <f>"000216351 - CASA DI BERTACCHI-SODEXO"</f>
        <v>000216351 - CASA DI BERTACCHI-SODEXO</v>
      </c>
      <c r="C7275" t="s">
        <v>378</v>
      </c>
      <c r="D7275" s="1" t="str">
        <f t="shared" ref="D7275:D7280" si="207">"PRG-1031183"</f>
        <v>PRG-1031183</v>
      </c>
      <c r="E7275" t="s">
        <v>36</v>
      </c>
      <c r="F7275" t="s">
        <v>4</v>
      </c>
      <c r="G7275" t="str">
        <f>""</f>
        <v/>
      </c>
    </row>
    <row r="7276" spans="1:7" x14ac:dyDescent="0.25">
      <c r="A7276" t="s">
        <v>8</v>
      </c>
      <c r="B7276" s="1" t="str">
        <f>"000228949 - "</f>
        <v xml:space="preserve">000228949 - </v>
      </c>
      <c r="D7276" s="1" t="str">
        <f t="shared" si="207"/>
        <v>PRG-1031183</v>
      </c>
      <c r="E7276" t="s">
        <v>36</v>
      </c>
      <c r="F7276" t="s">
        <v>4</v>
      </c>
      <c r="G7276" t="str">
        <f>""</f>
        <v/>
      </c>
    </row>
    <row r="7277" spans="1:7" x14ac:dyDescent="0.25">
      <c r="A7277" t="s">
        <v>8</v>
      </c>
      <c r="B7277" s="1" t="str">
        <f>"000247995 - CASA DI BERTACCHI-SODEXO"</f>
        <v>000247995 - CASA DI BERTACCHI-SODEXO</v>
      </c>
      <c r="C7277" t="s">
        <v>378</v>
      </c>
      <c r="D7277" s="1" t="str">
        <f t="shared" si="207"/>
        <v>PRG-1031183</v>
      </c>
      <c r="E7277" t="s">
        <v>36</v>
      </c>
      <c r="F7277" t="s">
        <v>4</v>
      </c>
      <c r="G7277" t="str">
        <f>""</f>
        <v/>
      </c>
    </row>
    <row r="7278" spans="1:7" x14ac:dyDescent="0.25">
      <c r="A7278" t="s">
        <v>8</v>
      </c>
      <c r="B7278" s="1" t="str">
        <f>"000290255 - "</f>
        <v xml:space="preserve">000290255 - </v>
      </c>
      <c r="D7278" s="1" t="str">
        <f t="shared" si="207"/>
        <v>PRG-1031183</v>
      </c>
      <c r="E7278" t="s">
        <v>36</v>
      </c>
      <c r="F7278" t="s">
        <v>4</v>
      </c>
      <c r="G7278" t="str">
        <f>""</f>
        <v/>
      </c>
    </row>
    <row r="7279" spans="1:7" x14ac:dyDescent="0.25">
      <c r="A7279" t="s">
        <v>8</v>
      </c>
      <c r="B7279" s="1" t="str">
        <f>"000294948 - CASA DI BERTACCHI-SODEXO"</f>
        <v>000294948 - CASA DI BERTACCHI-SODEXO</v>
      </c>
      <c r="C7279" t="s">
        <v>378</v>
      </c>
      <c r="D7279" s="1" t="str">
        <f t="shared" si="207"/>
        <v>PRG-1031183</v>
      </c>
      <c r="E7279" t="s">
        <v>36</v>
      </c>
      <c r="F7279" t="s">
        <v>4</v>
      </c>
      <c r="G7279" t="str">
        <f>""</f>
        <v/>
      </c>
    </row>
    <row r="7280" spans="1:7" x14ac:dyDescent="0.25">
      <c r="A7280" t="s">
        <v>8</v>
      </c>
      <c r="B7280" s="1" t="str">
        <f>"000303372 - "</f>
        <v xml:space="preserve">000303372 - </v>
      </c>
      <c r="D7280" s="1" t="str">
        <f t="shared" si="207"/>
        <v>PRG-1031183</v>
      </c>
      <c r="E7280" t="s">
        <v>36</v>
      </c>
      <c r="F7280" t="s">
        <v>4</v>
      </c>
      <c r="G7280" t="str">
        <f>""</f>
        <v/>
      </c>
    </row>
    <row r="7281" spans="1:7" x14ac:dyDescent="0.25">
      <c r="A7281" t="s">
        <v>8</v>
      </c>
      <c r="B7281" s="1" t="str">
        <f>"000043305 - RICHS TOPPINGS-SODEXO"</f>
        <v>000043305 - RICHS TOPPINGS-SODEXO</v>
      </c>
      <c r="C7281" t="s">
        <v>222</v>
      </c>
      <c r="D7281" s="1" t="str">
        <f t="shared" ref="D7281:D7312" si="208">"PRG-1031185"</f>
        <v>PRG-1031185</v>
      </c>
      <c r="E7281" t="s">
        <v>79</v>
      </c>
      <c r="F7281" t="s">
        <v>4</v>
      </c>
      <c r="G7281" t="str">
        <f>""</f>
        <v/>
      </c>
    </row>
    <row r="7282" spans="1:7" x14ac:dyDescent="0.25">
      <c r="A7282" t="s">
        <v>8</v>
      </c>
      <c r="B7282" s="1" t="str">
        <f>"000044263 - RICHS TOPPINGS-SODEXO"</f>
        <v>000044263 - RICHS TOPPINGS-SODEXO</v>
      </c>
      <c r="C7282" t="s">
        <v>222</v>
      </c>
      <c r="D7282" s="1" t="str">
        <f t="shared" si="208"/>
        <v>PRG-1031185</v>
      </c>
      <c r="E7282" t="s">
        <v>79</v>
      </c>
      <c r="F7282" t="s">
        <v>4</v>
      </c>
      <c r="G7282" t="str">
        <f>""</f>
        <v/>
      </c>
    </row>
    <row r="7283" spans="1:7" x14ac:dyDescent="0.25">
      <c r="A7283" t="s">
        <v>8</v>
      </c>
      <c r="B7283" s="1" t="str">
        <f>"000045998 - RICHS TOPPINGS-SODEXO"</f>
        <v>000045998 - RICHS TOPPINGS-SODEXO</v>
      </c>
      <c r="C7283" t="s">
        <v>222</v>
      </c>
      <c r="D7283" s="1" t="str">
        <f t="shared" si="208"/>
        <v>PRG-1031185</v>
      </c>
      <c r="E7283" t="s">
        <v>79</v>
      </c>
      <c r="F7283" t="s">
        <v>4</v>
      </c>
      <c r="G7283" t="str">
        <f>""</f>
        <v/>
      </c>
    </row>
    <row r="7284" spans="1:7" x14ac:dyDescent="0.25">
      <c r="A7284" t="s">
        <v>8</v>
      </c>
      <c r="B7284" s="1" t="str">
        <f>"000052937 - RICHS TOPPINGS-SODEXO"</f>
        <v>000052937 - RICHS TOPPINGS-SODEXO</v>
      </c>
      <c r="C7284" t="s">
        <v>222</v>
      </c>
      <c r="D7284" s="1" t="str">
        <f t="shared" si="208"/>
        <v>PRG-1031185</v>
      </c>
      <c r="E7284" t="s">
        <v>79</v>
      </c>
      <c r="F7284" t="s">
        <v>4</v>
      </c>
      <c r="G7284" t="str">
        <f>""</f>
        <v/>
      </c>
    </row>
    <row r="7285" spans="1:7" x14ac:dyDescent="0.25">
      <c r="A7285" t="s">
        <v>8</v>
      </c>
      <c r="B7285" s="1" t="str">
        <f>"000056939 - RICHS TOPPINGS-SODEXO"</f>
        <v>000056939 - RICHS TOPPINGS-SODEXO</v>
      </c>
      <c r="C7285" t="s">
        <v>222</v>
      </c>
      <c r="D7285" s="1" t="str">
        <f t="shared" si="208"/>
        <v>PRG-1031185</v>
      </c>
      <c r="E7285" t="s">
        <v>79</v>
      </c>
      <c r="F7285" t="s">
        <v>4</v>
      </c>
      <c r="G7285" t="str">
        <f>""</f>
        <v/>
      </c>
    </row>
    <row r="7286" spans="1:7" x14ac:dyDescent="0.25">
      <c r="A7286" t="s">
        <v>8</v>
      </c>
      <c r="B7286" s="1" t="str">
        <f>"000112658 - RICHS TOPPINGS-SODEXO"</f>
        <v>000112658 - RICHS TOPPINGS-SODEXO</v>
      </c>
      <c r="C7286" t="s">
        <v>222</v>
      </c>
      <c r="D7286" s="1" t="str">
        <f t="shared" si="208"/>
        <v>PRG-1031185</v>
      </c>
      <c r="E7286" t="s">
        <v>79</v>
      </c>
      <c r="F7286" t="s">
        <v>4</v>
      </c>
      <c r="G7286" t="str">
        <f>""</f>
        <v/>
      </c>
    </row>
    <row r="7287" spans="1:7" x14ac:dyDescent="0.25">
      <c r="A7287" t="s">
        <v>8</v>
      </c>
      <c r="B7287" s="1" t="str">
        <f>"000115012 - RICHS TOPPINGS-SODEXO"</f>
        <v>000115012 - RICHS TOPPINGS-SODEXO</v>
      </c>
      <c r="C7287" t="s">
        <v>222</v>
      </c>
      <c r="D7287" s="1" t="str">
        <f t="shared" si="208"/>
        <v>PRG-1031185</v>
      </c>
      <c r="E7287" t="s">
        <v>79</v>
      </c>
      <c r="F7287" t="s">
        <v>4</v>
      </c>
      <c r="G7287" t="str">
        <f>""</f>
        <v/>
      </c>
    </row>
    <row r="7288" spans="1:7" x14ac:dyDescent="0.25">
      <c r="A7288" t="s">
        <v>8</v>
      </c>
      <c r="B7288" s="1" t="str">
        <f>"000119488 - RICHS TOPPINGS-SODEXO"</f>
        <v>000119488 - RICHS TOPPINGS-SODEXO</v>
      </c>
      <c r="C7288" t="s">
        <v>222</v>
      </c>
      <c r="D7288" s="1" t="str">
        <f t="shared" si="208"/>
        <v>PRG-1031185</v>
      </c>
      <c r="E7288" t="s">
        <v>79</v>
      </c>
      <c r="F7288" t="s">
        <v>4</v>
      </c>
      <c r="G7288" t="str">
        <f>""</f>
        <v/>
      </c>
    </row>
    <row r="7289" spans="1:7" x14ac:dyDescent="0.25">
      <c r="A7289" t="s">
        <v>8</v>
      </c>
      <c r="B7289" s="1" t="str">
        <f>"000120452 - RICHS TOPPINGS-SODEXO"</f>
        <v>000120452 - RICHS TOPPINGS-SODEXO</v>
      </c>
      <c r="C7289" t="s">
        <v>222</v>
      </c>
      <c r="D7289" s="1" t="str">
        <f t="shared" si="208"/>
        <v>PRG-1031185</v>
      </c>
      <c r="E7289" t="s">
        <v>79</v>
      </c>
      <c r="F7289" t="s">
        <v>4</v>
      </c>
      <c r="G7289" t="str">
        <f>""</f>
        <v/>
      </c>
    </row>
    <row r="7290" spans="1:7" x14ac:dyDescent="0.25">
      <c r="A7290" t="s">
        <v>8</v>
      </c>
      <c r="B7290" s="1" t="str">
        <f>"000122266 - RICHS TOPPINGS-SODEXO"</f>
        <v>000122266 - RICHS TOPPINGS-SODEXO</v>
      </c>
      <c r="C7290" t="s">
        <v>222</v>
      </c>
      <c r="D7290" s="1" t="str">
        <f t="shared" si="208"/>
        <v>PRG-1031185</v>
      </c>
      <c r="E7290" t="s">
        <v>79</v>
      </c>
      <c r="F7290" t="s">
        <v>4</v>
      </c>
      <c r="G7290" t="str">
        <f>""</f>
        <v/>
      </c>
    </row>
    <row r="7291" spans="1:7" x14ac:dyDescent="0.25">
      <c r="A7291" t="s">
        <v>8</v>
      </c>
      <c r="B7291" s="1" t="str">
        <f>"000132840 - RICHS TOPPINGS-SODEXO"</f>
        <v>000132840 - RICHS TOPPINGS-SODEXO</v>
      </c>
      <c r="C7291" t="s">
        <v>222</v>
      </c>
      <c r="D7291" s="1" t="str">
        <f t="shared" si="208"/>
        <v>PRG-1031185</v>
      </c>
      <c r="E7291" t="s">
        <v>79</v>
      </c>
      <c r="F7291" t="s">
        <v>4</v>
      </c>
      <c r="G7291" t="str">
        <f>""</f>
        <v/>
      </c>
    </row>
    <row r="7292" spans="1:7" x14ac:dyDescent="0.25">
      <c r="A7292" t="s">
        <v>8</v>
      </c>
      <c r="B7292" s="1" t="str">
        <f>"000133956 - RICHS TOPPINGS-SODEXO"</f>
        <v>000133956 - RICHS TOPPINGS-SODEXO</v>
      </c>
      <c r="C7292" t="s">
        <v>222</v>
      </c>
      <c r="D7292" s="1" t="str">
        <f t="shared" si="208"/>
        <v>PRG-1031185</v>
      </c>
      <c r="E7292" t="s">
        <v>79</v>
      </c>
      <c r="F7292" t="s">
        <v>4</v>
      </c>
      <c r="G7292" t="str">
        <f>""</f>
        <v/>
      </c>
    </row>
    <row r="7293" spans="1:7" x14ac:dyDescent="0.25">
      <c r="A7293" t="s">
        <v>8</v>
      </c>
      <c r="B7293" s="1" t="str">
        <f>"000136625 - RICHS TOPPINGS-SODEXO"</f>
        <v>000136625 - RICHS TOPPINGS-SODEXO</v>
      </c>
      <c r="C7293" t="s">
        <v>222</v>
      </c>
      <c r="D7293" s="1" t="str">
        <f t="shared" si="208"/>
        <v>PRG-1031185</v>
      </c>
      <c r="E7293" t="s">
        <v>79</v>
      </c>
      <c r="F7293" t="s">
        <v>4</v>
      </c>
      <c r="G7293" t="str">
        <f>""</f>
        <v/>
      </c>
    </row>
    <row r="7294" spans="1:7" x14ac:dyDescent="0.25">
      <c r="A7294" t="s">
        <v>8</v>
      </c>
      <c r="B7294" s="1" t="str">
        <f>"000140073 - "</f>
        <v xml:space="preserve">000140073 - </v>
      </c>
      <c r="D7294" s="1" t="str">
        <f t="shared" si="208"/>
        <v>PRG-1031185</v>
      </c>
      <c r="E7294" t="s">
        <v>79</v>
      </c>
      <c r="F7294" t="s">
        <v>4</v>
      </c>
      <c r="G7294" t="str">
        <f>""</f>
        <v/>
      </c>
    </row>
    <row r="7295" spans="1:7" x14ac:dyDescent="0.25">
      <c r="A7295" t="s">
        <v>8</v>
      </c>
      <c r="B7295" s="1" t="str">
        <f>"000141092 - "</f>
        <v xml:space="preserve">000141092 - </v>
      </c>
      <c r="D7295" s="1" t="str">
        <f t="shared" si="208"/>
        <v>PRG-1031185</v>
      </c>
      <c r="E7295" t="s">
        <v>79</v>
      </c>
      <c r="F7295" t="s">
        <v>4</v>
      </c>
      <c r="G7295" t="str">
        <f>""</f>
        <v/>
      </c>
    </row>
    <row r="7296" spans="1:7" x14ac:dyDescent="0.25">
      <c r="A7296" t="s">
        <v>8</v>
      </c>
      <c r="B7296" s="1" t="str">
        <f>"000141643 - RICHS TOPPINGS-SODEXO"</f>
        <v>000141643 - RICHS TOPPINGS-SODEXO</v>
      </c>
      <c r="C7296" t="s">
        <v>222</v>
      </c>
      <c r="D7296" s="1" t="str">
        <f t="shared" si="208"/>
        <v>PRG-1031185</v>
      </c>
      <c r="E7296" t="s">
        <v>79</v>
      </c>
      <c r="F7296" t="s">
        <v>4</v>
      </c>
      <c r="G7296" t="str">
        <f>""</f>
        <v/>
      </c>
    </row>
    <row r="7297" spans="1:7" x14ac:dyDescent="0.25">
      <c r="A7297" t="s">
        <v>8</v>
      </c>
      <c r="B7297" s="1" t="str">
        <f>"000142975 - "</f>
        <v xml:space="preserve">000142975 - </v>
      </c>
      <c r="D7297" s="1" t="str">
        <f t="shared" si="208"/>
        <v>PRG-1031185</v>
      </c>
      <c r="E7297" t="s">
        <v>79</v>
      </c>
      <c r="F7297" t="s">
        <v>4</v>
      </c>
      <c r="G7297" t="str">
        <f>""</f>
        <v/>
      </c>
    </row>
    <row r="7298" spans="1:7" x14ac:dyDescent="0.25">
      <c r="A7298" t="s">
        <v>8</v>
      </c>
      <c r="B7298" s="1" t="str">
        <f>"000143037 - RICHS TOPPINGS-SODEXO"</f>
        <v>000143037 - RICHS TOPPINGS-SODEXO</v>
      </c>
      <c r="C7298" t="s">
        <v>222</v>
      </c>
      <c r="D7298" s="1" t="str">
        <f t="shared" si="208"/>
        <v>PRG-1031185</v>
      </c>
      <c r="E7298" t="s">
        <v>79</v>
      </c>
      <c r="F7298" t="s">
        <v>4</v>
      </c>
      <c r="G7298" t="str">
        <f>""</f>
        <v/>
      </c>
    </row>
    <row r="7299" spans="1:7" x14ac:dyDescent="0.25">
      <c r="A7299" t="s">
        <v>8</v>
      </c>
      <c r="B7299" s="1" t="str">
        <f>"000144261 - "</f>
        <v xml:space="preserve">000144261 - </v>
      </c>
      <c r="D7299" s="1" t="str">
        <f t="shared" si="208"/>
        <v>PRG-1031185</v>
      </c>
      <c r="E7299" t="s">
        <v>79</v>
      </c>
      <c r="F7299" t="s">
        <v>4</v>
      </c>
      <c r="G7299" t="str">
        <f>""</f>
        <v/>
      </c>
    </row>
    <row r="7300" spans="1:7" x14ac:dyDescent="0.25">
      <c r="A7300" t="s">
        <v>8</v>
      </c>
      <c r="B7300" s="1" t="str">
        <f>"000145324 - RICHS TOPPINGS-SODEXO"</f>
        <v>000145324 - RICHS TOPPINGS-SODEXO</v>
      </c>
      <c r="C7300" t="s">
        <v>222</v>
      </c>
      <c r="D7300" s="1" t="str">
        <f t="shared" si="208"/>
        <v>PRG-1031185</v>
      </c>
      <c r="E7300" t="s">
        <v>79</v>
      </c>
      <c r="F7300" t="s">
        <v>4</v>
      </c>
      <c r="G7300" t="str">
        <f>""</f>
        <v/>
      </c>
    </row>
    <row r="7301" spans="1:7" x14ac:dyDescent="0.25">
      <c r="A7301" t="s">
        <v>8</v>
      </c>
      <c r="B7301" s="1" t="str">
        <f>"000147480 - "</f>
        <v xml:space="preserve">000147480 - </v>
      </c>
      <c r="D7301" s="1" t="str">
        <f t="shared" si="208"/>
        <v>PRG-1031185</v>
      </c>
      <c r="E7301" t="s">
        <v>79</v>
      </c>
      <c r="F7301" t="s">
        <v>4</v>
      </c>
      <c r="G7301" t="str">
        <f>""</f>
        <v/>
      </c>
    </row>
    <row r="7302" spans="1:7" x14ac:dyDescent="0.25">
      <c r="A7302" t="s">
        <v>8</v>
      </c>
      <c r="B7302" s="1" t="str">
        <f>"000159446 - "</f>
        <v xml:space="preserve">000159446 - </v>
      </c>
      <c r="D7302" s="1" t="str">
        <f t="shared" si="208"/>
        <v>PRG-1031185</v>
      </c>
      <c r="E7302" t="s">
        <v>79</v>
      </c>
      <c r="F7302" t="s">
        <v>4</v>
      </c>
      <c r="G7302" t="str">
        <f>""</f>
        <v/>
      </c>
    </row>
    <row r="7303" spans="1:7" x14ac:dyDescent="0.25">
      <c r="A7303" t="s">
        <v>8</v>
      </c>
      <c r="B7303" s="1" t="str">
        <f>"000160649 - "</f>
        <v xml:space="preserve">000160649 - </v>
      </c>
      <c r="D7303" s="1" t="str">
        <f t="shared" si="208"/>
        <v>PRG-1031185</v>
      </c>
      <c r="E7303" t="s">
        <v>79</v>
      </c>
      <c r="F7303" t="s">
        <v>4</v>
      </c>
      <c r="G7303" t="str">
        <f>""</f>
        <v/>
      </c>
    </row>
    <row r="7304" spans="1:7" x14ac:dyDescent="0.25">
      <c r="A7304" t="s">
        <v>8</v>
      </c>
      <c r="B7304" s="1" t="str">
        <f>"000200201 - RICHS TOPPINGS-SODEXO"</f>
        <v>000200201 - RICHS TOPPINGS-SODEXO</v>
      </c>
      <c r="C7304" t="s">
        <v>222</v>
      </c>
      <c r="D7304" s="1" t="str">
        <f t="shared" si="208"/>
        <v>PRG-1031185</v>
      </c>
      <c r="E7304" t="s">
        <v>79</v>
      </c>
      <c r="F7304" t="s">
        <v>4</v>
      </c>
      <c r="G7304" t="str">
        <f>""</f>
        <v/>
      </c>
    </row>
    <row r="7305" spans="1:7" x14ac:dyDescent="0.25">
      <c r="A7305" t="s">
        <v>8</v>
      </c>
      <c r="B7305" s="1" t="str">
        <f>"000201075 - RICHS TOPPINGS-SODEXO"</f>
        <v>000201075 - RICHS TOPPINGS-SODEXO</v>
      </c>
      <c r="C7305" t="s">
        <v>222</v>
      </c>
      <c r="D7305" s="1" t="str">
        <f t="shared" si="208"/>
        <v>PRG-1031185</v>
      </c>
      <c r="E7305" t="s">
        <v>79</v>
      </c>
      <c r="F7305" t="s">
        <v>4</v>
      </c>
      <c r="G7305" t="str">
        <f>""</f>
        <v/>
      </c>
    </row>
    <row r="7306" spans="1:7" x14ac:dyDescent="0.25">
      <c r="A7306" t="s">
        <v>8</v>
      </c>
      <c r="B7306" s="1" t="str">
        <f>"000201567 - RICHS TOPPINGS-SODEXO"</f>
        <v>000201567 - RICHS TOPPINGS-SODEXO</v>
      </c>
      <c r="C7306" t="s">
        <v>222</v>
      </c>
      <c r="D7306" s="1" t="str">
        <f t="shared" si="208"/>
        <v>PRG-1031185</v>
      </c>
      <c r="E7306" t="s">
        <v>79</v>
      </c>
      <c r="F7306" t="s">
        <v>4</v>
      </c>
      <c r="G7306" t="str">
        <f>""</f>
        <v/>
      </c>
    </row>
    <row r="7307" spans="1:7" x14ac:dyDescent="0.25">
      <c r="A7307" t="s">
        <v>8</v>
      </c>
      <c r="B7307" s="1" t="str">
        <f>"000202577 - RICHS TOPPINGS-SODEXO"</f>
        <v>000202577 - RICHS TOPPINGS-SODEXO</v>
      </c>
      <c r="C7307" t="s">
        <v>222</v>
      </c>
      <c r="D7307" s="1" t="str">
        <f t="shared" si="208"/>
        <v>PRG-1031185</v>
      </c>
      <c r="E7307" t="s">
        <v>79</v>
      </c>
      <c r="F7307" t="s">
        <v>4</v>
      </c>
      <c r="G7307" t="str">
        <f>""</f>
        <v/>
      </c>
    </row>
    <row r="7308" spans="1:7" x14ac:dyDescent="0.25">
      <c r="A7308" t="s">
        <v>8</v>
      </c>
      <c r="B7308" s="1" t="str">
        <f>"000203970 - RICHS TOPPINGS-SODEXO"</f>
        <v>000203970 - RICHS TOPPINGS-SODEXO</v>
      </c>
      <c r="C7308" t="s">
        <v>222</v>
      </c>
      <c r="D7308" s="1" t="str">
        <f t="shared" si="208"/>
        <v>PRG-1031185</v>
      </c>
      <c r="E7308" t="s">
        <v>79</v>
      </c>
      <c r="F7308" t="s">
        <v>4</v>
      </c>
      <c r="G7308" t="str">
        <f>""</f>
        <v/>
      </c>
    </row>
    <row r="7309" spans="1:7" x14ac:dyDescent="0.25">
      <c r="A7309" t="s">
        <v>8</v>
      </c>
      <c r="B7309" s="1" t="str">
        <f>"000205549 - RICHS TOPPINGS-SODEXO"</f>
        <v>000205549 - RICHS TOPPINGS-SODEXO</v>
      </c>
      <c r="C7309" t="s">
        <v>222</v>
      </c>
      <c r="D7309" s="1" t="str">
        <f t="shared" si="208"/>
        <v>PRG-1031185</v>
      </c>
      <c r="E7309" t="s">
        <v>79</v>
      </c>
      <c r="F7309" t="s">
        <v>4</v>
      </c>
      <c r="G7309" t="str">
        <f>""</f>
        <v/>
      </c>
    </row>
    <row r="7310" spans="1:7" x14ac:dyDescent="0.25">
      <c r="A7310" t="s">
        <v>8</v>
      </c>
      <c r="B7310" s="1" t="str">
        <f>"000219423 - RICHS TOPPINGS-SODEXO"</f>
        <v>000219423 - RICHS TOPPINGS-SODEXO</v>
      </c>
      <c r="C7310" t="s">
        <v>222</v>
      </c>
      <c r="D7310" s="1" t="str">
        <f t="shared" si="208"/>
        <v>PRG-1031185</v>
      </c>
      <c r="E7310" t="s">
        <v>79</v>
      </c>
      <c r="F7310" t="s">
        <v>4</v>
      </c>
      <c r="G7310" t="str">
        <f>""</f>
        <v/>
      </c>
    </row>
    <row r="7311" spans="1:7" x14ac:dyDescent="0.25">
      <c r="A7311" t="s">
        <v>8</v>
      </c>
      <c r="B7311" s="1" t="str">
        <f>"000220596 - RICHS TOPPINGS-SODEXO"</f>
        <v>000220596 - RICHS TOPPINGS-SODEXO</v>
      </c>
      <c r="C7311" t="s">
        <v>222</v>
      </c>
      <c r="D7311" s="1" t="str">
        <f t="shared" si="208"/>
        <v>PRG-1031185</v>
      </c>
      <c r="E7311" t="s">
        <v>79</v>
      </c>
      <c r="F7311" t="s">
        <v>4</v>
      </c>
      <c r="G7311" t="str">
        <f>""</f>
        <v/>
      </c>
    </row>
    <row r="7312" spans="1:7" x14ac:dyDescent="0.25">
      <c r="A7312" t="s">
        <v>8</v>
      </c>
      <c r="B7312" s="1" t="str">
        <f>"000220881 - RICHS TOPPINGS-SODEXO"</f>
        <v>000220881 - RICHS TOPPINGS-SODEXO</v>
      </c>
      <c r="C7312" t="s">
        <v>222</v>
      </c>
      <c r="D7312" s="1" t="str">
        <f t="shared" si="208"/>
        <v>PRG-1031185</v>
      </c>
      <c r="E7312" t="s">
        <v>79</v>
      </c>
      <c r="F7312" t="s">
        <v>4</v>
      </c>
      <c r="G7312" t="str">
        <f>""</f>
        <v/>
      </c>
    </row>
    <row r="7313" spans="1:7" x14ac:dyDescent="0.25">
      <c r="A7313" t="s">
        <v>8</v>
      </c>
      <c r="B7313" s="1" t="str">
        <f>"000222660 - RICHS TOPPINGS-SODEXO"</f>
        <v>000222660 - RICHS TOPPINGS-SODEXO</v>
      </c>
      <c r="C7313" t="s">
        <v>222</v>
      </c>
      <c r="D7313" s="1" t="str">
        <f t="shared" ref="D7313:D7344" si="209">"PRG-1031185"</f>
        <v>PRG-1031185</v>
      </c>
      <c r="E7313" t="s">
        <v>79</v>
      </c>
      <c r="F7313" t="s">
        <v>4</v>
      </c>
      <c r="G7313" t="str">
        <f>""</f>
        <v/>
      </c>
    </row>
    <row r="7314" spans="1:7" x14ac:dyDescent="0.25">
      <c r="A7314" t="s">
        <v>8</v>
      </c>
      <c r="B7314" s="1" t="str">
        <f>"000228904 - RICHS TOPPINGS-SODEXO"</f>
        <v>000228904 - RICHS TOPPINGS-SODEXO</v>
      </c>
      <c r="C7314" t="s">
        <v>222</v>
      </c>
      <c r="D7314" s="1" t="str">
        <f t="shared" si="209"/>
        <v>PRG-1031185</v>
      </c>
      <c r="E7314" t="s">
        <v>79</v>
      </c>
      <c r="F7314" t="s">
        <v>4</v>
      </c>
      <c r="G7314" t="str">
        <f>""</f>
        <v/>
      </c>
    </row>
    <row r="7315" spans="1:7" x14ac:dyDescent="0.25">
      <c r="A7315" t="s">
        <v>8</v>
      </c>
      <c r="B7315" s="1" t="str">
        <f>"000230457 - RICHS TOPPINGS-SODEXO"</f>
        <v>000230457 - RICHS TOPPINGS-SODEXO</v>
      </c>
      <c r="C7315" t="s">
        <v>222</v>
      </c>
      <c r="D7315" s="1" t="str">
        <f t="shared" si="209"/>
        <v>PRG-1031185</v>
      </c>
      <c r="E7315" t="s">
        <v>79</v>
      </c>
      <c r="F7315" t="s">
        <v>4</v>
      </c>
      <c r="G7315" t="str">
        <f>""</f>
        <v/>
      </c>
    </row>
    <row r="7316" spans="1:7" x14ac:dyDescent="0.25">
      <c r="A7316" t="s">
        <v>8</v>
      </c>
      <c r="B7316" s="1" t="str">
        <f>"000230754 - RICHS TOPPINGS-SODEXO"</f>
        <v>000230754 - RICHS TOPPINGS-SODEXO</v>
      </c>
      <c r="C7316" t="s">
        <v>222</v>
      </c>
      <c r="D7316" s="1" t="str">
        <f t="shared" si="209"/>
        <v>PRG-1031185</v>
      </c>
      <c r="E7316" t="s">
        <v>79</v>
      </c>
      <c r="F7316" t="s">
        <v>4</v>
      </c>
      <c r="G7316" t="str">
        <f>""</f>
        <v/>
      </c>
    </row>
    <row r="7317" spans="1:7" x14ac:dyDescent="0.25">
      <c r="A7317" t="s">
        <v>8</v>
      </c>
      <c r="B7317" s="1" t="str">
        <f>"000231029 - RICHS TOPPINGS-SODEXO"</f>
        <v>000231029 - RICHS TOPPINGS-SODEXO</v>
      </c>
      <c r="C7317" t="s">
        <v>222</v>
      </c>
      <c r="D7317" s="1" t="str">
        <f t="shared" si="209"/>
        <v>PRG-1031185</v>
      </c>
      <c r="E7317" t="s">
        <v>79</v>
      </c>
      <c r="F7317" t="s">
        <v>4</v>
      </c>
      <c r="G7317" t="str">
        <f>""</f>
        <v/>
      </c>
    </row>
    <row r="7318" spans="1:7" x14ac:dyDescent="0.25">
      <c r="A7318" t="s">
        <v>8</v>
      </c>
      <c r="B7318" s="1" t="str">
        <f>"000231763 - RICHS TOPPINGS-SODEXO"</f>
        <v>000231763 - RICHS TOPPINGS-SODEXO</v>
      </c>
      <c r="C7318" t="s">
        <v>222</v>
      </c>
      <c r="D7318" s="1" t="str">
        <f t="shared" si="209"/>
        <v>PRG-1031185</v>
      </c>
      <c r="E7318" t="s">
        <v>79</v>
      </c>
      <c r="F7318" t="s">
        <v>4</v>
      </c>
      <c r="G7318" t="str">
        <f>""</f>
        <v/>
      </c>
    </row>
    <row r="7319" spans="1:7" x14ac:dyDescent="0.25">
      <c r="A7319" t="s">
        <v>8</v>
      </c>
      <c r="B7319" s="1" t="str">
        <f>"000232146 - RICHS TOPPINGS-SODEXO"</f>
        <v>000232146 - RICHS TOPPINGS-SODEXO</v>
      </c>
      <c r="C7319" t="s">
        <v>222</v>
      </c>
      <c r="D7319" s="1" t="str">
        <f t="shared" si="209"/>
        <v>PRG-1031185</v>
      </c>
      <c r="E7319" t="s">
        <v>79</v>
      </c>
      <c r="F7319" t="s">
        <v>4</v>
      </c>
      <c r="G7319" t="str">
        <f>""</f>
        <v/>
      </c>
    </row>
    <row r="7320" spans="1:7" x14ac:dyDescent="0.25">
      <c r="A7320" t="s">
        <v>8</v>
      </c>
      <c r="B7320" s="1" t="str">
        <f>"000232207 - RICHS TOPPINGS-SODEXO"</f>
        <v>000232207 - RICHS TOPPINGS-SODEXO</v>
      </c>
      <c r="C7320" t="s">
        <v>222</v>
      </c>
      <c r="D7320" s="1" t="str">
        <f t="shared" si="209"/>
        <v>PRG-1031185</v>
      </c>
      <c r="E7320" t="s">
        <v>79</v>
      </c>
      <c r="F7320" t="s">
        <v>4</v>
      </c>
      <c r="G7320" t="str">
        <f>""</f>
        <v/>
      </c>
    </row>
    <row r="7321" spans="1:7" x14ac:dyDescent="0.25">
      <c r="A7321" t="s">
        <v>8</v>
      </c>
      <c r="B7321" s="1" t="str">
        <f>"000233009 - RICHS TOPPINGS-SODEXO"</f>
        <v>000233009 - RICHS TOPPINGS-SODEXO</v>
      </c>
      <c r="C7321" t="s">
        <v>222</v>
      </c>
      <c r="D7321" s="1" t="str">
        <f t="shared" si="209"/>
        <v>PRG-1031185</v>
      </c>
      <c r="E7321" t="s">
        <v>79</v>
      </c>
      <c r="F7321" t="s">
        <v>4</v>
      </c>
      <c r="G7321" t="str">
        <f>""</f>
        <v/>
      </c>
    </row>
    <row r="7322" spans="1:7" x14ac:dyDescent="0.25">
      <c r="A7322" t="s">
        <v>8</v>
      </c>
      <c r="B7322" s="1" t="str">
        <f>"000233895 - RICHS TOPPINGS-SODEXO"</f>
        <v>000233895 - RICHS TOPPINGS-SODEXO</v>
      </c>
      <c r="C7322" t="s">
        <v>222</v>
      </c>
      <c r="D7322" s="1" t="str">
        <f t="shared" si="209"/>
        <v>PRG-1031185</v>
      </c>
      <c r="E7322" t="s">
        <v>79</v>
      </c>
      <c r="F7322" t="s">
        <v>4</v>
      </c>
      <c r="G7322" t="str">
        <f>""</f>
        <v/>
      </c>
    </row>
    <row r="7323" spans="1:7" x14ac:dyDescent="0.25">
      <c r="A7323" t="s">
        <v>8</v>
      </c>
      <c r="B7323" s="1" t="str">
        <f>"000234093 - RICHS TOPPINGS-SODEXO"</f>
        <v>000234093 - RICHS TOPPINGS-SODEXO</v>
      </c>
      <c r="C7323" t="s">
        <v>222</v>
      </c>
      <c r="D7323" s="1" t="str">
        <f t="shared" si="209"/>
        <v>PRG-1031185</v>
      </c>
      <c r="E7323" t="s">
        <v>79</v>
      </c>
      <c r="F7323" t="s">
        <v>4</v>
      </c>
      <c r="G7323" t="str">
        <f>""</f>
        <v/>
      </c>
    </row>
    <row r="7324" spans="1:7" x14ac:dyDescent="0.25">
      <c r="A7324" t="s">
        <v>8</v>
      </c>
      <c r="B7324" s="1" t="str">
        <f>"000235276 - RICHS TOPPINGS-SODEXO"</f>
        <v>000235276 - RICHS TOPPINGS-SODEXO</v>
      </c>
      <c r="C7324" t="s">
        <v>222</v>
      </c>
      <c r="D7324" s="1" t="str">
        <f t="shared" si="209"/>
        <v>PRG-1031185</v>
      </c>
      <c r="E7324" t="s">
        <v>79</v>
      </c>
      <c r="F7324" t="s">
        <v>4</v>
      </c>
      <c r="G7324" t="str">
        <f>""</f>
        <v/>
      </c>
    </row>
    <row r="7325" spans="1:7" x14ac:dyDescent="0.25">
      <c r="A7325" t="s">
        <v>8</v>
      </c>
      <c r="B7325" s="1" t="str">
        <f>"000235888 - RICHS TOPPINGS-SODEXO"</f>
        <v>000235888 - RICHS TOPPINGS-SODEXO</v>
      </c>
      <c r="C7325" t="s">
        <v>222</v>
      </c>
      <c r="D7325" s="1" t="str">
        <f t="shared" si="209"/>
        <v>PRG-1031185</v>
      </c>
      <c r="E7325" t="s">
        <v>79</v>
      </c>
      <c r="F7325" t="s">
        <v>4</v>
      </c>
      <c r="G7325" t="str">
        <f>""</f>
        <v/>
      </c>
    </row>
    <row r="7326" spans="1:7" x14ac:dyDescent="0.25">
      <c r="A7326" t="s">
        <v>8</v>
      </c>
      <c r="B7326" s="1" t="str">
        <f>"000237249 - RICHS TOPPINGS-SODEXO"</f>
        <v>000237249 - RICHS TOPPINGS-SODEXO</v>
      </c>
      <c r="C7326" t="s">
        <v>222</v>
      </c>
      <c r="D7326" s="1" t="str">
        <f t="shared" si="209"/>
        <v>PRG-1031185</v>
      </c>
      <c r="E7326" t="s">
        <v>79</v>
      </c>
      <c r="F7326" t="s">
        <v>4</v>
      </c>
      <c r="G7326" t="str">
        <f>""</f>
        <v/>
      </c>
    </row>
    <row r="7327" spans="1:7" x14ac:dyDescent="0.25">
      <c r="A7327" t="s">
        <v>8</v>
      </c>
      <c r="B7327" s="1" t="str">
        <f>"000238583 - RICHS TOPPINGS-SODEXO"</f>
        <v>000238583 - RICHS TOPPINGS-SODEXO</v>
      </c>
      <c r="C7327" t="s">
        <v>222</v>
      </c>
      <c r="D7327" s="1" t="str">
        <f t="shared" si="209"/>
        <v>PRG-1031185</v>
      </c>
      <c r="E7327" t="s">
        <v>79</v>
      </c>
      <c r="F7327" t="s">
        <v>4</v>
      </c>
      <c r="G7327" t="str">
        <f>""</f>
        <v/>
      </c>
    </row>
    <row r="7328" spans="1:7" x14ac:dyDescent="0.25">
      <c r="A7328" t="s">
        <v>8</v>
      </c>
      <c r="B7328" s="1" t="str">
        <f>"000238989 - "</f>
        <v xml:space="preserve">000238989 - </v>
      </c>
      <c r="D7328" s="1" t="str">
        <f t="shared" si="209"/>
        <v>PRG-1031185</v>
      </c>
      <c r="E7328" t="s">
        <v>79</v>
      </c>
      <c r="F7328" t="s">
        <v>4</v>
      </c>
      <c r="G7328" t="str">
        <f>""</f>
        <v/>
      </c>
    </row>
    <row r="7329" spans="1:7" x14ac:dyDescent="0.25">
      <c r="A7329" t="s">
        <v>8</v>
      </c>
      <c r="B7329" s="1" t="str">
        <f>"000241056 - RICHS TOPPINGS-SODEXO"</f>
        <v>000241056 - RICHS TOPPINGS-SODEXO</v>
      </c>
      <c r="C7329" t="s">
        <v>222</v>
      </c>
      <c r="D7329" s="1" t="str">
        <f t="shared" si="209"/>
        <v>PRG-1031185</v>
      </c>
      <c r="E7329" t="s">
        <v>79</v>
      </c>
      <c r="F7329" t="s">
        <v>4</v>
      </c>
      <c r="G7329" t="str">
        <f>""</f>
        <v/>
      </c>
    </row>
    <row r="7330" spans="1:7" x14ac:dyDescent="0.25">
      <c r="A7330" t="s">
        <v>8</v>
      </c>
      <c r="B7330" s="1" t="str">
        <f>"000242242 - RICHS TOPPINGS-SODEXO"</f>
        <v>000242242 - RICHS TOPPINGS-SODEXO</v>
      </c>
      <c r="C7330" t="s">
        <v>222</v>
      </c>
      <c r="D7330" s="1" t="str">
        <f t="shared" si="209"/>
        <v>PRG-1031185</v>
      </c>
      <c r="E7330" t="s">
        <v>79</v>
      </c>
      <c r="F7330" t="s">
        <v>4</v>
      </c>
      <c r="G7330" t="str">
        <f>""</f>
        <v/>
      </c>
    </row>
    <row r="7331" spans="1:7" x14ac:dyDescent="0.25">
      <c r="A7331" t="s">
        <v>8</v>
      </c>
      <c r="B7331" s="1" t="str">
        <f>"000243396 - "</f>
        <v xml:space="preserve">000243396 - </v>
      </c>
      <c r="D7331" s="1" t="str">
        <f t="shared" si="209"/>
        <v>PRG-1031185</v>
      </c>
      <c r="E7331" t="s">
        <v>79</v>
      </c>
      <c r="F7331" t="s">
        <v>4</v>
      </c>
      <c r="G7331" t="str">
        <f>""</f>
        <v/>
      </c>
    </row>
    <row r="7332" spans="1:7" x14ac:dyDescent="0.25">
      <c r="A7332" t="s">
        <v>8</v>
      </c>
      <c r="B7332" s="1" t="str">
        <f>"000243526 - RICHS TOPPINGS-SODEXO"</f>
        <v>000243526 - RICHS TOPPINGS-SODEXO</v>
      </c>
      <c r="C7332" t="s">
        <v>222</v>
      </c>
      <c r="D7332" s="1" t="str">
        <f t="shared" si="209"/>
        <v>PRG-1031185</v>
      </c>
      <c r="E7332" t="s">
        <v>79</v>
      </c>
      <c r="F7332" t="s">
        <v>4</v>
      </c>
      <c r="G7332" t="str">
        <f>""</f>
        <v/>
      </c>
    </row>
    <row r="7333" spans="1:7" x14ac:dyDescent="0.25">
      <c r="A7333" t="s">
        <v>8</v>
      </c>
      <c r="B7333" s="1" t="str">
        <f>"000245739 - RICHS TOPPINGS-SODEXO"</f>
        <v>000245739 - RICHS TOPPINGS-SODEXO</v>
      </c>
      <c r="C7333" t="s">
        <v>222</v>
      </c>
      <c r="D7333" s="1" t="str">
        <f t="shared" si="209"/>
        <v>PRG-1031185</v>
      </c>
      <c r="E7333" t="s">
        <v>79</v>
      </c>
      <c r="F7333" t="s">
        <v>4</v>
      </c>
      <c r="G7333" t="str">
        <f>""</f>
        <v/>
      </c>
    </row>
    <row r="7334" spans="1:7" x14ac:dyDescent="0.25">
      <c r="A7334" t="s">
        <v>8</v>
      </c>
      <c r="B7334" s="1" t="str">
        <f>"000246456 - "</f>
        <v xml:space="preserve">000246456 - </v>
      </c>
      <c r="D7334" s="1" t="str">
        <f t="shared" si="209"/>
        <v>PRG-1031185</v>
      </c>
      <c r="E7334" t="s">
        <v>79</v>
      </c>
      <c r="F7334" t="s">
        <v>4</v>
      </c>
      <c r="G7334" t="str">
        <f>""</f>
        <v/>
      </c>
    </row>
    <row r="7335" spans="1:7" x14ac:dyDescent="0.25">
      <c r="A7335" t="s">
        <v>8</v>
      </c>
      <c r="B7335" s="1" t="str">
        <f>"000246756 - RICHS TOPPINGS-SODEXO"</f>
        <v>000246756 - RICHS TOPPINGS-SODEXO</v>
      </c>
      <c r="C7335" t="s">
        <v>222</v>
      </c>
      <c r="D7335" s="1" t="str">
        <f t="shared" si="209"/>
        <v>PRG-1031185</v>
      </c>
      <c r="E7335" t="s">
        <v>79</v>
      </c>
      <c r="F7335" t="s">
        <v>4</v>
      </c>
      <c r="G7335" t="str">
        <f>""</f>
        <v/>
      </c>
    </row>
    <row r="7336" spans="1:7" x14ac:dyDescent="0.25">
      <c r="A7336" t="s">
        <v>8</v>
      </c>
      <c r="B7336" s="1" t="str">
        <f>"000248478 - RICHS TOPPINGS-SODEXO"</f>
        <v>000248478 - RICHS TOPPINGS-SODEXO</v>
      </c>
      <c r="C7336" t="s">
        <v>222</v>
      </c>
      <c r="D7336" s="1" t="str">
        <f t="shared" si="209"/>
        <v>PRG-1031185</v>
      </c>
      <c r="E7336" t="s">
        <v>79</v>
      </c>
      <c r="F7336" t="s">
        <v>4</v>
      </c>
      <c r="G7336" t="str">
        <f>""</f>
        <v/>
      </c>
    </row>
    <row r="7337" spans="1:7" x14ac:dyDescent="0.25">
      <c r="A7337" t="s">
        <v>8</v>
      </c>
      <c r="B7337" s="1" t="str">
        <f>"000249280 - RICHS TOPPINGS-SODEXO"</f>
        <v>000249280 - RICHS TOPPINGS-SODEXO</v>
      </c>
      <c r="C7337" t="s">
        <v>222</v>
      </c>
      <c r="D7337" s="1" t="str">
        <f t="shared" si="209"/>
        <v>PRG-1031185</v>
      </c>
      <c r="E7337" t="s">
        <v>79</v>
      </c>
      <c r="F7337" t="s">
        <v>4</v>
      </c>
      <c r="G7337" t="str">
        <f>""</f>
        <v/>
      </c>
    </row>
    <row r="7338" spans="1:7" x14ac:dyDescent="0.25">
      <c r="A7338" t="s">
        <v>8</v>
      </c>
      <c r="B7338" s="1" t="str">
        <f>"000250661 - RICHS TOPPINGS-SODEXO"</f>
        <v>000250661 - RICHS TOPPINGS-SODEXO</v>
      </c>
      <c r="C7338" t="s">
        <v>222</v>
      </c>
      <c r="D7338" s="1" t="str">
        <f t="shared" si="209"/>
        <v>PRG-1031185</v>
      </c>
      <c r="E7338" t="s">
        <v>79</v>
      </c>
      <c r="F7338" t="s">
        <v>4</v>
      </c>
      <c r="G7338" t="str">
        <f>""</f>
        <v/>
      </c>
    </row>
    <row r="7339" spans="1:7" x14ac:dyDescent="0.25">
      <c r="A7339" t="s">
        <v>8</v>
      </c>
      <c r="B7339" s="1" t="str">
        <f>"000251628 - RICHS TOPPINGS-SODEXO"</f>
        <v>000251628 - RICHS TOPPINGS-SODEXO</v>
      </c>
      <c r="C7339" t="s">
        <v>222</v>
      </c>
      <c r="D7339" s="1" t="str">
        <f t="shared" si="209"/>
        <v>PRG-1031185</v>
      </c>
      <c r="E7339" t="s">
        <v>79</v>
      </c>
      <c r="F7339" t="s">
        <v>4</v>
      </c>
      <c r="G7339" t="str">
        <f>""</f>
        <v/>
      </c>
    </row>
    <row r="7340" spans="1:7" x14ac:dyDescent="0.25">
      <c r="A7340" t="s">
        <v>8</v>
      </c>
      <c r="B7340" s="1" t="str">
        <f>"000251940 - RICHS TOPPINGS-SODEXO"</f>
        <v>000251940 - RICHS TOPPINGS-SODEXO</v>
      </c>
      <c r="C7340" t="s">
        <v>222</v>
      </c>
      <c r="D7340" s="1" t="str">
        <f t="shared" si="209"/>
        <v>PRG-1031185</v>
      </c>
      <c r="E7340" t="s">
        <v>79</v>
      </c>
      <c r="F7340" t="s">
        <v>4</v>
      </c>
      <c r="G7340" t="str">
        <f>""</f>
        <v/>
      </c>
    </row>
    <row r="7341" spans="1:7" x14ac:dyDescent="0.25">
      <c r="A7341" t="s">
        <v>8</v>
      </c>
      <c r="B7341" s="1" t="str">
        <f>"000253289 - RICHS TOPPINGS-SODEXO"</f>
        <v>000253289 - RICHS TOPPINGS-SODEXO</v>
      </c>
      <c r="C7341" t="s">
        <v>222</v>
      </c>
      <c r="D7341" s="1" t="str">
        <f t="shared" si="209"/>
        <v>PRG-1031185</v>
      </c>
      <c r="E7341" t="s">
        <v>79</v>
      </c>
      <c r="F7341" t="s">
        <v>4</v>
      </c>
      <c r="G7341" t="str">
        <f>""</f>
        <v/>
      </c>
    </row>
    <row r="7342" spans="1:7" x14ac:dyDescent="0.25">
      <c r="A7342" t="s">
        <v>8</v>
      </c>
      <c r="B7342" s="1" t="str">
        <f>"000253611 - RICHS TOPPINGS-SODEXO"</f>
        <v>000253611 - RICHS TOPPINGS-SODEXO</v>
      </c>
      <c r="C7342" t="s">
        <v>222</v>
      </c>
      <c r="D7342" s="1" t="str">
        <f t="shared" si="209"/>
        <v>PRG-1031185</v>
      </c>
      <c r="E7342" t="s">
        <v>79</v>
      </c>
      <c r="F7342" t="s">
        <v>4</v>
      </c>
      <c r="G7342" t="str">
        <f>""</f>
        <v/>
      </c>
    </row>
    <row r="7343" spans="1:7" x14ac:dyDescent="0.25">
      <c r="A7343" t="s">
        <v>8</v>
      </c>
      <c r="B7343" s="1" t="str">
        <f>"000254201 - RICHS TOPPINGS-SODEXO"</f>
        <v>000254201 - RICHS TOPPINGS-SODEXO</v>
      </c>
      <c r="C7343" t="s">
        <v>222</v>
      </c>
      <c r="D7343" s="1" t="str">
        <f t="shared" si="209"/>
        <v>PRG-1031185</v>
      </c>
      <c r="E7343" t="s">
        <v>79</v>
      </c>
      <c r="F7343" t="s">
        <v>4</v>
      </c>
      <c r="G7343" t="str">
        <f>""</f>
        <v/>
      </c>
    </row>
    <row r="7344" spans="1:7" x14ac:dyDescent="0.25">
      <c r="A7344" t="s">
        <v>8</v>
      </c>
      <c r="B7344" s="1" t="str">
        <f>"000254413 - RICHS TOPPINGS-SODEXO"</f>
        <v>000254413 - RICHS TOPPINGS-SODEXO</v>
      </c>
      <c r="C7344" t="s">
        <v>222</v>
      </c>
      <c r="D7344" s="1" t="str">
        <f t="shared" si="209"/>
        <v>PRG-1031185</v>
      </c>
      <c r="E7344" t="s">
        <v>79</v>
      </c>
      <c r="F7344" t="s">
        <v>4</v>
      </c>
      <c r="G7344" t="str">
        <f>""</f>
        <v/>
      </c>
    </row>
    <row r="7345" spans="1:7" x14ac:dyDescent="0.25">
      <c r="A7345" t="s">
        <v>8</v>
      </c>
      <c r="B7345" s="1" t="str">
        <f>"000254803 - RICHS TOPPINGS-SODEXO"</f>
        <v>000254803 - RICHS TOPPINGS-SODEXO</v>
      </c>
      <c r="C7345" t="s">
        <v>222</v>
      </c>
      <c r="D7345" s="1" t="str">
        <f t="shared" ref="D7345:D7376" si="210">"PRG-1031185"</f>
        <v>PRG-1031185</v>
      </c>
      <c r="E7345" t="s">
        <v>79</v>
      </c>
      <c r="F7345" t="s">
        <v>4</v>
      </c>
      <c r="G7345" t="str">
        <f>""</f>
        <v/>
      </c>
    </row>
    <row r="7346" spans="1:7" x14ac:dyDescent="0.25">
      <c r="A7346" t="s">
        <v>8</v>
      </c>
      <c r="B7346" s="1" t="str">
        <f>"000255679 - RICHS TOPPINGS-SODEXO"</f>
        <v>000255679 - RICHS TOPPINGS-SODEXO</v>
      </c>
      <c r="C7346" t="s">
        <v>222</v>
      </c>
      <c r="D7346" s="1" t="str">
        <f t="shared" si="210"/>
        <v>PRG-1031185</v>
      </c>
      <c r="E7346" t="s">
        <v>79</v>
      </c>
      <c r="F7346" t="s">
        <v>4</v>
      </c>
      <c r="G7346" t="str">
        <f>""</f>
        <v/>
      </c>
    </row>
    <row r="7347" spans="1:7" x14ac:dyDescent="0.25">
      <c r="A7347" t="s">
        <v>8</v>
      </c>
      <c r="B7347" s="1" t="str">
        <f>"000256095 - RICHS TOPPINGS-SODEXO"</f>
        <v>000256095 - RICHS TOPPINGS-SODEXO</v>
      </c>
      <c r="C7347" t="s">
        <v>222</v>
      </c>
      <c r="D7347" s="1" t="str">
        <f t="shared" si="210"/>
        <v>PRG-1031185</v>
      </c>
      <c r="E7347" t="s">
        <v>79</v>
      </c>
      <c r="F7347" t="s">
        <v>4</v>
      </c>
      <c r="G7347" t="str">
        <f>""</f>
        <v/>
      </c>
    </row>
    <row r="7348" spans="1:7" x14ac:dyDescent="0.25">
      <c r="A7348" t="s">
        <v>8</v>
      </c>
      <c r="B7348" s="1" t="str">
        <f>"000256290 - RICHS TOPPINGS-SODEXO"</f>
        <v>000256290 - RICHS TOPPINGS-SODEXO</v>
      </c>
      <c r="C7348" t="s">
        <v>222</v>
      </c>
      <c r="D7348" s="1" t="str">
        <f t="shared" si="210"/>
        <v>PRG-1031185</v>
      </c>
      <c r="E7348" t="s">
        <v>79</v>
      </c>
      <c r="F7348" t="s">
        <v>4</v>
      </c>
      <c r="G7348" t="str">
        <f>""</f>
        <v/>
      </c>
    </row>
    <row r="7349" spans="1:7" x14ac:dyDescent="0.25">
      <c r="A7349" t="s">
        <v>8</v>
      </c>
      <c r="B7349" s="1" t="str">
        <f>"000256885 - RICHS TOPPINGS-SODEXO"</f>
        <v>000256885 - RICHS TOPPINGS-SODEXO</v>
      </c>
      <c r="C7349" t="s">
        <v>222</v>
      </c>
      <c r="D7349" s="1" t="str">
        <f t="shared" si="210"/>
        <v>PRG-1031185</v>
      </c>
      <c r="E7349" t="s">
        <v>79</v>
      </c>
      <c r="F7349" t="s">
        <v>4</v>
      </c>
      <c r="G7349" t="str">
        <f>""</f>
        <v/>
      </c>
    </row>
    <row r="7350" spans="1:7" x14ac:dyDescent="0.25">
      <c r="A7350" t="s">
        <v>8</v>
      </c>
      <c r="B7350" s="1" t="str">
        <f>"000257202 - RICHS TOPPINGS-SODEXO"</f>
        <v>000257202 - RICHS TOPPINGS-SODEXO</v>
      </c>
      <c r="C7350" t="s">
        <v>222</v>
      </c>
      <c r="D7350" s="1" t="str">
        <f t="shared" si="210"/>
        <v>PRG-1031185</v>
      </c>
      <c r="E7350" t="s">
        <v>79</v>
      </c>
      <c r="F7350" t="s">
        <v>4</v>
      </c>
      <c r="G7350" t="str">
        <f>""</f>
        <v/>
      </c>
    </row>
    <row r="7351" spans="1:7" x14ac:dyDescent="0.25">
      <c r="A7351" t="s">
        <v>8</v>
      </c>
      <c r="B7351" s="1" t="str">
        <f>"000258214 - RICHS TOPPINGS-SODEXO"</f>
        <v>000258214 - RICHS TOPPINGS-SODEXO</v>
      </c>
      <c r="C7351" t="s">
        <v>222</v>
      </c>
      <c r="D7351" s="1" t="str">
        <f t="shared" si="210"/>
        <v>PRG-1031185</v>
      </c>
      <c r="E7351" t="s">
        <v>79</v>
      </c>
      <c r="F7351" t="s">
        <v>4</v>
      </c>
      <c r="G7351" t="str">
        <f>""</f>
        <v/>
      </c>
    </row>
    <row r="7352" spans="1:7" x14ac:dyDescent="0.25">
      <c r="A7352" t="s">
        <v>8</v>
      </c>
      <c r="B7352" s="1" t="str">
        <f>"000258242 - RICHS TOPPINGS-SODEXO"</f>
        <v>000258242 - RICHS TOPPINGS-SODEXO</v>
      </c>
      <c r="C7352" t="s">
        <v>222</v>
      </c>
      <c r="D7352" s="1" t="str">
        <f t="shared" si="210"/>
        <v>PRG-1031185</v>
      </c>
      <c r="E7352" t="s">
        <v>79</v>
      </c>
      <c r="F7352" t="s">
        <v>4</v>
      </c>
      <c r="G7352" t="str">
        <f>""</f>
        <v/>
      </c>
    </row>
    <row r="7353" spans="1:7" x14ac:dyDescent="0.25">
      <c r="A7353" t="s">
        <v>8</v>
      </c>
      <c r="B7353" s="1" t="str">
        <f>"000258400 - RICHS TOPPINGS-SODEXO"</f>
        <v>000258400 - RICHS TOPPINGS-SODEXO</v>
      </c>
      <c r="C7353" t="s">
        <v>222</v>
      </c>
      <c r="D7353" s="1" t="str">
        <f t="shared" si="210"/>
        <v>PRG-1031185</v>
      </c>
      <c r="E7353" t="s">
        <v>79</v>
      </c>
      <c r="F7353" t="s">
        <v>4</v>
      </c>
      <c r="G7353" t="str">
        <f>""</f>
        <v/>
      </c>
    </row>
    <row r="7354" spans="1:7" x14ac:dyDescent="0.25">
      <c r="A7354" t="s">
        <v>8</v>
      </c>
      <c r="B7354" s="1" t="str">
        <f>"000259263 - RICHS TOPPINGS-SODEXO"</f>
        <v>000259263 - RICHS TOPPINGS-SODEXO</v>
      </c>
      <c r="C7354" t="s">
        <v>222</v>
      </c>
      <c r="D7354" s="1" t="str">
        <f t="shared" si="210"/>
        <v>PRG-1031185</v>
      </c>
      <c r="E7354" t="s">
        <v>79</v>
      </c>
      <c r="F7354" t="s">
        <v>4</v>
      </c>
      <c r="G7354" t="str">
        <f>""</f>
        <v/>
      </c>
    </row>
    <row r="7355" spans="1:7" x14ac:dyDescent="0.25">
      <c r="A7355" t="s">
        <v>8</v>
      </c>
      <c r="B7355" s="1" t="str">
        <f>"000259764 - RICHS TOPPINGS-SODEXO"</f>
        <v>000259764 - RICHS TOPPINGS-SODEXO</v>
      </c>
      <c r="C7355" t="s">
        <v>222</v>
      </c>
      <c r="D7355" s="1" t="str">
        <f t="shared" si="210"/>
        <v>PRG-1031185</v>
      </c>
      <c r="E7355" t="s">
        <v>79</v>
      </c>
      <c r="F7355" t="s">
        <v>4</v>
      </c>
      <c r="G7355" t="str">
        <f>""</f>
        <v/>
      </c>
    </row>
    <row r="7356" spans="1:7" x14ac:dyDescent="0.25">
      <c r="A7356" t="s">
        <v>8</v>
      </c>
      <c r="B7356" s="1" t="str">
        <f>"000260650 - RICHS TOPPINGS-SODEXO"</f>
        <v>000260650 - RICHS TOPPINGS-SODEXO</v>
      </c>
      <c r="C7356" t="s">
        <v>222</v>
      </c>
      <c r="D7356" s="1" t="str">
        <f t="shared" si="210"/>
        <v>PRG-1031185</v>
      </c>
      <c r="E7356" t="s">
        <v>79</v>
      </c>
      <c r="F7356" t="s">
        <v>4</v>
      </c>
      <c r="G7356" t="str">
        <f>""</f>
        <v/>
      </c>
    </row>
    <row r="7357" spans="1:7" x14ac:dyDescent="0.25">
      <c r="A7357" t="s">
        <v>8</v>
      </c>
      <c r="B7357" s="1" t="str">
        <f>"000260692 - RICHS TOPPINGS-SODEXO"</f>
        <v>000260692 - RICHS TOPPINGS-SODEXO</v>
      </c>
      <c r="C7357" t="s">
        <v>222</v>
      </c>
      <c r="D7357" s="1" t="str">
        <f t="shared" si="210"/>
        <v>PRG-1031185</v>
      </c>
      <c r="E7357" t="s">
        <v>79</v>
      </c>
      <c r="F7357" t="s">
        <v>4</v>
      </c>
      <c r="G7357" t="str">
        <f>""</f>
        <v/>
      </c>
    </row>
    <row r="7358" spans="1:7" x14ac:dyDescent="0.25">
      <c r="A7358" t="s">
        <v>8</v>
      </c>
      <c r="B7358" s="1" t="str">
        <f>"000261990 - RICHS TOPPINGS-SODEXO"</f>
        <v>000261990 - RICHS TOPPINGS-SODEXO</v>
      </c>
      <c r="C7358" t="s">
        <v>222</v>
      </c>
      <c r="D7358" s="1" t="str">
        <f t="shared" si="210"/>
        <v>PRG-1031185</v>
      </c>
      <c r="E7358" t="s">
        <v>79</v>
      </c>
      <c r="F7358" t="s">
        <v>4</v>
      </c>
      <c r="G7358" t="str">
        <f>""</f>
        <v/>
      </c>
    </row>
    <row r="7359" spans="1:7" x14ac:dyDescent="0.25">
      <c r="A7359" t="s">
        <v>8</v>
      </c>
      <c r="B7359" s="1" t="str">
        <f>"000262427 - RICHS TOPPINGS-SODEXO"</f>
        <v>000262427 - RICHS TOPPINGS-SODEXO</v>
      </c>
      <c r="C7359" t="s">
        <v>222</v>
      </c>
      <c r="D7359" s="1" t="str">
        <f t="shared" si="210"/>
        <v>PRG-1031185</v>
      </c>
      <c r="E7359" t="s">
        <v>79</v>
      </c>
      <c r="F7359" t="s">
        <v>4</v>
      </c>
      <c r="G7359" t="str">
        <f>""</f>
        <v/>
      </c>
    </row>
    <row r="7360" spans="1:7" x14ac:dyDescent="0.25">
      <c r="A7360" t="s">
        <v>8</v>
      </c>
      <c r="B7360" s="1" t="str">
        <f>"000263105 - RICHS TOPPINGS-SODEXO"</f>
        <v>000263105 - RICHS TOPPINGS-SODEXO</v>
      </c>
      <c r="C7360" t="s">
        <v>222</v>
      </c>
      <c r="D7360" s="1" t="str">
        <f t="shared" si="210"/>
        <v>PRG-1031185</v>
      </c>
      <c r="E7360" t="s">
        <v>79</v>
      </c>
      <c r="F7360" t="s">
        <v>4</v>
      </c>
      <c r="G7360" t="str">
        <f>""</f>
        <v/>
      </c>
    </row>
    <row r="7361" spans="1:7" x14ac:dyDescent="0.25">
      <c r="A7361" t="s">
        <v>8</v>
      </c>
      <c r="B7361" s="1" t="str">
        <f>"000263311 - RICHS TOPPINGS-SODEXO"</f>
        <v>000263311 - RICHS TOPPINGS-SODEXO</v>
      </c>
      <c r="C7361" t="s">
        <v>222</v>
      </c>
      <c r="D7361" s="1" t="str">
        <f t="shared" si="210"/>
        <v>PRG-1031185</v>
      </c>
      <c r="E7361" t="s">
        <v>79</v>
      </c>
      <c r="F7361" t="s">
        <v>4</v>
      </c>
      <c r="G7361" t="str">
        <f>""</f>
        <v/>
      </c>
    </row>
    <row r="7362" spans="1:7" x14ac:dyDescent="0.25">
      <c r="A7362" t="s">
        <v>8</v>
      </c>
      <c r="B7362" s="1" t="str">
        <f>"000265531 - RICHS TOPPINGS-SODEXO"</f>
        <v>000265531 - RICHS TOPPINGS-SODEXO</v>
      </c>
      <c r="C7362" t="s">
        <v>222</v>
      </c>
      <c r="D7362" s="1" t="str">
        <f t="shared" si="210"/>
        <v>PRG-1031185</v>
      </c>
      <c r="E7362" t="s">
        <v>79</v>
      </c>
      <c r="F7362" t="s">
        <v>4</v>
      </c>
      <c r="G7362" t="str">
        <f>""</f>
        <v/>
      </c>
    </row>
    <row r="7363" spans="1:7" x14ac:dyDescent="0.25">
      <c r="A7363" t="s">
        <v>8</v>
      </c>
      <c r="B7363" s="1" t="str">
        <f>"000275003 - "</f>
        <v xml:space="preserve">000275003 - </v>
      </c>
      <c r="D7363" s="1" t="str">
        <f t="shared" si="210"/>
        <v>PRG-1031185</v>
      </c>
      <c r="E7363" t="s">
        <v>79</v>
      </c>
      <c r="F7363" t="s">
        <v>4</v>
      </c>
      <c r="G7363" t="str">
        <f>""</f>
        <v/>
      </c>
    </row>
    <row r="7364" spans="1:7" x14ac:dyDescent="0.25">
      <c r="A7364" t="s">
        <v>8</v>
      </c>
      <c r="B7364" s="1" t="str">
        <f>"000282419 - RICHS TOPPINGS-SODEXO"</f>
        <v>000282419 - RICHS TOPPINGS-SODEXO</v>
      </c>
      <c r="C7364" t="s">
        <v>222</v>
      </c>
      <c r="D7364" s="1" t="str">
        <f t="shared" si="210"/>
        <v>PRG-1031185</v>
      </c>
      <c r="E7364" t="s">
        <v>79</v>
      </c>
      <c r="F7364" t="s">
        <v>4</v>
      </c>
      <c r="G7364" t="str">
        <f>""</f>
        <v/>
      </c>
    </row>
    <row r="7365" spans="1:7" x14ac:dyDescent="0.25">
      <c r="A7365" t="s">
        <v>8</v>
      </c>
      <c r="B7365" s="1" t="str">
        <f>"000284228 - RICHS TOPPINGS-SODEXO"</f>
        <v>000284228 - RICHS TOPPINGS-SODEXO</v>
      </c>
      <c r="C7365" t="s">
        <v>222</v>
      </c>
      <c r="D7365" s="1" t="str">
        <f t="shared" si="210"/>
        <v>PRG-1031185</v>
      </c>
      <c r="E7365" t="s">
        <v>79</v>
      </c>
      <c r="F7365" t="s">
        <v>4</v>
      </c>
      <c r="G7365" t="str">
        <f>""</f>
        <v/>
      </c>
    </row>
    <row r="7366" spans="1:7" x14ac:dyDescent="0.25">
      <c r="A7366" t="s">
        <v>8</v>
      </c>
      <c r="B7366" s="1" t="str">
        <f>"000286935 - RICHS TOPPINGS-SODEXO"</f>
        <v>000286935 - RICHS TOPPINGS-SODEXO</v>
      </c>
      <c r="C7366" t="s">
        <v>222</v>
      </c>
      <c r="D7366" s="1" t="str">
        <f t="shared" si="210"/>
        <v>PRG-1031185</v>
      </c>
      <c r="E7366" t="s">
        <v>79</v>
      </c>
      <c r="F7366" t="s">
        <v>4</v>
      </c>
      <c r="G7366" t="str">
        <f>""</f>
        <v/>
      </c>
    </row>
    <row r="7367" spans="1:7" x14ac:dyDescent="0.25">
      <c r="A7367" t="s">
        <v>8</v>
      </c>
      <c r="B7367" s="1" t="str">
        <f>"000293261 - RICHS TOPPINGS-SODEXO"</f>
        <v>000293261 - RICHS TOPPINGS-SODEXO</v>
      </c>
      <c r="C7367" t="s">
        <v>222</v>
      </c>
      <c r="D7367" s="1" t="str">
        <f t="shared" si="210"/>
        <v>PRG-1031185</v>
      </c>
      <c r="E7367" t="s">
        <v>79</v>
      </c>
      <c r="F7367" t="s">
        <v>4</v>
      </c>
      <c r="G7367" t="str">
        <f>""</f>
        <v/>
      </c>
    </row>
    <row r="7368" spans="1:7" x14ac:dyDescent="0.25">
      <c r="A7368" t="s">
        <v>8</v>
      </c>
      <c r="B7368" s="1" t="str">
        <f>"000294694 - RICHS TOPPINGS-SODEXO"</f>
        <v>000294694 - RICHS TOPPINGS-SODEXO</v>
      </c>
      <c r="C7368" t="s">
        <v>222</v>
      </c>
      <c r="D7368" s="1" t="str">
        <f t="shared" si="210"/>
        <v>PRG-1031185</v>
      </c>
      <c r="E7368" t="s">
        <v>79</v>
      </c>
      <c r="F7368" t="s">
        <v>4</v>
      </c>
      <c r="G7368" t="str">
        <f>""</f>
        <v/>
      </c>
    </row>
    <row r="7369" spans="1:7" x14ac:dyDescent="0.25">
      <c r="A7369" t="s">
        <v>8</v>
      </c>
      <c r="B7369" s="1" t="str">
        <f>"000297244 - RICHS TOPPINGS-SODEXO"</f>
        <v>000297244 - RICHS TOPPINGS-SODEXO</v>
      </c>
      <c r="C7369" t="s">
        <v>222</v>
      </c>
      <c r="D7369" s="1" t="str">
        <f t="shared" si="210"/>
        <v>PRG-1031185</v>
      </c>
      <c r="E7369" t="s">
        <v>79</v>
      </c>
      <c r="F7369" t="s">
        <v>4</v>
      </c>
      <c r="G7369" t="str">
        <f>""</f>
        <v/>
      </c>
    </row>
    <row r="7370" spans="1:7" x14ac:dyDescent="0.25">
      <c r="A7370" t="s">
        <v>8</v>
      </c>
      <c r="B7370" s="1" t="str">
        <f>"000300496 - RICHS TOPPINGS-SODEXO"</f>
        <v>000300496 - RICHS TOPPINGS-SODEXO</v>
      </c>
      <c r="C7370" t="s">
        <v>222</v>
      </c>
      <c r="D7370" s="1" t="str">
        <f t="shared" si="210"/>
        <v>PRG-1031185</v>
      </c>
      <c r="E7370" t="s">
        <v>79</v>
      </c>
      <c r="F7370" t="s">
        <v>4</v>
      </c>
      <c r="G7370" t="str">
        <f>""</f>
        <v/>
      </c>
    </row>
    <row r="7371" spans="1:7" x14ac:dyDescent="0.25">
      <c r="A7371" t="s">
        <v>8</v>
      </c>
      <c r="B7371" s="1" t="str">
        <f>"000300935 - "</f>
        <v xml:space="preserve">000300935 - </v>
      </c>
      <c r="D7371" s="1" t="str">
        <f t="shared" si="210"/>
        <v>PRG-1031185</v>
      </c>
      <c r="E7371" t="s">
        <v>79</v>
      </c>
      <c r="F7371" t="s">
        <v>4</v>
      </c>
      <c r="G7371" t="str">
        <f>""</f>
        <v/>
      </c>
    </row>
    <row r="7372" spans="1:7" x14ac:dyDescent="0.25">
      <c r="A7372" t="s">
        <v>8</v>
      </c>
      <c r="B7372" s="1" t="str">
        <f>"000302754 - "</f>
        <v xml:space="preserve">000302754 - </v>
      </c>
      <c r="D7372" s="1" t="str">
        <f t="shared" si="210"/>
        <v>PRG-1031185</v>
      </c>
      <c r="E7372" t="s">
        <v>79</v>
      </c>
      <c r="F7372" t="s">
        <v>4</v>
      </c>
      <c r="G7372" t="str">
        <f>""</f>
        <v/>
      </c>
    </row>
    <row r="7373" spans="1:7" x14ac:dyDescent="0.25">
      <c r="A7373" t="s">
        <v>8</v>
      </c>
      <c r="B7373" s="1" t="str">
        <f>"000304024 - RICHS TOPPINGS-SODEXO"</f>
        <v>000304024 - RICHS TOPPINGS-SODEXO</v>
      </c>
      <c r="C7373" t="s">
        <v>222</v>
      </c>
      <c r="D7373" s="1" t="str">
        <f t="shared" si="210"/>
        <v>PRG-1031185</v>
      </c>
      <c r="E7373" t="s">
        <v>79</v>
      </c>
      <c r="F7373" t="s">
        <v>4</v>
      </c>
      <c r="G7373" t="str">
        <f>""</f>
        <v/>
      </c>
    </row>
    <row r="7374" spans="1:7" x14ac:dyDescent="0.25">
      <c r="A7374" t="s">
        <v>8</v>
      </c>
      <c r="B7374" s="1" t="str">
        <f>"000304045 - "</f>
        <v xml:space="preserve">000304045 - </v>
      </c>
      <c r="D7374" s="1" t="str">
        <f t="shared" si="210"/>
        <v>PRG-1031185</v>
      </c>
      <c r="E7374" t="s">
        <v>79</v>
      </c>
      <c r="F7374" t="s">
        <v>4</v>
      </c>
      <c r="G7374" t="str">
        <f>""</f>
        <v/>
      </c>
    </row>
    <row r="7375" spans="1:7" x14ac:dyDescent="0.25">
      <c r="A7375" t="s">
        <v>8</v>
      </c>
      <c r="B7375" s="1" t="str">
        <f>"000319634 - RICHS TOPPINGS-SODEXO"</f>
        <v>000319634 - RICHS TOPPINGS-SODEXO</v>
      </c>
      <c r="C7375" t="s">
        <v>222</v>
      </c>
      <c r="D7375" s="1" t="str">
        <f t="shared" si="210"/>
        <v>PRG-1031185</v>
      </c>
      <c r="E7375" t="s">
        <v>79</v>
      </c>
      <c r="F7375" t="s">
        <v>4</v>
      </c>
      <c r="G7375" t="str">
        <f>""</f>
        <v/>
      </c>
    </row>
    <row r="7376" spans="1:7" x14ac:dyDescent="0.25">
      <c r="A7376" t="s">
        <v>8</v>
      </c>
      <c r="B7376" s="1" t="str">
        <f>"000321395 - RICHS TOPPINGS-SODEXO"</f>
        <v>000321395 - RICHS TOPPINGS-SODEXO</v>
      </c>
      <c r="C7376" t="s">
        <v>222</v>
      </c>
      <c r="D7376" s="1" t="str">
        <f t="shared" si="210"/>
        <v>PRG-1031185</v>
      </c>
      <c r="E7376" t="s">
        <v>79</v>
      </c>
      <c r="F7376" t="s">
        <v>4</v>
      </c>
      <c r="G7376" t="str">
        <f>""</f>
        <v/>
      </c>
    </row>
    <row r="7377" spans="1:7" x14ac:dyDescent="0.25">
      <c r="A7377" t="s">
        <v>8</v>
      </c>
      <c r="B7377" s="1" t="str">
        <f>"000324433 - RICHS TOPPINGS-SODEXO"</f>
        <v>000324433 - RICHS TOPPINGS-SODEXO</v>
      </c>
      <c r="C7377" t="s">
        <v>222</v>
      </c>
      <c r="D7377" s="1" t="str">
        <f t="shared" ref="D7377:D7388" si="211">"PRG-1031185"</f>
        <v>PRG-1031185</v>
      </c>
      <c r="E7377" t="s">
        <v>79</v>
      </c>
      <c r="F7377" t="s">
        <v>4</v>
      </c>
      <c r="G7377" t="str">
        <f>""</f>
        <v/>
      </c>
    </row>
    <row r="7378" spans="1:7" x14ac:dyDescent="0.25">
      <c r="A7378" t="s">
        <v>8</v>
      </c>
      <c r="B7378" s="1" t="str">
        <f>"000325347 - "</f>
        <v xml:space="preserve">000325347 - </v>
      </c>
      <c r="D7378" s="1" t="str">
        <f t="shared" si="211"/>
        <v>PRG-1031185</v>
      </c>
      <c r="E7378" t="s">
        <v>79</v>
      </c>
      <c r="F7378" t="s">
        <v>4</v>
      </c>
      <c r="G7378" t="str">
        <f>""</f>
        <v/>
      </c>
    </row>
    <row r="7379" spans="1:7" x14ac:dyDescent="0.25">
      <c r="A7379" t="s">
        <v>8</v>
      </c>
      <c r="B7379" s="1" t="str">
        <f>"000329961 - RICHS TOPPINGS-SODEXO"</f>
        <v>000329961 - RICHS TOPPINGS-SODEXO</v>
      </c>
      <c r="C7379" t="s">
        <v>222</v>
      </c>
      <c r="D7379" s="1" t="str">
        <f t="shared" si="211"/>
        <v>PRG-1031185</v>
      </c>
      <c r="E7379" t="s">
        <v>79</v>
      </c>
      <c r="F7379" t="s">
        <v>4</v>
      </c>
      <c r="G7379" t="str">
        <f>""</f>
        <v/>
      </c>
    </row>
    <row r="7380" spans="1:7" x14ac:dyDescent="0.25">
      <c r="A7380" t="s">
        <v>8</v>
      </c>
      <c r="B7380" s="1" t="str">
        <f>"000332102 - RICHS TOPPINGS-SODEXO"</f>
        <v>000332102 - RICHS TOPPINGS-SODEXO</v>
      </c>
      <c r="C7380" t="s">
        <v>222</v>
      </c>
      <c r="D7380" s="1" t="str">
        <f t="shared" si="211"/>
        <v>PRG-1031185</v>
      </c>
      <c r="E7380" t="s">
        <v>79</v>
      </c>
      <c r="F7380" t="s">
        <v>4</v>
      </c>
      <c r="G7380" t="str">
        <f>""</f>
        <v/>
      </c>
    </row>
    <row r="7381" spans="1:7" x14ac:dyDescent="0.25">
      <c r="A7381" t="s">
        <v>8</v>
      </c>
      <c r="B7381" s="1" t="str">
        <f>"000335758 - RICHS TOPPINGS-SODEXO"</f>
        <v>000335758 - RICHS TOPPINGS-SODEXO</v>
      </c>
      <c r="C7381" t="s">
        <v>222</v>
      </c>
      <c r="D7381" s="1" t="str">
        <f t="shared" si="211"/>
        <v>PRG-1031185</v>
      </c>
      <c r="E7381" t="s">
        <v>79</v>
      </c>
      <c r="F7381" t="s">
        <v>4</v>
      </c>
      <c r="G7381" t="str">
        <f>""</f>
        <v/>
      </c>
    </row>
    <row r="7382" spans="1:7" x14ac:dyDescent="0.25">
      <c r="A7382" t="s">
        <v>8</v>
      </c>
      <c r="B7382" s="1" t="str">
        <f>"000360733 - RICHS TOPPINGS-SODEXO"</f>
        <v>000360733 - RICHS TOPPINGS-SODEXO</v>
      </c>
      <c r="C7382" t="s">
        <v>222</v>
      </c>
      <c r="D7382" s="1" t="str">
        <f t="shared" si="211"/>
        <v>PRG-1031185</v>
      </c>
      <c r="E7382" t="s">
        <v>79</v>
      </c>
      <c r="F7382" t="s">
        <v>4</v>
      </c>
      <c r="G7382" t="str">
        <f>""</f>
        <v/>
      </c>
    </row>
    <row r="7383" spans="1:7" x14ac:dyDescent="0.25">
      <c r="A7383" t="s">
        <v>8</v>
      </c>
      <c r="B7383" s="1" t="str">
        <f>"000362676 - RICHS TOPPINGS-SODEXO"</f>
        <v>000362676 - RICHS TOPPINGS-SODEXO</v>
      </c>
      <c r="C7383" t="s">
        <v>222</v>
      </c>
      <c r="D7383" s="1" t="str">
        <f t="shared" si="211"/>
        <v>PRG-1031185</v>
      </c>
      <c r="E7383" t="s">
        <v>79</v>
      </c>
      <c r="F7383" t="s">
        <v>4</v>
      </c>
      <c r="G7383" t="str">
        <f>""</f>
        <v/>
      </c>
    </row>
    <row r="7384" spans="1:7" x14ac:dyDescent="0.25">
      <c r="A7384" t="s">
        <v>8</v>
      </c>
      <c r="B7384" s="1" t="str">
        <f>"000365956 - RICHS TOPPINGS-SODEXO"</f>
        <v>000365956 - RICHS TOPPINGS-SODEXO</v>
      </c>
      <c r="C7384" t="s">
        <v>222</v>
      </c>
      <c r="D7384" s="1" t="str">
        <f t="shared" si="211"/>
        <v>PRG-1031185</v>
      </c>
      <c r="E7384" t="s">
        <v>79</v>
      </c>
      <c r="F7384" t="s">
        <v>4</v>
      </c>
      <c r="G7384" t="str">
        <f>""</f>
        <v/>
      </c>
    </row>
    <row r="7385" spans="1:7" x14ac:dyDescent="0.25">
      <c r="A7385" t="s">
        <v>8</v>
      </c>
      <c r="B7385" s="1" t="str">
        <f>"2000301350 - RICHS TOPPINGS-SODEXO"</f>
        <v>2000301350 - RICHS TOPPINGS-SODEXO</v>
      </c>
      <c r="C7385" t="s">
        <v>222</v>
      </c>
      <c r="D7385" s="1" t="str">
        <f t="shared" si="211"/>
        <v>PRG-1031185</v>
      </c>
      <c r="E7385" t="s">
        <v>79</v>
      </c>
      <c r="F7385" t="s">
        <v>4</v>
      </c>
      <c r="G7385" t="str">
        <f>""</f>
        <v/>
      </c>
    </row>
    <row r="7386" spans="1:7" x14ac:dyDescent="0.25">
      <c r="A7386" t="s">
        <v>8</v>
      </c>
      <c r="B7386" s="1" t="str">
        <f>"2000333802 - RICHS TOPPINGS-SODEXO"</f>
        <v>2000333802 - RICHS TOPPINGS-SODEXO</v>
      </c>
      <c r="C7386" t="s">
        <v>222</v>
      </c>
      <c r="D7386" s="1" t="str">
        <f t="shared" si="211"/>
        <v>PRG-1031185</v>
      </c>
      <c r="E7386" t="s">
        <v>79</v>
      </c>
      <c r="F7386" t="s">
        <v>4</v>
      </c>
      <c r="G7386" t="str">
        <f>""</f>
        <v/>
      </c>
    </row>
    <row r="7387" spans="1:7" x14ac:dyDescent="0.25">
      <c r="A7387" t="s">
        <v>8</v>
      </c>
      <c r="B7387" s="1" t="str">
        <f>"2000338916 - RICHS TOPPINGS-SODEXO"</f>
        <v>2000338916 - RICHS TOPPINGS-SODEXO</v>
      </c>
      <c r="C7387" t="s">
        <v>222</v>
      </c>
      <c r="D7387" s="1" t="str">
        <f t="shared" si="211"/>
        <v>PRG-1031185</v>
      </c>
      <c r="E7387" t="s">
        <v>79</v>
      </c>
      <c r="F7387" t="s">
        <v>4</v>
      </c>
      <c r="G7387" t="str">
        <f>""</f>
        <v/>
      </c>
    </row>
    <row r="7388" spans="1:7" x14ac:dyDescent="0.25">
      <c r="A7388" t="s">
        <v>8</v>
      </c>
      <c r="B7388" s="1" t="str">
        <f>"2000362376 - RICHS TOPPINGS-SODEXO"</f>
        <v>2000362376 - RICHS TOPPINGS-SODEXO</v>
      </c>
      <c r="C7388" t="s">
        <v>222</v>
      </c>
      <c r="D7388" s="1" t="str">
        <f t="shared" si="211"/>
        <v>PRG-1031185</v>
      </c>
      <c r="E7388" t="s">
        <v>79</v>
      </c>
      <c r="F7388" t="s">
        <v>4</v>
      </c>
      <c r="G7388" t="str">
        <f>""</f>
        <v/>
      </c>
    </row>
    <row r="7389" spans="1:7" x14ac:dyDescent="0.25">
      <c r="A7389" t="s">
        <v>8</v>
      </c>
      <c r="B7389" s="1" t="str">
        <f>"000003487 - RICHS SWEET DOUGH BB-SODEXO"</f>
        <v>000003487 - RICHS SWEET DOUGH BB-SODEXO</v>
      </c>
      <c r="C7389" t="s">
        <v>161</v>
      </c>
      <c r="D7389" s="1" t="str">
        <f t="shared" ref="D7389:D7452" si="212">"PRG-1031188"</f>
        <v>PRG-1031188</v>
      </c>
      <c r="E7389" t="s">
        <v>138</v>
      </c>
      <c r="F7389" t="s">
        <v>4</v>
      </c>
      <c r="G7389" t="str">
        <f>""</f>
        <v/>
      </c>
    </row>
    <row r="7390" spans="1:7" x14ac:dyDescent="0.25">
      <c r="A7390" t="s">
        <v>8</v>
      </c>
      <c r="B7390" s="1" t="str">
        <f>"000006713 - RICHS SWEET DOUGH BB-SODEXO"</f>
        <v>000006713 - RICHS SWEET DOUGH BB-SODEXO</v>
      </c>
      <c r="C7390" t="s">
        <v>161</v>
      </c>
      <c r="D7390" s="1" t="str">
        <f t="shared" si="212"/>
        <v>PRG-1031188</v>
      </c>
      <c r="E7390" t="s">
        <v>138</v>
      </c>
      <c r="F7390" t="s">
        <v>4</v>
      </c>
      <c r="G7390" t="str">
        <f>""</f>
        <v/>
      </c>
    </row>
    <row r="7391" spans="1:7" x14ac:dyDescent="0.25">
      <c r="A7391" t="s">
        <v>8</v>
      </c>
      <c r="B7391" s="1" t="str">
        <f>"000006981 - RICHS SWEET DOUGH SODEXO AK"</f>
        <v>000006981 - RICHS SWEET DOUGH SODEXO AK</v>
      </c>
      <c r="C7391" t="s">
        <v>250</v>
      </c>
      <c r="D7391" s="1" t="str">
        <f t="shared" si="212"/>
        <v>PRG-1031188</v>
      </c>
      <c r="E7391" t="s">
        <v>138</v>
      </c>
      <c r="F7391" t="s">
        <v>4</v>
      </c>
      <c r="G7391" t="str">
        <f>""</f>
        <v/>
      </c>
    </row>
    <row r="7392" spans="1:7" x14ac:dyDescent="0.25">
      <c r="A7392" t="s">
        <v>8</v>
      </c>
      <c r="B7392" s="1" t="str">
        <f>"000010464 - RICHS SWEET DOUGH BB SODEXO"</f>
        <v>000010464 - RICHS SWEET DOUGH BB SODEXO</v>
      </c>
      <c r="C7392" t="s">
        <v>312</v>
      </c>
      <c r="D7392" s="1" t="str">
        <f t="shared" si="212"/>
        <v>PRG-1031188</v>
      </c>
      <c r="E7392" t="s">
        <v>138</v>
      </c>
      <c r="F7392" t="s">
        <v>4</v>
      </c>
      <c r="G7392" t="str">
        <f>""</f>
        <v/>
      </c>
    </row>
    <row r="7393" spans="1:7" x14ac:dyDescent="0.25">
      <c r="A7393" t="s">
        <v>8</v>
      </c>
      <c r="B7393" s="1" t="str">
        <f>"000026535 - RICH'S SWEET DOUGH-SODEXO"</f>
        <v>000026535 - RICH'S SWEET DOUGH-SODEXO</v>
      </c>
      <c r="C7393" t="s">
        <v>449</v>
      </c>
      <c r="D7393" s="1" t="str">
        <f t="shared" si="212"/>
        <v>PRG-1031188</v>
      </c>
      <c r="E7393" t="s">
        <v>138</v>
      </c>
      <c r="F7393" t="s">
        <v>4</v>
      </c>
      <c r="G7393" t="str">
        <f>""</f>
        <v/>
      </c>
    </row>
    <row r="7394" spans="1:7" x14ac:dyDescent="0.25">
      <c r="A7394" t="s">
        <v>8</v>
      </c>
      <c r="B7394" s="1" t="str">
        <f>"000043303 - RICHS SWEET DOUGH-SODEXO"</f>
        <v>000043303 - RICHS SWEET DOUGH-SODEXO</v>
      </c>
      <c r="C7394" t="s">
        <v>137</v>
      </c>
      <c r="D7394" s="1" t="str">
        <f t="shared" si="212"/>
        <v>PRG-1031188</v>
      </c>
      <c r="E7394" t="s">
        <v>138</v>
      </c>
      <c r="F7394" t="s">
        <v>4</v>
      </c>
      <c r="G7394" t="str">
        <f>""</f>
        <v/>
      </c>
    </row>
    <row r="7395" spans="1:7" x14ac:dyDescent="0.25">
      <c r="A7395" t="s">
        <v>8</v>
      </c>
      <c r="B7395" s="1" t="str">
        <f>"000045221 - RICHS SWEET DOUGH-SODEXO"</f>
        <v>000045221 - RICHS SWEET DOUGH-SODEXO</v>
      </c>
      <c r="C7395" t="s">
        <v>137</v>
      </c>
      <c r="D7395" s="1" t="str">
        <f t="shared" si="212"/>
        <v>PRG-1031188</v>
      </c>
      <c r="E7395" t="s">
        <v>138</v>
      </c>
      <c r="F7395" t="s">
        <v>4</v>
      </c>
      <c r="G7395" t="str">
        <f>""</f>
        <v/>
      </c>
    </row>
    <row r="7396" spans="1:7" x14ac:dyDescent="0.25">
      <c r="A7396" t="s">
        <v>8</v>
      </c>
      <c r="B7396" s="1" t="str">
        <f>"000047445 - RICHS SWEET DOUGH-SODEXO"</f>
        <v>000047445 - RICHS SWEET DOUGH-SODEXO</v>
      </c>
      <c r="C7396" t="s">
        <v>137</v>
      </c>
      <c r="D7396" s="1" t="str">
        <f t="shared" si="212"/>
        <v>PRG-1031188</v>
      </c>
      <c r="E7396" t="s">
        <v>138</v>
      </c>
      <c r="F7396" t="s">
        <v>4</v>
      </c>
      <c r="G7396" t="str">
        <f>""</f>
        <v/>
      </c>
    </row>
    <row r="7397" spans="1:7" x14ac:dyDescent="0.25">
      <c r="A7397" t="s">
        <v>8</v>
      </c>
      <c r="B7397" s="1" t="str">
        <f>"000051490 - RICHS SWEET DOUGH BB-SODEXO"</f>
        <v>000051490 - RICHS SWEET DOUGH BB-SODEXO</v>
      </c>
      <c r="C7397" t="s">
        <v>161</v>
      </c>
      <c r="D7397" s="1" t="str">
        <f t="shared" si="212"/>
        <v>PRG-1031188</v>
      </c>
      <c r="E7397" t="s">
        <v>138</v>
      </c>
      <c r="F7397" t="s">
        <v>4</v>
      </c>
      <c r="G7397" t="str">
        <f>""</f>
        <v/>
      </c>
    </row>
    <row r="7398" spans="1:7" x14ac:dyDescent="0.25">
      <c r="A7398" t="s">
        <v>8</v>
      </c>
      <c r="B7398" s="1" t="str">
        <f>"000051865 - RICH WEEDS DOUGH BB SODEXO"</f>
        <v>000051865 - RICH WEEDS DOUGH BB SODEXO</v>
      </c>
      <c r="C7398" t="s">
        <v>665</v>
      </c>
      <c r="D7398" s="1" t="str">
        <f t="shared" si="212"/>
        <v>PRG-1031188</v>
      </c>
      <c r="E7398" t="s">
        <v>138</v>
      </c>
      <c r="F7398" t="s">
        <v>4</v>
      </c>
      <c r="G7398" t="str">
        <f>""</f>
        <v/>
      </c>
    </row>
    <row r="7399" spans="1:7" x14ac:dyDescent="0.25">
      <c r="A7399" t="s">
        <v>8</v>
      </c>
      <c r="B7399" s="1" t="str">
        <f>"000052936 - RICHS SWEET DOUGH-SODEXO"</f>
        <v>000052936 - RICHS SWEET DOUGH-SODEXO</v>
      </c>
      <c r="C7399" t="s">
        <v>137</v>
      </c>
      <c r="D7399" s="1" t="str">
        <f t="shared" si="212"/>
        <v>PRG-1031188</v>
      </c>
      <c r="E7399" t="s">
        <v>138</v>
      </c>
      <c r="F7399" t="s">
        <v>4</v>
      </c>
      <c r="G7399" t="str">
        <f>""</f>
        <v/>
      </c>
    </row>
    <row r="7400" spans="1:7" x14ac:dyDescent="0.25">
      <c r="A7400" t="s">
        <v>8</v>
      </c>
      <c r="B7400" s="1" t="str">
        <f>"000055690 - RICHS SWEET DOUGH-SODEXO"</f>
        <v>000055690 - RICHS SWEET DOUGH-SODEXO</v>
      </c>
      <c r="C7400" t="s">
        <v>137</v>
      </c>
      <c r="D7400" s="1" t="str">
        <f t="shared" si="212"/>
        <v>PRG-1031188</v>
      </c>
      <c r="E7400" t="s">
        <v>138</v>
      </c>
      <c r="F7400" t="s">
        <v>4</v>
      </c>
      <c r="G7400" t="str">
        <f>""</f>
        <v/>
      </c>
    </row>
    <row r="7401" spans="1:7" x14ac:dyDescent="0.25">
      <c r="A7401" t="s">
        <v>8</v>
      </c>
      <c r="B7401" s="1" t="str">
        <f>"000058909 - RICHS SWEET DOUGH-SODEXO"</f>
        <v>000058909 - RICHS SWEET DOUGH-SODEXO</v>
      </c>
      <c r="C7401" t="s">
        <v>137</v>
      </c>
      <c r="D7401" s="1" t="str">
        <f t="shared" si="212"/>
        <v>PRG-1031188</v>
      </c>
      <c r="E7401" t="s">
        <v>138</v>
      </c>
      <c r="F7401" t="s">
        <v>4</v>
      </c>
      <c r="G7401" t="str">
        <f>""</f>
        <v/>
      </c>
    </row>
    <row r="7402" spans="1:7" x14ac:dyDescent="0.25">
      <c r="A7402" t="s">
        <v>8</v>
      </c>
      <c r="B7402" s="1" t="str">
        <f>"000064483 - RICHS SWEET DOUGH BB-SODEXO"</f>
        <v>000064483 - RICHS SWEET DOUGH BB-SODEXO</v>
      </c>
      <c r="C7402" t="s">
        <v>161</v>
      </c>
      <c r="D7402" s="1" t="str">
        <f t="shared" si="212"/>
        <v>PRG-1031188</v>
      </c>
      <c r="E7402" t="s">
        <v>138</v>
      </c>
      <c r="F7402" t="s">
        <v>4</v>
      </c>
      <c r="G7402" t="str">
        <f>""</f>
        <v/>
      </c>
    </row>
    <row r="7403" spans="1:7" x14ac:dyDescent="0.25">
      <c r="A7403" t="s">
        <v>8</v>
      </c>
      <c r="B7403" s="1" t="str">
        <f>"000101453 - RICH'S SWEET DOUGH-SODEXO"</f>
        <v>000101453 - RICH'S SWEET DOUGH-SODEXO</v>
      </c>
      <c r="C7403" t="s">
        <v>449</v>
      </c>
      <c r="D7403" s="1" t="str">
        <f t="shared" si="212"/>
        <v>PRG-1031188</v>
      </c>
      <c r="E7403" t="s">
        <v>138</v>
      </c>
      <c r="F7403" t="s">
        <v>4</v>
      </c>
      <c r="G7403" t="str">
        <f>""</f>
        <v/>
      </c>
    </row>
    <row r="7404" spans="1:7" x14ac:dyDescent="0.25">
      <c r="A7404" t="s">
        <v>8</v>
      </c>
      <c r="B7404" s="1" t="str">
        <f>"000111321 - RICHS SWEET DOUGH-SODEXO"</f>
        <v>000111321 - RICHS SWEET DOUGH-SODEXO</v>
      </c>
      <c r="C7404" t="s">
        <v>137</v>
      </c>
      <c r="D7404" s="1" t="str">
        <f t="shared" si="212"/>
        <v>PRG-1031188</v>
      </c>
      <c r="E7404" t="s">
        <v>138</v>
      </c>
      <c r="F7404" t="s">
        <v>4</v>
      </c>
      <c r="G7404" t="str">
        <f>""</f>
        <v/>
      </c>
    </row>
    <row r="7405" spans="1:7" x14ac:dyDescent="0.25">
      <c r="A7405" t="s">
        <v>8</v>
      </c>
      <c r="B7405" s="1" t="str">
        <f>"000113891 - RICHS SWEET DOUGH-SODEXO"</f>
        <v>000113891 - RICHS SWEET DOUGH-SODEXO</v>
      </c>
      <c r="C7405" t="s">
        <v>137</v>
      </c>
      <c r="D7405" s="1" t="str">
        <f t="shared" si="212"/>
        <v>PRG-1031188</v>
      </c>
      <c r="E7405" t="s">
        <v>138</v>
      </c>
      <c r="F7405" t="s">
        <v>4</v>
      </c>
      <c r="G7405" t="str">
        <f>""</f>
        <v/>
      </c>
    </row>
    <row r="7406" spans="1:7" x14ac:dyDescent="0.25">
      <c r="A7406" t="s">
        <v>8</v>
      </c>
      <c r="B7406" s="1" t="str">
        <f>"000116924 - RICHS SWEET DOUGH-SODEXO"</f>
        <v>000116924 - RICHS SWEET DOUGH-SODEXO</v>
      </c>
      <c r="C7406" t="s">
        <v>137</v>
      </c>
      <c r="D7406" s="1" t="str">
        <f t="shared" si="212"/>
        <v>PRG-1031188</v>
      </c>
      <c r="E7406" t="s">
        <v>138</v>
      </c>
      <c r="F7406" t="s">
        <v>4</v>
      </c>
      <c r="G7406" t="str">
        <f>""</f>
        <v/>
      </c>
    </row>
    <row r="7407" spans="1:7" x14ac:dyDescent="0.25">
      <c r="A7407" t="s">
        <v>8</v>
      </c>
      <c r="B7407" s="1" t="str">
        <f>"000119487 - RICHS SWEET DOUGH-SODEXO"</f>
        <v>000119487 - RICHS SWEET DOUGH-SODEXO</v>
      </c>
      <c r="C7407" t="s">
        <v>137</v>
      </c>
      <c r="D7407" s="1" t="str">
        <f t="shared" si="212"/>
        <v>PRG-1031188</v>
      </c>
      <c r="E7407" t="s">
        <v>138</v>
      </c>
      <c r="F7407" t="s">
        <v>4</v>
      </c>
      <c r="G7407" t="str">
        <f>""</f>
        <v/>
      </c>
    </row>
    <row r="7408" spans="1:7" x14ac:dyDescent="0.25">
      <c r="A7408" t="s">
        <v>8</v>
      </c>
      <c r="B7408" s="1" t="str">
        <f>"000121437 - RICHS SWEET DOUGH-SODEXO"</f>
        <v>000121437 - RICHS SWEET DOUGH-SODEXO</v>
      </c>
      <c r="C7408" t="s">
        <v>137</v>
      </c>
      <c r="D7408" s="1" t="str">
        <f t="shared" si="212"/>
        <v>PRG-1031188</v>
      </c>
      <c r="E7408" t="s">
        <v>138</v>
      </c>
      <c r="F7408" t="s">
        <v>4</v>
      </c>
      <c r="G7408" t="str">
        <f>""</f>
        <v/>
      </c>
    </row>
    <row r="7409" spans="1:7" x14ac:dyDescent="0.25">
      <c r="A7409" t="s">
        <v>8</v>
      </c>
      <c r="B7409" s="1" t="str">
        <f>"000122139 - RICHS SWEET DOUGH BB-SODEXO"</f>
        <v>000122139 - RICHS SWEET DOUGH BB-SODEXO</v>
      </c>
      <c r="C7409" t="s">
        <v>161</v>
      </c>
      <c r="D7409" s="1" t="str">
        <f t="shared" si="212"/>
        <v>PRG-1031188</v>
      </c>
      <c r="E7409" t="s">
        <v>138</v>
      </c>
      <c r="F7409" t="s">
        <v>4</v>
      </c>
      <c r="G7409" t="str">
        <f>""</f>
        <v/>
      </c>
    </row>
    <row r="7410" spans="1:7" x14ac:dyDescent="0.25">
      <c r="A7410" t="s">
        <v>8</v>
      </c>
      <c r="B7410" s="1" t="str">
        <f>"000122369 - RICHS SWEET DOUGH BB-SODEXO"</f>
        <v>000122369 - RICHS SWEET DOUGH BB-SODEXO</v>
      </c>
      <c r="C7410" t="s">
        <v>161</v>
      </c>
      <c r="D7410" s="1" t="str">
        <f t="shared" si="212"/>
        <v>PRG-1031188</v>
      </c>
      <c r="E7410" t="s">
        <v>138</v>
      </c>
      <c r="F7410" t="s">
        <v>4</v>
      </c>
      <c r="G7410" t="str">
        <f>""</f>
        <v/>
      </c>
    </row>
    <row r="7411" spans="1:7" x14ac:dyDescent="0.25">
      <c r="A7411" t="s">
        <v>8</v>
      </c>
      <c r="B7411" s="1" t="str">
        <f>"000123717 - RICHS SWEET DOUGH-SODEXO"</f>
        <v>000123717 - RICHS SWEET DOUGH-SODEXO</v>
      </c>
      <c r="C7411" t="s">
        <v>137</v>
      </c>
      <c r="D7411" s="1" t="str">
        <f t="shared" si="212"/>
        <v>PRG-1031188</v>
      </c>
      <c r="E7411" t="s">
        <v>138</v>
      </c>
      <c r="F7411" t="s">
        <v>4</v>
      </c>
      <c r="G7411" t="str">
        <f>""</f>
        <v/>
      </c>
    </row>
    <row r="7412" spans="1:7" x14ac:dyDescent="0.25">
      <c r="A7412" t="s">
        <v>8</v>
      </c>
      <c r="B7412" s="1" t="str">
        <f>"000127749 - RICHS SWEET DOUGH BB-SODEXO"</f>
        <v>000127749 - RICHS SWEET DOUGH BB-SODEXO</v>
      </c>
      <c r="C7412" t="s">
        <v>161</v>
      </c>
      <c r="D7412" s="1" t="str">
        <f t="shared" si="212"/>
        <v>PRG-1031188</v>
      </c>
      <c r="E7412" t="s">
        <v>138</v>
      </c>
      <c r="F7412" t="s">
        <v>4</v>
      </c>
      <c r="G7412" t="str">
        <f>""</f>
        <v/>
      </c>
    </row>
    <row r="7413" spans="1:7" x14ac:dyDescent="0.25">
      <c r="A7413" t="s">
        <v>8</v>
      </c>
      <c r="B7413" s="1" t="str">
        <f>"000129438 - RICHS SWTDGH BB(DPMRETRO)-SODE"</f>
        <v>000129438 - RICHS SWTDGH BB(DPMRETRO)-SODE</v>
      </c>
      <c r="C7413" t="s">
        <v>932</v>
      </c>
      <c r="D7413" s="1" t="str">
        <f t="shared" si="212"/>
        <v>PRG-1031188</v>
      </c>
      <c r="E7413" t="s">
        <v>138</v>
      </c>
      <c r="F7413" t="s">
        <v>4</v>
      </c>
      <c r="G7413" t="str">
        <f>""</f>
        <v/>
      </c>
    </row>
    <row r="7414" spans="1:7" x14ac:dyDescent="0.25">
      <c r="A7414" t="s">
        <v>8</v>
      </c>
      <c r="B7414" s="1" t="str">
        <f>"000132839 - RICHS SWEET DOUGH-SODEXO"</f>
        <v>000132839 - RICHS SWEET DOUGH-SODEXO</v>
      </c>
      <c r="C7414" t="s">
        <v>137</v>
      </c>
      <c r="D7414" s="1" t="str">
        <f t="shared" si="212"/>
        <v>PRG-1031188</v>
      </c>
      <c r="E7414" t="s">
        <v>138</v>
      </c>
      <c r="F7414" t="s">
        <v>4</v>
      </c>
      <c r="G7414" t="str">
        <f>""</f>
        <v/>
      </c>
    </row>
    <row r="7415" spans="1:7" x14ac:dyDescent="0.25">
      <c r="A7415" t="s">
        <v>8</v>
      </c>
      <c r="B7415" s="1" t="str">
        <f>"000135202 - RICHS SWEET DOUGH-SODEXO"</f>
        <v>000135202 - RICHS SWEET DOUGH-SODEXO</v>
      </c>
      <c r="C7415" t="s">
        <v>137</v>
      </c>
      <c r="D7415" s="1" t="str">
        <f t="shared" si="212"/>
        <v>PRG-1031188</v>
      </c>
      <c r="E7415" t="s">
        <v>138</v>
      </c>
      <c r="F7415" t="s">
        <v>4</v>
      </c>
      <c r="G7415" t="str">
        <f>""</f>
        <v/>
      </c>
    </row>
    <row r="7416" spans="1:7" x14ac:dyDescent="0.25">
      <c r="A7416" t="s">
        <v>8</v>
      </c>
      <c r="B7416" s="1" t="str">
        <f>"000137813 - RICH'S SWEET DOUGH-SODEXO"</f>
        <v>000137813 - RICH'S SWEET DOUGH-SODEXO</v>
      </c>
      <c r="C7416" t="s">
        <v>449</v>
      </c>
      <c r="D7416" s="1" t="str">
        <f t="shared" si="212"/>
        <v>PRG-1031188</v>
      </c>
      <c r="E7416" t="s">
        <v>138</v>
      </c>
      <c r="F7416" t="s">
        <v>4</v>
      </c>
      <c r="G7416" t="str">
        <f>""</f>
        <v/>
      </c>
    </row>
    <row r="7417" spans="1:7" x14ac:dyDescent="0.25">
      <c r="A7417" t="s">
        <v>8</v>
      </c>
      <c r="B7417" s="1" t="str">
        <f>"000138484 - RICHS SWEET DOUGH-SODEXO"</f>
        <v>000138484 - RICHS SWEET DOUGH-SODEXO</v>
      </c>
      <c r="C7417" t="s">
        <v>137</v>
      </c>
      <c r="D7417" s="1" t="str">
        <f t="shared" si="212"/>
        <v>PRG-1031188</v>
      </c>
      <c r="E7417" t="s">
        <v>138</v>
      </c>
      <c r="F7417" t="s">
        <v>4</v>
      </c>
      <c r="G7417" t="str">
        <f>""</f>
        <v/>
      </c>
    </row>
    <row r="7418" spans="1:7" x14ac:dyDescent="0.25">
      <c r="A7418" t="s">
        <v>8</v>
      </c>
      <c r="B7418" s="1" t="str">
        <f>"000141641 - RICHS SWEET DOUGH-SODEXO"</f>
        <v>000141641 - RICHS SWEET DOUGH-SODEXO</v>
      </c>
      <c r="C7418" t="s">
        <v>137</v>
      </c>
      <c r="D7418" s="1" t="str">
        <f t="shared" si="212"/>
        <v>PRG-1031188</v>
      </c>
      <c r="E7418" t="s">
        <v>138</v>
      </c>
      <c r="F7418" t="s">
        <v>4</v>
      </c>
      <c r="G7418" t="str">
        <f>""</f>
        <v/>
      </c>
    </row>
    <row r="7419" spans="1:7" x14ac:dyDescent="0.25">
      <c r="A7419" t="s">
        <v>8</v>
      </c>
      <c r="B7419" s="1" t="str">
        <f>"000141993 - "</f>
        <v xml:space="preserve">000141993 - </v>
      </c>
      <c r="D7419" s="1" t="str">
        <f t="shared" si="212"/>
        <v>PRG-1031188</v>
      </c>
      <c r="E7419" t="s">
        <v>138</v>
      </c>
      <c r="F7419" t="s">
        <v>4</v>
      </c>
      <c r="G7419" t="str">
        <f>""</f>
        <v/>
      </c>
    </row>
    <row r="7420" spans="1:7" x14ac:dyDescent="0.25">
      <c r="A7420" t="s">
        <v>8</v>
      </c>
      <c r="B7420" s="1" t="str">
        <f>"000143849 - RICHS SWEET DOUGH BB-SODEXO"</f>
        <v>000143849 - RICHS SWEET DOUGH BB-SODEXO</v>
      </c>
      <c r="C7420" t="s">
        <v>161</v>
      </c>
      <c r="D7420" s="1" t="str">
        <f t="shared" si="212"/>
        <v>PRG-1031188</v>
      </c>
      <c r="E7420" t="s">
        <v>138</v>
      </c>
      <c r="F7420" t="s">
        <v>4</v>
      </c>
      <c r="G7420" t="str">
        <f>""</f>
        <v/>
      </c>
    </row>
    <row r="7421" spans="1:7" x14ac:dyDescent="0.25">
      <c r="A7421" t="s">
        <v>8</v>
      </c>
      <c r="B7421" s="1" t="str">
        <f>"000144245 - RICHS SWEET DOUGH-SODEXO"</f>
        <v>000144245 - RICHS SWEET DOUGH-SODEXO</v>
      </c>
      <c r="C7421" t="s">
        <v>137</v>
      </c>
      <c r="D7421" s="1" t="str">
        <f t="shared" si="212"/>
        <v>PRG-1031188</v>
      </c>
      <c r="E7421" t="s">
        <v>138</v>
      </c>
      <c r="F7421" t="s">
        <v>4</v>
      </c>
      <c r="G7421" t="str">
        <f>""</f>
        <v/>
      </c>
    </row>
    <row r="7422" spans="1:7" x14ac:dyDescent="0.25">
      <c r="A7422" t="s">
        <v>8</v>
      </c>
      <c r="B7422" s="1" t="str">
        <f>"000144260 - "</f>
        <v xml:space="preserve">000144260 - </v>
      </c>
      <c r="D7422" s="1" t="str">
        <f t="shared" si="212"/>
        <v>PRG-1031188</v>
      </c>
      <c r="E7422" t="s">
        <v>138</v>
      </c>
      <c r="F7422" t="s">
        <v>4</v>
      </c>
      <c r="G7422" t="str">
        <f>""</f>
        <v/>
      </c>
    </row>
    <row r="7423" spans="1:7" x14ac:dyDescent="0.25">
      <c r="A7423" t="s">
        <v>8</v>
      </c>
      <c r="B7423" s="1" t="str">
        <f>"000144647 - RICHS SWEET DOUGH-SODEXO"</f>
        <v>000144647 - RICHS SWEET DOUGH-SODEXO</v>
      </c>
      <c r="C7423" t="s">
        <v>137</v>
      </c>
      <c r="D7423" s="1" t="str">
        <f t="shared" si="212"/>
        <v>PRG-1031188</v>
      </c>
      <c r="E7423" t="s">
        <v>138</v>
      </c>
      <c r="F7423" t="s">
        <v>4</v>
      </c>
      <c r="G7423" t="str">
        <f>""</f>
        <v/>
      </c>
    </row>
    <row r="7424" spans="1:7" x14ac:dyDescent="0.25">
      <c r="A7424" t="s">
        <v>8</v>
      </c>
      <c r="B7424" s="1" t="str">
        <f>"000146546 - "</f>
        <v xml:space="preserve">000146546 - </v>
      </c>
      <c r="D7424" s="1" t="str">
        <f t="shared" si="212"/>
        <v>PRG-1031188</v>
      </c>
      <c r="E7424" t="s">
        <v>138</v>
      </c>
      <c r="F7424" t="s">
        <v>4</v>
      </c>
      <c r="G7424" t="str">
        <f>""</f>
        <v/>
      </c>
    </row>
    <row r="7425" spans="1:7" x14ac:dyDescent="0.25">
      <c r="A7425" t="s">
        <v>8</v>
      </c>
      <c r="B7425" s="1" t="str">
        <f>"000147077 - RICHS SWEET DOUGH-SODEXO"</f>
        <v>000147077 - RICHS SWEET DOUGH-SODEXO</v>
      </c>
      <c r="C7425" t="s">
        <v>137</v>
      </c>
      <c r="D7425" s="1" t="str">
        <f t="shared" si="212"/>
        <v>PRG-1031188</v>
      </c>
      <c r="E7425" t="s">
        <v>138</v>
      </c>
      <c r="F7425" t="s">
        <v>4</v>
      </c>
      <c r="G7425" t="str">
        <f>""</f>
        <v/>
      </c>
    </row>
    <row r="7426" spans="1:7" x14ac:dyDescent="0.25">
      <c r="A7426" t="s">
        <v>8</v>
      </c>
      <c r="B7426" s="1" t="str">
        <f>"000148654 - RICHS SWEET DOUGH BB-SODEXO"</f>
        <v>000148654 - RICHS SWEET DOUGH BB-SODEXO</v>
      </c>
      <c r="C7426" t="s">
        <v>161</v>
      </c>
      <c r="D7426" s="1" t="str">
        <f t="shared" si="212"/>
        <v>PRG-1031188</v>
      </c>
      <c r="E7426" t="s">
        <v>138</v>
      </c>
      <c r="F7426" t="s">
        <v>4</v>
      </c>
      <c r="G7426" t="str">
        <f>""</f>
        <v/>
      </c>
    </row>
    <row r="7427" spans="1:7" x14ac:dyDescent="0.25">
      <c r="A7427" t="s">
        <v>8</v>
      </c>
      <c r="B7427" s="1" t="str">
        <f>"000149167 - "</f>
        <v xml:space="preserve">000149167 - </v>
      </c>
      <c r="D7427" s="1" t="str">
        <f t="shared" si="212"/>
        <v>PRG-1031188</v>
      </c>
      <c r="E7427" t="s">
        <v>138</v>
      </c>
      <c r="F7427" t="s">
        <v>4</v>
      </c>
      <c r="G7427" t="str">
        <f>""</f>
        <v/>
      </c>
    </row>
    <row r="7428" spans="1:7" x14ac:dyDescent="0.25">
      <c r="A7428" t="s">
        <v>8</v>
      </c>
      <c r="B7428" s="1" t="str">
        <f>"000152069 - RICHS SWEET DOUGH BB-SODEXO"</f>
        <v>000152069 - RICHS SWEET DOUGH BB-SODEXO</v>
      </c>
      <c r="C7428" t="s">
        <v>161</v>
      </c>
      <c r="D7428" s="1" t="str">
        <f t="shared" si="212"/>
        <v>PRG-1031188</v>
      </c>
      <c r="E7428" t="s">
        <v>138</v>
      </c>
      <c r="F7428" t="s">
        <v>4</v>
      </c>
      <c r="G7428" t="str">
        <f>""</f>
        <v/>
      </c>
    </row>
    <row r="7429" spans="1:7" x14ac:dyDescent="0.25">
      <c r="A7429" t="s">
        <v>8</v>
      </c>
      <c r="B7429" s="1" t="str">
        <f>"000152083 - RICHS SWEET DOUGH BB-SODEXO"</f>
        <v>000152083 - RICHS SWEET DOUGH BB-SODEXO</v>
      </c>
      <c r="C7429" t="s">
        <v>161</v>
      </c>
      <c r="D7429" s="1" t="str">
        <f t="shared" si="212"/>
        <v>PRG-1031188</v>
      </c>
      <c r="E7429" t="s">
        <v>138</v>
      </c>
      <c r="F7429" t="s">
        <v>4</v>
      </c>
      <c r="G7429" t="str">
        <f>""</f>
        <v/>
      </c>
    </row>
    <row r="7430" spans="1:7" x14ac:dyDescent="0.25">
      <c r="A7430" t="s">
        <v>8</v>
      </c>
      <c r="B7430" s="1" t="str">
        <f>"000153344 - RICHS SWEET DOUGH BB-SODEXO"</f>
        <v>000153344 - RICHS SWEET DOUGH BB-SODEXO</v>
      </c>
      <c r="C7430" t="s">
        <v>161</v>
      </c>
      <c r="D7430" s="1" t="str">
        <f t="shared" si="212"/>
        <v>PRG-1031188</v>
      </c>
      <c r="E7430" t="s">
        <v>138</v>
      </c>
      <c r="F7430" t="s">
        <v>4</v>
      </c>
      <c r="G7430" t="str">
        <f>""</f>
        <v/>
      </c>
    </row>
    <row r="7431" spans="1:7" x14ac:dyDescent="0.25">
      <c r="A7431" t="s">
        <v>8</v>
      </c>
      <c r="B7431" s="1" t="str">
        <f>"000159445 - "</f>
        <v xml:space="preserve">000159445 - </v>
      </c>
      <c r="D7431" s="1" t="str">
        <f t="shared" si="212"/>
        <v>PRG-1031188</v>
      </c>
      <c r="E7431" t="s">
        <v>138</v>
      </c>
      <c r="F7431" t="s">
        <v>4</v>
      </c>
      <c r="G7431" t="str">
        <f>""</f>
        <v/>
      </c>
    </row>
    <row r="7432" spans="1:7" x14ac:dyDescent="0.25">
      <c r="A7432" t="s">
        <v>8</v>
      </c>
      <c r="B7432" s="1" t="str">
        <f>"000162051 - "</f>
        <v xml:space="preserve">000162051 - </v>
      </c>
      <c r="D7432" s="1" t="str">
        <f t="shared" si="212"/>
        <v>PRG-1031188</v>
      </c>
      <c r="E7432" t="s">
        <v>138</v>
      </c>
      <c r="F7432" t="s">
        <v>4</v>
      </c>
      <c r="G7432" t="str">
        <f>""</f>
        <v/>
      </c>
    </row>
    <row r="7433" spans="1:7" x14ac:dyDescent="0.25">
      <c r="A7433" t="s">
        <v>8</v>
      </c>
      <c r="B7433" s="1" t="str">
        <f>"000164864 - RICHS SWEET DOUGH-SODEXO"</f>
        <v>000164864 - RICHS SWEET DOUGH-SODEXO</v>
      </c>
      <c r="C7433" t="s">
        <v>137</v>
      </c>
      <c r="D7433" s="1" t="str">
        <f t="shared" si="212"/>
        <v>PRG-1031188</v>
      </c>
      <c r="E7433" t="s">
        <v>138</v>
      </c>
      <c r="F7433" t="s">
        <v>4</v>
      </c>
      <c r="G7433" t="str">
        <f>""</f>
        <v/>
      </c>
    </row>
    <row r="7434" spans="1:7" x14ac:dyDescent="0.25">
      <c r="A7434" t="s">
        <v>8</v>
      </c>
      <c r="B7434" s="1" t="str">
        <f>"000170300 - RICHS SWEET DOUGH BB-SODEXO"</f>
        <v>000170300 - RICHS SWEET DOUGH BB-SODEXO</v>
      </c>
      <c r="C7434" t="s">
        <v>161</v>
      </c>
      <c r="D7434" s="1" t="str">
        <f t="shared" si="212"/>
        <v>PRG-1031188</v>
      </c>
      <c r="E7434" t="s">
        <v>138</v>
      </c>
      <c r="F7434" t="s">
        <v>4</v>
      </c>
      <c r="G7434" t="str">
        <f>""</f>
        <v/>
      </c>
    </row>
    <row r="7435" spans="1:7" x14ac:dyDescent="0.25">
      <c r="A7435" t="s">
        <v>8</v>
      </c>
      <c r="B7435" s="1" t="str">
        <f>"000185421 - RICHS SWEET DOUGH-SODEXO"</f>
        <v>000185421 - RICHS SWEET DOUGH-SODEXO</v>
      </c>
      <c r="C7435" t="s">
        <v>137</v>
      </c>
      <c r="D7435" s="1" t="str">
        <f t="shared" si="212"/>
        <v>PRG-1031188</v>
      </c>
      <c r="E7435" t="s">
        <v>138</v>
      </c>
      <c r="F7435" t="s">
        <v>4</v>
      </c>
      <c r="G7435" t="str">
        <f>""</f>
        <v/>
      </c>
    </row>
    <row r="7436" spans="1:7" x14ac:dyDescent="0.25">
      <c r="A7436" t="s">
        <v>8</v>
      </c>
      <c r="B7436" s="1" t="str">
        <f>"000187672 - RICHS SWEET DOUGH-SODEXO"</f>
        <v>000187672 - RICHS SWEET DOUGH-SODEXO</v>
      </c>
      <c r="C7436" t="s">
        <v>137</v>
      </c>
      <c r="D7436" s="1" t="str">
        <f t="shared" si="212"/>
        <v>PRG-1031188</v>
      </c>
      <c r="E7436" t="s">
        <v>138</v>
      </c>
      <c r="F7436" t="s">
        <v>4</v>
      </c>
      <c r="G7436" t="str">
        <f>""</f>
        <v/>
      </c>
    </row>
    <row r="7437" spans="1:7" x14ac:dyDescent="0.25">
      <c r="A7437" t="s">
        <v>8</v>
      </c>
      <c r="B7437" s="1" t="str">
        <f>"000190088 - RICHS SWEET DOUGH-SODEXO"</f>
        <v>000190088 - RICHS SWEET DOUGH-SODEXO</v>
      </c>
      <c r="C7437" t="s">
        <v>137</v>
      </c>
      <c r="D7437" s="1" t="str">
        <f t="shared" si="212"/>
        <v>PRG-1031188</v>
      </c>
      <c r="E7437" t="s">
        <v>138</v>
      </c>
      <c r="F7437" t="s">
        <v>4</v>
      </c>
      <c r="G7437" t="str">
        <f>""</f>
        <v/>
      </c>
    </row>
    <row r="7438" spans="1:7" x14ac:dyDescent="0.25">
      <c r="A7438" t="s">
        <v>8</v>
      </c>
      <c r="B7438" s="1" t="str">
        <f>"000194549 - RICHS SWEET DOUGH BB-SODEXO"</f>
        <v>000194549 - RICHS SWEET DOUGH BB-SODEXO</v>
      </c>
      <c r="C7438" t="s">
        <v>161</v>
      </c>
      <c r="D7438" s="1" t="str">
        <f t="shared" si="212"/>
        <v>PRG-1031188</v>
      </c>
      <c r="E7438" t="s">
        <v>138</v>
      </c>
      <c r="F7438" t="s">
        <v>4</v>
      </c>
      <c r="G7438" t="str">
        <f>""</f>
        <v/>
      </c>
    </row>
    <row r="7439" spans="1:7" x14ac:dyDescent="0.25">
      <c r="A7439" t="s">
        <v>8</v>
      </c>
      <c r="B7439" s="1" t="str">
        <f>"000200200 - RICHS SWEET DOUGH-SODEXO"</f>
        <v>000200200 - RICHS SWEET DOUGH-SODEXO</v>
      </c>
      <c r="C7439" t="s">
        <v>137</v>
      </c>
      <c r="D7439" s="1" t="str">
        <f t="shared" si="212"/>
        <v>PRG-1031188</v>
      </c>
      <c r="E7439" t="s">
        <v>138</v>
      </c>
      <c r="F7439" t="s">
        <v>4</v>
      </c>
      <c r="G7439" t="str">
        <f>""</f>
        <v/>
      </c>
    </row>
    <row r="7440" spans="1:7" x14ac:dyDescent="0.25">
      <c r="A7440" t="s">
        <v>8</v>
      </c>
      <c r="B7440" s="1" t="str">
        <f>"000201074 - RICHS SWEET DOUGH-SODEXO"</f>
        <v>000201074 - RICHS SWEET DOUGH-SODEXO</v>
      </c>
      <c r="C7440" t="s">
        <v>137</v>
      </c>
      <c r="D7440" s="1" t="str">
        <f t="shared" si="212"/>
        <v>PRG-1031188</v>
      </c>
      <c r="E7440" t="s">
        <v>138</v>
      </c>
      <c r="F7440" t="s">
        <v>4</v>
      </c>
      <c r="G7440" t="str">
        <f>""</f>
        <v/>
      </c>
    </row>
    <row r="7441" spans="1:7" x14ac:dyDescent="0.25">
      <c r="A7441" t="s">
        <v>8</v>
      </c>
      <c r="B7441" s="1" t="str">
        <f>"000202762 - RICHS SWEET DOUGH-SODEXO"</f>
        <v>000202762 - RICHS SWEET DOUGH-SODEXO</v>
      </c>
      <c r="C7441" t="s">
        <v>137</v>
      </c>
      <c r="D7441" s="1" t="str">
        <f t="shared" si="212"/>
        <v>PRG-1031188</v>
      </c>
      <c r="E7441" t="s">
        <v>138</v>
      </c>
      <c r="F7441" t="s">
        <v>4</v>
      </c>
      <c r="G7441" t="str">
        <f>""</f>
        <v/>
      </c>
    </row>
    <row r="7442" spans="1:7" x14ac:dyDescent="0.25">
      <c r="A7442" t="s">
        <v>8</v>
      </c>
      <c r="B7442" s="1" t="str">
        <f>"000204331 - RICHS SWEET DOUGH-SODEXO"</f>
        <v>000204331 - RICHS SWEET DOUGH-SODEXO</v>
      </c>
      <c r="C7442" t="s">
        <v>137</v>
      </c>
      <c r="D7442" s="1" t="str">
        <f t="shared" si="212"/>
        <v>PRG-1031188</v>
      </c>
      <c r="E7442" t="s">
        <v>138</v>
      </c>
      <c r="F7442" t="s">
        <v>4</v>
      </c>
      <c r="G7442" t="str">
        <f>""</f>
        <v/>
      </c>
    </row>
    <row r="7443" spans="1:7" x14ac:dyDescent="0.25">
      <c r="A7443" t="s">
        <v>8</v>
      </c>
      <c r="B7443" s="1" t="str">
        <f>"000206068 - RICHS SWEET DOUGH-SODEXO"</f>
        <v>000206068 - RICHS SWEET DOUGH-SODEXO</v>
      </c>
      <c r="C7443" t="s">
        <v>137</v>
      </c>
      <c r="D7443" s="1" t="str">
        <f t="shared" si="212"/>
        <v>PRG-1031188</v>
      </c>
      <c r="E7443" t="s">
        <v>138</v>
      </c>
      <c r="F7443" t="s">
        <v>4</v>
      </c>
      <c r="G7443" t="str">
        <f>""</f>
        <v/>
      </c>
    </row>
    <row r="7444" spans="1:7" x14ac:dyDescent="0.25">
      <c r="A7444" t="s">
        <v>8</v>
      </c>
      <c r="B7444" s="1" t="str">
        <f>"000207923 - RICHS SWEET DOUGH-SODEXO"</f>
        <v>000207923 - RICHS SWEET DOUGH-SODEXO</v>
      </c>
      <c r="C7444" t="s">
        <v>137</v>
      </c>
      <c r="D7444" s="1" t="str">
        <f t="shared" si="212"/>
        <v>PRG-1031188</v>
      </c>
      <c r="E7444" t="s">
        <v>138</v>
      </c>
      <c r="F7444" t="s">
        <v>4</v>
      </c>
      <c r="G7444" t="str">
        <f>""</f>
        <v/>
      </c>
    </row>
    <row r="7445" spans="1:7" x14ac:dyDescent="0.25">
      <c r="A7445" t="s">
        <v>8</v>
      </c>
      <c r="B7445" s="1" t="str">
        <f>"000209768 - RICHS SWEET DOUGH-SODEXO"</f>
        <v>000209768 - RICHS SWEET DOUGH-SODEXO</v>
      </c>
      <c r="C7445" t="s">
        <v>137</v>
      </c>
      <c r="D7445" s="1" t="str">
        <f t="shared" si="212"/>
        <v>PRG-1031188</v>
      </c>
      <c r="E7445" t="s">
        <v>138</v>
      </c>
      <c r="F7445" t="s">
        <v>4</v>
      </c>
      <c r="G7445" t="str">
        <f>""</f>
        <v/>
      </c>
    </row>
    <row r="7446" spans="1:7" x14ac:dyDescent="0.25">
      <c r="A7446" t="s">
        <v>8</v>
      </c>
      <c r="B7446" s="1" t="str">
        <f>"000209916 - RICH'S SWEET DOUGH-SODEXO"</f>
        <v>000209916 - RICH'S SWEET DOUGH-SODEXO</v>
      </c>
      <c r="C7446" t="s">
        <v>449</v>
      </c>
      <c r="D7446" s="1" t="str">
        <f t="shared" si="212"/>
        <v>PRG-1031188</v>
      </c>
      <c r="E7446" t="s">
        <v>138</v>
      </c>
      <c r="F7446" t="s">
        <v>4</v>
      </c>
      <c r="G7446" t="str">
        <f>""</f>
        <v/>
      </c>
    </row>
    <row r="7447" spans="1:7" x14ac:dyDescent="0.25">
      <c r="A7447" t="s">
        <v>8</v>
      </c>
      <c r="B7447" s="1" t="str">
        <f>"000211617 - RICHS SWEET DOUGH BB-SODEXO"</f>
        <v>000211617 - RICHS SWEET DOUGH BB-SODEXO</v>
      </c>
      <c r="C7447" t="s">
        <v>161</v>
      </c>
      <c r="D7447" s="1" t="str">
        <f t="shared" si="212"/>
        <v>PRG-1031188</v>
      </c>
      <c r="E7447" t="s">
        <v>138</v>
      </c>
      <c r="F7447" t="s">
        <v>4</v>
      </c>
      <c r="G7447" t="str">
        <f>""</f>
        <v/>
      </c>
    </row>
    <row r="7448" spans="1:7" x14ac:dyDescent="0.25">
      <c r="A7448" t="s">
        <v>8</v>
      </c>
      <c r="B7448" s="1" t="str">
        <f>"000212855 - RICHS SWEET DOUGH-SODEXO"</f>
        <v>000212855 - RICHS SWEET DOUGH-SODEXO</v>
      </c>
      <c r="C7448" t="s">
        <v>137</v>
      </c>
      <c r="D7448" s="1" t="str">
        <f t="shared" si="212"/>
        <v>PRG-1031188</v>
      </c>
      <c r="E7448" t="s">
        <v>138</v>
      </c>
      <c r="F7448" t="s">
        <v>4</v>
      </c>
      <c r="G7448" t="str">
        <f>""</f>
        <v/>
      </c>
    </row>
    <row r="7449" spans="1:7" x14ac:dyDescent="0.25">
      <c r="A7449" t="s">
        <v>8</v>
      </c>
      <c r="B7449" s="1" t="str">
        <f>"000214143 - RICHS SWEET DOUGH BB-SODEXO"</f>
        <v>000214143 - RICHS SWEET DOUGH BB-SODEXO</v>
      </c>
      <c r="C7449" t="s">
        <v>161</v>
      </c>
      <c r="D7449" s="1" t="str">
        <f t="shared" si="212"/>
        <v>PRG-1031188</v>
      </c>
      <c r="E7449" t="s">
        <v>138</v>
      </c>
      <c r="F7449" t="s">
        <v>4</v>
      </c>
      <c r="G7449" t="str">
        <f>""</f>
        <v/>
      </c>
    </row>
    <row r="7450" spans="1:7" x14ac:dyDescent="0.25">
      <c r="A7450" t="s">
        <v>8</v>
      </c>
      <c r="B7450" s="1" t="str">
        <f>"000218053 - RICHS SWEET DOUGH BB-SODEXO"</f>
        <v>000218053 - RICHS SWEET DOUGH BB-SODEXO</v>
      </c>
      <c r="C7450" t="s">
        <v>161</v>
      </c>
      <c r="D7450" s="1" t="str">
        <f t="shared" si="212"/>
        <v>PRG-1031188</v>
      </c>
      <c r="E7450" t="s">
        <v>138</v>
      </c>
      <c r="F7450" t="s">
        <v>4</v>
      </c>
      <c r="G7450" t="str">
        <f>""</f>
        <v/>
      </c>
    </row>
    <row r="7451" spans="1:7" x14ac:dyDescent="0.25">
      <c r="A7451" t="s">
        <v>8</v>
      </c>
      <c r="B7451" s="1" t="str">
        <f>"000219422 - RICHS SWEET DOUGH-SODEXO"</f>
        <v>000219422 - RICHS SWEET DOUGH-SODEXO</v>
      </c>
      <c r="C7451" t="s">
        <v>137</v>
      </c>
      <c r="D7451" s="1" t="str">
        <f t="shared" si="212"/>
        <v>PRG-1031188</v>
      </c>
      <c r="E7451" t="s">
        <v>138</v>
      </c>
      <c r="F7451" t="s">
        <v>4</v>
      </c>
      <c r="G7451" t="str">
        <f>""</f>
        <v/>
      </c>
    </row>
    <row r="7452" spans="1:7" x14ac:dyDescent="0.25">
      <c r="A7452" t="s">
        <v>8</v>
      </c>
      <c r="B7452" s="1" t="str">
        <f>"000220207 - RICHS SWEET DOUGH-SODEXO"</f>
        <v>000220207 - RICHS SWEET DOUGH-SODEXO</v>
      </c>
      <c r="C7452" t="s">
        <v>137</v>
      </c>
      <c r="D7452" s="1" t="str">
        <f t="shared" si="212"/>
        <v>PRG-1031188</v>
      </c>
      <c r="E7452" t="s">
        <v>138</v>
      </c>
      <c r="F7452" t="s">
        <v>4</v>
      </c>
      <c r="G7452" t="str">
        <f>""</f>
        <v/>
      </c>
    </row>
    <row r="7453" spans="1:7" x14ac:dyDescent="0.25">
      <c r="A7453" t="s">
        <v>8</v>
      </c>
      <c r="B7453" s="1" t="str">
        <f>"000220880 - RICHS SWEET DOUGH-SODEXO"</f>
        <v>000220880 - RICHS SWEET DOUGH-SODEXO</v>
      </c>
      <c r="C7453" t="s">
        <v>137</v>
      </c>
      <c r="D7453" s="1" t="str">
        <f t="shared" ref="D7453:D7516" si="213">"PRG-1031188"</f>
        <v>PRG-1031188</v>
      </c>
      <c r="E7453" t="s">
        <v>138</v>
      </c>
      <c r="F7453" t="s">
        <v>4</v>
      </c>
      <c r="G7453" t="str">
        <f>""</f>
        <v/>
      </c>
    </row>
    <row r="7454" spans="1:7" x14ac:dyDescent="0.25">
      <c r="A7454" t="s">
        <v>8</v>
      </c>
      <c r="B7454" s="1" t="str">
        <f>"000221542 - RICHS SWEET DOUGH-SODEXO"</f>
        <v>000221542 - RICHS SWEET DOUGH-SODEXO</v>
      </c>
      <c r="C7454" t="s">
        <v>137</v>
      </c>
      <c r="D7454" s="1" t="str">
        <f t="shared" si="213"/>
        <v>PRG-1031188</v>
      </c>
      <c r="E7454" t="s">
        <v>138</v>
      </c>
      <c r="F7454" t="s">
        <v>4</v>
      </c>
      <c r="G7454" t="str">
        <f>""</f>
        <v/>
      </c>
    </row>
    <row r="7455" spans="1:7" x14ac:dyDescent="0.25">
      <c r="A7455" t="s">
        <v>8</v>
      </c>
      <c r="B7455" s="1" t="str">
        <f>"000221863 - BB SODEXO FOB RICH SW DOUGH"</f>
        <v>000221863 - BB SODEXO FOB RICH SW DOUGH</v>
      </c>
      <c r="C7455" t="s">
        <v>1612</v>
      </c>
      <c r="D7455" s="1" t="str">
        <f t="shared" si="213"/>
        <v>PRG-1031188</v>
      </c>
      <c r="E7455" t="s">
        <v>138</v>
      </c>
      <c r="F7455" t="s">
        <v>4</v>
      </c>
      <c r="G7455" t="str">
        <f>""</f>
        <v/>
      </c>
    </row>
    <row r="7456" spans="1:7" x14ac:dyDescent="0.25">
      <c r="A7456" t="s">
        <v>8</v>
      </c>
      <c r="B7456" s="1" t="str">
        <f>"000222220 - RICHS SWEET DOUGH-SODEXO"</f>
        <v>000222220 - RICHS SWEET DOUGH-SODEXO</v>
      </c>
      <c r="C7456" t="s">
        <v>137</v>
      </c>
      <c r="D7456" s="1" t="str">
        <f t="shared" si="213"/>
        <v>PRG-1031188</v>
      </c>
      <c r="E7456" t="s">
        <v>138</v>
      </c>
      <c r="F7456" t="s">
        <v>4</v>
      </c>
      <c r="G7456" t="str">
        <f>""</f>
        <v/>
      </c>
    </row>
    <row r="7457" spans="1:7" x14ac:dyDescent="0.25">
      <c r="A7457" t="s">
        <v>8</v>
      </c>
      <c r="B7457" s="1" t="str">
        <f>"000223893 - BB SODEXO FOB RICHS SWEET"</f>
        <v>000223893 - BB SODEXO FOB RICHS SWEET</v>
      </c>
      <c r="C7457" t="s">
        <v>1654</v>
      </c>
      <c r="D7457" s="1" t="str">
        <f t="shared" si="213"/>
        <v>PRG-1031188</v>
      </c>
      <c r="E7457" t="s">
        <v>138</v>
      </c>
      <c r="F7457" t="s">
        <v>4</v>
      </c>
      <c r="G7457" t="str">
        <f>""</f>
        <v/>
      </c>
    </row>
    <row r="7458" spans="1:7" x14ac:dyDescent="0.25">
      <c r="A7458" t="s">
        <v>8</v>
      </c>
      <c r="B7458" s="1" t="str">
        <f>"000224461 - RICHS SWEET DOUGH-SODEXO"</f>
        <v>000224461 - RICHS SWEET DOUGH-SODEXO</v>
      </c>
      <c r="C7458" t="s">
        <v>137</v>
      </c>
      <c r="D7458" s="1" t="str">
        <f t="shared" si="213"/>
        <v>PRG-1031188</v>
      </c>
      <c r="E7458" t="s">
        <v>138</v>
      </c>
      <c r="F7458" t="s">
        <v>4</v>
      </c>
      <c r="G7458" t="str">
        <f>""</f>
        <v/>
      </c>
    </row>
    <row r="7459" spans="1:7" x14ac:dyDescent="0.25">
      <c r="A7459" t="s">
        <v>8</v>
      </c>
      <c r="B7459" s="1" t="str">
        <f>"000224673 - RICHS SWEET DOUGH-SODEXO"</f>
        <v>000224673 - RICHS SWEET DOUGH-SODEXO</v>
      </c>
      <c r="C7459" t="s">
        <v>137</v>
      </c>
      <c r="D7459" s="1" t="str">
        <f t="shared" si="213"/>
        <v>PRG-1031188</v>
      </c>
      <c r="E7459" t="s">
        <v>138</v>
      </c>
      <c r="F7459" t="s">
        <v>4</v>
      </c>
      <c r="G7459" t="str">
        <f>""</f>
        <v/>
      </c>
    </row>
    <row r="7460" spans="1:7" x14ac:dyDescent="0.25">
      <c r="A7460" t="s">
        <v>8</v>
      </c>
      <c r="B7460" s="1" t="str">
        <f>"000227472 - RICHS SWEET DOUGH-SODEXO"</f>
        <v>000227472 - RICHS SWEET DOUGH-SODEXO</v>
      </c>
      <c r="C7460" t="s">
        <v>137</v>
      </c>
      <c r="D7460" s="1" t="str">
        <f t="shared" si="213"/>
        <v>PRG-1031188</v>
      </c>
      <c r="E7460" t="s">
        <v>138</v>
      </c>
      <c r="F7460" t="s">
        <v>4</v>
      </c>
      <c r="G7460" t="str">
        <f>""</f>
        <v/>
      </c>
    </row>
    <row r="7461" spans="1:7" x14ac:dyDescent="0.25">
      <c r="A7461" t="s">
        <v>8</v>
      </c>
      <c r="B7461" s="1" t="str">
        <f>"000227490 - BB SODEXO FOB RICHS"</f>
        <v>000227490 - BB SODEXO FOB RICHS</v>
      </c>
      <c r="C7461" t="s">
        <v>1707</v>
      </c>
      <c r="D7461" s="1" t="str">
        <f t="shared" si="213"/>
        <v>PRG-1031188</v>
      </c>
      <c r="E7461" t="s">
        <v>138</v>
      </c>
      <c r="F7461" t="s">
        <v>4</v>
      </c>
      <c r="G7461" t="str">
        <f>""</f>
        <v/>
      </c>
    </row>
    <row r="7462" spans="1:7" x14ac:dyDescent="0.25">
      <c r="A7462" t="s">
        <v>8</v>
      </c>
      <c r="B7462" s="1" t="str">
        <f>"000228991 - RICHS SWEET DOUGH BB-SODEXO"</f>
        <v>000228991 - RICHS SWEET DOUGH BB-SODEXO</v>
      </c>
      <c r="C7462" t="s">
        <v>161</v>
      </c>
      <c r="D7462" s="1" t="str">
        <f t="shared" si="213"/>
        <v>PRG-1031188</v>
      </c>
      <c r="E7462" t="s">
        <v>138</v>
      </c>
      <c r="F7462" t="s">
        <v>4</v>
      </c>
      <c r="G7462" t="str">
        <f>""</f>
        <v/>
      </c>
    </row>
    <row r="7463" spans="1:7" x14ac:dyDescent="0.25">
      <c r="A7463" t="s">
        <v>8</v>
      </c>
      <c r="B7463" s="1" t="str">
        <f>"000230304 - RICHS SWEET DOUGH-SODEXO"</f>
        <v>000230304 - RICHS SWEET DOUGH-SODEXO</v>
      </c>
      <c r="C7463" t="s">
        <v>137</v>
      </c>
      <c r="D7463" s="1" t="str">
        <f t="shared" si="213"/>
        <v>PRG-1031188</v>
      </c>
      <c r="E7463" t="s">
        <v>138</v>
      </c>
      <c r="F7463" t="s">
        <v>4</v>
      </c>
      <c r="G7463" t="str">
        <f>""</f>
        <v/>
      </c>
    </row>
    <row r="7464" spans="1:7" x14ac:dyDescent="0.25">
      <c r="A7464" t="s">
        <v>8</v>
      </c>
      <c r="B7464" s="1" t="str">
        <f>"000230456 - RICHS SWEET DOUGH-SODEXO"</f>
        <v>000230456 - RICHS SWEET DOUGH-SODEXO</v>
      </c>
      <c r="C7464" t="s">
        <v>137</v>
      </c>
      <c r="D7464" s="1" t="str">
        <f t="shared" si="213"/>
        <v>PRG-1031188</v>
      </c>
      <c r="E7464" t="s">
        <v>138</v>
      </c>
      <c r="F7464" t="s">
        <v>4</v>
      </c>
      <c r="G7464" t="str">
        <f>""</f>
        <v/>
      </c>
    </row>
    <row r="7465" spans="1:7" x14ac:dyDescent="0.25">
      <c r="A7465" t="s">
        <v>8</v>
      </c>
      <c r="B7465" s="1" t="str">
        <f>"000230753 - RICHS SWEET DOUGH-SODEXO"</f>
        <v>000230753 - RICHS SWEET DOUGH-SODEXO</v>
      </c>
      <c r="C7465" t="s">
        <v>137</v>
      </c>
      <c r="D7465" s="1" t="str">
        <f t="shared" si="213"/>
        <v>PRG-1031188</v>
      </c>
      <c r="E7465" t="s">
        <v>138</v>
      </c>
      <c r="F7465" t="s">
        <v>4</v>
      </c>
      <c r="G7465" t="str">
        <f>""</f>
        <v/>
      </c>
    </row>
    <row r="7466" spans="1:7" x14ac:dyDescent="0.25">
      <c r="A7466" t="s">
        <v>8</v>
      </c>
      <c r="B7466" s="1" t="str">
        <f>"000231028 - RICHS SWEET DOUGH-SODEXO"</f>
        <v>000231028 - RICHS SWEET DOUGH-SODEXO</v>
      </c>
      <c r="C7466" t="s">
        <v>137</v>
      </c>
      <c r="D7466" s="1" t="str">
        <f t="shared" si="213"/>
        <v>PRG-1031188</v>
      </c>
      <c r="E7466" t="s">
        <v>138</v>
      </c>
      <c r="F7466" t="s">
        <v>4</v>
      </c>
      <c r="G7466" t="str">
        <f>""</f>
        <v/>
      </c>
    </row>
    <row r="7467" spans="1:7" x14ac:dyDescent="0.25">
      <c r="A7467" t="s">
        <v>8</v>
      </c>
      <c r="B7467" s="1" t="str">
        <f>"000231625 - RICHS SWEET DOUGH-SODEXO"</f>
        <v>000231625 - RICHS SWEET DOUGH-SODEXO</v>
      </c>
      <c r="C7467" t="s">
        <v>137</v>
      </c>
      <c r="D7467" s="1" t="str">
        <f t="shared" si="213"/>
        <v>PRG-1031188</v>
      </c>
      <c r="E7467" t="s">
        <v>138</v>
      </c>
      <c r="F7467" t="s">
        <v>4</v>
      </c>
      <c r="G7467" t="str">
        <f>""</f>
        <v/>
      </c>
    </row>
    <row r="7468" spans="1:7" x14ac:dyDescent="0.25">
      <c r="A7468" t="s">
        <v>8</v>
      </c>
      <c r="B7468" s="1" t="str">
        <f>"000232592 - RICHS SWEET DOUGH-SODEXO"</f>
        <v>000232592 - RICHS SWEET DOUGH-SODEXO</v>
      </c>
      <c r="C7468" t="s">
        <v>137</v>
      </c>
      <c r="D7468" s="1" t="str">
        <f t="shared" si="213"/>
        <v>PRG-1031188</v>
      </c>
      <c r="E7468" t="s">
        <v>138</v>
      </c>
      <c r="F7468" t="s">
        <v>4</v>
      </c>
      <c r="G7468" t="str">
        <f>""</f>
        <v/>
      </c>
    </row>
    <row r="7469" spans="1:7" x14ac:dyDescent="0.25">
      <c r="A7469" t="s">
        <v>8</v>
      </c>
      <c r="B7469" s="1" t="str">
        <f>"000232909 - RICHS SWEET DOUGH-SODEXO"</f>
        <v>000232909 - RICHS SWEET DOUGH-SODEXO</v>
      </c>
      <c r="C7469" t="s">
        <v>137</v>
      </c>
      <c r="D7469" s="1" t="str">
        <f t="shared" si="213"/>
        <v>PRG-1031188</v>
      </c>
      <c r="E7469" t="s">
        <v>138</v>
      </c>
      <c r="F7469" t="s">
        <v>4</v>
      </c>
      <c r="G7469" t="str">
        <f>""</f>
        <v/>
      </c>
    </row>
    <row r="7470" spans="1:7" x14ac:dyDescent="0.25">
      <c r="A7470" t="s">
        <v>8</v>
      </c>
      <c r="B7470" s="1" t="str">
        <f>"000232956 - RICHS SWEET DOUGH-SODEXO"</f>
        <v>000232956 - RICHS SWEET DOUGH-SODEXO</v>
      </c>
      <c r="C7470" t="s">
        <v>137</v>
      </c>
      <c r="D7470" s="1" t="str">
        <f t="shared" si="213"/>
        <v>PRG-1031188</v>
      </c>
      <c r="E7470" t="s">
        <v>138</v>
      </c>
      <c r="F7470" t="s">
        <v>4</v>
      </c>
      <c r="G7470" t="str">
        <f>""</f>
        <v/>
      </c>
    </row>
    <row r="7471" spans="1:7" x14ac:dyDescent="0.25">
      <c r="A7471" t="s">
        <v>8</v>
      </c>
      <c r="B7471" s="1" t="str">
        <f>"000233027 - RICH'S SWEET DOUGH-SODEXO"</f>
        <v>000233027 - RICH'S SWEET DOUGH-SODEXO</v>
      </c>
      <c r="C7471" t="s">
        <v>449</v>
      </c>
      <c r="D7471" s="1" t="str">
        <f t="shared" si="213"/>
        <v>PRG-1031188</v>
      </c>
      <c r="E7471" t="s">
        <v>138</v>
      </c>
      <c r="F7471" t="s">
        <v>4</v>
      </c>
      <c r="G7471" t="str">
        <f>""</f>
        <v/>
      </c>
    </row>
    <row r="7472" spans="1:7" x14ac:dyDescent="0.25">
      <c r="A7472" t="s">
        <v>8</v>
      </c>
      <c r="B7472" s="1" t="str">
        <f>"000233672 - RICHS SWEET DOUGH BB-SODEXO"</f>
        <v>000233672 - RICHS SWEET DOUGH BB-SODEXO</v>
      </c>
      <c r="C7472" t="s">
        <v>161</v>
      </c>
      <c r="D7472" s="1" t="str">
        <f t="shared" si="213"/>
        <v>PRG-1031188</v>
      </c>
      <c r="E7472" t="s">
        <v>138</v>
      </c>
      <c r="F7472" t="s">
        <v>4</v>
      </c>
      <c r="G7472" t="str">
        <f>""</f>
        <v/>
      </c>
    </row>
    <row r="7473" spans="1:7" x14ac:dyDescent="0.25">
      <c r="A7473" t="s">
        <v>8</v>
      </c>
      <c r="B7473" s="1" t="str">
        <f>"000233675 - BB SODEXO DPMFX RICHS SW DOUGH"</f>
        <v>000233675 - BB SODEXO DPMFX RICHS SW DOUGH</v>
      </c>
      <c r="C7473" t="s">
        <v>1805</v>
      </c>
      <c r="D7473" s="1" t="str">
        <f t="shared" si="213"/>
        <v>PRG-1031188</v>
      </c>
      <c r="E7473" t="s">
        <v>138</v>
      </c>
      <c r="F7473" t="s">
        <v>4</v>
      </c>
      <c r="G7473" t="str">
        <f>""</f>
        <v/>
      </c>
    </row>
    <row r="7474" spans="1:7" x14ac:dyDescent="0.25">
      <c r="A7474" t="s">
        <v>8</v>
      </c>
      <c r="B7474" s="1" t="str">
        <f>"000233821 - RICHS SWEET DOUGH-SODEXO"</f>
        <v>000233821 - RICHS SWEET DOUGH-SODEXO</v>
      </c>
      <c r="C7474" t="s">
        <v>137</v>
      </c>
      <c r="D7474" s="1" t="str">
        <f t="shared" si="213"/>
        <v>PRG-1031188</v>
      </c>
      <c r="E7474" t="s">
        <v>138</v>
      </c>
      <c r="F7474" t="s">
        <v>4</v>
      </c>
      <c r="G7474" t="str">
        <f>""</f>
        <v/>
      </c>
    </row>
    <row r="7475" spans="1:7" x14ac:dyDescent="0.25">
      <c r="A7475" t="s">
        <v>8</v>
      </c>
      <c r="B7475" s="1" t="str">
        <f>"000234050 - RICHS SWEET DOUGH-SODEXO"</f>
        <v>000234050 - RICHS SWEET DOUGH-SODEXO</v>
      </c>
      <c r="C7475" t="s">
        <v>137</v>
      </c>
      <c r="D7475" s="1" t="str">
        <f t="shared" si="213"/>
        <v>PRG-1031188</v>
      </c>
      <c r="E7475" t="s">
        <v>138</v>
      </c>
      <c r="F7475" t="s">
        <v>4</v>
      </c>
      <c r="G7475" t="str">
        <f>""</f>
        <v/>
      </c>
    </row>
    <row r="7476" spans="1:7" x14ac:dyDescent="0.25">
      <c r="A7476" t="s">
        <v>8</v>
      </c>
      <c r="B7476" s="1" t="str">
        <f>"000234174 - RICHS SWEET DOUGH-SODEXO"</f>
        <v>000234174 - RICHS SWEET DOUGH-SODEXO</v>
      </c>
      <c r="C7476" t="s">
        <v>137</v>
      </c>
      <c r="D7476" s="1" t="str">
        <f t="shared" si="213"/>
        <v>PRG-1031188</v>
      </c>
      <c r="E7476" t="s">
        <v>138</v>
      </c>
      <c r="F7476" t="s">
        <v>4</v>
      </c>
      <c r="G7476" t="str">
        <f>""</f>
        <v/>
      </c>
    </row>
    <row r="7477" spans="1:7" x14ac:dyDescent="0.25">
      <c r="A7477" t="s">
        <v>8</v>
      </c>
      <c r="B7477" s="1" t="str">
        <f>"000234730 - RICH'S SWEET DOUGH-SODEXO"</f>
        <v>000234730 - RICH'S SWEET DOUGH-SODEXO</v>
      </c>
      <c r="C7477" t="s">
        <v>449</v>
      </c>
      <c r="D7477" s="1" t="str">
        <f t="shared" si="213"/>
        <v>PRG-1031188</v>
      </c>
      <c r="E7477" t="s">
        <v>138</v>
      </c>
      <c r="F7477" t="s">
        <v>4</v>
      </c>
      <c r="G7477" t="str">
        <f>""</f>
        <v/>
      </c>
    </row>
    <row r="7478" spans="1:7" x14ac:dyDescent="0.25">
      <c r="A7478" t="s">
        <v>8</v>
      </c>
      <c r="B7478" s="1" t="str">
        <f>"000234887 - RICHS SWEET DOUGH-SODEXO"</f>
        <v>000234887 - RICHS SWEET DOUGH-SODEXO</v>
      </c>
      <c r="C7478" t="s">
        <v>137</v>
      </c>
      <c r="D7478" s="1" t="str">
        <f t="shared" si="213"/>
        <v>PRG-1031188</v>
      </c>
      <c r="E7478" t="s">
        <v>138</v>
      </c>
      <c r="F7478" t="s">
        <v>4</v>
      </c>
      <c r="G7478" t="str">
        <f>""</f>
        <v/>
      </c>
    </row>
    <row r="7479" spans="1:7" x14ac:dyDescent="0.25">
      <c r="A7479" t="s">
        <v>8</v>
      </c>
      <c r="B7479" s="1" t="str">
        <f>"000235419 - RICHS SWEET DOUGH-SODEXO"</f>
        <v>000235419 - RICHS SWEET DOUGH-SODEXO</v>
      </c>
      <c r="C7479" t="s">
        <v>137</v>
      </c>
      <c r="D7479" s="1" t="str">
        <f t="shared" si="213"/>
        <v>PRG-1031188</v>
      </c>
      <c r="E7479" t="s">
        <v>138</v>
      </c>
      <c r="F7479" t="s">
        <v>4</v>
      </c>
      <c r="G7479" t="str">
        <f>""</f>
        <v/>
      </c>
    </row>
    <row r="7480" spans="1:7" x14ac:dyDescent="0.25">
      <c r="A7480" t="s">
        <v>8</v>
      </c>
      <c r="B7480" s="1" t="str">
        <f>"000235643 - RICHS SWEET DOUGH-SODEXO"</f>
        <v>000235643 - RICHS SWEET DOUGH-SODEXO</v>
      </c>
      <c r="C7480" t="s">
        <v>137</v>
      </c>
      <c r="D7480" s="1" t="str">
        <f t="shared" si="213"/>
        <v>PRG-1031188</v>
      </c>
      <c r="E7480" t="s">
        <v>138</v>
      </c>
      <c r="F7480" t="s">
        <v>4</v>
      </c>
      <c r="G7480" t="str">
        <f>""</f>
        <v/>
      </c>
    </row>
    <row r="7481" spans="1:7" x14ac:dyDescent="0.25">
      <c r="A7481" t="s">
        <v>8</v>
      </c>
      <c r="B7481" s="1" t="str">
        <f>"000236181 - RICHS SWEET DOUGH-SODEXO"</f>
        <v>000236181 - RICHS SWEET DOUGH-SODEXO</v>
      </c>
      <c r="C7481" t="s">
        <v>137</v>
      </c>
      <c r="D7481" s="1" t="str">
        <f t="shared" si="213"/>
        <v>PRG-1031188</v>
      </c>
      <c r="E7481" t="s">
        <v>138</v>
      </c>
      <c r="F7481" t="s">
        <v>4</v>
      </c>
      <c r="G7481" t="str">
        <f>""</f>
        <v/>
      </c>
    </row>
    <row r="7482" spans="1:7" x14ac:dyDescent="0.25">
      <c r="A7482" t="s">
        <v>8</v>
      </c>
      <c r="B7482" s="1" t="str">
        <f>"000237223 - RICHS SWEET DOUGH-SODEXO"</f>
        <v>000237223 - RICHS SWEET DOUGH-SODEXO</v>
      </c>
      <c r="C7482" t="s">
        <v>137</v>
      </c>
      <c r="D7482" s="1" t="str">
        <f t="shared" si="213"/>
        <v>PRG-1031188</v>
      </c>
      <c r="E7482" t="s">
        <v>138</v>
      </c>
      <c r="F7482" t="s">
        <v>4</v>
      </c>
      <c r="G7482" t="str">
        <f>""</f>
        <v/>
      </c>
    </row>
    <row r="7483" spans="1:7" x14ac:dyDescent="0.25">
      <c r="A7483" t="s">
        <v>8</v>
      </c>
      <c r="B7483" s="1" t="str">
        <f>"000237248 - RICHS SWEET DOUGH-SODEXO"</f>
        <v>000237248 - RICHS SWEET DOUGH-SODEXO</v>
      </c>
      <c r="C7483" t="s">
        <v>137</v>
      </c>
      <c r="D7483" s="1" t="str">
        <f t="shared" si="213"/>
        <v>PRG-1031188</v>
      </c>
      <c r="E7483" t="s">
        <v>138</v>
      </c>
      <c r="F7483" t="s">
        <v>4</v>
      </c>
      <c r="G7483" t="str">
        <f>""</f>
        <v/>
      </c>
    </row>
    <row r="7484" spans="1:7" x14ac:dyDescent="0.25">
      <c r="A7484" t="s">
        <v>8</v>
      </c>
      <c r="B7484" s="1" t="str">
        <f>"000237640 - RICHS SWEET DOUGH-SODEXO"</f>
        <v>000237640 - RICHS SWEET DOUGH-SODEXO</v>
      </c>
      <c r="C7484" t="s">
        <v>137</v>
      </c>
      <c r="D7484" s="1" t="str">
        <f t="shared" si="213"/>
        <v>PRG-1031188</v>
      </c>
      <c r="E7484" t="s">
        <v>138</v>
      </c>
      <c r="F7484" t="s">
        <v>4</v>
      </c>
      <c r="G7484" t="str">
        <f>""</f>
        <v/>
      </c>
    </row>
    <row r="7485" spans="1:7" x14ac:dyDescent="0.25">
      <c r="A7485" t="s">
        <v>8</v>
      </c>
      <c r="B7485" s="1" t="str">
        <f>"000237765 - RICHS SWEET DOUGH-SODEXO"</f>
        <v>000237765 - RICHS SWEET DOUGH-SODEXO</v>
      </c>
      <c r="C7485" t="s">
        <v>137</v>
      </c>
      <c r="D7485" s="1" t="str">
        <f t="shared" si="213"/>
        <v>PRG-1031188</v>
      </c>
      <c r="E7485" t="s">
        <v>138</v>
      </c>
      <c r="F7485" t="s">
        <v>4</v>
      </c>
      <c r="G7485" t="str">
        <f>""</f>
        <v/>
      </c>
    </row>
    <row r="7486" spans="1:7" x14ac:dyDescent="0.25">
      <c r="A7486" t="s">
        <v>8</v>
      </c>
      <c r="B7486" s="1" t="str">
        <f>"000238018 - "</f>
        <v xml:space="preserve">000238018 - </v>
      </c>
      <c r="D7486" s="1" t="str">
        <f t="shared" si="213"/>
        <v>PRG-1031188</v>
      </c>
      <c r="E7486" t="s">
        <v>138</v>
      </c>
      <c r="F7486" t="s">
        <v>4</v>
      </c>
      <c r="G7486" t="str">
        <f>""</f>
        <v/>
      </c>
    </row>
    <row r="7487" spans="1:7" x14ac:dyDescent="0.25">
      <c r="A7487" t="s">
        <v>8</v>
      </c>
      <c r="B7487" s="1" t="str">
        <f>"000239740 - RICHS SWEET DOUGH BB-SODEXO"</f>
        <v>000239740 - RICHS SWEET DOUGH BB-SODEXO</v>
      </c>
      <c r="C7487" t="s">
        <v>161</v>
      </c>
      <c r="D7487" s="1" t="str">
        <f t="shared" si="213"/>
        <v>PRG-1031188</v>
      </c>
      <c r="E7487" t="s">
        <v>138</v>
      </c>
      <c r="F7487" t="s">
        <v>4</v>
      </c>
      <c r="G7487" t="str">
        <f>""</f>
        <v/>
      </c>
    </row>
    <row r="7488" spans="1:7" x14ac:dyDescent="0.25">
      <c r="A7488" t="s">
        <v>8</v>
      </c>
      <c r="B7488" s="1" t="str">
        <f>"000239815 - RICHS SWEET DOUGH BB-SODEXO"</f>
        <v>000239815 - RICHS SWEET DOUGH BB-SODEXO</v>
      </c>
      <c r="C7488" t="s">
        <v>161</v>
      </c>
      <c r="D7488" s="1" t="str">
        <f t="shared" si="213"/>
        <v>PRG-1031188</v>
      </c>
      <c r="E7488" t="s">
        <v>138</v>
      </c>
      <c r="F7488" t="s">
        <v>4</v>
      </c>
      <c r="G7488" t="str">
        <f>""</f>
        <v/>
      </c>
    </row>
    <row r="7489" spans="1:7" x14ac:dyDescent="0.25">
      <c r="A7489" t="s">
        <v>8</v>
      </c>
      <c r="B7489" s="1" t="str">
        <f>"000239897 - RICHS SWEET DOUGH-SODEXO"</f>
        <v>000239897 - RICHS SWEET DOUGH-SODEXO</v>
      </c>
      <c r="C7489" t="s">
        <v>137</v>
      </c>
      <c r="D7489" s="1" t="str">
        <f t="shared" si="213"/>
        <v>PRG-1031188</v>
      </c>
      <c r="E7489" t="s">
        <v>138</v>
      </c>
      <c r="F7489" t="s">
        <v>4</v>
      </c>
      <c r="G7489" t="str">
        <f>""</f>
        <v/>
      </c>
    </row>
    <row r="7490" spans="1:7" x14ac:dyDescent="0.25">
      <c r="A7490" t="s">
        <v>8</v>
      </c>
      <c r="B7490" s="1" t="str">
        <f>"000240793 - "</f>
        <v xml:space="preserve">000240793 - </v>
      </c>
      <c r="D7490" s="1" t="str">
        <f t="shared" si="213"/>
        <v>PRG-1031188</v>
      </c>
      <c r="E7490" t="s">
        <v>138</v>
      </c>
      <c r="F7490" t="s">
        <v>4</v>
      </c>
      <c r="G7490" t="str">
        <f>""</f>
        <v/>
      </c>
    </row>
    <row r="7491" spans="1:7" x14ac:dyDescent="0.25">
      <c r="A7491" t="s">
        <v>8</v>
      </c>
      <c r="B7491" s="1" t="str">
        <f>"000241466 - RICHS SWEET DOUGH-SODEXO"</f>
        <v>000241466 - RICHS SWEET DOUGH-SODEXO</v>
      </c>
      <c r="C7491" t="s">
        <v>137</v>
      </c>
      <c r="D7491" s="1" t="str">
        <f t="shared" si="213"/>
        <v>PRG-1031188</v>
      </c>
      <c r="E7491" t="s">
        <v>138</v>
      </c>
      <c r="F7491" t="s">
        <v>4</v>
      </c>
      <c r="G7491" t="str">
        <f>""</f>
        <v/>
      </c>
    </row>
    <row r="7492" spans="1:7" x14ac:dyDescent="0.25">
      <c r="A7492" t="s">
        <v>8</v>
      </c>
      <c r="B7492" s="1" t="str">
        <f>"000241659 - RICHS SWEET DOUGH BB-SODEXO"</f>
        <v>000241659 - RICHS SWEET DOUGH BB-SODEXO</v>
      </c>
      <c r="C7492" t="s">
        <v>161</v>
      </c>
      <c r="D7492" s="1" t="str">
        <f t="shared" si="213"/>
        <v>PRG-1031188</v>
      </c>
      <c r="E7492" t="s">
        <v>138</v>
      </c>
      <c r="F7492" t="s">
        <v>4</v>
      </c>
      <c r="G7492" t="str">
        <f>""</f>
        <v/>
      </c>
    </row>
    <row r="7493" spans="1:7" x14ac:dyDescent="0.25">
      <c r="A7493" t="s">
        <v>8</v>
      </c>
      <c r="B7493" s="1" t="str">
        <f>"000242121 - RICHS SWEET DOUGH BB-SODEXO"</f>
        <v>000242121 - RICHS SWEET DOUGH BB-SODEXO</v>
      </c>
      <c r="C7493" t="s">
        <v>161</v>
      </c>
      <c r="D7493" s="1" t="str">
        <f t="shared" si="213"/>
        <v>PRG-1031188</v>
      </c>
      <c r="E7493" t="s">
        <v>138</v>
      </c>
      <c r="F7493" t="s">
        <v>4</v>
      </c>
      <c r="G7493" t="str">
        <f>""</f>
        <v/>
      </c>
    </row>
    <row r="7494" spans="1:7" x14ac:dyDescent="0.25">
      <c r="A7494" t="s">
        <v>8</v>
      </c>
      <c r="B7494" s="1" t="str">
        <f>"000242123 - RICHS SWEET DOUGH BB-SODEXO"</f>
        <v>000242123 - RICHS SWEET DOUGH BB-SODEXO</v>
      </c>
      <c r="C7494" t="s">
        <v>161</v>
      </c>
      <c r="D7494" s="1" t="str">
        <f t="shared" si="213"/>
        <v>PRG-1031188</v>
      </c>
      <c r="E7494" t="s">
        <v>138</v>
      </c>
      <c r="F7494" t="s">
        <v>4</v>
      </c>
      <c r="G7494" t="str">
        <f>""</f>
        <v/>
      </c>
    </row>
    <row r="7495" spans="1:7" x14ac:dyDescent="0.25">
      <c r="A7495" t="s">
        <v>8</v>
      </c>
      <c r="B7495" s="1" t="str">
        <f>"000242241 - RICHS SWEET DOUGH-SODEXO"</f>
        <v>000242241 - RICHS SWEET DOUGH-SODEXO</v>
      </c>
      <c r="C7495" t="s">
        <v>137</v>
      </c>
      <c r="D7495" s="1" t="str">
        <f t="shared" si="213"/>
        <v>PRG-1031188</v>
      </c>
      <c r="E7495" t="s">
        <v>138</v>
      </c>
      <c r="F7495" t="s">
        <v>4</v>
      </c>
      <c r="G7495" t="str">
        <f>""</f>
        <v/>
      </c>
    </row>
    <row r="7496" spans="1:7" x14ac:dyDescent="0.25">
      <c r="A7496" t="s">
        <v>8</v>
      </c>
      <c r="B7496" s="1" t="str">
        <f>"000242660 - RICHS SWEET DOUGH BB-SODEXO"</f>
        <v>000242660 - RICHS SWEET DOUGH BB-SODEXO</v>
      </c>
      <c r="C7496" t="s">
        <v>161</v>
      </c>
      <c r="D7496" s="1" t="str">
        <f t="shared" si="213"/>
        <v>PRG-1031188</v>
      </c>
      <c r="E7496" t="s">
        <v>138</v>
      </c>
      <c r="F7496" t="s">
        <v>4</v>
      </c>
      <c r="G7496" t="str">
        <f>""</f>
        <v/>
      </c>
    </row>
    <row r="7497" spans="1:7" x14ac:dyDescent="0.25">
      <c r="A7497" t="s">
        <v>8</v>
      </c>
      <c r="B7497" s="1" t="str">
        <f>"000242912 - SODEXO RICH FOODS BB RICH PROD"</f>
        <v>000242912 - SODEXO RICH FOODS BB RICH PROD</v>
      </c>
      <c r="C7497" t="s">
        <v>1944</v>
      </c>
      <c r="D7497" s="1" t="str">
        <f t="shared" si="213"/>
        <v>PRG-1031188</v>
      </c>
      <c r="E7497" t="s">
        <v>138</v>
      </c>
      <c r="F7497" t="s">
        <v>4</v>
      </c>
      <c r="G7497" t="str">
        <f>""</f>
        <v/>
      </c>
    </row>
    <row r="7498" spans="1:7" x14ac:dyDescent="0.25">
      <c r="A7498" t="s">
        <v>8</v>
      </c>
      <c r="B7498" s="1" t="str">
        <f>"000242964 - RICHS SWEET DOUGH-SODEXO"</f>
        <v>000242964 - RICHS SWEET DOUGH-SODEXO</v>
      </c>
      <c r="C7498" t="s">
        <v>137</v>
      </c>
      <c r="D7498" s="1" t="str">
        <f t="shared" si="213"/>
        <v>PRG-1031188</v>
      </c>
      <c r="E7498" t="s">
        <v>138</v>
      </c>
      <c r="F7498" t="s">
        <v>4</v>
      </c>
      <c r="G7498" t="str">
        <f>""</f>
        <v/>
      </c>
    </row>
    <row r="7499" spans="1:7" x14ac:dyDescent="0.25">
      <c r="A7499" t="s">
        <v>8</v>
      </c>
      <c r="B7499" s="1" t="str">
        <f>"000243825 - RICHS SWEET DOUGH BB-SODEXO"</f>
        <v>000243825 - RICHS SWEET DOUGH BB-SODEXO</v>
      </c>
      <c r="C7499" t="s">
        <v>161</v>
      </c>
      <c r="D7499" s="1" t="str">
        <f t="shared" si="213"/>
        <v>PRG-1031188</v>
      </c>
      <c r="E7499" t="s">
        <v>138</v>
      </c>
      <c r="F7499" t="s">
        <v>4</v>
      </c>
      <c r="G7499" t="str">
        <f>""</f>
        <v/>
      </c>
    </row>
    <row r="7500" spans="1:7" x14ac:dyDescent="0.25">
      <c r="A7500" t="s">
        <v>8</v>
      </c>
      <c r="B7500" s="1" t="str">
        <f>"000244675 - RICHS SWEET DOUGH-SODEXO"</f>
        <v>000244675 - RICHS SWEET DOUGH-SODEXO</v>
      </c>
      <c r="C7500" t="s">
        <v>137</v>
      </c>
      <c r="D7500" s="1" t="str">
        <f t="shared" si="213"/>
        <v>PRG-1031188</v>
      </c>
      <c r="E7500" t="s">
        <v>138</v>
      </c>
      <c r="F7500" t="s">
        <v>4</v>
      </c>
      <c r="G7500" t="str">
        <f>""</f>
        <v/>
      </c>
    </row>
    <row r="7501" spans="1:7" x14ac:dyDescent="0.25">
      <c r="A7501" t="s">
        <v>8</v>
      </c>
      <c r="B7501" s="1" t="str">
        <f>"000244912 - RICHS SWEET DOUGH-SODEXO"</f>
        <v>000244912 - RICHS SWEET DOUGH-SODEXO</v>
      </c>
      <c r="C7501" t="s">
        <v>137</v>
      </c>
      <c r="D7501" s="1" t="str">
        <f t="shared" si="213"/>
        <v>PRG-1031188</v>
      </c>
      <c r="E7501" t="s">
        <v>138</v>
      </c>
      <c r="F7501" t="s">
        <v>4</v>
      </c>
      <c r="G7501" t="str">
        <f>""</f>
        <v/>
      </c>
    </row>
    <row r="7502" spans="1:7" x14ac:dyDescent="0.25">
      <c r="A7502" t="s">
        <v>8</v>
      </c>
      <c r="B7502" s="1" t="str">
        <f>"000245641 - RICHS SWEET DOUGH BB-SODEXO"</f>
        <v>000245641 - RICHS SWEET DOUGH BB-SODEXO</v>
      </c>
      <c r="C7502" t="s">
        <v>161</v>
      </c>
      <c r="D7502" s="1" t="str">
        <f t="shared" si="213"/>
        <v>PRG-1031188</v>
      </c>
      <c r="E7502" t="s">
        <v>138</v>
      </c>
      <c r="F7502" t="s">
        <v>4</v>
      </c>
      <c r="G7502" t="str">
        <f>""</f>
        <v/>
      </c>
    </row>
    <row r="7503" spans="1:7" x14ac:dyDescent="0.25">
      <c r="A7503" t="s">
        <v>8</v>
      </c>
      <c r="B7503" s="1" t="str">
        <f>"000246755 - RICHS SWEET DOUGH-SODEXO"</f>
        <v>000246755 - RICHS SWEET DOUGH-SODEXO</v>
      </c>
      <c r="C7503" t="s">
        <v>137</v>
      </c>
      <c r="D7503" s="1" t="str">
        <f t="shared" si="213"/>
        <v>PRG-1031188</v>
      </c>
      <c r="E7503" t="s">
        <v>138</v>
      </c>
      <c r="F7503" t="s">
        <v>4</v>
      </c>
      <c r="G7503" t="str">
        <f>""</f>
        <v/>
      </c>
    </row>
    <row r="7504" spans="1:7" x14ac:dyDescent="0.25">
      <c r="A7504" t="s">
        <v>8</v>
      </c>
      <c r="B7504" s="1" t="str">
        <f>"000247323 - "</f>
        <v xml:space="preserve">000247323 - </v>
      </c>
      <c r="D7504" s="1" t="str">
        <f t="shared" si="213"/>
        <v>PRG-1031188</v>
      </c>
      <c r="E7504" t="s">
        <v>138</v>
      </c>
      <c r="F7504" t="s">
        <v>4</v>
      </c>
      <c r="G7504" t="str">
        <f>""</f>
        <v/>
      </c>
    </row>
    <row r="7505" spans="1:7" x14ac:dyDescent="0.25">
      <c r="A7505" t="s">
        <v>8</v>
      </c>
      <c r="B7505" s="1" t="str">
        <f>"000247567 - RICHS SWEET DOUGH-SODEXO"</f>
        <v>000247567 - RICHS SWEET DOUGH-SODEXO</v>
      </c>
      <c r="C7505" t="s">
        <v>137</v>
      </c>
      <c r="D7505" s="1" t="str">
        <f t="shared" si="213"/>
        <v>PRG-1031188</v>
      </c>
      <c r="E7505" t="s">
        <v>138</v>
      </c>
      <c r="F7505" t="s">
        <v>4</v>
      </c>
      <c r="G7505" t="str">
        <f>""</f>
        <v/>
      </c>
    </row>
    <row r="7506" spans="1:7" x14ac:dyDescent="0.25">
      <c r="A7506" t="s">
        <v>8</v>
      </c>
      <c r="B7506" s="1" t="str">
        <f>"000247929 - RICH'S SWEET DOUGH-SODEXO"</f>
        <v>000247929 - RICH'S SWEET DOUGH-SODEXO</v>
      </c>
      <c r="C7506" t="s">
        <v>449</v>
      </c>
      <c r="D7506" s="1" t="str">
        <f t="shared" si="213"/>
        <v>PRG-1031188</v>
      </c>
      <c r="E7506" t="s">
        <v>138</v>
      </c>
      <c r="F7506" t="s">
        <v>4</v>
      </c>
      <c r="G7506" t="str">
        <f>""</f>
        <v/>
      </c>
    </row>
    <row r="7507" spans="1:7" x14ac:dyDescent="0.25">
      <c r="A7507" t="s">
        <v>8</v>
      </c>
      <c r="B7507" s="1" t="str">
        <f>"000248215 - RICHS SWEET DOUGH BB-SODEXO"</f>
        <v>000248215 - RICHS SWEET DOUGH BB-SODEXO</v>
      </c>
      <c r="C7507" t="s">
        <v>161</v>
      </c>
      <c r="D7507" s="1" t="str">
        <f t="shared" si="213"/>
        <v>PRG-1031188</v>
      </c>
      <c r="E7507" t="s">
        <v>138</v>
      </c>
      <c r="F7507" t="s">
        <v>4</v>
      </c>
      <c r="G7507" t="str">
        <f>""</f>
        <v/>
      </c>
    </row>
    <row r="7508" spans="1:7" x14ac:dyDescent="0.25">
      <c r="A7508" t="s">
        <v>8</v>
      </c>
      <c r="B7508" s="1" t="str">
        <f>"000249004 - RICHS SWEET DOUGH-SODEXO"</f>
        <v>000249004 - RICHS SWEET DOUGH-SODEXO</v>
      </c>
      <c r="C7508" t="s">
        <v>137</v>
      </c>
      <c r="D7508" s="1" t="str">
        <f t="shared" si="213"/>
        <v>PRG-1031188</v>
      </c>
      <c r="E7508" t="s">
        <v>138</v>
      </c>
      <c r="F7508" t="s">
        <v>4</v>
      </c>
      <c r="G7508" t="str">
        <f>""</f>
        <v/>
      </c>
    </row>
    <row r="7509" spans="1:7" x14ac:dyDescent="0.25">
      <c r="A7509" t="s">
        <v>8</v>
      </c>
      <c r="B7509" s="1" t="str">
        <f>"000249276 - RICHS SWEET DOUGH-SODEXO"</f>
        <v>000249276 - RICHS SWEET DOUGH-SODEXO</v>
      </c>
      <c r="C7509" t="s">
        <v>137</v>
      </c>
      <c r="D7509" s="1" t="str">
        <f t="shared" si="213"/>
        <v>PRG-1031188</v>
      </c>
      <c r="E7509" t="s">
        <v>138</v>
      </c>
      <c r="F7509" t="s">
        <v>4</v>
      </c>
      <c r="G7509" t="str">
        <f>""</f>
        <v/>
      </c>
    </row>
    <row r="7510" spans="1:7" x14ac:dyDescent="0.25">
      <c r="A7510" t="s">
        <v>8</v>
      </c>
      <c r="B7510" s="1" t="str">
        <f>"000249977 - "</f>
        <v xml:space="preserve">000249977 - </v>
      </c>
      <c r="D7510" s="1" t="str">
        <f t="shared" si="213"/>
        <v>PRG-1031188</v>
      </c>
      <c r="E7510" t="s">
        <v>138</v>
      </c>
      <c r="F7510" t="s">
        <v>4</v>
      </c>
      <c r="G7510" t="str">
        <f>""</f>
        <v/>
      </c>
    </row>
    <row r="7511" spans="1:7" x14ac:dyDescent="0.25">
      <c r="A7511" t="s">
        <v>8</v>
      </c>
      <c r="B7511" s="1" t="str">
        <f>"000250149 - RICHS SWEET DOUGH-SODEXO"</f>
        <v>000250149 - RICHS SWEET DOUGH-SODEXO</v>
      </c>
      <c r="C7511" t="s">
        <v>137</v>
      </c>
      <c r="D7511" s="1" t="str">
        <f t="shared" si="213"/>
        <v>PRG-1031188</v>
      </c>
      <c r="E7511" t="s">
        <v>138</v>
      </c>
      <c r="F7511" t="s">
        <v>4</v>
      </c>
      <c r="G7511" t="str">
        <f>""</f>
        <v/>
      </c>
    </row>
    <row r="7512" spans="1:7" x14ac:dyDescent="0.25">
      <c r="A7512" t="s">
        <v>8</v>
      </c>
      <c r="B7512" s="1" t="str">
        <f>"000251939 - RICHS SWEET DOUGH-SODEXO"</f>
        <v>000251939 - RICHS SWEET DOUGH-SODEXO</v>
      </c>
      <c r="C7512" t="s">
        <v>137</v>
      </c>
      <c r="D7512" s="1" t="str">
        <f t="shared" si="213"/>
        <v>PRG-1031188</v>
      </c>
      <c r="E7512" t="s">
        <v>138</v>
      </c>
      <c r="F7512" t="s">
        <v>4</v>
      </c>
      <c r="G7512" t="str">
        <f>""</f>
        <v/>
      </c>
    </row>
    <row r="7513" spans="1:7" x14ac:dyDescent="0.25">
      <c r="A7513" t="s">
        <v>8</v>
      </c>
      <c r="B7513" s="1" t="str">
        <f>"000252101 - RICHS SWEET DOUGH-SODEXO"</f>
        <v>000252101 - RICHS SWEET DOUGH-SODEXO</v>
      </c>
      <c r="C7513" t="s">
        <v>137</v>
      </c>
      <c r="D7513" s="1" t="str">
        <f t="shared" si="213"/>
        <v>PRG-1031188</v>
      </c>
      <c r="E7513" t="s">
        <v>138</v>
      </c>
      <c r="F7513" t="s">
        <v>4</v>
      </c>
      <c r="G7513" t="str">
        <f>""</f>
        <v/>
      </c>
    </row>
    <row r="7514" spans="1:7" x14ac:dyDescent="0.25">
      <c r="A7514" t="s">
        <v>8</v>
      </c>
      <c r="B7514" s="1" t="str">
        <f>"000252735 - RICHS SWEET DOUGH-SODEXO"</f>
        <v>000252735 - RICHS SWEET DOUGH-SODEXO</v>
      </c>
      <c r="C7514" t="s">
        <v>137</v>
      </c>
      <c r="D7514" s="1" t="str">
        <f t="shared" si="213"/>
        <v>PRG-1031188</v>
      </c>
      <c r="E7514" t="s">
        <v>138</v>
      </c>
      <c r="F7514" t="s">
        <v>4</v>
      </c>
      <c r="G7514" t="str">
        <f>""</f>
        <v/>
      </c>
    </row>
    <row r="7515" spans="1:7" x14ac:dyDescent="0.25">
      <c r="A7515" t="s">
        <v>8</v>
      </c>
      <c r="B7515" s="1" t="str">
        <f>"000252745 - RICHS SWEET DOUGH BB-SODEXO"</f>
        <v>000252745 - RICHS SWEET DOUGH BB-SODEXO</v>
      </c>
      <c r="C7515" t="s">
        <v>161</v>
      </c>
      <c r="D7515" s="1" t="str">
        <f t="shared" si="213"/>
        <v>PRG-1031188</v>
      </c>
      <c r="E7515" t="s">
        <v>138</v>
      </c>
      <c r="F7515" t="s">
        <v>4</v>
      </c>
      <c r="G7515" t="str">
        <f>""</f>
        <v/>
      </c>
    </row>
    <row r="7516" spans="1:7" x14ac:dyDescent="0.25">
      <c r="A7516" t="s">
        <v>8</v>
      </c>
      <c r="B7516" s="1" t="str">
        <f>"000253286 - "</f>
        <v xml:space="preserve">000253286 - </v>
      </c>
      <c r="D7516" s="1" t="str">
        <f t="shared" si="213"/>
        <v>PRG-1031188</v>
      </c>
      <c r="E7516" t="s">
        <v>138</v>
      </c>
      <c r="F7516" t="s">
        <v>4</v>
      </c>
      <c r="G7516" t="str">
        <f>""</f>
        <v/>
      </c>
    </row>
    <row r="7517" spans="1:7" x14ac:dyDescent="0.25">
      <c r="A7517" t="s">
        <v>8</v>
      </c>
      <c r="B7517" s="1" t="str">
        <f>"000254169 - RICHS SWEET DOUGH-SODEXO"</f>
        <v>000254169 - RICHS SWEET DOUGH-SODEXO</v>
      </c>
      <c r="C7517" t="s">
        <v>137</v>
      </c>
      <c r="D7517" s="1" t="str">
        <f t="shared" ref="D7517:D7580" si="214">"PRG-1031188"</f>
        <v>PRG-1031188</v>
      </c>
      <c r="E7517" t="s">
        <v>138</v>
      </c>
      <c r="F7517" t="s">
        <v>4</v>
      </c>
      <c r="G7517" t="str">
        <f>""</f>
        <v/>
      </c>
    </row>
    <row r="7518" spans="1:7" x14ac:dyDescent="0.25">
      <c r="A7518" t="s">
        <v>8</v>
      </c>
      <c r="B7518" s="1" t="str">
        <f>"000254199 - RICHS SWEET DOUGH-SODEXO"</f>
        <v>000254199 - RICHS SWEET DOUGH-SODEXO</v>
      </c>
      <c r="C7518" t="s">
        <v>137</v>
      </c>
      <c r="D7518" s="1" t="str">
        <f t="shared" si="214"/>
        <v>PRG-1031188</v>
      </c>
      <c r="E7518" t="s">
        <v>138</v>
      </c>
      <c r="F7518" t="s">
        <v>4</v>
      </c>
      <c r="G7518" t="str">
        <f>""</f>
        <v/>
      </c>
    </row>
    <row r="7519" spans="1:7" x14ac:dyDescent="0.25">
      <c r="A7519" t="s">
        <v>8</v>
      </c>
      <c r="B7519" s="1" t="str">
        <f>"000254800 - RICHS SWEET DOUGH-SODEXO"</f>
        <v>000254800 - RICHS SWEET DOUGH-SODEXO</v>
      </c>
      <c r="C7519" t="s">
        <v>137</v>
      </c>
      <c r="D7519" s="1" t="str">
        <f t="shared" si="214"/>
        <v>PRG-1031188</v>
      </c>
      <c r="E7519" t="s">
        <v>138</v>
      </c>
      <c r="F7519" t="s">
        <v>4</v>
      </c>
      <c r="G7519" t="str">
        <f>""</f>
        <v/>
      </c>
    </row>
    <row r="7520" spans="1:7" x14ac:dyDescent="0.25">
      <c r="A7520" t="s">
        <v>8</v>
      </c>
      <c r="B7520" s="1" t="str">
        <f>"000254978 - RICHS SWEET DOUGH-SODEXO"</f>
        <v>000254978 - RICHS SWEET DOUGH-SODEXO</v>
      </c>
      <c r="C7520" t="s">
        <v>137</v>
      </c>
      <c r="D7520" s="1" t="str">
        <f t="shared" si="214"/>
        <v>PRG-1031188</v>
      </c>
      <c r="E7520" t="s">
        <v>138</v>
      </c>
      <c r="F7520" t="s">
        <v>4</v>
      </c>
      <c r="G7520" t="str">
        <f>""</f>
        <v/>
      </c>
    </row>
    <row r="7521" spans="1:7" x14ac:dyDescent="0.25">
      <c r="A7521" t="s">
        <v>8</v>
      </c>
      <c r="B7521" s="1" t="str">
        <f>"000255239 - RICHS SWEET DOUGH-SODEXO"</f>
        <v>000255239 - RICHS SWEET DOUGH-SODEXO</v>
      </c>
      <c r="C7521" t="s">
        <v>137</v>
      </c>
      <c r="D7521" s="1" t="str">
        <f t="shared" si="214"/>
        <v>PRG-1031188</v>
      </c>
      <c r="E7521" t="s">
        <v>138</v>
      </c>
      <c r="F7521" t="s">
        <v>4</v>
      </c>
      <c r="G7521" t="str">
        <f>""</f>
        <v/>
      </c>
    </row>
    <row r="7522" spans="1:7" x14ac:dyDescent="0.25">
      <c r="A7522" t="s">
        <v>8</v>
      </c>
      <c r="B7522" s="1" t="str">
        <f>"000255871 - RICH'S SWEET DOUGH-SODEXO"</f>
        <v>000255871 - RICH'S SWEET DOUGH-SODEXO</v>
      </c>
      <c r="C7522" t="s">
        <v>449</v>
      </c>
      <c r="D7522" s="1" t="str">
        <f t="shared" si="214"/>
        <v>PRG-1031188</v>
      </c>
      <c r="E7522" t="s">
        <v>138</v>
      </c>
      <c r="F7522" t="s">
        <v>4</v>
      </c>
      <c r="G7522" t="str">
        <f>""</f>
        <v/>
      </c>
    </row>
    <row r="7523" spans="1:7" x14ac:dyDescent="0.25">
      <c r="A7523" t="s">
        <v>8</v>
      </c>
      <c r="B7523" s="1" t="str">
        <f>"000255930 - RICHS SWEET DOUGH-SODEXO"</f>
        <v>000255930 - RICHS SWEET DOUGH-SODEXO</v>
      </c>
      <c r="C7523" t="s">
        <v>137</v>
      </c>
      <c r="D7523" s="1" t="str">
        <f t="shared" si="214"/>
        <v>PRG-1031188</v>
      </c>
      <c r="E7523" t="s">
        <v>138</v>
      </c>
      <c r="F7523" t="s">
        <v>4</v>
      </c>
      <c r="G7523" t="str">
        <f>""</f>
        <v/>
      </c>
    </row>
    <row r="7524" spans="1:7" x14ac:dyDescent="0.25">
      <c r="A7524" t="s">
        <v>8</v>
      </c>
      <c r="B7524" s="1" t="str">
        <f>"000255954 - RICHS SWEET DOUGH BB-SODEXO"</f>
        <v>000255954 - RICHS SWEET DOUGH BB-SODEXO</v>
      </c>
      <c r="C7524" t="s">
        <v>161</v>
      </c>
      <c r="D7524" s="1" t="str">
        <f t="shared" si="214"/>
        <v>PRG-1031188</v>
      </c>
      <c r="E7524" t="s">
        <v>138</v>
      </c>
      <c r="F7524" t="s">
        <v>4</v>
      </c>
      <c r="G7524" t="str">
        <f>""</f>
        <v/>
      </c>
    </row>
    <row r="7525" spans="1:7" x14ac:dyDescent="0.25">
      <c r="A7525" t="s">
        <v>8</v>
      </c>
      <c r="B7525" s="1" t="str">
        <f>"000256883 - RICHS SWEET DOUGH-SODEXO"</f>
        <v>000256883 - RICHS SWEET DOUGH-SODEXO</v>
      </c>
      <c r="C7525" t="s">
        <v>137</v>
      </c>
      <c r="D7525" s="1" t="str">
        <f t="shared" si="214"/>
        <v>PRG-1031188</v>
      </c>
      <c r="E7525" t="s">
        <v>138</v>
      </c>
      <c r="F7525" t="s">
        <v>4</v>
      </c>
      <c r="G7525" t="str">
        <f>""</f>
        <v/>
      </c>
    </row>
    <row r="7526" spans="1:7" x14ac:dyDescent="0.25">
      <c r="A7526" t="s">
        <v>8</v>
      </c>
      <c r="B7526" s="1" t="str">
        <f>"000257134 - RICHS SWEET DOUGH-SODEXO"</f>
        <v>000257134 - RICHS SWEET DOUGH-SODEXO</v>
      </c>
      <c r="C7526" t="s">
        <v>137</v>
      </c>
      <c r="D7526" s="1" t="str">
        <f t="shared" si="214"/>
        <v>PRG-1031188</v>
      </c>
      <c r="E7526" t="s">
        <v>138</v>
      </c>
      <c r="F7526" t="s">
        <v>4</v>
      </c>
      <c r="G7526" t="str">
        <f>""</f>
        <v/>
      </c>
    </row>
    <row r="7527" spans="1:7" x14ac:dyDescent="0.25">
      <c r="A7527" t="s">
        <v>8</v>
      </c>
      <c r="B7527" s="1" t="str">
        <f>"000257262 - RICHS SWEET DOUGH-SODEXO"</f>
        <v>000257262 - RICHS SWEET DOUGH-SODEXO</v>
      </c>
      <c r="C7527" t="s">
        <v>137</v>
      </c>
      <c r="D7527" s="1" t="str">
        <f t="shared" si="214"/>
        <v>PRG-1031188</v>
      </c>
      <c r="E7527" t="s">
        <v>138</v>
      </c>
      <c r="F7527" t="s">
        <v>4</v>
      </c>
      <c r="G7527" t="str">
        <f>""</f>
        <v/>
      </c>
    </row>
    <row r="7528" spans="1:7" x14ac:dyDescent="0.25">
      <c r="A7528" t="s">
        <v>8</v>
      </c>
      <c r="B7528" s="1" t="str">
        <f>"000258212 - RICHS SWEET DOUGH-SODEXO"</f>
        <v>000258212 - RICHS SWEET DOUGH-SODEXO</v>
      </c>
      <c r="C7528" t="s">
        <v>137</v>
      </c>
      <c r="D7528" s="1" t="str">
        <f t="shared" si="214"/>
        <v>PRG-1031188</v>
      </c>
      <c r="E7528" t="s">
        <v>138</v>
      </c>
      <c r="F7528" t="s">
        <v>4</v>
      </c>
      <c r="G7528" t="str">
        <f>""</f>
        <v/>
      </c>
    </row>
    <row r="7529" spans="1:7" x14ac:dyDescent="0.25">
      <c r="A7529" t="s">
        <v>8</v>
      </c>
      <c r="B7529" s="1" t="str">
        <f>"000258474 - RICHS SWEET DOUGH-SODEXO"</f>
        <v>000258474 - RICHS SWEET DOUGH-SODEXO</v>
      </c>
      <c r="C7529" t="s">
        <v>137</v>
      </c>
      <c r="D7529" s="1" t="str">
        <f t="shared" si="214"/>
        <v>PRG-1031188</v>
      </c>
      <c r="E7529" t="s">
        <v>138</v>
      </c>
      <c r="F7529" t="s">
        <v>4</v>
      </c>
      <c r="G7529" t="str">
        <f>""</f>
        <v/>
      </c>
    </row>
    <row r="7530" spans="1:7" x14ac:dyDescent="0.25">
      <c r="A7530" t="s">
        <v>8</v>
      </c>
      <c r="B7530" s="1" t="str">
        <f>"000259154 - RICHS SWEET DOUGH BB-SODEXO"</f>
        <v>000259154 - RICHS SWEET DOUGH BB-SODEXO</v>
      </c>
      <c r="C7530" t="s">
        <v>161</v>
      </c>
      <c r="D7530" s="1" t="str">
        <f t="shared" si="214"/>
        <v>PRG-1031188</v>
      </c>
      <c r="E7530" t="s">
        <v>138</v>
      </c>
      <c r="F7530" t="s">
        <v>4</v>
      </c>
      <c r="G7530" t="str">
        <f>""</f>
        <v/>
      </c>
    </row>
    <row r="7531" spans="1:7" x14ac:dyDescent="0.25">
      <c r="A7531" t="s">
        <v>8</v>
      </c>
      <c r="B7531" s="1" t="str">
        <f>"000259262 - RICHS SWEET DOUGH-SODEXO"</f>
        <v>000259262 - RICHS SWEET DOUGH-SODEXO</v>
      </c>
      <c r="C7531" t="s">
        <v>137</v>
      </c>
      <c r="D7531" s="1" t="str">
        <f t="shared" si="214"/>
        <v>PRG-1031188</v>
      </c>
      <c r="E7531" t="s">
        <v>138</v>
      </c>
      <c r="F7531" t="s">
        <v>4</v>
      </c>
      <c r="G7531" t="str">
        <f>""</f>
        <v/>
      </c>
    </row>
    <row r="7532" spans="1:7" x14ac:dyDescent="0.25">
      <c r="A7532" t="s">
        <v>8</v>
      </c>
      <c r="B7532" s="1" t="str">
        <f>"000259421 - RICHS SWEET DOUGH-SODEXO"</f>
        <v>000259421 - RICHS SWEET DOUGH-SODEXO</v>
      </c>
      <c r="C7532" t="s">
        <v>137</v>
      </c>
      <c r="D7532" s="1" t="str">
        <f t="shared" si="214"/>
        <v>PRG-1031188</v>
      </c>
      <c r="E7532" t="s">
        <v>138</v>
      </c>
      <c r="F7532" t="s">
        <v>4</v>
      </c>
      <c r="G7532" t="str">
        <f>""</f>
        <v/>
      </c>
    </row>
    <row r="7533" spans="1:7" x14ac:dyDescent="0.25">
      <c r="A7533" t="s">
        <v>8</v>
      </c>
      <c r="B7533" s="1" t="str">
        <f>"000259477 - RICHS SWEET DOUGH-SODEXO"</f>
        <v>000259477 - RICHS SWEET DOUGH-SODEXO</v>
      </c>
      <c r="C7533" t="s">
        <v>137</v>
      </c>
      <c r="D7533" s="1" t="str">
        <f t="shared" si="214"/>
        <v>PRG-1031188</v>
      </c>
      <c r="E7533" t="s">
        <v>138</v>
      </c>
      <c r="F7533" t="s">
        <v>4</v>
      </c>
      <c r="G7533" t="str">
        <f>""</f>
        <v/>
      </c>
    </row>
    <row r="7534" spans="1:7" x14ac:dyDescent="0.25">
      <c r="A7534" t="s">
        <v>8</v>
      </c>
      <c r="B7534" s="1" t="str">
        <f>"000260148 - RICHS SWEET DOUGH-SODEXO"</f>
        <v>000260148 - RICHS SWEET DOUGH-SODEXO</v>
      </c>
      <c r="C7534" t="s">
        <v>137</v>
      </c>
      <c r="D7534" s="1" t="str">
        <f t="shared" si="214"/>
        <v>PRG-1031188</v>
      </c>
      <c r="E7534" t="s">
        <v>138</v>
      </c>
      <c r="F7534" t="s">
        <v>4</v>
      </c>
      <c r="G7534" t="str">
        <f>""</f>
        <v/>
      </c>
    </row>
    <row r="7535" spans="1:7" x14ac:dyDescent="0.25">
      <c r="A7535" t="s">
        <v>8</v>
      </c>
      <c r="B7535" s="1" t="str">
        <f>"000260358 - RICHS SWEET DOUGH-SODEXO"</f>
        <v>000260358 - RICHS SWEET DOUGH-SODEXO</v>
      </c>
      <c r="C7535" t="s">
        <v>137</v>
      </c>
      <c r="D7535" s="1" t="str">
        <f t="shared" si="214"/>
        <v>PRG-1031188</v>
      </c>
      <c r="E7535" t="s">
        <v>138</v>
      </c>
      <c r="F7535" t="s">
        <v>4</v>
      </c>
      <c r="G7535" t="str">
        <f>""</f>
        <v/>
      </c>
    </row>
    <row r="7536" spans="1:7" x14ac:dyDescent="0.25">
      <c r="A7536" t="s">
        <v>8</v>
      </c>
      <c r="B7536" s="1" t="str">
        <f>"000260838 - RICH FOODS BB SODEXO"</f>
        <v>000260838 - RICH FOODS BB SODEXO</v>
      </c>
      <c r="C7536" t="s">
        <v>2273</v>
      </c>
      <c r="D7536" s="1" t="str">
        <f t="shared" si="214"/>
        <v>PRG-1031188</v>
      </c>
      <c r="E7536" t="s">
        <v>138</v>
      </c>
      <c r="F7536" t="s">
        <v>4</v>
      </c>
      <c r="G7536" t="str">
        <f>""</f>
        <v/>
      </c>
    </row>
    <row r="7537" spans="1:7" x14ac:dyDescent="0.25">
      <c r="A7537" t="s">
        <v>8</v>
      </c>
      <c r="B7537" s="1" t="str">
        <f>"000260846 - RICHS SWEET DOUGH-SODEXO"</f>
        <v>000260846 - RICHS SWEET DOUGH-SODEXO</v>
      </c>
      <c r="C7537" t="s">
        <v>137</v>
      </c>
      <c r="D7537" s="1" t="str">
        <f t="shared" si="214"/>
        <v>PRG-1031188</v>
      </c>
      <c r="E7537" t="s">
        <v>138</v>
      </c>
      <c r="F7537" t="s">
        <v>4</v>
      </c>
      <c r="G7537" t="str">
        <f>""</f>
        <v/>
      </c>
    </row>
    <row r="7538" spans="1:7" x14ac:dyDescent="0.25">
      <c r="A7538" t="s">
        <v>8</v>
      </c>
      <c r="B7538" s="1" t="str">
        <f>"000261059 - RICHS SWEET DOUGH BB-SODEXO"</f>
        <v>000261059 - RICHS SWEET DOUGH BB-SODEXO</v>
      </c>
      <c r="C7538" t="s">
        <v>161</v>
      </c>
      <c r="D7538" s="1" t="str">
        <f t="shared" si="214"/>
        <v>PRG-1031188</v>
      </c>
      <c r="E7538" t="s">
        <v>138</v>
      </c>
      <c r="F7538" t="s">
        <v>4</v>
      </c>
      <c r="G7538" t="str">
        <f>""</f>
        <v/>
      </c>
    </row>
    <row r="7539" spans="1:7" x14ac:dyDescent="0.25">
      <c r="A7539" t="s">
        <v>8</v>
      </c>
      <c r="B7539" s="1" t="str">
        <f>"000261148 - RICHS SWEET DOUGH BB-SODEXO"</f>
        <v>000261148 - RICHS SWEET DOUGH BB-SODEXO</v>
      </c>
      <c r="C7539" t="s">
        <v>161</v>
      </c>
      <c r="D7539" s="1" t="str">
        <f t="shared" si="214"/>
        <v>PRG-1031188</v>
      </c>
      <c r="E7539" t="s">
        <v>138</v>
      </c>
      <c r="F7539" t="s">
        <v>4</v>
      </c>
      <c r="G7539" t="str">
        <f>""</f>
        <v/>
      </c>
    </row>
    <row r="7540" spans="1:7" x14ac:dyDescent="0.25">
      <c r="A7540" t="s">
        <v>8</v>
      </c>
      <c r="B7540" s="1" t="str">
        <f>"000261224 - RICHS SWEET DOUGH-SODEXO"</f>
        <v>000261224 - RICHS SWEET DOUGH-SODEXO</v>
      </c>
      <c r="C7540" t="s">
        <v>137</v>
      </c>
      <c r="D7540" s="1" t="str">
        <f t="shared" si="214"/>
        <v>PRG-1031188</v>
      </c>
      <c r="E7540" t="s">
        <v>138</v>
      </c>
      <c r="F7540" t="s">
        <v>4</v>
      </c>
      <c r="G7540" t="str">
        <f>""</f>
        <v/>
      </c>
    </row>
    <row r="7541" spans="1:7" x14ac:dyDescent="0.25">
      <c r="A7541" t="s">
        <v>8</v>
      </c>
      <c r="B7541" s="1" t="str">
        <f>"000261989 - RICHS SWEET DOUGH-SODEXO"</f>
        <v>000261989 - RICHS SWEET DOUGH-SODEXO</v>
      </c>
      <c r="C7541" t="s">
        <v>137</v>
      </c>
      <c r="D7541" s="1" t="str">
        <f t="shared" si="214"/>
        <v>PRG-1031188</v>
      </c>
      <c r="E7541" t="s">
        <v>138</v>
      </c>
      <c r="F7541" t="s">
        <v>4</v>
      </c>
      <c r="G7541" t="str">
        <f>""</f>
        <v/>
      </c>
    </row>
    <row r="7542" spans="1:7" x14ac:dyDescent="0.25">
      <c r="A7542" t="s">
        <v>8</v>
      </c>
      <c r="B7542" s="1" t="str">
        <f>"000263245 - RICHS SWEET DOUGH-SODEXO"</f>
        <v>000263245 - RICHS SWEET DOUGH-SODEXO</v>
      </c>
      <c r="C7542" t="s">
        <v>137</v>
      </c>
      <c r="D7542" s="1" t="str">
        <f t="shared" si="214"/>
        <v>PRG-1031188</v>
      </c>
      <c r="E7542" t="s">
        <v>138</v>
      </c>
      <c r="F7542" t="s">
        <v>4</v>
      </c>
      <c r="G7542" t="str">
        <f>""</f>
        <v/>
      </c>
    </row>
    <row r="7543" spans="1:7" x14ac:dyDescent="0.25">
      <c r="A7543" t="s">
        <v>8</v>
      </c>
      <c r="B7543" s="1" t="str">
        <f>"000263559 - RICHS SWEET DOUGH-SODEXO"</f>
        <v>000263559 - RICHS SWEET DOUGH-SODEXO</v>
      </c>
      <c r="C7543" t="s">
        <v>137</v>
      </c>
      <c r="D7543" s="1" t="str">
        <f t="shared" si="214"/>
        <v>PRG-1031188</v>
      </c>
      <c r="E7543" t="s">
        <v>138</v>
      </c>
      <c r="F7543" t="s">
        <v>4</v>
      </c>
      <c r="G7543" t="str">
        <f>""</f>
        <v/>
      </c>
    </row>
    <row r="7544" spans="1:7" x14ac:dyDescent="0.25">
      <c r="A7544" t="s">
        <v>8</v>
      </c>
      <c r="B7544" s="1" t="str">
        <f>"000264494 - RICHS SWEET DOUGH-SODEXO"</f>
        <v>000264494 - RICHS SWEET DOUGH-SODEXO</v>
      </c>
      <c r="C7544" t="s">
        <v>137</v>
      </c>
      <c r="D7544" s="1" t="str">
        <f t="shared" si="214"/>
        <v>PRG-1031188</v>
      </c>
      <c r="E7544" t="s">
        <v>138</v>
      </c>
      <c r="F7544" t="s">
        <v>4</v>
      </c>
      <c r="G7544" t="str">
        <f>""</f>
        <v/>
      </c>
    </row>
    <row r="7545" spans="1:7" x14ac:dyDescent="0.25">
      <c r="A7545" t="s">
        <v>8</v>
      </c>
      <c r="B7545" s="1" t="str">
        <f>"000264586 - RICHS SWEET DOUGH BB-SODEXO"</f>
        <v>000264586 - RICHS SWEET DOUGH BB-SODEXO</v>
      </c>
      <c r="C7545" t="s">
        <v>161</v>
      </c>
      <c r="D7545" s="1" t="str">
        <f t="shared" si="214"/>
        <v>PRG-1031188</v>
      </c>
      <c r="E7545" t="s">
        <v>138</v>
      </c>
      <c r="F7545" t="s">
        <v>4</v>
      </c>
      <c r="G7545" t="str">
        <f>""</f>
        <v/>
      </c>
    </row>
    <row r="7546" spans="1:7" x14ac:dyDescent="0.25">
      <c r="A7546" t="s">
        <v>8</v>
      </c>
      <c r="B7546" s="1" t="str">
        <f>"000264793 - RICHS SWEET DOUGH-SODEXO"</f>
        <v>000264793 - RICHS SWEET DOUGH-SODEXO</v>
      </c>
      <c r="C7546" t="s">
        <v>137</v>
      </c>
      <c r="D7546" s="1" t="str">
        <f t="shared" si="214"/>
        <v>PRG-1031188</v>
      </c>
      <c r="E7546" t="s">
        <v>138</v>
      </c>
      <c r="F7546" t="s">
        <v>4</v>
      </c>
      <c r="G7546" t="str">
        <f>""</f>
        <v/>
      </c>
    </row>
    <row r="7547" spans="1:7" x14ac:dyDescent="0.25">
      <c r="A7547" t="s">
        <v>8</v>
      </c>
      <c r="B7547" s="1" t="str">
        <f>"000265274 - RICHS SWEET DOUGH-SODEXO"</f>
        <v>000265274 - RICHS SWEET DOUGH-SODEXO</v>
      </c>
      <c r="C7547" t="s">
        <v>137</v>
      </c>
      <c r="D7547" s="1" t="str">
        <f t="shared" si="214"/>
        <v>PRG-1031188</v>
      </c>
      <c r="E7547" t="s">
        <v>138</v>
      </c>
      <c r="F7547" t="s">
        <v>4</v>
      </c>
      <c r="G7547" t="str">
        <f>""</f>
        <v/>
      </c>
    </row>
    <row r="7548" spans="1:7" x14ac:dyDescent="0.25">
      <c r="A7548" t="s">
        <v>8</v>
      </c>
      <c r="B7548" s="1" t="str">
        <f>"000265402 - RICHS SWEET DOUGH BB-SODEXO"</f>
        <v>000265402 - RICHS SWEET DOUGH BB-SODEXO</v>
      </c>
      <c r="C7548" t="s">
        <v>161</v>
      </c>
      <c r="D7548" s="1" t="str">
        <f t="shared" si="214"/>
        <v>PRG-1031188</v>
      </c>
      <c r="E7548" t="s">
        <v>138</v>
      </c>
      <c r="F7548" t="s">
        <v>4</v>
      </c>
      <c r="G7548" t="str">
        <f>""</f>
        <v/>
      </c>
    </row>
    <row r="7549" spans="1:7" x14ac:dyDescent="0.25">
      <c r="A7549" t="s">
        <v>8</v>
      </c>
      <c r="B7549" s="1" t="str">
        <f>"000265437 - RICHS SWEET DOUGH BB-SODEXO"</f>
        <v>000265437 - RICHS SWEET DOUGH BB-SODEXO</v>
      </c>
      <c r="C7549" t="s">
        <v>161</v>
      </c>
      <c r="D7549" s="1" t="str">
        <f t="shared" si="214"/>
        <v>PRG-1031188</v>
      </c>
      <c r="E7549" t="s">
        <v>138</v>
      </c>
      <c r="F7549" t="s">
        <v>4</v>
      </c>
      <c r="G7549" t="str">
        <f>""</f>
        <v/>
      </c>
    </row>
    <row r="7550" spans="1:7" x14ac:dyDescent="0.25">
      <c r="A7550" t="s">
        <v>8</v>
      </c>
      <c r="B7550" s="1" t="str">
        <f>"000265532 - RICHS SWEET DOUGH BB-SODEXO"</f>
        <v>000265532 - RICHS SWEET DOUGH BB-SODEXO</v>
      </c>
      <c r="C7550" t="s">
        <v>161</v>
      </c>
      <c r="D7550" s="1" t="str">
        <f t="shared" si="214"/>
        <v>PRG-1031188</v>
      </c>
      <c r="E7550" t="s">
        <v>138</v>
      </c>
      <c r="F7550" t="s">
        <v>4</v>
      </c>
      <c r="G7550" t="str">
        <f>""</f>
        <v/>
      </c>
    </row>
    <row r="7551" spans="1:7" x14ac:dyDescent="0.25">
      <c r="A7551" t="s">
        <v>8</v>
      </c>
      <c r="B7551" s="1" t="str">
        <f>"000267004 - RICHS SWEET DOUGH BB-SODEXO"</f>
        <v>000267004 - RICHS SWEET DOUGH BB-SODEXO</v>
      </c>
      <c r="C7551" t="s">
        <v>161</v>
      </c>
      <c r="D7551" s="1" t="str">
        <f t="shared" si="214"/>
        <v>PRG-1031188</v>
      </c>
      <c r="E7551" t="s">
        <v>138</v>
      </c>
      <c r="F7551" t="s">
        <v>4</v>
      </c>
      <c r="G7551" t="str">
        <f>""</f>
        <v/>
      </c>
    </row>
    <row r="7552" spans="1:7" x14ac:dyDescent="0.25">
      <c r="A7552" t="s">
        <v>8</v>
      </c>
      <c r="B7552" s="1" t="str">
        <f>"000267032 - RICHS SWEET DOUGH-SODEXO"</f>
        <v>000267032 - RICHS SWEET DOUGH-SODEXO</v>
      </c>
      <c r="C7552" t="s">
        <v>137</v>
      </c>
      <c r="D7552" s="1" t="str">
        <f t="shared" si="214"/>
        <v>PRG-1031188</v>
      </c>
      <c r="E7552" t="s">
        <v>138</v>
      </c>
      <c r="F7552" t="s">
        <v>4</v>
      </c>
      <c r="G7552" t="str">
        <f>""</f>
        <v/>
      </c>
    </row>
    <row r="7553" spans="1:7" x14ac:dyDescent="0.25">
      <c r="A7553" t="s">
        <v>8</v>
      </c>
      <c r="B7553" s="1" t="str">
        <f>"000267456 - RICHS SWEET DOUGH-SODEXO"</f>
        <v>000267456 - RICHS SWEET DOUGH-SODEXO</v>
      </c>
      <c r="C7553" t="s">
        <v>137</v>
      </c>
      <c r="D7553" s="1" t="str">
        <f t="shared" si="214"/>
        <v>PRG-1031188</v>
      </c>
      <c r="E7553" t="s">
        <v>138</v>
      </c>
      <c r="F7553" t="s">
        <v>4</v>
      </c>
      <c r="G7553" t="str">
        <f>""</f>
        <v/>
      </c>
    </row>
    <row r="7554" spans="1:7" x14ac:dyDescent="0.25">
      <c r="A7554" t="s">
        <v>8</v>
      </c>
      <c r="B7554" s="1" t="str">
        <f>"000270161 - RICHS SWEET DOUGH BB-SODEXO"</f>
        <v>000270161 - RICHS SWEET DOUGH BB-SODEXO</v>
      </c>
      <c r="C7554" t="s">
        <v>161</v>
      </c>
      <c r="D7554" s="1" t="str">
        <f t="shared" si="214"/>
        <v>PRG-1031188</v>
      </c>
      <c r="E7554" t="s">
        <v>138</v>
      </c>
      <c r="F7554" t="s">
        <v>4</v>
      </c>
      <c r="G7554" t="str">
        <f>""</f>
        <v/>
      </c>
    </row>
    <row r="7555" spans="1:7" x14ac:dyDescent="0.25">
      <c r="A7555" t="s">
        <v>8</v>
      </c>
      <c r="B7555" s="1" t="str">
        <f>"000270568 - "</f>
        <v xml:space="preserve">000270568 - </v>
      </c>
      <c r="D7555" s="1" t="str">
        <f t="shared" si="214"/>
        <v>PRG-1031188</v>
      </c>
      <c r="E7555" t="s">
        <v>138</v>
      </c>
      <c r="F7555" t="s">
        <v>4</v>
      </c>
      <c r="G7555" t="str">
        <f>""</f>
        <v/>
      </c>
    </row>
    <row r="7556" spans="1:7" x14ac:dyDescent="0.25">
      <c r="A7556" t="s">
        <v>8</v>
      </c>
      <c r="B7556" s="1" t="str">
        <f>"000272576 - RICHS SWEET DOUGH BB-SODEXO"</f>
        <v>000272576 - RICHS SWEET DOUGH BB-SODEXO</v>
      </c>
      <c r="C7556" t="s">
        <v>161</v>
      </c>
      <c r="D7556" s="1" t="str">
        <f t="shared" si="214"/>
        <v>PRG-1031188</v>
      </c>
      <c r="E7556" t="s">
        <v>138</v>
      </c>
      <c r="F7556" t="s">
        <v>4</v>
      </c>
      <c r="G7556" t="str">
        <f>""</f>
        <v/>
      </c>
    </row>
    <row r="7557" spans="1:7" x14ac:dyDescent="0.25">
      <c r="A7557" t="s">
        <v>8</v>
      </c>
      <c r="B7557" s="1" t="str">
        <f>"000273276 - RICHS SWEET DOUGH BB-SODEXO"</f>
        <v>000273276 - RICHS SWEET DOUGH BB-SODEXO</v>
      </c>
      <c r="C7557" t="s">
        <v>161</v>
      </c>
      <c r="D7557" s="1" t="str">
        <f t="shared" si="214"/>
        <v>PRG-1031188</v>
      </c>
      <c r="E7557" t="s">
        <v>138</v>
      </c>
      <c r="F7557" t="s">
        <v>4</v>
      </c>
      <c r="G7557" t="str">
        <f>""</f>
        <v/>
      </c>
    </row>
    <row r="7558" spans="1:7" x14ac:dyDescent="0.25">
      <c r="A7558" t="s">
        <v>8</v>
      </c>
      <c r="B7558" s="1" t="str">
        <f>"000273286 - RICHS SWEET DOUGH BB-SODEXO RE"</f>
        <v>000273286 - RICHS SWEET DOUGH BB-SODEXO RE</v>
      </c>
      <c r="C7558" t="s">
        <v>2522</v>
      </c>
      <c r="D7558" s="1" t="str">
        <f t="shared" si="214"/>
        <v>PRG-1031188</v>
      </c>
      <c r="E7558" t="s">
        <v>138</v>
      </c>
      <c r="F7558" t="s">
        <v>4</v>
      </c>
      <c r="G7558" t="str">
        <f>""</f>
        <v/>
      </c>
    </row>
    <row r="7559" spans="1:7" x14ac:dyDescent="0.25">
      <c r="A7559" t="s">
        <v>8</v>
      </c>
      <c r="B7559" s="1" t="str">
        <f>"000273684 - RICHS SWEET DOUGH-SODEXO"</f>
        <v>000273684 - RICHS SWEET DOUGH-SODEXO</v>
      </c>
      <c r="C7559" t="s">
        <v>137</v>
      </c>
      <c r="D7559" s="1" t="str">
        <f t="shared" si="214"/>
        <v>PRG-1031188</v>
      </c>
      <c r="E7559" t="s">
        <v>138</v>
      </c>
      <c r="F7559" t="s">
        <v>4</v>
      </c>
      <c r="G7559" t="str">
        <f>""</f>
        <v/>
      </c>
    </row>
    <row r="7560" spans="1:7" x14ac:dyDescent="0.25">
      <c r="A7560" t="s">
        <v>8</v>
      </c>
      <c r="B7560" s="1" t="str">
        <f>"000276935 - RICH'S SWEET DOUGH-SODEXO"</f>
        <v>000276935 - RICH'S SWEET DOUGH-SODEXO</v>
      </c>
      <c r="C7560" t="s">
        <v>449</v>
      </c>
      <c r="D7560" s="1" t="str">
        <f t="shared" si="214"/>
        <v>PRG-1031188</v>
      </c>
      <c r="E7560" t="s">
        <v>138</v>
      </c>
      <c r="F7560" t="s">
        <v>4</v>
      </c>
      <c r="G7560" t="str">
        <f>""</f>
        <v/>
      </c>
    </row>
    <row r="7561" spans="1:7" x14ac:dyDescent="0.25">
      <c r="A7561" t="s">
        <v>8</v>
      </c>
      <c r="B7561" s="1" t="str">
        <f>"000277393 - "</f>
        <v xml:space="preserve">000277393 - </v>
      </c>
      <c r="D7561" s="1" t="str">
        <f t="shared" si="214"/>
        <v>PRG-1031188</v>
      </c>
      <c r="E7561" t="s">
        <v>138</v>
      </c>
      <c r="F7561" t="s">
        <v>4</v>
      </c>
      <c r="G7561" t="str">
        <f>""</f>
        <v/>
      </c>
    </row>
    <row r="7562" spans="1:7" x14ac:dyDescent="0.25">
      <c r="A7562" t="s">
        <v>8</v>
      </c>
      <c r="B7562" s="1" t="str">
        <f>"000282418 - RICHS SWEET DOUGH-SODEXO"</f>
        <v>000282418 - RICHS SWEET DOUGH-SODEXO</v>
      </c>
      <c r="C7562" t="s">
        <v>137</v>
      </c>
      <c r="D7562" s="1" t="str">
        <f t="shared" si="214"/>
        <v>PRG-1031188</v>
      </c>
      <c r="E7562" t="s">
        <v>138</v>
      </c>
      <c r="F7562" t="s">
        <v>4</v>
      </c>
      <c r="G7562" t="str">
        <f>""</f>
        <v/>
      </c>
    </row>
    <row r="7563" spans="1:7" x14ac:dyDescent="0.25">
      <c r="A7563" t="s">
        <v>8</v>
      </c>
      <c r="B7563" s="1" t="str">
        <f>"000283277 - RICHS SWEET DOUGH-SODEXO"</f>
        <v>000283277 - RICHS SWEET DOUGH-SODEXO</v>
      </c>
      <c r="C7563" t="s">
        <v>137</v>
      </c>
      <c r="D7563" s="1" t="str">
        <f t="shared" si="214"/>
        <v>PRG-1031188</v>
      </c>
      <c r="E7563" t="s">
        <v>138</v>
      </c>
      <c r="F7563" t="s">
        <v>4</v>
      </c>
      <c r="G7563" t="str">
        <f>""</f>
        <v/>
      </c>
    </row>
    <row r="7564" spans="1:7" x14ac:dyDescent="0.25">
      <c r="A7564" t="s">
        <v>8</v>
      </c>
      <c r="B7564" s="1" t="str">
        <f>"000283848 - RICHS SWEET DOUGH BB-SODEXO"</f>
        <v>000283848 - RICHS SWEET DOUGH BB-SODEXO</v>
      </c>
      <c r="C7564" t="s">
        <v>161</v>
      </c>
      <c r="D7564" s="1" t="str">
        <f t="shared" si="214"/>
        <v>PRG-1031188</v>
      </c>
      <c r="E7564" t="s">
        <v>138</v>
      </c>
      <c r="F7564" t="s">
        <v>4</v>
      </c>
      <c r="G7564" t="str">
        <f>""</f>
        <v/>
      </c>
    </row>
    <row r="7565" spans="1:7" x14ac:dyDescent="0.25">
      <c r="A7565" t="s">
        <v>8</v>
      </c>
      <c r="B7565" s="1" t="str">
        <f>"000285571 - RICHS SWEET DOUGH-SODEXO"</f>
        <v>000285571 - RICHS SWEET DOUGH-SODEXO</v>
      </c>
      <c r="C7565" t="s">
        <v>137</v>
      </c>
      <c r="D7565" s="1" t="str">
        <f t="shared" si="214"/>
        <v>PRG-1031188</v>
      </c>
      <c r="E7565" t="s">
        <v>138</v>
      </c>
      <c r="F7565" t="s">
        <v>4</v>
      </c>
      <c r="G7565" t="str">
        <f>""</f>
        <v/>
      </c>
    </row>
    <row r="7566" spans="1:7" x14ac:dyDescent="0.25">
      <c r="A7566" t="s">
        <v>8</v>
      </c>
      <c r="B7566" s="1" t="str">
        <f>"000287557 - RICHS SWEET DOUGH-SODEXO"</f>
        <v>000287557 - RICHS SWEET DOUGH-SODEXO</v>
      </c>
      <c r="C7566" t="s">
        <v>137</v>
      </c>
      <c r="D7566" s="1" t="str">
        <f t="shared" si="214"/>
        <v>PRG-1031188</v>
      </c>
      <c r="E7566" t="s">
        <v>138</v>
      </c>
      <c r="F7566" t="s">
        <v>4</v>
      </c>
      <c r="G7566" t="str">
        <f>""</f>
        <v/>
      </c>
    </row>
    <row r="7567" spans="1:7" x14ac:dyDescent="0.25">
      <c r="A7567" t="s">
        <v>8</v>
      </c>
      <c r="B7567" s="1" t="str">
        <f>"000289103 - RICHS SWEET DOUGH-SODEXO"</f>
        <v>000289103 - RICHS SWEET DOUGH-SODEXO</v>
      </c>
      <c r="C7567" t="s">
        <v>137</v>
      </c>
      <c r="D7567" s="1" t="str">
        <f t="shared" si="214"/>
        <v>PRG-1031188</v>
      </c>
      <c r="E7567" t="s">
        <v>138</v>
      </c>
      <c r="F7567" t="s">
        <v>4</v>
      </c>
      <c r="G7567" t="str">
        <f>""</f>
        <v/>
      </c>
    </row>
    <row r="7568" spans="1:7" x14ac:dyDescent="0.25">
      <c r="A7568" t="s">
        <v>8</v>
      </c>
      <c r="B7568" s="1" t="str">
        <f>"000293260 - RICHS SWEET DOUGH-SODEXO"</f>
        <v>000293260 - RICHS SWEET DOUGH-SODEXO</v>
      </c>
      <c r="C7568" t="s">
        <v>137</v>
      </c>
      <c r="D7568" s="1" t="str">
        <f t="shared" si="214"/>
        <v>PRG-1031188</v>
      </c>
      <c r="E7568" t="s">
        <v>138</v>
      </c>
      <c r="F7568" t="s">
        <v>4</v>
      </c>
      <c r="G7568" t="str">
        <f>""</f>
        <v/>
      </c>
    </row>
    <row r="7569" spans="1:7" x14ac:dyDescent="0.25">
      <c r="A7569" t="s">
        <v>8</v>
      </c>
      <c r="B7569" s="1" t="str">
        <f>"000294901 - RICHS SWEET DOUGH BB-SODEXO"</f>
        <v>000294901 - RICHS SWEET DOUGH BB-SODEXO</v>
      </c>
      <c r="C7569" t="s">
        <v>161</v>
      </c>
      <c r="D7569" s="1" t="str">
        <f t="shared" si="214"/>
        <v>PRG-1031188</v>
      </c>
      <c r="E7569" t="s">
        <v>138</v>
      </c>
      <c r="F7569" t="s">
        <v>4</v>
      </c>
      <c r="G7569" t="str">
        <f>""</f>
        <v/>
      </c>
    </row>
    <row r="7570" spans="1:7" x14ac:dyDescent="0.25">
      <c r="A7570" t="s">
        <v>8</v>
      </c>
      <c r="B7570" s="1" t="str">
        <f>"000295032 - RICHS SWEET DOUGH BB-SODEXO"</f>
        <v>000295032 - RICHS SWEET DOUGH BB-SODEXO</v>
      </c>
      <c r="C7570" t="s">
        <v>161</v>
      </c>
      <c r="D7570" s="1" t="str">
        <f t="shared" si="214"/>
        <v>PRG-1031188</v>
      </c>
      <c r="E7570" t="s">
        <v>138</v>
      </c>
      <c r="F7570" t="s">
        <v>4</v>
      </c>
      <c r="G7570" t="str">
        <f>""</f>
        <v/>
      </c>
    </row>
    <row r="7571" spans="1:7" x14ac:dyDescent="0.25">
      <c r="A7571" t="s">
        <v>8</v>
      </c>
      <c r="B7571" s="1" t="str">
        <f>"000295144 - RICHS SWEET DOUGH BB-SODEXO"</f>
        <v>000295144 - RICHS SWEET DOUGH BB-SODEXO</v>
      </c>
      <c r="C7571" t="s">
        <v>161</v>
      </c>
      <c r="D7571" s="1" t="str">
        <f t="shared" si="214"/>
        <v>PRG-1031188</v>
      </c>
      <c r="E7571" t="s">
        <v>138</v>
      </c>
      <c r="F7571" t="s">
        <v>4</v>
      </c>
      <c r="G7571" t="str">
        <f>""</f>
        <v/>
      </c>
    </row>
    <row r="7572" spans="1:7" x14ac:dyDescent="0.25">
      <c r="A7572" t="s">
        <v>8</v>
      </c>
      <c r="B7572" s="1" t="str">
        <f>"000295978 - RICHS SWEET DOUGH-SODEXO"</f>
        <v>000295978 - RICHS SWEET DOUGH-SODEXO</v>
      </c>
      <c r="C7572" t="s">
        <v>137</v>
      </c>
      <c r="D7572" s="1" t="str">
        <f t="shared" si="214"/>
        <v>PRG-1031188</v>
      </c>
      <c r="E7572" t="s">
        <v>138</v>
      </c>
      <c r="F7572" t="s">
        <v>4</v>
      </c>
      <c r="G7572" t="str">
        <f>""</f>
        <v/>
      </c>
    </row>
    <row r="7573" spans="1:7" x14ac:dyDescent="0.25">
      <c r="A7573" t="s">
        <v>8</v>
      </c>
      <c r="B7573" s="1" t="str">
        <f>"000296659 - RICHS SWEET DOUGH-SODEXO"</f>
        <v>000296659 - RICHS SWEET DOUGH-SODEXO</v>
      </c>
      <c r="C7573" t="s">
        <v>137</v>
      </c>
      <c r="D7573" s="1" t="str">
        <f t="shared" si="214"/>
        <v>PRG-1031188</v>
      </c>
      <c r="E7573" t="s">
        <v>138</v>
      </c>
      <c r="F7573" t="s">
        <v>4</v>
      </c>
      <c r="G7573" t="str">
        <f>""</f>
        <v/>
      </c>
    </row>
    <row r="7574" spans="1:7" x14ac:dyDescent="0.25">
      <c r="A7574" t="s">
        <v>8</v>
      </c>
      <c r="B7574" s="1" t="str">
        <f>"000299342 - RICHS SWEET DOUGH-SODEXO"</f>
        <v>000299342 - RICHS SWEET DOUGH-SODEXO</v>
      </c>
      <c r="C7574" t="s">
        <v>137</v>
      </c>
      <c r="D7574" s="1" t="str">
        <f t="shared" si="214"/>
        <v>PRG-1031188</v>
      </c>
      <c r="E7574" t="s">
        <v>138</v>
      </c>
      <c r="F7574" t="s">
        <v>4</v>
      </c>
      <c r="G7574" t="str">
        <f>""</f>
        <v/>
      </c>
    </row>
    <row r="7575" spans="1:7" x14ac:dyDescent="0.25">
      <c r="A7575" t="s">
        <v>8</v>
      </c>
      <c r="B7575" s="1" t="str">
        <f>"000299431 - RICHS SWEET DOUGH-SODEXO"</f>
        <v>000299431 - RICHS SWEET DOUGH-SODEXO</v>
      </c>
      <c r="C7575" t="s">
        <v>137</v>
      </c>
      <c r="D7575" s="1" t="str">
        <f t="shared" si="214"/>
        <v>PRG-1031188</v>
      </c>
      <c r="E7575" t="s">
        <v>138</v>
      </c>
      <c r="F7575" t="s">
        <v>4</v>
      </c>
      <c r="G7575" t="str">
        <f>""</f>
        <v/>
      </c>
    </row>
    <row r="7576" spans="1:7" x14ac:dyDescent="0.25">
      <c r="A7576" t="s">
        <v>8</v>
      </c>
      <c r="B7576" s="1" t="str">
        <f>"000300934 - "</f>
        <v xml:space="preserve">000300934 - </v>
      </c>
      <c r="D7576" s="1" t="str">
        <f t="shared" si="214"/>
        <v>PRG-1031188</v>
      </c>
      <c r="E7576" t="s">
        <v>138</v>
      </c>
      <c r="F7576" t="s">
        <v>4</v>
      </c>
      <c r="G7576" t="str">
        <f>""</f>
        <v/>
      </c>
    </row>
    <row r="7577" spans="1:7" x14ac:dyDescent="0.25">
      <c r="A7577" t="s">
        <v>8</v>
      </c>
      <c r="B7577" s="1" t="str">
        <f>"000302281 - RICHS SWEET DOUGH-SODEXO"</f>
        <v>000302281 - RICHS SWEET DOUGH-SODEXO</v>
      </c>
      <c r="C7577" t="s">
        <v>137</v>
      </c>
      <c r="D7577" s="1" t="str">
        <f t="shared" si="214"/>
        <v>PRG-1031188</v>
      </c>
      <c r="E7577" t="s">
        <v>138</v>
      </c>
      <c r="F7577" t="s">
        <v>4</v>
      </c>
      <c r="G7577" t="str">
        <f>""</f>
        <v/>
      </c>
    </row>
    <row r="7578" spans="1:7" x14ac:dyDescent="0.25">
      <c r="A7578" t="s">
        <v>8</v>
      </c>
      <c r="B7578" s="1" t="str">
        <f>"000302316 - RICHS SWEET DOUGH-SODEXO"</f>
        <v>000302316 - RICHS SWEET DOUGH-SODEXO</v>
      </c>
      <c r="C7578" t="s">
        <v>137</v>
      </c>
      <c r="D7578" s="1" t="str">
        <f t="shared" si="214"/>
        <v>PRG-1031188</v>
      </c>
      <c r="E7578" t="s">
        <v>138</v>
      </c>
      <c r="F7578" t="s">
        <v>4</v>
      </c>
      <c r="G7578" t="str">
        <f>""</f>
        <v/>
      </c>
    </row>
    <row r="7579" spans="1:7" x14ac:dyDescent="0.25">
      <c r="A7579" t="s">
        <v>8</v>
      </c>
      <c r="B7579" s="1" t="str">
        <f>"000302562 - RICHS SWEET DOUGH-SODEXO"</f>
        <v>000302562 - RICHS SWEET DOUGH-SODEXO</v>
      </c>
      <c r="C7579" t="s">
        <v>137</v>
      </c>
      <c r="D7579" s="1" t="str">
        <f t="shared" si="214"/>
        <v>PRG-1031188</v>
      </c>
      <c r="E7579" t="s">
        <v>138</v>
      </c>
      <c r="F7579" t="s">
        <v>4</v>
      </c>
      <c r="G7579" t="str">
        <f>""</f>
        <v/>
      </c>
    </row>
    <row r="7580" spans="1:7" x14ac:dyDescent="0.25">
      <c r="A7580" t="s">
        <v>8</v>
      </c>
      <c r="B7580" s="1" t="str">
        <f>"000302653 - RICH'S SWEET DOUGH-SODEXO"</f>
        <v>000302653 - RICH'S SWEET DOUGH-SODEXO</v>
      </c>
      <c r="C7580" t="s">
        <v>449</v>
      </c>
      <c r="D7580" s="1" t="str">
        <f t="shared" si="214"/>
        <v>PRG-1031188</v>
      </c>
      <c r="E7580" t="s">
        <v>138</v>
      </c>
      <c r="F7580" t="s">
        <v>4</v>
      </c>
      <c r="G7580" t="str">
        <f>""</f>
        <v/>
      </c>
    </row>
    <row r="7581" spans="1:7" x14ac:dyDescent="0.25">
      <c r="A7581" t="s">
        <v>8</v>
      </c>
      <c r="B7581" s="1" t="str">
        <f>"000304215 - "</f>
        <v xml:space="preserve">000304215 - </v>
      </c>
      <c r="D7581" s="1" t="str">
        <f t="shared" ref="D7581:D7645" si="215">"PRG-1031188"</f>
        <v>PRG-1031188</v>
      </c>
      <c r="E7581" t="s">
        <v>138</v>
      </c>
      <c r="F7581" t="s">
        <v>4</v>
      </c>
      <c r="G7581" t="str">
        <f>""</f>
        <v/>
      </c>
    </row>
    <row r="7582" spans="1:7" x14ac:dyDescent="0.25">
      <c r="A7582" t="s">
        <v>8</v>
      </c>
      <c r="B7582" s="1" t="str">
        <f>"000304939 - RICHS SWEET DOUGH BB-SODEXO"</f>
        <v>000304939 - RICHS SWEET DOUGH BB-SODEXO</v>
      </c>
      <c r="C7582" t="s">
        <v>161</v>
      </c>
      <c r="D7582" s="1" t="str">
        <f t="shared" si="215"/>
        <v>PRG-1031188</v>
      </c>
      <c r="E7582" t="s">
        <v>138</v>
      </c>
      <c r="F7582" t="s">
        <v>4</v>
      </c>
      <c r="G7582" t="str">
        <f>""</f>
        <v/>
      </c>
    </row>
    <row r="7583" spans="1:7" x14ac:dyDescent="0.25">
      <c r="A7583" t="s">
        <v>8</v>
      </c>
      <c r="B7583" s="1" t="str">
        <f>"000305597 - RICHS SWEET DOUGH-SODEXO"</f>
        <v>000305597 - RICHS SWEET DOUGH-SODEXO</v>
      </c>
      <c r="C7583" t="s">
        <v>137</v>
      </c>
      <c r="D7583" s="1" t="str">
        <f t="shared" si="215"/>
        <v>PRG-1031188</v>
      </c>
      <c r="E7583" t="s">
        <v>138</v>
      </c>
      <c r="F7583" t="s">
        <v>4</v>
      </c>
      <c r="G7583" t="str">
        <f>""</f>
        <v/>
      </c>
    </row>
    <row r="7584" spans="1:7" x14ac:dyDescent="0.25">
      <c r="A7584" t="s">
        <v>8</v>
      </c>
      <c r="B7584" s="1" t="str">
        <f>"000307138 - RICHS SWEET DOUGH-SODEXO"</f>
        <v>000307138 - RICHS SWEET DOUGH-SODEXO</v>
      </c>
      <c r="C7584" t="s">
        <v>137</v>
      </c>
      <c r="D7584" s="1" t="str">
        <f t="shared" si="215"/>
        <v>PRG-1031188</v>
      </c>
      <c r="E7584" t="s">
        <v>138</v>
      </c>
      <c r="F7584" t="s">
        <v>4</v>
      </c>
      <c r="G7584" t="str">
        <f>""</f>
        <v/>
      </c>
    </row>
    <row r="7585" spans="1:7" x14ac:dyDescent="0.25">
      <c r="A7585" t="s">
        <v>8</v>
      </c>
      <c r="B7585" s="1" t="str">
        <f>"000307937 - "</f>
        <v xml:space="preserve">000307937 - </v>
      </c>
      <c r="D7585" s="1" t="str">
        <f t="shared" si="215"/>
        <v>PRG-1031188</v>
      </c>
      <c r="E7585" t="s">
        <v>138</v>
      </c>
      <c r="F7585" t="s">
        <v>4</v>
      </c>
      <c r="G7585" t="str">
        <f>""</f>
        <v/>
      </c>
    </row>
    <row r="7586" spans="1:7" x14ac:dyDescent="0.25">
      <c r="A7586" t="s">
        <v>8</v>
      </c>
      <c r="B7586" s="1" t="str">
        <f>"000308016 - RICHS SWT DGH BB SODEXO 304939"</f>
        <v>000308016 - RICHS SWT DGH BB SODEXO 304939</v>
      </c>
      <c r="C7586" t="s">
        <v>3077</v>
      </c>
      <c r="D7586" s="1" t="str">
        <f t="shared" si="215"/>
        <v>PRG-1031188</v>
      </c>
      <c r="E7586" t="s">
        <v>138</v>
      </c>
      <c r="F7586" t="s">
        <v>4</v>
      </c>
      <c r="G7586" t="str">
        <f>""</f>
        <v/>
      </c>
    </row>
    <row r="7587" spans="1:7" x14ac:dyDescent="0.25">
      <c r="A7587" t="s">
        <v>8</v>
      </c>
      <c r="B7587" s="1" t="str">
        <f>"000308856 - RICHS SWEET DOUGH-SODEXO"</f>
        <v>000308856 - RICHS SWEET DOUGH-SODEXO</v>
      </c>
      <c r="C7587" t="s">
        <v>137</v>
      </c>
      <c r="D7587" s="1" t="str">
        <f t="shared" si="215"/>
        <v>PRG-1031188</v>
      </c>
      <c r="E7587" t="s">
        <v>138</v>
      </c>
      <c r="F7587" t="s">
        <v>4</v>
      </c>
      <c r="G7587" t="str">
        <f>""</f>
        <v/>
      </c>
    </row>
    <row r="7588" spans="1:7" x14ac:dyDescent="0.25">
      <c r="A7588" t="s">
        <v>8</v>
      </c>
      <c r="B7588" s="1" t="str">
        <f>"000309639 - RICHS SWEET DOUGH-SODEXO"</f>
        <v>000309639 - RICHS SWEET DOUGH-SODEXO</v>
      </c>
      <c r="C7588" t="s">
        <v>137</v>
      </c>
      <c r="D7588" s="1" t="str">
        <f t="shared" si="215"/>
        <v>PRG-1031188</v>
      </c>
      <c r="E7588" t="s">
        <v>138</v>
      </c>
      <c r="F7588" t="s">
        <v>4</v>
      </c>
      <c r="G7588" t="str">
        <f>""</f>
        <v/>
      </c>
    </row>
    <row r="7589" spans="1:7" x14ac:dyDescent="0.25">
      <c r="A7589" t="s">
        <v>8</v>
      </c>
      <c r="B7589" s="1" t="str">
        <f>"000310709 - RICHS SWEET DOUGH-SODEXO"</f>
        <v>000310709 - RICHS SWEET DOUGH-SODEXO</v>
      </c>
      <c r="C7589" t="s">
        <v>137</v>
      </c>
      <c r="D7589" s="1" t="str">
        <f t="shared" si="215"/>
        <v>PRG-1031188</v>
      </c>
      <c r="E7589" t="s">
        <v>138</v>
      </c>
      <c r="F7589" t="s">
        <v>4</v>
      </c>
      <c r="G7589" t="str">
        <f>""</f>
        <v/>
      </c>
    </row>
    <row r="7590" spans="1:7" x14ac:dyDescent="0.25">
      <c r="A7590" t="s">
        <v>8</v>
      </c>
      <c r="B7590" s="1" t="str">
        <f>"000312178 - RICHS SWEET DOUGH-SODEXO"</f>
        <v>000312178 - RICHS SWEET DOUGH-SODEXO</v>
      </c>
      <c r="C7590" t="s">
        <v>137</v>
      </c>
      <c r="D7590" s="1" t="str">
        <f t="shared" si="215"/>
        <v>PRG-1031188</v>
      </c>
      <c r="E7590" t="s">
        <v>138</v>
      </c>
      <c r="F7590" t="s">
        <v>4</v>
      </c>
      <c r="G7590" t="str">
        <f>""</f>
        <v/>
      </c>
    </row>
    <row r="7591" spans="1:7" x14ac:dyDescent="0.25">
      <c r="A7591" t="s">
        <v>8</v>
      </c>
      <c r="B7591" s="1" t="str">
        <f>"000312671 - RICHS SWEET DOUGH-SODEXO"</f>
        <v>000312671 - RICHS SWEET DOUGH-SODEXO</v>
      </c>
      <c r="C7591" t="s">
        <v>137</v>
      </c>
      <c r="D7591" s="1" t="str">
        <f t="shared" si="215"/>
        <v>PRG-1031188</v>
      </c>
      <c r="E7591" t="s">
        <v>138</v>
      </c>
      <c r="F7591" t="s">
        <v>4</v>
      </c>
      <c r="G7591" t="str">
        <f>""</f>
        <v/>
      </c>
    </row>
    <row r="7592" spans="1:7" x14ac:dyDescent="0.25">
      <c r="A7592" t="s">
        <v>8</v>
      </c>
      <c r="B7592" s="1" t="str">
        <f>"000313891 - RICHS SWEET DOUGH BB-SODEXO"</f>
        <v>000313891 - RICHS SWEET DOUGH BB-SODEXO</v>
      </c>
      <c r="C7592" t="s">
        <v>161</v>
      </c>
      <c r="D7592" s="1" t="str">
        <f t="shared" si="215"/>
        <v>PRG-1031188</v>
      </c>
      <c r="E7592" t="s">
        <v>138</v>
      </c>
      <c r="F7592" t="s">
        <v>4</v>
      </c>
      <c r="G7592" t="str">
        <f>""</f>
        <v/>
      </c>
    </row>
    <row r="7593" spans="1:7" x14ac:dyDescent="0.25">
      <c r="A7593" t="s">
        <v>8</v>
      </c>
      <c r="B7593" s="1" t="str">
        <f>"000314746 - RICHS SWEET DOUGH-SODEXO"</f>
        <v>000314746 - RICHS SWEET DOUGH-SODEXO</v>
      </c>
      <c r="C7593" t="s">
        <v>137</v>
      </c>
      <c r="D7593" s="1" t="str">
        <f t="shared" si="215"/>
        <v>PRG-1031188</v>
      </c>
      <c r="E7593" t="s">
        <v>138</v>
      </c>
      <c r="F7593" t="s">
        <v>4</v>
      </c>
      <c r="G7593" t="str">
        <f>""</f>
        <v/>
      </c>
    </row>
    <row r="7594" spans="1:7" x14ac:dyDescent="0.25">
      <c r="A7594" t="s">
        <v>8</v>
      </c>
      <c r="B7594" s="1" t="str">
        <f>"000314922 - RICH'S SWEET DOUGH-SODEXO"</f>
        <v>000314922 - RICH'S SWEET DOUGH-SODEXO</v>
      </c>
      <c r="C7594" t="s">
        <v>449</v>
      </c>
      <c r="D7594" s="1" t="str">
        <f t="shared" si="215"/>
        <v>PRG-1031188</v>
      </c>
      <c r="E7594" t="s">
        <v>138</v>
      </c>
      <c r="F7594" t="s">
        <v>4</v>
      </c>
      <c r="G7594" t="str">
        <f>""</f>
        <v/>
      </c>
    </row>
    <row r="7595" spans="1:7" x14ac:dyDescent="0.25">
      <c r="A7595" t="s">
        <v>8</v>
      </c>
      <c r="B7595" s="1" t="str">
        <f>"000315227 - RICHS SWEET DOUGH BB-SODEXO"</f>
        <v>000315227 - RICHS SWEET DOUGH BB-SODEXO</v>
      </c>
      <c r="C7595" t="s">
        <v>161</v>
      </c>
      <c r="D7595" s="1" t="str">
        <f t="shared" si="215"/>
        <v>PRG-1031188</v>
      </c>
      <c r="E7595" t="s">
        <v>138</v>
      </c>
      <c r="F7595" t="s">
        <v>4</v>
      </c>
      <c r="G7595" t="str">
        <f>""</f>
        <v/>
      </c>
    </row>
    <row r="7596" spans="1:7" x14ac:dyDescent="0.25">
      <c r="A7596" t="s">
        <v>8</v>
      </c>
      <c r="B7596" s="1" t="str">
        <f>"000315492 - RICHS SWEET DOUGH BB-SODEXO"</f>
        <v>000315492 - RICHS SWEET DOUGH BB-SODEXO</v>
      </c>
      <c r="C7596" t="s">
        <v>161</v>
      </c>
      <c r="D7596" s="1" t="str">
        <f t="shared" si="215"/>
        <v>PRG-1031188</v>
      </c>
      <c r="E7596" t="s">
        <v>138</v>
      </c>
      <c r="F7596" t="s">
        <v>4</v>
      </c>
      <c r="G7596" t="str">
        <f>""</f>
        <v/>
      </c>
    </row>
    <row r="7597" spans="1:7" x14ac:dyDescent="0.25">
      <c r="A7597" t="s">
        <v>8</v>
      </c>
      <c r="B7597" s="1" t="str">
        <f>"000316363 - RICHS SWEET DOUGH-SODEXO"</f>
        <v>000316363 - RICHS SWEET DOUGH-SODEXO</v>
      </c>
      <c r="C7597" t="s">
        <v>137</v>
      </c>
      <c r="D7597" s="1" t="str">
        <f t="shared" si="215"/>
        <v>PRG-1031188</v>
      </c>
      <c r="E7597" t="s">
        <v>138</v>
      </c>
      <c r="F7597" t="s">
        <v>4</v>
      </c>
      <c r="G7597" t="str">
        <f>""</f>
        <v/>
      </c>
    </row>
    <row r="7598" spans="1:7" x14ac:dyDescent="0.25">
      <c r="A7598" t="s">
        <v>8</v>
      </c>
      <c r="B7598" s="1" t="str">
        <f>"000316827 - RICHS SWEET DOUGH-SODEXO"</f>
        <v>000316827 - RICHS SWEET DOUGH-SODEXO</v>
      </c>
      <c r="C7598" t="s">
        <v>137</v>
      </c>
      <c r="D7598" s="1" t="str">
        <f t="shared" si="215"/>
        <v>PRG-1031188</v>
      </c>
      <c r="E7598" t="s">
        <v>138</v>
      </c>
      <c r="F7598" t="s">
        <v>4</v>
      </c>
      <c r="G7598" t="str">
        <f>""</f>
        <v/>
      </c>
    </row>
    <row r="7599" spans="1:7" x14ac:dyDescent="0.25">
      <c r="A7599" t="s">
        <v>8</v>
      </c>
      <c r="B7599" s="1" t="str">
        <f>"000319346 - "</f>
        <v xml:space="preserve">000319346 - </v>
      </c>
      <c r="D7599" s="1" t="str">
        <f t="shared" si="215"/>
        <v>PRG-1031188</v>
      </c>
      <c r="E7599" t="s">
        <v>138</v>
      </c>
      <c r="F7599" t="s">
        <v>4</v>
      </c>
      <c r="G7599" t="str">
        <f>""</f>
        <v/>
      </c>
    </row>
    <row r="7600" spans="1:7" x14ac:dyDescent="0.25">
      <c r="A7600" t="s">
        <v>8</v>
      </c>
      <c r="B7600" s="1" t="str">
        <f>"000319608 - RICHS SWEET DOUGH-SODEXO"</f>
        <v>000319608 - RICHS SWEET DOUGH-SODEXO</v>
      </c>
      <c r="C7600" t="s">
        <v>137</v>
      </c>
      <c r="D7600" s="1" t="str">
        <f t="shared" si="215"/>
        <v>PRG-1031188</v>
      </c>
      <c r="E7600" t="s">
        <v>138</v>
      </c>
      <c r="F7600" t="s">
        <v>4</v>
      </c>
      <c r="G7600" t="str">
        <f>""</f>
        <v/>
      </c>
    </row>
    <row r="7601" spans="1:7" x14ac:dyDescent="0.25">
      <c r="A7601" t="s">
        <v>8</v>
      </c>
      <c r="B7601" s="1" t="str">
        <f>"000319631 - RICHS SWEET DOUGH-SODEXO"</f>
        <v>000319631 - RICHS SWEET DOUGH-SODEXO</v>
      </c>
      <c r="C7601" t="s">
        <v>137</v>
      </c>
      <c r="D7601" s="1" t="str">
        <f t="shared" si="215"/>
        <v>PRG-1031188</v>
      </c>
      <c r="E7601" t="s">
        <v>138</v>
      </c>
      <c r="F7601" t="s">
        <v>4</v>
      </c>
      <c r="G7601" t="str">
        <f>""</f>
        <v/>
      </c>
    </row>
    <row r="7602" spans="1:7" x14ac:dyDescent="0.25">
      <c r="A7602" t="s">
        <v>8</v>
      </c>
      <c r="B7602" s="1" t="str">
        <f>"000319893 - RICHS SWEET DOUGH-SODEXO"</f>
        <v>000319893 - RICHS SWEET DOUGH-SODEXO</v>
      </c>
      <c r="C7602" t="s">
        <v>137</v>
      </c>
      <c r="D7602" s="1" t="str">
        <f t="shared" si="215"/>
        <v>PRG-1031188</v>
      </c>
      <c r="E7602" t="s">
        <v>138</v>
      </c>
      <c r="F7602" t="s">
        <v>4</v>
      </c>
      <c r="G7602" t="str">
        <f>""</f>
        <v/>
      </c>
    </row>
    <row r="7603" spans="1:7" x14ac:dyDescent="0.25">
      <c r="A7603" t="s">
        <v>8</v>
      </c>
      <c r="B7603" s="1" t="str">
        <f>"000320377 - RICHS SWEET DOUGH-SODEXO"</f>
        <v>000320377 - RICHS SWEET DOUGH-SODEXO</v>
      </c>
      <c r="C7603" t="s">
        <v>137</v>
      </c>
      <c r="D7603" s="1" t="str">
        <f t="shared" si="215"/>
        <v>PRG-1031188</v>
      </c>
      <c r="E7603" t="s">
        <v>138</v>
      </c>
      <c r="F7603" t="s">
        <v>4</v>
      </c>
      <c r="G7603" t="str">
        <f>""</f>
        <v/>
      </c>
    </row>
    <row r="7604" spans="1:7" x14ac:dyDescent="0.25">
      <c r="A7604" t="s">
        <v>8</v>
      </c>
      <c r="B7604" s="1" t="str">
        <f>"000322747 - "</f>
        <v xml:space="preserve">000322747 - </v>
      </c>
      <c r="D7604" s="1" t="str">
        <f t="shared" si="215"/>
        <v>PRG-1031188</v>
      </c>
      <c r="E7604" t="s">
        <v>138</v>
      </c>
      <c r="F7604" t="s">
        <v>4</v>
      </c>
      <c r="G7604" t="str">
        <f>""</f>
        <v/>
      </c>
    </row>
    <row r="7605" spans="1:7" x14ac:dyDescent="0.25">
      <c r="A7605" t="s">
        <v>8</v>
      </c>
      <c r="B7605" s="1" t="str">
        <f>"000322994 - RICHS SWEET DOUGH-SODEXO"</f>
        <v>000322994 - RICHS SWEET DOUGH-SODEXO</v>
      </c>
      <c r="C7605" t="s">
        <v>137</v>
      </c>
      <c r="D7605" s="1" t="str">
        <f t="shared" si="215"/>
        <v>PRG-1031188</v>
      </c>
      <c r="E7605" t="s">
        <v>138</v>
      </c>
      <c r="F7605" t="s">
        <v>4</v>
      </c>
      <c r="G7605" t="str">
        <f>""</f>
        <v/>
      </c>
    </row>
    <row r="7606" spans="1:7" x14ac:dyDescent="0.25">
      <c r="A7606" t="s">
        <v>8</v>
      </c>
      <c r="B7606" s="1" t="str">
        <f>"000323608 - "</f>
        <v xml:space="preserve">000323608 - </v>
      </c>
      <c r="D7606" s="1" t="str">
        <f t="shared" si="215"/>
        <v>PRG-1031188</v>
      </c>
      <c r="E7606" t="s">
        <v>138</v>
      </c>
      <c r="F7606" t="s">
        <v>4</v>
      </c>
      <c r="G7606" t="str">
        <f>""</f>
        <v/>
      </c>
    </row>
    <row r="7607" spans="1:7" x14ac:dyDescent="0.25">
      <c r="A7607" t="s">
        <v>8</v>
      </c>
      <c r="B7607" s="1" t="str">
        <f>"000323794 - RICHS SWEET DOUGH BB-SODEXO"</f>
        <v>000323794 - RICHS SWEET DOUGH BB-SODEXO</v>
      </c>
      <c r="C7607" t="s">
        <v>161</v>
      </c>
      <c r="D7607" s="1" t="str">
        <f t="shared" si="215"/>
        <v>PRG-1031188</v>
      </c>
      <c r="E7607" t="s">
        <v>138</v>
      </c>
      <c r="F7607" t="s">
        <v>4</v>
      </c>
      <c r="G7607" t="str">
        <f>""</f>
        <v/>
      </c>
    </row>
    <row r="7608" spans="1:7" x14ac:dyDescent="0.25">
      <c r="A7608" t="s">
        <v>8</v>
      </c>
      <c r="B7608" s="1" t="str">
        <f>"000324161 - RICHS SWEET DOUGH BB-SODEXO"</f>
        <v>000324161 - RICHS SWEET DOUGH BB-SODEXO</v>
      </c>
      <c r="C7608" t="s">
        <v>161</v>
      </c>
      <c r="D7608" s="1" t="str">
        <f t="shared" si="215"/>
        <v>PRG-1031188</v>
      </c>
      <c r="E7608" t="s">
        <v>138</v>
      </c>
      <c r="F7608" t="s">
        <v>4</v>
      </c>
      <c r="G7608" t="str">
        <f>""</f>
        <v/>
      </c>
    </row>
    <row r="7609" spans="1:7" x14ac:dyDescent="0.25">
      <c r="A7609" t="s">
        <v>8</v>
      </c>
      <c r="B7609" s="1" t="str">
        <f>"000324162 - RICHS SWEET DOUGH BB-SODEXO"</f>
        <v>000324162 - RICHS SWEET DOUGH BB-SODEXO</v>
      </c>
      <c r="C7609" t="s">
        <v>161</v>
      </c>
      <c r="D7609" s="1" t="str">
        <f t="shared" si="215"/>
        <v>PRG-1031188</v>
      </c>
      <c r="E7609" t="s">
        <v>138</v>
      </c>
      <c r="F7609" t="s">
        <v>4</v>
      </c>
      <c r="G7609" t="str">
        <f>""</f>
        <v/>
      </c>
    </row>
    <row r="7610" spans="1:7" x14ac:dyDescent="0.25">
      <c r="A7610" t="s">
        <v>8</v>
      </c>
      <c r="B7610" s="1" t="str">
        <f>"000326766 - "</f>
        <v xml:space="preserve">000326766 - </v>
      </c>
      <c r="D7610" s="1" t="str">
        <f t="shared" si="215"/>
        <v>PRG-1031188</v>
      </c>
      <c r="E7610" t="s">
        <v>138</v>
      </c>
      <c r="F7610" t="s">
        <v>4</v>
      </c>
      <c r="G7610" t="str">
        <f>""</f>
        <v/>
      </c>
    </row>
    <row r="7611" spans="1:7" x14ac:dyDescent="0.25">
      <c r="A7611" t="s">
        <v>8</v>
      </c>
      <c r="B7611" s="1" t="str">
        <f>"000327010 - RICHS SWEET DOUGH-SODEXO"</f>
        <v>000327010 - RICHS SWEET DOUGH-SODEXO</v>
      </c>
      <c r="C7611" t="s">
        <v>137</v>
      </c>
      <c r="D7611" s="1" t="str">
        <f t="shared" si="215"/>
        <v>PRG-1031188</v>
      </c>
      <c r="E7611" t="s">
        <v>138</v>
      </c>
      <c r="F7611" t="s">
        <v>4</v>
      </c>
      <c r="G7611" t="str">
        <f>""</f>
        <v/>
      </c>
    </row>
    <row r="7612" spans="1:7" x14ac:dyDescent="0.25">
      <c r="A7612" t="s">
        <v>8</v>
      </c>
      <c r="B7612" s="1" t="str">
        <f>"000327226 - RICHS SWEET DOUGH BB-SODEXO"</f>
        <v>000327226 - RICHS SWEET DOUGH BB-SODEXO</v>
      </c>
      <c r="C7612" t="s">
        <v>161</v>
      </c>
      <c r="D7612" s="1" t="str">
        <f t="shared" si="215"/>
        <v>PRG-1031188</v>
      </c>
      <c r="E7612" t="s">
        <v>138</v>
      </c>
      <c r="F7612" t="s">
        <v>4</v>
      </c>
      <c r="G7612" t="str">
        <f>""</f>
        <v/>
      </c>
    </row>
    <row r="7613" spans="1:7" x14ac:dyDescent="0.25">
      <c r="A7613" t="s">
        <v>8</v>
      </c>
      <c r="B7613" s="1" t="str">
        <f>"000327974 - "</f>
        <v xml:space="preserve">000327974 - </v>
      </c>
      <c r="D7613" s="1" t="str">
        <f t="shared" si="215"/>
        <v>PRG-1031188</v>
      </c>
      <c r="E7613" t="s">
        <v>138</v>
      </c>
      <c r="F7613" t="s">
        <v>4</v>
      </c>
      <c r="G7613" t="str">
        <f>""</f>
        <v/>
      </c>
    </row>
    <row r="7614" spans="1:7" x14ac:dyDescent="0.25">
      <c r="A7614" t="s">
        <v>8</v>
      </c>
      <c r="B7614" s="1" t="str">
        <f>"000328294 - RICHS SWEET DOUGH-SODEXO"</f>
        <v>000328294 - RICHS SWEET DOUGH-SODEXO</v>
      </c>
      <c r="C7614" t="s">
        <v>137</v>
      </c>
      <c r="D7614" s="1" t="str">
        <f t="shared" si="215"/>
        <v>PRG-1031188</v>
      </c>
      <c r="E7614" t="s">
        <v>138</v>
      </c>
      <c r="F7614" t="s">
        <v>4</v>
      </c>
      <c r="G7614" t="str">
        <f>""</f>
        <v/>
      </c>
    </row>
    <row r="7615" spans="1:7" x14ac:dyDescent="0.25">
      <c r="A7615" t="s">
        <v>8</v>
      </c>
      <c r="B7615" s="1" t="str">
        <f>"000329907 - "</f>
        <v xml:space="preserve">000329907 - </v>
      </c>
      <c r="D7615" s="1" t="str">
        <f t="shared" si="215"/>
        <v>PRG-1031188</v>
      </c>
      <c r="E7615" t="s">
        <v>138</v>
      </c>
      <c r="F7615" t="s">
        <v>4</v>
      </c>
      <c r="G7615" t="str">
        <f>""</f>
        <v/>
      </c>
    </row>
    <row r="7616" spans="1:7" x14ac:dyDescent="0.25">
      <c r="A7616" t="s">
        <v>8</v>
      </c>
      <c r="B7616" s="1" t="str">
        <f>"000329959 - RICHS SWEET DOUGH-SODEXO"</f>
        <v>000329959 - RICHS SWEET DOUGH-SODEXO</v>
      </c>
      <c r="C7616" t="s">
        <v>137</v>
      </c>
      <c r="D7616" s="1" t="str">
        <f t="shared" si="215"/>
        <v>PRG-1031188</v>
      </c>
      <c r="E7616" t="s">
        <v>138</v>
      </c>
      <c r="F7616" t="s">
        <v>4</v>
      </c>
      <c r="G7616" t="str">
        <f>""</f>
        <v/>
      </c>
    </row>
    <row r="7617" spans="1:7" x14ac:dyDescent="0.25">
      <c r="A7617" t="s">
        <v>8</v>
      </c>
      <c r="B7617" s="1" t="str">
        <f>"000332966 - "</f>
        <v xml:space="preserve">000332966 - </v>
      </c>
      <c r="D7617" s="1" t="str">
        <f t="shared" si="215"/>
        <v>PRG-1031188</v>
      </c>
      <c r="E7617" t="s">
        <v>138</v>
      </c>
      <c r="F7617" t="s">
        <v>4</v>
      </c>
      <c r="G7617" t="str">
        <f>""</f>
        <v/>
      </c>
    </row>
    <row r="7618" spans="1:7" x14ac:dyDescent="0.25">
      <c r="A7618" t="s">
        <v>8</v>
      </c>
      <c r="B7618" s="1" t="str">
        <f>"000333319 - "</f>
        <v xml:space="preserve">000333319 - </v>
      </c>
      <c r="D7618" s="1" t="str">
        <f t="shared" si="215"/>
        <v>PRG-1031188</v>
      </c>
      <c r="E7618" t="s">
        <v>138</v>
      </c>
      <c r="F7618" t="s">
        <v>4</v>
      </c>
      <c r="G7618" t="str">
        <f>""</f>
        <v/>
      </c>
    </row>
    <row r="7619" spans="1:7" x14ac:dyDescent="0.25">
      <c r="A7619" t="s">
        <v>8</v>
      </c>
      <c r="B7619" s="1" t="str">
        <f>"000333751 - RICHS SWEET DOUGH BB-SODEXO"</f>
        <v>000333751 - RICHS SWEET DOUGH BB-SODEXO</v>
      </c>
      <c r="C7619" t="s">
        <v>161</v>
      </c>
      <c r="D7619" s="1" t="str">
        <f t="shared" si="215"/>
        <v>PRG-1031188</v>
      </c>
      <c r="E7619" t="s">
        <v>138</v>
      </c>
      <c r="F7619" t="s">
        <v>4</v>
      </c>
      <c r="G7619" t="str">
        <f>""</f>
        <v/>
      </c>
    </row>
    <row r="7620" spans="1:7" x14ac:dyDescent="0.25">
      <c r="A7620" t="s">
        <v>8</v>
      </c>
      <c r="B7620" s="1" t="str">
        <f>"000333828 - RICHS SWEET DOUGH BB-SODEXO"</f>
        <v>000333828 - RICHS SWEET DOUGH BB-SODEXO</v>
      </c>
      <c r="C7620" t="s">
        <v>161</v>
      </c>
      <c r="D7620" s="1" t="str">
        <f t="shared" si="215"/>
        <v>PRG-1031188</v>
      </c>
      <c r="E7620" t="s">
        <v>138</v>
      </c>
      <c r="F7620" t="s">
        <v>4</v>
      </c>
      <c r="G7620" t="str">
        <f>""</f>
        <v/>
      </c>
    </row>
    <row r="7621" spans="1:7" x14ac:dyDescent="0.25">
      <c r="A7621" t="s">
        <v>8</v>
      </c>
      <c r="B7621" s="1" t="str">
        <f>"000334059 - RICHS SWEET DOUGH-SODEXO"</f>
        <v>000334059 - RICHS SWEET DOUGH-SODEXO</v>
      </c>
      <c r="C7621" t="s">
        <v>137</v>
      </c>
      <c r="D7621" s="1" t="str">
        <f t="shared" si="215"/>
        <v>PRG-1031188</v>
      </c>
      <c r="E7621" t="s">
        <v>138</v>
      </c>
      <c r="F7621" t="s">
        <v>4</v>
      </c>
      <c r="G7621" t="str">
        <f>""</f>
        <v/>
      </c>
    </row>
    <row r="7622" spans="1:7" x14ac:dyDescent="0.25">
      <c r="A7622" t="s">
        <v>8</v>
      </c>
      <c r="B7622" s="1" t="str">
        <f>"000336268 - "</f>
        <v xml:space="preserve">000336268 - </v>
      </c>
      <c r="D7622" s="1" t="str">
        <f t="shared" si="215"/>
        <v>PRG-1031188</v>
      </c>
      <c r="E7622" t="s">
        <v>138</v>
      </c>
      <c r="F7622" t="s">
        <v>4</v>
      </c>
      <c r="G7622" t="str">
        <f>""</f>
        <v/>
      </c>
    </row>
    <row r="7623" spans="1:7" x14ac:dyDescent="0.25">
      <c r="A7623" t="s">
        <v>8</v>
      </c>
      <c r="B7623" s="1" t="str">
        <f>"000336611 - RICHS SWEET DOUGH BB-SODEXO"</f>
        <v>000336611 - RICHS SWEET DOUGH BB-SODEXO</v>
      </c>
      <c r="C7623" t="s">
        <v>161</v>
      </c>
      <c r="D7623" s="1" t="str">
        <f t="shared" si="215"/>
        <v>PRG-1031188</v>
      </c>
      <c r="E7623" t="s">
        <v>138</v>
      </c>
      <c r="F7623" t="s">
        <v>4</v>
      </c>
      <c r="G7623" t="str">
        <f>""</f>
        <v/>
      </c>
    </row>
    <row r="7624" spans="1:7" x14ac:dyDescent="0.25">
      <c r="A7624" t="s">
        <v>8</v>
      </c>
      <c r="B7624" s="1" t="str">
        <f>"000336635 - RICHS SWEET DOUGH BB-SODEXO"</f>
        <v>000336635 - RICHS SWEET DOUGH BB-SODEXO</v>
      </c>
      <c r="C7624" t="s">
        <v>161</v>
      </c>
      <c r="D7624" s="1" t="str">
        <f t="shared" si="215"/>
        <v>PRG-1031188</v>
      </c>
      <c r="E7624" t="s">
        <v>138</v>
      </c>
      <c r="F7624" t="s">
        <v>4</v>
      </c>
      <c r="G7624" t="str">
        <f>""</f>
        <v/>
      </c>
    </row>
    <row r="7625" spans="1:7" x14ac:dyDescent="0.25">
      <c r="A7625" t="s">
        <v>8</v>
      </c>
      <c r="B7625" s="1" t="str">
        <f>"000337593 - RICHS SWEET DOUGH-SODEXO"</f>
        <v>000337593 - RICHS SWEET DOUGH-SODEXO</v>
      </c>
      <c r="C7625" t="s">
        <v>137</v>
      </c>
      <c r="D7625" s="1" t="str">
        <f t="shared" si="215"/>
        <v>PRG-1031188</v>
      </c>
      <c r="E7625" t="s">
        <v>138</v>
      </c>
      <c r="F7625" t="s">
        <v>4</v>
      </c>
      <c r="G7625" t="str">
        <f>""</f>
        <v/>
      </c>
    </row>
    <row r="7626" spans="1:7" x14ac:dyDescent="0.25">
      <c r="A7626" t="s">
        <v>8</v>
      </c>
      <c r="B7626" s="1" t="str">
        <f>"000338230 - RICH'S SWEET DOUGH-SODEXO"</f>
        <v>000338230 - RICH'S SWEET DOUGH-SODEXO</v>
      </c>
      <c r="C7626" t="s">
        <v>449</v>
      </c>
      <c r="D7626" s="1" t="str">
        <f t="shared" si="215"/>
        <v>PRG-1031188</v>
      </c>
      <c r="E7626" t="s">
        <v>138</v>
      </c>
      <c r="F7626" t="s">
        <v>4</v>
      </c>
      <c r="G7626" t="str">
        <f>""</f>
        <v/>
      </c>
    </row>
    <row r="7627" spans="1:7" x14ac:dyDescent="0.25">
      <c r="A7627" t="s">
        <v>8</v>
      </c>
      <c r="B7627" s="1" t="str">
        <f>"000338462 - RICHS SWEET DOUGH-SODEXO"</f>
        <v>000338462 - RICHS SWEET DOUGH-SODEXO</v>
      </c>
      <c r="C7627" t="s">
        <v>137</v>
      </c>
      <c r="D7627" s="1" t="str">
        <f t="shared" si="215"/>
        <v>PRG-1031188</v>
      </c>
      <c r="E7627" t="s">
        <v>138</v>
      </c>
      <c r="F7627" t="s">
        <v>4</v>
      </c>
      <c r="G7627" t="str">
        <f>""</f>
        <v/>
      </c>
    </row>
    <row r="7628" spans="1:7" x14ac:dyDescent="0.25">
      <c r="A7628" t="s">
        <v>8</v>
      </c>
      <c r="B7628" s="1" t="str">
        <f>"000340114 - "</f>
        <v xml:space="preserve">000340114 - </v>
      </c>
      <c r="D7628" s="1" t="str">
        <f t="shared" si="215"/>
        <v>PRG-1031188</v>
      </c>
      <c r="E7628" t="s">
        <v>138</v>
      </c>
      <c r="F7628" t="s">
        <v>4</v>
      </c>
      <c r="G7628" t="str">
        <f>""</f>
        <v/>
      </c>
    </row>
    <row r="7629" spans="1:7" x14ac:dyDescent="0.25">
      <c r="A7629" t="s">
        <v>8</v>
      </c>
      <c r="B7629" s="1" t="str">
        <f>"000344697 - RICHS SWEET DOUGH BB-SODEXO"</f>
        <v>000344697 - RICHS SWEET DOUGH BB-SODEXO</v>
      </c>
      <c r="C7629" t="s">
        <v>161</v>
      </c>
      <c r="D7629" s="1" t="str">
        <f t="shared" si="215"/>
        <v>PRG-1031188</v>
      </c>
      <c r="E7629" t="s">
        <v>138</v>
      </c>
      <c r="F7629" t="s">
        <v>4</v>
      </c>
      <c r="G7629" t="str">
        <f>""</f>
        <v/>
      </c>
    </row>
    <row r="7630" spans="1:7" x14ac:dyDescent="0.25">
      <c r="A7630" t="s">
        <v>8</v>
      </c>
      <c r="B7630" s="1" t="str">
        <f>"000345319 - RICHS SWEET DOUGH-SODEXO"</f>
        <v>000345319 - RICHS SWEET DOUGH-SODEXO</v>
      </c>
      <c r="C7630" t="s">
        <v>137</v>
      </c>
      <c r="D7630" s="1" t="str">
        <f t="shared" si="215"/>
        <v>PRG-1031188</v>
      </c>
      <c r="E7630" t="s">
        <v>138</v>
      </c>
      <c r="F7630" t="s">
        <v>4</v>
      </c>
      <c r="G7630" t="str">
        <f>""</f>
        <v/>
      </c>
    </row>
    <row r="7631" spans="1:7" x14ac:dyDescent="0.25">
      <c r="A7631" t="s">
        <v>8</v>
      </c>
      <c r="B7631" s="1" t="str">
        <f>"000346535 - RICHS SWEET DOUGH BB-SODEXO"</f>
        <v>000346535 - RICHS SWEET DOUGH BB-SODEXO</v>
      </c>
      <c r="C7631" t="s">
        <v>161</v>
      </c>
      <c r="D7631" s="1" t="str">
        <f t="shared" si="215"/>
        <v>PRG-1031188</v>
      </c>
      <c r="E7631" t="s">
        <v>138</v>
      </c>
      <c r="F7631" t="s">
        <v>4</v>
      </c>
      <c r="G7631" t="str">
        <f>""</f>
        <v/>
      </c>
    </row>
    <row r="7632" spans="1:7" x14ac:dyDescent="0.25">
      <c r="A7632" t="s">
        <v>8</v>
      </c>
      <c r="B7632" s="1" t="str">
        <f>"000346666 - RICHS SWEET DOUGH BB-SODEXO"</f>
        <v>000346666 - RICHS SWEET DOUGH BB-SODEXO</v>
      </c>
      <c r="C7632" t="s">
        <v>161</v>
      </c>
      <c r="D7632" s="1" t="str">
        <f t="shared" si="215"/>
        <v>PRG-1031188</v>
      </c>
      <c r="E7632" t="s">
        <v>138</v>
      </c>
      <c r="F7632" t="s">
        <v>4</v>
      </c>
      <c r="G7632" t="str">
        <f>""</f>
        <v/>
      </c>
    </row>
    <row r="7633" spans="1:7" x14ac:dyDescent="0.25">
      <c r="A7633" t="s">
        <v>8</v>
      </c>
      <c r="B7633" s="1" t="str">
        <f>"000346945 - RICHS SWEET DOUGH BB SDX GAP"</f>
        <v>000346945 - RICHS SWEET DOUGH BB SDX GAP</v>
      </c>
      <c r="C7633" t="s">
        <v>3475</v>
      </c>
      <c r="D7633" s="1" t="str">
        <f t="shared" si="215"/>
        <v>PRG-1031188</v>
      </c>
      <c r="E7633" t="s">
        <v>138</v>
      </c>
      <c r="F7633" t="s">
        <v>4</v>
      </c>
      <c r="G7633" t="str">
        <f>""</f>
        <v/>
      </c>
    </row>
    <row r="7634" spans="1:7" x14ac:dyDescent="0.25">
      <c r="A7634" t="s">
        <v>8</v>
      </c>
      <c r="B7634" s="1" t="str">
        <f>"000348767 - RICHS SWEET DOUGH-SODEXO"</f>
        <v>000348767 - RICHS SWEET DOUGH-SODEXO</v>
      </c>
      <c r="C7634" t="s">
        <v>137</v>
      </c>
      <c r="D7634" s="1" t="str">
        <f t="shared" si="215"/>
        <v>PRG-1031188</v>
      </c>
      <c r="E7634" t="s">
        <v>138</v>
      </c>
      <c r="F7634" t="s">
        <v>4</v>
      </c>
      <c r="G7634" t="str">
        <f>""</f>
        <v/>
      </c>
    </row>
    <row r="7635" spans="1:7" x14ac:dyDescent="0.25">
      <c r="A7635" t="s">
        <v>8</v>
      </c>
      <c r="B7635" s="1" t="str">
        <f>"000353125 - RICHS SWEET DOUGH-SODEXO"</f>
        <v>000353125 - RICHS SWEET DOUGH-SODEXO</v>
      </c>
      <c r="C7635" t="s">
        <v>137</v>
      </c>
      <c r="D7635" s="1" t="str">
        <f t="shared" si="215"/>
        <v>PRG-1031188</v>
      </c>
      <c r="E7635" t="s">
        <v>138</v>
      </c>
      <c r="F7635" t="s">
        <v>4</v>
      </c>
      <c r="G7635" t="str">
        <f>""</f>
        <v/>
      </c>
    </row>
    <row r="7636" spans="1:7" x14ac:dyDescent="0.25">
      <c r="A7636" t="s">
        <v>8</v>
      </c>
      <c r="B7636" s="1" t="str">
        <f>"000360199 - RICHS SWEET DOUGH BB-SODEXO"</f>
        <v>000360199 - RICHS SWEET DOUGH BB-SODEXO</v>
      </c>
      <c r="C7636" t="s">
        <v>161</v>
      </c>
      <c r="D7636" s="1" t="str">
        <f t="shared" si="215"/>
        <v>PRG-1031188</v>
      </c>
      <c r="E7636" t="s">
        <v>138</v>
      </c>
      <c r="F7636" t="s">
        <v>4</v>
      </c>
      <c r="G7636" t="str">
        <f>""</f>
        <v/>
      </c>
    </row>
    <row r="7637" spans="1:7" x14ac:dyDescent="0.25">
      <c r="A7637" t="s">
        <v>8</v>
      </c>
      <c r="B7637" s="1" t="str">
        <f>"000360732 - RICHS SWEET DOUGH-SODEXO"</f>
        <v>000360732 - RICHS SWEET DOUGH-SODEXO</v>
      </c>
      <c r="C7637" t="s">
        <v>137</v>
      </c>
      <c r="D7637" s="1" t="str">
        <f t="shared" si="215"/>
        <v>PRG-1031188</v>
      </c>
      <c r="E7637" t="s">
        <v>138</v>
      </c>
      <c r="F7637" t="s">
        <v>4</v>
      </c>
      <c r="G7637" t="str">
        <f>""</f>
        <v/>
      </c>
    </row>
    <row r="7638" spans="1:7" x14ac:dyDescent="0.25">
      <c r="A7638" t="s">
        <v>8</v>
      </c>
      <c r="B7638" s="1" t="str">
        <f>"000362690 - RICHS SWTDGH BB(DPMRETRO)-SODE"</f>
        <v>000362690 - RICHS SWTDGH BB(DPMRETRO)-SODE</v>
      </c>
      <c r="C7638" t="s">
        <v>932</v>
      </c>
      <c r="D7638" s="1" t="str">
        <f t="shared" si="215"/>
        <v>PRG-1031188</v>
      </c>
      <c r="E7638" t="s">
        <v>138</v>
      </c>
      <c r="F7638" t="s">
        <v>4</v>
      </c>
      <c r="G7638" t="str">
        <f>""</f>
        <v/>
      </c>
    </row>
    <row r="7639" spans="1:7" x14ac:dyDescent="0.25">
      <c r="A7639" t="s">
        <v>8</v>
      </c>
      <c r="B7639" s="1" t="str">
        <f>"000364420 - RICHS SWEET DOUGH-SODEXO"</f>
        <v>000364420 - RICHS SWEET DOUGH-SODEXO</v>
      </c>
      <c r="C7639" t="s">
        <v>137</v>
      </c>
      <c r="D7639" s="1" t="str">
        <f t="shared" si="215"/>
        <v>PRG-1031188</v>
      </c>
      <c r="E7639" t="s">
        <v>138</v>
      </c>
      <c r="F7639" t="s">
        <v>4</v>
      </c>
      <c r="G7639" t="str">
        <f>""</f>
        <v/>
      </c>
    </row>
    <row r="7640" spans="1:7" x14ac:dyDescent="0.25">
      <c r="A7640" t="s">
        <v>8</v>
      </c>
      <c r="B7640" s="1" t="str">
        <f>"000366901 - RICHS SWEET DOUGH-SODEXO"</f>
        <v>000366901 - RICHS SWEET DOUGH-SODEXO</v>
      </c>
      <c r="C7640" t="s">
        <v>137</v>
      </c>
      <c r="D7640" s="1" t="str">
        <f t="shared" si="215"/>
        <v>PRG-1031188</v>
      </c>
      <c r="E7640" t="s">
        <v>138</v>
      </c>
      <c r="F7640" t="s">
        <v>4</v>
      </c>
      <c r="G7640" t="str">
        <f>""</f>
        <v/>
      </c>
    </row>
    <row r="7641" spans="1:7" x14ac:dyDescent="0.25">
      <c r="A7641" t="s">
        <v>8</v>
      </c>
      <c r="B7641" s="1" t="str">
        <f>"000368445 - RICHS SWEET DOUGH-SODEXO"</f>
        <v>000368445 - RICHS SWEET DOUGH-SODEXO</v>
      </c>
      <c r="C7641" t="s">
        <v>137</v>
      </c>
      <c r="D7641" s="1" t="str">
        <f t="shared" si="215"/>
        <v>PRG-1031188</v>
      </c>
      <c r="E7641" t="s">
        <v>138</v>
      </c>
      <c r="F7641" t="s">
        <v>4</v>
      </c>
      <c r="G7641" t="str">
        <f>""</f>
        <v/>
      </c>
    </row>
    <row r="7642" spans="1:7" x14ac:dyDescent="0.25">
      <c r="A7642" t="s">
        <v>8</v>
      </c>
      <c r="B7642" s="1" t="str">
        <f>"000370438 - "</f>
        <v xml:space="preserve">000370438 - </v>
      </c>
      <c r="D7642" s="1" t="str">
        <f t="shared" si="215"/>
        <v>PRG-1031188</v>
      </c>
      <c r="E7642" t="s">
        <v>138</v>
      </c>
      <c r="F7642" t="s">
        <v>4</v>
      </c>
      <c r="G7642" t="str">
        <f>""</f>
        <v/>
      </c>
    </row>
    <row r="7643" spans="1:7" x14ac:dyDescent="0.25">
      <c r="A7643" t="s">
        <v>8</v>
      </c>
      <c r="B7643" s="1" t="str">
        <f>"000375143 - RICHS SWEET DOUGH BB-SODEXO"</f>
        <v>000375143 - RICHS SWEET DOUGH BB-SODEXO</v>
      </c>
      <c r="C7643" t="s">
        <v>161</v>
      </c>
      <c r="D7643" s="1" t="str">
        <f t="shared" si="215"/>
        <v>PRG-1031188</v>
      </c>
      <c r="E7643" t="s">
        <v>138</v>
      </c>
      <c r="F7643" t="s">
        <v>4</v>
      </c>
      <c r="G7643" t="str">
        <f>""</f>
        <v/>
      </c>
    </row>
    <row r="7644" spans="1:7" x14ac:dyDescent="0.25">
      <c r="A7644" t="s">
        <v>8</v>
      </c>
      <c r="B7644" s="1" t="str">
        <f>"000375940 - RICHS SWEET DOUGH BB-SODEXO"</f>
        <v>000375940 - RICHS SWEET DOUGH BB-SODEXO</v>
      </c>
      <c r="C7644" t="s">
        <v>161</v>
      </c>
      <c r="D7644" s="1" t="str">
        <f t="shared" si="215"/>
        <v>PRG-1031188</v>
      </c>
      <c r="E7644" t="s">
        <v>138</v>
      </c>
      <c r="F7644" t="s">
        <v>4</v>
      </c>
      <c r="G7644" t="str">
        <f>""</f>
        <v/>
      </c>
    </row>
    <row r="7645" spans="1:7" x14ac:dyDescent="0.25">
      <c r="A7645" t="s">
        <v>8</v>
      </c>
      <c r="B7645" s="1" t="str">
        <f>"2000333624 - RICHS SWEET-SODEXO"</f>
        <v>2000333624 - RICHS SWEET-SODEXO</v>
      </c>
      <c r="C7645" t="s">
        <v>3826</v>
      </c>
      <c r="D7645" s="1" t="str">
        <f t="shared" si="215"/>
        <v>PRG-1031188</v>
      </c>
      <c r="E7645" t="s">
        <v>138</v>
      </c>
      <c r="F7645" t="s">
        <v>4</v>
      </c>
      <c r="G7645" t="str">
        <f>""</f>
        <v/>
      </c>
    </row>
    <row r="7646" spans="1:7" x14ac:dyDescent="0.25">
      <c r="A7646" t="s">
        <v>8</v>
      </c>
      <c r="B7646" s="1" t="str">
        <f>"000140072 - "</f>
        <v xml:space="preserve">000140072 - </v>
      </c>
      <c r="D7646" s="1" t="str">
        <f>"PRG-1031191"</f>
        <v>PRG-1031191</v>
      </c>
      <c r="E7646" t="s">
        <v>77</v>
      </c>
      <c r="F7646" t="s">
        <v>4</v>
      </c>
      <c r="G7646" t="str">
        <f>""</f>
        <v/>
      </c>
    </row>
    <row r="7647" spans="1:7" x14ac:dyDescent="0.25">
      <c r="A7647" t="s">
        <v>8</v>
      </c>
      <c r="B7647" s="1" t="str">
        <f>"000207283 - RICHS SWEET DOUGH-SODEXO"</f>
        <v>000207283 - RICHS SWEET DOUGH-SODEXO</v>
      </c>
      <c r="C7647" t="s">
        <v>137</v>
      </c>
      <c r="D7647" s="1" t="str">
        <f>"PRG-1031191"</f>
        <v>PRG-1031191</v>
      </c>
      <c r="E7647" t="s">
        <v>77</v>
      </c>
      <c r="F7647" t="s">
        <v>4</v>
      </c>
      <c r="G7647" t="str">
        <f>""</f>
        <v/>
      </c>
    </row>
    <row r="7648" spans="1:7" x14ac:dyDescent="0.25">
      <c r="A7648" t="s">
        <v>8</v>
      </c>
      <c r="B7648" s="1" t="str">
        <f>"000279506 - RICHS SWEET DOUGH-SODEXO"</f>
        <v>000279506 - RICHS SWEET DOUGH-SODEXO</v>
      </c>
      <c r="C7648" t="s">
        <v>137</v>
      </c>
      <c r="D7648" s="1" t="str">
        <f>"PRG-1031191"</f>
        <v>PRG-1031191</v>
      </c>
      <c r="E7648" t="s">
        <v>77</v>
      </c>
      <c r="F7648" t="s">
        <v>4</v>
      </c>
      <c r="G7648" t="str">
        <f>""</f>
        <v/>
      </c>
    </row>
    <row r="7649" spans="1:7" x14ac:dyDescent="0.25">
      <c r="A7649" t="s">
        <v>8</v>
      </c>
      <c r="B7649" s="1" t="str">
        <f>"2000205291 - RICHS SWEET-SODEXO"</f>
        <v>2000205291 - RICHS SWEET-SODEXO</v>
      </c>
      <c r="C7649" t="s">
        <v>3826</v>
      </c>
      <c r="D7649" s="1" t="str">
        <f>"PRG-1031191"</f>
        <v>PRG-1031191</v>
      </c>
      <c r="E7649" t="s">
        <v>77</v>
      </c>
      <c r="F7649" t="s">
        <v>4</v>
      </c>
      <c r="G7649" t="str">
        <f>""</f>
        <v/>
      </c>
    </row>
    <row r="7650" spans="1:7" x14ac:dyDescent="0.25">
      <c r="A7650" t="s">
        <v>8</v>
      </c>
      <c r="B7650" s="1" t="str">
        <f>"000003554 - RICH PIZZA &amp; ICING CBB-SODEXO"</f>
        <v>000003554 - RICH PIZZA &amp; ICING CBB-SODEXO</v>
      </c>
      <c r="C7650" t="s">
        <v>180</v>
      </c>
      <c r="D7650" s="1" t="str">
        <f t="shared" ref="D7650:D7713" si="216">"PRG-1031196"</f>
        <v>PRG-1031196</v>
      </c>
      <c r="E7650" t="s">
        <v>181</v>
      </c>
      <c r="F7650" t="s">
        <v>4</v>
      </c>
      <c r="G7650" t="str">
        <f>""</f>
        <v/>
      </c>
    </row>
    <row r="7651" spans="1:7" x14ac:dyDescent="0.25">
      <c r="A7651" t="s">
        <v>8</v>
      </c>
      <c r="B7651" s="1" t="str">
        <f>"000003555 - RICH PIZZA &amp; ICING NCBB-SODEXO"</f>
        <v>000003555 - RICH PIZZA &amp; ICING NCBB-SODEXO</v>
      </c>
      <c r="C7651" t="s">
        <v>182</v>
      </c>
      <c r="D7651" s="1" t="str">
        <f t="shared" si="216"/>
        <v>PRG-1031196</v>
      </c>
      <c r="E7651" t="s">
        <v>181</v>
      </c>
      <c r="F7651" t="s">
        <v>4</v>
      </c>
      <c r="G7651" t="str">
        <f>""</f>
        <v/>
      </c>
    </row>
    <row r="7652" spans="1:7" x14ac:dyDescent="0.25">
      <c r="A7652" t="s">
        <v>8</v>
      </c>
      <c r="B7652" s="1" t="str">
        <f>"000005843 - RICH PIZZA_ICING SODEXO AK NC"</f>
        <v>000005843 - RICH PIZZA_ICING SODEXO AK NC</v>
      </c>
      <c r="C7652" t="s">
        <v>229</v>
      </c>
      <c r="D7652" s="1" t="str">
        <f t="shared" si="216"/>
        <v>PRG-1031196</v>
      </c>
      <c r="E7652" t="s">
        <v>181</v>
      </c>
      <c r="F7652" t="s">
        <v>4</v>
      </c>
      <c r="G7652" t="str">
        <f>""</f>
        <v/>
      </c>
    </row>
    <row r="7653" spans="1:7" x14ac:dyDescent="0.25">
      <c r="A7653" t="s">
        <v>8</v>
      </c>
      <c r="B7653" s="1" t="str">
        <f>"000005844 - RICHS PIZZA CORE&amp;DC SODEXO AK"</f>
        <v>000005844 - RICHS PIZZA CORE&amp;DC SODEXO AK</v>
      </c>
      <c r="C7653" t="s">
        <v>230</v>
      </c>
      <c r="D7653" s="1" t="str">
        <f t="shared" si="216"/>
        <v>PRG-1031196</v>
      </c>
      <c r="E7653" t="s">
        <v>181</v>
      </c>
      <c r="F7653" t="s">
        <v>4</v>
      </c>
      <c r="G7653" t="str">
        <f>""</f>
        <v/>
      </c>
    </row>
    <row r="7654" spans="1:7" x14ac:dyDescent="0.25">
      <c r="A7654" t="s">
        <v>8</v>
      </c>
      <c r="B7654" s="1" t="str">
        <f>"000006159 - RICH PIZZA &amp; ICING CBB-SODEXO"</f>
        <v>000006159 - RICH PIZZA &amp; ICING CBB-SODEXO</v>
      </c>
      <c r="C7654" t="s">
        <v>180</v>
      </c>
      <c r="D7654" s="1" t="str">
        <f t="shared" si="216"/>
        <v>PRG-1031196</v>
      </c>
      <c r="E7654" t="s">
        <v>181</v>
      </c>
      <c r="F7654" t="s">
        <v>4</v>
      </c>
      <c r="G7654" t="str">
        <f>""</f>
        <v/>
      </c>
    </row>
    <row r="7655" spans="1:7" x14ac:dyDescent="0.25">
      <c r="A7655" t="s">
        <v>8</v>
      </c>
      <c r="B7655" s="1" t="str">
        <f>"000006160 - RICH PIZZA &amp; ICING NCBB-SODEXO"</f>
        <v>000006160 - RICH PIZZA &amp; ICING NCBB-SODEXO</v>
      </c>
      <c r="C7655" t="s">
        <v>182</v>
      </c>
      <c r="D7655" s="1" t="str">
        <f t="shared" si="216"/>
        <v>PRG-1031196</v>
      </c>
      <c r="E7655" t="s">
        <v>181</v>
      </c>
      <c r="F7655" t="s">
        <v>4</v>
      </c>
      <c r="G7655" t="str">
        <f>""</f>
        <v/>
      </c>
    </row>
    <row r="7656" spans="1:7" x14ac:dyDescent="0.25">
      <c r="A7656" t="s">
        <v>8</v>
      </c>
      <c r="B7656" s="1" t="str">
        <f>"000007558 - RICHS PIZZA NC BB SODEXO AK"</f>
        <v>000007558 - RICHS PIZZA NC BB SODEXO AK</v>
      </c>
      <c r="C7656" t="s">
        <v>266</v>
      </c>
      <c r="D7656" s="1" t="str">
        <f t="shared" si="216"/>
        <v>PRG-1031196</v>
      </c>
      <c r="E7656" t="s">
        <v>181</v>
      </c>
      <c r="F7656" t="s">
        <v>4</v>
      </c>
      <c r="G7656" t="str">
        <f>""</f>
        <v/>
      </c>
    </row>
    <row r="7657" spans="1:7" x14ac:dyDescent="0.25">
      <c r="A7657" t="s">
        <v>8</v>
      </c>
      <c r="B7657" s="1" t="str">
        <f>"000007559 - RICHS PIZZA CORE BB SODEXO AK"</f>
        <v>000007559 - RICHS PIZZA CORE BB SODEXO AK</v>
      </c>
      <c r="C7657" t="s">
        <v>267</v>
      </c>
      <c r="D7657" s="1" t="str">
        <f t="shared" si="216"/>
        <v>PRG-1031196</v>
      </c>
      <c r="E7657" t="s">
        <v>181</v>
      </c>
      <c r="F7657" t="s">
        <v>4</v>
      </c>
      <c r="G7657" t="str">
        <f>""</f>
        <v/>
      </c>
    </row>
    <row r="7658" spans="1:7" x14ac:dyDescent="0.25">
      <c r="A7658" t="s">
        <v>8</v>
      </c>
      <c r="B7658" s="1" t="str">
        <f>"000010326 - RICH PIZZA &amp; ICING CBB-SODEXO"</f>
        <v>000010326 - RICH PIZZA &amp; ICING CBB-SODEXO</v>
      </c>
      <c r="C7658" t="s">
        <v>180</v>
      </c>
      <c r="D7658" s="1" t="str">
        <f t="shared" si="216"/>
        <v>PRG-1031196</v>
      </c>
      <c r="E7658" t="s">
        <v>181</v>
      </c>
      <c r="F7658" t="s">
        <v>4</v>
      </c>
      <c r="G7658" t="str">
        <f>""</f>
        <v/>
      </c>
    </row>
    <row r="7659" spans="1:7" x14ac:dyDescent="0.25">
      <c r="A7659" t="s">
        <v>8</v>
      </c>
      <c r="B7659" s="1" t="str">
        <f>"000010327 - RICH PIZZA &amp; ICING NCBB-SODEXO"</f>
        <v>000010327 - RICH PIZZA &amp; ICING NCBB-SODEXO</v>
      </c>
      <c r="C7659" t="s">
        <v>182</v>
      </c>
      <c r="D7659" s="1" t="str">
        <f t="shared" si="216"/>
        <v>PRG-1031196</v>
      </c>
      <c r="E7659" t="s">
        <v>181</v>
      </c>
      <c r="F7659" t="s">
        <v>4</v>
      </c>
      <c r="G7659" t="str">
        <f>""</f>
        <v/>
      </c>
    </row>
    <row r="7660" spans="1:7" x14ac:dyDescent="0.25">
      <c r="A7660" t="s">
        <v>8</v>
      </c>
      <c r="B7660" s="1" t="str">
        <f>"000040722 - RICHS PIZZA DOUGH BB-SODEXO"</f>
        <v>000040722 - RICHS PIZZA DOUGH BB-SODEXO</v>
      </c>
      <c r="C7660" t="s">
        <v>582</v>
      </c>
      <c r="D7660" s="1" t="str">
        <f t="shared" si="216"/>
        <v>PRG-1031196</v>
      </c>
      <c r="E7660" t="s">
        <v>181</v>
      </c>
      <c r="F7660" t="s">
        <v>4</v>
      </c>
      <c r="G7660" t="str">
        <f>""</f>
        <v/>
      </c>
    </row>
    <row r="7661" spans="1:7" x14ac:dyDescent="0.25">
      <c r="A7661" t="s">
        <v>8</v>
      </c>
      <c r="B7661" s="1" t="str">
        <f>"000043300 - RICHS PIZZA DOGH&amp;ICING CC-SODX"</f>
        <v>000043300 - RICHS PIZZA DOGH&amp;ICING CC-SODX</v>
      </c>
      <c r="C7661" t="s">
        <v>601</v>
      </c>
      <c r="D7661" s="1" t="str">
        <f t="shared" si="216"/>
        <v>PRG-1031196</v>
      </c>
      <c r="E7661" t="s">
        <v>181</v>
      </c>
      <c r="F7661" t="s">
        <v>4</v>
      </c>
      <c r="G7661" t="str">
        <f>""</f>
        <v/>
      </c>
    </row>
    <row r="7662" spans="1:7" x14ac:dyDescent="0.25">
      <c r="A7662" t="s">
        <v>8</v>
      </c>
      <c r="B7662" s="1" t="str">
        <f>"000044607 - RICH PIZZA DOUGH BB CORE-SODX"</f>
        <v>000044607 - RICH PIZZA DOUGH BB CORE-SODX</v>
      </c>
      <c r="C7662" t="s">
        <v>612</v>
      </c>
      <c r="D7662" s="1" t="str">
        <f t="shared" si="216"/>
        <v>PRG-1031196</v>
      </c>
      <c r="E7662" t="s">
        <v>181</v>
      </c>
      <c r="F7662" t="s">
        <v>4</v>
      </c>
      <c r="G7662" t="str">
        <f>""</f>
        <v/>
      </c>
    </row>
    <row r="7663" spans="1:7" x14ac:dyDescent="0.25">
      <c r="A7663" t="s">
        <v>8</v>
      </c>
      <c r="B7663" s="1" t="str">
        <f>"000044608 - RICH PIZZA DOUGH BB NCORE-SODX"</f>
        <v>000044608 - RICH PIZZA DOUGH BB NCORE-SODX</v>
      </c>
      <c r="C7663" t="s">
        <v>613</v>
      </c>
      <c r="D7663" s="1" t="str">
        <f t="shared" si="216"/>
        <v>PRG-1031196</v>
      </c>
      <c r="E7663" t="s">
        <v>181</v>
      </c>
      <c r="F7663" t="s">
        <v>4</v>
      </c>
      <c r="G7663" t="str">
        <f>""</f>
        <v/>
      </c>
    </row>
    <row r="7664" spans="1:7" x14ac:dyDescent="0.25">
      <c r="A7664" t="s">
        <v>8</v>
      </c>
      <c r="B7664" s="1" t="str">
        <f>"000046613 - RICHS PIZZA DOUGH CORE BB-SODX"</f>
        <v>000046613 - RICHS PIZZA DOUGH CORE BB-SODX</v>
      </c>
      <c r="C7664" t="s">
        <v>112</v>
      </c>
      <c r="D7664" s="1" t="str">
        <f t="shared" si="216"/>
        <v>PRG-1031196</v>
      </c>
      <c r="E7664" t="s">
        <v>181</v>
      </c>
      <c r="F7664" t="s">
        <v>4</v>
      </c>
      <c r="G7664" t="str">
        <f>""</f>
        <v/>
      </c>
    </row>
    <row r="7665" spans="1:7" x14ac:dyDescent="0.25">
      <c r="A7665" t="s">
        <v>8</v>
      </c>
      <c r="B7665" s="1" t="str">
        <f>"000046614 - RICH PIZZA DOUGH NCORE BB-SODX"</f>
        <v>000046614 - RICH PIZZA DOUGH NCORE BB-SODX</v>
      </c>
      <c r="C7665" t="s">
        <v>113</v>
      </c>
      <c r="D7665" s="1" t="str">
        <f t="shared" si="216"/>
        <v>PRG-1031196</v>
      </c>
      <c r="E7665" t="s">
        <v>181</v>
      </c>
      <c r="F7665" t="s">
        <v>4</v>
      </c>
      <c r="G7665" t="str">
        <f>""</f>
        <v/>
      </c>
    </row>
    <row r="7666" spans="1:7" x14ac:dyDescent="0.25">
      <c r="A7666" t="s">
        <v>8</v>
      </c>
      <c r="B7666" s="1" t="str">
        <f>"000049291 - RICHS PIZZA DOUGH BB-SODEXO"</f>
        <v>000049291 - RICHS PIZZA DOUGH BB-SODEXO</v>
      </c>
      <c r="C7666" t="s">
        <v>582</v>
      </c>
      <c r="D7666" s="1" t="str">
        <f t="shared" si="216"/>
        <v>PRG-1031196</v>
      </c>
      <c r="E7666" t="s">
        <v>181</v>
      </c>
      <c r="F7666" t="s">
        <v>4</v>
      </c>
      <c r="G7666" t="str">
        <f>""</f>
        <v/>
      </c>
    </row>
    <row r="7667" spans="1:7" x14ac:dyDescent="0.25">
      <c r="A7667" t="s">
        <v>8</v>
      </c>
      <c r="B7667" s="1" t="str">
        <f>"000052848 - RICHS PIZZA DOGH&amp;ICING CC-SODX"</f>
        <v>000052848 - RICHS PIZZA DOGH&amp;ICING CC-SODX</v>
      </c>
      <c r="C7667" t="s">
        <v>601</v>
      </c>
      <c r="D7667" s="1" t="str">
        <f t="shared" si="216"/>
        <v>PRG-1031196</v>
      </c>
      <c r="E7667" t="s">
        <v>181</v>
      </c>
      <c r="F7667" t="s">
        <v>4</v>
      </c>
      <c r="G7667" t="str">
        <f>""</f>
        <v/>
      </c>
    </row>
    <row r="7668" spans="1:7" x14ac:dyDescent="0.25">
      <c r="A7668" t="s">
        <v>8</v>
      </c>
      <c r="B7668" s="1" t="str">
        <f>"000054791 - RICH PIZZA &amp; ICING CBB-SODEXO"</f>
        <v>000054791 - RICH PIZZA &amp; ICING CBB-SODEXO</v>
      </c>
      <c r="C7668" t="s">
        <v>180</v>
      </c>
      <c r="D7668" s="1" t="str">
        <f t="shared" si="216"/>
        <v>PRG-1031196</v>
      </c>
      <c r="E7668" t="s">
        <v>181</v>
      </c>
      <c r="F7668" t="s">
        <v>4</v>
      </c>
      <c r="G7668" t="str">
        <f>""</f>
        <v/>
      </c>
    </row>
    <row r="7669" spans="1:7" x14ac:dyDescent="0.25">
      <c r="A7669" t="s">
        <v>8</v>
      </c>
      <c r="B7669" s="1" t="str">
        <f>"000054792 - RICH PIZZA &amp; ICING NCBB-SODEXO"</f>
        <v>000054792 - RICH PIZZA &amp; ICING NCBB-SODEXO</v>
      </c>
      <c r="C7669" t="s">
        <v>182</v>
      </c>
      <c r="D7669" s="1" t="str">
        <f t="shared" si="216"/>
        <v>PRG-1031196</v>
      </c>
      <c r="E7669" t="s">
        <v>181</v>
      </c>
      <c r="F7669" t="s">
        <v>4</v>
      </c>
      <c r="G7669" t="str">
        <f>""</f>
        <v/>
      </c>
    </row>
    <row r="7670" spans="1:7" x14ac:dyDescent="0.25">
      <c r="A7670" t="s">
        <v>8</v>
      </c>
      <c r="B7670" s="1" t="str">
        <f>"000054825 - RICH PIZZA DOUGH BB CORE-SODX"</f>
        <v>000054825 - RICH PIZZA DOUGH BB CORE-SODX</v>
      </c>
      <c r="C7670" t="s">
        <v>612</v>
      </c>
      <c r="D7670" s="1" t="str">
        <f t="shared" si="216"/>
        <v>PRG-1031196</v>
      </c>
      <c r="E7670" t="s">
        <v>181</v>
      </c>
      <c r="F7670" t="s">
        <v>4</v>
      </c>
      <c r="G7670" t="str">
        <f>""</f>
        <v/>
      </c>
    </row>
    <row r="7671" spans="1:7" x14ac:dyDescent="0.25">
      <c r="A7671" t="s">
        <v>8</v>
      </c>
      <c r="B7671" s="1" t="str">
        <f>"000054826 - RICH PIZZA DOUGH BB NCORE-SODX"</f>
        <v>000054826 - RICH PIZZA DOUGH BB NCORE-SODX</v>
      </c>
      <c r="C7671" t="s">
        <v>613</v>
      </c>
      <c r="D7671" s="1" t="str">
        <f t="shared" si="216"/>
        <v>PRG-1031196</v>
      </c>
      <c r="E7671" t="s">
        <v>181</v>
      </c>
      <c r="F7671" t="s">
        <v>4</v>
      </c>
      <c r="G7671" t="str">
        <f>""</f>
        <v/>
      </c>
    </row>
    <row r="7672" spans="1:7" x14ac:dyDescent="0.25">
      <c r="A7672" t="s">
        <v>8</v>
      </c>
      <c r="B7672" s="1" t="str">
        <f>"000055092 - XXRICH PIZ DOUGH CORE-SDX RETR"</f>
        <v>000055092 - XXRICH PIZ DOUGH CORE-SDX RETR</v>
      </c>
      <c r="C7672" t="s">
        <v>677</v>
      </c>
      <c r="D7672" s="1" t="str">
        <f t="shared" si="216"/>
        <v>PRG-1031196</v>
      </c>
      <c r="E7672" t="s">
        <v>181</v>
      </c>
      <c r="F7672" t="s">
        <v>4</v>
      </c>
      <c r="G7672" t="str">
        <f>""</f>
        <v/>
      </c>
    </row>
    <row r="7673" spans="1:7" x14ac:dyDescent="0.25">
      <c r="A7673" t="s">
        <v>8</v>
      </c>
      <c r="B7673" s="1" t="str">
        <f>"000055093 - XXRICH PIZ DOUGH NCORE-SDX RET"</f>
        <v>000055093 - XXRICH PIZ DOUGH NCORE-SDX RET</v>
      </c>
      <c r="C7673" t="s">
        <v>678</v>
      </c>
      <c r="D7673" s="1" t="str">
        <f t="shared" si="216"/>
        <v>PRG-1031196</v>
      </c>
      <c r="E7673" t="s">
        <v>181</v>
      </c>
      <c r="F7673" t="s">
        <v>4</v>
      </c>
      <c r="G7673" t="str">
        <f>""</f>
        <v/>
      </c>
    </row>
    <row r="7674" spans="1:7" x14ac:dyDescent="0.25">
      <c r="A7674" t="s">
        <v>8</v>
      </c>
      <c r="B7674" s="1" t="str">
        <f>"000057767 - RICHS PIZZA DOUGH CORE BB-SODX"</f>
        <v>000057767 - RICHS PIZZA DOUGH CORE BB-SODX</v>
      </c>
      <c r="C7674" t="s">
        <v>112</v>
      </c>
      <c r="D7674" s="1" t="str">
        <f t="shared" si="216"/>
        <v>PRG-1031196</v>
      </c>
      <c r="E7674" t="s">
        <v>181</v>
      </c>
      <c r="F7674" t="s">
        <v>4</v>
      </c>
      <c r="G7674" t="str">
        <f>""</f>
        <v/>
      </c>
    </row>
    <row r="7675" spans="1:7" x14ac:dyDescent="0.25">
      <c r="A7675" t="s">
        <v>8</v>
      </c>
      <c r="B7675" s="1" t="str">
        <f>"000057768 - RICH PIZZA DOUGH NCORE BB-SODX"</f>
        <v>000057768 - RICH PIZZA DOUGH NCORE BB-SODX</v>
      </c>
      <c r="C7675" t="s">
        <v>113</v>
      </c>
      <c r="D7675" s="1" t="str">
        <f t="shared" si="216"/>
        <v>PRG-1031196</v>
      </c>
      <c r="E7675" t="s">
        <v>181</v>
      </c>
      <c r="F7675" t="s">
        <v>4</v>
      </c>
      <c r="G7675" t="str">
        <f>""</f>
        <v/>
      </c>
    </row>
    <row r="7676" spans="1:7" x14ac:dyDescent="0.25">
      <c r="A7676" t="s">
        <v>8</v>
      </c>
      <c r="B7676" s="1" t="str">
        <f>"000067773 - RICH PIZZA &amp; ICING CBB-SODEXO"</f>
        <v>000067773 - RICH PIZZA &amp; ICING CBB-SODEXO</v>
      </c>
      <c r="C7676" t="s">
        <v>180</v>
      </c>
      <c r="D7676" s="1" t="str">
        <f t="shared" si="216"/>
        <v>PRG-1031196</v>
      </c>
      <c r="E7676" t="s">
        <v>181</v>
      </c>
      <c r="F7676" t="s">
        <v>4</v>
      </c>
      <c r="G7676" t="str">
        <f>""</f>
        <v/>
      </c>
    </row>
    <row r="7677" spans="1:7" x14ac:dyDescent="0.25">
      <c r="A7677" t="s">
        <v>8</v>
      </c>
      <c r="B7677" s="1" t="str">
        <f>"000067774 - RICH PIZZA &amp; ICING NCBB-SODEXO"</f>
        <v>000067774 - RICH PIZZA &amp; ICING NCBB-SODEXO</v>
      </c>
      <c r="C7677" t="s">
        <v>182</v>
      </c>
      <c r="D7677" s="1" t="str">
        <f t="shared" si="216"/>
        <v>PRG-1031196</v>
      </c>
      <c r="E7677" t="s">
        <v>181</v>
      </c>
      <c r="F7677" t="s">
        <v>4</v>
      </c>
      <c r="G7677" t="str">
        <f>""</f>
        <v/>
      </c>
    </row>
    <row r="7678" spans="1:7" x14ac:dyDescent="0.25">
      <c r="A7678" t="s">
        <v>8</v>
      </c>
      <c r="B7678" s="1" t="str">
        <f>"000111317 - RICHS PIZZA DOGH&amp;ICING CC-SODX"</f>
        <v>000111317 - RICHS PIZZA DOGH&amp;ICING CC-SODX</v>
      </c>
      <c r="C7678" t="s">
        <v>601</v>
      </c>
      <c r="D7678" s="1" t="str">
        <f t="shared" si="216"/>
        <v>PRG-1031196</v>
      </c>
      <c r="E7678" t="s">
        <v>181</v>
      </c>
      <c r="F7678" t="s">
        <v>4</v>
      </c>
      <c r="G7678" t="str">
        <f>""</f>
        <v/>
      </c>
    </row>
    <row r="7679" spans="1:7" x14ac:dyDescent="0.25">
      <c r="A7679" t="s">
        <v>8</v>
      </c>
      <c r="B7679" s="1" t="str">
        <f>"000113119 - RICH PIZZA DOUGH BB CORE-SODX"</f>
        <v>000113119 - RICH PIZZA DOUGH BB CORE-SODX</v>
      </c>
      <c r="C7679" t="s">
        <v>612</v>
      </c>
      <c r="D7679" s="1" t="str">
        <f t="shared" si="216"/>
        <v>PRG-1031196</v>
      </c>
      <c r="E7679" t="s">
        <v>181</v>
      </c>
      <c r="F7679" t="s">
        <v>4</v>
      </c>
      <c r="G7679" t="str">
        <f>""</f>
        <v/>
      </c>
    </row>
    <row r="7680" spans="1:7" x14ac:dyDescent="0.25">
      <c r="A7680" t="s">
        <v>8</v>
      </c>
      <c r="B7680" s="1" t="str">
        <f>"000113120 - RICH PIZZA DOUGH BB NCORE-SODX"</f>
        <v>000113120 - RICH PIZZA DOUGH BB NCORE-SODX</v>
      </c>
      <c r="C7680" t="s">
        <v>613</v>
      </c>
      <c r="D7680" s="1" t="str">
        <f t="shared" si="216"/>
        <v>PRG-1031196</v>
      </c>
      <c r="E7680" t="s">
        <v>181</v>
      </c>
      <c r="F7680" t="s">
        <v>4</v>
      </c>
      <c r="G7680" t="str">
        <f>""</f>
        <v/>
      </c>
    </row>
    <row r="7681" spans="1:7" x14ac:dyDescent="0.25">
      <c r="A7681" t="s">
        <v>8</v>
      </c>
      <c r="B7681" s="1" t="str">
        <f>"000114350 - RICH PIZZA DOUGH BB CORE-SODX"</f>
        <v>000114350 - RICH PIZZA DOUGH BB CORE-SODX</v>
      </c>
      <c r="C7681" t="s">
        <v>612</v>
      </c>
      <c r="D7681" s="1" t="str">
        <f t="shared" si="216"/>
        <v>PRG-1031196</v>
      </c>
      <c r="E7681" t="s">
        <v>181</v>
      </c>
      <c r="F7681" t="s">
        <v>4</v>
      </c>
      <c r="G7681" t="str">
        <f>""</f>
        <v/>
      </c>
    </row>
    <row r="7682" spans="1:7" x14ac:dyDescent="0.25">
      <c r="A7682" t="s">
        <v>8</v>
      </c>
      <c r="B7682" s="1" t="str">
        <f>"000114351 - RICH PIZZA DOUGH BB NCORE-SODX"</f>
        <v>000114351 - RICH PIZZA DOUGH BB NCORE-SODX</v>
      </c>
      <c r="C7682" t="s">
        <v>613</v>
      </c>
      <c r="D7682" s="1" t="str">
        <f t="shared" si="216"/>
        <v>PRG-1031196</v>
      </c>
      <c r="E7682" t="s">
        <v>181</v>
      </c>
      <c r="F7682" t="s">
        <v>4</v>
      </c>
      <c r="G7682" t="str">
        <f>""</f>
        <v/>
      </c>
    </row>
    <row r="7683" spans="1:7" x14ac:dyDescent="0.25">
      <c r="A7683" t="s">
        <v>8</v>
      </c>
      <c r="B7683" s="1" t="str">
        <f>"000115891 - RICHS PIZZA DOUGH CORE BB-SODX"</f>
        <v>000115891 - RICHS PIZZA DOUGH CORE BB-SODX</v>
      </c>
      <c r="C7683" t="s">
        <v>112</v>
      </c>
      <c r="D7683" s="1" t="str">
        <f t="shared" si="216"/>
        <v>PRG-1031196</v>
      </c>
      <c r="E7683" t="s">
        <v>181</v>
      </c>
      <c r="F7683" t="s">
        <v>4</v>
      </c>
      <c r="G7683" t="str">
        <f>""</f>
        <v/>
      </c>
    </row>
    <row r="7684" spans="1:7" x14ac:dyDescent="0.25">
      <c r="A7684" t="s">
        <v>8</v>
      </c>
      <c r="B7684" s="1" t="str">
        <f>"000115892 - RICH PIZZA DOUGH NCORE BB-SODX"</f>
        <v>000115892 - RICH PIZZA DOUGH NCORE BB-SODX</v>
      </c>
      <c r="C7684" t="s">
        <v>113</v>
      </c>
      <c r="D7684" s="1" t="str">
        <f t="shared" si="216"/>
        <v>PRG-1031196</v>
      </c>
      <c r="E7684" t="s">
        <v>181</v>
      </c>
      <c r="F7684" t="s">
        <v>4</v>
      </c>
      <c r="G7684" t="str">
        <f>""</f>
        <v/>
      </c>
    </row>
    <row r="7685" spans="1:7" x14ac:dyDescent="0.25">
      <c r="A7685" t="s">
        <v>8</v>
      </c>
      <c r="B7685" s="1" t="str">
        <f>"000119483 - RICHS PIZZA DOGH&amp;ICING CC-SODX"</f>
        <v>000119483 - RICHS PIZZA DOGH&amp;ICING CC-SODX</v>
      </c>
      <c r="C7685" t="s">
        <v>601</v>
      </c>
      <c r="D7685" s="1" t="str">
        <f t="shared" si="216"/>
        <v>PRG-1031196</v>
      </c>
      <c r="E7685" t="s">
        <v>181</v>
      </c>
      <c r="F7685" t="s">
        <v>4</v>
      </c>
      <c r="G7685" t="str">
        <f>""</f>
        <v/>
      </c>
    </row>
    <row r="7686" spans="1:7" x14ac:dyDescent="0.25">
      <c r="A7686" t="s">
        <v>8</v>
      </c>
      <c r="B7686" s="1" t="str">
        <f>"000120795 - RICH PIZZA DOUGH BB CORE-SODX"</f>
        <v>000120795 - RICH PIZZA DOUGH BB CORE-SODX</v>
      </c>
      <c r="C7686" t="s">
        <v>612</v>
      </c>
      <c r="D7686" s="1" t="str">
        <f t="shared" si="216"/>
        <v>PRG-1031196</v>
      </c>
      <c r="E7686" t="s">
        <v>181</v>
      </c>
      <c r="F7686" t="s">
        <v>4</v>
      </c>
      <c r="G7686" t="str">
        <f>""</f>
        <v/>
      </c>
    </row>
    <row r="7687" spans="1:7" x14ac:dyDescent="0.25">
      <c r="A7687" t="s">
        <v>8</v>
      </c>
      <c r="B7687" s="1" t="str">
        <f>"000120796 - RICH PIZZA DOUGH BB NCORE-SODX"</f>
        <v>000120796 - RICH PIZZA DOUGH BB NCORE-SODX</v>
      </c>
      <c r="C7687" t="s">
        <v>613</v>
      </c>
      <c r="D7687" s="1" t="str">
        <f t="shared" si="216"/>
        <v>PRG-1031196</v>
      </c>
      <c r="E7687" t="s">
        <v>181</v>
      </c>
      <c r="F7687" t="s">
        <v>4</v>
      </c>
      <c r="G7687" t="str">
        <f>""</f>
        <v/>
      </c>
    </row>
    <row r="7688" spans="1:7" x14ac:dyDescent="0.25">
      <c r="A7688" t="s">
        <v>8</v>
      </c>
      <c r="B7688" s="1" t="str">
        <f>"000122903 - RICHS PIZZA DOUGH CORE BB-SODX"</f>
        <v>000122903 - RICHS PIZZA DOUGH CORE BB-SODX</v>
      </c>
      <c r="C7688" t="s">
        <v>112</v>
      </c>
      <c r="D7688" s="1" t="str">
        <f t="shared" si="216"/>
        <v>PRG-1031196</v>
      </c>
      <c r="E7688" t="s">
        <v>181</v>
      </c>
      <c r="F7688" t="s">
        <v>4</v>
      </c>
      <c r="G7688" t="str">
        <f>""</f>
        <v/>
      </c>
    </row>
    <row r="7689" spans="1:7" x14ac:dyDescent="0.25">
      <c r="A7689" t="s">
        <v>8</v>
      </c>
      <c r="B7689" s="1" t="str">
        <f>"000122904 - RICH PIZZA DOUGH NCORE BB-SODX"</f>
        <v>000122904 - RICH PIZZA DOUGH NCORE BB-SODX</v>
      </c>
      <c r="C7689" t="s">
        <v>113</v>
      </c>
      <c r="D7689" s="1" t="str">
        <f t="shared" si="216"/>
        <v>PRG-1031196</v>
      </c>
      <c r="E7689" t="s">
        <v>181</v>
      </c>
      <c r="F7689" t="s">
        <v>4</v>
      </c>
      <c r="G7689" t="str">
        <f>""</f>
        <v/>
      </c>
    </row>
    <row r="7690" spans="1:7" x14ac:dyDescent="0.25">
      <c r="A7690" t="s">
        <v>8</v>
      </c>
      <c r="B7690" s="1" t="str">
        <f>"000125077 - RICH PIZZA &amp; ICING CBB-SODEXO"</f>
        <v>000125077 - RICH PIZZA &amp; ICING CBB-SODEXO</v>
      </c>
      <c r="C7690" t="s">
        <v>180</v>
      </c>
      <c r="D7690" s="1" t="str">
        <f t="shared" si="216"/>
        <v>PRG-1031196</v>
      </c>
      <c r="E7690" t="s">
        <v>181</v>
      </c>
      <c r="F7690" t="s">
        <v>4</v>
      </c>
      <c r="G7690" t="str">
        <f>""</f>
        <v/>
      </c>
    </row>
    <row r="7691" spans="1:7" x14ac:dyDescent="0.25">
      <c r="A7691" t="s">
        <v>8</v>
      </c>
      <c r="B7691" s="1" t="str">
        <f>"000125078 - RICH PIZZA &amp; ICING NCBB-SODEXO"</f>
        <v>000125078 - RICH PIZZA &amp; ICING NCBB-SODEXO</v>
      </c>
      <c r="C7691" t="s">
        <v>182</v>
      </c>
      <c r="D7691" s="1" t="str">
        <f t="shared" si="216"/>
        <v>PRG-1031196</v>
      </c>
      <c r="E7691" t="s">
        <v>181</v>
      </c>
      <c r="F7691" t="s">
        <v>4</v>
      </c>
      <c r="G7691" t="str">
        <f>""</f>
        <v/>
      </c>
    </row>
    <row r="7692" spans="1:7" x14ac:dyDescent="0.25">
      <c r="A7692" t="s">
        <v>8</v>
      </c>
      <c r="B7692" s="1" t="str">
        <f>"000130269 - RICH PIZZA &amp; ICING CBB-SODEXO"</f>
        <v>000130269 - RICH PIZZA &amp; ICING CBB-SODEXO</v>
      </c>
      <c r="C7692" t="s">
        <v>180</v>
      </c>
      <c r="D7692" s="1" t="str">
        <f t="shared" si="216"/>
        <v>PRG-1031196</v>
      </c>
      <c r="E7692" t="s">
        <v>181</v>
      </c>
      <c r="F7692" t="s">
        <v>4</v>
      </c>
      <c r="G7692" t="str">
        <f>""</f>
        <v/>
      </c>
    </row>
    <row r="7693" spans="1:7" x14ac:dyDescent="0.25">
      <c r="A7693" t="s">
        <v>8</v>
      </c>
      <c r="B7693" s="1" t="str">
        <f>"000130270 - RICH PIZZA &amp; ICING NCBB-SODEXO"</f>
        <v>000130270 - RICH PIZZA &amp; ICING NCBB-SODEXO</v>
      </c>
      <c r="C7693" t="s">
        <v>182</v>
      </c>
      <c r="D7693" s="1" t="str">
        <f t="shared" si="216"/>
        <v>PRG-1031196</v>
      </c>
      <c r="E7693" t="s">
        <v>181</v>
      </c>
      <c r="F7693" t="s">
        <v>4</v>
      </c>
      <c r="G7693" t="str">
        <f>""</f>
        <v/>
      </c>
    </row>
    <row r="7694" spans="1:7" x14ac:dyDescent="0.25">
      <c r="A7694" t="s">
        <v>8</v>
      </c>
      <c r="B7694" s="1" t="str">
        <f>"000130512 - RICHS PIZZA DGH &amp; ICING-SODEXO"</f>
        <v>000130512 - RICHS PIZZA DGH &amp; ICING-SODEXO</v>
      </c>
      <c r="C7694" t="s">
        <v>489</v>
      </c>
      <c r="D7694" s="1" t="str">
        <f t="shared" si="216"/>
        <v>PRG-1031196</v>
      </c>
      <c r="E7694" t="s">
        <v>181</v>
      </c>
      <c r="F7694" t="s">
        <v>4</v>
      </c>
      <c r="G7694" t="str">
        <f>""</f>
        <v/>
      </c>
    </row>
    <row r="7695" spans="1:7" x14ac:dyDescent="0.25">
      <c r="A7695" t="s">
        <v>8</v>
      </c>
      <c r="B7695" s="1" t="str">
        <f>"000132836 - RICHS PIZZA DOGH&amp;ICING CC-SODX"</f>
        <v>000132836 - RICHS PIZZA DOGH&amp;ICING CC-SODX</v>
      </c>
      <c r="C7695" t="s">
        <v>601</v>
      </c>
      <c r="D7695" s="1" t="str">
        <f t="shared" si="216"/>
        <v>PRG-1031196</v>
      </c>
      <c r="E7695" t="s">
        <v>181</v>
      </c>
      <c r="F7695" t="s">
        <v>4</v>
      </c>
      <c r="G7695" t="str">
        <f>""</f>
        <v/>
      </c>
    </row>
    <row r="7696" spans="1:7" x14ac:dyDescent="0.25">
      <c r="A7696" t="s">
        <v>8</v>
      </c>
      <c r="B7696" s="1" t="str">
        <f>"000134431 - RICH PIZZA DOUGH BB CORE-SODX"</f>
        <v>000134431 - RICH PIZZA DOUGH BB CORE-SODX</v>
      </c>
      <c r="C7696" t="s">
        <v>612</v>
      </c>
      <c r="D7696" s="1" t="str">
        <f t="shared" si="216"/>
        <v>PRG-1031196</v>
      </c>
      <c r="E7696" t="s">
        <v>181</v>
      </c>
      <c r="F7696" t="s">
        <v>4</v>
      </c>
      <c r="G7696" t="str">
        <f>""</f>
        <v/>
      </c>
    </row>
    <row r="7697" spans="1:7" x14ac:dyDescent="0.25">
      <c r="A7697" t="s">
        <v>8</v>
      </c>
      <c r="B7697" s="1" t="str">
        <f>"000134432 - RICH PIZZA DOUGH BB NCORE-SODX"</f>
        <v>000134432 - RICH PIZZA DOUGH BB NCORE-SODX</v>
      </c>
      <c r="C7697" t="s">
        <v>613</v>
      </c>
      <c r="D7697" s="1" t="str">
        <f t="shared" si="216"/>
        <v>PRG-1031196</v>
      </c>
      <c r="E7697" t="s">
        <v>181</v>
      </c>
      <c r="F7697" t="s">
        <v>4</v>
      </c>
      <c r="G7697" t="str">
        <f>""</f>
        <v/>
      </c>
    </row>
    <row r="7698" spans="1:7" x14ac:dyDescent="0.25">
      <c r="A7698" t="s">
        <v>8</v>
      </c>
      <c r="B7698" s="1" t="str">
        <f>"000134433 - RICH FDS-SODEXO-DC"</f>
        <v>000134433 - RICH FDS-SODEXO-DC</v>
      </c>
      <c r="C7698" t="s">
        <v>949</v>
      </c>
      <c r="D7698" s="1" t="str">
        <f t="shared" si="216"/>
        <v>PRG-1031196</v>
      </c>
      <c r="E7698" t="s">
        <v>181</v>
      </c>
      <c r="F7698" t="s">
        <v>4</v>
      </c>
      <c r="G7698" t="str">
        <f>""</f>
        <v/>
      </c>
    </row>
    <row r="7699" spans="1:7" x14ac:dyDescent="0.25">
      <c r="A7699" t="s">
        <v>8</v>
      </c>
      <c r="B7699" s="1" t="str">
        <f>"000137346 - RICHS PIZZA DOUGH CORE BB-SODX"</f>
        <v>000137346 - RICHS PIZZA DOUGH CORE BB-SODX</v>
      </c>
      <c r="C7699" t="s">
        <v>112</v>
      </c>
      <c r="D7699" s="1" t="str">
        <f t="shared" si="216"/>
        <v>PRG-1031196</v>
      </c>
      <c r="E7699" t="s">
        <v>181</v>
      </c>
      <c r="F7699" t="s">
        <v>4</v>
      </c>
      <c r="G7699" t="str">
        <f>""</f>
        <v/>
      </c>
    </row>
    <row r="7700" spans="1:7" x14ac:dyDescent="0.25">
      <c r="A7700" t="s">
        <v>8</v>
      </c>
      <c r="B7700" s="1" t="str">
        <f>"000137347 - RICH PIZZA DOUGH NCORE BB-SODX"</f>
        <v>000137347 - RICH PIZZA DOUGH NCORE BB-SODX</v>
      </c>
      <c r="C7700" t="s">
        <v>113</v>
      </c>
      <c r="D7700" s="1" t="str">
        <f t="shared" si="216"/>
        <v>PRG-1031196</v>
      </c>
      <c r="E7700" t="s">
        <v>181</v>
      </c>
      <c r="F7700" t="s">
        <v>4</v>
      </c>
      <c r="G7700" t="str">
        <f>""</f>
        <v/>
      </c>
    </row>
    <row r="7701" spans="1:7" x14ac:dyDescent="0.25">
      <c r="A7701" t="s">
        <v>8</v>
      </c>
      <c r="B7701" s="1" t="str">
        <f>"000137442 - RICHS PIZZA DOUGH BB-SODEXO"</f>
        <v>000137442 - RICHS PIZZA DOUGH BB-SODEXO</v>
      </c>
      <c r="C7701" t="s">
        <v>582</v>
      </c>
      <c r="D7701" s="1" t="str">
        <f t="shared" si="216"/>
        <v>PRG-1031196</v>
      </c>
      <c r="E7701" t="s">
        <v>181</v>
      </c>
      <c r="F7701" t="s">
        <v>4</v>
      </c>
      <c r="G7701" t="str">
        <f>""</f>
        <v/>
      </c>
    </row>
    <row r="7702" spans="1:7" x14ac:dyDescent="0.25">
      <c r="A7702" t="s">
        <v>8</v>
      </c>
      <c r="B7702" s="1" t="str">
        <f>"000140070 - "</f>
        <v xml:space="preserve">000140070 - </v>
      </c>
      <c r="D7702" s="1" t="str">
        <f t="shared" si="216"/>
        <v>PRG-1031196</v>
      </c>
      <c r="E7702" t="s">
        <v>181</v>
      </c>
      <c r="F7702" t="s">
        <v>4</v>
      </c>
      <c r="G7702" t="str">
        <f>""</f>
        <v/>
      </c>
    </row>
    <row r="7703" spans="1:7" x14ac:dyDescent="0.25">
      <c r="A7703" t="s">
        <v>8</v>
      </c>
      <c r="B7703" s="1" t="str">
        <f>"000141300 - RICHS PIZZA DOUGH BB-SODEXO"</f>
        <v>000141300 - RICHS PIZZA DOUGH BB-SODEXO</v>
      </c>
      <c r="C7703" t="s">
        <v>582</v>
      </c>
      <c r="D7703" s="1" t="str">
        <f t="shared" si="216"/>
        <v>PRG-1031196</v>
      </c>
      <c r="E7703" t="s">
        <v>181</v>
      </c>
      <c r="F7703" t="s">
        <v>4</v>
      </c>
      <c r="G7703" t="str">
        <f>""</f>
        <v/>
      </c>
    </row>
    <row r="7704" spans="1:7" x14ac:dyDescent="0.25">
      <c r="A7704" t="s">
        <v>8</v>
      </c>
      <c r="B7704" s="1" t="str">
        <f>"000141419 - "</f>
        <v xml:space="preserve">000141419 - </v>
      </c>
      <c r="D7704" s="1" t="str">
        <f t="shared" si="216"/>
        <v>PRG-1031196</v>
      </c>
      <c r="E7704" t="s">
        <v>181</v>
      </c>
      <c r="F7704" t="s">
        <v>4</v>
      </c>
      <c r="G7704" t="str">
        <f>""</f>
        <v/>
      </c>
    </row>
    <row r="7705" spans="1:7" x14ac:dyDescent="0.25">
      <c r="A7705" t="s">
        <v>8</v>
      </c>
      <c r="B7705" s="1" t="str">
        <f>"000141636 - RICHS PIZZA DOGH&amp;ICING CC-SODX"</f>
        <v>000141636 - RICHS PIZZA DOGH&amp;ICING CC-SODX</v>
      </c>
      <c r="C7705" t="s">
        <v>601</v>
      </c>
      <c r="D7705" s="1" t="str">
        <f t="shared" si="216"/>
        <v>PRG-1031196</v>
      </c>
      <c r="E7705" t="s">
        <v>181</v>
      </c>
      <c r="F7705" t="s">
        <v>4</v>
      </c>
      <c r="G7705" t="str">
        <f>""</f>
        <v/>
      </c>
    </row>
    <row r="7706" spans="1:7" x14ac:dyDescent="0.25">
      <c r="A7706" t="s">
        <v>8</v>
      </c>
      <c r="B7706" s="1" t="str">
        <f>"000143524 - RICH PIZZA DOUGH BB CORE-SODX"</f>
        <v>000143524 - RICH PIZZA DOUGH BB CORE-SODX</v>
      </c>
      <c r="C7706" t="s">
        <v>612</v>
      </c>
      <c r="D7706" s="1" t="str">
        <f t="shared" si="216"/>
        <v>PRG-1031196</v>
      </c>
      <c r="E7706" t="s">
        <v>181</v>
      </c>
      <c r="F7706" t="s">
        <v>4</v>
      </c>
      <c r="G7706" t="str">
        <f>""</f>
        <v/>
      </c>
    </row>
    <row r="7707" spans="1:7" x14ac:dyDescent="0.25">
      <c r="A7707" t="s">
        <v>8</v>
      </c>
      <c r="B7707" s="1" t="str">
        <f>"000143525 - RICH PIZZA DOUGH BB NCORE-SODX"</f>
        <v>000143525 - RICH PIZZA DOUGH BB NCORE-SODX</v>
      </c>
      <c r="C7707" t="s">
        <v>613</v>
      </c>
      <c r="D7707" s="1" t="str">
        <f t="shared" si="216"/>
        <v>PRG-1031196</v>
      </c>
      <c r="E7707" t="s">
        <v>181</v>
      </c>
      <c r="F7707" t="s">
        <v>4</v>
      </c>
      <c r="G7707" t="str">
        <f>""</f>
        <v/>
      </c>
    </row>
    <row r="7708" spans="1:7" x14ac:dyDescent="0.25">
      <c r="A7708" t="s">
        <v>8</v>
      </c>
      <c r="B7708" s="1" t="str">
        <f>"000143526 - RICH PIZZA DOUGH BB CORE-SODX"</f>
        <v>000143526 - RICH PIZZA DOUGH BB CORE-SODX</v>
      </c>
      <c r="C7708" t="s">
        <v>612</v>
      </c>
      <c r="D7708" s="1" t="str">
        <f t="shared" si="216"/>
        <v>PRG-1031196</v>
      </c>
      <c r="E7708" t="s">
        <v>181</v>
      </c>
      <c r="F7708" t="s">
        <v>4</v>
      </c>
      <c r="G7708" t="str">
        <f>""</f>
        <v/>
      </c>
    </row>
    <row r="7709" spans="1:7" x14ac:dyDescent="0.25">
      <c r="A7709" t="s">
        <v>8</v>
      </c>
      <c r="B7709" s="1" t="str">
        <f>"000143527 - RICH PIZZA DOUGH BB NCORE-SODX"</f>
        <v>000143527 - RICH PIZZA DOUGH BB NCORE-SODX</v>
      </c>
      <c r="C7709" t="s">
        <v>613</v>
      </c>
      <c r="D7709" s="1" t="str">
        <f t="shared" si="216"/>
        <v>PRG-1031196</v>
      </c>
      <c r="E7709" t="s">
        <v>181</v>
      </c>
      <c r="F7709" t="s">
        <v>4</v>
      </c>
      <c r="G7709" t="str">
        <f>""</f>
        <v/>
      </c>
    </row>
    <row r="7710" spans="1:7" x14ac:dyDescent="0.25">
      <c r="A7710" t="s">
        <v>8</v>
      </c>
      <c r="B7710" s="1" t="str">
        <f>"000143770 - "</f>
        <v xml:space="preserve">000143770 - </v>
      </c>
      <c r="D7710" s="1" t="str">
        <f t="shared" si="216"/>
        <v>PRG-1031196</v>
      </c>
      <c r="E7710" t="s">
        <v>181</v>
      </c>
      <c r="F7710" t="s">
        <v>4</v>
      </c>
      <c r="G7710" t="str">
        <f>""</f>
        <v/>
      </c>
    </row>
    <row r="7711" spans="1:7" x14ac:dyDescent="0.25">
      <c r="A7711" t="s">
        <v>8</v>
      </c>
      <c r="B7711" s="1" t="str">
        <f>"000143771 - "</f>
        <v xml:space="preserve">000143771 - </v>
      </c>
      <c r="D7711" s="1" t="str">
        <f t="shared" si="216"/>
        <v>PRG-1031196</v>
      </c>
      <c r="E7711" t="s">
        <v>181</v>
      </c>
      <c r="F7711" t="s">
        <v>4</v>
      </c>
      <c r="G7711" t="str">
        <f>""</f>
        <v/>
      </c>
    </row>
    <row r="7712" spans="1:7" x14ac:dyDescent="0.25">
      <c r="A7712" t="s">
        <v>8</v>
      </c>
      <c r="B7712" s="1" t="str">
        <f>"000144219 - "</f>
        <v xml:space="preserve">000144219 - </v>
      </c>
      <c r="D7712" s="1" t="str">
        <f t="shared" si="216"/>
        <v>PRG-1031196</v>
      </c>
      <c r="E7712" t="s">
        <v>181</v>
      </c>
      <c r="F7712" t="s">
        <v>4</v>
      </c>
      <c r="G7712" t="str">
        <f>""</f>
        <v/>
      </c>
    </row>
    <row r="7713" spans="1:7" x14ac:dyDescent="0.25">
      <c r="A7713" t="s">
        <v>8</v>
      </c>
      <c r="B7713" s="1" t="str">
        <f>"000145887 - "</f>
        <v xml:space="preserve">000145887 - </v>
      </c>
      <c r="D7713" s="1" t="str">
        <f t="shared" si="216"/>
        <v>PRG-1031196</v>
      </c>
      <c r="E7713" t="s">
        <v>181</v>
      </c>
      <c r="F7713" t="s">
        <v>4</v>
      </c>
      <c r="G7713" t="str">
        <f>""</f>
        <v/>
      </c>
    </row>
    <row r="7714" spans="1:7" x14ac:dyDescent="0.25">
      <c r="A7714" t="s">
        <v>8</v>
      </c>
      <c r="B7714" s="1" t="str">
        <f>"000145888 - "</f>
        <v xml:space="preserve">000145888 - </v>
      </c>
      <c r="D7714" s="1" t="str">
        <f t="shared" ref="D7714:D7777" si="217">"PRG-1031196"</f>
        <v>PRG-1031196</v>
      </c>
      <c r="E7714" t="s">
        <v>181</v>
      </c>
      <c r="F7714" t="s">
        <v>4</v>
      </c>
      <c r="G7714" t="str">
        <f>""</f>
        <v/>
      </c>
    </row>
    <row r="7715" spans="1:7" x14ac:dyDescent="0.25">
      <c r="A7715" t="s">
        <v>8</v>
      </c>
      <c r="B7715" s="1" t="str">
        <f>"000146040 - RICHS PIZZA DOUGH CORE BB-SODX"</f>
        <v>000146040 - RICHS PIZZA DOUGH CORE BB-SODX</v>
      </c>
      <c r="C7715" t="s">
        <v>112</v>
      </c>
      <c r="D7715" s="1" t="str">
        <f t="shared" si="217"/>
        <v>PRG-1031196</v>
      </c>
      <c r="E7715" t="s">
        <v>181</v>
      </c>
      <c r="F7715" t="s">
        <v>4</v>
      </c>
      <c r="G7715" t="str">
        <f>""</f>
        <v/>
      </c>
    </row>
    <row r="7716" spans="1:7" x14ac:dyDescent="0.25">
      <c r="A7716" t="s">
        <v>8</v>
      </c>
      <c r="B7716" s="1" t="str">
        <f>"000146041 - RICH PIZZA DOUGH NCORE BB-SODX"</f>
        <v>000146041 - RICH PIZZA DOUGH NCORE BB-SODX</v>
      </c>
      <c r="C7716" t="s">
        <v>113</v>
      </c>
      <c r="D7716" s="1" t="str">
        <f t="shared" si="217"/>
        <v>PRG-1031196</v>
      </c>
      <c r="E7716" t="s">
        <v>181</v>
      </c>
      <c r="F7716" t="s">
        <v>4</v>
      </c>
      <c r="G7716" t="str">
        <f>""</f>
        <v/>
      </c>
    </row>
    <row r="7717" spans="1:7" x14ac:dyDescent="0.25">
      <c r="A7717" t="s">
        <v>8</v>
      </c>
      <c r="B7717" s="1" t="str">
        <f>"000146723 - RICH PIZZA &amp; ICING CBB-SODEXO"</f>
        <v>000146723 - RICH PIZZA &amp; ICING CBB-SODEXO</v>
      </c>
      <c r="C7717" t="s">
        <v>180</v>
      </c>
      <c r="D7717" s="1" t="str">
        <f t="shared" si="217"/>
        <v>PRG-1031196</v>
      </c>
      <c r="E7717" t="s">
        <v>181</v>
      </c>
      <c r="F7717" t="s">
        <v>4</v>
      </c>
      <c r="G7717" t="str">
        <f>""</f>
        <v/>
      </c>
    </row>
    <row r="7718" spans="1:7" x14ac:dyDescent="0.25">
      <c r="A7718" t="s">
        <v>8</v>
      </c>
      <c r="B7718" s="1" t="str">
        <f>"000146724 - RICH PIZZA &amp; ICING NCBB-SODEXO"</f>
        <v>000146724 - RICH PIZZA &amp; ICING NCBB-SODEXO</v>
      </c>
      <c r="C7718" t="s">
        <v>182</v>
      </c>
      <c r="D7718" s="1" t="str">
        <f t="shared" si="217"/>
        <v>PRG-1031196</v>
      </c>
      <c r="E7718" t="s">
        <v>181</v>
      </c>
      <c r="F7718" t="s">
        <v>4</v>
      </c>
      <c r="G7718" t="str">
        <f>""</f>
        <v/>
      </c>
    </row>
    <row r="7719" spans="1:7" x14ac:dyDescent="0.25">
      <c r="A7719" t="s">
        <v>8</v>
      </c>
      <c r="B7719" s="1" t="str">
        <f>"000148127 - "</f>
        <v xml:space="preserve">000148127 - </v>
      </c>
      <c r="D7719" s="1" t="str">
        <f t="shared" si="217"/>
        <v>PRG-1031196</v>
      </c>
      <c r="E7719" t="s">
        <v>181</v>
      </c>
      <c r="F7719" t="s">
        <v>4</v>
      </c>
      <c r="G7719" t="str">
        <f>""</f>
        <v/>
      </c>
    </row>
    <row r="7720" spans="1:7" x14ac:dyDescent="0.25">
      <c r="A7720" t="s">
        <v>8</v>
      </c>
      <c r="B7720" s="1" t="str">
        <f>"000148128 - "</f>
        <v xml:space="preserve">000148128 - </v>
      </c>
      <c r="D7720" s="1" t="str">
        <f t="shared" si="217"/>
        <v>PRG-1031196</v>
      </c>
      <c r="E7720" t="s">
        <v>181</v>
      </c>
      <c r="F7720" t="s">
        <v>4</v>
      </c>
      <c r="G7720" t="str">
        <f>""</f>
        <v/>
      </c>
    </row>
    <row r="7721" spans="1:7" x14ac:dyDescent="0.25">
      <c r="A7721" t="s">
        <v>8</v>
      </c>
      <c r="B7721" s="1" t="str">
        <f>"000151054 - RICH PIZZA &amp; ICING CBB-SODEXO"</f>
        <v>000151054 - RICH PIZZA &amp; ICING CBB-SODEXO</v>
      </c>
      <c r="C7721" t="s">
        <v>180</v>
      </c>
      <c r="D7721" s="1" t="str">
        <f t="shared" si="217"/>
        <v>PRG-1031196</v>
      </c>
      <c r="E7721" t="s">
        <v>181</v>
      </c>
      <c r="F7721" t="s">
        <v>4</v>
      </c>
      <c r="G7721" t="str">
        <f>""</f>
        <v/>
      </c>
    </row>
    <row r="7722" spans="1:7" x14ac:dyDescent="0.25">
      <c r="A7722" t="s">
        <v>8</v>
      </c>
      <c r="B7722" s="1" t="str">
        <f>"000151055 - RICH PIZZA &amp; ICING NCBB-SODEXO"</f>
        <v>000151055 - RICH PIZZA &amp; ICING NCBB-SODEXO</v>
      </c>
      <c r="C7722" t="s">
        <v>182</v>
      </c>
      <c r="D7722" s="1" t="str">
        <f t="shared" si="217"/>
        <v>PRG-1031196</v>
      </c>
      <c r="E7722" t="s">
        <v>181</v>
      </c>
      <c r="F7722" t="s">
        <v>4</v>
      </c>
      <c r="G7722" t="str">
        <f>""</f>
        <v/>
      </c>
    </row>
    <row r="7723" spans="1:7" x14ac:dyDescent="0.25">
      <c r="A7723" t="s">
        <v>8</v>
      </c>
      <c r="B7723" s="1" t="str">
        <f>"000154975 - RICH PIZZA &amp; ICING CBB-SODEXO"</f>
        <v>000154975 - RICH PIZZA &amp; ICING CBB-SODEXO</v>
      </c>
      <c r="C7723" t="s">
        <v>180</v>
      </c>
      <c r="D7723" s="1" t="str">
        <f t="shared" si="217"/>
        <v>PRG-1031196</v>
      </c>
      <c r="E7723" t="s">
        <v>181</v>
      </c>
      <c r="F7723" t="s">
        <v>4</v>
      </c>
      <c r="G7723" t="str">
        <f>""</f>
        <v/>
      </c>
    </row>
    <row r="7724" spans="1:7" x14ac:dyDescent="0.25">
      <c r="A7724" t="s">
        <v>8</v>
      </c>
      <c r="B7724" s="1" t="str">
        <f>"000154976 - RICH PIZZA &amp; ICING NCBB-SODEXO"</f>
        <v>000154976 - RICH PIZZA &amp; ICING NCBB-SODEXO</v>
      </c>
      <c r="C7724" t="s">
        <v>182</v>
      </c>
      <c r="D7724" s="1" t="str">
        <f t="shared" si="217"/>
        <v>PRG-1031196</v>
      </c>
      <c r="E7724" t="s">
        <v>181</v>
      </c>
      <c r="F7724" t="s">
        <v>4</v>
      </c>
      <c r="G7724" t="str">
        <f>""</f>
        <v/>
      </c>
    </row>
    <row r="7725" spans="1:7" x14ac:dyDescent="0.25">
      <c r="A7725" t="s">
        <v>8</v>
      </c>
      <c r="B7725" s="1" t="str">
        <f>"000155911 - RICH PIZZA &amp; ICING CBB-SODEXO"</f>
        <v>000155911 - RICH PIZZA &amp; ICING CBB-SODEXO</v>
      </c>
      <c r="C7725" t="s">
        <v>180</v>
      </c>
      <c r="D7725" s="1" t="str">
        <f t="shared" si="217"/>
        <v>PRG-1031196</v>
      </c>
      <c r="E7725" t="s">
        <v>181</v>
      </c>
      <c r="F7725" t="s">
        <v>4</v>
      </c>
      <c r="G7725" t="str">
        <f>""</f>
        <v/>
      </c>
    </row>
    <row r="7726" spans="1:7" x14ac:dyDescent="0.25">
      <c r="A7726" t="s">
        <v>8</v>
      </c>
      <c r="B7726" s="1" t="str">
        <f>"000155912 - RICH PIZZA &amp; ICING NCBB-SODEXO"</f>
        <v>000155912 - RICH PIZZA &amp; ICING NCBB-SODEXO</v>
      </c>
      <c r="C7726" t="s">
        <v>182</v>
      </c>
      <c r="D7726" s="1" t="str">
        <f t="shared" si="217"/>
        <v>PRG-1031196</v>
      </c>
      <c r="E7726" t="s">
        <v>181</v>
      </c>
      <c r="F7726" t="s">
        <v>4</v>
      </c>
      <c r="G7726" t="str">
        <f>""</f>
        <v/>
      </c>
    </row>
    <row r="7727" spans="1:7" x14ac:dyDescent="0.25">
      <c r="A7727" t="s">
        <v>8</v>
      </c>
      <c r="B7727" s="1" t="str">
        <f>"000156455 - RICHS PIZZA DOUGH BB-SODEXO"</f>
        <v>000156455 - RICHS PIZZA DOUGH BB-SODEXO</v>
      </c>
      <c r="C7727" t="s">
        <v>582</v>
      </c>
      <c r="D7727" s="1" t="str">
        <f t="shared" si="217"/>
        <v>PRG-1031196</v>
      </c>
      <c r="E7727" t="s">
        <v>181</v>
      </c>
      <c r="F7727" t="s">
        <v>4</v>
      </c>
      <c r="G7727" t="str">
        <f>""</f>
        <v/>
      </c>
    </row>
    <row r="7728" spans="1:7" x14ac:dyDescent="0.25">
      <c r="A7728" t="s">
        <v>8</v>
      </c>
      <c r="B7728" s="1" t="str">
        <f>"000159443 - "</f>
        <v xml:space="preserve">000159443 - </v>
      </c>
      <c r="D7728" s="1" t="str">
        <f t="shared" si="217"/>
        <v>PRG-1031196</v>
      </c>
      <c r="E7728" t="s">
        <v>181</v>
      </c>
      <c r="F7728" t="s">
        <v>4</v>
      </c>
      <c r="G7728" t="str">
        <f>""</f>
        <v/>
      </c>
    </row>
    <row r="7729" spans="1:7" x14ac:dyDescent="0.25">
      <c r="A7729" t="s">
        <v>8</v>
      </c>
      <c r="B7729" s="1" t="str">
        <f>"000161060 - "</f>
        <v xml:space="preserve">000161060 - </v>
      </c>
      <c r="D7729" s="1" t="str">
        <f t="shared" si="217"/>
        <v>PRG-1031196</v>
      </c>
      <c r="E7729" t="s">
        <v>181</v>
      </c>
      <c r="F7729" t="s">
        <v>4</v>
      </c>
      <c r="G7729" t="str">
        <f>""</f>
        <v/>
      </c>
    </row>
    <row r="7730" spans="1:7" x14ac:dyDescent="0.25">
      <c r="A7730" t="s">
        <v>8</v>
      </c>
      <c r="B7730" s="1" t="str">
        <f>"000161061 - "</f>
        <v xml:space="preserve">000161061 - </v>
      </c>
      <c r="D7730" s="1" t="str">
        <f t="shared" si="217"/>
        <v>PRG-1031196</v>
      </c>
      <c r="E7730" t="s">
        <v>181</v>
      </c>
      <c r="F7730" t="s">
        <v>4</v>
      </c>
      <c r="G7730" t="str">
        <f>""</f>
        <v/>
      </c>
    </row>
    <row r="7731" spans="1:7" x14ac:dyDescent="0.25">
      <c r="A7731" t="s">
        <v>8</v>
      </c>
      <c r="B7731" s="1" t="str">
        <f>"000163838 - "</f>
        <v xml:space="preserve">000163838 - </v>
      </c>
      <c r="D7731" s="1" t="str">
        <f t="shared" si="217"/>
        <v>PRG-1031196</v>
      </c>
      <c r="E7731" t="s">
        <v>181</v>
      </c>
      <c r="F7731" t="s">
        <v>4</v>
      </c>
      <c r="G7731" t="str">
        <f>""</f>
        <v/>
      </c>
    </row>
    <row r="7732" spans="1:7" x14ac:dyDescent="0.25">
      <c r="A7732" t="s">
        <v>8</v>
      </c>
      <c r="B7732" s="1" t="str">
        <f>"000163839 - "</f>
        <v xml:space="preserve">000163839 - </v>
      </c>
      <c r="D7732" s="1" t="str">
        <f t="shared" si="217"/>
        <v>PRG-1031196</v>
      </c>
      <c r="E7732" t="s">
        <v>181</v>
      </c>
      <c r="F7732" t="s">
        <v>4</v>
      </c>
      <c r="G7732" t="str">
        <f>""</f>
        <v/>
      </c>
    </row>
    <row r="7733" spans="1:7" x14ac:dyDescent="0.25">
      <c r="A7733" t="s">
        <v>8</v>
      </c>
      <c r="B7733" s="1" t="str">
        <f>"000173292 - RICH PIZZA &amp; ICING CBB-SODEXO"</f>
        <v>000173292 - RICH PIZZA &amp; ICING CBB-SODEXO</v>
      </c>
      <c r="C7733" t="s">
        <v>180</v>
      </c>
      <c r="D7733" s="1" t="str">
        <f t="shared" si="217"/>
        <v>PRG-1031196</v>
      </c>
      <c r="E7733" t="s">
        <v>181</v>
      </c>
      <c r="F7733" t="s">
        <v>4</v>
      </c>
      <c r="G7733" t="str">
        <f>""</f>
        <v/>
      </c>
    </row>
    <row r="7734" spans="1:7" x14ac:dyDescent="0.25">
      <c r="A7734" t="s">
        <v>8</v>
      </c>
      <c r="B7734" s="1" t="str">
        <f>"000173293 - RICH PIZZA &amp; ICING NCBB-SODEXO"</f>
        <v>000173293 - RICH PIZZA &amp; ICING NCBB-SODEXO</v>
      </c>
      <c r="C7734" t="s">
        <v>182</v>
      </c>
      <c r="D7734" s="1" t="str">
        <f t="shared" si="217"/>
        <v>PRG-1031196</v>
      </c>
      <c r="E7734" t="s">
        <v>181</v>
      </c>
      <c r="F7734" t="s">
        <v>4</v>
      </c>
      <c r="G7734" t="str">
        <f>""</f>
        <v/>
      </c>
    </row>
    <row r="7735" spans="1:7" x14ac:dyDescent="0.25">
      <c r="A7735" t="s">
        <v>8</v>
      </c>
      <c r="B7735" s="1" t="str">
        <f>"000182620 - RICHS PIZZA DOUGH BB-SODEXO"</f>
        <v>000182620 - RICHS PIZZA DOUGH BB-SODEXO</v>
      </c>
      <c r="C7735" t="s">
        <v>582</v>
      </c>
      <c r="D7735" s="1" t="str">
        <f t="shared" si="217"/>
        <v>PRG-1031196</v>
      </c>
      <c r="E7735" t="s">
        <v>181</v>
      </c>
      <c r="F7735" t="s">
        <v>4</v>
      </c>
      <c r="G7735" t="str">
        <f>""</f>
        <v/>
      </c>
    </row>
    <row r="7736" spans="1:7" x14ac:dyDescent="0.25">
      <c r="A7736" t="s">
        <v>8</v>
      </c>
      <c r="B7736" s="1" t="str">
        <f>"000196955 - RICH PIZZA &amp; ICING CBB-SODEXO"</f>
        <v>000196955 - RICH PIZZA &amp; ICING CBB-SODEXO</v>
      </c>
      <c r="C7736" t="s">
        <v>180</v>
      </c>
      <c r="D7736" s="1" t="str">
        <f t="shared" si="217"/>
        <v>PRG-1031196</v>
      </c>
      <c r="E7736" t="s">
        <v>181</v>
      </c>
      <c r="F7736" t="s">
        <v>4</v>
      </c>
      <c r="G7736" t="str">
        <f>""</f>
        <v/>
      </c>
    </row>
    <row r="7737" spans="1:7" x14ac:dyDescent="0.25">
      <c r="A7737" t="s">
        <v>8</v>
      </c>
      <c r="B7737" s="1" t="str">
        <f>"000196956 - RICH PIZZA &amp; ICING NCBB-SODEXO"</f>
        <v>000196956 - RICH PIZZA &amp; ICING NCBB-SODEXO</v>
      </c>
      <c r="C7737" t="s">
        <v>182</v>
      </c>
      <c r="D7737" s="1" t="str">
        <f t="shared" si="217"/>
        <v>PRG-1031196</v>
      </c>
      <c r="E7737" t="s">
        <v>181</v>
      </c>
      <c r="F7737" t="s">
        <v>4</v>
      </c>
      <c r="G7737" t="str">
        <f>""</f>
        <v/>
      </c>
    </row>
    <row r="7738" spans="1:7" x14ac:dyDescent="0.25">
      <c r="A7738" t="s">
        <v>8</v>
      </c>
      <c r="B7738" s="1" t="str">
        <f>"000200197 - RICHS PIZZA DOGH&amp;ICING CC-SODX"</f>
        <v>000200197 - RICHS PIZZA DOGH&amp;ICING CC-SODX</v>
      </c>
      <c r="C7738" t="s">
        <v>601</v>
      </c>
      <c r="D7738" s="1" t="str">
        <f t="shared" si="217"/>
        <v>PRG-1031196</v>
      </c>
      <c r="E7738" t="s">
        <v>181</v>
      </c>
      <c r="F7738" t="s">
        <v>4</v>
      </c>
      <c r="G7738" t="str">
        <f>""</f>
        <v/>
      </c>
    </row>
    <row r="7739" spans="1:7" x14ac:dyDescent="0.25">
      <c r="A7739" t="s">
        <v>8</v>
      </c>
      <c r="B7739" s="1" t="str">
        <f>"000201071 - RICHS PIZZA DOGH&amp;ICING CC-SODX"</f>
        <v>000201071 - RICHS PIZZA DOGH&amp;ICING CC-SODX</v>
      </c>
      <c r="C7739" t="s">
        <v>601</v>
      </c>
      <c r="D7739" s="1" t="str">
        <f t="shared" si="217"/>
        <v>PRG-1031196</v>
      </c>
      <c r="E7739" t="s">
        <v>181</v>
      </c>
      <c r="F7739" t="s">
        <v>4</v>
      </c>
      <c r="G7739" t="str">
        <f>""</f>
        <v/>
      </c>
    </row>
    <row r="7740" spans="1:7" x14ac:dyDescent="0.25">
      <c r="A7740" t="s">
        <v>8</v>
      </c>
      <c r="B7740" s="1" t="str">
        <f>"000201980 - RICH PIZZA DOUGH BB CORE-SODX"</f>
        <v>000201980 - RICH PIZZA DOUGH BB CORE-SODX</v>
      </c>
      <c r="C7740" t="s">
        <v>612</v>
      </c>
      <c r="D7740" s="1" t="str">
        <f t="shared" si="217"/>
        <v>PRG-1031196</v>
      </c>
      <c r="E7740" t="s">
        <v>181</v>
      </c>
      <c r="F7740" t="s">
        <v>4</v>
      </c>
      <c r="G7740" t="str">
        <f>""</f>
        <v/>
      </c>
    </row>
    <row r="7741" spans="1:7" x14ac:dyDescent="0.25">
      <c r="A7741" t="s">
        <v>8</v>
      </c>
      <c r="B7741" s="1" t="str">
        <f>"000201981 - RICH PIZZA DOUGH BB NCORE-SODX"</f>
        <v>000201981 - RICH PIZZA DOUGH BB NCORE-SODX</v>
      </c>
      <c r="C7741" t="s">
        <v>613</v>
      </c>
      <c r="D7741" s="1" t="str">
        <f t="shared" si="217"/>
        <v>PRG-1031196</v>
      </c>
      <c r="E7741" t="s">
        <v>181</v>
      </c>
      <c r="F7741" t="s">
        <v>4</v>
      </c>
      <c r="G7741" t="str">
        <f>""</f>
        <v/>
      </c>
    </row>
    <row r="7742" spans="1:7" x14ac:dyDescent="0.25">
      <c r="A7742" t="s">
        <v>8</v>
      </c>
      <c r="B7742" s="1" t="str">
        <f>"000202112 - (L)RICH PDGH BB NC(SOD-201981"</f>
        <v>000202112 - (L)RICH PDGH BB NC(SOD-201981</v>
      </c>
      <c r="C7742" t="s">
        <v>1322</v>
      </c>
      <c r="D7742" s="1" t="str">
        <f t="shared" si="217"/>
        <v>PRG-1031196</v>
      </c>
      <c r="E7742" t="s">
        <v>181</v>
      </c>
      <c r="F7742" t="s">
        <v>4</v>
      </c>
      <c r="G7742" t="str">
        <f>""</f>
        <v/>
      </c>
    </row>
    <row r="7743" spans="1:7" x14ac:dyDescent="0.25">
      <c r="A7743" t="s">
        <v>8</v>
      </c>
      <c r="B7743" s="1" t="str">
        <f>"000202113 - (L)RICH PDGH BB C(SOD-201980)"</f>
        <v>000202113 - (L)RICH PDGH BB C(SOD-201980)</v>
      </c>
      <c r="C7743" t="s">
        <v>1323</v>
      </c>
      <c r="D7743" s="1" t="str">
        <f t="shared" si="217"/>
        <v>PRG-1031196</v>
      </c>
      <c r="E7743" t="s">
        <v>181</v>
      </c>
      <c r="F7743" t="s">
        <v>4</v>
      </c>
      <c r="G7743" t="str">
        <f>""</f>
        <v/>
      </c>
    </row>
    <row r="7744" spans="1:7" x14ac:dyDescent="0.25">
      <c r="A7744" t="s">
        <v>8</v>
      </c>
      <c r="B7744" s="1" t="str">
        <f>"000203386 - RICH PIZZA DOUGH BB CORE-SODX"</f>
        <v>000203386 - RICH PIZZA DOUGH BB CORE-SODX</v>
      </c>
      <c r="C7744" t="s">
        <v>612</v>
      </c>
      <c r="D7744" s="1" t="str">
        <f t="shared" si="217"/>
        <v>PRG-1031196</v>
      </c>
      <c r="E7744" t="s">
        <v>181</v>
      </c>
      <c r="F7744" t="s">
        <v>4</v>
      </c>
      <c r="G7744" t="str">
        <f>""</f>
        <v/>
      </c>
    </row>
    <row r="7745" spans="1:7" x14ac:dyDescent="0.25">
      <c r="A7745" t="s">
        <v>8</v>
      </c>
      <c r="B7745" s="1" t="str">
        <f>"000203387 - RICH PIZZA DOUGH BB NCORE-SODX"</f>
        <v>000203387 - RICH PIZZA DOUGH BB NCORE-SODX</v>
      </c>
      <c r="C7745" t="s">
        <v>613</v>
      </c>
      <c r="D7745" s="1" t="str">
        <f t="shared" si="217"/>
        <v>PRG-1031196</v>
      </c>
      <c r="E7745" t="s">
        <v>181</v>
      </c>
      <c r="F7745" t="s">
        <v>4</v>
      </c>
      <c r="G7745" t="str">
        <f>""</f>
        <v/>
      </c>
    </row>
    <row r="7746" spans="1:7" x14ac:dyDescent="0.25">
      <c r="A7746" t="s">
        <v>8</v>
      </c>
      <c r="B7746" s="1" t="str">
        <f>"000203851 - RICHS PIZZA DOUGH BB-SODEXO"</f>
        <v>000203851 - RICHS PIZZA DOUGH BB-SODEXO</v>
      </c>
      <c r="C7746" t="s">
        <v>582</v>
      </c>
      <c r="D7746" s="1" t="str">
        <f t="shared" si="217"/>
        <v>PRG-1031196</v>
      </c>
      <c r="E7746" t="s">
        <v>181</v>
      </c>
      <c r="F7746" t="s">
        <v>4</v>
      </c>
      <c r="G7746" t="str">
        <f>""</f>
        <v/>
      </c>
    </row>
    <row r="7747" spans="1:7" x14ac:dyDescent="0.25">
      <c r="A7747" t="s">
        <v>8</v>
      </c>
      <c r="B7747" s="1" t="str">
        <f>"000204810 - RICHS PIZZA DOUGH CORE BB-SODX"</f>
        <v>000204810 - RICHS PIZZA DOUGH CORE BB-SODX</v>
      </c>
      <c r="C7747" t="s">
        <v>112</v>
      </c>
      <c r="D7747" s="1" t="str">
        <f t="shared" si="217"/>
        <v>PRG-1031196</v>
      </c>
      <c r="E7747" t="s">
        <v>181</v>
      </c>
      <c r="F7747" t="s">
        <v>4</v>
      </c>
      <c r="G7747" t="str">
        <f>""</f>
        <v/>
      </c>
    </row>
    <row r="7748" spans="1:7" x14ac:dyDescent="0.25">
      <c r="A7748" t="s">
        <v>8</v>
      </c>
      <c r="B7748" s="1" t="str">
        <f>"000204811 - RICH PIZZA DOUGH NCORE BB-SODX"</f>
        <v>000204811 - RICH PIZZA DOUGH NCORE BB-SODX</v>
      </c>
      <c r="C7748" t="s">
        <v>113</v>
      </c>
      <c r="D7748" s="1" t="str">
        <f t="shared" si="217"/>
        <v>PRG-1031196</v>
      </c>
      <c r="E7748" t="s">
        <v>181</v>
      </c>
      <c r="F7748" t="s">
        <v>4</v>
      </c>
      <c r="G7748" t="str">
        <f>""</f>
        <v/>
      </c>
    </row>
    <row r="7749" spans="1:7" x14ac:dyDescent="0.25">
      <c r="A7749" t="s">
        <v>8</v>
      </c>
      <c r="B7749" s="1" t="str">
        <f>"000206606 - RICHS PIZZA DOUGH CORE BB-SODX"</f>
        <v>000206606 - RICHS PIZZA DOUGH CORE BB-SODX</v>
      </c>
      <c r="C7749" t="s">
        <v>112</v>
      </c>
      <c r="D7749" s="1" t="str">
        <f t="shared" si="217"/>
        <v>PRG-1031196</v>
      </c>
      <c r="E7749" t="s">
        <v>181</v>
      </c>
      <c r="F7749" t="s">
        <v>4</v>
      </c>
      <c r="G7749" t="str">
        <f>""</f>
        <v/>
      </c>
    </row>
    <row r="7750" spans="1:7" x14ac:dyDescent="0.25">
      <c r="A7750" t="s">
        <v>8</v>
      </c>
      <c r="B7750" s="1" t="str">
        <f>"000206607 - RICH PIZZA DOUGH NCORE BB-SODX"</f>
        <v>000206607 - RICH PIZZA DOUGH NCORE BB-SODX</v>
      </c>
      <c r="C7750" t="s">
        <v>113</v>
      </c>
      <c r="D7750" s="1" t="str">
        <f t="shared" si="217"/>
        <v>PRG-1031196</v>
      </c>
      <c r="E7750" t="s">
        <v>181</v>
      </c>
      <c r="F7750" t="s">
        <v>4</v>
      </c>
      <c r="G7750" t="str">
        <f>""</f>
        <v/>
      </c>
    </row>
    <row r="7751" spans="1:7" x14ac:dyDescent="0.25">
      <c r="A7751" t="s">
        <v>8</v>
      </c>
      <c r="B7751" s="1" t="str">
        <f>"000207279 - RICHS PIZZA DOGH&amp;ICING CC-SODX"</f>
        <v>000207279 - RICHS PIZZA DOGH&amp;ICING CC-SODX</v>
      </c>
      <c r="C7751" t="s">
        <v>601</v>
      </c>
      <c r="D7751" s="1" t="str">
        <f t="shared" si="217"/>
        <v>PRG-1031196</v>
      </c>
      <c r="E7751" t="s">
        <v>181</v>
      </c>
      <c r="F7751" t="s">
        <v>4</v>
      </c>
      <c r="G7751" t="str">
        <f>""</f>
        <v/>
      </c>
    </row>
    <row r="7752" spans="1:7" x14ac:dyDescent="0.25">
      <c r="A7752" t="s">
        <v>8</v>
      </c>
      <c r="B7752" s="1" t="str">
        <f>"000209635 - (L)RICH PIZZA(777755)(SOD-EXP)"</f>
        <v>000209635 - (L)RICH PIZZA(777755)(SOD-EXP)</v>
      </c>
      <c r="C7752" t="s">
        <v>1425</v>
      </c>
      <c r="D7752" s="1" t="str">
        <f t="shared" si="217"/>
        <v>PRG-1031196</v>
      </c>
      <c r="E7752" t="s">
        <v>181</v>
      </c>
      <c r="F7752" t="s">
        <v>4</v>
      </c>
      <c r="G7752" t="str">
        <f>""</f>
        <v/>
      </c>
    </row>
    <row r="7753" spans="1:7" x14ac:dyDescent="0.25">
      <c r="A7753" t="s">
        <v>8</v>
      </c>
      <c r="B7753" s="1" t="str">
        <f>"000214775 - RICH PIZZA &amp; ICING CBB-SODEXO"</f>
        <v>000214775 - RICH PIZZA &amp; ICING CBB-SODEXO</v>
      </c>
      <c r="C7753" t="s">
        <v>180</v>
      </c>
      <c r="D7753" s="1" t="str">
        <f t="shared" si="217"/>
        <v>PRG-1031196</v>
      </c>
      <c r="E7753" t="s">
        <v>181</v>
      </c>
      <c r="F7753" t="s">
        <v>4</v>
      </c>
      <c r="G7753" t="str">
        <f>""</f>
        <v/>
      </c>
    </row>
    <row r="7754" spans="1:7" x14ac:dyDescent="0.25">
      <c r="A7754" t="s">
        <v>8</v>
      </c>
      <c r="B7754" s="1" t="str">
        <f>"000214776 - RICH PIZZA &amp; ICING NCBB-SODEXO"</f>
        <v>000214776 - RICH PIZZA &amp; ICING NCBB-SODEXO</v>
      </c>
      <c r="C7754" t="s">
        <v>182</v>
      </c>
      <c r="D7754" s="1" t="str">
        <f t="shared" si="217"/>
        <v>PRG-1031196</v>
      </c>
      <c r="E7754" t="s">
        <v>181</v>
      </c>
      <c r="F7754" t="s">
        <v>4</v>
      </c>
      <c r="G7754" t="str">
        <f>""</f>
        <v/>
      </c>
    </row>
    <row r="7755" spans="1:7" x14ac:dyDescent="0.25">
      <c r="A7755" t="s">
        <v>8</v>
      </c>
      <c r="B7755" s="1" t="str">
        <f>"000216971 - RICHS PIZZA DOUGH BB-SODEXO"</f>
        <v>000216971 - RICHS PIZZA DOUGH BB-SODEXO</v>
      </c>
      <c r="C7755" t="s">
        <v>582</v>
      </c>
      <c r="D7755" s="1" t="str">
        <f t="shared" si="217"/>
        <v>PRG-1031196</v>
      </c>
      <c r="E7755" t="s">
        <v>181</v>
      </c>
      <c r="F7755" t="s">
        <v>4</v>
      </c>
      <c r="G7755" t="str">
        <f>""</f>
        <v/>
      </c>
    </row>
    <row r="7756" spans="1:7" x14ac:dyDescent="0.25">
      <c r="A7756" t="s">
        <v>8</v>
      </c>
      <c r="B7756" s="1" t="str">
        <f>"000217685 - BB  SODEXO FOB RICH ICNG DGH"</f>
        <v>000217685 - BB  SODEXO FOB RICH ICNG DGH</v>
      </c>
      <c r="C7756" t="s">
        <v>1554</v>
      </c>
      <c r="D7756" s="1" t="str">
        <f t="shared" si="217"/>
        <v>PRG-1031196</v>
      </c>
      <c r="E7756" t="s">
        <v>181</v>
      </c>
      <c r="F7756" t="s">
        <v>4</v>
      </c>
      <c r="G7756" t="str">
        <f>""</f>
        <v/>
      </c>
    </row>
    <row r="7757" spans="1:7" x14ac:dyDescent="0.25">
      <c r="A7757" t="s">
        <v>8</v>
      </c>
      <c r="B7757" s="1" t="str">
        <f>"000217716 - RICH PIZZA &amp; ICING CBB-SODEXO"</f>
        <v>000217716 - RICH PIZZA &amp; ICING CBB-SODEXO</v>
      </c>
      <c r="C7757" t="s">
        <v>180</v>
      </c>
      <c r="D7757" s="1" t="str">
        <f t="shared" si="217"/>
        <v>PRG-1031196</v>
      </c>
      <c r="E7757" t="s">
        <v>181</v>
      </c>
      <c r="F7757" t="s">
        <v>4</v>
      </c>
      <c r="G7757" t="str">
        <f>""</f>
        <v/>
      </c>
    </row>
    <row r="7758" spans="1:7" x14ac:dyDescent="0.25">
      <c r="A7758" t="s">
        <v>8</v>
      </c>
      <c r="B7758" s="1" t="str">
        <f>"000217717 - RICH PIZZA &amp; ICING NCBB-SODEXO"</f>
        <v>000217717 - RICH PIZZA &amp; ICING NCBB-SODEXO</v>
      </c>
      <c r="C7758" t="s">
        <v>182</v>
      </c>
      <c r="D7758" s="1" t="str">
        <f t="shared" si="217"/>
        <v>PRG-1031196</v>
      </c>
      <c r="E7758" t="s">
        <v>181</v>
      </c>
      <c r="F7758" t="s">
        <v>4</v>
      </c>
      <c r="G7758" t="str">
        <f>""</f>
        <v/>
      </c>
    </row>
    <row r="7759" spans="1:7" x14ac:dyDescent="0.25">
      <c r="A7759" t="s">
        <v>8</v>
      </c>
      <c r="B7759" s="1" t="str">
        <f>"000219419 - RICHS PIZZA DOGH&amp;ICING CC-SODX"</f>
        <v>000219419 - RICHS PIZZA DOGH&amp;ICING CC-SODX</v>
      </c>
      <c r="C7759" t="s">
        <v>601</v>
      </c>
      <c r="D7759" s="1" t="str">
        <f t="shared" si="217"/>
        <v>PRG-1031196</v>
      </c>
      <c r="E7759" t="s">
        <v>181</v>
      </c>
      <c r="F7759" t="s">
        <v>4</v>
      </c>
      <c r="G7759" t="str">
        <f>""</f>
        <v/>
      </c>
    </row>
    <row r="7760" spans="1:7" x14ac:dyDescent="0.25">
      <c r="A7760" t="s">
        <v>8</v>
      </c>
      <c r="B7760" s="1" t="str">
        <f>"000220203 - RICHS PIZZA DOGH&amp;ICING CC-SODX"</f>
        <v>000220203 - RICHS PIZZA DOGH&amp;ICING CC-SODX</v>
      </c>
      <c r="C7760" t="s">
        <v>601</v>
      </c>
      <c r="D7760" s="1" t="str">
        <f t="shared" si="217"/>
        <v>PRG-1031196</v>
      </c>
      <c r="E7760" t="s">
        <v>181</v>
      </c>
      <c r="F7760" t="s">
        <v>4</v>
      </c>
      <c r="G7760" t="str">
        <f>""</f>
        <v/>
      </c>
    </row>
    <row r="7761" spans="1:7" x14ac:dyDescent="0.25">
      <c r="A7761" t="s">
        <v>8</v>
      </c>
      <c r="B7761" s="1" t="str">
        <f>"000220846 - RICHS PIZZA DOGH&amp;ICING CC-SODX"</f>
        <v>000220846 - RICHS PIZZA DOGH&amp;ICING CC-SODX</v>
      </c>
      <c r="C7761" t="s">
        <v>601</v>
      </c>
      <c r="D7761" s="1" t="str">
        <f t="shared" si="217"/>
        <v>PRG-1031196</v>
      </c>
      <c r="E7761" t="s">
        <v>181</v>
      </c>
      <c r="F7761" t="s">
        <v>4</v>
      </c>
      <c r="G7761" t="str">
        <f>""</f>
        <v/>
      </c>
    </row>
    <row r="7762" spans="1:7" x14ac:dyDescent="0.25">
      <c r="A7762" t="s">
        <v>8</v>
      </c>
      <c r="B7762" s="1" t="str">
        <f>"000220929 - RICH PIZZA DOUGH BB NCORE-SODX"</f>
        <v>000220929 - RICH PIZZA DOUGH BB NCORE-SODX</v>
      </c>
      <c r="C7762" t="s">
        <v>613</v>
      </c>
      <c r="D7762" s="1" t="str">
        <f t="shared" si="217"/>
        <v>PRG-1031196</v>
      </c>
      <c r="E7762" t="s">
        <v>181</v>
      </c>
      <c r="F7762" t="s">
        <v>4</v>
      </c>
      <c r="G7762" t="str">
        <f>""</f>
        <v/>
      </c>
    </row>
    <row r="7763" spans="1:7" x14ac:dyDescent="0.25">
      <c r="A7763" t="s">
        <v>8</v>
      </c>
      <c r="B7763" s="1" t="str">
        <f>"000221279 - RICH PIZZA &amp; ICING NCBB-SODEXO"</f>
        <v>000221279 - RICH PIZZA &amp; ICING NCBB-SODEXO</v>
      </c>
      <c r="C7763" t="s">
        <v>182</v>
      </c>
      <c r="D7763" s="1" t="str">
        <f t="shared" si="217"/>
        <v>PRG-1031196</v>
      </c>
      <c r="E7763" t="s">
        <v>181</v>
      </c>
      <c r="F7763" t="s">
        <v>4</v>
      </c>
      <c r="G7763" t="str">
        <f>""</f>
        <v/>
      </c>
    </row>
    <row r="7764" spans="1:7" x14ac:dyDescent="0.25">
      <c r="A7764" t="s">
        <v>8</v>
      </c>
      <c r="B7764" s="1" t="str">
        <f>"000221596 - BB SODEXO FOB RICH DOGH&amp;ICING"</f>
        <v>000221596 - BB SODEXO FOB RICH DOGH&amp;ICING</v>
      </c>
      <c r="C7764" t="s">
        <v>1607</v>
      </c>
      <c r="D7764" s="1" t="str">
        <f t="shared" si="217"/>
        <v>PRG-1031196</v>
      </c>
      <c r="E7764" t="s">
        <v>181</v>
      </c>
      <c r="F7764" t="s">
        <v>4</v>
      </c>
      <c r="G7764" t="str">
        <f>""</f>
        <v/>
      </c>
    </row>
    <row r="7765" spans="1:7" x14ac:dyDescent="0.25">
      <c r="A7765" t="s">
        <v>8</v>
      </c>
      <c r="B7765" s="1" t="str">
        <f>"000221606 - RICH PIZZA DOUGH BB CORE-SODX"</f>
        <v>000221606 - RICH PIZZA DOUGH BB CORE-SODX</v>
      </c>
      <c r="C7765" t="s">
        <v>612</v>
      </c>
      <c r="D7765" s="1" t="str">
        <f t="shared" si="217"/>
        <v>PRG-1031196</v>
      </c>
      <c r="E7765" t="s">
        <v>181</v>
      </c>
      <c r="F7765" t="s">
        <v>4</v>
      </c>
      <c r="G7765" t="str">
        <f>""</f>
        <v/>
      </c>
    </row>
    <row r="7766" spans="1:7" x14ac:dyDescent="0.25">
      <c r="A7766" t="s">
        <v>8</v>
      </c>
      <c r="B7766" s="1" t="str">
        <f>"000221607 - RPI RICHS FOODS NON CORE"</f>
        <v>000221607 - RPI RICHS FOODS NON CORE</v>
      </c>
      <c r="C7766" t="s">
        <v>1608</v>
      </c>
      <c r="D7766" s="1" t="str">
        <f t="shared" si="217"/>
        <v>PRG-1031196</v>
      </c>
      <c r="E7766" t="s">
        <v>181</v>
      </c>
      <c r="F7766" t="s">
        <v>4</v>
      </c>
      <c r="G7766" t="str">
        <f>""</f>
        <v/>
      </c>
    </row>
    <row r="7767" spans="1:7" x14ac:dyDescent="0.25">
      <c r="A7767" t="s">
        <v>8</v>
      </c>
      <c r="B7767" s="1" t="str">
        <f>"000223009 - RICH PIZZA DOUGH BB CORE-SODX"</f>
        <v>000223009 - RICH PIZZA DOUGH BB CORE-SODX</v>
      </c>
      <c r="C7767" t="s">
        <v>612</v>
      </c>
      <c r="D7767" s="1" t="str">
        <f t="shared" si="217"/>
        <v>PRG-1031196</v>
      </c>
      <c r="E7767" t="s">
        <v>181</v>
      </c>
      <c r="F7767" t="s">
        <v>4</v>
      </c>
      <c r="G7767" t="str">
        <f>""</f>
        <v/>
      </c>
    </row>
    <row r="7768" spans="1:7" x14ac:dyDescent="0.25">
      <c r="A7768" t="s">
        <v>8</v>
      </c>
      <c r="B7768" s="1" t="str">
        <f>"000223010 - RICH PIZZA DOUGH BB NCORE-SODX"</f>
        <v>000223010 - RICH PIZZA DOUGH BB NCORE-SODX</v>
      </c>
      <c r="C7768" t="s">
        <v>613</v>
      </c>
      <c r="D7768" s="1" t="str">
        <f t="shared" si="217"/>
        <v>PRG-1031196</v>
      </c>
      <c r="E7768" t="s">
        <v>181</v>
      </c>
      <c r="F7768" t="s">
        <v>4</v>
      </c>
      <c r="G7768" t="str">
        <f>""</f>
        <v/>
      </c>
    </row>
    <row r="7769" spans="1:7" x14ac:dyDescent="0.25">
      <c r="A7769" t="s">
        <v>8</v>
      </c>
      <c r="B7769" s="1" t="str">
        <f>"000223018 - BB SODEXO DOUGH DPMFX FOB RICH"</f>
        <v>000223018 - BB SODEXO DOUGH DPMFX FOB RICH</v>
      </c>
      <c r="C7769" t="s">
        <v>1639</v>
      </c>
      <c r="D7769" s="1" t="str">
        <f t="shared" si="217"/>
        <v>PRG-1031196</v>
      </c>
      <c r="E7769" t="s">
        <v>181</v>
      </c>
      <c r="F7769" t="s">
        <v>4</v>
      </c>
      <c r="G7769" t="str">
        <f>""</f>
        <v/>
      </c>
    </row>
    <row r="7770" spans="1:7" x14ac:dyDescent="0.25">
      <c r="A7770" t="s">
        <v>8</v>
      </c>
      <c r="B7770" s="1" t="str">
        <f>"000223462 - RICHS PIZZA DOUGH CORE BB-SODX"</f>
        <v>000223462 - RICHS PIZZA DOUGH CORE BB-SODX</v>
      </c>
      <c r="C7770" t="s">
        <v>112</v>
      </c>
      <c r="D7770" s="1" t="str">
        <f t="shared" si="217"/>
        <v>PRG-1031196</v>
      </c>
      <c r="E7770" t="s">
        <v>181</v>
      </c>
      <c r="F7770" t="s">
        <v>4</v>
      </c>
      <c r="G7770" t="str">
        <f>""</f>
        <v/>
      </c>
    </row>
    <row r="7771" spans="1:7" x14ac:dyDescent="0.25">
      <c r="A7771" t="s">
        <v>8</v>
      </c>
      <c r="B7771" s="1" t="str">
        <f>"000223463 - RICH PIZZA DOUGH NCORE BB-SODX"</f>
        <v>000223463 - RICH PIZZA DOUGH NCORE BB-SODX</v>
      </c>
      <c r="C7771" t="s">
        <v>113</v>
      </c>
      <c r="D7771" s="1" t="str">
        <f t="shared" si="217"/>
        <v>PRG-1031196</v>
      </c>
      <c r="E7771" t="s">
        <v>181</v>
      </c>
      <c r="F7771" t="s">
        <v>4</v>
      </c>
      <c r="G7771" t="str">
        <f>""</f>
        <v/>
      </c>
    </row>
    <row r="7772" spans="1:7" x14ac:dyDescent="0.25">
      <c r="A7772" t="s">
        <v>8</v>
      </c>
      <c r="B7772" s="1" t="str">
        <f>"000223792 - RICHS PIZZA DOUGH CORE BB-SODX"</f>
        <v>000223792 - RICHS PIZZA DOUGH CORE BB-SODX</v>
      </c>
      <c r="C7772" t="s">
        <v>112</v>
      </c>
      <c r="D7772" s="1" t="str">
        <f t="shared" si="217"/>
        <v>PRG-1031196</v>
      </c>
      <c r="E7772" t="s">
        <v>181</v>
      </c>
      <c r="F7772" t="s">
        <v>4</v>
      </c>
      <c r="G7772" t="str">
        <f>""</f>
        <v/>
      </c>
    </row>
    <row r="7773" spans="1:7" x14ac:dyDescent="0.25">
      <c r="A7773" t="s">
        <v>8</v>
      </c>
      <c r="B7773" s="1" t="str">
        <f>"000223793 - RICH PIZZA DOUGH NCORE BB-SODX"</f>
        <v>000223793 - RICH PIZZA DOUGH NCORE BB-SODX</v>
      </c>
      <c r="C7773" t="s">
        <v>113</v>
      </c>
      <c r="D7773" s="1" t="str">
        <f t="shared" si="217"/>
        <v>PRG-1031196</v>
      </c>
      <c r="E7773" t="s">
        <v>181</v>
      </c>
      <c r="F7773" t="s">
        <v>4</v>
      </c>
      <c r="G7773" t="str">
        <f>""</f>
        <v/>
      </c>
    </row>
    <row r="7774" spans="1:7" x14ac:dyDescent="0.25">
      <c r="A7774" t="s">
        <v>8</v>
      </c>
      <c r="B7774" s="1" t="str">
        <f>"000226077 - RICHS PIZZA DOUGH CORE BB-SODX"</f>
        <v>000226077 - RICHS PIZZA DOUGH CORE BB-SODX</v>
      </c>
      <c r="C7774" t="s">
        <v>112</v>
      </c>
      <c r="D7774" s="1" t="str">
        <f t="shared" si="217"/>
        <v>PRG-1031196</v>
      </c>
      <c r="E7774" t="s">
        <v>181</v>
      </c>
      <c r="F7774" t="s">
        <v>4</v>
      </c>
      <c r="G7774" t="str">
        <f>""</f>
        <v/>
      </c>
    </row>
    <row r="7775" spans="1:7" x14ac:dyDescent="0.25">
      <c r="A7775" t="s">
        <v>8</v>
      </c>
      <c r="B7775" s="1" t="str">
        <f>"000226353 - BB SODEXO FOB RICH PIZZA DOUGH"</f>
        <v>000226353 - BB SODEXO FOB RICH PIZZA DOUGH</v>
      </c>
      <c r="C7775" t="s">
        <v>1691</v>
      </c>
      <c r="D7775" s="1" t="str">
        <f t="shared" si="217"/>
        <v>PRG-1031196</v>
      </c>
      <c r="E7775" t="s">
        <v>181</v>
      </c>
      <c r="F7775" t="s">
        <v>4</v>
      </c>
      <c r="G7775" t="str">
        <f>""</f>
        <v/>
      </c>
    </row>
    <row r="7776" spans="1:7" x14ac:dyDescent="0.25">
      <c r="A7776" t="s">
        <v>8</v>
      </c>
      <c r="B7776" s="1" t="str">
        <f>"000227466 - RICHS PIZZA DOGH&amp;ICING CC-SODX"</f>
        <v>000227466 - RICHS PIZZA DOGH&amp;ICING CC-SODX</v>
      </c>
      <c r="C7776" t="s">
        <v>601</v>
      </c>
      <c r="D7776" s="1" t="str">
        <f t="shared" si="217"/>
        <v>PRG-1031196</v>
      </c>
      <c r="E7776" t="s">
        <v>181</v>
      </c>
      <c r="F7776" t="s">
        <v>4</v>
      </c>
      <c r="G7776" t="str">
        <f>""</f>
        <v/>
      </c>
    </row>
    <row r="7777" spans="1:7" x14ac:dyDescent="0.25">
      <c r="A7777" t="s">
        <v>8</v>
      </c>
      <c r="B7777" s="1" t="str">
        <f>"000228435 - RICHS PIZZA DOUGH BB-SODEXO"</f>
        <v>000228435 - RICHS PIZZA DOUGH BB-SODEXO</v>
      </c>
      <c r="C7777" t="s">
        <v>582</v>
      </c>
      <c r="D7777" s="1" t="str">
        <f t="shared" si="217"/>
        <v>PRG-1031196</v>
      </c>
      <c r="E7777" t="s">
        <v>181</v>
      </c>
      <c r="F7777" t="s">
        <v>4</v>
      </c>
      <c r="G7777" t="str">
        <f>""</f>
        <v/>
      </c>
    </row>
    <row r="7778" spans="1:7" x14ac:dyDescent="0.25">
      <c r="A7778" t="s">
        <v>8</v>
      </c>
      <c r="B7778" s="1" t="str">
        <f>"000228878 - BB SODEXO FOB RICHS PIZZA DOUG"</f>
        <v>000228878 - BB SODEXO FOB RICHS PIZZA DOUG</v>
      </c>
      <c r="C7778" t="s">
        <v>1731</v>
      </c>
      <c r="D7778" s="1" t="str">
        <f t="shared" ref="D7778:D7841" si="218">"PRG-1031196"</f>
        <v>PRG-1031196</v>
      </c>
      <c r="E7778" t="s">
        <v>181</v>
      </c>
      <c r="F7778" t="s">
        <v>4</v>
      </c>
      <c r="G7778" t="str">
        <f>""</f>
        <v/>
      </c>
    </row>
    <row r="7779" spans="1:7" x14ac:dyDescent="0.25">
      <c r="A7779" t="s">
        <v>8</v>
      </c>
      <c r="B7779" s="1" t="str">
        <f>"000228881 - BB SODEXO FOB RICHS NC PIZA DG"</f>
        <v>000228881 - BB SODEXO FOB RICHS NC PIZA DG</v>
      </c>
      <c r="C7779" t="s">
        <v>1732</v>
      </c>
      <c r="D7779" s="1" t="str">
        <f t="shared" si="218"/>
        <v>PRG-1031196</v>
      </c>
      <c r="E7779" t="s">
        <v>181</v>
      </c>
      <c r="F7779" t="s">
        <v>4</v>
      </c>
      <c r="G7779" t="str">
        <f>""</f>
        <v/>
      </c>
    </row>
    <row r="7780" spans="1:7" x14ac:dyDescent="0.25">
      <c r="A7780" t="s">
        <v>8</v>
      </c>
      <c r="B7780" s="1" t="str">
        <f>"000229497 - RICH PIZZA DOUGH BB CORE-SODX"</f>
        <v>000229497 - RICH PIZZA DOUGH BB CORE-SODX</v>
      </c>
      <c r="C7780" t="s">
        <v>612</v>
      </c>
      <c r="D7780" s="1" t="str">
        <f t="shared" si="218"/>
        <v>PRG-1031196</v>
      </c>
      <c r="E7780" t="s">
        <v>181</v>
      </c>
      <c r="F7780" t="s">
        <v>4</v>
      </c>
      <c r="G7780" t="str">
        <f>""</f>
        <v/>
      </c>
    </row>
    <row r="7781" spans="1:7" x14ac:dyDescent="0.25">
      <c r="A7781" t="s">
        <v>8</v>
      </c>
      <c r="B7781" s="1" t="str">
        <f>"000230449 - RICHS PIZZA DOGH&amp;ICING CC-SODX"</f>
        <v>000230449 - RICHS PIZZA DOGH&amp;ICING CC-SODX</v>
      </c>
      <c r="C7781" t="s">
        <v>601</v>
      </c>
      <c r="D7781" s="1" t="str">
        <f t="shared" si="218"/>
        <v>PRG-1031196</v>
      </c>
      <c r="E7781" t="s">
        <v>181</v>
      </c>
      <c r="F7781" t="s">
        <v>4</v>
      </c>
      <c r="G7781" t="str">
        <f>""</f>
        <v/>
      </c>
    </row>
    <row r="7782" spans="1:7" x14ac:dyDescent="0.25">
      <c r="A7782" t="s">
        <v>8</v>
      </c>
      <c r="B7782" s="1" t="str">
        <f>"000231000 - RICH FOODS BB-FOODBUY"</f>
        <v>000231000 - RICH FOODS BB-FOODBUY</v>
      </c>
      <c r="C7782" t="s">
        <v>209</v>
      </c>
      <c r="D7782" s="1" t="str">
        <f t="shared" si="218"/>
        <v>PRG-1031196</v>
      </c>
      <c r="E7782" t="s">
        <v>181</v>
      </c>
      <c r="F7782" t="s">
        <v>4</v>
      </c>
      <c r="G7782" t="str">
        <f>""</f>
        <v/>
      </c>
    </row>
    <row r="7783" spans="1:7" x14ac:dyDescent="0.25">
      <c r="A7783" t="s">
        <v>8</v>
      </c>
      <c r="B7783" s="1" t="str">
        <f>"000231419 - RICH PIZZA &amp; ICING CBB-SODEXO"</f>
        <v>000231419 - RICH PIZZA &amp; ICING CBB-SODEXO</v>
      </c>
      <c r="C7783" t="s">
        <v>180</v>
      </c>
      <c r="D7783" s="1" t="str">
        <f t="shared" si="218"/>
        <v>PRG-1031196</v>
      </c>
      <c r="E7783" t="s">
        <v>181</v>
      </c>
      <c r="F7783" t="s">
        <v>4</v>
      </c>
      <c r="G7783" t="str">
        <f>""</f>
        <v/>
      </c>
    </row>
    <row r="7784" spans="1:7" x14ac:dyDescent="0.25">
      <c r="A7784" t="s">
        <v>8</v>
      </c>
      <c r="B7784" s="1" t="str">
        <f>"000231420 - RICH PIZZA &amp; ICING NCBB-SODEXO"</f>
        <v>000231420 - RICH PIZZA &amp; ICING NCBB-SODEXO</v>
      </c>
      <c r="C7784" t="s">
        <v>182</v>
      </c>
      <c r="D7784" s="1" t="str">
        <f t="shared" si="218"/>
        <v>PRG-1031196</v>
      </c>
      <c r="E7784" t="s">
        <v>181</v>
      </c>
      <c r="F7784" t="s">
        <v>4</v>
      </c>
      <c r="G7784" t="str">
        <f>""</f>
        <v/>
      </c>
    </row>
    <row r="7785" spans="1:7" x14ac:dyDescent="0.25">
      <c r="A7785" t="s">
        <v>8</v>
      </c>
      <c r="B7785" s="1" t="str">
        <f>"000231484 - RICH PIZZA &amp; ICING CBB-SODEXO"</f>
        <v>000231484 - RICH PIZZA &amp; ICING CBB-SODEXO</v>
      </c>
      <c r="C7785" t="s">
        <v>180</v>
      </c>
      <c r="D7785" s="1" t="str">
        <f t="shared" si="218"/>
        <v>PRG-1031196</v>
      </c>
      <c r="E7785" t="s">
        <v>181</v>
      </c>
      <c r="F7785" t="s">
        <v>4</v>
      </c>
      <c r="G7785" t="str">
        <f>""</f>
        <v/>
      </c>
    </row>
    <row r="7786" spans="1:7" x14ac:dyDescent="0.25">
      <c r="A7786" t="s">
        <v>8</v>
      </c>
      <c r="B7786" s="1" t="str">
        <f>"000231485 - RICH PIZZA &amp; ICING NCBB-SODEXO"</f>
        <v>000231485 - RICH PIZZA &amp; ICING NCBB-SODEXO</v>
      </c>
      <c r="C7786" t="s">
        <v>182</v>
      </c>
      <c r="D7786" s="1" t="str">
        <f t="shared" si="218"/>
        <v>PRG-1031196</v>
      </c>
      <c r="E7786" t="s">
        <v>181</v>
      </c>
      <c r="F7786" t="s">
        <v>4</v>
      </c>
      <c r="G7786" t="str">
        <f>""</f>
        <v/>
      </c>
    </row>
    <row r="7787" spans="1:7" x14ac:dyDescent="0.25">
      <c r="A7787" t="s">
        <v>8</v>
      </c>
      <c r="B7787" s="1" t="str">
        <f>"000231621 - RICHS PIZZA DOGH&amp;ICING CC-SODX"</f>
        <v>000231621 - RICHS PIZZA DOGH&amp;ICING CC-SODX</v>
      </c>
      <c r="C7787" t="s">
        <v>601</v>
      </c>
      <c r="D7787" s="1" t="str">
        <f t="shared" si="218"/>
        <v>PRG-1031196</v>
      </c>
      <c r="E7787" t="s">
        <v>181</v>
      </c>
      <c r="F7787" t="s">
        <v>4</v>
      </c>
      <c r="G7787" t="str">
        <f>""</f>
        <v/>
      </c>
    </row>
    <row r="7788" spans="1:7" x14ac:dyDescent="0.25">
      <c r="A7788" t="s">
        <v>8</v>
      </c>
      <c r="B7788" s="1" t="str">
        <f>"000232167 - RICH PIZZA DOUGH BB NCORE-SODX"</f>
        <v>000232167 - RICH PIZZA DOUGH BB NCORE-SODX</v>
      </c>
      <c r="C7788" t="s">
        <v>613</v>
      </c>
      <c r="D7788" s="1" t="str">
        <f t="shared" si="218"/>
        <v>PRG-1031196</v>
      </c>
      <c r="E7788" t="s">
        <v>181</v>
      </c>
      <c r="F7788" t="s">
        <v>4</v>
      </c>
      <c r="G7788" t="str">
        <f>""</f>
        <v/>
      </c>
    </row>
    <row r="7789" spans="1:7" x14ac:dyDescent="0.25">
      <c r="A7789" t="s">
        <v>8</v>
      </c>
      <c r="B7789" s="1" t="str">
        <f>"000232425 - RICH PIZZA DOUGH BB CORE-SODX"</f>
        <v>000232425 - RICH PIZZA DOUGH BB CORE-SODX</v>
      </c>
      <c r="C7789" t="s">
        <v>612</v>
      </c>
      <c r="D7789" s="1" t="str">
        <f t="shared" si="218"/>
        <v>PRG-1031196</v>
      </c>
      <c r="E7789" t="s">
        <v>181</v>
      </c>
      <c r="F7789" t="s">
        <v>4</v>
      </c>
      <c r="G7789" t="str">
        <f>""</f>
        <v/>
      </c>
    </row>
    <row r="7790" spans="1:7" x14ac:dyDescent="0.25">
      <c r="A7790" t="s">
        <v>8</v>
      </c>
      <c r="B7790" s="1" t="str">
        <f>"000232426 - RICH PIZZA DOUGH BB NCORE-SODX"</f>
        <v>000232426 - RICH PIZZA DOUGH BB NCORE-SODX</v>
      </c>
      <c r="C7790" t="s">
        <v>613</v>
      </c>
      <c r="D7790" s="1" t="str">
        <f t="shared" si="218"/>
        <v>PRG-1031196</v>
      </c>
      <c r="E7790" t="s">
        <v>181</v>
      </c>
      <c r="F7790" t="s">
        <v>4</v>
      </c>
      <c r="G7790" t="str">
        <f>""</f>
        <v/>
      </c>
    </row>
    <row r="7791" spans="1:7" x14ac:dyDescent="0.25">
      <c r="A7791" t="s">
        <v>8</v>
      </c>
      <c r="B7791" s="1" t="str">
        <f>"000232517 - RICHS PIZZA DOUGH CORE BB-SODX"</f>
        <v>000232517 - RICHS PIZZA DOUGH CORE BB-SODX</v>
      </c>
      <c r="C7791" t="s">
        <v>112</v>
      </c>
      <c r="D7791" s="1" t="str">
        <f t="shared" si="218"/>
        <v>PRG-1031196</v>
      </c>
      <c r="E7791" t="s">
        <v>181</v>
      </c>
      <c r="F7791" t="s">
        <v>4</v>
      </c>
      <c r="G7791" t="str">
        <f>""</f>
        <v/>
      </c>
    </row>
    <row r="7792" spans="1:7" x14ac:dyDescent="0.25">
      <c r="A7792" t="s">
        <v>8</v>
      </c>
      <c r="B7792" s="1" t="str">
        <f>"000232518 - RICH PIZZA DOUGH NCORE BB-SODX"</f>
        <v>000232518 - RICH PIZZA DOUGH NCORE BB-SODX</v>
      </c>
      <c r="C7792" t="s">
        <v>113</v>
      </c>
      <c r="D7792" s="1" t="str">
        <f t="shared" si="218"/>
        <v>PRG-1031196</v>
      </c>
      <c r="E7792" t="s">
        <v>181</v>
      </c>
      <c r="F7792" t="s">
        <v>4</v>
      </c>
      <c r="G7792" t="str">
        <f>""</f>
        <v/>
      </c>
    </row>
    <row r="7793" spans="1:7" x14ac:dyDescent="0.25">
      <c r="A7793" t="s">
        <v>8</v>
      </c>
      <c r="B7793" s="1" t="str">
        <f>"000232591 - RICHS PIZZA DOGH&amp;ICING CC-SODX"</f>
        <v>000232591 - RICHS PIZZA DOGH&amp;ICING CC-SODX</v>
      </c>
      <c r="C7793" t="s">
        <v>601</v>
      </c>
      <c r="D7793" s="1" t="str">
        <f t="shared" si="218"/>
        <v>PRG-1031196</v>
      </c>
      <c r="E7793" t="s">
        <v>181</v>
      </c>
      <c r="F7793" t="s">
        <v>4</v>
      </c>
      <c r="G7793" t="str">
        <f>""</f>
        <v/>
      </c>
    </row>
    <row r="7794" spans="1:7" x14ac:dyDescent="0.25">
      <c r="A7794" t="s">
        <v>8</v>
      </c>
      <c r="B7794" s="1" t="str">
        <f>"000232817 - RICH PIZZA DOUGH BB CORE-SODX"</f>
        <v>000232817 - RICH PIZZA DOUGH BB CORE-SODX</v>
      </c>
      <c r="C7794" t="s">
        <v>612</v>
      </c>
      <c r="D7794" s="1" t="str">
        <f t="shared" si="218"/>
        <v>PRG-1031196</v>
      </c>
      <c r="E7794" t="s">
        <v>181</v>
      </c>
      <c r="F7794" t="s">
        <v>4</v>
      </c>
      <c r="G7794" t="str">
        <f>""</f>
        <v/>
      </c>
    </row>
    <row r="7795" spans="1:7" x14ac:dyDescent="0.25">
      <c r="A7795" t="s">
        <v>8</v>
      </c>
      <c r="B7795" s="1" t="str">
        <f>"000232818 - RICH PIZZA DOUGH BB NCORE-SODX"</f>
        <v>000232818 - RICH PIZZA DOUGH BB NCORE-SODX</v>
      </c>
      <c r="C7795" t="s">
        <v>613</v>
      </c>
      <c r="D7795" s="1" t="str">
        <f t="shared" si="218"/>
        <v>PRG-1031196</v>
      </c>
      <c r="E7795" t="s">
        <v>181</v>
      </c>
      <c r="F7795" t="s">
        <v>4</v>
      </c>
      <c r="G7795" t="str">
        <f>""</f>
        <v/>
      </c>
    </row>
    <row r="7796" spans="1:7" x14ac:dyDescent="0.25">
      <c r="A7796" t="s">
        <v>8</v>
      </c>
      <c r="B7796" s="1" t="str">
        <f>"000233347 - RICH PIZZA DOUGH BB CORE-SODX"</f>
        <v>000233347 - RICH PIZZA DOUGH BB CORE-SODX</v>
      </c>
      <c r="C7796" t="s">
        <v>612</v>
      </c>
      <c r="D7796" s="1" t="str">
        <f t="shared" si="218"/>
        <v>PRG-1031196</v>
      </c>
      <c r="E7796" t="s">
        <v>181</v>
      </c>
      <c r="F7796" t="s">
        <v>4</v>
      </c>
      <c r="G7796" t="str">
        <f>""</f>
        <v/>
      </c>
    </row>
    <row r="7797" spans="1:7" x14ac:dyDescent="0.25">
      <c r="A7797" t="s">
        <v>8</v>
      </c>
      <c r="B7797" s="1" t="str">
        <f>"000233348 - RICH PIZZA DOUGH BB NCORE-SODX"</f>
        <v>000233348 - RICH PIZZA DOUGH BB NCORE-SODX</v>
      </c>
      <c r="C7797" t="s">
        <v>613</v>
      </c>
      <c r="D7797" s="1" t="str">
        <f t="shared" si="218"/>
        <v>PRG-1031196</v>
      </c>
      <c r="E7797" t="s">
        <v>181</v>
      </c>
      <c r="F7797" t="s">
        <v>4</v>
      </c>
      <c r="G7797" t="str">
        <f>""</f>
        <v/>
      </c>
    </row>
    <row r="7798" spans="1:7" x14ac:dyDescent="0.25">
      <c r="A7798" t="s">
        <v>8</v>
      </c>
      <c r="B7798" s="1" t="str">
        <f>"000234230 - RICH PIZZA DOUGH BB CORE-SODX"</f>
        <v>000234230 - RICH PIZZA DOUGH BB CORE-SODX</v>
      </c>
      <c r="C7798" t="s">
        <v>612</v>
      </c>
      <c r="D7798" s="1" t="str">
        <f t="shared" si="218"/>
        <v>PRG-1031196</v>
      </c>
      <c r="E7798" t="s">
        <v>181</v>
      </c>
      <c r="F7798" t="s">
        <v>4</v>
      </c>
      <c r="G7798" t="str">
        <f>""</f>
        <v/>
      </c>
    </row>
    <row r="7799" spans="1:7" x14ac:dyDescent="0.25">
      <c r="A7799" t="s">
        <v>8</v>
      </c>
      <c r="B7799" s="1" t="str">
        <f>"000234231 - RICH PIZZA DOUGH BB NCORE-SODX"</f>
        <v>000234231 - RICH PIZZA DOUGH BB NCORE-SODX</v>
      </c>
      <c r="C7799" t="s">
        <v>613</v>
      </c>
      <c r="D7799" s="1" t="str">
        <f t="shared" si="218"/>
        <v>PRG-1031196</v>
      </c>
      <c r="E7799" t="s">
        <v>181</v>
      </c>
      <c r="F7799" t="s">
        <v>4</v>
      </c>
      <c r="G7799" t="str">
        <f>""</f>
        <v/>
      </c>
    </row>
    <row r="7800" spans="1:7" x14ac:dyDescent="0.25">
      <c r="A7800" t="s">
        <v>8</v>
      </c>
      <c r="B7800" s="1" t="str">
        <f>"000234234 - RICH PIZZA DOUGH BB NCORE-SODX"</f>
        <v>000234234 - RICH PIZZA DOUGH BB NCORE-SODX</v>
      </c>
      <c r="C7800" t="s">
        <v>613</v>
      </c>
      <c r="D7800" s="1" t="str">
        <f t="shared" si="218"/>
        <v>PRG-1031196</v>
      </c>
      <c r="E7800" t="s">
        <v>181</v>
      </c>
      <c r="F7800" t="s">
        <v>4</v>
      </c>
      <c r="G7800" t="str">
        <f>""</f>
        <v/>
      </c>
    </row>
    <row r="7801" spans="1:7" x14ac:dyDescent="0.25">
      <c r="A7801" t="s">
        <v>8</v>
      </c>
      <c r="B7801" s="1" t="str">
        <f>"000234501 - RICHS PIZZA DOUGH CORE BB-SODX"</f>
        <v>000234501 - RICHS PIZZA DOUGH CORE BB-SODX</v>
      </c>
      <c r="C7801" t="s">
        <v>112</v>
      </c>
      <c r="D7801" s="1" t="str">
        <f t="shared" si="218"/>
        <v>PRG-1031196</v>
      </c>
      <c r="E7801" t="s">
        <v>181</v>
      </c>
      <c r="F7801" t="s">
        <v>4</v>
      </c>
      <c r="G7801" t="str">
        <f>""</f>
        <v/>
      </c>
    </row>
    <row r="7802" spans="1:7" x14ac:dyDescent="0.25">
      <c r="A7802" t="s">
        <v>8</v>
      </c>
      <c r="B7802" s="1" t="str">
        <f>"000234502 - RICH PIZZA DOUGH NCORE BB-SODX"</f>
        <v>000234502 - RICH PIZZA DOUGH NCORE BB-SODX</v>
      </c>
      <c r="C7802" t="s">
        <v>113</v>
      </c>
      <c r="D7802" s="1" t="str">
        <f t="shared" si="218"/>
        <v>PRG-1031196</v>
      </c>
      <c r="E7802" t="s">
        <v>181</v>
      </c>
      <c r="F7802" t="s">
        <v>4</v>
      </c>
      <c r="G7802" t="str">
        <f>""</f>
        <v/>
      </c>
    </row>
    <row r="7803" spans="1:7" x14ac:dyDescent="0.25">
      <c r="A7803" t="s">
        <v>8</v>
      </c>
      <c r="B7803" s="1" t="str">
        <f>"000234927 - RICHS PIZZA DOUGH CORE BB-SODX"</f>
        <v>000234927 - RICHS PIZZA DOUGH CORE BB-SODX</v>
      </c>
      <c r="C7803" t="s">
        <v>112</v>
      </c>
      <c r="D7803" s="1" t="str">
        <f t="shared" si="218"/>
        <v>PRG-1031196</v>
      </c>
      <c r="E7803" t="s">
        <v>181</v>
      </c>
      <c r="F7803" t="s">
        <v>4</v>
      </c>
      <c r="G7803" t="str">
        <f>""</f>
        <v/>
      </c>
    </row>
    <row r="7804" spans="1:7" x14ac:dyDescent="0.25">
      <c r="A7804" t="s">
        <v>8</v>
      </c>
      <c r="B7804" s="1" t="str">
        <f>"000234928 - RICH PIZZA DOUGH NCORE BB-SODX"</f>
        <v>000234928 - RICH PIZZA DOUGH NCORE BB-SODX</v>
      </c>
      <c r="C7804" t="s">
        <v>113</v>
      </c>
      <c r="D7804" s="1" t="str">
        <f t="shared" si="218"/>
        <v>PRG-1031196</v>
      </c>
      <c r="E7804" t="s">
        <v>181</v>
      </c>
      <c r="F7804" t="s">
        <v>4</v>
      </c>
      <c r="G7804" t="str">
        <f>""</f>
        <v/>
      </c>
    </row>
    <row r="7805" spans="1:7" x14ac:dyDescent="0.25">
      <c r="A7805" t="s">
        <v>8</v>
      </c>
      <c r="B7805" s="1" t="str">
        <f>"000235640 - "</f>
        <v xml:space="preserve">000235640 - </v>
      </c>
      <c r="D7805" s="1" t="str">
        <f t="shared" si="218"/>
        <v>PRG-1031196</v>
      </c>
      <c r="E7805" t="s">
        <v>181</v>
      </c>
      <c r="F7805" t="s">
        <v>4</v>
      </c>
      <c r="G7805" t="str">
        <f>""</f>
        <v/>
      </c>
    </row>
    <row r="7806" spans="1:7" x14ac:dyDescent="0.25">
      <c r="A7806" t="s">
        <v>8</v>
      </c>
      <c r="B7806" s="1" t="str">
        <f>"000236095 - RICHS PIZZA DOUGH CORE BB-SODX"</f>
        <v>000236095 - RICHS PIZZA DOUGH CORE BB-SODX</v>
      </c>
      <c r="C7806" t="s">
        <v>112</v>
      </c>
      <c r="D7806" s="1" t="str">
        <f t="shared" si="218"/>
        <v>PRG-1031196</v>
      </c>
      <c r="E7806" t="s">
        <v>181</v>
      </c>
      <c r="F7806" t="s">
        <v>4</v>
      </c>
      <c r="G7806" t="str">
        <f>""</f>
        <v/>
      </c>
    </row>
    <row r="7807" spans="1:7" x14ac:dyDescent="0.25">
      <c r="A7807" t="s">
        <v>8</v>
      </c>
      <c r="B7807" s="1" t="str">
        <f>"000236096 - RICH PIZZA DOUGH NCORE BB-SODX"</f>
        <v>000236096 - RICH PIZZA DOUGH NCORE BB-SODX</v>
      </c>
      <c r="C7807" t="s">
        <v>113</v>
      </c>
      <c r="D7807" s="1" t="str">
        <f t="shared" si="218"/>
        <v>PRG-1031196</v>
      </c>
      <c r="E7807" t="s">
        <v>181</v>
      </c>
      <c r="F7807" t="s">
        <v>4</v>
      </c>
      <c r="G7807" t="str">
        <f>""</f>
        <v/>
      </c>
    </row>
    <row r="7808" spans="1:7" x14ac:dyDescent="0.25">
      <c r="A7808" t="s">
        <v>8</v>
      </c>
      <c r="B7808" s="1" t="str">
        <f>"000236406 - RICHS PIZZA DOUGH CORE BB-SODX"</f>
        <v>000236406 - RICHS PIZZA DOUGH CORE BB-SODX</v>
      </c>
      <c r="C7808" t="s">
        <v>112</v>
      </c>
      <c r="D7808" s="1" t="str">
        <f t="shared" si="218"/>
        <v>PRG-1031196</v>
      </c>
      <c r="E7808" t="s">
        <v>181</v>
      </c>
      <c r="F7808" t="s">
        <v>4</v>
      </c>
      <c r="G7808" t="str">
        <f>""</f>
        <v/>
      </c>
    </row>
    <row r="7809" spans="1:7" x14ac:dyDescent="0.25">
      <c r="A7809" t="s">
        <v>8</v>
      </c>
      <c r="B7809" s="1" t="str">
        <f>"000236407 - RICH PIZZA DOUGH NCORE BB-SODX"</f>
        <v>000236407 - RICH PIZZA DOUGH NCORE BB-SODX</v>
      </c>
      <c r="C7809" t="s">
        <v>113</v>
      </c>
      <c r="D7809" s="1" t="str">
        <f t="shared" si="218"/>
        <v>PRG-1031196</v>
      </c>
      <c r="E7809" t="s">
        <v>181</v>
      </c>
      <c r="F7809" t="s">
        <v>4</v>
      </c>
      <c r="G7809" t="str">
        <f>""</f>
        <v/>
      </c>
    </row>
    <row r="7810" spans="1:7" x14ac:dyDescent="0.25">
      <c r="A7810" t="s">
        <v>8</v>
      </c>
      <c r="B7810" s="1" t="str">
        <f>"000236598 - RICHS PIZZA DOUGH CORE BB-SODX"</f>
        <v>000236598 - RICHS PIZZA DOUGH CORE BB-SODX</v>
      </c>
      <c r="C7810" t="s">
        <v>112</v>
      </c>
      <c r="D7810" s="1" t="str">
        <f t="shared" si="218"/>
        <v>PRG-1031196</v>
      </c>
      <c r="E7810" t="s">
        <v>181</v>
      </c>
      <c r="F7810" t="s">
        <v>4</v>
      </c>
      <c r="G7810" t="str">
        <f>""</f>
        <v/>
      </c>
    </row>
    <row r="7811" spans="1:7" x14ac:dyDescent="0.25">
      <c r="A7811" t="s">
        <v>8</v>
      </c>
      <c r="B7811" s="1" t="str">
        <f>"000236599 - RICH PIZZA DOUGH NCORE BB-SODX"</f>
        <v>000236599 - RICH PIZZA DOUGH NCORE BB-SODX</v>
      </c>
      <c r="C7811" t="s">
        <v>113</v>
      </c>
      <c r="D7811" s="1" t="str">
        <f t="shared" si="218"/>
        <v>PRG-1031196</v>
      </c>
      <c r="E7811" t="s">
        <v>181</v>
      </c>
      <c r="F7811" t="s">
        <v>4</v>
      </c>
      <c r="G7811" t="str">
        <f>""</f>
        <v/>
      </c>
    </row>
    <row r="7812" spans="1:7" x14ac:dyDescent="0.25">
      <c r="A7812" t="s">
        <v>8</v>
      </c>
      <c r="B7812" s="1" t="str">
        <f>"000237106 - BB SODEXO FOB RICH PIZZA&amp;ICING"</f>
        <v>000237106 - BB SODEXO FOB RICH PIZZA&amp;ICING</v>
      </c>
      <c r="C7812" t="s">
        <v>1856</v>
      </c>
      <c r="D7812" s="1" t="str">
        <f t="shared" si="218"/>
        <v>PRG-1031196</v>
      </c>
      <c r="E7812" t="s">
        <v>181</v>
      </c>
      <c r="F7812" t="s">
        <v>4</v>
      </c>
      <c r="G7812" t="str">
        <f>""</f>
        <v/>
      </c>
    </row>
    <row r="7813" spans="1:7" x14ac:dyDescent="0.25">
      <c r="A7813" t="s">
        <v>8</v>
      </c>
      <c r="B7813" s="1" t="str">
        <f>"000237107 - BB SODEXO FOB RICH PIZZA&amp;ICING"</f>
        <v>000237107 - BB SODEXO FOB RICH PIZZA&amp;ICING</v>
      </c>
      <c r="C7813" t="s">
        <v>1856</v>
      </c>
      <c r="D7813" s="1" t="str">
        <f t="shared" si="218"/>
        <v>PRG-1031196</v>
      </c>
      <c r="E7813" t="s">
        <v>181</v>
      </c>
      <c r="F7813" t="s">
        <v>4</v>
      </c>
      <c r="G7813" t="str">
        <f>""</f>
        <v/>
      </c>
    </row>
    <row r="7814" spans="1:7" x14ac:dyDescent="0.25">
      <c r="A7814" t="s">
        <v>8</v>
      </c>
      <c r="B7814" s="1" t="str">
        <f>"000237246 - RICHS PIZZA DOGH&amp;ICING CC-SODX"</f>
        <v>000237246 - RICHS PIZZA DOGH&amp;ICING CC-SODX</v>
      </c>
      <c r="C7814" t="s">
        <v>601</v>
      </c>
      <c r="D7814" s="1" t="str">
        <f t="shared" si="218"/>
        <v>PRG-1031196</v>
      </c>
      <c r="E7814" t="s">
        <v>181</v>
      </c>
      <c r="F7814" t="s">
        <v>4</v>
      </c>
      <c r="G7814" t="str">
        <f>""</f>
        <v/>
      </c>
    </row>
    <row r="7815" spans="1:7" x14ac:dyDescent="0.25">
      <c r="A7815" t="s">
        <v>8</v>
      </c>
      <c r="B7815" s="1" t="str">
        <f>"000237247 - RICHS PIZZA DOUGH BB-SODEXO"</f>
        <v>000237247 - RICHS PIZZA DOUGH BB-SODEXO</v>
      </c>
      <c r="C7815" t="s">
        <v>582</v>
      </c>
      <c r="D7815" s="1" t="str">
        <f t="shared" si="218"/>
        <v>PRG-1031196</v>
      </c>
      <c r="E7815" t="s">
        <v>181</v>
      </c>
      <c r="F7815" t="s">
        <v>4</v>
      </c>
      <c r="G7815" t="str">
        <f>""</f>
        <v/>
      </c>
    </row>
    <row r="7816" spans="1:7" x14ac:dyDescent="0.25">
      <c r="A7816" t="s">
        <v>8</v>
      </c>
      <c r="B7816" s="1" t="str">
        <f>"000237361 - "</f>
        <v xml:space="preserve">000237361 - </v>
      </c>
      <c r="D7816" s="1" t="str">
        <f t="shared" si="218"/>
        <v>PRG-1031196</v>
      </c>
      <c r="E7816" t="s">
        <v>181</v>
      </c>
      <c r="F7816" t="s">
        <v>4</v>
      </c>
      <c r="G7816" t="str">
        <f>""</f>
        <v/>
      </c>
    </row>
    <row r="7817" spans="1:7" x14ac:dyDescent="0.25">
      <c r="A7817" t="s">
        <v>8</v>
      </c>
      <c r="B7817" s="1" t="str">
        <f>"000239091 - RICH PIZZA DOUGH BB CORE-SODX"</f>
        <v>000239091 - RICH PIZZA DOUGH BB CORE-SODX</v>
      </c>
      <c r="C7817" t="s">
        <v>612</v>
      </c>
      <c r="D7817" s="1" t="str">
        <f t="shared" si="218"/>
        <v>PRG-1031196</v>
      </c>
      <c r="E7817" t="s">
        <v>181</v>
      </c>
      <c r="F7817" t="s">
        <v>4</v>
      </c>
      <c r="G7817" t="str">
        <f>""</f>
        <v/>
      </c>
    </row>
    <row r="7818" spans="1:7" x14ac:dyDescent="0.25">
      <c r="A7818" t="s">
        <v>8</v>
      </c>
      <c r="B7818" s="1" t="str">
        <f>"000239092 - RICH PIZZA DOUGH BB NCORE-SODX"</f>
        <v>000239092 - RICH PIZZA DOUGH BB NCORE-SODX</v>
      </c>
      <c r="C7818" t="s">
        <v>613</v>
      </c>
      <c r="D7818" s="1" t="str">
        <f t="shared" si="218"/>
        <v>PRG-1031196</v>
      </c>
      <c r="E7818" t="s">
        <v>181</v>
      </c>
      <c r="F7818" t="s">
        <v>4</v>
      </c>
      <c r="G7818" t="str">
        <f>""</f>
        <v/>
      </c>
    </row>
    <row r="7819" spans="1:7" x14ac:dyDescent="0.25">
      <c r="A7819" t="s">
        <v>8</v>
      </c>
      <c r="B7819" s="1" t="str">
        <f>"000239738 - "</f>
        <v xml:space="preserve">000239738 - </v>
      </c>
      <c r="D7819" s="1" t="str">
        <f t="shared" si="218"/>
        <v>PRG-1031196</v>
      </c>
      <c r="E7819" t="s">
        <v>181</v>
      </c>
      <c r="F7819" t="s">
        <v>4</v>
      </c>
      <c r="G7819" t="str">
        <f>""</f>
        <v/>
      </c>
    </row>
    <row r="7820" spans="1:7" x14ac:dyDescent="0.25">
      <c r="A7820" t="s">
        <v>8</v>
      </c>
      <c r="B7820" s="1" t="str">
        <f>"000239739 - "</f>
        <v xml:space="preserve">000239739 - </v>
      </c>
      <c r="D7820" s="1" t="str">
        <f t="shared" si="218"/>
        <v>PRG-1031196</v>
      </c>
      <c r="E7820" t="s">
        <v>181</v>
      </c>
      <c r="F7820" t="s">
        <v>4</v>
      </c>
      <c r="G7820" t="str">
        <f>""</f>
        <v/>
      </c>
    </row>
    <row r="7821" spans="1:7" x14ac:dyDescent="0.25">
      <c r="A7821" t="s">
        <v>8</v>
      </c>
      <c r="B7821" s="1" t="str">
        <f>"000241819 - RICHS PIZZA DOUGH CORE BB-SODX"</f>
        <v>000241819 - RICHS PIZZA DOUGH CORE BB-SODX</v>
      </c>
      <c r="C7821" t="s">
        <v>112</v>
      </c>
      <c r="D7821" s="1" t="str">
        <f t="shared" si="218"/>
        <v>PRG-1031196</v>
      </c>
      <c r="E7821" t="s">
        <v>181</v>
      </c>
      <c r="F7821" t="s">
        <v>4</v>
      </c>
      <c r="G7821" t="str">
        <f>""</f>
        <v/>
      </c>
    </row>
    <row r="7822" spans="1:7" x14ac:dyDescent="0.25">
      <c r="A7822" t="s">
        <v>8</v>
      </c>
      <c r="B7822" s="1" t="str">
        <f>"000241820 - RICH PIZZA DOUGH NCORE BB-SODX"</f>
        <v>000241820 - RICH PIZZA DOUGH NCORE BB-SODX</v>
      </c>
      <c r="C7822" t="s">
        <v>113</v>
      </c>
      <c r="D7822" s="1" t="str">
        <f t="shared" si="218"/>
        <v>PRG-1031196</v>
      </c>
      <c r="E7822" t="s">
        <v>181</v>
      </c>
      <c r="F7822" t="s">
        <v>4</v>
      </c>
      <c r="G7822" t="str">
        <f>""</f>
        <v/>
      </c>
    </row>
    <row r="7823" spans="1:7" x14ac:dyDescent="0.25">
      <c r="A7823" t="s">
        <v>8</v>
      </c>
      <c r="B7823" s="1" t="str">
        <f>"000242226 - RICH PIZZA &amp; ICING CBB-SODEXO"</f>
        <v>000242226 - RICH PIZZA &amp; ICING CBB-SODEXO</v>
      </c>
      <c r="C7823" t="s">
        <v>180</v>
      </c>
      <c r="D7823" s="1" t="str">
        <f t="shared" si="218"/>
        <v>PRG-1031196</v>
      </c>
      <c r="E7823" t="s">
        <v>181</v>
      </c>
      <c r="F7823" t="s">
        <v>4</v>
      </c>
      <c r="G7823" t="str">
        <f>""</f>
        <v/>
      </c>
    </row>
    <row r="7824" spans="1:7" x14ac:dyDescent="0.25">
      <c r="A7824" t="s">
        <v>8</v>
      </c>
      <c r="B7824" s="1" t="str">
        <f>"000242227 - RICH PIZZA &amp; ICING NCBB-SODEXO"</f>
        <v>000242227 - RICH PIZZA &amp; ICING NCBB-SODEXO</v>
      </c>
      <c r="C7824" t="s">
        <v>182</v>
      </c>
      <c r="D7824" s="1" t="str">
        <f t="shared" si="218"/>
        <v>PRG-1031196</v>
      </c>
      <c r="E7824" t="s">
        <v>181</v>
      </c>
      <c r="F7824" t="s">
        <v>4</v>
      </c>
      <c r="G7824" t="str">
        <f>""</f>
        <v/>
      </c>
    </row>
    <row r="7825" spans="1:7" x14ac:dyDescent="0.25">
      <c r="A7825" t="s">
        <v>8</v>
      </c>
      <c r="B7825" s="1" t="str">
        <f>"000243008 - RICH PIZZA &amp; ICING CBB-SODEXO"</f>
        <v>000243008 - RICH PIZZA &amp; ICING CBB-SODEXO</v>
      </c>
      <c r="C7825" t="s">
        <v>180</v>
      </c>
      <c r="D7825" s="1" t="str">
        <f t="shared" si="218"/>
        <v>PRG-1031196</v>
      </c>
      <c r="E7825" t="s">
        <v>181</v>
      </c>
      <c r="F7825" t="s">
        <v>4</v>
      </c>
      <c r="G7825" t="str">
        <f>""</f>
        <v/>
      </c>
    </row>
    <row r="7826" spans="1:7" x14ac:dyDescent="0.25">
      <c r="A7826" t="s">
        <v>8</v>
      </c>
      <c r="B7826" s="1" t="str">
        <f>"000243009 - RICH PIZZA &amp; ICING NCBB-SODEXO"</f>
        <v>000243009 - RICH PIZZA &amp; ICING NCBB-SODEXO</v>
      </c>
      <c r="C7826" t="s">
        <v>182</v>
      </c>
      <c r="D7826" s="1" t="str">
        <f t="shared" si="218"/>
        <v>PRG-1031196</v>
      </c>
      <c r="E7826" t="s">
        <v>181</v>
      </c>
      <c r="F7826" t="s">
        <v>4</v>
      </c>
      <c r="G7826" t="str">
        <f>""</f>
        <v/>
      </c>
    </row>
    <row r="7827" spans="1:7" x14ac:dyDescent="0.25">
      <c r="A7827" t="s">
        <v>8</v>
      </c>
      <c r="B7827" s="1" t="str">
        <f>"000243920 - "</f>
        <v xml:space="preserve">000243920 - </v>
      </c>
      <c r="D7827" s="1" t="str">
        <f t="shared" si="218"/>
        <v>PRG-1031196</v>
      </c>
      <c r="E7827" t="s">
        <v>181</v>
      </c>
      <c r="F7827" t="s">
        <v>4</v>
      </c>
      <c r="G7827" t="str">
        <f>""</f>
        <v/>
      </c>
    </row>
    <row r="7828" spans="1:7" x14ac:dyDescent="0.25">
      <c r="A7828" t="s">
        <v>8</v>
      </c>
      <c r="B7828" s="1" t="str">
        <f>"000243964 - RICHS PIZZA DOUGH BB-SODEXO"</f>
        <v>000243964 - RICHS PIZZA DOUGH BB-SODEXO</v>
      </c>
      <c r="C7828" t="s">
        <v>582</v>
      </c>
      <c r="D7828" s="1" t="str">
        <f t="shared" si="218"/>
        <v>PRG-1031196</v>
      </c>
      <c r="E7828" t="s">
        <v>181</v>
      </c>
      <c r="F7828" t="s">
        <v>4</v>
      </c>
      <c r="G7828" t="str">
        <f>""</f>
        <v/>
      </c>
    </row>
    <row r="7829" spans="1:7" x14ac:dyDescent="0.25">
      <c r="A7829" t="s">
        <v>8</v>
      </c>
      <c r="B7829" s="1" t="str">
        <f>"000243965 - RICH PIZZA DOUGH BB NCORE-SODX"</f>
        <v>000243965 - RICH PIZZA DOUGH BB NCORE-SODX</v>
      </c>
      <c r="C7829" t="s">
        <v>613</v>
      </c>
      <c r="D7829" s="1" t="str">
        <f t="shared" si="218"/>
        <v>PRG-1031196</v>
      </c>
      <c r="E7829" t="s">
        <v>181</v>
      </c>
      <c r="F7829" t="s">
        <v>4</v>
      </c>
      <c r="G7829" t="str">
        <f>""</f>
        <v/>
      </c>
    </row>
    <row r="7830" spans="1:7" x14ac:dyDescent="0.25">
      <c r="A7830" t="s">
        <v>8</v>
      </c>
      <c r="B7830" s="1" t="str">
        <f>"000244555 - RICH PIZZA &amp; ICING CBB-SODEXO"</f>
        <v>000244555 - RICH PIZZA &amp; ICING CBB-SODEXO</v>
      </c>
      <c r="C7830" t="s">
        <v>180</v>
      </c>
      <c r="D7830" s="1" t="str">
        <f t="shared" si="218"/>
        <v>PRG-1031196</v>
      </c>
      <c r="E7830" t="s">
        <v>181</v>
      </c>
      <c r="F7830" t="s">
        <v>4</v>
      </c>
      <c r="G7830" t="str">
        <f>""</f>
        <v/>
      </c>
    </row>
    <row r="7831" spans="1:7" x14ac:dyDescent="0.25">
      <c r="A7831" t="s">
        <v>8</v>
      </c>
      <c r="B7831" s="1" t="str">
        <f>"000244556 - RICH PIZZA &amp; ICING NCBB-SODEXO"</f>
        <v>000244556 - RICH PIZZA &amp; ICING NCBB-SODEXO</v>
      </c>
      <c r="C7831" t="s">
        <v>182</v>
      </c>
      <c r="D7831" s="1" t="str">
        <f t="shared" si="218"/>
        <v>PRG-1031196</v>
      </c>
      <c r="E7831" t="s">
        <v>181</v>
      </c>
      <c r="F7831" t="s">
        <v>4</v>
      </c>
      <c r="G7831" t="str">
        <f>""</f>
        <v/>
      </c>
    </row>
    <row r="7832" spans="1:7" x14ac:dyDescent="0.25">
      <c r="A7832" t="s">
        <v>8</v>
      </c>
      <c r="B7832" s="1" t="str">
        <f>"000244637 - RICH PIZZA &amp; ICING NCBB-SODEXO"</f>
        <v>000244637 - RICH PIZZA &amp; ICING NCBB-SODEXO</v>
      </c>
      <c r="C7832" t="s">
        <v>182</v>
      </c>
      <c r="D7832" s="1" t="str">
        <f t="shared" si="218"/>
        <v>PRG-1031196</v>
      </c>
      <c r="E7832" t="s">
        <v>181</v>
      </c>
      <c r="F7832" t="s">
        <v>4</v>
      </c>
      <c r="G7832" t="str">
        <f>""</f>
        <v/>
      </c>
    </row>
    <row r="7833" spans="1:7" x14ac:dyDescent="0.25">
      <c r="A7833" t="s">
        <v>8</v>
      </c>
      <c r="B7833" s="1" t="str">
        <f>"000245903 - RICH PIZZA &amp; ICING CBB-SODEXO"</f>
        <v>000245903 - RICH PIZZA &amp; ICING CBB-SODEXO</v>
      </c>
      <c r="C7833" t="s">
        <v>180</v>
      </c>
      <c r="D7833" s="1" t="str">
        <f t="shared" si="218"/>
        <v>PRG-1031196</v>
      </c>
      <c r="E7833" t="s">
        <v>181</v>
      </c>
      <c r="F7833" t="s">
        <v>4</v>
      </c>
      <c r="G7833" t="str">
        <f>""</f>
        <v/>
      </c>
    </row>
    <row r="7834" spans="1:7" x14ac:dyDescent="0.25">
      <c r="A7834" t="s">
        <v>8</v>
      </c>
      <c r="B7834" s="1" t="str">
        <f>"000245904 - RICH PIZZA &amp; ICING NCBB-SODEXO"</f>
        <v>000245904 - RICH PIZZA &amp; ICING NCBB-SODEXO</v>
      </c>
      <c r="C7834" t="s">
        <v>182</v>
      </c>
      <c r="D7834" s="1" t="str">
        <f t="shared" si="218"/>
        <v>PRG-1031196</v>
      </c>
      <c r="E7834" t="s">
        <v>181</v>
      </c>
      <c r="F7834" t="s">
        <v>4</v>
      </c>
      <c r="G7834" t="str">
        <f>""</f>
        <v/>
      </c>
    </row>
    <row r="7835" spans="1:7" x14ac:dyDescent="0.25">
      <c r="A7835" t="s">
        <v>8</v>
      </c>
      <c r="B7835" s="1" t="str">
        <f>"000246532 - RICHS PIZZA DOUGH CORE BB-SODX"</f>
        <v>000246532 - RICHS PIZZA DOUGH CORE BB-SODX</v>
      </c>
      <c r="C7835" t="s">
        <v>112</v>
      </c>
      <c r="D7835" s="1" t="str">
        <f t="shared" si="218"/>
        <v>PRG-1031196</v>
      </c>
      <c r="E7835" t="s">
        <v>181</v>
      </c>
      <c r="F7835" t="s">
        <v>4</v>
      </c>
      <c r="G7835" t="str">
        <f>""</f>
        <v/>
      </c>
    </row>
    <row r="7836" spans="1:7" x14ac:dyDescent="0.25">
      <c r="A7836" t="s">
        <v>8</v>
      </c>
      <c r="B7836" s="1" t="str">
        <f>"000246533 - RICH PIZZA DOUGH NCORE BB-SODX"</f>
        <v>000246533 - RICH PIZZA DOUGH NCORE BB-SODX</v>
      </c>
      <c r="C7836" t="s">
        <v>113</v>
      </c>
      <c r="D7836" s="1" t="str">
        <f t="shared" si="218"/>
        <v>PRG-1031196</v>
      </c>
      <c r="E7836" t="s">
        <v>181</v>
      </c>
      <c r="F7836" t="s">
        <v>4</v>
      </c>
      <c r="G7836" t="str">
        <f>""</f>
        <v/>
      </c>
    </row>
    <row r="7837" spans="1:7" x14ac:dyDescent="0.25">
      <c r="A7837" t="s">
        <v>8</v>
      </c>
      <c r="B7837" s="1" t="str">
        <f>"000246612 - RICHS PIZZA DOGH&amp;ICING CC-SODX"</f>
        <v>000246612 - RICHS PIZZA DOGH&amp;ICING CC-SODX</v>
      </c>
      <c r="C7837" t="s">
        <v>601</v>
      </c>
      <c r="D7837" s="1" t="str">
        <f t="shared" si="218"/>
        <v>PRG-1031196</v>
      </c>
      <c r="E7837" t="s">
        <v>181</v>
      </c>
      <c r="F7837" t="s">
        <v>4</v>
      </c>
      <c r="G7837" t="str">
        <f>""</f>
        <v/>
      </c>
    </row>
    <row r="7838" spans="1:7" x14ac:dyDescent="0.25">
      <c r="A7838" t="s">
        <v>8</v>
      </c>
      <c r="B7838" s="1" t="str">
        <f>"000247020 - RICH PIZZA &amp; ICING CBB-SODEXO"</f>
        <v>000247020 - RICH PIZZA &amp; ICING CBB-SODEXO</v>
      </c>
      <c r="C7838" t="s">
        <v>180</v>
      </c>
      <c r="D7838" s="1" t="str">
        <f t="shared" si="218"/>
        <v>PRG-1031196</v>
      </c>
      <c r="E7838" t="s">
        <v>181</v>
      </c>
      <c r="F7838" t="s">
        <v>4</v>
      </c>
      <c r="G7838" t="str">
        <f>""</f>
        <v/>
      </c>
    </row>
    <row r="7839" spans="1:7" x14ac:dyDescent="0.25">
      <c r="A7839" t="s">
        <v>8</v>
      </c>
      <c r="B7839" s="1" t="str">
        <f>"000247021 - RICH PIZZA &amp; ICING NCBB-SODEXO"</f>
        <v>000247021 - RICH PIZZA &amp; ICING NCBB-SODEXO</v>
      </c>
      <c r="C7839" t="s">
        <v>182</v>
      </c>
      <c r="D7839" s="1" t="str">
        <f t="shared" si="218"/>
        <v>PRG-1031196</v>
      </c>
      <c r="E7839" t="s">
        <v>181</v>
      </c>
      <c r="F7839" t="s">
        <v>4</v>
      </c>
      <c r="G7839" t="str">
        <f>""</f>
        <v/>
      </c>
    </row>
    <row r="7840" spans="1:7" x14ac:dyDescent="0.25">
      <c r="A7840" t="s">
        <v>8</v>
      </c>
      <c r="B7840" s="1" t="str">
        <f>"000247249 - "</f>
        <v xml:space="preserve">000247249 - </v>
      </c>
      <c r="D7840" s="1" t="str">
        <f t="shared" si="218"/>
        <v>PRG-1031196</v>
      </c>
      <c r="E7840" t="s">
        <v>181</v>
      </c>
      <c r="F7840" t="s">
        <v>4</v>
      </c>
      <c r="G7840" t="str">
        <f>""</f>
        <v/>
      </c>
    </row>
    <row r="7841" spans="1:7" x14ac:dyDescent="0.25">
      <c r="A7841" t="s">
        <v>8</v>
      </c>
      <c r="B7841" s="1" t="str">
        <f>"000248328 - RICH PIZZA &amp; ICING CBB-SODEXO"</f>
        <v>000248328 - RICH PIZZA &amp; ICING CBB-SODEXO</v>
      </c>
      <c r="C7841" t="s">
        <v>180</v>
      </c>
      <c r="D7841" s="1" t="str">
        <f t="shared" si="218"/>
        <v>PRG-1031196</v>
      </c>
      <c r="E7841" t="s">
        <v>181</v>
      </c>
      <c r="F7841" t="s">
        <v>4</v>
      </c>
      <c r="G7841" t="str">
        <f>""</f>
        <v/>
      </c>
    </row>
    <row r="7842" spans="1:7" x14ac:dyDescent="0.25">
      <c r="A7842" t="s">
        <v>8</v>
      </c>
      <c r="B7842" s="1" t="str">
        <f>"000248329 - RICH PIZZA &amp; ICING NCBB-SODEXO"</f>
        <v>000248329 - RICH PIZZA &amp; ICING NCBB-SODEXO</v>
      </c>
      <c r="C7842" t="s">
        <v>182</v>
      </c>
      <c r="D7842" s="1" t="str">
        <f t="shared" ref="D7842:D7905" si="219">"PRG-1031196"</f>
        <v>PRG-1031196</v>
      </c>
      <c r="E7842" t="s">
        <v>181</v>
      </c>
      <c r="F7842" t="s">
        <v>4</v>
      </c>
      <c r="G7842" t="str">
        <f>""</f>
        <v/>
      </c>
    </row>
    <row r="7843" spans="1:7" x14ac:dyDescent="0.25">
      <c r="A7843" t="s">
        <v>8</v>
      </c>
      <c r="B7843" s="1" t="str">
        <f>"000249166 - RICH PIZZA DOUGH BB CORE-SODX"</f>
        <v>000249166 - RICH PIZZA DOUGH BB CORE-SODX</v>
      </c>
      <c r="C7843" t="s">
        <v>612</v>
      </c>
      <c r="D7843" s="1" t="str">
        <f t="shared" si="219"/>
        <v>PRG-1031196</v>
      </c>
      <c r="E7843" t="s">
        <v>181</v>
      </c>
      <c r="F7843" t="s">
        <v>4</v>
      </c>
      <c r="G7843" t="str">
        <f>""</f>
        <v/>
      </c>
    </row>
    <row r="7844" spans="1:7" x14ac:dyDescent="0.25">
      <c r="A7844" t="s">
        <v>8</v>
      </c>
      <c r="B7844" s="1" t="str">
        <f>"000249167 - RICH PIZZA DOUGH BB NCORE-SODX"</f>
        <v>000249167 - RICH PIZZA DOUGH BB NCORE-SODX</v>
      </c>
      <c r="C7844" t="s">
        <v>613</v>
      </c>
      <c r="D7844" s="1" t="str">
        <f t="shared" si="219"/>
        <v>PRG-1031196</v>
      </c>
      <c r="E7844" t="s">
        <v>181</v>
      </c>
      <c r="F7844" t="s">
        <v>4</v>
      </c>
      <c r="G7844" t="str">
        <f>""</f>
        <v/>
      </c>
    </row>
    <row r="7845" spans="1:7" x14ac:dyDescent="0.25">
      <c r="A7845" t="s">
        <v>8</v>
      </c>
      <c r="B7845" s="1" t="str">
        <f>"000249201 - "</f>
        <v xml:space="preserve">000249201 - </v>
      </c>
      <c r="D7845" s="1" t="str">
        <f t="shared" si="219"/>
        <v>PRG-1031196</v>
      </c>
      <c r="E7845" t="s">
        <v>181</v>
      </c>
      <c r="F7845" t="s">
        <v>4</v>
      </c>
      <c r="G7845" t="str">
        <f>""</f>
        <v/>
      </c>
    </row>
    <row r="7846" spans="1:7" x14ac:dyDescent="0.25">
      <c r="A7846" t="s">
        <v>8</v>
      </c>
      <c r="B7846" s="1" t="str">
        <f>"000249202 - "</f>
        <v xml:space="preserve">000249202 - </v>
      </c>
      <c r="D7846" s="1" t="str">
        <f t="shared" si="219"/>
        <v>PRG-1031196</v>
      </c>
      <c r="E7846" t="s">
        <v>181</v>
      </c>
      <c r="F7846" t="s">
        <v>4</v>
      </c>
      <c r="G7846" t="str">
        <f>""</f>
        <v/>
      </c>
    </row>
    <row r="7847" spans="1:7" x14ac:dyDescent="0.25">
      <c r="A7847" t="s">
        <v>8</v>
      </c>
      <c r="B7847" s="1" t="str">
        <f>"000249221 - "</f>
        <v xml:space="preserve">000249221 - </v>
      </c>
      <c r="D7847" s="1" t="str">
        <f t="shared" si="219"/>
        <v>PRG-1031196</v>
      </c>
      <c r="E7847" t="s">
        <v>181</v>
      </c>
      <c r="F7847" t="s">
        <v>4</v>
      </c>
      <c r="G7847" t="str">
        <f>""</f>
        <v/>
      </c>
    </row>
    <row r="7848" spans="1:7" x14ac:dyDescent="0.25">
      <c r="A7848" t="s">
        <v>8</v>
      </c>
      <c r="B7848" s="1" t="str">
        <f>"000249254 - RICH PIZZA DOUGH BB CORE-SODX"</f>
        <v>000249254 - RICH PIZZA DOUGH BB CORE-SODX</v>
      </c>
      <c r="C7848" t="s">
        <v>612</v>
      </c>
      <c r="D7848" s="1" t="str">
        <f t="shared" si="219"/>
        <v>PRG-1031196</v>
      </c>
      <c r="E7848" t="s">
        <v>181</v>
      </c>
      <c r="F7848" t="s">
        <v>4</v>
      </c>
      <c r="G7848" t="str">
        <f>""</f>
        <v/>
      </c>
    </row>
    <row r="7849" spans="1:7" x14ac:dyDescent="0.25">
      <c r="A7849" t="s">
        <v>8</v>
      </c>
      <c r="B7849" s="1" t="str">
        <f>"000249255 - RICH PIZZA DOUGH BB NCORE-SODX"</f>
        <v>000249255 - RICH PIZZA DOUGH BB NCORE-SODX</v>
      </c>
      <c r="C7849" t="s">
        <v>613</v>
      </c>
      <c r="D7849" s="1" t="str">
        <f t="shared" si="219"/>
        <v>PRG-1031196</v>
      </c>
      <c r="E7849" t="s">
        <v>181</v>
      </c>
      <c r="F7849" t="s">
        <v>4</v>
      </c>
      <c r="G7849" t="str">
        <f>""</f>
        <v/>
      </c>
    </row>
    <row r="7850" spans="1:7" x14ac:dyDescent="0.25">
      <c r="A7850" t="s">
        <v>8</v>
      </c>
      <c r="B7850" s="1" t="str">
        <f>"000251203 - RICH PIZZA &amp; ICING CBB-SODEXO"</f>
        <v>000251203 - RICH PIZZA &amp; ICING CBB-SODEXO</v>
      </c>
      <c r="C7850" t="s">
        <v>180</v>
      </c>
      <c r="D7850" s="1" t="str">
        <f t="shared" si="219"/>
        <v>PRG-1031196</v>
      </c>
      <c r="E7850" t="s">
        <v>181</v>
      </c>
      <c r="F7850" t="s">
        <v>4</v>
      </c>
      <c r="G7850" t="str">
        <f>""</f>
        <v/>
      </c>
    </row>
    <row r="7851" spans="1:7" x14ac:dyDescent="0.25">
      <c r="A7851" t="s">
        <v>8</v>
      </c>
      <c r="B7851" s="1" t="str">
        <f>"000251204 - RICH PIZZA &amp; ICING NCBB-SODEXO"</f>
        <v>000251204 - RICH PIZZA &amp; ICING NCBB-SODEXO</v>
      </c>
      <c r="C7851" t="s">
        <v>182</v>
      </c>
      <c r="D7851" s="1" t="str">
        <f t="shared" si="219"/>
        <v>PRG-1031196</v>
      </c>
      <c r="E7851" t="s">
        <v>181</v>
      </c>
      <c r="F7851" t="s">
        <v>4</v>
      </c>
      <c r="G7851" t="str">
        <f>""</f>
        <v/>
      </c>
    </row>
    <row r="7852" spans="1:7" x14ac:dyDescent="0.25">
      <c r="A7852" t="s">
        <v>8</v>
      </c>
      <c r="B7852" s="1" t="str">
        <f>"000251273 - RICH PIZZA DOUGH BB CORE-SODX"</f>
        <v>000251273 - RICH PIZZA DOUGH BB CORE-SODX</v>
      </c>
      <c r="C7852" t="s">
        <v>612</v>
      </c>
      <c r="D7852" s="1" t="str">
        <f t="shared" si="219"/>
        <v>PRG-1031196</v>
      </c>
      <c r="E7852" t="s">
        <v>181</v>
      </c>
      <c r="F7852" t="s">
        <v>4</v>
      </c>
      <c r="G7852" t="str">
        <f>""</f>
        <v/>
      </c>
    </row>
    <row r="7853" spans="1:7" x14ac:dyDescent="0.25">
      <c r="A7853" t="s">
        <v>8</v>
      </c>
      <c r="B7853" s="1" t="str">
        <f>"000251274 - RICH PIZZA DOUGH BB NCORE-SODX"</f>
        <v>000251274 - RICH PIZZA DOUGH BB NCORE-SODX</v>
      </c>
      <c r="C7853" t="s">
        <v>613</v>
      </c>
      <c r="D7853" s="1" t="str">
        <f t="shared" si="219"/>
        <v>PRG-1031196</v>
      </c>
      <c r="E7853" t="s">
        <v>181</v>
      </c>
      <c r="F7853" t="s">
        <v>4</v>
      </c>
      <c r="G7853" t="str">
        <f>""</f>
        <v/>
      </c>
    </row>
    <row r="7854" spans="1:7" x14ac:dyDescent="0.25">
      <c r="A7854" t="s">
        <v>8</v>
      </c>
      <c r="B7854" s="1" t="str">
        <f>"000251937 - RICHS PIZZA DOGH&amp;ICING CC-SODX"</f>
        <v>000251937 - RICHS PIZZA DOGH&amp;ICING CC-SODX</v>
      </c>
      <c r="C7854" t="s">
        <v>601</v>
      </c>
      <c r="D7854" s="1" t="str">
        <f t="shared" si="219"/>
        <v>PRG-1031196</v>
      </c>
      <c r="E7854" t="s">
        <v>181</v>
      </c>
      <c r="F7854" t="s">
        <v>4</v>
      </c>
      <c r="G7854" t="str">
        <f>""</f>
        <v/>
      </c>
    </row>
    <row r="7855" spans="1:7" x14ac:dyDescent="0.25">
      <c r="A7855" t="s">
        <v>8</v>
      </c>
      <c r="B7855" s="1" t="str">
        <f>"000251950 - "</f>
        <v xml:space="preserve">000251950 - </v>
      </c>
      <c r="D7855" s="1" t="str">
        <f t="shared" si="219"/>
        <v>PRG-1031196</v>
      </c>
      <c r="E7855" t="s">
        <v>181</v>
      </c>
      <c r="F7855" t="s">
        <v>4</v>
      </c>
      <c r="G7855" t="str">
        <f>""</f>
        <v/>
      </c>
    </row>
    <row r="7856" spans="1:7" x14ac:dyDescent="0.25">
      <c r="A7856" t="s">
        <v>8</v>
      </c>
      <c r="B7856" s="1" t="str">
        <f>"000251951 - "</f>
        <v xml:space="preserve">000251951 - </v>
      </c>
      <c r="D7856" s="1" t="str">
        <f t="shared" si="219"/>
        <v>PRG-1031196</v>
      </c>
      <c r="E7856" t="s">
        <v>181</v>
      </c>
      <c r="F7856" t="s">
        <v>4</v>
      </c>
      <c r="G7856" t="str">
        <f>""</f>
        <v/>
      </c>
    </row>
    <row r="7857" spans="1:7" x14ac:dyDescent="0.25">
      <c r="A7857" t="s">
        <v>8</v>
      </c>
      <c r="B7857" s="1" t="str">
        <f>"000252536 - RICHS PIZZA DOUGH CORE BB-SODX"</f>
        <v>000252536 - RICHS PIZZA DOUGH CORE BB-SODX</v>
      </c>
      <c r="C7857" t="s">
        <v>112</v>
      </c>
      <c r="D7857" s="1" t="str">
        <f t="shared" si="219"/>
        <v>PRG-1031196</v>
      </c>
      <c r="E7857" t="s">
        <v>181</v>
      </c>
      <c r="F7857" t="s">
        <v>4</v>
      </c>
      <c r="G7857" t="str">
        <f>""</f>
        <v/>
      </c>
    </row>
    <row r="7858" spans="1:7" x14ac:dyDescent="0.25">
      <c r="A7858" t="s">
        <v>8</v>
      </c>
      <c r="B7858" s="1" t="str">
        <f>"000252537 - RICH PIZZA DOUGH NCORE BB-SODX"</f>
        <v>000252537 - RICH PIZZA DOUGH NCORE BB-SODX</v>
      </c>
      <c r="C7858" t="s">
        <v>113</v>
      </c>
      <c r="D7858" s="1" t="str">
        <f t="shared" si="219"/>
        <v>PRG-1031196</v>
      </c>
      <c r="E7858" t="s">
        <v>181</v>
      </c>
      <c r="F7858" t="s">
        <v>4</v>
      </c>
      <c r="G7858" t="str">
        <f>""</f>
        <v/>
      </c>
    </row>
    <row r="7859" spans="1:7" x14ac:dyDescent="0.25">
      <c r="A7859" t="s">
        <v>8</v>
      </c>
      <c r="B7859" s="1" t="str">
        <f>"000252651 - RICHS PIZZA DOGH&amp;ICING CC-SODX"</f>
        <v>000252651 - RICHS PIZZA DOGH&amp;ICING CC-SODX</v>
      </c>
      <c r="C7859" t="s">
        <v>601</v>
      </c>
      <c r="D7859" s="1" t="str">
        <f t="shared" si="219"/>
        <v>PRG-1031196</v>
      </c>
      <c r="E7859" t="s">
        <v>181</v>
      </c>
      <c r="F7859" t="s">
        <v>4</v>
      </c>
      <c r="G7859" t="str">
        <f>""</f>
        <v/>
      </c>
    </row>
    <row r="7860" spans="1:7" x14ac:dyDescent="0.25">
      <c r="A7860" t="s">
        <v>8</v>
      </c>
      <c r="B7860" s="1" t="str">
        <f>"000254106 - RICH PIZZA DOUGH BB CORE-SODX"</f>
        <v>000254106 - RICH PIZZA DOUGH BB CORE-SODX</v>
      </c>
      <c r="C7860" t="s">
        <v>612</v>
      </c>
      <c r="D7860" s="1" t="str">
        <f t="shared" si="219"/>
        <v>PRG-1031196</v>
      </c>
      <c r="E7860" t="s">
        <v>181</v>
      </c>
      <c r="F7860" t="s">
        <v>4</v>
      </c>
      <c r="G7860" t="str">
        <f>""</f>
        <v/>
      </c>
    </row>
    <row r="7861" spans="1:7" x14ac:dyDescent="0.25">
      <c r="A7861" t="s">
        <v>8</v>
      </c>
      <c r="B7861" s="1" t="str">
        <f>"000254107 - RICH PIZZA DOUGH BB NCORE-SODX"</f>
        <v>000254107 - RICH PIZZA DOUGH BB NCORE-SODX</v>
      </c>
      <c r="C7861" t="s">
        <v>613</v>
      </c>
      <c r="D7861" s="1" t="str">
        <f t="shared" si="219"/>
        <v>PRG-1031196</v>
      </c>
      <c r="E7861" t="s">
        <v>181</v>
      </c>
      <c r="F7861" t="s">
        <v>4</v>
      </c>
      <c r="G7861" t="str">
        <f>""</f>
        <v/>
      </c>
    </row>
    <row r="7862" spans="1:7" x14ac:dyDescent="0.25">
      <c r="A7862" t="s">
        <v>8</v>
      </c>
      <c r="B7862" s="1" t="str">
        <f>"000254121 - RICHS PIZZA DOUGH CORE BB-SODX"</f>
        <v>000254121 - RICHS PIZZA DOUGH CORE BB-SODX</v>
      </c>
      <c r="C7862" t="s">
        <v>112</v>
      </c>
      <c r="D7862" s="1" t="str">
        <f t="shared" si="219"/>
        <v>PRG-1031196</v>
      </c>
      <c r="E7862" t="s">
        <v>181</v>
      </c>
      <c r="F7862" t="s">
        <v>4</v>
      </c>
      <c r="G7862" t="str">
        <f>""</f>
        <v/>
      </c>
    </row>
    <row r="7863" spans="1:7" x14ac:dyDescent="0.25">
      <c r="A7863" t="s">
        <v>8</v>
      </c>
      <c r="B7863" s="1" t="str">
        <f>"000254122 - RICH PIZZA DOUGH NCORE BB-SODX"</f>
        <v>000254122 - RICH PIZZA DOUGH NCORE BB-SODX</v>
      </c>
      <c r="C7863" t="s">
        <v>113</v>
      </c>
      <c r="D7863" s="1" t="str">
        <f t="shared" si="219"/>
        <v>PRG-1031196</v>
      </c>
      <c r="E7863" t="s">
        <v>181</v>
      </c>
      <c r="F7863" t="s">
        <v>4</v>
      </c>
      <c r="G7863" t="str">
        <f>""</f>
        <v/>
      </c>
    </row>
    <row r="7864" spans="1:7" x14ac:dyDescent="0.25">
      <c r="A7864" t="s">
        <v>8</v>
      </c>
      <c r="B7864" s="1" t="str">
        <f>"000254197 - RICHS PIZZA DOGH&amp;ICING CC-SODX"</f>
        <v>000254197 - RICHS PIZZA DOGH&amp;ICING CC-SODX</v>
      </c>
      <c r="C7864" t="s">
        <v>601</v>
      </c>
      <c r="D7864" s="1" t="str">
        <f t="shared" si="219"/>
        <v>PRG-1031196</v>
      </c>
      <c r="E7864" t="s">
        <v>181</v>
      </c>
      <c r="F7864" t="s">
        <v>4</v>
      </c>
      <c r="G7864" t="str">
        <f>""</f>
        <v/>
      </c>
    </row>
    <row r="7865" spans="1:7" x14ac:dyDescent="0.25">
      <c r="A7865" t="s">
        <v>8</v>
      </c>
      <c r="B7865" s="1" t="str">
        <f>"000254390 - RICH PIZZA DOUGH BB NCORE-SODX"</f>
        <v>000254390 - RICH PIZZA DOUGH BB NCORE-SODX</v>
      </c>
      <c r="C7865" t="s">
        <v>613</v>
      </c>
      <c r="D7865" s="1" t="str">
        <f t="shared" si="219"/>
        <v>PRG-1031196</v>
      </c>
      <c r="E7865" t="s">
        <v>181</v>
      </c>
      <c r="F7865" t="s">
        <v>4</v>
      </c>
      <c r="G7865" t="str">
        <f>""</f>
        <v/>
      </c>
    </row>
    <row r="7866" spans="1:7" x14ac:dyDescent="0.25">
      <c r="A7866" t="s">
        <v>8</v>
      </c>
      <c r="B7866" s="1" t="str">
        <f>"000254798 - RICHS PIZZA DOGH&amp;ICING CC-SODX"</f>
        <v>000254798 - RICHS PIZZA DOGH&amp;ICING CC-SODX</v>
      </c>
      <c r="C7866" t="s">
        <v>601</v>
      </c>
      <c r="D7866" s="1" t="str">
        <f t="shared" si="219"/>
        <v>PRG-1031196</v>
      </c>
      <c r="E7866" t="s">
        <v>181</v>
      </c>
      <c r="F7866" t="s">
        <v>4</v>
      </c>
      <c r="G7866" t="str">
        <f>""</f>
        <v/>
      </c>
    </row>
    <row r="7867" spans="1:7" x14ac:dyDescent="0.25">
      <c r="A7867" t="s">
        <v>8</v>
      </c>
      <c r="B7867" s="1" t="str">
        <f>"000254964 - RICH PIZZA DOUGH BB CORE-SODX"</f>
        <v>000254964 - RICH PIZZA DOUGH BB CORE-SODX</v>
      </c>
      <c r="C7867" t="s">
        <v>612</v>
      </c>
      <c r="D7867" s="1" t="str">
        <f t="shared" si="219"/>
        <v>PRG-1031196</v>
      </c>
      <c r="E7867" t="s">
        <v>181</v>
      </c>
      <c r="F7867" t="s">
        <v>4</v>
      </c>
      <c r="G7867" t="str">
        <f>""</f>
        <v/>
      </c>
    </row>
    <row r="7868" spans="1:7" x14ac:dyDescent="0.25">
      <c r="A7868" t="s">
        <v>8</v>
      </c>
      <c r="B7868" s="1" t="str">
        <f>"000254965 - RICH PIZZA DOUGH BB NCORE-SODX"</f>
        <v>000254965 - RICH PIZZA DOUGH BB NCORE-SODX</v>
      </c>
      <c r="C7868" t="s">
        <v>613</v>
      </c>
      <c r="D7868" s="1" t="str">
        <f t="shared" si="219"/>
        <v>PRG-1031196</v>
      </c>
      <c r="E7868" t="s">
        <v>181</v>
      </c>
      <c r="F7868" t="s">
        <v>4</v>
      </c>
      <c r="G7868" t="str">
        <f>""</f>
        <v/>
      </c>
    </row>
    <row r="7869" spans="1:7" x14ac:dyDescent="0.25">
      <c r="A7869" t="s">
        <v>8</v>
      </c>
      <c r="B7869" s="1" t="str">
        <f>"000255567 - RICH PIZZA &amp; ICING CBB-SODEXO"</f>
        <v>000255567 - RICH PIZZA &amp; ICING CBB-SODEXO</v>
      </c>
      <c r="C7869" t="s">
        <v>180</v>
      </c>
      <c r="D7869" s="1" t="str">
        <f t="shared" si="219"/>
        <v>PRG-1031196</v>
      </c>
      <c r="E7869" t="s">
        <v>181</v>
      </c>
      <c r="F7869" t="s">
        <v>4</v>
      </c>
      <c r="G7869" t="str">
        <f>""</f>
        <v/>
      </c>
    </row>
    <row r="7870" spans="1:7" x14ac:dyDescent="0.25">
      <c r="A7870" t="s">
        <v>8</v>
      </c>
      <c r="B7870" s="1" t="str">
        <f>"000255568 - RICH PIZZA &amp; ICING NCBB-SODEXO"</f>
        <v>000255568 - RICH PIZZA &amp; ICING NCBB-SODEXO</v>
      </c>
      <c r="C7870" t="s">
        <v>182</v>
      </c>
      <c r="D7870" s="1" t="str">
        <f t="shared" si="219"/>
        <v>PRG-1031196</v>
      </c>
      <c r="E7870" t="s">
        <v>181</v>
      </c>
      <c r="F7870" t="s">
        <v>4</v>
      </c>
      <c r="G7870" t="str">
        <f>""</f>
        <v/>
      </c>
    </row>
    <row r="7871" spans="1:7" x14ac:dyDescent="0.25">
      <c r="A7871" t="s">
        <v>8</v>
      </c>
      <c r="B7871" s="1" t="str">
        <f>"000256252 - RICH PIZZA DOUGH BB CORE-SODX"</f>
        <v>000256252 - RICH PIZZA DOUGH BB CORE-SODX</v>
      </c>
      <c r="C7871" t="s">
        <v>612</v>
      </c>
      <c r="D7871" s="1" t="str">
        <f t="shared" si="219"/>
        <v>PRG-1031196</v>
      </c>
      <c r="E7871" t="s">
        <v>181</v>
      </c>
      <c r="F7871" t="s">
        <v>4</v>
      </c>
      <c r="G7871" t="str">
        <f>""</f>
        <v/>
      </c>
    </row>
    <row r="7872" spans="1:7" x14ac:dyDescent="0.25">
      <c r="A7872" t="s">
        <v>8</v>
      </c>
      <c r="B7872" s="1" t="str">
        <f>"000256253 - RICH PIZZA DOUGH BB NCORE-SODX"</f>
        <v>000256253 - RICH PIZZA DOUGH BB NCORE-SODX</v>
      </c>
      <c r="C7872" t="s">
        <v>613</v>
      </c>
      <c r="D7872" s="1" t="str">
        <f t="shared" si="219"/>
        <v>PRG-1031196</v>
      </c>
      <c r="E7872" t="s">
        <v>181</v>
      </c>
      <c r="F7872" t="s">
        <v>4</v>
      </c>
      <c r="G7872" t="str">
        <f>""</f>
        <v/>
      </c>
    </row>
    <row r="7873" spans="1:7" x14ac:dyDescent="0.25">
      <c r="A7873" t="s">
        <v>8</v>
      </c>
      <c r="B7873" s="1" t="str">
        <f>"000256291 - RICH PIZZA DOUGH BB NCORE-SODX"</f>
        <v>000256291 - RICH PIZZA DOUGH BB NCORE-SODX</v>
      </c>
      <c r="C7873" t="s">
        <v>613</v>
      </c>
      <c r="D7873" s="1" t="str">
        <f t="shared" si="219"/>
        <v>PRG-1031196</v>
      </c>
      <c r="E7873" t="s">
        <v>181</v>
      </c>
      <c r="F7873" t="s">
        <v>4</v>
      </c>
      <c r="G7873" t="str">
        <f>""</f>
        <v/>
      </c>
    </row>
    <row r="7874" spans="1:7" x14ac:dyDescent="0.25">
      <c r="A7874" t="s">
        <v>8</v>
      </c>
      <c r="B7874" s="1" t="str">
        <f>"000256535 - RICH PIZZA DOUGH BB CORE-SODX"</f>
        <v>000256535 - RICH PIZZA DOUGH BB CORE-SODX</v>
      </c>
      <c r="C7874" t="s">
        <v>612</v>
      </c>
      <c r="D7874" s="1" t="str">
        <f t="shared" si="219"/>
        <v>PRG-1031196</v>
      </c>
      <c r="E7874" t="s">
        <v>181</v>
      </c>
      <c r="F7874" t="s">
        <v>4</v>
      </c>
      <c r="G7874" t="str">
        <f>""</f>
        <v/>
      </c>
    </row>
    <row r="7875" spans="1:7" x14ac:dyDescent="0.25">
      <c r="A7875" t="s">
        <v>8</v>
      </c>
      <c r="B7875" s="1" t="str">
        <f>"000256536 - RICH PIZZA DOUGH BB NCORE-SODX"</f>
        <v>000256536 - RICH PIZZA DOUGH BB NCORE-SODX</v>
      </c>
      <c r="C7875" t="s">
        <v>613</v>
      </c>
      <c r="D7875" s="1" t="str">
        <f t="shared" si="219"/>
        <v>PRG-1031196</v>
      </c>
      <c r="E7875" t="s">
        <v>181</v>
      </c>
      <c r="F7875" t="s">
        <v>4</v>
      </c>
      <c r="G7875" t="str">
        <f>""</f>
        <v/>
      </c>
    </row>
    <row r="7876" spans="1:7" x14ac:dyDescent="0.25">
      <c r="A7876" t="s">
        <v>8</v>
      </c>
      <c r="B7876" s="1" t="str">
        <f>"000257231 - RICHS PIZZA DOUGH CORE BB-SODX"</f>
        <v>000257231 - RICHS PIZZA DOUGH CORE BB-SODX</v>
      </c>
      <c r="C7876" t="s">
        <v>112</v>
      </c>
      <c r="D7876" s="1" t="str">
        <f t="shared" si="219"/>
        <v>PRG-1031196</v>
      </c>
      <c r="E7876" t="s">
        <v>181</v>
      </c>
      <c r="F7876" t="s">
        <v>4</v>
      </c>
      <c r="G7876" t="str">
        <f>""</f>
        <v/>
      </c>
    </row>
    <row r="7877" spans="1:7" x14ac:dyDescent="0.25">
      <c r="A7877" t="s">
        <v>8</v>
      </c>
      <c r="B7877" s="1" t="str">
        <f>"000257232 - RICH PIZZA DOUGH NCORE BB-SODX"</f>
        <v>000257232 - RICH PIZZA DOUGH NCORE BB-SODX</v>
      </c>
      <c r="C7877" t="s">
        <v>113</v>
      </c>
      <c r="D7877" s="1" t="str">
        <f t="shared" si="219"/>
        <v>PRG-1031196</v>
      </c>
      <c r="E7877" t="s">
        <v>181</v>
      </c>
      <c r="F7877" t="s">
        <v>4</v>
      </c>
      <c r="G7877" t="str">
        <f>""</f>
        <v/>
      </c>
    </row>
    <row r="7878" spans="1:7" x14ac:dyDescent="0.25">
      <c r="A7878" t="s">
        <v>8</v>
      </c>
      <c r="B7878" s="1" t="str">
        <f>"000258102 - RICHS PIZZA DOUGH CORE BB-SODX"</f>
        <v>000258102 - RICHS PIZZA DOUGH CORE BB-SODX</v>
      </c>
      <c r="C7878" t="s">
        <v>112</v>
      </c>
      <c r="D7878" s="1" t="str">
        <f t="shared" si="219"/>
        <v>PRG-1031196</v>
      </c>
      <c r="E7878" t="s">
        <v>181</v>
      </c>
      <c r="F7878" t="s">
        <v>4</v>
      </c>
      <c r="G7878" t="str">
        <f>""</f>
        <v/>
      </c>
    </row>
    <row r="7879" spans="1:7" x14ac:dyDescent="0.25">
      <c r="A7879" t="s">
        <v>8</v>
      </c>
      <c r="B7879" s="1" t="str">
        <f>"000258103 - RICH PIZZA DOUGH NCORE BB-SODX"</f>
        <v>000258103 - RICH PIZZA DOUGH NCORE BB-SODX</v>
      </c>
      <c r="C7879" t="s">
        <v>113</v>
      </c>
      <c r="D7879" s="1" t="str">
        <f t="shared" si="219"/>
        <v>PRG-1031196</v>
      </c>
      <c r="E7879" t="s">
        <v>181</v>
      </c>
      <c r="F7879" t="s">
        <v>4</v>
      </c>
      <c r="G7879" t="str">
        <f>""</f>
        <v/>
      </c>
    </row>
    <row r="7880" spans="1:7" x14ac:dyDescent="0.25">
      <c r="A7880" t="s">
        <v>8</v>
      </c>
      <c r="B7880" s="1" t="str">
        <f>"000258209 - RICHS PIZZA DOGH&amp;ICING CC-SODX"</f>
        <v>000258209 - RICHS PIZZA DOGH&amp;ICING CC-SODX</v>
      </c>
      <c r="C7880" t="s">
        <v>601</v>
      </c>
      <c r="D7880" s="1" t="str">
        <f t="shared" si="219"/>
        <v>PRG-1031196</v>
      </c>
      <c r="E7880" t="s">
        <v>181</v>
      </c>
      <c r="F7880" t="s">
        <v>4</v>
      </c>
      <c r="G7880" t="str">
        <f>""</f>
        <v/>
      </c>
    </row>
    <row r="7881" spans="1:7" x14ac:dyDescent="0.25">
      <c r="A7881" t="s">
        <v>8</v>
      </c>
      <c r="B7881" s="1" t="str">
        <f>"000258702 - RICH PIZZA DOUGH BB CORE-SODX"</f>
        <v>000258702 - RICH PIZZA DOUGH BB CORE-SODX</v>
      </c>
      <c r="C7881" t="s">
        <v>612</v>
      </c>
      <c r="D7881" s="1" t="str">
        <f t="shared" si="219"/>
        <v>PRG-1031196</v>
      </c>
      <c r="E7881" t="s">
        <v>181</v>
      </c>
      <c r="F7881" t="s">
        <v>4</v>
      </c>
      <c r="G7881" t="str">
        <f>""</f>
        <v/>
      </c>
    </row>
    <row r="7882" spans="1:7" x14ac:dyDescent="0.25">
      <c r="A7882" t="s">
        <v>8</v>
      </c>
      <c r="B7882" s="1" t="str">
        <f>"000258703 - RICH PIZZA DOUGH BB NCORE-SODX"</f>
        <v>000258703 - RICH PIZZA DOUGH BB NCORE-SODX</v>
      </c>
      <c r="C7882" t="s">
        <v>613</v>
      </c>
      <c r="D7882" s="1" t="str">
        <f t="shared" si="219"/>
        <v>PRG-1031196</v>
      </c>
      <c r="E7882" t="s">
        <v>181</v>
      </c>
      <c r="F7882" t="s">
        <v>4</v>
      </c>
      <c r="G7882" t="str">
        <f>""</f>
        <v/>
      </c>
    </row>
    <row r="7883" spans="1:7" x14ac:dyDescent="0.25">
      <c r="A7883" t="s">
        <v>8</v>
      </c>
      <c r="B7883" s="1" t="str">
        <f>"000258705 - RICH PIZZA DOUGH BB CORE-SODX"</f>
        <v>000258705 - RICH PIZZA DOUGH BB CORE-SODX</v>
      </c>
      <c r="C7883" t="s">
        <v>612</v>
      </c>
      <c r="D7883" s="1" t="str">
        <f t="shared" si="219"/>
        <v>PRG-1031196</v>
      </c>
      <c r="E7883" t="s">
        <v>181</v>
      </c>
      <c r="F7883" t="s">
        <v>4</v>
      </c>
      <c r="G7883" t="str">
        <f>""</f>
        <v/>
      </c>
    </row>
    <row r="7884" spans="1:7" x14ac:dyDescent="0.25">
      <c r="A7884" t="s">
        <v>8</v>
      </c>
      <c r="B7884" s="1" t="str">
        <f>"000258831 - RICH PIZZA DOUGH BB SODX LIBRT"</f>
        <v>000258831 - RICH PIZZA DOUGH BB SODX LIBRT</v>
      </c>
      <c r="C7884" t="s">
        <v>2221</v>
      </c>
      <c r="D7884" s="1" t="str">
        <f t="shared" si="219"/>
        <v>PRG-1031196</v>
      </c>
      <c r="E7884" t="s">
        <v>181</v>
      </c>
      <c r="F7884" t="s">
        <v>4</v>
      </c>
      <c r="G7884" t="str">
        <f>""</f>
        <v/>
      </c>
    </row>
    <row r="7885" spans="1:7" x14ac:dyDescent="0.25">
      <c r="A7885" t="s">
        <v>8</v>
      </c>
      <c r="B7885" s="1" t="str">
        <f>"000258835 - RICH PIZZA DGH NCR BB SODX LIB"</f>
        <v>000258835 - RICH PIZZA DGH NCR BB SODX LIB</v>
      </c>
      <c r="C7885" t="s">
        <v>2222</v>
      </c>
      <c r="D7885" s="1" t="str">
        <f t="shared" si="219"/>
        <v>PRG-1031196</v>
      </c>
      <c r="E7885" t="s">
        <v>181</v>
      </c>
      <c r="F7885" t="s">
        <v>4</v>
      </c>
      <c r="G7885" t="str">
        <f>""</f>
        <v/>
      </c>
    </row>
    <row r="7886" spans="1:7" x14ac:dyDescent="0.25">
      <c r="A7886" t="s">
        <v>8</v>
      </c>
      <c r="B7886" s="1" t="str">
        <f>"000259208 - RICHS PIZZA DOUGH CORE BB-SODX"</f>
        <v>000259208 - RICHS PIZZA DOUGH CORE BB-SODX</v>
      </c>
      <c r="C7886" t="s">
        <v>112</v>
      </c>
      <c r="D7886" s="1" t="str">
        <f t="shared" si="219"/>
        <v>PRG-1031196</v>
      </c>
      <c r="E7886" t="s">
        <v>181</v>
      </c>
      <c r="F7886" t="s">
        <v>4</v>
      </c>
      <c r="G7886" t="str">
        <f>""</f>
        <v/>
      </c>
    </row>
    <row r="7887" spans="1:7" x14ac:dyDescent="0.25">
      <c r="A7887" t="s">
        <v>8</v>
      </c>
      <c r="B7887" s="1" t="str">
        <f>"000259209 - RICH PIZZA DOUGH NCORE BB-SODX"</f>
        <v>000259209 - RICH PIZZA DOUGH NCORE BB-SODX</v>
      </c>
      <c r="C7887" t="s">
        <v>113</v>
      </c>
      <c r="D7887" s="1" t="str">
        <f t="shared" si="219"/>
        <v>PRG-1031196</v>
      </c>
      <c r="E7887" t="s">
        <v>181</v>
      </c>
      <c r="F7887" t="s">
        <v>4</v>
      </c>
      <c r="G7887" t="str">
        <f>""</f>
        <v/>
      </c>
    </row>
    <row r="7888" spans="1:7" x14ac:dyDescent="0.25">
      <c r="A7888" t="s">
        <v>8</v>
      </c>
      <c r="B7888" s="1" t="str">
        <f>"000259622 - RICHS PIZZA DOUGH CORE BB-SODX"</f>
        <v>000259622 - RICHS PIZZA DOUGH CORE BB-SODX</v>
      </c>
      <c r="C7888" t="s">
        <v>112</v>
      </c>
      <c r="D7888" s="1" t="str">
        <f t="shared" si="219"/>
        <v>PRG-1031196</v>
      </c>
      <c r="E7888" t="s">
        <v>181</v>
      </c>
      <c r="F7888" t="s">
        <v>4</v>
      </c>
      <c r="G7888" t="str">
        <f>""</f>
        <v/>
      </c>
    </row>
    <row r="7889" spans="1:7" x14ac:dyDescent="0.25">
      <c r="A7889" t="s">
        <v>8</v>
      </c>
      <c r="B7889" s="1" t="str">
        <f>"000259623 - RICH PIZZA DOUGH NCORE BB-SODX"</f>
        <v>000259623 - RICH PIZZA DOUGH NCORE BB-SODX</v>
      </c>
      <c r="C7889" t="s">
        <v>113</v>
      </c>
      <c r="D7889" s="1" t="str">
        <f t="shared" si="219"/>
        <v>PRG-1031196</v>
      </c>
      <c r="E7889" t="s">
        <v>181</v>
      </c>
      <c r="F7889" t="s">
        <v>4</v>
      </c>
      <c r="G7889" t="str">
        <f>""</f>
        <v/>
      </c>
    </row>
    <row r="7890" spans="1:7" x14ac:dyDescent="0.25">
      <c r="A7890" t="s">
        <v>8</v>
      </c>
      <c r="B7890" s="1" t="str">
        <f>"000260145 - RICHS PIZZA DOGH&amp;ICING CC-SODX"</f>
        <v>000260145 - RICHS PIZZA DOGH&amp;ICING CC-SODX</v>
      </c>
      <c r="C7890" t="s">
        <v>601</v>
      </c>
      <c r="D7890" s="1" t="str">
        <f t="shared" si="219"/>
        <v>PRG-1031196</v>
      </c>
      <c r="E7890" t="s">
        <v>181</v>
      </c>
      <c r="F7890" t="s">
        <v>4</v>
      </c>
      <c r="G7890" t="str">
        <f>""</f>
        <v/>
      </c>
    </row>
    <row r="7891" spans="1:7" x14ac:dyDescent="0.25">
      <c r="A7891" t="s">
        <v>8</v>
      </c>
      <c r="B7891" s="1" t="str">
        <f>"000260284 - RICH PIZZA DOUGH BB CORE-SODX"</f>
        <v>000260284 - RICH PIZZA DOUGH BB CORE-SODX</v>
      </c>
      <c r="C7891" t="s">
        <v>612</v>
      </c>
      <c r="D7891" s="1" t="str">
        <f t="shared" si="219"/>
        <v>PRG-1031196</v>
      </c>
      <c r="E7891" t="s">
        <v>181</v>
      </c>
      <c r="F7891" t="s">
        <v>4</v>
      </c>
      <c r="G7891" t="str">
        <f>""</f>
        <v/>
      </c>
    </row>
    <row r="7892" spans="1:7" x14ac:dyDescent="0.25">
      <c r="A7892" t="s">
        <v>8</v>
      </c>
      <c r="B7892" s="1" t="str">
        <f>"000260285 - RICH PIZZA DOUGH BB NCORE-SODX"</f>
        <v>000260285 - RICH PIZZA DOUGH BB NCORE-SODX</v>
      </c>
      <c r="C7892" t="s">
        <v>613</v>
      </c>
      <c r="D7892" s="1" t="str">
        <f t="shared" si="219"/>
        <v>PRG-1031196</v>
      </c>
      <c r="E7892" t="s">
        <v>181</v>
      </c>
      <c r="F7892" t="s">
        <v>4</v>
      </c>
      <c r="G7892" t="str">
        <f>""</f>
        <v/>
      </c>
    </row>
    <row r="7893" spans="1:7" x14ac:dyDescent="0.25">
      <c r="A7893" t="s">
        <v>8</v>
      </c>
      <c r="B7893" s="1" t="str">
        <f>"000260763 - RICH (PIZZADOUGH)CORE   SODEXO"</f>
        <v>000260763 - RICH (PIZZADOUGH)CORE   SODEXO</v>
      </c>
      <c r="C7893" t="s">
        <v>2271</v>
      </c>
      <c r="D7893" s="1" t="str">
        <f t="shared" si="219"/>
        <v>PRG-1031196</v>
      </c>
      <c r="E7893" t="s">
        <v>181</v>
      </c>
      <c r="F7893" t="s">
        <v>4</v>
      </c>
      <c r="G7893" t="str">
        <f>""</f>
        <v/>
      </c>
    </row>
    <row r="7894" spans="1:7" x14ac:dyDescent="0.25">
      <c r="A7894" t="s">
        <v>8</v>
      </c>
      <c r="B7894" s="1" t="str">
        <f>"000260764 - RICH (PIZZADOUGH) NON   SODEXO"</f>
        <v>000260764 - RICH (PIZZADOUGH) NON   SODEXO</v>
      </c>
      <c r="C7894" t="s">
        <v>2272</v>
      </c>
      <c r="D7894" s="1" t="str">
        <f t="shared" si="219"/>
        <v>PRG-1031196</v>
      </c>
      <c r="E7894" t="s">
        <v>181</v>
      </c>
      <c r="F7894" t="s">
        <v>4</v>
      </c>
      <c r="G7894" t="str">
        <f>""</f>
        <v/>
      </c>
    </row>
    <row r="7895" spans="1:7" x14ac:dyDescent="0.25">
      <c r="A7895" t="s">
        <v>8</v>
      </c>
      <c r="B7895" s="1" t="str">
        <f>"000261107 - RICH PIZZA DOUGH BB CORE-SODX"</f>
        <v>000261107 - RICH PIZZA DOUGH BB CORE-SODX</v>
      </c>
      <c r="C7895" t="s">
        <v>612</v>
      </c>
      <c r="D7895" s="1" t="str">
        <f t="shared" si="219"/>
        <v>PRG-1031196</v>
      </c>
      <c r="E7895" t="s">
        <v>181</v>
      </c>
      <c r="F7895" t="s">
        <v>4</v>
      </c>
      <c r="G7895" t="str">
        <f>""</f>
        <v/>
      </c>
    </row>
    <row r="7896" spans="1:7" x14ac:dyDescent="0.25">
      <c r="A7896" t="s">
        <v>8</v>
      </c>
      <c r="B7896" s="1" t="str">
        <f>"000261108 - RICH PIZZA DOUGH BB NCORE-SODX"</f>
        <v>000261108 - RICH PIZZA DOUGH BB NCORE-SODX</v>
      </c>
      <c r="C7896" t="s">
        <v>613</v>
      </c>
      <c r="D7896" s="1" t="str">
        <f t="shared" si="219"/>
        <v>PRG-1031196</v>
      </c>
      <c r="E7896" t="s">
        <v>181</v>
      </c>
      <c r="F7896" t="s">
        <v>4</v>
      </c>
      <c r="G7896" t="str">
        <f>""</f>
        <v/>
      </c>
    </row>
    <row r="7897" spans="1:7" x14ac:dyDescent="0.25">
      <c r="A7897" t="s">
        <v>8</v>
      </c>
      <c r="B7897" s="1" t="str">
        <f>"000261987 - RICHS PIZZA DOGH&amp;ICING CC-SODX"</f>
        <v>000261987 - RICHS PIZZA DOGH&amp;ICING CC-SODX</v>
      </c>
      <c r="C7897" t="s">
        <v>601</v>
      </c>
      <c r="D7897" s="1" t="str">
        <f t="shared" si="219"/>
        <v>PRG-1031196</v>
      </c>
      <c r="E7897" t="s">
        <v>181</v>
      </c>
      <c r="F7897" t="s">
        <v>4</v>
      </c>
      <c r="G7897" t="str">
        <f>""</f>
        <v/>
      </c>
    </row>
    <row r="7898" spans="1:7" x14ac:dyDescent="0.25">
      <c r="A7898" t="s">
        <v>8</v>
      </c>
      <c r="B7898" s="1" t="str">
        <f>"000262076 - RICHS PIZZA DOUGH CORE BB-SODX"</f>
        <v>000262076 - RICHS PIZZA DOUGH CORE BB-SODX</v>
      </c>
      <c r="C7898" t="s">
        <v>112</v>
      </c>
      <c r="D7898" s="1" t="str">
        <f t="shared" si="219"/>
        <v>PRG-1031196</v>
      </c>
      <c r="E7898" t="s">
        <v>181</v>
      </c>
      <c r="F7898" t="s">
        <v>4</v>
      </c>
      <c r="G7898" t="str">
        <f>""</f>
        <v/>
      </c>
    </row>
    <row r="7899" spans="1:7" x14ac:dyDescent="0.25">
      <c r="A7899" t="s">
        <v>8</v>
      </c>
      <c r="B7899" s="1" t="str">
        <f>"000262077 - RICH PIZZA DOUGH NCORE BB-SODX"</f>
        <v>000262077 - RICH PIZZA DOUGH NCORE BB-SODX</v>
      </c>
      <c r="C7899" t="s">
        <v>113</v>
      </c>
      <c r="D7899" s="1" t="str">
        <f t="shared" si="219"/>
        <v>PRG-1031196</v>
      </c>
      <c r="E7899" t="s">
        <v>181</v>
      </c>
      <c r="F7899" t="s">
        <v>4</v>
      </c>
      <c r="G7899" t="str">
        <f>""</f>
        <v/>
      </c>
    </row>
    <row r="7900" spans="1:7" x14ac:dyDescent="0.25">
      <c r="A7900" t="s">
        <v>8</v>
      </c>
      <c r="B7900" s="1" t="str">
        <f>"000262309 - RICH PIZZA DOUGH BB CORE-SODX"</f>
        <v>000262309 - RICH PIZZA DOUGH BB CORE-SODX</v>
      </c>
      <c r="C7900" t="s">
        <v>612</v>
      </c>
      <c r="D7900" s="1" t="str">
        <f t="shared" si="219"/>
        <v>PRG-1031196</v>
      </c>
      <c r="E7900" t="s">
        <v>181</v>
      </c>
      <c r="F7900" t="s">
        <v>4</v>
      </c>
      <c r="G7900" t="str">
        <f>""</f>
        <v/>
      </c>
    </row>
    <row r="7901" spans="1:7" x14ac:dyDescent="0.25">
      <c r="A7901" t="s">
        <v>8</v>
      </c>
      <c r="B7901" s="1" t="str">
        <f>"000262310 - RICH PIZZA DOUGH BB NCORE-SODX"</f>
        <v>000262310 - RICH PIZZA DOUGH BB NCORE-SODX</v>
      </c>
      <c r="C7901" t="s">
        <v>613</v>
      </c>
      <c r="D7901" s="1" t="str">
        <f t="shared" si="219"/>
        <v>PRG-1031196</v>
      </c>
      <c r="E7901" t="s">
        <v>181</v>
      </c>
      <c r="F7901" t="s">
        <v>4</v>
      </c>
      <c r="G7901" t="str">
        <f>""</f>
        <v/>
      </c>
    </row>
    <row r="7902" spans="1:7" x14ac:dyDescent="0.25">
      <c r="A7902" t="s">
        <v>8</v>
      </c>
      <c r="B7902" s="1" t="str">
        <f>"000263550 - RICHS PIZZA DOUGH CORE BB-SODX"</f>
        <v>000263550 - RICHS PIZZA DOUGH CORE BB-SODX</v>
      </c>
      <c r="C7902" t="s">
        <v>112</v>
      </c>
      <c r="D7902" s="1" t="str">
        <f t="shared" si="219"/>
        <v>PRG-1031196</v>
      </c>
      <c r="E7902" t="s">
        <v>181</v>
      </c>
      <c r="F7902" t="s">
        <v>4</v>
      </c>
      <c r="G7902" t="str">
        <f>""</f>
        <v/>
      </c>
    </row>
    <row r="7903" spans="1:7" x14ac:dyDescent="0.25">
      <c r="A7903" t="s">
        <v>8</v>
      </c>
      <c r="B7903" s="1" t="str">
        <f>"000263551 - RICH PIZZA DOUGH NCORE BB-SODX"</f>
        <v>000263551 - RICH PIZZA DOUGH NCORE BB-SODX</v>
      </c>
      <c r="C7903" t="s">
        <v>113</v>
      </c>
      <c r="D7903" s="1" t="str">
        <f t="shared" si="219"/>
        <v>PRG-1031196</v>
      </c>
      <c r="E7903" t="s">
        <v>181</v>
      </c>
      <c r="F7903" t="s">
        <v>4</v>
      </c>
      <c r="G7903" t="str">
        <f>""</f>
        <v/>
      </c>
    </row>
    <row r="7904" spans="1:7" x14ac:dyDescent="0.25">
      <c r="A7904" t="s">
        <v>8</v>
      </c>
      <c r="B7904" s="1" t="str">
        <f>"000263734 - RICH PIZZA DOUGH BB NCORE-SODX"</f>
        <v>000263734 - RICH PIZZA DOUGH BB NCORE-SODX</v>
      </c>
      <c r="C7904" t="s">
        <v>613</v>
      </c>
      <c r="D7904" s="1" t="str">
        <f t="shared" si="219"/>
        <v>PRG-1031196</v>
      </c>
      <c r="E7904" t="s">
        <v>181</v>
      </c>
      <c r="F7904" t="s">
        <v>4</v>
      </c>
      <c r="G7904" t="str">
        <f>""</f>
        <v/>
      </c>
    </row>
    <row r="7905" spans="1:7" x14ac:dyDescent="0.25">
      <c r="A7905" t="s">
        <v>8</v>
      </c>
      <c r="B7905" s="1" t="str">
        <f>"000263759 - RICH PIZZA &amp; ICING CBB-SODEXO"</f>
        <v>000263759 - RICH PIZZA &amp; ICING CBB-SODEXO</v>
      </c>
      <c r="C7905" t="s">
        <v>180</v>
      </c>
      <c r="D7905" s="1" t="str">
        <f t="shared" si="219"/>
        <v>PRG-1031196</v>
      </c>
      <c r="E7905" t="s">
        <v>181</v>
      </c>
      <c r="F7905" t="s">
        <v>4</v>
      </c>
      <c r="G7905" t="str">
        <f>""</f>
        <v/>
      </c>
    </row>
    <row r="7906" spans="1:7" x14ac:dyDescent="0.25">
      <c r="A7906" t="s">
        <v>8</v>
      </c>
      <c r="B7906" s="1" t="str">
        <f>"000263760 - RICH PIZZA &amp; ICING NCBB-SODEXO"</f>
        <v>000263760 - RICH PIZZA &amp; ICING NCBB-SODEXO</v>
      </c>
      <c r="C7906" t="s">
        <v>182</v>
      </c>
      <c r="D7906" s="1" t="str">
        <f t="shared" ref="D7906:D7969" si="220">"PRG-1031196"</f>
        <v>PRG-1031196</v>
      </c>
      <c r="E7906" t="s">
        <v>181</v>
      </c>
      <c r="F7906" t="s">
        <v>4</v>
      </c>
      <c r="G7906" t="str">
        <f>""</f>
        <v/>
      </c>
    </row>
    <row r="7907" spans="1:7" x14ac:dyDescent="0.25">
      <c r="A7907" t="s">
        <v>8</v>
      </c>
      <c r="B7907" s="1" t="str">
        <f>"000263946 - RICHS PIZZA DOUGH CORE BB-SODX"</f>
        <v>000263946 - RICHS PIZZA DOUGH CORE BB-SODX</v>
      </c>
      <c r="C7907" t="s">
        <v>112</v>
      </c>
      <c r="D7907" s="1" t="str">
        <f t="shared" si="220"/>
        <v>PRG-1031196</v>
      </c>
      <c r="E7907" t="s">
        <v>181</v>
      </c>
      <c r="F7907" t="s">
        <v>4</v>
      </c>
      <c r="G7907" t="str">
        <f>""</f>
        <v/>
      </c>
    </row>
    <row r="7908" spans="1:7" x14ac:dyDescent="0.25">
      <c r="A7908" t="s">
        <v>8</v>
      </c>
      <c r="B7908" s="1" t="str">
        <f>"000263947 - RICH PIZZA DOUGH NCORE BB-SODX"</f>
        <v>000263947 - RICH PIZZA DOUGH NCORE BB-SODX</v>
      </c>
      <c r="C7908" t="s">
        <v>113</v>
      </c>
      <c r="D7908" s="1" t="str">
        <f t="shared" si="220"/>
        <v>PRG-1031196</v>
      </c>
      <c r="E7908" t="s">
        <v>181</v>
      </c>
      <c r="F7908" t="s">
        <v>4</v>
      </c>
      <c r="G7908" t="str">
        <f>""</f>
        <v/>
      </c>
    </row>
    <row r="7909" spans="1:7" x14ac:dyDescent="0.25">
      <c r="A7909" t="s">
        <v>8</v>
      </c>
      <c r="B7909" s="1" t="str">
        <f>"000264797 - RICH PIZZA &amp; ICING CBB-SODEXO"</f>
        <v>000264797 - RICH PIZZA &amp; ICING CBB-SODEXO</v>
      </c>
      <c r="C7909" t="s">
        <v>180</v>
      </c>
      <c r="D7909" s="1" t="str">
        <f t="shared" si="220"/>
        <v>PRG-1031196</v>
      </c>
      <c r="E7909" t="s">
        <v>181</v>
      </c>
      <c r="F7909" t="s">
        <v>4</v>
      </c>
      <c r="G7909" t="str">
        <f>""</f>
        <v/>
      </c>
    </row>
    <row r="7910" spans="1:7" x14ac:dyDescent="0.25">
      <c r="A7910" t="s">
        <v>8</v>
      </c>
      <c r="B7910" s="1" t="str">
        <f>"000264798 - RICH PIZZA &amp; ICING NCBB-SODEXO"</f>
        <v>000264798 - RICH PIZZA &amp; ICING NCBB-SODEXO</v>
      </c>
      <c r="C7910" t="s">
        <v>182</v>
      </c>
      <c r="D7910" s="1" t="str">
        <f t="shared" si="220"/>
        <v>PRG-1031196</v>
      </c>
      <c r="E7910" t="s">
        <v>181</v>
      </c>
      <c r="F7910" t="s">
        <v>4</v>
      </c>
      <c r="G7910" t="str">
        <f>""</f>
        <v/>
      </c>
    </row>
    <row r="7911" spans="1:7" x14ac:dyDescent="0.25">
      <c r="A7911" t="s">
        <v>8</v>
      </c>
      <c r="B7911" s="1" t="str">
        <f>"000264879 - RICH PIZZA DOUGH BB CORE-SOD"</f>
        <v>000264879 - RICH PIZZA DOUGH BB CORE-SOD</v>
      </c>
      <c r="C7911" t="s">
        <v>2377</v>
      </c>
      <c r="D7911" s="1" t="str">
        <f t="shared" si="220"/>
        <v>PRG-1031196</v>
      </c>
      <c r="E7911" t="s">
        <v>181</v>
      </c>
      <c r="F7911" t="s">
        <v>4</v>
      </c>
      <c r="G7911" t="str">
        <f>""</f>
        <v/>
      </c>
    </row>
    <row r="7912" spans="1:7" x14ac:dyDescent="0.25">
      <c r="A7912" t="s">
        <v>8</v>
      </c>
      <c r="B7912" s="1" t="str">
        <f>"000265791 - RICHS PIZZA DOUGH CORE BB-SODX"</f>
        <v>000265791 - RICHS PIZZA DOUGH CORE BB-SODX</v>
      </c>
      <c r="C7912" t="s">
        <v>112</v>
      </c>
      <c r="D7912" s="1" t="str">
        <f t="shared" si="220"/>
        <v>PRG-1031196</v>
      </c>
      <c r="E7912" t="s">
        <v>181</v>
      </c>
      <c r="F7912" t="s">
        <v>4</v>
      </c>
      <c r="G7912" t="str">
        <f>""</f>
        <v/>
      </c>
    </row>
    <row r="7913" spans="1:7" x14ac:dyDescent="0.25">
      <c r="A7913" t="s">
        <v>8</v>
      </c>
      <c r="B7913" s="1" t="str">
        <f>"000265792 - RICH PIZZA DOUGH NCORE BB-SODX"</f>
        <v>000265792 - RICH PIZZA DOUGH NCORE BB-SODX</v>
      </c>
      <c r="C7913" t="s">
        <v>113</v>
      </c>
      <c r="D7913" s="1" t="str">
        <f t="shared" si="220"/>
        <v>PRG-1031196</v>
      </c>
      <c r="E7913" t="s">
        <v>181</v>
      </c>
      <c r="F7913" t="s">
        <v>4</v>
      </c>
      <c r="G7913" t="str">
        <f>""</f>
        <v/>
      </c>
    </row>
    <row r="7914" spans="1:7" x14ac:dyDescent="0.25">
      <c r="A7914" t="s">
        <v>8</v>
      </c>
      <c r="B7914" s="1" t="str">
        <f>"000266360 - RICHS PIZZA DOUGH CORE BB-SODX"</f>
        <v>000266360 - RICHS PIZZA DOUGH CORE BB-SODX</v>
      </c>
      <c r="C7914" t="s">
        <v>112</v>
      </c>
      <c r="D7914" s="1" t="str">
        <f t="shared" si="220"/>
        <v>PRG-1031196</v>
      </c>
      <c r="E7914" t="s">
        <v>181</v>
      </c>
      <c r="F7914" t="s">
        <v>4</v>
      </c>
      <c r="G7914" t="str">
        <f>""</f>
        <v/>
      </c>
    </row>
    <row r="7915" spans="1:7" x14ac:dyDescent="0.25">
      <c r="A7915" t="s">
        <v>8</v>
      </c>
      <c r="B7915" s="1" t="str">
        <f>"000266361 - RICH PIZZA DOUGH NCORE BB-SODX"</f>
        <v>000266361 - RICH PIZZA DOUGH NCORE BB-SODX</v>
      </c>
      <c r="C7915" t="s">
        <v>113</v>
      </c>
      <c r="D7915" s="1" t="str">
        <f t="shared" si="220"/>
        <v>PRG-1031196</v>
      </c>
      <c r="E7915" t="s">
        <v>181</v>
      </c>
      <c r="F7915" t="s">
        <v>4</v>
      </c>
      <c r="G7915" t="str">
        <f>""</f>
        <v/>
      </c>
    </row>
    <row r="7916" spans="1:7" x14ac:dyDescent="0.25">
      <c r="A7916" t="s">
        <v>8</v>
      </c>
      <c r="B7916" s="1" t="str">
        <f>"000268150 - RICH PIZZA &amp; ICING CBB-SODEXO"</f>
        <v>000268150 - RICH PIZZA &amp; ICING CBB-SODEXO</v>
      </c>
      <c r="C7916" t="s">
        <v>180</v>
      </c>
      <c r="D7916" s="1" t="str">
        <f t="shared" si="220"/>
        <v>PRG-1031196</v>
      </c>
      <c r="E7916" t="s">
        <v>181</v>
      </c>
      <c r="F7916" t="s">
        <v>4</v>
      </c>
      <c r="G7916" t="str">
        <f>""</f>
        <v/>
      </c>
    </row>
    <row r="7917" spans="1:7" x14ac:dyDescent="0.25">
      <c r="A7917" t="s">
        <v>8</v>
      </c>
      <c r="B7917" s="1" t="str">
        <f>"000268151 - RICH PIZZA &amp; ICING NCBB-SODEXO"</f>
        <v>000268151 - RICH PIZZA &amp; ICING NCBB-SODEXO</v>
      </c>
      <c r="C7917" t="s">
        <v>182</v>
      </c>
      <c r="D7917" s="1" t="str">
        <f t="shared" si="220"/>
        <v>PRG-1031196</v>
      </c>
      <c r="E7917" t="s">
        <v>181</v>
      </c>
      <c r="F7917" t="s">
        <v>4</v>
      </c>
      <c r="G7917" t="str">
        <f>""</f>
        <v/>
      </c>
    </row>
    <row r="7918" spans="1:7" x14ac:dyDescent="0.25">
      <c r="A7918" t="s">
        <v>8</v>
      </c>
      <c r="B7918" s="1" t="str">
        <f>"000268333 - RICH PIZZA &amp; ICING CBB-SODEXO"</f>
        <v>000268333 - RICH PIZZA &amp; ICING CBB-SODEXO</v>
      </c>
      <c r="C7918" t="s">
        <v>180</v>
      </c>
      <c r="D7918" s="1" t="str">
        <f t="shared" si="220"/>
        <v>PRG-1031196</v>
      </c>
      <c r="E7918" t="s">
        <v>181</v>
      </c>
      <c r="F7918" t="s">
        <v>4</v>
      </c>
      <c r="G7918" t="str">
        <f>""</f>
        <v/>
      </c>
    </row>
    <row r="7919" spans="1:7" x14ac:dyDescent="0.25">
      <c r="A7919" t="s">
        <v>8</v>
      </c>
      <c r="B7919" s="1" t="str">
        <f>"000268830 - RICH PIZZA &amp; ICING NCBB-SODEXO"</f>
        <v>000268830 - RICH PIZZA &amp; ICING NCBB-SODEXO</v>
      </c>
      <c r="C7919" t="s">
        <v>182</v>
      </c>
      <c r="D7919" s="1" t="str">
        <f t="shared" si="220"/>
        <v>PRG-1031196</v>
      </c>
      <c r="E7919" t="s">
        <v>181</v>
      </c>
      <c r="F7919" t="s">
        <v>4</v>
      </c>
      <c r="G7919" t="str">
        <f>""</f>
        <v/>
      </c>
    </row>
    <row r="7920" spans="1:7" x14ac:dyDescent="0.25">
      <c r="A7920" t="s">
        <v>8</v>
      </c>
      <c r="B7920" s="1" t="str">
        <f>"000270566 - "</f>
        <v xml:space="preserve">000270566 - </v>
      </c>
      <c r="D7920" s="1" t="str">
        <f t="shared" si="220"/>
        <v>PRG-1031196</v>
      </c>
      <c r="E7920" t="s">
        <v>181</v>
      </c>
      <c r="F7920" t="s">
        <v>4</v>
      </c>
      <c r="G7920" t="str">
        <f>""</f>
        <v/>
      </c>
    </row>
    <row r="7921" spans="1:7" x14ac:dyDescent="0.25">
      <c r="A7921" t="s">
        <v>8</v>
      </c>
      <c r="B7921" s="1" t="str">
        <f>"000270571 - RICH PIZZA &amp; ICING CBB-SODEXO"</f>
        <v>000270571 - RICH PIZZA &amp; ICING CBB-SODEXO</v>
      </c>
      <c r="C7921" t="s">
        <v>180</v>
      </c>
      <c r="D7921" s="1" t="str">
        <f t="shared" si="220"/>
        <v>PRG-1031196</v>
      </c>
      <c r="E7921" t="s">
        <v>181</v>
      </c>
      <c r="F7921" t="s">
        <v>4</v>
      </c>
      <c r="G7921" t="str">
        <f>""</f>
        <v/>
      </c>
    </row>
    <row r="7922" spans="1:7" x14ac:dyDescent="0.25">
      <c r="A7922" t="s">
        <v>8</v>
      </c>
      <c r="B7922" s="1" t="str">
        <f>"000270572 - RICH PIZZA &amp; ICING NCBB-SODEXO"</f>
        <v>000270572 - RICH PIZZA &amp; ICING NCBB-SODEXO</v>
      </c>
      <c r="C7922" t="s">
        <v>182</v>
      </c>
      <c r="D7922" s="1" t="str">
        <f t="shared" si="220"/>
        <v>PRG-1031196</v>
      </c>
      <c r="E7922" t="s">
        <v>181</v>
      </c>
      <c r="F7922" t="s">
        <v>4</v>
      </c>
      <c r="G7922" t="str">
        <f>""</f>
        <v/>
      </c>
    </row>
    <row r="7923" spans="1:7" x14ac:dyDescent="0.25">
      <c r="A7923" t="s">
        <v>8</v>
      </c>
      <c r="B7923" s="1" t="str">
        <f>"000271651 - RICH PIZZA &amp; ICING CBB-SODEXO"</f>
        <v>000271651 - RICH PIZZA &amp; ICING CBB-SODEXO</v>
      </c>
      <c r="C7923" t="s">
        <v>180</v>
      </c>
      <c r="D7923" s="1" t="str">
        <f t="shared" si="220"/>
        <v>PRG-1031196</v>
      </c>
      <c r="E7923" t="s">
        <v>181</v>
      </c>
      <c r="F7923" t="s">
        <v>4</v>
      </c>
      <c r="G7923" t="str">
        <f>""</f>
        <v/>
      </c>
    </row>
    <row r="7924" spans="1:7" x14ac:dyDescent="0.25">
      <c r="A7924" t="s">
        <v>8</v>
      </c>
      <c r="B7924" s="1" t="str">
        <f>"000271652 - RICH PIZZA &amp; ICING NCBB-SODEXO"</f>
        <v>000271652 - RICH PIZZA &amp; ICING NCBB-SODEXO</v>
      </c>
      <c r="C7924" t="s">
        <v>182</v>
      </c>
      <c r="D7924" s="1" t="str">
        <f t="shared" si="220"/>
        <v>PRG-1031196</v>
      </c>
      <c r="E7924" t="s">
        <v>181</v>
      </c>
      <c r="F7924" t="s">
        <v>4</v>
      </c>
      <c r="G7924" t="str">
        <f>""</f>
        <v/>
      </c>
    </row>
    <row r="7925" spans="1:7" x14ac:dyDescent="0.25">
      <c r="A7925" t="s">
        <v>8</v>
      </c>
      <c r="B7925" s="1" t="str">
        <f>"000272756 - "</f>
        <v xml:space="preserve">000272756 - </v>
      </c>
      <c r="D7925" s="1" t="str">
        <f t="shared" si="220"/>
        <v>PRG-1031196</v>
      </c>
      <c r="E7925" t="s">
        <v>181</v>
      </c>
      <c r="F7925" t="s">
        <v>4</v>
      </c>
      <c r="G7925" t="str">
        <f>""</f>
        <v/>
      </c>
    </row>
    <row r="7926" spans="1:7" x14ac:dyDescent="0.25">
      <c r="A7926" t="s">
        <v>8</v>
      </c>
      <c r="B7926" s="1" t="str">
        <f>"000273548 - RICH PIZZA &amp; ICING CBB-SODEXO"</f>
        <v>000273548 - RICH PIZZA &amp; ICING CBB-SODEXO</v>
      </c>
      <c r="C7926" t="s">
        <v>180</v>
      </c>
      <c r="D7926" s="1" t="str">
        <f t="shared" si="220"/>
        <v>PRG-1031196</v>
      </c>
      <c r="E7926" t="s">
        <v>181</v>
      </c>
      <c r="F7926" t="s">
        <v>4</v>
      </c>
      <c r="G7926" t="str">
        <f>""</f>
        <v/>
      </c>
    </row>
    <row r="7927" spans="1:7" x14ac:dyDescent="0.25">
      <c r="A7927" t="s">
        <v>8</v>
      </c>
      <c r="B7927" s="1" t="str">
        <f>"000273549 - RICH PIZZA &amp; ICING NCBB-SODEXO"</f>
        <v>000273549 - RICH PIZZA &amp; ICING NCBB-SODEXO</v>
      </c>
      <c r="C7927" t="s">
        <v>182</v>
      </c>
      <c r="D7927" s="1" t="str">
        <f t="shared" si="220"/>
        <v>PRG-1031196</v>
      </c>
      <c r="E7927" t="s">
        <v>181</v>
      </c>
      <c r="F7927" t="s">
        <v>4</v>
      </c>
      <c r="G7927" t="str">
        <f>""</f>
        <v/>
      </c>
    </row>
    <row r="7928" spans="1:7" x14ac:dyDescent="0.25">
      <c r="A7928" t="s">
        <v>8</v>
      </c>
      <c r="B7928" s="1" t="str">
        <f>"000273750 - RICH PIZZA &amp; ICING CBB-SODEXO"</f>
        <v>000273750 - RICH PIZZA &amp; ICING CBB-SODEXO</v>
      </c>
      <c r="C7928" t="s">
        <v>180</v>
      </c>
      <c r="D7928" s="1" t="str">
        <f t="shared" si="220"/>
        <v>PRG-1031196</v>
      </c>
      <c r="E7928" t="s">
        <v>181</v>
      </c>
      <c r="F7928" t="s">
        <v>4</v>
      </c>
      <c r="G7928" t="str">
        <f>""</f>
        <v/>
      </c>
    </row>
    <row r="7929" spans="1:7" x14ac:dyDescent="0.25">
      <c r="A7929" t="s">
        <v>8</v>
      </c>
      <c r="B7929" s="1" t="str">
        <f>"000273751 - RICH PIZZA &amp; ICING NCBB-SODEXO"</f>
        <v>000273751 - RICH PIZZA &amp; ICING NCBB-SODEXO</v>
      </c>
      <c r="C7929" t="s">
        <v>182</v>
      </c>
      <c r="D7929" s="1" t="str">
        <f t="shared" si="220"/>
        <v>PRG-1031196</v>
      </c>
      <c r="E7929" t="s">
        <v>181</v>
      </c>
      <c r="F7929" t="s">
        <v>4</v>
      </c>
      <c r="G7929" t="str">
        <f>""</f>
        <v/>
      </c>
    </row>
    <row r="7930" spans="1:7" x14ac:dyDescent="0.25">
      <c r="A7930" t="s">
        <v>8</v>
      </c>
      <c r="B7930" s="1" t="str">
        <f>"000275560 - RICH PIZZA &amp; ICING CBB-SODEXO"</f>
        <v>000275560 - RICH PIZZA &amp; ICING CBB-SODEXO</v>
      </c>
      <c r="C7930" t="s">
        <v>180</v>
      </c>
      <c r="D7930" s="1" t="str">
        <f t="shared" si="220"/>
        <v>PRG-1031196</v>
      </c>
      <c r="E7930" t="s">
        <v>181</v>
      </c>
      <c r="F7930" t="s">
        <v>4</v>
      </c>
      <c r="G7930" t="str">
        <f>""</f>
        <v/>
      </c>
    </row>
    <row r="7931" spans="1:7" x14ac:dyDescent="0.25">
      <c r="A7931" t="s">
        <v>8</v>
      </c>
      <c r="B7931" s="1" t="str">
        <f>"000275561 - RICH PIZZA &amp; ICING NCBB-SODEXO"</f>
        <v>000275561 - RICH PIZZA &amp; ICING NCBB-SODEXO</v>
      </c>
      <c r="C7931" t="s">
        <v>182</v>
      </c>
      <c r="D7931" s="1" t="str">
        <f t="shared" si="220"/>
        <v>PRG-1031196</v>
      </c>
      <c r="E7931" t="s">
        <v>181</v>
      </c>
      <c r="F7931" t="s">
        <v>4</v>
      </c>
      <c r="G7931" t="str">
        <f>""</f>
        <v/>
      </c>
    </row>
    <row r="7932" spans="1:7" x14ac:dyDescent="0.25">
      <c r="A7932" t="s">
        <v>8</v>
      </c>
      <c r="B7932" s="1" t="str">
        <f>"000275954 - "</f>
        <v xml:space="preserve">000275954 - </v>
      </c>
      <c r="D7932" s="1" t="str">
        <f t="shared" si="220"/>
        <v>PRG-1031196</v>
      </c>
      <c r="E7932" t="s">
        <v>181</v>
      </c>
      <c r="F7932" t="s">
        <v>4</v>
      </c>
      <c r="G7932" t="str">
        <f>""</f>
        <v/>
      </c>
    </row>
    <row r="7933" spans="1:7" x14ac:dyDescent="0.25">
      <c r="A7933" t="s">
        <v>8</v>
      </c>
      <c r="B7933" s="1" t="str">
        <f>"000275955 - "</f>
        <v xml:space="preserve">000275955 - </v>
      </c>
      <c r="D7933" s="1" t="str">
        <f t="shared" si="220"/>
        <v>PRG-1031196</v>
      </c>
      <c r="E7933" t="s">
        <v>181</v>
      </c>
      <c r="F7933" t="s">
        <v>4</v>
      </c>
      <c r="G7933" t="str">
        <f>""</f>
        <v/>
      </c>
    </row>
    <row r="7934" spans="1:7" x14ac:dyDescent="0.25">
      <c r="A7934" t="s">
        <v>8</v>
      </c>
      <c r="B7934" s="1" t="str">
        <f>"000276909 - RICH PIZZA &amp; ICING CBB-SODEXO"</f>
        <v>000276909 - RICH PIZZA &amp; ICING CBB-SODEXO</v>
      </c>
      <c r="C7934" t="s">
        <v>180</v>
      </c>
      <c r="D7934" s="1" t="str">
        <f t="shared" si="220"/>
        <v>PRG-1031196</v>
      </c>
      <c r="E7934" t="s">
        <v>181</v>
      </c>
      <c r="F7934" t="s">
        <v>4</v>
      </c>
      <c r="G7934" t="str">
        <f>""</f>
        <v/>
      </c>
    </row>
    <row r="7935" spans="1:7" x14ac:dyDescent="0.25">
      <c r="A7935" t="s">
        <v>8</v>
      </c>
      <c r="B7935" s="1" t="str">
        <f>"000276910 - RICH PIZZA &amp; ICING NCBB-SODEXO"</f>
        <v>000276910 - RICH PIZZA &amp; ICING NCBB-SODEXO</v>
      </c>
      <c r="C7935" t="s">
        <v>182</v>
      </c>
      <c r="D7935" s="1" t="str">
        <f t="shared" si="220"/>
        <v>PRG-1031196</v>
      </c>
      <c r="E7935" t="s">
        <v>181</v>
      </c>
      <c r="F7935" t="s">
        <v>4</v>
      </c>
      <c r="G7935" t="str">
        <f>""</f>
        <v/>
      </c>
    </row>
    <row r="7936" spans="1:7" x14ac:dyDescent="0.25">
      <c r="A7936" t="s">
        <v>8</v>
      </c>
      <c r="B7936" s="1" t="str">
        <f>"000279453 - RICHS PIZZA DOGH&amp;ICING CC-SODX"</f>
        <v>000279453 - RICHS PIZZA DOGH&amp;ICING CC-SODX</v>
      </c>
      <c r="C7936" t="s">
        <v>601</v>
      </c>
      <c r="D7936" s="1" t="str">
        <f t="shared" si="220"/>
        <v>PRG-1031196</v>
      </c>
      <c r="E7936" t="s">
        <v>181</v>
      </c>
      <c r="F7936" t="s">
        <v>4</v>
      </c>
      <c r="G7936" t="str">
        <f>""</f>
        <v/>
      </c>
    </row>
    <row r="7937" spans="1:7" x14ac:dyDescent="0.25">
      <c r="A7937" t="s">
        <v>8</v>
      </c>
      <c r="B7937" s="1" t="str">
        <f>"000282367 - RICHS PIZZA DOGH&amp;ICING CC-SODX"</f>
        <v>000282367 - RICHS PIZZA DOGH&amp;ICING CC-SODX</v>
      </c>
      <c r="C7937" t="s">
        <v>601</v>
      </c>
      <c r="D7937" s="1" t="str">
        <f t="shared" si="220"/>
        <v>PRG-1031196</v>
      </c>
      <c r="E7937" t="s">
        <v>181</v>
      </c>
      <c r="F7937" t="s">
        <v>4</v>
      </c>
      <c r="G7937" t="str">
        <f>""</f>
        <v/>
      </c>
    </row>
    <row r="7938" spans="1:7" x14ac:dyDescent="0.25">
      <c r="A7938" t="s">
        <v>8</v>
      </c>
      <c r="B7938" s="1" t="str">
        <f>"000284676 - RICH PIZZA DOUGH BB CORE-SODX"</f>
        <v>000284676 - RICH PIZZA DOUGH BB CORE-SODX</v>
      </c>
      <c r="C7938" t="s">
        <v>612</v>
      </c>
      <c r="D7938" s="1" t="str">
        <f t="shared" si="220"/>
        <v>PRG-1031196</v>
      </c>
      <c r="E7938" t="s">
        <v>181</v>
      </c>
      <c r="F7938" t="s">
        <v>4</v>
      </c>
      <c r="G7938" t="str">
        <f>""</f>
        <v/>
      </c>
    </row>
    <row r="7939" spans="1:7" x14ac:dyDescent="0.25">
      <c r="A7939" t="s">
        <v>8</v>
      </c>
      <c r="B7939" s="1" t="str">
        <f>"000284677 - RICH PIZZA DOUGH BB NCORE-SODX"</f>
        <v>000284677 - RICH PIZZA DOUGH BB NCORE-SODX</v>
      </c>
      <c r="C7939" t="s">
        <v>613</v>
      </c>
      <c r="D7939" s="1" t="str">
        <f t="shared" si="220"/>
        <v>PRG-1031196</v>
      </c>
      <c r="E7939" t="s">
        <v>181</v>
      </c>
      <c r="F7939" t="s">
        <v>4</v>
      </c>
      <c r="G7939" t="str">
        <f>""</f>
        <v/>
      </c>
    </row>
    <row r="7940" spans="1:7" x14ac:dyDescent="0.25">
      <c r="A7940" t="s">
        <v>8</v>
      </c>
      <c r="B7940" s="1" t="str">
        <f>"000287764 - RICHS PIZZA DOUGH CORE BB-SODX"</f>
        <v>000287764 - RICHS PIZZA DOUGH CORE BB-SODX</v>
      </c>
      <c r="C7940" t="s">
        <v>112</v>
      </c>
      <c r="D7940" s="1" t="str">
        <f t="shared" si="220"/>
        <v>PRG-1031196</v>
      </c>
      <c r="E7940" t="s">
        <v>181</v>
      </c>
      <c r="F7940" t="s">
        <v>4</v>
      </c>
      <c r="G7940" t="str">
        <f>""</f>
        <v/>
      </c>
    </row>
    <row r="7941" spans="1:7" x14ac:dyDescent="0.25">
      <c r="A7941" t="s">
        <v>8</v>
      </c>
      <c r="B7941" s="1" t="str">
        <f>"000287765 - RICH PIZZA DOUGH NCORE BB-SODX"</f>
        <v>000287765 - RICH PIZZA DOUGH NCORE BB-SODX</v>
      </c>
      <c r="C7941" t="s">
        <v>113</v>
      </c>
      <c r="D7941" s="1" t="str">
        <f t="shared" si="220"/>
        <v>PRG-1031196</v>
      </c>
      <c r="E7941" t="s">
        <v>181</v>
      </c>
      <c r="F7941" t="s">
        <v>4</v>
      </c>
      <c r="G7941" t="str">
        <f>""</f>
        <v/>
      </c>
    </row>
    <row r="7942" spans="1:7" x14ac:dyDescent="0.25">
      <c r="A7942" t="s">
        <v>8</v>
      </c>
      <c r="B7942" s="1" t="str">
        <f>"000288456 - "</f>
        <v xml:space="preserve">000288456 - </v>
      </c>
      <c r="D7942" s="1" t="str">
        <f t="shared" si="220"/>
        <v>PRG-1031196</v>
      </c>
      <c r="E7942" t="s">
        <v>181</v>
      </c>
      <c r="F7942" t="s">
        <v>4</v>
      </c>
      <c r="G7942" t="str">
        <f>""</f>
        <v/>
      </c>
    </row>
    <row r="7943" spans="1:7" x14ac:dyDescent="0.25">
      <c r="A7943" t="s">
        <v>8</v>
      </c>
      <c r="B7943" s="1" t="str">
        <f>"000288457 - "</f>
        <v xml:space="preserve">000288457 - </v>
      </c>
      <c r="D7943" s="1" t="str">
        <f t="shared" si="220"/>
        <v>PRG-1031196</v>
      </c>
      <c r="E7943" t="s">
        <v>181</v>
      </c>
      <c r="F7943" t="s">
        <v>4</v>
      </c>
      <c r="G7943" t="str">
        <f>""</f>
        <v/>
      </c>
    </row>
    <row r="7944" spans="1:7" x14ac:dyDescent="0.25">
      <c r="A7944" t="s">
        <v>8</v>
      </c>
      <c r="B7944" s="1" t="str">
        <f>"000293258 - RICHS PIZZA DOGH&amp;ICING CC-SODX"</f>
        <v>000293258 - RICHS PIZZA DOGH&amp;ICING CC-SODX</v>
      </c>
      <c r="C7944" t="s">
        <v>601</v>
      </c>
      <c r="D7944" s="1" t="str">
        <f t="shared" si="220"/>
        <v>PRG-1031196</v>
      </c>
      <c r="E7944" t="s">
        <v>181</v>
      </c>
      <c r="F7944" t="s">
        <v>4</v>
      </c>
      <c r="G7944" t="str">
        <f>""</f>
        <v/>
      </c>
    </row>
    <row r="7945" spans="1:7" x14ac:dyDescent="0.25">
      <c r="A7945" t="s">
        <v>8</v>
      </c>
      <c r="B7945" s="1" t="str">
        <f>"000293501 - RICHS PIZZA DOUGH BB-SODEXO"</f>
        <v>000293501 - RICHS PIZZA DOUGH BB-SODEXO</v>
      </c>
      <c r="C7945" t="s">
        <v>582</v>
      </c>
      <c r="D7945" s="1" t="str">
        <f t="shared" si="220"/>
        <v>PRG-1031196</v>
      </c>
      <c r="E7945" t="s">
        <v>181</v>
      </c>
      <c r="F7945" t="s">
        <v>4</v>
      </c>
      <c r="G7945" t="str">
        <f>""</f>
        <v/>
      </c>
    </row>
    <row r="7946" spans="1:7" x14ac:dyDescent="0.25">
      <c r="A7946" t="s">
        <v>8</v>
      </c>
      <c r="B7946" s="1" t="str">
        <f>"000295160 - RICH PIZZA DOUGH BB CORE-SODX"</f>
        <v>000295160 - RICH PIZZA DOUGH BB CORE-SODX</v>
      </c>
      <c r="C7946" t="s">
        <v>612</v>
      </c>
      <c r="D7946" s="1" t="str">
        <f t="shared" si="220"/>
        <v>PRG-1031196</v>
      </c>
      <c r="E7946" t="s">
        <v>181</v>
      </c>
      <c r="F7946" t="s">
        <v>4</v>
      </c>
      <c r="G7946" t="str">
        <f>""</f>
        <v/>
      </c>
    </row>
    <row r="7947" spans="1:7" x14ac:dyDescent="0.25">
      <c r="A7947" t="s">
        <v>8</v>
      </c>
      <c r="B7947" s="1" t="str">
        <f>"000295161 - RICH PIZZA DOUGH BB NCORE-SODX"</f>
        <v>000295161 - RICH PIZZA DOUGH BB NCORE-SODX</v>
      </c>
      <c r="C7947" t="s">
        <v>613</v>
      </c>
      <c r="D7947" s="1" t="str">
        <f t="shared" si="220"/>
        <v>PRG-1031196</v>
      </c>
      <c r="E7947" t="s">
        <v>181</v>
      </c>
      <c r="F7947" t="s">
        <v>4</v>
      </c>
      <c r="G7947" t="str">
        <f>""</f>
        <v/>
      </c>
    </row>
    <row r="7948" spans="1:7" x14ac:dyDescent="0.25">
      <c r="A7948" t="s">
        <v>8</v>
      </c>
      <c r="B7948" s="1" t="str">
        <f>"000298081 - RICHS PIZZA DOUGH CORE BB-SODX"</f>
        <v>000298081 - RICHS PIZZA DOUGH CORE BB-SODX</v>
      </c>
      <c r="C7948" t="s">
        <v>112</v>
      </c>
      <c r="D7948" s="1" t="str">
        <f t="shared" si="220"/>
        <v>PRG-1031196</v>
      </c>
      <c r="E7948" t="s">
        <v>181</v>
      </c>
      <c r="F7948" t="s">
        <v>4</v>
      </c>
      <c r="G7948" t="str">
        <f>""</f>
        <v/>
      </c>
    </row>
    <row r="7949" spans="1:7" x14ac:dyDescent="0.25">
      <c r="A7949" t="s">
        <v>8</v>
      </c>
      <c r="B7949" s="1" t="str">
        <f>"000298082 - RICH PIZZA DOUGH NCORE BB-SODX"</f>
        <v>000298082 - RICH PIZZA DOUGH NCORE BB-SODX</v>
      </c>
      <c r="C7949" t="s">
        <v>113</v>
      </c>
      <c r="D7949" s="1" t="str">
        <f t="shared" si="220"/>
        <v>PRG-1031196</v>
      </c>
      <c r="E7949" t="s">
        <v>181</v>
      </c>
      <c r="F7949" t="s">
        <v>4</v>
      </c>
      <c r="G7949" t="str">
        <f>""</f>
        <v/>
      </c>
    </row>
    <row r="7950" spans="1:7" x14ac:dyDescent="0.25">
      <c r="A7950" t="s">
        <v>8</v>
      </c>
      <c r="B7950" s="1" t="str">
        <f>"000298141 - RICH PIZZA &amp; ICING CBB-SODEXO"</f>
        <v>000298141 - RICH PIZZA &amp; ICING CBB-SODEXO</v>
      </c>
      <c r="C7950" t="s">
        <v>180</v>
      </c>
      <c r="D7950" s="1" t="str">
        <f t="shared" si="220"/>
        <v>PRG-1031196</v>
      </c>
      <c r="E7950" t="s">
        <v>181</v>
      </c>
      <c r="F7950" t="s">
        <v>4</v>
      </c>
      <c r="G7950" t="str">
        <f>""</f>
        <v/>
      </c>
    </row>
    <row r="7951" spans="1:7" x14ac:dyDescent="0.25">
      <c r="A7951" t="s">
        <v>8</v>
      </c>
      <c r="B7951" s="1" t="str">
        <f>"000298142 - RICH PIZZA &amp; ICING NCBB-SODEXO"</f>
        <v>000298142 - RICH PIZZA &amp; ICING NCBB-SODEXO</v>
      </c>
      <c r="C7951" t="s">
        <v>182</v>
      </c>
      <c r="D7951" s="1" t="str">
        <f t="shared" si="220"/>
        <v>PRG-1031196</v>
      </c>
      <c r="E7951" t="s">
        <v>181</v>
      </c>
      <c r="F7951" t="s">
        <v>4</v>
      </c>
      <c r="G7951" t="str">
        <f>""</f>
        <v/>
      </c>
    </row>
    <row r="7952" spans="1:7" x14ac:dyDescent="0.25">
      <c r="A7952" t="s">
        <v>8</v>
      </c>
      <c r="B7952" s="1" t="str">
        <f>"000298564 - RICH PIZZA DOUGH BB CORE-SODX"</f>
        <v>000298564 - RICH PIZZA DOUGH BB CORE-SODX</v>
      </c>
      <c r="C7952" t="s">
        <v>612</v>
      </c>
      <c r="D7952" s="1" t="str">
        <f t="shared" si="220"/>
        <v>PRG-1031196</v>
      </c>
      <c r="E7952" t="s">
        <v>181</v>
      </c>
      <c r="F7952" t="s">
        <v>4</v>
      </c>
      <c r="G7952" t="str">
        <f>""</f>
        <v/>
      </c>
    </row>
    <row r="7953" spans="1:7" x14ac:dyDescent="0.25">
      <c r="A7953" t="s">
        <v>8</v>
      </c>
      <c r="B7953" s="1" t="str">
        <f>"000298565 - RICH PIZZA DOUGH BB NCORE-SODX"</f>
        <v>000298565 - RICH PIZZA DOUGH BB NCORE-SODX</v>
      </c>
      <c r="C7953" t="s">
        <v>613</v>
      </c>
      <c r="D7953" s="1" t="str">
        <f t="shared" si="220"/>
        <v>PRG-1031196</v>
      </c>
      <c r="E7953" t="s">
        <v>181</v>
      </c>
      <c r="F7953" t="s">
        <v>4</v>
      </c>
      <c r="G7953" t="str">
        <f>""</f>
        <v/>
      </c>
    </row>
    <row r="7954" spans="1:7" x14ac:dyDescent="0.25">
      <c r="A7954" t="s">
        <v>8</v>
      </c>
      <c r="B7954" s="1" t="str">
        <f>"000300930 - "</f>
        <v xml:space="preserve">000300930 - </v>
      </c>
      <c r="D7954" s="1" t="str">
        <f t="shared" si="220"/>
        <v>PRG-1031196</v>
      </c>
      <c r="E7954" t="s">
        <v>181</v>
      </c>
      <c r="F7954" t="s">
        <v>4</v>
      </c>
      <c r="G7954" t="str">
        <f>""</f>
        <v/>
      </c>
    </row>
    <row r="7955" spans="1:7" x14ac:dyDescent="0.25">
      <c r="A7955" t="s">
        <v>8</v>
      </c>
      <c r="B7955" s="1" t="str">
        <f>"000301207 - RICH PIZZA DOUGH BB CORE-SODX"</f>
        <v>000301207 - RICH PIZZA DOUGH BB CORE-SODX</v>
      </c>
      <c r="C7955" t="s">
        <v>612</v>
      </c>
      <c r="D7955" s="1" t="str">
        <f t="shared" si="220"/>
        <v>PRG-1031196</v>
      </c>
      <c r="E7955" t="s">
        <v>181</v>
      </c>
      <c r="F7955" t="s">
        <v>4</v>
      </c>
      <c r="G7955" t="str">
        <f>""</f>
        <v/>
      </c>
    </row>
    <row r="7956" spans="1:7" x14ac:dyDescent="0.25">
      <c r="A7956" t="s">
        <v>8</v>
      </c>
      <c r="B7956" s="1" t="str">
        <f>"000301208 - RICH PIZZA DOUGH BB NCORE-SODX"</f>
        <v>000301208 - RICH PIZZA DOUGH BB NCORE-SODX</v>
      </c>
      <c r="C7956" t="s">
        <v>613</v>
      </c>
      <c r="D7956" s="1" t="str">
        <f t="shared" si="220"/>
        <v>PRG-1031196</v>
      </c>
      <c r="E7956" t="s">
        <v>181</v>
      </c>
      <c r="F7956" t="s">
        <v>4</v>
      </c>
      <c r="G7956" t="str">
        <f>""</f>
        <v/>
      </c>
    </row>
    <row r="7957" spans="1:7" x14ac:dyDescent="0.25">
      <c r="A7957" t="s">
        <v>8</v>
      </c>
      <c r="B7957" s="1" t="str">
        <f>"000301258 - RICHS PIZZA DOUGH CORE BB-SODX"</f>
        <v>000301258 - RICHS PIZZA DOUGH CORE BB-SODX</v>
      </c>
      <c r="C7957" t="s">
        <v>112</v>
      </c>
      <c r="D7957" s="1" t="str">
        <f t="shared" si="220"/>
        <v>PRG-1031196</v>
      </c>
      <c r="E7957" t="s">
        <v>181</v>
      </c>
      <c r="F7957" t="s">
        <v>4</v>
      </c>
      <c r="G7957" t="str">
        <f>""</f>
        <v/>
      </c>
    </row>
    <row r="7958" spans="1:7" x14ac:dyDescent="0.25">
      <c r="A7958" t="s">
        <v>8</v>
      </c>
      <c r="B7958" s="1" t="str">
        <f>"000301259 - RICH PIZZA DOUGH NCORE BB-SODX"</f>
        <v>000301259 - RICH PIZZA DOUGH NCORE BB-SODX</v>
      </c>
      <c r="C7958" t="s">
        <v>113</v>
      </c>
      <c r="D7958" s="1" t="str">
        <f t="shared" si="220"/>
        <v>PRG-1031196</v>
      </c>
      <c r="E7958" t="s">
        <v>181</v>
      </c>
      <c r="F7958" t="s">
        <v>4</v>
      </c>
      <c r="G7958" t="str">
        <f>""</f>
        <v/>
      </c>
    </row>
    <row r="7959" spans="1:7" x14ac:dyDescent="0.25">
      <c r="A7959" t="s">
        <v>8</v>
      </c>
      <c r="B7959" s="1" t="str">
        <f>"000303300 - "</f>
        <v xml:space="preserve">000303300 - </v>
      </c>
      <c r="D7959" s="1" t="str">
        <f t="shared" si="220"/>
        <v>PRG-1031196</v>
      </c>
      <c r="E7959" t="s">
        <v>181</v>
      </c>
      <c r="F7959" t="s">
        <v>4</v>
      </c>
      <c r="G7959" t="str">
        <f>""</f>
        <v/>
      </c>
    </row>
    <row r="7960" spans="1:7" x14ac:dyDescent="0.25">
      <c r="A7960" t="s">
        <v>8</v>
      </c>
      <c r="B7960" s="1" t="str">
        <f>"000303301 - "</f>
        <v xml:space="preserve">000303301 - </v>
      </c>
      <c r="D7960" s="1" t="str">
        <f t="shared" si="220"/>
        <v>PRG-1031196</v>
      </c>
      <c r="E7960" t="s">
        <v>181</v>
      </c>
      <c r="F7960" t="s">
        <v>4</v>
      </c>
      <c r="G7960" t="str">
        <f>""</f>
        <v/>
      </c>
    </row>
    <row r="7961" spans="1:7" x14ac:dyDescent="0.25">
      <c r="A7961" t="s">
        <v>8</v>
      </c>
      <c r="B7961" s="1" t="str">
        <f>"000304648 - "</f>
        <v xml:space="preserve">000304648 - </v>
      </c>
      <c r="D7961" s="1" t="str">
        <f t="shared" si="220"/>
        <v>PRG-1031196</v>
      </c>
      <c r="E7961" t="s">
        <v>181</v>
      </c>
      <c r="F7961" t="s">
        <v>4</v>
      </c>
      <c r="G7961" t="str">
        <f>""</f>
        <v/>
      </c>
    </row>
    <row r="7962" spans="1:7" x14ac:dyDescent="0.25">
      <c r="A7962" t="s">
        <v>8</v>
      </c>
      <c r="B7962" s="1" t="str">
        <f>"000304649 - "</f>
        <v xml:space="preserve">000304649 - </v>
      </c>
      <c r="D7962" s="1" t="str">
        <f t="shared" si="220"/>
        <v>PRG-1031196</v>
      </c>
      <c r="E7962" t="s">
        <v>181</v>
      </c>
      <c r="F7962" t="s">
        <v>4</v>
      </c>
      <c r="G7962" t="str">
        <f>""</f>
        <v/>
      </c>
    </row>
    <row r="7963" spans="1:7" x14ac:dyDescent="0.25">
      <c r="A7963" t="s">
        <v>8</v>
      </c>
      <c r="B7963" s="1" t="str">
        <f>"000305289 - RICHS PIZZA DOUGH CORE BB-SODX"</f>
        <v>000305289 - RICHS PIZZA DOUGH CORE BB-SODX</v>
      </c>
      <c r="C7963" t="s">
        <v>112</v>
      </c>
      <c r="D7963" s="1" t="str">
        <f t="shared" si="220"/>
        <v>PRG-1031196</v>
      </c>
      <c r="E7963" t="s">
        <v>181</v>
      </c>
      <c r="F7963" t="s">
        <v>4</v>
      </c>
      <c r="G7963" t="str">
        <f>""</f>
        <v/>
      </c>
    </row>
    <row r="7964" spans="1:7" x14ac:dyDescent="0.25">
      <c r="A7964" t="s">
        <v>8</v>
      </c>
      <c r="B7964" s="1" t="str">
        <f>"000305290 - RICH PIZZA DOUGH NCORE BB-SODX"</f>
        <v>000305290 - RICH PIZZA DOUGH NCORE BB-SODX</v>
      </c>
      <c r="C7964" t="s">
        <v>113</v>
      </c>
      <c r="D7964" s="1" t="str">
        <f t="shared" si="220"/>
        <v>PRG-1031196</v>
      </c>
      <c r="E7964" t="s">
        <v>181</v>
      </c>
      <c r="F7964" t="s">
        <v>4</v>
      </c>
      <c r="G7964" t="str">
        <f>""</f>
        <v/>
      </c>
    </row>
    <row r="7965" spans="1:7" x14ac:dyDescent="0.25">
      <c r="A7965" t="s">
        <v>8</v>
      </c>
      <c r="B7965" s="1" t="str">
        <f>"000306543 - "</f>
        <v xml:space="preserve">000306543 - </v>
      </c>
      <c r="D7965" s="1" t="str">
        <f t="shared" si="220"/>
        <v>PRG-1031196</v>
      </c>
      <c r="E7965" t="s">
        <v>181</v>
      </c>
      <c r="F7965" t="s">
        <v>4</v>
      </c>
      <c r="G7965" t="str">
        <f>""</f>
        <v/>
      </c>
    </row>
    <row r="7966" spans="1:7" x14ac:dyDescent="0.25">
      <c r="A7966" t="s">
        <v>8</v>
      </c>
      <c r="B7966" s="1" t="str">
        <f>"000306544 - "</f>
        <v xml:space="preserve">000306544 - </v>
      </c>
      <c r="D7966" s="1" t="str">
        <f t="shared" si="220"/>
        <v>PRG-1031196</v>
      </c>
      <c r="E7966" t="s">
        <v>181</v>
      </c>
      <c r="F7966" t="s">
        <v>4</v>
      </c>
      <c r="G7966" t="str">
        <f>""</f>
        <v/>
      </c>
    </row>
    <row r="7967" spans="1:7" x14ac:dyDescent="0.25">
      <c r="A7967" t="s">
        <v>8</v>
      </c>
      <c r="B7967" s="1" t="str">
        <f>"000308785 - RICHS PIZZA DOGH&amp;ICING CC-SODX"</f>
        <v>000308785 - RICHS PIZZA DOGH&amp;ICING CC-SODX</v>
      </c>
      <c r="C7967" t="s">
        <v>601</v>
      </c>
      <c r="D7967" s="1" t="str">
        <f t="shared" si="220"/>
        <v>PRG-1031196</v>
      </c>
      <c r="E7967" t="s">
        <v>181</v>
      </c>
      <c r="F7967" t="s">
        <v>4</v>
      </c>
      <c r="G7967" t="str">
        <f>""</f>
        <v/>
      </c>
    </row>
    <row r="7968" spans="1:7" x14ac:dyDescent="0.25">
      <c r="A7968" t="s">
        <v>8</v>
      </c>
      <c r="B7968" s="1" t="str">
        <f>"000309779 - RICH PIZZA &amp; ICING CBB-SODEXO"</f>
        <v>000309779 - RICH PIZZA &amp; ICING CBB-SODEXO</v>
      </c>
      <c r="C7968" t="s">
        <v>180</v>
      </c>
      <c r="D7968" s="1" t="str">
        <f t="shared" si="220"/>
        <v>PRG-1031196</v>
      </c>
      <c r="E7968" t="s">
        <v>181</v>
      </c>
      <c r="F7968" t="s">
        <v>4</v>
      </c>
      <c r="G7968" t="str">
        <f>""</f>
        <v/>
      </c>
    </row>
    <row r="7969" spans="1:7" x14ac:dyDescent="0.25">
      <c r="A7969" t="s">
        <v>8</v>
      </c>
      <c r="B7969" s="1" t="str">
        <f>"000309780 - RICH PIZZA &amp; ICING NCBB-SODEXO"</f>
        <v>000309780 - RICH PIZZA &amp; ICING NCBB-SODEXO</v>
      </c>
      <c r="C7969" t="s">
        <v>182</v>
      </c>
      <c r="D7969" s="1" t="str">
        <f t="shared" si="220"/>
        <v>PRG-1031196</v>
      </c>
      <c r="E7969" t="s">
        <v>181</v>
      </c>
      <c r="F7969" t="s">
        <v>4</v>
      </c>
      <c r="G7969" t="str">
        <f>""</f>
        <v/>
      </c>
    </row>
    <row r="7970" spans="1:7" x14ac:dyDescent="0.25">
      <c r="A7970" t="s">
        <v>8</v>
      </c>
      <c r="B7970" s="1" t="str">
        <f>"000310624 - RICHS PIZZA DOGH&amp;ICING CC-SODX"</f>
        <v>000310624 - RICHS PIZZA DOGH&amp;ICING CC-SODX</v>
      </c>
      <c r="C7970" t="s">
        <v>601</v>
      </c>
      <c r="D7970" s="1" t="str">
        <f t="shared" ref="D7970:D8033" si="221">"PRG-1031196"</f>
        <v>PRG-1031196</v>
      </c>
      <c r="E7970" t="s">
        <v>181</v>
      </c>
      <c r="F7970" t="s">
        <v>4</v>
      </c>
      <c r="G7970" t="str">
        <f>""</f>
        <v/>
      </c>
    </row>
    <row r="7971" spans="1:7" x14ac:dyDescent="0.25">
      <c r="A7971" t="s">
        <v>8</v>
      </c>
      <c r="B7971" s="1" t="str">
        <f>"000311371 - RICH PIZZA &amp; ICING CBB-SODEXO"</f>
        <v>000311371 - RICH PIZZA &amp; ICING CBB-SODEXO</v>
      </c>
      <c r="C7971" t="s">
        <v>180</v>
      </c>
      <c r="D7971" s="1" t="str">
        <f t="shared" si="221"/>
        <v>PRG-1031196</v>
      </c>
      <c r="E7971" t="s">
        <v>181</v>
      </c>
      <c r="F7971" t="s">
        <v>4</v>
      </c>
      <c r="G7971" t="str">
        <f>""</f>
        <v/>
      </c>
    </row>
    <row r="7972" spans="1:7" x14ac:dyDescent="0.25">
      <c r="A7972" t="s">
        <v>8</v>
      </c>
      <c r="B7972" s="1" t="str">
        <f>"000311372 - RICH PIZZA &amp; ICING NCBB-SODEXO"</f>
        <v>000311372 - RICH PIZZA &amp; ICING NCBB-SODEXO</v>
      </c>
      <c r="C7972" t="s">
        <v>182</v>
      </c>
      <c r="D7972" s="1" t="str">
        <f t="shared" si="221"/>
        <v>PRG-1031196</v>
      </c>
      <c r="E7972" t="s">
        <v>181</v>
      </c>
      <c r="F7972" t="s">
        <v>4</v>
      </c>
      <c r="G7972" t="str">
        <f>""</f>
        <v/>
      </c>
    </row>
    <row r="7973" spans="1:7" x14ac:dyDescent="0.25">
      <c r="A7973" t="s">
        <v>8</v>
      </c>
      <c r="B7973" s="1" t="str">
        <f>"000311634 - RICH PIZZA DOUGH BB CORE-SODX"</f>
        <v>000311634 - RICH PIZZA DOUGH BB CORE-SODX</v>
      </c>
      <c r="C7973" t="s">
        <v>612</v>
      </c>
      <c r="D7973" s="1" t="str">
        <f t="shared" si="221"/>
        <v>PRG-1031196</v>
      </c>
      <c r="E7973" t="s">
        <v>181</v>
      </c>
      <c r="F7973" t="s">
        <v>4</v>
      </c>
      <c r="G7973" t="str">
        <f>""</f>
        <v/>
      </c>
    </row>
    <row r="7974" spans="1:7" x14ac:dyDescent="0.25">
      <c r="A7974" t="s">
        <v>8</v>
      </c>
      <c r="B7974" s="1" t="str">
        <f>"000311635 - RICH BREAD &amp; ROLLS-SODEXO"</f>
        <v>000311635 - RICH BREAD &amp; ROLLS-SODEXO</v>
      </c>
      <c r="C7974" t="s">
        <v>141</v>
      </c>
      <c r="D7974" s="1" t="str">
        <f t="shared" si="221"/>
        <v>PRG-1031196</v>
      </c>
      <c r="E7974" t="s">
        <v>181</v>
      </c>
      <c r="F7974" t="s">
        <v>4</v>
      </c>
      <c r="G7974" t="str">
        <f>""</f>
        <v/>
      </c>
    </row>
    <row r="7975" spans="1:7" x14ac:dyDescent="0.25">
      <c r="A7975" t="s">
        <v>8</v>
      </c>
      <c r="B7975" s="1" t="str">
        <f>"000313536 - RICH PIZZA DOUGH BB CORE-SODX"</f>
        <v>000313536 - RICH PIZZA DOUGH BB CORE-SODX</v>
      </c>
      <c r="C7975" t="s">
        <v>612</v>
      </c>
      <c r="D7975" s="1" t="str">
        <f t="shared" si="221"/>
        <v>PRG-1031196</v>
      </c>
      <c r="E7975" t="s">
        <v>181</v>
      </c>
      <c r="F7975" t="s">
        <v>4</v>
      </c>
      <c r="G7975" t="str">
        <f>""</f>
        <v/>
      </c>
    </row>
    <row r="7976" spans="1:7" x14ac:dyDescent="0.25">
      <c r="A7976" t="s">
        <v>8</v>
      </c>
      <c r="B7976" s="1" t="str">
        <f>"000313537 - RICH PIZZA DOUGH BB NCORE-SODX"</f>
        <v>000313537 - RICH PIZZA DOUGH BB NCORE-SODX</v>
      </c>
      <c r="C7976" t="s">
        <v>613</v>
      </c>
      <c r="D7976" s="1" t="str">
        <f t="shared" si="221"/>
        <v>PRG-1031196</v>
      </c>
      <c r="E7976" t="s">
        <v>181</v>
      </c>
      <c r="F7976" t="s">
        <v>4</v>
      </c>
      <c r="G7976" t="str">
        <f>""</f>
        <v/>
      </c>
    </row>
    <row r="7977" spans="1:7" x14ac:dyDescent="0.25">
      <c r="A7977" t="s">
        <v>8</v>
      </c>
      <c r="B7977" s="1" t="str">
        <f>"000313973 - RICH FOODS-PIZZA STUDIO"</f>
        <v>000313973 - RICH FOODS-PIZZA STUDIO</v>
      </c>
      <c r="C7977" t="s">
        <v>285</v>
      </c>
      <c r="D7977" s="1" t="str">
        <f t="shared" si="221"/>
        <v>PRG-1031196</v>
      </c>
      <c r="E7977" t="s">
        <v>181</v>
      </c>
      <c r="F7977" t="s">
        <v>4</v>
      </c>
      <c r="G7977" t="str">
        <f>""</f>
        <v/>
      </c>
    </row>
    <row r="7978" spans="1:7" x14ac:dyDescent="0.25">
      <c r="A7978" t="s">
        <v>8</v>
      </c>
      <c r="B7978" s="1" t="str">
        <f>"000315393 - RICHS PIZZA DOUGH CORE BB-SODX"</f>
        <v>000315393 - RICHS PIZZA DOUGH CORE BB-SODX</v>
      </c>
      <c r="C7978" t="s">
        <v>112</v>
      </c>
      <c r="D7978" s="1" t="str">
        <f t="shared" si="221"/>
        <v>PRG-1031196</v>
      </c>
      <c r="E7978" t="s">
        <v>181</v>
      </c>
      <c r="F7978" t="s">
        <v>4</v>
      </c>
      <c r="G7978" t="str">
        <f>""</f>
        <v/>
      </c>
    </row>
    <row r="7979" spans="1:7" x14ac:dyDescent="0.25">
      <c r="A7979" t="s">
        <v>8</v>
      </c>
      <c r="B7979" s="1" t="str">
        <f>"000315394 - RICH PIZZA DOUGH NCORE BB-SODX"</f>
        <v>000315394 - RICH PIZZA DOUGH NCORE BB-SODX</v>
      </c>
      <c r="C7979" t="s">
        <v>113</v>
      </c>
      <c r="D7979" s="1" t="str">
        <f t="shared" si="221"/>
        <v>PRG-1031196</v>
      </c>
      <c r="E7979" t="s">
        <v>181</v>
      </c>
      <c r="F7979" t="s">
        <v>4</v>
      </c>
      <c r="G7979" t="str">
        <f>""</f>
        <v/>
      </c>
    </row>
    <row r="7980" spans="1:7" x14ac:dyDescent="0.25">
      <c r="A7980" t="s">
        <v>8</v>
      </c>
      <c r="B7980" s="1" t="str">
        <f>"000317444 - "</f>
        <v xml:space="preserve">000317444 - </v>
      </c>
      <c r="D7980" s="1" t="str">
        <f t="shared" si="221"/>
        <v>PRG-1031196</v>
      </c>
      <c r="E7980" t="s">
        <v>181</v>
      </c>
      <c r="F7980" t="s">
        <v>4</v>
      </c>
      <c r="G7980" t="str">
        <f>""</f>
        <v/>
      </c>
    </row>
    <row r="7981" spans="1:7" x14ac:dyDescent="0.25">
      <c r="A7981" t="s">
        <v>8</v>
      </c>
      <c r="B7981" s="1" t="str">
        <f>"000317445 - "</f>
        <v xml:space="preserve">000317445 - </v>
      </c>
      <c r="D7981" s="1" t="str">
        <f t="shared" si="221"/>
        <v>PRG-1031196</v>
      </c>
      <c r="E7981" t="s">
        <v>181</v>
      </c>
      <c r="F7981" t="s">
        <v>4</v>
      </c>
      <c r="G7981" t="str">
        <f>""</f>
        <v/>
      </c>
    </row>
    <row r="7982" spans="1:7" x14ac:dyDescent="0.25">
      <c r="A7982" t="s">
        <v>8</v>
      </c>
      <c r="B7982" s="1" t="str">
        <f>"000317764 - RICHS PIZZA DOUGH CORE BB-SODX"</f>
        <v>000317764 - RICHS PIZZA DOUGH CORE BB-SODX</v>
      </c>
      <c r="C7982" t="s">
        <v>112</v>
      </c>
      <c r="D7982" s="1" t="str">
        <f t="shared" si="221"/>
        <v>PRG-1031196</v>
      </c>
      <c r="E7982" t="s">
        <v>181</v>
      </c>
      <c r="F7982" t="s">
        <v>4</v>
      </c>
      <c r="G7982" t="str">
        <f>""</f>
        <v/>
      </c>
    </row>
    <row r="7983" spans="1:7" x14ac:dyDescent="0.25">
      <c r="A7983" t="s">
        <v>8</v>
      </c>
      <c r="B7983" s="1" t="str">
        <f>"000317765 - RICH PIZZA DOUGH NCORE BB-SODX"</f>
        <v>000317765 - RICH PIZZA DOUGH NCORE BB-SODX</v>
      </c>
      <c r="C7983" t="s">
        <v>113</v>
      </c>
      <c r="D7983" s="1" t="str">
        <f t="shared" si="221"/>
        <v>PRG-1031196</v>
      </c>
      <c r="E7983" t="s">
        <v>181</v>
      </c>
      <c r="F7983" t="s">
        <v>4</v>
      </c>
      <c r="G7983" t="str">
        <f>""</f>
        <v/>
      </c>
    </row>
    <row r="7984" spans="1:7" x14ac:dyDescent="0.25">
      <c r="A7984" t="s">
        <v>8</v>
      </c>
      <c r="B7984" s="1" t="str">
        <f>"000319344 - "</f>
        <v xml:space="preserve">000319344 - </v>
      </c>
      <c r="D7984" s="1" t="str">
        <f t="shared" si="221"/>
        <v>PRG-1031196</v>
      </c>
      <c r="E7984" t="s">
        <v>181</v>
      </c>
      <c r="F7984" t="s">
        <v>4</v>
      </c>
      <c r="G7984" t="str">
        <f>""</f>
        <v/>
      </c>
    </row>
    <row r="7985" spans="1:7" x14ac:dyDescent="0.25">
      <c r="A7985" t="s">
        <v>8</v>
      </c>
      <c r="B7985" s="1" t="str">
        <f>"000320233 - RICH PIZZA &amp; ICING CBB-SODEXO"</f>
        <v>000320233 - RICH PIZZA &amp; ICING CBB-SODEXO</v>
      </c>
      <c r="C7985" t="s">
        <v>180</v>
      </c>
      <c r="D7985" s="1" t="str">
        <f t="shared" si="221"/>
        <v>PRG-1031196</v>
      </c>
      <c r="E7985" t="s">
        <v>181</v>
      </c>
      <c r="F7985" t="s">
        <v>4</v>
      </c>
      <c r="G7985" t="str">
        <f>""</f>
        <v/>
      </c>
    </row>
    <row r="7986" spans="1:7" x14ac:dyDescent="0.25">
      <c r="A7986" t="s">
        <v>8</v>
      </c>
      <c r="B7986" s="1" t="str">
        <f>"000320234 - RICH PIZZA &amp; ICING NCBB-SODEXO"</f>
        <v>000320234 - RICH PIZZA &amp; ICING NCBB-SODEXO</v>
      </c>
      <c r="C7986" t="s">
        <v>182</v>
      </c>
      <c r="D7986" s="1" t="str">
        <f t="shared" si="221"/>
        <v>PRG-1031196</v>
      </c>
      <c r="E7986" t="s">
        <v>181</v>
      </c>
      <c r="F7986" t="s">
        <v>4</v>
      </c>
      <c r="G7986" t="str">
        <f>""</f>
        <v/>
      </c>
    </row>
    <row r="7987" spans="1:7" x14ac:dyDescent="0.25">
      <c r="A7987" t="s">
        <v>8</v>
      </c>
      <c r="B7987" s="1" t="str">
        <f>"000321713 - "</f>
        <v xml:space="preserve">000321713 - </v>
      </c>
      <c r="D7987" s="1" t="str">
        <f t="shared" si="221"/>
        <v>PRG-1031196</v>
      </c>
      <c r="E7987" t="s">
        <v>181</v>
      </c>
      <c r="F7987" t="s">
        <v>4</v>
      </c>
      <c r="G7987" t="str">
        <f>""</f>
        <v/>
      </c>
    </row>
    <row r="7988" spans="1:7" x14ac:dyDescent="0.25">
      <c r="A7988" t="s">
        <v>8</v>
      </c>
      <c r="B7988" s="1" t="str">
        <f>"000321714 - "</f>
        <v xml:space="preserve">000321714 - </v>
      </c>
      <c r="D7988" s="1" t="str">
        <f t="shared" si="221"/>
        <v>PRG-1031196</v>
      </c>
      <c r="E7988" t="s">
        <v>181</v>
      </c>
      <c r="F7988" t="s">
        <v>4</v>
      </c>
      <c r="G7988" t="str">
        <f>""</f>
        <v/>
      </c>
    </row>
    <row r="7989" spans="1:7" x14ac:dyDescent="0.25">
      <c r="A7989" t="s">
        <v>8</v>
      </c>
      <c r="B7989" s="1" t="str">
        <f>"000321989 - RICH PIZZA DOUGH BB CORE-SODX"</f>
        <v>000321989 - RICH PIZZA DOUGH BB CORE-SODX</v>
      </c>
      <c r="C7989" t="s">
        <v>612</v>
      </c>
      <c r="D7989" s="1" t="str">
        <f t="shared" si="221"/>
        <v>PRG-1031196</v>
      </c>
      <c r="E7989" t="s">
        <v>181</v>
      </c>
      <c r="F7989" t="s">
        <v>4</v>
      </c>
      <c r="G7989" t="str">
        <f>""</f>
        <v/>
      </c>
    </row>
    <row r="7990" spans="1:7" x14ac:dyDescent="0.25">
      <c r="A7990" t="s">
        <v>8</v>
      </c>
      <c r="B7990" s="1" t="str">
        <f>"000321990 - RICH PIZZA DOUGH BB NCORE-SODX"</f>
        <v>000321990 - RICH PIZZA DOUGH BB NCORE-SODX</v>
      </c>
      <c r="C7990" t="s">
        <v>613</v>
      </c>
      <c r="D7990" s="1" t="str">
        <f t="shared" si="221"/>
        <v>PRG-1031196</v>
      </c>
      <c r="E7990" t="s">
        <v>181</v>
      </c>
      <c r="F7990" t="s">
        <v>4</v>
      </c>
      <c r="G7990" t="str">
        <f>""</f>
        <v/>
      </c>
    </row>
    <row r="7991" spans="1:7" x14ac:dyDescent="0.25">
      <c r="A7991" t="s">
        <v>8</v>
      </c>
      <c r="B7991" s="1" t="str">
        <f>"000321999 - SODEXO RICH PIZZA DGH NCORE BB"</f>
        <v>000321999 - SODEXO RICH PIZZA DGH NCORE BB</v>
      </c>
      <c r="C7991" t="s">
        <v>3250</v>
      </c>
      <c r="D7991" s="1" t="str">
        <f t="shared" si="221"/>
        <v>PRG-1031196</v>
      </c>
      <c r="E7991" t="s">
        <v>181</v>
      </c>
      <c r="F7991" t="s">
        <v>4</v>
      </c>
      <c r="G7991" t="str">
        <f>""</f>
        <v/>
      </c>
    </row>
    <row r="7992" spans="1:7" x14ac:dyDescent="0.25">
      <c r="A7992" t="s">
        <v>8</v>
      </c>
      <c r="B7992" s="1" t="str">
        <f>"000322000 - SODEXO RICH PIZZA DGH CORE BB"</f>
        <v>000322000 - SODEXO RICH PIZZA DGH CORE BB</v>
      </c>
      <c r="C7992" t="s">
        <v>3251</v>
      </c>
      <c r="D7992" s="1" t="str">
        <f t="shared" si="221"/>
        <v>PRG-1031196</v>
      </c>
      <c r="E7992" t="s">
        <v>181</v>
      </c>
      <c r="F7992" t="s">
        <v>4</v>
      </c>
      <c r="G7992" t="str">
        <f>""</f>
        <v/>
      </c>
    </row>
    <row r="7993" spans="1:7" x14ac:dyDescent="0.25">
      <c r="A7993" t="s">
        <v>8</v>
      </c>
      <c r="B7993" s="1" t="str">
        <f>"000325148 - "</f>
        <v xml:space="preserve">000325148 - </v>
      </c>
      <c r="D7993" s="1" t="str">
        <f t="shared" si="221"/>
        <v>PRG-1031196</v>
      </c>
      <c r="E7993" t="s">
        <v>181</v>
      </c>
      <c r="F7993" t="s">
        <v>4</v>
      </c>
      <c r="G7993" t="str">
        <f>""</f>
        <v/>
      </c>
    </row>
    <row r="7994" spans="1:7" x14ac:dyDescent="0.25">
      <c r="A7994" t="s">
        <v>8</v>
      </c>
      <c r="B7994" s="1" t="str">
        <f>"000325149 - "</f>
        <v xml:space="preserve">000325149 - </v>
      </c>
      <c r="D7994" s="1" t="str">
        <f t="shared" si="221"/>
        <v>PRG-1031196</v>
      </c>
      <c r="E7994" t="s">
        <v>181</v>
      </c>
      <c r="F7994" t="s">
        <v>4</v>
      </c>
      <c r="G7994" t="str">
        <f>""</f>
        <v/>
      </c>
    </row>
    <row r="7995" spans="1:7" x14ac:dyDescent="0.25">
      <c r="A7995" t="s">
        <v>8</v>
      </c>
      <c r="B7995" s="1" t="str">
        <f>"000325572 - RICHS PIZZA DOUGH CORE BB-SODX"</f>
        <v>000325572 - RICHS PIZZA DOUGH CORE BB-SODX</v>
      </c>
      <c r="C7995" t="s">
        <v>112</v>
      </c>
      <c r="D7995" s="1" t="str">
        <f t="shared" si="221"/>
        <v>PRG-1031196</v>
      </c>
      <c r="E7995" t="s">
        <v>181</v>
      </c>
      <c r="F7995" t="s">
        <v>4</v>
      </c>
      <c r="G7995" t="str">
        <f>""</f>
        <v/>
      </c>
    </row>
    <row r="7996" spans="1:7" x14ac:dyDescent="0.25">
      <c r="A7996" t="s">
        <v>8</v>
      </c>
      <c r="B7996" s="1" t="str">
        <f>"000325573 - RICH PIZZA DOUGH NCORE BB-SODX"</f>
        <v>000325573 - RICH PIZZA DOUGH NCORE BB-SODX</v>
      </c>
      <c r="C7996" t="s">
        <v>113</v>
      </c>
      <c r="D7996" s="1" t="str">
        <f t="shared" si="221"/>
        <v>PRG-1031196</v>
      </c>
      <c r="E7996" t="s">
        <v>181</v>
      </c>
      <c r="F7996" t="s">
        <v>4</v>
      </c>
      <c r="G7996" t="str">
        <f>""</f>
        <v/>
      </c>
    </row>
    <row r="7997" spans="1:7" x14ac:dyDescent="0.25">
      <c r="A7997" t="s">
        <v>8</v>
      </c>
      <c r="B7997" s="1" t="str">
        <f>"000326507 - "</f>
        <v xml:space="preserve">000326507 - </v>
      </c>
      <c r="D7997" s="1" t="str">
        <f t="shared" si="221"/>
        <v>PRG-1031196</v>
      </c>
      <c r="E7997" t="s">
        <v>181</v>
      </c>
      <c r="F7997" t="s">
        <v>4</v>
      </c>
      <c r="G7997" t="str">
        <f>""</f>
        <v/>
      </c>
    </row>
    <row r="7998" spans="1:7" x14ac:dyDescent="0.25">
      <c r="A7998" t="s">
        <v>8</v>
      </c>
      <c r="B7998" s="1" t="str">
        <f>"000328114 - RICH PIZZA &amp; ICING CBB-SODEXO"</f>
        <v>000328114 - RICH PIZZA &amp; ICING CBB-SODEXO</v>
      </c>
      <c r="C7998" t="s">
        <v>180</v>
      </c>
      <c r="D7998" s="1" t="str">
        <f t="shared" si="221"/>
        <v>PRG-1031196</v>
      </c>
      <c r="E7998" t="s">
        <v>181</v>
      </c>
      <c r="F7998" t="s">
        <v>4</v>
      </c>
      <c r="G7998" t="str">
        <f>""</f>
        <v/>
      </c>
    </row>
    <row r="7999" spans="1:7" x14ac:dyDescent="0.25">
      <c r="A7999" t="s">
        <v>8</v>
      </c>
      <c r="B7999" s="1" t="str">
        <f>"000328115 - RICH PIZZA &amp; ICING NCBB-SODEXO"</f>
        <v>000328115 - RICH PIZZA &amp; ICING NCBB-SODEXO</v>
      </c>
      <c r="C7999" t="s">
        <v>182</v>
      </c>
      <c r="D7999" s="1" t="str">
        <f t="shared" si="221"/>
        <v>PRG-1031196</v>
      </c>
      <c r="E7999" t="s">
        <v>181</v>
      </c>
      <c r="F7999" t="s">
        <v>4</v>
      </c>
      <c r="G7999" t="str">
        <f>""</f>
        <v/>
      </c>
    </row>
    <row r="8000" spans="1:7" x14ac:dyDescent="0.25">
      <c r="A8000" t="s">
        <v>8</v>
      </c>
      <c r="B8000" s="1" t="str">
        <f>"000329904 - "</f>
        <v xml:space="preserve">000329904 - </v>
      </c>
      <c r="D8000" s="1" t="str">
        <f t="shared" si="221"/>
        <v>PRG-1031196</v>
      </c>
      <c r="E8000" t="s">
        <v>181</v>
      </c>
      <c r="F8000" t="s">
        <v>4</v>
      </c>
      <c r="G8000" t="str">
        <f>""</f>
        <v/>
      </c>
    </row>
    <row r="8001" spans="1:7" x14ac:dyDescent="0.25">
      <c r="A8001" t="s">
        <v>8</v>
      </c>
      <c r="B8001" s="1" t="str">
        <f>"000329954 - RICHS PIZZA DOGH&amp;ICING CC-SODX"</f>
        <v>000329954 - RICHS PIZZA DOGH&amp;ICING CC-SODX</v>
      </c>
      <c r="C8001" t="s">
        <v>601</v>
      </c>
      <c r="D8001" s="1" t="str">
        <f t="shared" si="221"/>
        <v>PRG-1031196</v>
      </c>
      <c r="E8001" t="s">
        <v>181</v>
      </c>
      <c r="F8001" t="s">
        <v>4</v>
      </c>
      <c r="G8001" t="str">
        <f>""</f>
        <v/>
      </c>
    </row>
    <row r="8002" spans="1:7" x14ac:dyDescent="0.25">
      <c r="A8002" t="s">
        <v>8</v>
      </c>
      <c r="B8002" s="1" t="str">
        <f>"000332160 - "</f>
        <v xml:space="preserve">000332160 - </v>
      </c>
      <c r="D8002" s="1" t="str">
        <f t="shared" si="221"/>
        <v>PRG-1031196</v>
      </c>
      <c r="E8002" t="s">
        <v>181</v>
      </c>
      <c r="F8002" t="s">
        <v>4</v>
      </c>
      <c r="G8002" t="str">
        <f>""</f>
        <v/>
      </c>
    </row>
    <row r="8003" spans="1:7" x14ac:dyDescent="0.25">
      <c r="A8003" t="s">
        <v>8</v>
      </c>
      <c r="B8003" s="1" t="str">
        <f>"000332161 - "</f>
        <v xml:space="preserve">000332161 - </v>
      </c>
      <c r="D8003" s="1" t="str">
        <f t="shared" si="221"/>
        <v>PRG-1031196</v>
      </c>
      <c r="E8003" t="s">
        <v>181</v>
      </c>
      <c r="F8003" t="s">
        <v>4</v>
      </c>
      <c r="G8003" t="str">
        <f>""</f>
        <v/>
      </c>
    </row>
    <row r="8004" spans="1:7" x14ac:dyDescent="0.25">
      <c r="A8004" t="s">
        <v>8</v>
      </c>
      <c r="B8004" s="1" t="str">
        <f>"000332541 - RICH PIZZA &amp; ICING CBB-SODEXO"</f>
        <v>000332541 - RICH PIZZA &amp; ICING CBB-SODEXO</v>
      </c>
      <c r="C8004" t="s">
        <v>180</v>
      </c>
      <c r="D8004" s="1" t="str">
        <f t="shared" si="221"/>
        <v>PRG-1031196</v>
      </c>
      <c r="E8004" t="s">
        <v>181</v>
      </c>
      <c r="F8004" t="s">
        <v>4</v>
      </c>
      <c r="G8004" t="str">
        <f>""</f>
        <v/>
      </c>
    </row>
    <row r="8005" spans="1:7" x14ac:dyDescent="0.25">
      <c r="A8005" t="s">
        <v>8</v>
      </c>
      <c r="B8005" s="1" t="str">
        <f>"000332542 - RICH PIZZA &amp; ICING NCBB-SODEXO"</f>
        <v>000332542 - RICH PIZZA &amp; ICING NCBB-SODEXO</v>
      </c>
      <c r="C8005" t="s">
        <v>182</v>
      </c>
      <c r="D8005" s="1" t="str">
        <f t="shared" si="221"/>
        <v>PRG-1031196</v>
      </c>
      <c r="E8005" t="s">
        <v>181</v>
      </c>
      <c r="F8005" t="s">
        <v>4</v>
      </c>
      <c r="G8005" t="str">
        <f>""</f>
        <v/>
      </c>
    </row>
    <row r="8006" spans="1:7" x14ac:dyDescent="0.25">
      <c r="A8006" t="s">
        <v>8</v>
      </c>
      <c r="B8006" s="1" t="str">
        <f>"000332586 - "</f>
        <v xml:space="preserve">000332586 - </v>
      </c>
      <c r="D8006" s="1" t="str">
        <f t="shared" si="221"/>
        <v>PRG-1031196</v>
      </c>
      <c r="E8006" t="s">
        <v>181</v>
      </c>
      <c r="F8006" t="s">
        <v>4</v>
      </c>
      <c r="G8006" t="str">
        <f>""</f>
        <v/>
      </c>
    </row>
    <row r="8007" spans="1:7" x14ac:dyDescent="0.25">
      <c r="A8007" t="s">
        <v>8</v>
      </c>
      <c r="B8007" s="1" t="str">
        <f>"000332811 - RICH PIZZA DOUGH BB CORE-SODX"</f>
        <v>000332811 - RICH PIZZA DOUGH BB CORE-SODX</v>
      </c>
      <c r="C8007" t="s">
        <v>612</v>
      </c>
      <c r="D8007" s="1" t="str">
        <f t="shared" si="221"/>
        <v>PRG-1031196</v>
      </c>
      <c r="E8007" t="s">
        <v>181</v>
      </c>
      <c r="F8007" t="s">
        <v>4</v>
      </c>
      <c r="G8007" t="str">
        <f>""</f>
        <v/>
      </c>
    </row>
    <row r="8008" spans="1:7" x14ac:dyDescent="0.25">
      <c r="A8008" t="s">
        <v>8</v>
      </c>
      <c r="B8008" s="1" t="str">
        <f>"000332812 - RICH PIZZA DOUGH BB NCORE-SODX"</f>
        <v>000332812 - RICH PIZZA DOUGH BB NCORE-SODX</v>
      </c>
      <c r="C8008" t="s">
        <v>613</v>
      </c>
      <c r="D8008" s="1" t="str">
        <f t="shared" si="221"/>
        <v>PRG-1031196</v>
      </c>
      <c r="E8008" t="s">
        <v>181</v>
      </c>
      <c r="F8008" t="s">
        <v>4</v>
      </c>
      <c r="G8008" t="str">
        <f>""</f>
        <v/>
      </c>
    </row>
    <row r="8009" spans="1:7" x14ac:dyDescent="0.25">
      <c r="A8009" t="s">
        <v>8</v>
      </c>
      <c r="B8009" s="1" t="str">
        <f>"000332956 - "</f>
        <v xml:space="preserve">000332956 - </v>
      </c>
      <c r="D8009" s="1" t="str">
        <f t="shared" si="221"/>
        <v>PRG-1031196</v>
      </c>
      <c r="E8009" t="s">
        <v>181</v>
      </c>
      <c r="F8009" t="s">
        <v>4</v>
      </c>
      <c r="G8009" t="str">
        <f>""</f>
        <v/>
      </c>
    </row>
    <row r="8010" spans="1:7" x14ac:dyDescent="0.25">
      <c r="A8010" t="s">
        <v>8</v>
      </c>
      <c r="B8010" s="1" t="str">
        <f>"000335292 - "</f>
        <v xml:space="preserve">000335292 - </v>
      </c>
      <c r="D8010" s="1" t="str">
        <f t="shared" si="221"/>
        <v>PRG-1031196</v>
      </c>
      <c r="E8010" t="s">
        <v>181</v>
      </c>
      <c r="F8010" t="s">
        <v>4</v>
      </c>
      <c r="G8010" t="str">
        <f>""</f>
        <v/>
      </c>
    </row>
    <row r="8011" spans="1:7" x14ac:dyDescent="0.25">
      <c r="A8011" t="s">
        <v>8</v>
      </c>
      <c r="B8011" s="1" t="str">
        <f>"000335293 - "</f>
        <v xml:space="preserve">000335293 - </v>
      </c>
      <c r="D8011" s="1" t="str">
        <f t="shared" si="221"/>
        <v>PRG-1031196</v>
      </c>
      <c r="E8011" t="s">
        <v>181</v>
      </c>
      <c r="F8011" t="s">
        <v>4</v>
      </c>
      <c r="G8011" t="str">
        <f>""</f>
        <v/>
      </c>
    </row>
    <row r="8012" spans="1:7" x14ac:dyDescent="0.25">
      <c r="A8012" t="s">
        <v>8</v>
      </c>
      <c r="B8012" s="1" t="str">
        <f>"000336095 - "</f>
        <v xml:space="preserve">000336095 - </v>
      </c>
      <c r="D8012" s="1" t="str">
        <f t="shared" si="221"/>
        <v>PRG-1031196</v>
      </c>
      <c r="E8012" t="s">
        <v>181</v>
      </c>
      <c r="F8012" t="s">
        <v>4</v>
      </c>
      <c r="G8012" t="str">
        <f>""</f>
        <v/>
      </c>
    </row>
    <row r="8013" spans="1:7" x14ac:dyDescent="0.25">
      <c r="A8013" t="s">
        <v>8</v>
      </c>
      <c r="B8013" s="1" t="str">
        <f>"000336096 - "</f>
        <v xml:space="preserve">000336096 - </v>
      </c>
      <c r="D8013" s="1" t="str">
        <f t="shared" si="221"/>
        <v>PRG-1031196</v>
      </c>
      <c r="E8013" t="s">
        <v>181</v>
      </c>
      <c r="F8013" t="s">
        <v>4</v>
      </c>
      <c r="G8013" t="str">
        <f>""</f>
        <v/>
      </c>
    </row>
    <row r="8014" spans="1:7" x14ac:dyDescent="0.25">
      <c r="A8014" t="s">
        <v>8</v>
      </c>
      <c r="B8014" s="1" t="str">
        <f>"000336956 - RICHS PIZZA DOUGH CORE BB-SODX"</f>
        <v>000336956 - RICHS PIZZA DOUGH CORE BB-SODX</v>
      </c>
      <c r="C8014" t="s">
        <v>112</v>
      </c>
      <c r="D8014" s="1" t="str">
        <f t="shared" si="221"/>
        <v>PRG-1031196</v>
      </c>
      <c r="E8014" t="s">
        <v>181</v>
      </c>
      <c r="F8014" t="s">
        <v>4</v>
      </c>
      <c r="G8014" t="str">
        <f>""</f>
        <v/>
      </c>
    </row>
    <row r="8015" spans="1:7" x14ac:dyDescent="0.25">
      <c r="A8015" t="s">
        <v>8</v>
      </c>
      <c r="B8015" s="1" t="str">
        <f>"000336957 - RICH PIZZA DOUGH NCORE BB-SODX"</f>
        <v>000336957 - RICH PIZZA DOUGH NCORE BB-SODX</v>
      </c>
      <c r="C8015" t="s">
        <v>113</v>
      </c>
      <c r="D8015" s="1" t="str">
        <f t="shared" si="221"/>
        <v>PRG-1031196</v>
      </c>
      <c r="E8015" t="s">
        <v>181</v>
      </c>
      <c r="F8015" t="s">
        <v>4</v>
      </c>
      <c r="G8015" t="str">
        <f>""</f>
        <v/>
      </c>
    </row>
    <row r="8016" spans="1:7" x14ac:dyDescent="0.25">
      <c r="A8016" t="s">
        <v>8</v>
      </c>
      <c r="B8016" s="1" t="str">
        <f>"000337579 - RICH PIZZA &amp; ICING CBB-SODEXO"</f>
        <v>000337579 - RICH PIZZA &amp; ICING CBB-SODEXO</v>
      </c>
      <c r="C8016" t="s">
        <v>180</v>
      </c>
      <c r="D8016" s="1" t="str">
        <f t="shared" si="221"/>
        <v>PRG-1031196</v>
      </c>
      <c r="E8016" t="s">
        <v>181</v>
      </c>
      <c r="F8016" t="s">
        <v>4</v>
      </c>
      <c r="G8016" t="str">
        <f>""</f>
        <v/>
      </c>
    </row>
    <row r="8017" spans="1:7" x14ac:dyDescent="0.25">
      <c r="A8017" t="s">
        <v>8</v>
      </c>
      <c r="B8017" s="1" t="str">
        <f>"000337580 - RICH PIZZA &amp; ICING NCBB-SODEXO"</f>
        <v>000337580 - RICH PIZZA &amp; ICING NCBB-SODEXO</v>
      </c>
      <c r="C8017" t="s">
        <v>182</v>
      </c>
      <c r="D8017" s="1" t="str">
        <f t="shared" si="221"/>
        <v>PRG-1031196</v>
      </c>
      <c r="E8017" t="s">
        <v>181</v>
      </c>
      <c r="F8017" t="s">
        <v>4</v>
      </c>
      <c r="G8017" t="str">
        <f>""</f>
        <v/>
      </c>
    </row>
    <row r="8018" spans="1:7" x14ac:dyDescent="0.25">
      <c r="A8018" t="s">
        <v>8</v>
      </c>
      <c r="B8018" s="1" t="str">
        <f>"000338733 - "</f>
        <v xml:space="preserve">000338733 - </v>
      </c>
      <c r="D8018" s="1" t="str">
        <f t="shared" si="221"/>
        <v>PRG-1031196</v>
      </c>
      <c r="E8018" t="s">
        <v>181</v>
      </c>
      <c r="F8018" t="s">
        <v>4</v>
      </c>
      <c r="G8018" t="str">
        <f>""</f>
        <v/>
      </c>
    </row>
    <row r="8019" spans="1:7" x14ac:dyDescent="0.25">
      <c r="A8019" t="s">
        <v>8</v>
      </c>
      <c r="B8019" s="1" t="str">
        <f>"000338734 - "</f>
        <v xml:space="preserve">000338734 - </v>
      </c>
      <c r="D8019" s="1" t="str">
        <f t="shared" si="221"/>
        <v>PRG-1031196</v>
      </c>
      <c r="E8019" t="s">
        <v>181</v>
      </c>
      <c r="F8019" t="s">
        <v>4</v>
      </c>
      <c r="G8019" t="str">
        <f>""</f>
        <v/>
      </c>
    </row>
    <row r="8020" spans="1:7" x14ac:dyDescent="0.25">
      <c r="A8020" t="s">
        <v>8</v>
      </c>
      <c r="B8020" s="1" t="str">
        <f>"000340563 - RICHS PIZZA DOUGH BB-SODEXO"</f>
        <v>000340563 - RICHS PIZZA DOUGH BB-SODEXO</v>
      </c>
      <c r="C8020" t="s">
        <v>582</v>
      </c>
      <c r="D8020" s="1" t="str">
        <f t="shared" si="221"/>
        <v>PRG-1031196</v>
      </c>
      <c r="E8020" t="s">
        <v>181</v>
      </c>
      <c r="F8020" t="s">
        <v>4</v>
      </c>
      <c r="G8020" t="str">
        <f>""</f>
        <v/>
      </c>
    </row>
    <row r="8021" spans="1:7" x14ac:dyDescent="0.25">
      <c r="A8021" t="s">
        <v>8</v>
      </c>
      <c r="B8021" s="1" t="str">
        <f>"000345316 - RICHS PIZZA DOGH&amp;ICING CC-SODX"</f>
        <v>000345316 - RICHS PIZZA DOGH&amp;ICING CC-SODX</v>
      </c>
      <c r="C8021" t="s">
        <v>601</v>
      </c>
      <c r="D8021" s="1" t="str">
        <f t="shared" si="221"/>
        <v>PRG-1031196</v>
      </c>
      <c r="E8021" t="s">
        <v>181</v>
      </c>
      <c r="F8021" t="s">
        <v>4</v>
      </c>
      <c r="G8021" t="str">
        <f>""</f>
        <v/>
      </c>
    </row>
    <row r="8022" spans="1:7" x14ac:dyDescent="0.25">
      <c r="A8022" t="s">
        <v>8</v>
      </c>
      <c r="B8022" s="1" t="str">
        <f>"000347738 - RICH PIZZA DOUGH BB CORE-SODX"</f>
        <v>000347738 - RICH PIZZA DOUGH BB CORE-SODX</v>
      </c>
      <c r="C8022" t="s">
        <v>612</v>
      </c>
      <c r="D8022" s="1" t="str">
        <f t="shared" si="221"/>
        <v>PRG-1031196</v>
      </c>
      <c r="E8022" t="s">
        <v>181</v>
      </c>
      <c r="F8022" t="s">
        <v>4</v>
      </c>
      <c r="G8022" t="str">
        <f>""</f>
        <v/>
      </c>
    </row>
    <row r="8023" spans="1:7" x14ac:dyDescent="0.25">
      <c r="A8023" t="s">
        <v>8</v>
      </c>
      <c r="B8023" s="1" t="str">
        <f>"000347739 - RICH PIZZA DOUGH BB NCORE-SODX"</f>
        <v>000347739 - RICH PIZZA DOUGH BB NCORE-SODX</v>
      </c>
      <c r="C8023" t="s">
        <v>613</v>
      </c>
      <c r="D8023" s="1" t="str">
        <f t="shared" si="221"/>
        <v>PRG-1031196</v>
      </c>
      <c r="E8023" t="s">
        <v>181</v>
      </c>
      <c r="F8023" t="s">
        <v>4</v>
      </c>
      <c r="G8023" t="str">
        <f>""</f>
        <v/>
      </c>
    </row>
    <row r="8024" spans="1:7" x14ac:dyDescent="0.25">
      <c r="A8024" t="s">
        <v>8</v>
      </c>
      <c r="B8024" s="1" t="str">
        <f>"000350699 - RICH PIZZA &amp; ICING CBB-SODEXO"</f>
        <v>000350699 - RICH PIZZA &amp; ICING CBB-SODEXO</v>
      </c>
      <c r="C8024" t="s">
        <v>180</v>
      </c>
      <c r="D8024" s="1" t="str">
        <f t="shared" si="221"/>
        <v>PRG-1031196</v>
      </c>
      <c r="E8024" t="s">
        <v>181</v>
      </c>
      <c r="F8024" t="s">
        <v>4</v>
      </c>
      <c r="G8024" t="str">
        <f>""</f>
        <v/>
      </c>
    </row>
    <row r="8025" spans="1:7" x14ac:dyDescent="0.25">
      <c r="A8025" t="s">
        <v>8</v>
      </c>
      <c r="B8025" s="1" t="str">
        <f>"000350700 - RICH PIZZA &amp; ICING NCBB-SODEXO"</f>
        <v>000350700 - RICH PIZZA &amp; ICING NCBB-SODEXO</v>
      </c>
      <c r="C8025" t="s">
        <v>182</v>
      </c>
      <c r="D8025" s="1" t="str">
        <f t="shared" si="221"/>
        <v>PRG-1031196</v>
      </c>
      <c r="E8025" t="s">
        <v>181</v>
      </c>
      <c r="F8025" t="s">
        <v>4</v>
      </c>
      <c r="G8025" t="str">
        <f>""</f>
        <v/>
      </c>
    </row>
    <row r="8026" spans="1:7" x14ac:dyDescent="0.25">
      <c r="A8026" t="s">
        <v>8</v>
      </c>
      <c r="B8026" s="1" t="str">
        <f>"000351504 - RICHS PIZZA DOUGH CORE BB-SODX"</f>
        <v>000351504 - RICHS PIZZA DOUGH CORE BB-SODX</v>
      </c>
      <c r="C8026" t="s">
        <v>112</v>
      </c>
      <c r="D8026" s="1" t="str">
        <f t="shared" si="221"/>
        <v>PRG-1031196</v>
      </c>
      <c r="E8026" t="s">
        <v>181</v>
      </c>
      <c r="F8026" t="s">
        <v>4</v>
      </c>
      <c r="G8026" t="str">
        <f>""</f>
        <v/>
      </c>
    </row>
    <row r="8027" spans="1:7" x14ac:dyDescent="0.25">
      <c r="A8027" t="s">
        <v>8</v>
      </c>
      <c r="B8027" s="1" t="str">
        <f>"000351505 - RICH PIZZA DOUGH NCORE BB-SODX"</f>
        <v>000351505 - RICH PIZZA DOUGH NCORE BB-SODX</v>
      </c>
      <c r="C8027" t="s">
        <v>113</v>
      </c>
      <c r="D8027" s="1" t="str">
        <f t="shared" si="221"/>
        <v>PRG-1031196</v>
      </c>
      <c r="E8027" t="s">
        <v>181</v>
      </c>
      <c r="F8027" t="s">
        <v>4</v>
      </c>
      <c r="G8027" t="str">
        <f>""</f>
        <v/>
      </c>
    </row>
    <row r="8028" spans="1:7" x14ac:dyDescent="0.25">
      <c r="A8028" t="s">
        <v>8</v>
      </c>
      <c r="B8028" s="1" t="str">
        <f>"000360646 - RICHS PIZZA DOGH&amp;ICING CC-SODX"</f>
        <v>000360646 - RICHS PIZZA DOGH&amp;ICING CC-SODX</v>
      </c>
      <c r="C8028" t="s">
        <v>601</v>
      </c>
      <c r="D8028" s="1" t="str">
        <f t="shared" si="221"/>
        <v>PRG-1031196</v>
      </c>
      <c r="E8028" t="s">
        <v>181</v>
      </c>
      <c r="F8028" t="s">
        <v>4</v>
      </c>
      <c r="G8028" t="str">
        <f>""</f>
        <v/>
      </c>
    </row>
    <row r="8029" spans="1:7" x14ac:dyDescent="0.25">
      <c r="A8029" t="s">
        <v>8</v>
      </c>
      <c r="B8029" s="1" t="str">
        <f>"000363353 - RICH PIZZA DOUGH BB CORE-SODX"</f>
        <v>000363353 - RICH PIZZA DOUGH BB CORE-SODX</v>
      </c>
      <c r="C8029" t="s">
        <v>612</v>
      </c>
      <c r="D8029" s="1" t="str">
        <f t="shared" si="221"/>
        <v>PRG-1031196</v>
      </c>
      <c r="E8029" t="s">
        <v>181</v>
      </c>
      <c r="F8029" t="s">
        <v>4</v>
      </c>
      <c r="G8029" t="str">
        <f>""</f>
        <v/>
      </c>
    </row>
    <row r="8030" spans="1:7" x14ac:dyDescent="0.25">
      <c r="A8030" t="s">
        <v>8</v>
      </c>
      <c r="B8030" s="1" t="str">
        <f>"000363354 - RICH PIZZA DOUGH BB NCORE-SODX"</f>
        <v>000363354 - RICH PIZZA DOUGH BB NCORE-SODX</v>
      </c>
      <c r="C8030" t="s">
        <v>613</v>
      </c>
      <c r="D8030" s="1" t="str">
        <f t="shared" si="221"/>
        <v>PRG-1031196</v>
      </c>
      <c r="E8030" t="s">
        <v>181</v>
      </c>
      <c r="F8030" t="s">
        <v>4</v>
      </c>
      <c r="G8030" t="str">
        <f>""</f>
        <v/>
      </c>
    </row>
    <row r="8031" spans="1:7" x14ac:dyDescent="0.25">
      <c r="A8031" t="s">
        <v>8</v>
      </c>
      <c r="B8031" s="1" t="str">
        <f>"000363394 - RICH PIZZADOUGH BBCORE SDX RTR"</f>
        <v>000363394 - RICH PIZZADOUGH BBCORE SDX RTR</v>
      </c>
      <c r="C8031" t="s">
        <v>3592</v>
      </c>
      <c r="D8031" s="1" t="str">
        <f t="shared" si="221"/>
        <v>PRG-1031196</v>
      </c>
      <c r="E8031" t="s">
        <v>181</v>
      </c>
      <c r="F8031" t="s">
        <v>4</v>
      </c>
      <c r="G8031" t="str">
        <f>""</f>
        <v/>
      </c>
    </row>
    <row r="8032" spans="1:7" x14ac:dyDescent="0.25">
      <c r="A8032" t="s">
        <v>8</v>
      </c>
      <c r="B8032" s="1" t="str">
        <f>"000363395 - RICH PIZZADOUGH BBNCRE SDX RTR"</f>
        <v>000363395 - RICH PIZZADOUGH BBNCRE SDX RTR</v>
      </c>
      <c r="C8032" t="s">
        <v>3593</v>
      </c>
      <c r="D8032" s="1" t="str">
        <f t="shared" si="221"/>
        <v>PRG-1031196</v>
      </c>
      <c r="E8032" t="s">
        <v>181</v>
      </c>
      <c r="F8032" t="s">
        <v>4</v>
      </c>
      <c r="G8032" t="str">
        <f>""</f>
        <v/>
      </c>
    </row>
    <row r="8033" spans="1:7" x14ac:dyDescent="0.25">
      <c r="A8033" t="s">
        <v>8</v>
      </c>
      <c r="B8033" s="1" t="str">
        <f>"000364104 - RICH PIZZA &amp; ICING CBB-SODEXO"</f>
        <v>000364104 - RICH PIZZA &amp; ICING CBB-SODEXO</v>
      </c>
      <c r="C8033" t="s">
        <v>180</v>
      </c>
      <c r="D8033" s="1" t="str">
        <f t="shared" si="221"/>
        <v>PRG-1031196</v>
      </c>
      <c r="E8033" t="s">
        <v>181</v>
      </c>
      <c r="F8033" t="s">
        <v>4</v>
      </c>
      <c r="G8033" t="str">
        <f>""</f>
        <v/>
      </c>
    </row>
    <row r="8034" spans="1:7" x14ac:dyDescent="0.25">
      <c r="A8034" t="s">
        <v>8</v>
      </c>
      <c r="B8034" s="1" t="str">
        <f>"000364105 - RICH PIZZA &amp; ICING NCBB-SODEXO"</f>
        <v>000364105 - RICH PIZZA &amp; ICING NCBB-SODEXO</v>
      </c>
      <c r="C8034" t="s">
        <v>182</v>
      </c>
      <c r="D8034" s="1" t="str">
        <f t="shared" ref="D8034:D8045" si="222">"PRG-1031196"</f>
        <v>PRG-1031196</v>
      </c>
      <c r="E8034" t="s">
        <v>181</v>
      </c>
      <c r="F8034" t="s">
        <v>4</v>
      </c>
      <c r="G8034" t="str">
        <f>""</f>
        <v/>
      </c>
    </row>
    <row r="8035" spans="1:7" x14ac:dyDescent="0.25">
      <c r="A8035" t="s">
        <v>8</v>
      </c>
      <c r="B8035" s="1" t="str">
        <f>"000367008 - RICHS PIZZA DOUGH CORE BB-SODX"</f>
        <v>000367008 - RICHS PIZZA DOUGH CORE BB-SODX</v>
      </c>
      <c r="C8035" t="s">
        <v>112</v>
      </c>
      <c r="D8035" s="1" t="str">
        <f t="shared" si="222"/>
        <v>PRG-1031196</v>
      </c>
      <c r="E8035" t="s">
        <v>181</v>
      </c>
      <c r="F8035" t="s">
        <v>4</v>
      </c>
      <c r="G8035" t="str">
        <f>""</f>
        <v/>
      </c>
    </row>
    <row r="8036" spans="1:7" x14ac:dyDescent="0.25">
      <c r="A8036" t="s">
        <v>8</v>
      </c>
      <c r="B8036" s="1" t="str">
        <f>"000367009 - RICH PIZZA DOUGH NCORE BB-SODX"</f>
        <v>000367009 - RICH PIZZA DOUGH NCORE BB-SODX</v>
      </c>
      <c r="C8036" t="s">
        <v>113</v>
      </c>
      <c r="D8036" s="1" t="str">
        <f t="shared" si="222"/>
        <v>PRG-1031196</v>
      </c>
      <c r="E8036" t="s">
        <v>181</v>
      </c>
      <c r="F8036" t="s">
        <v>4</v>
      </c>
      <c r="G8036" t="str">
        <f>""</f>
        <v/>
      </c>
    </row>
    <row r="8037" spans="1:7" x14ac:dyDescent="0.25">
      <c r="A8037" t="s">
        <v>8</v>
      </c>
      <c r="B8037" s="1" t="str">
        <f>"000369117 - "</f>
        <v xml:space="preserve">000369117 - </v>
      </c>
      <c r="D8037" s="1" t="str">
        <f t="shared" si="222"/>
        <v>PRG-1031196</v>
      </c>
      <c r="E8037" t="s">
        <v>181</v>
      </c>
      <c r="F8037" t="s">
        <v>4</v>
      </c>
      <c r="G8037" t="str">
        <f>""</f>
        <v/>
      </c>
    </row>
    <row r="8038" spans="1:7" x14ac:dyDescent="0.25">
      <c r="A8038" t="s">
        <v>8</v>
      </c>
      <c r="B8038" s="1" t="str">
        <f>"000369118 - "</f>
        <v xml:space="preserve">000369118 - </v>
      </c>
      <c r="D8038" s="1" t="str">
        <f t="shared" si="222"/>
        <v>PRG-1031196</v>
      </c>
      <c r="E8038" t="s">
        <v>181</v>
      </c>
      <c r="F8038" t="s">
        <v>4</v>
      </c>
      <c r="G8038" t="str">
        <f>""</f>
        <v/>
      </c>
    </row>
    <row r="8039" spans="1:7" x14ac:dyDescent="0.25">
      <c r="A8039" t="s">
        <v>8</v>
      </c>
      <c r="B8039" s="1" t="str">
        <f>"000378887 - RICH PIZZA &amp; ICING CBB-SODEXO"</f>
        <v>000378887 - RICH PIZZA &amp; ICING CBB-SODEXO</v>
      </c>
      <c r="C8039" t="s">
        <v>180</v>
      </c>
      <c r="D8039" s="1" t="str">
        <f t="shared" si="222"/>
        <v>PRG-1031196</v>
      </c>
      <c r="E8039" t="s">
        <v>181</v>
      </c>
      <c r="F8039" t="s">
        <v>4</v>
      </c>
      <c r="G8039" t="str">
        <f>""</f>
        <v/>
      </c>
    </row>
    <row r="8040" spans="1:7" x14ac:dyDescent="0.25">
      <c r="A8040" t="s">
        <v>8</v>
      </c>
      <c r="B8040" s="1" t="str">
        <f>"000378888 - RICH PIZZA &amp; ICING NCBB-SODEXO"</f>
        <v>000378888 - RICH PIZZA &amp; ICING NCBB-SODEXO</v>
      </c>
      <c r="C8040" t="s">
        <v>182</v>
      </c>
      <c r="D8040" s="1" t="str">
        <f t="shared" si="222"/>
        <v>PRG-1031196</v>
      </c>
      <c r="E8040" t="s">
        <v>181</v>
      </c>
      <c r="F8040" t="s">
        <v>4</v>
      </c>
      <c r="G8040" t="str">
        <f>""</f>
        <v/>
      </c>
    </row>
    <row r="8041" spans="1:7" x14ac:dyDescent="0.25">
      <c r="A8041" t="s">
        <v>8</v>
      </c>
      <c r="B8041" s="1" t="str">
        <f>"148128 - "</f>
        <v xml:space="preserve">148128 - </v>
      </c>
      <c r="D8041" s="1" t="str">
        <f t="shared" si="222"/>
        <v>PRG-1031196</v>
      </c>
      <c r="E8041" t="s">
        <v>181</v>
      </c>
      <c r="F8041" t="s">
        <v>4</v>
      </c>
      <c r="G8041" t="str">
        <f>""</f>
        <v/>
      </c>
    </row>
    <row r="8042" spans="1:7" x14ac:dyDescent="0.25">
      <c r="A8042" t="s">
        <v>8</v>
      </c>
      <c r="B8042" s="1" t="str">
        <f>"2000007815 - RICHS PIZZA-SODEXO"</f>
        <v>2000007815 - RICHS PIZZA-SODEXO</v>
      </c>
      <c r="C8042" t="s">
        <v>3828</v>
      </c>
      <c r="D8042" s="1" t="str">
        <f t="shared" si="222"/>
        <v>PRG-1031196</v>
      </c>
      <c r="E8042" t="s">
        <v>181</v>
      </c>
      <c r="F8042" t="s">
        <v>4</v>
      </c>
      <c r="G8042" t="str">
        <f>""</f>
        <v/>
      </c>
    </row>
    <row r="8043" spans="1:7" x14ac:dyDescent="0.25">
      <c r="A8043" t="s">
        <v>8</v>
      </c>
      <c r="B8043" s="1" t="str">
        <f>"2000229394 - RICHS PIZZA-SODEXO"</f>
        <v>2000229394 - RICHS PIZZA-SODEXO</v>
      </c>
      <c r="C8043" t="s">
        <v>3828</v>
      </c>
      <c r="D8043" s="1" t="str">
        <f t="shared" si="222"/>
        <v>PRG-1031196</v>
      </c>
      <c r="E8043" t="s">
        <v>181</v>
      </c>
      <c r="F8043" t="s">
        <v>4</v>
      </c>
      <c r="G8043" t="str">
        <f>""</f>
        <v/>
      </c>
    </row>
    <row r="8044" spans="1:7" x14ac:dyDescent="0.25">
      <c r="A8044" t="s">
        <v>8</v>
      </c>
      <c r="B8044" s="1" t="str">
        <f>"2000340639 - RICHS PIZZA-SODEXO"</f>
        <v>2000340639 - RICHS PIZZA-SODEXO</v>
      </c>
      <c r="C8044" t="s">
        <v>3828</v>
      </c>
      <c r="D8044" s="1" t="str">
        <f t="shared" si="222"/>
        <v>PRG-1031196</v>
      </c>
      <c r="E8044" t="s">
        <v>181</v>
      </c>
      <c r="F8044" t="s">
        <v>4</v>
      </c>
      <c r="G8044" t="str">
        <f>""</f>
        <v/>
      </c>
    </row>
    <row r="8045" spans="1:7" x14ac:dyDescent="0.25">
      <c r="A8045" t="s">
        <v>8</v>
      </c>
      <c r="B8045" s="1" t="str">
        <f>"2000344880 - RICHS PIZZA-SODEXO"</f>
        <v>2000344880 - RICHS PIZZA-SODEXO</v>
      </c>
      <c r="C8045" t="s">
        <v>3828</v>
      </c>
      <c r="D8045" s="1" t="str">
        <f t="shared" si="222"/>
        <v>PRG-1031196</v>
      </c>
      <c r="E8045" t="s">
        <v>181</v>
      </c>
      <c r="F8045" t="s">
        <v>4</v>
      </c>
      <c r="G8045" t="str">
        <f>""</f>
        <v/>
      </c>
    </row>
    <row r="8046" spans="1:7" x14ac:dyDescent="0.25">
      <c r="A8046" t="s">
        <v>8</v>
      </c>
      <c r="B8046" s="1" t="str">
        <f>"000040172 - RICH FOODS NCORE-CENTERPLATE"</f>
        <v>000040172 - RICH FOODS NCORE-CENTERPLATE</v>
      </c>
      <c r="C8046" t="s">
        <v>512</v>
      </c>
      <c r="D8046" s="1" t="str">
        <f t="shared" ref="D8046:D8081" si="223">"PRG-1031206"</f>
        <v>PRG-1031206</v>
      </c>
      <c r="E8046" t="s">
        <v>243</v>
      </c>
      <c r="F8046" t="s">
        <v>4</v>
      </c>
      <c r="G8046" t="str">
        <f>""</f>
        <v/>
      </c>
    </row>
    <row r="8047" spans="1:7" x14ac:dyDescent="0.25">
      <c r="A8047" t="s">
        <v>8</v>
      </c>
      <c r="B8047" s="1" t="str">
        <f>"000043488 - RICH FOODS NCOREBB-CENTERPLATE"</f>
        <v>000043488 - RICH FOODS NCOREBB-CENTERPLATE</v>
      </c>
      <c r="C8047" t="s">
        <v>602</v>
      </c>
      <c r="D8047" s="1" t="str">
        <f t="shared" si="223"/>
        <v>PRG-1031206</v>
      </c>
      <c r="E8047" t="s">
        <v>243</v>
      </c>
      <c r="F8047" t="s">
        <v>4</v>
      </c>
      <c r="G8047" t="str">
        <f>""</f>
        <v/>
      </c>
    </row>
    <row r="8048" spans="1:7" x14ac:dyDescent="0.25">
      <c r="A8048" t="s">
        <v>8</v>
      </c>
      <c r="B8048" s="1" t="str">
        <f>"000050657 - RICH NCORE-CENTERPLATE"</f>
        <v>000050657 - RICH NCORE-CENTERPLATE</v>
      </c>
      <c r="C8048" t="s">
        <v>652</v>
      </c>
      <c r="D8048" s="1" t="str">
        <f t="shared" si="223"/>
        <v>PRG-1031206</v>
      </c>
      <c r="E8048" t="s">
        <v>243</v>
      </c>
      <c r="F8048" t="s">
        <v>4</v>
      </c>
      <c r="G8048" t="str">
        <f>""</f>
        <v/>
      </c>
    </row>
    <row r="8049" spans="1:7" x14ac:dyDescent="0.25">
      <c r="A8049" t="s">
        <v>8</v>
      </c>
      <c r="B8049" s="1" t="str">
        <f>"000133050 - RICH FOODS NCOREBB-CENTERPLATE"</f>
        <v>000133050 - RICH FOODS NCOREBB-CENTERPLATE</v>
      </c>
      <c r="C8049" t="s">
        <v>602</v>
      </c>
      <c r="D8049" s="1" t="str">
        <f t="shared" si="223"/>
        <v>PRG-1031206</v>
      </c>
      <c r="E8049" t="s">
        <v>243</v>
      </c>
      <c r="F8049" t="s">
        <v>4</v>
      </c>
      <c r="G8049" t="str">
        <f>""</f>
        <v/>
      </c>
    </row>
    <row r="8050" spans="1:7" x14ac:dyDescent="0.25">
      <c r="A8050" t="s">
        <v>8</v>
      </c>
      <c r="B8050" s="1" t="str">
        <f>"000142603 - RICH NCORE-CENTERPLATE"</f>
        <v>000142603 - RICH NCORE-CENTERPLATE</v>
      </c>
      <c r="C8050" t="s">
        <v>652</v>
      </c>
      <c r="D8050" s="1" t="str">
        <f t="shared" si="223"/>
        <v>PRG-1031206</v>
      </c>
      <c r="E8050" t="s">
        <v>243</v>
      </c>
      <c r="F8050" t="s">
        <v>4</v>
      </c>
      <c r="G8050" t="str">
        <f>""</f>
        <v/>
      </c>
    </row>
    <row r="8051" spans="1:7" x14ac:dyDescent="0.25">
      <c r="A8051" t="s">
        <v>8</v>
      </c>
      <c r="B8051" s="1" t="str">
        <f>"000144415 - "</f>
        <v xml:space="preserve">000144415 - </v>
      </c>
      <c r="D8051" s="1" t="str">
        <f t="shared" si="223"/>
        <v>PRG-1031206</v>
      </c>
      <c r="E8051" t="s">
        <v>243</v>
      </c>
      <c r="F8051" t="s">
        <v>4</v>
      </c>
      <c r="G8051" t="str">
        <f>""</f>
        <v/>
      </c>
    </row>
    <row r="8052" spans="1:7" x14ac:dyDescent="0.25">
      <c r="A8052" t="s">
        <v>8</v>
      </c>
      <c r="B8052" s="1" t="str">
        <f>"000210495 - RICH NCORE-CENTERPLATE"</f>
        <v>000210495 - RICH NCORE-CENTERPLATE</v>
      </c>
      <c r="C8052" t="s">
        <v>652</v>
      </c>
      <c r="D8052" s="1" t="str">
        <f t="shared" si="223"/>
        <v>PRG-1031206</v>
      </c>
      <c r="E8052" t="s">
        <v>243</v>
      </c>
      <c r="F8052" t="s">
        <v>4</v>
      </c>
      <c r="G8052" t="str">
        <f>""</f>
        <v/>
      </c>
    </row>
    <row r="8053" spans="1:7" x14ac:dyDescent="0.25">
      <c r="A8053" t="s">
        <v>8</v>
      </c>
      <c r="B8053" s="1" t="str">
        <f>"000219639 - RICH FOODS NCOREBB-CENTERPLATE"</f>
        <v>000219639 - RICH FOODS NCOREBB-CENTERPLATE</v>
      </c>
      <c r="C8053" t="s">
        <v>602</v>
      </c>
      <c r="D8053" s="1" t="str">
        <f t="shared" si="223"/>
        <v>PRG-1031206</v>
      </c>
      <c r="E8053" t="s">
        <v>243</v>
      </c>
      <c r="F8053" t="s">
        <v>4</v>
      </c>
      <c r="G8053" t="str">
        <f>""</f>
        <v/>
      </c>
    </row>
    <row r="8054" spans="1:7" x14ac:dyDescent="0.25">
      <c r="A8054" t="s">
        <v>8</v>
      </c>
      <c r="B8054" s="1" t="str">
        <f>"000231081 - RICH FOODS NCOREBB-CENTERPLATE"</f>
        <v>000231081 - RICH FOODS NCOREBB-CENTERPLATE</v>
      </c>
      <c r="C8054" t="s">
        <v>602</v>
      </c>
      <c r="D8054" s="1" t="str">
        <f t="shared" si="223"/>
        <v>PRG-1031206</v>
      </c>
      <c r="E8054" t="s">
        <v>243</v>
      </c>
      <c r="F8054" t="s">
        <v>4</v>
      </c>
      <c r="G8054" t="str">
        <f>""</f>
        <v/>
      </c>
    </row>
    <row r="8055" spans="1:7" x14ac:dyDescent="0.25">
      <c r="A8055" t="s">
        <v>8</v>
      </c>
      <c r="B8055" s="1" t="str">
        <f>"000231872 - RICH FOODS NCOREBB-CENTERPLATE"</f>
        <v>000231872 - RICH FOODS NCOREBB-CENTERPLATE</v>
      </c>
      <c r="C8055" t="s">
        <v>602</v>
      </c>
      <c r="D8055" s="1" t="str">
        <f t="shared" si="223"/>
        <v>PRG-1031206</v>
      </c>
      <c r="E8055" t="s">
        <v>243</v>
      </c>
      <c r="F8055" t="s">
        <v>4</v>
      </c>
      <c r="G8055" t="str">
        <f>""</f>
        <v/>
      </c>
    </row>
    <row r="8056" spans="1:7" x14ac:dyDescent="0.25">
      <c r="A8056" t="s">
        <v>8</v>
      </c>
      <c r="B8056" s="1" t="str">
        <f>"000241498 - RICH NCORE-CENTERPLATE"</f>
        <v>000241498 - RICH NCORE-CENTERPLATE</v>
      </c>
      <c r="C8056" t="s">
        <v>652</v>
      </c>
      <c r="D8056" s="1" t="str">
        <f t="shared" si="223"/>
        <v>PRG-1031206</v>
      </c>
      <c r="E8056" t="s">
        <v>243</v>
      </c>
      <c r="F8056" t="s">
        <v>4</v>
      </c>
      <c r="G8056" t="str">
        <f>""</f>
        <v/>
      </c>
    </row>
    <row r="8057" spans="1:7" x14ac:dyDescent="0.25">
      <c r="A8057" t="s">
        <v>8</v>
      </c>
      <c r="B8057" s="1" t="str">
        <f>"000241760 - "</f>
        <v xml:space="preserve">000241760 - </v>
      </c>
      <c r="D8057" s="1" t="str">
        <f t="shared" si="223"/>
        <v>PRG-1031206</v>
      </c>
      <c r="E8057" t="s">
        <v>243</v>
      </c>
      <c r="F8057" t="s">
        <v>4</v>
      </c>
      <c r="G8057" t="str">
        <f>""</f>
        <v/>
      </c>
    </row>
    <row r="8058" spans="1:7" x14ac:dyDescent="0.25">
      <c r="A8058" t="s">
        <v>8</v>
      </c>
      <c r="B8058" s="1" t="str">
        <f>"000242489 - RICH FOODS NCOREBB-CENTERPLATE"</f>
        <v>000242489 - RICH FOODS NCOREBB-CENTERPLATE</v>
      </c>
      <c r="C8058" t="s">
        <v>602</v>
      </c>
      <c r="D8058" s="1" t="str">
        <f t="shared" si="223"/>
        <v>PRG-1031206</v>
      </c>
      <c r="E8058" t="s">
        <v>243</v>
      </c>
      <c r="F8058" t="s">
        <v>4</v>
      </c>
      <c r="G8058" t="str">
        <f>""</f>
        <v/>
      </c>
    </row>
    <row r="8059" spans="1:7" x14ac:dyDescent="0.25">
      <c r="A8059" t="s">
        <v>8</v>
      </c>
      <c r="B8059" s="1" t="str">
        <f>"000242569 - RICH NCORE-CENTERPLATE"</f>
        <v>000242569 - RICH NCORE-CENTERPLATE</v>
      </c>
      <c r="C8059" t="s">
        <v>652</v>
      </c>
      <c r="D8059" s="1" t="str">
        <f t="shared" si="223"/>
        <v>PRG-1031206</v>
      </c>
      <c r="E8059" t="s">
        <v>243</v>
      </c>
      <c r="F8059" t="s">
        <v>4</v>
      </c>
      <c r="G8059" t="str">
        <f>""</f>
        <v/>
      </c>
    </row>
    <row r="8060" spans="1:7" x14ac:dyDescent="0.25">
      <c r="A8060" t="s">
        <v>8</v>
      </c>
      <c r="B8060" s="1" t="str">
        <f>"000245194 - RICH FOODS NCORE-CENTERPLATE"</f>
        <v>000245194 - RICH FOODS NCORE-CENTERPLATE</v>
      </c>
      <c r="C8060" t="s">
        <v>512</v>
      </c>
      <c r="D8060" s="1" t="str">
        <f t="shared" si="223"/>
        <v>PRG-1031206</v>
      </c>
      <c r="E8060" t="s">
        <v>243</v>
      </c>
      <c r="F8060" t="s">
        <v>4</v>
      </c>
      <c r="G8060" t="str">
        <f>""</f>
        <v/>
      </c>
    </row>
    <row r="8061" spans="1:7" x14ac:dyDescent="0.25">
      <c r="A8061" t="s">
        <v>8</v>
      </c>
      <c r="B8061" s="1" t="str">
        <f>"000246815 - RICH FOODS NCORE-CENTERPLATE"</f>
        <v>000246815 - RICH FOODS NCORE-CENTERPLATE</v>
      </c>
      <c r="C8061" t="s">
        <v>512</v>
      </c>
      <c r="D8061" s="1" t="str">
        <f t="shared" si="223"/>
        <v>PRG-1031206</v>
      </c>
      <c r="E8061" t="s">
        <v>243</v>
      </c>
      <c r="F8061" t="s">
        <v>4</v>
      </c>
      <c r="G8061" t="str">
        <f>""</f>
        <v/>
      </c>
    </row>
    <row r="8062" spans="1:7" x14ac:dyDescent="0.25">
      <c r="A8062" t="s">
        <v>8</v>
      </c>
      <c r="B8062" s="1" t="str">
        <f>"000249517 - RICH FOODS NCOREBB-CENTERPLATE"</f>
        <v>000249517 - RICH FOODS NCOREBB-CENTERPLATE</v>
      </c>
      <c r="C8062" t="s">
        <v>602</v>
      </c>
      <c r="D8062" s="1" t="str">
        <f t="shared" si="223"/>
        <v>PRG-1031206</v>
      </c>
      <c r="E8062" t="s">
        <v>243</v>
      </c>
      <c r="F8062" t="s">
        <v>4</v>
      </c>
      <c r="G8062" t="str">
        <f>""</f>
        <v/>
      </c>
    </row>
    <row r="8063" spans="1:7" x14ac:dyDescent="0.25">
      <c r="A8063" t="s">
        <v>8</v>
      </c>
      <c r="B8063" s="1" t="str">
        <f>"000251774 - RICH NCORE-CENTERPLATE"</f>
        <v>000251774 - RICH NCORE-CENTERPLATE</v>
      </c>
      <c r="C8063" t="s">
        <v>652</v>
      </c>
      <c r="D8063" s="1" t="str">
        <f t="shared" si="223"/>
        <v>PRG-1031206</v>
      </c>
      <c r="E8063" t="s">
        <v>243</v>
      </c>
      <c r="F8063" t="s">
        <v>4</v>
      </c>
      <c r="G8063" t="str">
        <f>""</f>
        <v/>
      </c>
    </row>
    <row r="8064" spans="1:7" x14ac:dyDescent="0.25">
      <c r="A8064" t="s">
        <v>8</v>
      </c>
      <c r="B8064" s="1" t="str">
        <f>"000252295 - RICH FOODS NCOREBB-CENTERPLATE"</f>
        <v>000252295 - RICH FOODS NCOREBB-CENTERPLATE</v>
      </c>
      <c r="C8064" t="s">
        <v>602</v>
      </c>
      <c r="D8064" s="1" t="str">
        <f t="shared" si="223"/>
        <v>PRG-1031206</v>
      </c>
      <c r="E8064" t="s">
        <v>243</v>
      </c>
      <c r="F8064" t="s">
        <v>4</v>
      </c>
      <c r="G8064" t="str">
        <f>""</f>
        <v/>
      </c>
    </row>
    <row r="8065" spans="1:7" x14ac:dyDescent="0.25">
      <c r="A8065" t="s">
        <v>8</v>
      </c>
      <c r="B8065" s="1" t="str">
        <f>"000254395 - "</f>
        <v xml:space="preserve">000254395 - </v>
      </c>
      <c r="D8065" s="1" t="str">
        <f t="shared" si="223"/>
        <v>PRG-1031206</v>
      </c>
      <c r="E8065" t="s">
        <v>243</v>
      </c>
      <c r="F8065" t="s">
        <v>4</v>
      </c>
      <c r="G8065" t="str">
        <f>""</f>
        <v/>
      </c>
    </row>
    <row r="8066" spans="1:7" x14ac:dyDescent="0.25">
      <c r="A8066" t="s">
        <v>8</v>
      </c>
      <c r="B8066" s="1" t="str">
        <f>"000254988 - RICH FOODS NCOREBB-CENTERPLATE"</f>
        <v>000254988 - RICH FOODS NCOREBB-CENTERPLATE</v>
      </c>
      <c r="C8066" t="s">
        <v>602</v>
      </c>
      <c r="D8066" s="1" t="str">
        <f t="shared" si="223"/>
        <v>PRG-1031206</v>
      </c>
      <c r="E8066" t="s">
        <v>243</v>
      </c>
      <c r="F8066" t="s">
        <v>4</v>
      </c>
      <c r="G8066" t="str">
        <f>""</f>
        <v/>
      </c>
    </row>
    <row r="8067" spans="1:7" x14ac:dyDescent="0.25">
      <c r="A8067" t="s">
        <v>8</v>
      </c>
      <c r="B8067" s="1" t="str">
        <f>"000257136 - RICH FOODS NCOREBB-CENTERPLATE"</f>
        <v>000257136 - RICH FOODS NCOREBB-CENTERPLATE</v>
      </c>
      <c r="C8067" t="s">
        <v>602</v>
      </c>
      <c r="D8067" s="1" t="str">
        <f t="shared" si="223"/>
        <v>PRG-1031206</v>
      </c>
      <c r="E8067" t="s">
        <v>243</v>
      </c>
      <c r="F8067" t="s">
        <v>4</v>
      </c>
      <c r="G8067" t="str">
        <f>""</f>
        <v/>
      </c>
    </row>
    <row r="8068" spans="1:7" x14ac:dyDescent="0.25">
      <c r="A8068" t="s">
        <v>8</v>
      </c>
      <c r="B8068" s="1" t="str">
        <f>"000259362 - RICH NCORE-CENTERPLATE"</f>
        <v>000259362 - RICH NCORE-CENTERPLATE</v>
      </c>
      <c r="C8068" t="s">
        <v>652</v>
      </c>
      <c r="D8068" s="1" t="str">
        <f t="shared" si="223"/>
        <v>PRG-1031206</v>
      </c>
      <c r="E8068" t="s">
        <v>243</v>
      </c>
      <c r="F8068" t="s">
        <v>4</v>
      </c>
      <c r="G8068" t="str">
        <f>""</f>
        <v/>
      </c>
    </row>
    <row r="8069" spans="1:7" x14ac:dyDescent="0.25">
      <c r="A8069" t="s">
        <v>8</v>
      </c>
      <c r="B8069" s="1" t="str">
        <f>"000262252 - RICH FOODS NCOREBB-CENTERPLATE"</f>
        <v>000262252 - RICH FOODS NCOREBB-CENTERPLATE</v>
      </c>
      <c r="C8069" t="s">
        <v>602</v>
      </c>
      <c r="D8069" s="1" t="str">
        <f t="shared" si="223"/>
        <v>PRG-1031206</v>
      </c>
      <c r="E8069" t="s">
        <v>243</v>
      </c>
      <c r="F8069" t="s">
        <v>4</v>
      </c>
      <c r="G8069" t="str">
        <f>""</f>
        <v/>
      </c>
    </row>
    <row r="8070" spans="1:7" x14ac:dyDescent="0.25">
      <c r="A8070" t="s">
        <v>8</v>
      </c>
      <c r="B8070" s="1" t="str">
        <f>"000267401 - RICH NCORE-CENTERPLATE"</f>
        <v>000267401 - RICH NCORE-CENTERPLATE</v>
      </c>
      <c r="C8070" t="s">
        <v>652</v>
      </c>
      <c r="D8070" s="1" t="str">
        <f t="shared" si="223"/>
        <v>PRG-1031206</v>
      </c>
      <c r="E8070" t="s">
        <v>243</v>
      </c>
      <c r="F8070" t="s">
        <v>4</v>
      </c>
      <c r="G8070" t="str">
        <f>""</f>
        <v/>
      </c>
    </row>
    <row r="8071" spans="1:7" x14ac:dyDescent="0.25">
      <c r="A8071" t="s">
        <v>8</v>
      </c>
      <c r="B8071" s="1" t="str">
        <f>"000270877 - "</f>
        <v xml:space="preserve">000270877 - </v>
      </c>
      <c r="D8071" s="1" t="str">
        <f t="shared" si="223"/>
        <v>PRG-1031206</v>
      </c>
      <c r="E8071" t="s">
        <v>243</v>
      </c>
      <c r="F8071" t="s">
        <v>4</v>
      </c>
      <c r="G8071" t="str">
        <f>""</f>
        <v/>
      </c>
    </row>
    <row r="8072" spans="1:7" x14ac:dyDescent="0.25">
      <c r="A8072" t="s">
        <v>8</v>
      </c>
      <c r="B8072" s="1" t="str">
        <f>"000271497 - RICH NCORE-CENTERPLATE"</f>
        <v>000271497 - RICH NCORE-CENTERPLATE</v>
      </c>
      <c r="C8072" t="s">
        <v>652</v>
      </c>
      <c r="D8072" s="1" t="str">
        <f t="shared" si="223"/>
        <v>PRG-1031206</v>
      </c>
      <c r="E8072" t="s">
        <v>243</v>
      </c>
      <c r="F8072" t="s">
        <v>4</v>
      </c>
      <c r="G8072" t="str">
        <f>""</f>
        <v/>
      </c>
    </row>
    <row r="8073" spans="1:7" x14ac:dyDescent="0.25">
      <c r="A8073" t="s">
        <v>8</v>
      </c>
      <c r="B8073" s="1" t="str">
        <f>"000282639 - RICH FOODS NCOREBB-CENTERPLATE"</f>
        <v>000282639 - RICH FOODS NCOREBB-CENTERPLATE</v>
      </c>
      <c r="C8073" t="s">
        <v>602</v>
      </c>
      <c r="D8073" s="1" t="str">
        <f t="shared" si="223"/>
        <v>PRG-1031206</v>
      </c>
      <c r="E8073" t="s">
        <v>243</v>
      </c>
      <c r="F8073" t="s">
        <v>4</v>
      </c>
      <c r="G8073" t="str">
        <f>""</f>
        <v/>
      </c>
    </row>
    <row r="8074" spans="1:7" x14ac:dyDescent="0.25">
      <c r="A8074" t="s">
        <v>8</v>
      </c>
      <c r="B8074" s="1" t="str">
        <f>"000293817 - RICH NCORE-CENTERPLATE"</f>
        <v>000293817 - RICH NCORE-CENTERPLATE</v>
      </c>
      <c r="C8074" t="s">
        <v>652</v>
      </c>
      <c r="D8074" s="1" t="str">
        <f t="shared" si="223"/>
        <v>PRG-1031206</v>
      </c>
      <c r="E8074" t="s">
        <v>243</v>
      </c>
      <c r="F8074" t="s">
        <v>4</v>
      </c>
      <c r="G8074" t="str">
        <f>""</f>
        <v/>
      </c>
    </row>
    <row r="8075" spans="1:7" x14ac:dyDescent="0.25">
      <c r="A8075" t="s">
        <v>8</v>
      </c>
      <c r="B8075" s="1" t="str">
        <f>"000298464 - RICH FOODS NCOREBB-CENTERPLATE"</f>
        <v>000298464 - RICH FOODS NCOREBB-CENTERPLATE</v>
      </c>
      <c r="C8075" t="s">
        <v>602</v>
      </c>
      <c r="D8075" s="1" t="str">
        <f t="shared" si="223"/>
        <v>PRG-1031206</v>
      </c>
      <c r="E8075" t="s">
        <v>243</v>
      </c>
      <c r="F8075" t="s">
        <v>4</v>
      </c>
      <c r="G8075" t="str">
        <f>""</f>
        <v/>
      </c>
    </row>
    <row r="8076" spans="1:7" x14ac:dyDescent="0.25">
      <c r="A8076" t="s">
        <v>8</v>
      </c>
      <c r="B8076" s="1" t="str">
        <f>"000319928 - RICH FOODS NCOREBB-CENTERPLATE"</f>
        <v>000319928 - RICH FOODS NCOREBB-CENTERPLATE</v>
      </c>
      <c r="C8076" t="s">
        <v>602</v>
      </c>
      <c r="D8076" s="1" t="str">
        <f t="shared" si="223"/>
        <v>PRG-1031206</v>
      </c>
      <c r="E8076" t="s">
        <v>243</v>
      </c>
      <c r="F8076" t="s">
        <v>4</v>
      </c>
      <c r="G8076" t="str">
        <f>""</f>
        <v/>
      </c>
    </row>
    <row r="8077" spans="1:7" x14ac:dyDescent="0.25">
      <c r="A8077" t="s">
        <v>8</v>
      </c>
      <c r="B8077" s="1" t="str">
        <f>"000320049 - "</f>
        <v xml:space="preserve">000320049 - </v>
      </c>
      <c r="D8077" s="1" t="str">
        <f t="shared" si="223"/>
        <v>PRG-1031206</v>
      </c>
      <c r="E8077" t="s">
        <v>243</v>
      </c>
      <c r="F8077" t="s">
        <v>4</v>
      </c>
      <c r="G8077" t="str">
        <f>""</f>
        <v/>
      </c>
    </row>
    <row r="8078" spans="1:7" x14ac:dyDescent="0.25">
      <c r="A8078" t="s">
        <v>8</v>
      </c>
      <c r="B8078" s="1" t="str">
        <f>"000330226 - "</f>
        <v xml:space="preserve">000330226 - </v>
      </c>
      <c r="D8078" s="1" t="str">
        <f t="shared" si="223"/>
        <v>PRG-1031206</v>
      </c>
      <c r="E8078" t="s">
        <v>243</v>
      </c>
      <c r="F8078" t="s">
        <v>4</v>
      </c>
      <c r="G8078" t="str">
        <f>""</f>
        <v/>
      </c>
    </row>
    <row r="8079" spans="1:7" x14ac:dyDescent="0.25">
      <c r="A8079" t="s">
        <v>8</v>
      </c>
      <c r="B8079" s="1" t="str">
        <f>"000332257 - RICH NCORE-CENTERPLATE"</f>
        <v>000332257 - RICH NCORE-CENTERPLATE</v>
      </c>
      <c r="C8079" t="s">
        <v>652</v>
      </c>
      <c r="D8079" s="1" t="str">
        <f t="shared" si="223"/>
        <v>PRG-1031206</v>
      </c>
      <c r="E8079" t="s">
        <v>243</v>
      </c>
      <c r="F8079" t="s">
        <v>4</v>
      </c>
      <c r="G8079" t="str">
        <f>""</f>
        <v/>
      </c>
    </row>
    <row r="8080" spans="1:7" x14ac:dyDescent="0.25">
      <c r="A8080" t="s">
        <v>8</v>
      </c>
      <c r="B8080" s="1" t="str">
        <f>"2000333569 - "</f>
        <v xml:space="preserve">2000333569 - </v>
      </c>
      <c r="D8080" s="1" t="str">
        <f t="shared" si="223"/>
        <v>PRG-1031206</v>
      </c>
      <c r="E8080" t="s">
        <v>243</v>
      </c>
      <c r="F8080" t="s">
        <v>4</v>
      </c>
      <c r="G8080" t="str">
        <f>""</f>
        <v/>
      </c>
    </row>
    <row r="8081" spans="1:7" x14ac:dyDescent="0.25">
      <c r="A8081" t="s">
        <v>8</v>
      </c>
      <c r="B8081" s="1" t="str">
        <f>"2000382599 - "</f>
        <v xml:space="preserve">2000382599 - </v>
      </c>
      <c r="D8081" s="1" t="str">
        <f t="shared" si="223"/>
        <v>PRG-1031206</v>
      </c>
      <c r="E8081" t="s">
        <v>243</v>
      </c>
      <c r="F8081" t="s">
        <v>4</v>
      </c>
      <c r="G8081" t="str">
        <f>""</f>
        <v/>
      </c>
    </row>
    <row r="8082" spans="1:7" x14ac:dyDescent="0.25">
      <c r="A8082" t="s">
        <v>8</v>
      </c>
      <c r="B8082" s="1" t="str">
        <f>"000044481 - RICH FOODS BB-FOODBUY"</f>
        <v>000044481 - RICH FOODS BB-FOODBUY</v>
      </c>
      <c r="C8082" t="s">
        <v>209</v>
      </c>
      <c r="D8082" s="1" t="str">
        <f t="shared" ref="D8082:D8113" si="224">"PRG-1031234"</f>
        <v>PRG-1031234</v>
      </c>
      <c r="E8082" t="s">
        <v>147</v>
      </c>
      <c r="F8082" t="s">
        <v>4</v>
      </c>
      <c r="G8082" t="str">
        <f>""</f>
        <v/>
      </c>
    </row>
    <row r="8083" spans="1:7" x14ac:dyDescent="0.25">
      <c r="A8083" t="s">
        <v>8</v>
      </c>
      <c r="B8083" s="1" t="str">
        <f>"000054655 - RICH FOODS BB-FOODBUY"</f>
        <v>000054655 - RICH FOODS BB-FOODBUY</v>
      </c>
      <c r="C8083" t="s">
        <v>209</v>
      </c>
      <c r="D8083" s="1" t="str">
        <f t="shared" si="224"/>
        <v>PRG-1031234</v>
      </c>
      <c r="E8083" t="s">
        <v>147</v>
      </c>
      <c r="F8083" t="s">
        <v>4</v>
      </c>
      <c r="G8083" t="str">
        <f>""</f>
        <v/>
      </c>
    </row>
    <row r="8084" spans="1:7" x14ac:dyDescent="0.25">
      <c r="A8084" t="s">
        <v>8</v>
      </c>
      <c r="B8084" s="1" t="str">
        <f>"000055895 - RICH FOODS BB-FOODBUY"</f>
        <v>000055895 - RICH FOODS BB-FOODBUY</v>
      </c>
      <c r="C8084" t="s">
        <v>209</v>
      </c>
      <c r="D8084" s="1" t="str">
        <f t="shared" si="224"/>
        <v>PRG-1031234</v>
      </c>
      <c r="E8084" t="s">
        <v>147</v>
      </c>
      <c r="F8084" t="s">
        <v>4</v>
      </c>
      <c r="G8084" t="str">
        <f>""</f>
        <v/>
      </c>
    </row>
    <row r="8085" spans="1:7" x14ac:dyDescent="0.25">
      <c r="A8085" t="s">
        <v>8</v>
      </c>
      <c r="B8085" s="1" t="str">
        <f>"000112973 - RICH FOODS BB-FOODBUY"</f>
        <v>000112973 - RICH FOODS BB-FOODBUY</v>
      </c>
      <c r="C8085" t="s">
        <v>209</v>
      </c>
      <c r="D8085" s="1" t="str">
        <f t="shared" si="224"/>
        <v>PRG-1031234</v>
      </c>
      <c r="E8085" t="s">
        <v>147</v>
      </c>
      <c r="F8085" t="s">
        <v>4</v>
      </c>
      <c r="G8085" t="str">
        <f>""</f>
        <v/>
      </c>
    </row>
    <row r="8086" spans="1:7" x14ac:dyDescent="0.25">
      <c r="A8086" t="s">
        <v>8</v>
      </c>
      <c r="B8086" s="1" t="str">
        <f>"000114110 - RICH FOODS BB-FOODBUY"</f>
        <v>000114110 - RICH FOODS BB-FOODBUY</v>
      </c>
      <c r="C8086" t="s">
        <v>209</v>
      </c>
      <c r="D8086" s="1" t="str">
        <f t="shared" si="224"/>
        <v>PRG-1031234</v>
      </c>
      <c r="E8086" t="s">
        <v>147</v>
      </c>
      <c r="F8086" t="s">
        <v>4</v>
      </c>
      <c r="G8086" t="str">
        <f>""</f>
        <v/>
      </c>
    </row>
    <row r="8087" spans="1:7" x14ac:dyDescent="0.25">
      <c r="A8087" t="s">
        <v>8</v>
      </c>
      <c r="B8087" s="1" t="str">
        <f>"000134232 - RICH FOODS BB-FOODBUY"</f>
        <v>000134232 - RICH FOODS BB-FOODBUY</v>
      </c>
      <c r="C8087" t="s">
        <v>209</v>
      </c>
      <c r="D8087" s="1" t="str">
        <f t="shared" si="224"/>
        <v>PRG-1031234</v>
      </c>
      <c r="E8087" t="s">
        <v>147</v>
      </c>
      <c r="F8087" t="s">
        <v>4</v>
      </c>
      <c r="G8087" t="str">
        <f>""</f>
        <v/>
      </c>
    </row>
    <row r="8088" spans="1:7" x14ac:dyDescent="0.25">
      <c r="A8088" t="s">
        <v>8</v>
      </c>
      <c r="B8088" s="1" t="str">
        <f>"000134490 - RICH FDS-FOODBUY DC"</f>
        <v>000134490 - RICH FDS-FOODBUY DC</v>
      </c>
      <c r="C8088" t="s">
        <v>951</v>
      </c>
      <c r="D8088" s="1" t="str">
        <f t="shared" si="224"/>
        <v>PRG-1031234</v>
      </c>
      <c r="E8088" t="s">
        <v>147</v>
      </c>
      <c r="F8088" t="s">
        <v>4</v>
      </c>
      <c r="G8088" t="str">
        <f>""</f>
        <v/>
      </c>
    </row>
    <row r="8089" spans="1:7" x14ac:dyDescent="0.25">
      <c r="A8089" t="s">
        <v>8</v>
      </c>
      <c r="B8089" s="1" t="str">
        <f>"000135349 - RICH FOODS BB-FOODBUY"</f>
        <v>000135349 - RICH FOODS BB-FOODBUY</v>
      </c>
      <c r="C8089" t="s">
        <v>209</v>
      </c>
      <c r="D8089" s="1" t="str">
        <f t="shared" si="224"/>
        <v>PRG-1031234</v>
      </c>
      <c r="E8089" t="s">
        <v>147</v>
      </c>
      <c r="F8089" t="s">
        <v>4</v>
      </c>
      <c r="G8089" t="str">
        <f>""</f>
        <v/>
      </c>
    </row>
    <row r="8090" spans="1:7" x14ac:dyDescent="0.25">
      <c r="A8090" t="s">
        <v>8</v>
      </c>
      <c r="B8090" s="1" t="str">
        <f>"000143318 - RICH FOODS BB-FOODBUY"</f>
        <v>000143318 - RICH FOODS BB-FOODBUY</v>
      </c>
      <c r="C8090" t="s">
        <v>209</v>
      </c>
      <c r="D8090" s="1" t="str">
        <f t="shared" si="224"/>
        <v>PRG-1031234</v>
      </c>
      <c r="E8090" t="s">
        <v>147</v>
      </c>
      <c r="F8090" t="s">
        <v>4</v>
      </c>
      <c r="G8090" t="str">
        <f>""</f>
        <v/>
      </c>
    </row>
    <row r="8091" spans="1:7" x14ac:dyDescent="0.25">
      <c r="A8091" t="s">
        <v>8</v>
      </c>
      <c r="B8091" s="1" t="str">
        <f>"000144439 - RICH FOODS BB-FOODBUY"</f>
        <v>000144439 - RICH FOODS BB-FOODBUY</v>
      </c>
      <c r="C8091" t="s">
        <v>209</v>
      </c>
      <c r="D8091" s="1" t="str">
        <f t="shared" si="224"/>
        <v>PRG-1031234</v>
      </c>
      <c r="E8091" t="s">
        <v>147</v>
      </c>
      <c r="F8091" t="s">
        <v>4</v>
      </c>
      <c r="G8091" t="str">
        <f>""</f>
        <v/>
      </c>
    </row>
    <row r="8092" spans="1:7" x14ac:dyDescent="0.25">
      <c r="A8092" t="s">
        <v>8</v>
      </c>
      <c r="B8092" s="1" t="str">
        <f>"000162012 - "</f>
        <v xml:space="preserve">000162012 - </v>
      </c>
      <c r="D8092" s="1" t="str">
        <f t="shared" si="224"/>
        <v>PRG-1031234</v>
      </c>
      <c r="E8092" t="s">
        <v>147</v>
      </c>
      <c r="F8092" t="s">
        <v>4</v>
      </c>
      <c r="G8092" t="str">
        <f>""</f>
        <v/>
      </c>
    </row>
    <row r="8093" spans="1:7" x14ac:dyDescent="0.25">
      <c r="A8093" t="s">
        <v>8</v>
      </c>
      <c r="B8093" s="1" t="str">
        <f>"000201827 - RICH FOODS BB-FOODBUY"</f>
        <v>000201827 - RICH FOODS BB-FOODBUY</v>
      </c>
      <c r="C8093" t="s">
        <v>209</v>
      </c>
      <c r="D8093" s="1" t="str">
        <f t="shared" si="224"/>
        <v>PRG-1031234</v>
      </c>
      <c r="E8093" t="s">
        <v>147</v>
      </c>
      <c r="F8093" t="s">
        <v>4</v>
      </c>
      <c r="G8093" t="str">
        <f>""</f>
        <v/>
      </c>
    </row>
    <row r="8094" spans="1:7" x14ac:dyDescent="0.25">
      <c r="A8094" t="s">
        <v>8</v>
      </c>
      <c r="B8094" s="1" t="str">
        <f>"000201861 - (L)RICH FDS BB(FOODBUY-201827)"</f>
        <v>000201861 - (L)RICH FDS BB(FOODBUY-201827)</v>
      </c>
      <c r="C8094" t="s">
        <v>1317</v>
      </c>
      <c r="D8094" s="1" t="str">
        <f t="shared" si="224"/>
        <v>PRG-1031234</v>
      </c>
      <c r="E8094" t="s">
        <v>147</v>
      </c>
      <c r="F8094" t="s">
        <v>4</v>
      </c>
      <c r="G8094" t="str">
        <f>""</f>
        <v/>
      </c>
    </row>
    <row r="8095" spans="1:7" x14ac:dyDescent="0.25">
      <c r="A8095" t="s">
        <v>8</v>
      </c>
      <c r="B8095" s="1" t="str">
        <f>"000202915 - RICH FOODS BB-FOODBUY"</f>
        <v>000202915 - RICH FOODS BB-FOODBUY</v>
      </c>
      <c r="C8095" t="s">
        <v>209</v>
      </c>
      <c r="D8095" s="1" t="str">
        <f t="shared" si="224"/>
        <v>PRG-1031234</v>
      </c>
      <c r="E8095" t="s">
        <v>147</v>
      </c>
      <c r="F8095" t="s">
        <v>4</v>
      </c>
      <c r="G8095" t="str">
        <f>""</f>
        <v/>
      </c>
    </row>
    <row r="8096" spans="1:7" x14ac:dyDescent="0.25">
      <c r="A8096" t="s">
        <v>8</v>
      </c>
      <c r="B8096" s="1" t="str">
        <f>"000202916 - RICH FOODS BB FOODBUY"</f>
        <v>000202916 - RICH FOODS BB FOODBUY</v>
      </c>
      <c r="C8096" t="s">
        <v>228</v>
      </c>
      <c r="D8096" s="1" t="str">
        <f t="shared" si="224"/>
        <v>PRG-1031234</v>
      </c>
      <c r="E8096" t="s">
        <v>147</v>
      </c>
      <c r="F8096" t="s">
        <v>4</v>
      </c>
      <c r="G8096" t="str">
        <f>""</f>
        <v/>
      </c>
    </row>
    <row r="8097" spans="1:7" x14ac:dyDescent="0.25">
      <c r="A8097" t="s">
        <v>8</v>
      </c>
      <c r="B8097" s="1" t="str">
        <f>"000202917 - RICH FDS BB CR PURCHASING FBY"</f>
        <v>000202917 - RICH FDS BB CR PURCHASING FBY</v>
      </c>
      <c r="C8097" t="s">
        <v>1335</v>
      </c>
      <c r="D8097" s="1" t="str">
        <f t="shared" si="224"/>
        <v>PRG-1031234</v>
      </c>
      <c r="E8097" t="s">
        <v>147</v>
      </c>
      <c r="F8097" t="s">
        <v>4</v>
      </c>
      <c r="G8097" t="str">
        <f>""</f>
        <v/>
      </c>
    </row>
    <row r="8098" spans="1:7" x14ac:dyDescent="0.25">
      <c r="A8098" t="s">
        <v>8</v>
      </c>
      <c r="B8098" s="1" t="str">
        <f>"000202937 - RICH FOODS BB-FOODBUY"</f>
        <v>000202937 - RICH FOODS BB-FOODBUY</v>
      </c>
      <c r="C8098" t="s">
        <v>209</v>
      </c>
      <c r="D8098" s="1" t="str">
        <f t="shared" si="224"/>
        <v>PRG-1031234</v>
      </c>
      <c r="E8098" t="s">
        <v>147</v>
      </c>
      <c r="F8098" t="s">
        <v>4</v>
      </c>
      <c r="G8098" t="str">
        <f>""</f>
        <v/>
      </c>
    </row>
    <row r="8099" spans="1:7" x14ac:dyDescent="0.25">
      <c r="A8099" t="s">
        <v>8</v>
      </c>
      <c r="B8099" s="1" t="str">
        <f>"000204570 - RICH FOODS BB-FOODBUY"</f>
        <v>000204570 - RICH FOODS BB-FOODBUY</v>
      </c>
      <c r="C8099" t="s">
        <v>209</v>
      </c>
      <c r="D8099" s="1" t="str">
        <f t="shared" si="224"/>
        <v>PRG-1031234</v>
      </c>
      <c r="E8099" t="s">
        <v>147</v>
      </c>
      <c r="F8099" t="s">
        <v>4</v>
      </c>
      <c r="G8099" t="str">
        <f>""</f>
        <v/>
      </c>
    </row>
    <row r="8100" spans="1:7" x14ac:dyDescent="0.25">
      <c r="A8100" t="s">
        <v>8</v>
      </c>
      <c r="B8100" s="1" t="str">
        <f>"000216627 - BB FDBY FOB RICHS"</f>
        <v>000216627 - BB FDBY FOB RICHS</v>
      </c>
      <c r="C8100" t="s">
        <v>1488</v>
      </c>
      <c r="D8100" s="1" t="str">
        <f t="shared" si="224"/>
        <v>PRG-1031234</v>
      </c>
      <c r="E8100" t="s">
        <v>147</v>
      </c>
      <c r="F8100" t="s">
        <v>4</v>
      </c>
      <c r="G8100" t="str">
        <f>""</f>
        <v/>
      </c>
    </row>
    <row r="8101" spans="1:7" x14ac:dyDescent="0.25">
      <c r="A8101" t="s">
        <v>8</v>
      </c>
      <c r="B8101" s="1" t="str">
        <f>"000220815 - RICH FOODS BB-FOODBUY"</f>
        <v>000220815 - RICH FOODS BB-FOODBUY</v>
      </c>
      <c r="C8101" t="s">
        <v>209</v>
      </c>
      <c r="D8101" s="1" t="str">
        <f t="shared" si="224"/>
        <v>PRG-1031234</v>
      </c>
      <c r="E8101" t="s">
        <v>147</v>
      </c>
      <c r="F8101" t="s">
        <v>4</v>
      </c>
      <c r="G8101" t="str">
        <f>""</f>
        <v/>
      </c>
    </row>
    <row r="8102" spans="1:7" x14ac:dyDescent="0.25">
      <c r="A8102" t="s">
        <v>8</v>
      </c>
      <c r="B8102" s="1" t="str">
        <f>"000221750 - RICH FOODS BB-FOODBUY"</f>
        <v>000221750 - RICH FOODS BB-FOODBUY</v>
      </c>
      <c r="C8102" t="s">
        <v>209</v>
      </c>
      <c r="D8102" s="1" t="str">
        <f t="shared" si="224"/>
        <v>PRG-1031234</v>
      </c>
      <c r="E8102" t="s">
        <v>147</v>
      </c>
      <c r="F8102" t="s">
        <v>4</v>
      </c>
      <c r="G8102" t="str">
        <f>""</f>
        <v/>
      </c>
    </row>
    <row r="8103" spans="1:7" x14ac:dyDescent="0.25">
      <c r="A8103" t="s">
        <v>8</v>
      </c>
      <c r="B8103" s="1" t="str">
        <f>"000222017 - RICH FOODS BB FOODBUY"</f>
        <v>000222017 - RICH FOODS BB FOODBUY</v>
      </c>
      <c r="C8103" t="s">
        <v>228</v>
      </c>
      <c r="D8103" s="1" t="str">
        <f t="shared" si="224"/>
        <v>PRG-1031234</v>
      </c>
      <c r="E8103" t="s">
        <v>147</v>
      </c>
      <c r="F8103" t="s">
        <v>4</v>
      </c>
      <c r="G8103" t="str">
        <f>""</f>
        <v/>
      </c>
    </row>
    <row r="8104" spans="1:7" x14ac:dyDescent="0.25">
      <c r="A8104" t="s">
        <v>8</v>
      </c>
      <c r="B8104" s="1" t="str">
        <f>"000222843 - RICH FOODS BB-FOODBUY"</f>
        <v>000222843 - RICH FOODS BB-FOODBUY</v>
      </c>
      <c r="C8104" t="s">
        <v>209</v>
      </c>
      <c r="D8104" s="1" t="str">
        <f t="shared" si="224"/>
        <v>PRG-1031234</v>
      </c>
      <c r="E8104" t="s">
        <v>147</v>
      </c>
      <c r="F8104" t="s">
        <v>4</v>
      </c>
      <c r="G8104" t="str">
        <f>""</f>
        <v/>
      </c>
    </row>
    <row r="8105" spans="1:7" x14ac:dyDescent="0.25">
      <c r="A8105" t="s">
        <v>8</v>
      </c>
      <c r="B8105" s="1" t="str">
        <f>"000222870 - BB FDBY DPM FX RICH FOB"</f>
        <v>000222870 - BB FDBY DPM FX RICH FOB</v>
      </c>
      <c r="C8105" t="s">
        <v>1636</v>
      </c>
      <c r="D8105" s="1" t="str">
        <f t="shared" si="224"/>
        <v>PRG-1031234</v>
      </c>
      <c r="E8105" t="s">
        <v>147</v>
      </c>
      <c r="F8105" t="s">
        <v>4</v>
      </c>
      <c r="G8105" t="str">
        <f>""</f>
        <v/>
      </c>
    </row>
    <row r="8106" spans="1:7" x14ac:dyDescent="0.25">
      <c r="A8106" t="s">
        <v>8</v>
      </c>
      <c r="B8106" s="1" t="str">
        <f>"000229223 - RICH FOODS BB-FOODBUY"</f>
        <v>000229223 - RICH FOODS BB-FOODBUY</v>
      </c>
      <c r="C8106" t="s">
        <v>209</v>
      </c>
      <c r="D8106" s="1" t="str">
        <f t="shared" si="224"/>
        <v>PRG-1031234</v>
      </c>
      <c r="E8106" t="s">
        <v>147</v>
      </c>
      <c r="F8106" t="s">
        <v>4</v>
      </c>
      <c r="G8106" t="str">
        <f>""</f>
        <v/>
      </c>
    </row>
    <row r="8107" spans="1:7" x14ac:dyDescent="0.25">
      <c r="A8107" t="s">
        <v>8</v>
      </c>
      <c r="B8107" s="1" t="str">
        <f>"000230525 - RICH FOODS BB-FOODBUY"</f>
        <v>000230525 - RICH FOODS BB-FOODBUY</v>
      </c>
      <c r="C8107" t="s">
        <v>209</v>
      </c>
      <c r="D8107" s="1" t="str">
        <f t="shared" si="224"/>
        <v>PRG-1031234</v>
      </c>
      <c r="E8107" t="s">
        <v>147</v>
      </c>
      <c r="F8107" t="s">
        <v>4</v>
      </c>
      <c r="G8107" t="str">
        <f>""</f>
        <v/>
      </c>
    </row>
    <row r="8108" spans="1:7" x14ac:dyDescent="0.25">
      <c r="A8108" t="s">
        <v>8</v>
      </c>
      <c r="B8108" s="1" t="str">
        <f>"000231085 - MMI HTLCARE RICHS"</f>
        <v>000231085 - MMI HTLCARE RICHS</v>
      </c>
      <c r="C8108" t="s">
        <v>1765</v>
      </c>
      <c r="D8108" s="1" t="str">
        <f t="shared" si="224"/>
        <v>PRG-1031234</v>
      </c>
      <c r="E8108" t="s">
        <v>147</v>
      </c>
      <c r="F8108" t="s">
        <v>4</v>
      </c>
      <c r="G8108" t="str">
        <f>""</f>
        <v/>
      </c>
    </row>
    <row r="8109" spans="1:7" x14ac:dyDescent="0.25">
      <c r="A8109" t="s">
        <v>8</v>
      </c>
      <c r="B8109" s="1" t="str">
        <f>"000232014 - RICH FOODS BB-FOODBUY"</f>
        <v>000232014 - RICH FOODS BB-FOODBUY</v>
      </c>
      <c r="C8109" t="s">
        <v>209</v>
      </c>
      <c r="D8109" s="1" t="str">
        <f t="shared" si="224"/>
        <v>PRG-1031234</v>
      </c>
      <c r="E8109" t="s">
        <v>147</v>
      </c>
      <c r="F8109" t="s">
        <v>4</v>
      </c>
      <c r="G8109" t="str">
        <f>""</f>
        <v/>
      </c>
    </row>
    <row r="8110" spans="1:7" x14ac:dyDescent="0.25">
      <c r="A8110" t="s">
        <v>8</v>
      </c>
      <c r="B8110" s="1" t="str">
        <f>"000232335 - RICH FOODS BB-FOODBUY"</f>
        <v>000232335 - RICH FOODS BB-FOODBUY</v>
      </c>
      <c r="C8110" t="s">
        <v>209</v>
      </c>
      <c r="D8110" s="1" t="str">
        <f t="shared" si="224"/>
        <v>PRG-1031234</v>
      </c>
      <c r="E8110" t="s">
        <v>147</v>
      </c>
      <c r="F8110" t="s">
        <v>4</v>
      </c>
      <c r="G8110" t="str">
        <f>""</f>
        <v/>
      </c>
    </row>
    <row r="8111" spans="1:7" x14ac:dyDescent="0.25">
      <c r="A8111" t="s">
        <v>8</v>
      </c>
      <c r="B8111" s="1" t="str">
        <f>"000232613 - RICH FOODS BB-FOODBUY"</f>
        <v>000232613 - RICH FOODS BB-FOODBUY</v>
      </c>
      <c r="C8111" t="s">
        <v>209</v>
      </c>
      <c r="D8111" s="1" t="str">
        <f t="shared" si="224"/>
        <v>PRG-1031234</v>
      </c>
      <c r="E8111" t="s">
        <v>147</v>
      </c>
      <c r="F8111" t="s">
        <v>4</v>
      </c>
      <c r="G8111" t="str">
        <f>""</f>
        <v/>
      </c>
    </row>
    <row r="8112" spans="1:7" x14ac:dyDescent="0.25">
      <c r="A8112" t="s">
        <v>8</v>
      </c>
      <c r="B8112" s="1" t="str">
        <f>"000233107 - RICH FOODS BB-FOODBUY"</f>
        <v>000233107 - RICH FOODS BB-FOODBUY</v>
      </c>
      <c r="C8112" t="s">
        <v>209</v>
      </c>
      <c r="D8112" s="1" t="str">
        <f t="shared" si="224"/>
        <v>PRG-1031234</v>
      </c>
      <c r="E8112" t="s">
        <v>147</v>
      </c>
      <c r="F8112" t="s">
        <v>4</v>
      </c>
      <c r="G8112" t="str">
        <f>""</f>
        <v/>
      </c>
    </row>
    <row r="8113" spans="1:7" x14ac:dyDescent="0.25">
      <c r="A8113" t="s">
        <v>8</v>
      </c>
      <c r="B8113" s="1" t="str">
        <f>"000233131 - RICH FOODS BB-FOODBUY"</f>
        <v>000233131 - RICH FOODS BB-FOODBUY</v>
      </c>
      <c r="C8113" t="s">
        <v>209</v>
      </c>
      <c r="D8113" s="1" t="str">
        <f t="shared" si="224"/>
        <v>PRG-1031234</v>
      </c>
      <c r="E8113" t="s">
        <v>147</v>
      </c>
      <c r="F8113" t="s">
        <v>4</v>
      </c>
      <c r="G8113" t="str">
        <f>""</f>
        <v/>
      </c>
    </row>
    <row r="8114" spans="1:7" x14ac:dyDescent="0.25">
      <c r="A8114" t="s">
        <v>8</v>
      </c>
      <c r="B8114" s="1" t="str">
        <f>"000238838 - RICH FOODS BB-FOODBUY"</f>
        <v>000238838 - RICH FOODS BB-FOODBUY</v>
      </c>
      <c r="C8114" t="s">
        <v>209</v>
      </c>
      <c r="D8114" s="1" t="str">
        <f t="shared" ref="D8114:D8145" si="225">"PRG-1031234"</f>
        <v>PRG-1031234</v>
      </c>
      <c r="E8114" t="s">
        <v>147</v>
      </c>
      <c r="F8114" t="s">
        <v>4</v>
      </c>
      <c r="G8114" t="str">
        <f>""</f>
        <v/>
      </c>
    </row>
    <row r="8115" spans="1:7" x14ac:dyDescent="0.25">
      <c r="A8115" t="s">
        <v>8</v>
      </c>
      <c r="B8115" s="1" t="str">
        <f>"000240094 - RICH FOODS BB-FOODBUY"</f>
        <v>000240094 - RICH FOODS BB-FOODBUY</v>
      </c>
      <c r="C8115" t="s">
        <v>209</v>
      </c>
      <c r="D8115" s="1" t="str">
        <f t="shared" si="225"/>
        <v>PRG-1031234</v>
      </c>
      <c r="E8115" t="s">
        <v>147</v>
      </c>
      <c r="F8115" t="s">
        <v>4</v>
      </c>
      <c r="G8115" t="str">
        <f>""</f>
        <v/>
      </c>
    </row>
    <row r="8116" spans="1:7" x14ac:dyDescent="0.25">
      <c r="A8116" t="s">
        <v>8</v>
      </c>
      <c r="B8116" s="1" t="str">
        <f>"000243844 - RICH FOODS BB-FOODBUY"</f>
        <v>000243844 - RICH FOODS BB-FOODBUY</v>
      </c>
      <c r="C8116" t="s">
        <v>209</v>
      </c>
      <c r="D8116" s="1" t="str">
        <f t="shared" si="225"/>
        <v>PRG-1031234</v>
      </c>
      <c r="E8116" t="s">
        <v>147</v>
      </c>
      <c r="F8116" t="s">
        <v>4</v>
      </c>
      <c r="G8116" t="str">
        <f>""</f>
        <v/>
      </c>
    </row>
    <row r="8117" spans="1:7" x14ac:dyDescent="0.25">
      <c r="A8117" t="s">
        <v>8</v>
      </c>
      <c r="B8117" s="1" t="str">
        <f>"000244052 - RETRO RICH FOODS FOODBUY BB"</f>
        <v>000244052 - RETRO RICH FOODS FOODBUY BB</v>
      </c>
      <c r="C8117" t="s">
        <v>1967</v>
      </c>
      <c r="D8117" s="1" t="str">
        <f t="shared" si="225"/>
        <v>PRG-1031234</v>
      </c>
      <c r="E8117" t="s">
        <v>147</v>
      </c>
      <c r="F8117" t="s">
        <v>4</v>
      </c>
      <c r="G8117" t="str">
        <f>""</f>
        <v/>
      </c>
    </row>
    <row r="8118" spans="1:7" x14ac:dyDescent="0.25">
      <c r="A8118" t="s">
        <v>8</v>
      </c>
      <c r="B8118" s="1" t="str">
        <f>"000245141 - "</f>
        <v xml:space="preserve">000245141 - </v>
      </c>
      <c r="D8118" s="1" t="str">
        <f t="shared" si="225"/>
        <v>PRG-1031234</v>
      </c>
      <c r="E8118" t="s">
        <v>147</v>
      </c>
      <c r="F8118" t="s">
        <v>4</v>
      </c>
      <c r="G8118" t="str">
        <f>""</f>
        <v/>
      </c>
    </row>
    <row r="8119" spans="1:7" x14ac:dyDescent="0.25">
      <c r="A8119" t="s">
        <v>8</v>
      </c>
      <c r="B8119" s="1" t="str">
        <f>"000248919 - RICH FOODS BB-FOODBUY"</f>
        <v>000248919 - RICH FOODS BB-FOODBUY</v>
      </c>
      <c r="C8119" t="s">
        <v>209</v>
      </c>
      <c r="D8119" s="1" t="str">
        <f t="shared" si="225"/>
        <v>PRG-1031234</v>
      </c>
      <c r="E8119" t="s">
        <v>147</v>
      </c>
      <c r="F8119" t="s">
        <v>4</v>
      </c>
      <c r="G8119" t="str">
        <f>""</f>
        <v/>
      </c>
    </row>
    <row r="8120" spans="1:7" x14ac:dyDescent="0.25">
      <c r="A8120" t="s">
        <v>8</v>
      </c>
      <c r="B8120" s="1" t="str">
        <f>"000248956 - RICH FOODS BB RETRO FOODBUY"</f>
        <v>000248956 - RICH FOODS BB RETRO FOODBUY</v>
      </c>
      <c r="C8120" t="s">
        <v>2055</v>
      </c>
      <c r="D8120" s="1" t="str">
        <f t="shared" si="225"/>
        <v>PRG-1031234</v>
      </c>
      <c r="E8120" t="s">
        <v>147</v>
      </c>
      <c r="F8120" t="s">
        <v>4</v>
      </c>
      <c r="G8120" t="str">
        <f>""</f>
        <v/>
      </c>
    </row>
    <row r="8121" spans="1:7" x14ac:dyDescent="0.25">
      <c r="A8121" t="s">
        <v>8</v>
      </c>
      <c r="B8121" s="1" t="str">
        <f>"000250406 - RICH FOODS BB-FOODBUY"</f>
        <v>000250406 - RICH FOODS BB-FOODBUY</v>
      </c>
      <c r="C8121" t="s">
        <v>209</v>
      </c>
      <c r="D8121" s="1" t="str">
        <f t="shared" si="225"/>
        <v>PRG-1031234</v>
      </c>
      <c r="E8121" t="s">
        <v>147</v>
      </c>
      <c r="F8121" t="s">
        <v>4</v>
      </c>
      <c r="G8121" t="str">
        <f>""</f>
        <v/>
      </c>
    </row>
    <row r="8122" spans="1:7" x14ac:dyDescent="0.25">
      <c r="A8122" t="s">
        <v>8</v>
      </c>
      <c r="B8122" s="1" t="str">
        <f>"000252303 - RICH FOODS BB-FOODBUY"</f>
        <v>000252303 - RICH FOODS BB-FOODBUY</v>
      </c>
      <c r="C8122" t="s">
        <v>209</v>
      </c>
      <c r="D8122" s="1" t="str">
        <f t="shared" si="225"/>
        <v>PRG-1031234</v>
      </c>
      <c r="E8122" t="s">
        <v>147</v>
      </c>
      <c r="F8122" t="s">
        <v>4</v>
      </c>
      <c r="G8122" t="str">
        <f>""</f>
        <v/>
      </c>
    </row>
    <row r="8123" spans="1:7" x14ac:dyDescent="0.25">
      <c r="A8123" t="s">
        <v>8</v>
      </c>
      <c r="B8123" s="1" t="str">
        <f>"000253957 - RICH FOODS BB-FOODBUY"</f>
        <v>000253957 - RICH FOODS BB-FOODBUY</v>
      </c>
      <c r="C8123" t="s">
        <v>209</v>
      </c>
      <c r="D8123" s="1" t="str">
        <f t="shared" si="225"/>
        <v>PRG-1031234</v>
      </c>
      <c r="E8123" t="s">
        <v>147</v>
      </c>
      <c r="F8123" t="s">
        <v>4</v>
      </c>
      <c r="G8123" t="str">
        <f>""</f>
        <v/>
      </c>
    </row>
    <row r="8124" spans="1:7" x14ac:dyDescent="0.25">
      <c r="A8124" t="s">
        <v>8</v>
      </c>
      <c r="B8124" s="1" t="str">
        <f>"000254181 - RICH FOODS BB-FOODBUY"</f>
        <v>000254181 - RICH FOODS BB-FOODBUY</v>
      </c>
      <c r="C8124" t="s">
        <v>209</v>
      </c>
      <c r="D8124" s="1" t="str">
        <f t="shared" si="225"/>
        <v>PRG-1031234</v>
      </c>
      <c r="E8124" t="s">
        <v>147</v>
      </c>
      <c r="F8124" t="s">
        <v>4</v>
      </c>
      <c r="G8124" t="str">
        <f>""</f>
        <v/>
      </c>
    </row>
    <row r="8125" spans="1:7" x14ac:dyDescent="0.25">
      <c r="A8125" t="s">
        <v>8</v>
      </c>
      <c r="B8125" s="1" t="str">
        <f>"000254762 - RICH FOODS BB-FOODBUY"</f>
        <v>000254762 - RICH FOODS BB-FOODBUY</v>
      </c>
      <c r="C8125" t="s">
        <v>209</v>
      </c>
      <c r="D8125" s="1" t="str">
        <f t="shared" si="225"/>
        <v>PRG-1031234</v>
      </c>
      <c r="E8125" t="s">
        <v>147</v>
      </c>
      <c r="F8125" t="s">
        <v>4</v>
      </c>
      <c r="G8125" t="str">
        <f>""</f>
        <v/>
      </c>
    </row>
    <row r="8126" spans="1:7" x14ac:dyDescent="0.25">
      <c r="A8126" t="s">
        <v>8</v>
      </c>
      <c r="B8126" s="1" t="str">
        <f>"000255176 - RICH FOODS BB-FOODBUY"</f>
        <v>000255176 - RICH FOODS BB-FOODBUY</v>
      </c>
      <c r="C8126" t="s">
        <v>209</v>
      </c>
      <c r="D8126" s="1" t="str">
        <f t="shared" si="225"/>
        <v>PRG-1031234</v>
      </c>
      <c r="E8126" t="s">
        <v>147</v>
      </c>
      <c r="F8126" t="s">
        <v>4</v>
      </c>
      <c r="G8126" t="str">
        <f>""</f>
        <v/>
      </c>
    </row>
    <row r="8127" spans="1:7" x14ac:dyDescent="0.25">
      <c r="A8127" t="s">
        <v>8</v>
      </c>
      <c r="B8127" s="1" t="str">
        <f>"000256069 - RICH FOODS BB-FOODBUY"</f>
        <v>000256069 - RICH FOODS BB-FOODBUY</v>
      </c>
      <c r="C8127" t="s">
        <v>209</v>
      </c>
      <c r="D8127" s="1" t="str">
        <f t="shared" si="225"/>
        <v>PRG-1031234</v>
      </c>
      <c r="E8127" t="s">
        <v>147</v>
      </c>
      <c r="F8127" t="s">
        <v>4</v>
      </c>
      <c r="G8127" t="str">
        <f>""</f>
        <v/>
      </c>
    </row>
    <row r="8128" spans="1:7" x14ac:dyDescent="0.25">
      <c r="A8128" t="s">
        <v>8</v>
      </c>
      <c r="B8128" s="1" t="str">
        <f>"000256070 - RICH FOODS-BB-FOODBUY"</f>
        <v>000256070 - RICH FOODS-BB-FOODBUY</v>
      </c>
      <c r="C8128" t="s">
        <v>1904</v>
      </c>
      <c r="D8128" s="1" t="str">
        <f t="shared" si="225"/>
        <v>PRG-1031234</v>
      </c>
      <c r="E8128" t="s">
        <v>147</v>
      </c>
      <c r="F8128" t="s">
        <v>4</v>
      </c>
      <c r="G8128" t="str">
        <f>""</f>
        <v/>
      </c>
    </row>
    <row r="8129" spans="1:7" x14ac:dyDescent="0.25">
      <c r="A8129" t="s">
        <v>8</v>
      </c>
      <c r="B8129" s="1" t="str">
        <f>"000256377 - RICH FOODS BB-FOODBUY"</f>
        <v>000256377 - RICH FOODS BB-FOODBUY</v>
      </c>
      <c r="C8129" t="s">
        <v>209</v>
      </c>
      <c r="D8129" s="1" t="str">
        <f t="shared" si="225"/>
        <v>PRG-1031234</v>
      </c>
      <c r="E8129" t="s">
        <v>147</v>
      </c>
      <c r="F8129" t="s">
        <v>4</v>
      </c>
      <c r="G8129" t="str">
        <f>""</f>
        <v/>
      </c>
    </row>
    <row r="8130" spans="1:7" x14ac:dyDescent="0.25">
      <c r="A8130" t="s">
        <v>8</v>
      </c>
      <c r="B8130" s="1" t="str">
        <f>"000257425 - RICH FOODS BB-FOODBUY"</f>
        <v>000257425 - RICH FOODS BB-FOODBUY</v>
      </c>
      <c r="C8130" t="s">
        <v>209</v>
      </c>
      <c r="D8130" s="1" t="str">
        <f t="shared" si="225"/>
        <v>PRG-1031234</v>
      </c>
      <c r="E8130" t="s">
        <v>147</v>
      </c>
      <c r="F8130" t="s">
        <v>4</v>
      </c>
      <c r="G8130" t="str">
        <f>""</f>
        <v/>
      </c>
    </row>
    <row r="8131" spans="1:7" x14ac:dyDescent="0.25">
      <c r="A8131" t="s">
        <v>8</v>
      </c>
      <c r="B8131" s="1" t="str">
        <f>"000258518 - RICH FOODS BB-FOODBUY"</f>
        <v>000258518 - RICH FOODS BB-FOODBUY</v>
      </c>
      <c r="C8131" t="s">
        <v>209</v>
      </c>
      <c r="D8131" s="1" t="str">
        <f t="shared" si="225"/>
        <v>PRG-1031234</v>
      </c>
      <c r="E8131" t="s">
        <v>147</v>
      </c>
      <c r="F8131" t="s">
        <v>4</v>
      </c>
      <c r="G8131" t="str">
        <f>""</f>
        <v/>
      </c>
    </row>
    <row r="8132" spans="1:7" x14ac:dyDescent="0.25">
      <c r="A8132" t="s">
        <v>8</v>
      </c>
      <c r="B8132" s="1" t="str">
        <f>"000259020 - RICH FOODS BB-FOODBUY NEMACOLI"</f>
        <v>000259020 - RICH FOODS BB-FOODBUY NEMACOLI</v>
      </c>
      <c r="C8132" t="s">
        <v>2225</v>
      </c>
      <c r="D8132" s="1" t="str">
        <f t="shared" si="225"/>
        <v>PRG-1031234</v>
      </c>
      <c r="E8132" t="s">
        <v>147</v>
      </c>
      <c r="F8132" t="s">
        <v>4</v>
      </c>
      <c r="G8132" t="str">
        <f>""</f>
        <v/>
      </c>
    </row>
    <row r="8133" spans="1:7" x14ac:dyDescent="0.25">
      <c r="A8133" t="s">
        <v>8</v>
      </c>
      <c r="B8133" s="1" t="str">
        <f>"000260123 - RICH FOODS BB-FOODBUY"</f>
        <v>000260123 - RICH FOODS BB-FOODBUY</v>
      </c>
      <c r="C8133" t="s">
        <v>209</v>
      </c>
      <c r="D8133" s="1" t="str">
        <f t="shared" si="225"/>
        <v>PRG-1031234</v>
      </c>
      <c r="E8133" t="s">
        <v>147</v>
      </c>
      <c r="F8133" t="s">
        <v>4</v>
      </c>
      <c r="G8133" t="str">
        <f>""</f>
        <v/>
      </c>
    </row>
    <row r="8134" spans="1:7" x14ac:dyDescent="0.25">
      <c r="A8134" t="s">
        <v>8</v>
      </c>
      <c r="B8134" s="1" t="str">
        <f>"000262134 - RICH FOODS BB-FOODBUY"</f>
        <v>000262134 - RICH FOODS BB-FOODBUY</v>
      </c>
      <c r="C8134" t="s">
        <v>209</v>
      </c>
      <c r="D8134" s="1" t="str">
        <f t="shared" si="225"/>
        <v>PRG-1031234</v>
      </c>
      <c r="E8134" t="s">
        <v>147</v>
      </c>
      <c r="F8134" t="s">
        <v>4</v>
      </c>
      <c r="G8134" t="str">
        <f>""</f>
        <v/>
      </c>
    </row>
    <row r="8135" spans="1:7" x14ac:dyDescent="0.25">
      <c r="A8135" t="s">
        <v>8</v>
      </c>
      <c r="B8135" s="1" t="str">
        <f>"000263572 - RICH FOODS BB-FOODBUY"</f>
        <v>000263572 - RICH FOODS BB-FOODBUY</v>
      </c>
      <c r="C8135" t="s">
        <v>209</v>
      </c>
      <c r="D8135" s="1" t="str">
        <f t="shared" si="225"/>
        <v>PRG-1031234</v>
      </c>
      <c r="E8135" t="s">
        <v>147</v>
      </c>
      <c r="F8135" t="s">
        <v>4</v>
      </c>
      <c r="G8135" t="str">
        <f>""</f>
        <v/>
      </c>
    </row>
    <row r="8136" spans="1:7" x14ac:dyDescent="0.25">
      <c r="A8136" t="s">
        <v>8</v>
      </c>
      <c r="B8136" s="1" t="str">
        <f>"000263774 - RICH FOODS BB-FOODBUY"</f>
        <v>000263774 - RICH FOODS BB-FOODBUY</v>
      </c>
      <c r="C8136" t="s">
        <v>209</v>
      </c>
      <c r="D8136" s="1" t="str">
        <f t="shared" si="225"/>
        <v>PRG-1031234</v>
      </c>
      <c r="E8136" t="s">
        <v>147</v>
      </c>
      <c r="F8136" t="s">
        <v>4</v>
      </c>
      <c r="G8136" t="str">
        <f>""</f>
        <v/>
      </c>
    </row>
    <row r="8137" spans="1:7" x14ac:dyDescent="0.25">
      <c r="A8137" t="s">
        <v>8</v>
      </c>
      <c r="B8137" s="1" t="str">
        <f>"000264646 - RICH FOODS BB-FOODBUY"</f>
        <v>000264646 - RICH FOODS BB-FOODBUY</v>
      </c>
      <c r="C8137" t="s">
        <v>209</v>
      </c>
      <c r="D8137" s="1" t="str">
        <f t="shared" si="225"/>
        <v>PRG-1031234</v>
      </c>
      <c r="E8137" t="s">
        <v>147</v>
      </c>
      <c r="F8137" t="s">
        <v>4</v>
      </c>
      <c r="G8137" t="str">
        <f>""</f>
        <v/>
      </c>
    </row>
    <row r="8138" spans="1:7" x14ac:dyDescent="0.25">
      <c r="A8138" t="s">
        <v>8</v>
      </c>
      <c r="B8138" s="1" t="str">
        <f>"000284482 - RICH FOODS BB-FOODBUY"</f>
        <v>000284482 - RICH FOODS BB-FOODBUY</v>
      </c>
      <c r="C8138" t="s">
        <v>209</v>
      </c>
      <c r="D8138" s="1" t="str">
        <f t="shared" si="225"/>
        <v>PRG-1031234</v>
      </c>
      <c r="E8138" t="s">
        <v>147</v>
      </c>
      <c r="F8138" t="s">
        <v>4</v>
      </c>
      <c r="G8138" t="str">
        <f>""</f>
        <v/>
      </c>
    </row>
    <row r="8139" spans="1:7" x14ac:dyDescent="0.25">
      <c r="A8139" t="s">
        <v>8</v>
      </c>
      <c r="B8139" s="1" t="str">
        <f>"000294979 - RICH FOODS BB-FOODBUY"</f>
        <v>000294979 - RICH FOODS BB-FOODBUY</v>
      </c>
      <c r="C8139" t="s">
        <v>209</v>
      </c>
      <c r="D8139" s="1" t="str">
        <f t="shared" si="225"/>
        <v>PRG-1031234</v>
      </c>
      <c r="E8139" t="s">
        <v>147</v>
      </c>
      <c r="F8139" t="s">
        <v>4</v>
      </c>
      <c r="G8139" t="str">
        <f>""</f>
        <v/>
      </c>
    </row>
    <row r="8140" spans="1:7" x14ac:dyDescent="0.25">
      <c r="A8140" t="s">
        <v>8</v>
      </c>
      <c r="B8140" s="1" t="str">
        <f>"000296216 - RICH FOODS BB-FOODBUY"</f>
        <v>000296216 - RICH FOODS BB-FOODBUY</v>
      </c>
      <c r="C8140" t="s">
        <v>209</v>
      </c>
      <c r="D8140" s="1" t="str">
        <f t="shared" si="225"/>
        <v>PRG-1031234</v>
      </c>
      <c r="E8140" t="s">
        <v>147</v>
      </c>
      <c r="F8140" t="s">
        <v>4</v>
      </c>
      <c r="G8140" t="str">
        <f>""</f>
        <v/>
      </c>
    </row>
    <row r="8141" spans="1:7" x14ac:dyDescent="0.25">
      <c r="A8141" t="s">
        <v>8</v>
      </c>
      <c r="B8141" s="1" t="str">
        <f>"000297096 - RICH FDS FDBY BB LD294979"</f>
        <v>000297096 - RICH FDS FDBY BB LD294979</v>
      </c>
      <c r="C8141" t="s">
        <v>2920</v>
      </c>
      <c r="D8141" s="1" t="str">
        <f t="shared" si="225"/>
        <v>PRG-1031234</v>
      </c>
      <c r="E8141" t="s">
        <v>147</v>
      </c>
      <c r="F8141" t="s">
        <v>4</v>
      </c>
      <c r="G8141" t="str">
        <f>""</f>
        <v/>
      </c>
    </row>
    <row r="8142" spans="1:7" x14ac:dyDescent="0.25">
      <c r="A8142" t="s">
        <v>8</v>
      </c>
      <c r="B8142" s="1" t="str">
        <f>"000298409 - RICH FOODS BB-FOODBUY"</f>
        <v>000298409 - RICH FOODS BB-FOODBUY</v>
      </c>
      <c r="C8142" t="s">
        <v>209</v>
      </c>
      <c r="D8142" s="1" t="str">
        <f t="shared" si="225"/>
        <v>PRG-1031234</v>
      </c>
      <c r="E8142" t="s">
        <v>147</v>
      </c>
      <c r="F8142" t="s">
        <v>4</v>
      </c>
      <c r="G8142" t="str">
        <f>""</f>
        <v/>
      </c>
    </row>
    <row r="8143" spans="1:7" x14ac:dyDescent="0.25">
      <c r="A8143" t="s">
        <v>8</v>
      </c>
      <c r="B8143" s="1" t="str">
        <f>"000304318 - "</f>
        <v xml:space="preserve">000304318 - </v>
      </c>
      <c r="D8143" s="1" t="str">
        <f t="shared" si="225"/>
        <v>PRG-1031234</v>
      </c>
      <c r="E8143" t="s">
        <v>147</v>
      </c>
      <c r="F8143" t="s">
        <v>4</v>
      </c>
      <c r="G8143" t="str">
        <f>""</f>
        <v/>
      </c>
    </row>
    <row r="8144" spans="1:7" x14ac:dyDescent="0.25">
      <c r="A8144" t="s">
        <v>8</v>
      </c>
      <c r="B8144" s="1" t="str">
        <f>"000314086 - RICH FOODS BB-FOODBUY"</f>
        <v>000314086 - RICH FOODS BB-FOODBUY</v>
      </c>
      <c r="C8144" t="s">
        <v>209</v>
      </c>
      <c r="D8144" s="1" t="str">
        <f t="shared" si="225"/>
        <v>PRG-1031234</v>
      </c>
      <c r="E8144" t="s">
        <v>147</v>
      </c>
      <c r="F8144" t="s">
        <v>4</v>
      </c>
      <c r="G8144" t="str">
        <f>""</f>
        <v/>
      </c>
    </row>
    <row r="8145" spans="1:7" x14ac:dyDescent="0.25">
      <c r="A8145" t="s">
        <v>8</v>
      </c>
      <c r="B8145" s="1" t="str">
        <f>"000324715 - RICH FOODS BB-FOODBUY"</f>
        <v>000324715 - RICH FOODS BB-FOODBUY</v>
      </c>
      <c r="C8145" t="s">
        <v>209</v>
      </c>
      <c r="D8145" s="1" t="str">
        <f t="shared" si="225"/>
        <v>PRG-1031234</v>
      </c>
      <c r="E8145" t="s">
        <v>147</v>
      </c>
      <c r="F8145" t="s">
        <v>4</v>
      </c>
      <c r="G8145" t="str">
        <f>""</f>
        <v/>
      </c>
    </row>
    <row r="8146" spans="1:7" x14ac:dyDescent="0.25">
      <c r="A8146" t="s">
        <v>8</v>
      </c>
      <c r="B8146" s="1" t="str">
        <f>"000332574 - RICH FOODS BB-FOODBUY"</f>
        <v>000332574 - RICH FOODS BB-FOODBUY</v>
      </c>
      <c r="C8146" t="s">
        <v>209</v>
      </c>
      <c r="D8146" s="1" t="str">
        <f t="shared" ref="D8146:D8154" si="226">"PRG-1031234"</f>
        <v>PRG-1031234</v>
      </c>
      <c r="E8146" t="s">
        <v>147</v>
      </c>
      <c r="F8146" t="s">
        <v>4</v>
      </c>
      <c r="G8146" t="str">
        <f>""</f>
        <v/>
      </c>
    </row>
    <row r="8147" spans="1:7" x14ac:dyDescent="0.25">
      <c r="A8147" t="s">
        <v>8</v>
      </c>
      <c r="B8147" s="1" t="str">
        <f>"000334356 - RICH FOODS BB-FOODBUY"</f>
        <v>000334356 - RICH FOODS BB-FOODBUY</v>
      </c>
      <c r="C8147" t="s">
        <v>209</v>
      </c>
      <c r="D8147" s="1" t="str">
        <f t="shared" si="226"/>
        <v>PRG-1031234</v>
      </c>
      <c r="E8147" t="s">
        <v>147</v>
      </c>
      <c r="F8147" t="s">
        <v>4</v>
      </c>
      <c r="G8147" t="str">
        <f>""</f>
        <v/>
      </c>
    </row>
    <row r="8148" spans="1:7" x14ac:dyDescent="0.25">
      <c r="A8148" t="s">
        <v>8</v>
      </c>
      <c r="B8148" s="1" t="str">
        <f>"000340165 - RICH FOODS BB-FOODBUY"</f>
        <v>000340165 - RICH FOODS BB-FOODBUY</v>
      </c>
      <c r="C8148" t="s">
        <v>209</v>
      </c>
      <c r="D8148" s="1" t="str">
        <f t="shared" si="226"/>
        <v>PRG-1031234</v>
      </c>
      <c r="E8148" t="s">
        <v>147</v>
      </c>
      <c r="F8148" t="s">
        <v>4</v>
      </c>
      <c r="G8148" t="str">
        <f>""</f>
        <v/>
      </c>
    </row>
    <row r="8149" spans="1:7" x14ac:dyDescent="0.25">
      <c r="A8149" t="s">
        <v>8</v>
      </c>
      <c r="B8149" s="1" t="str">
        <f>"000347542 - RICH FOODS BB-FOODBUY"</f>
        <v>000347542 - RICH FOODS BB-FOODBUY</v>
      </c>
      <c r="C8149" t="s">
        <v>209</v>
      </c>
      <c r="D8149" s="1" t="str">
        <f t="shared" si="226"/>
        <v>PRG-1031234</v>
      </c>
      <c r="E8149" t="s">
        <v>147</v>
      </c>
      <c r="F8149" t="s">
        <v>4</v>
      </c>
      <c r="G8149" t="str">
        <f>""</f>
        <v/>
      </c>
    </row>
    <row r="8150" spans="1:7" x14ac:dyDescent="0.25">
      <c r="A8150" t="s">
        <v>8</v>
      </c>
      <c r="B8150" s="1" t="str">
        <f>"000363135 - RICH FOODS BB-FOODBUY"</f>
        <v>000363135 - RICH FOODS BB-FOODBUY</v>
      </c>
      <c r="C8150" t="s">
        <v>209</v>
      </c>
      <c r="D8150" s="1" t="str">
        <f t="shared" si="226"/>
        <v>PRG-1031234</v>
      </c>
      <c r="E8150" t="s">
        <v>147</v>
      </c>
      <c r="F8150" t="s">
        <v>4</v>
      </c>
      <c r="G8150" t="str">
        <f>""</f>
        <v/>
      </c>
    </row>
    <row r="8151" spans="1:7" x14ac:dyDescent="0.25">
      <c r="A8151" t="s">
        <v>8</v>
      </c>
      <c r="B8151" s="1" t="str">
        <f>"000363508 - RICH FOODS BB CRO-FDBY"</f>
        <v>000363508 - RICH FOODS BB CRO-FDBY</v>
      </c>
      <c r="C8151" t="s">
        <v>3446</v>
      </c>
      <c r="D8151" s="1" t="str">
        <f t="shared" si="226"/>
        <v>PRG-1031234</v>
      </c>
      <c r="E8151" t="s">
        <v>147</v>
      </c>
      <c r="F8151" t="s">
        <v>4</v>
      </c>
      <c r="G8151" t="str">
        <f>""</f>
        <v/>
      </c>
    </row>
    <row r="8152" spans="1:7" x14ac:dyDescent="0.25">
      <c r="A8152" t="s">
        <v>8</v>
      </c>
      <c r="B8152" s="1" t="str">
        <f>"2000312119 - RICH FDS-FOODBUY COMP COMM"</f>
        <v>2000312119 - RICH FDS-FOODBUY COMP COMM</v>
      </c>
      <c r="C8152" t="s">
        <v>3831</v>
      </c>
      <c r="D8152" s="1" t="str">
        <f t="shared" si="226"/>
        <v>PRG-1031234</v>
      </c>
      <c r="E8152" t="s">
        <v>147</v>
      </c>
      <c r="F8152" t="s">
        <v>4</v>
      </c>
      <c r="G8152" t="str">
        <f>""</f>
        <v/>
      </c>
    </row>
    <row r="8153" spans="1:7" x14ac:dyDescent="0.25">
      <c r="A8153" t="s">
        <v>8</v>
      </c>
      <c r="B8153" s="1" t="str">
        <f>"2000341506 - RICH FDS-FOODBUY COMP COMM"</f>
        <v>2000341506 - RICH FDS-FOODBUY COMP COMM</v>
      </c>
      <c r="C8153" t="s">
        <v>3831</v>
      </c>
      <c r="D8153" s="1" t="str">
        <f t="shared" si="226"/>
        <v>PRG-1031234</v>
      </c>
      <c r="E8153" t="s">
        <v>147</v>
      </c>
      <c r="F8153" t="s">
        <v>4</v>
      </c>
      <c r="G8153" t="str">
        <f>""</f>
        <v/>
      </c>
    </row>
    <row r="8154" spans="1:7" x14ac:dyDescent="0.25">
      <c r="A8154" t="s">
        <v>8</v>
      </c>
      <c r="B8154" s="1" t="str">
        <f>"2000345544 - RICH FDS-FOODBUY COMP COMM"</f>
        <v>2000345544 - RICH FDS-FOODBUY COMP COMM</v>
      </c>
      <c r="C8154" t="s">
        <v>3831</v>
      </c>
      <c r="D8154" s="1" t="str">
        <f t="shared" si="226"/>
        <v>PRG-1031234</v>
      </c>
      <c r="E8154" t="s">
        <v>147</v>
      </c>
      <c r="F8154" t="s">
        <v>4</v>
      </c>
      <c r="G8154" t="str">
        <f>""</f>
        <v/>
      </c>
    </row>
    <row r="8155" spans="1:7" x14ac:dyDescent="0.25">
      <c r="A8155" t="s">
        <v>8</v>
      </c>
      <c r="B8155" s="1" t="str">
        <f>"000254949 - RICH SUGAR BAKERS BILL SFDS"</f>
        <v>000254949 - RICH SUGAR BAKERS BILL SFDS</v>
      </c>
      <c r="C8155" t="s">
        <v>1593</v>
      </c>
      <c r="D8155" s="1" t="str">
        <f>"PRG-1031436"</f>
        <v>PRG-1031436</v>
      </c>
      <c r="E8155" t="s">
        <v>2154</v>
      </c>
      <c r="F8155" t="s">
        <v>4</v>
      </c>
      <c r="G8155" t="str">
        <f>""</f>
        <v/>
      </c>
    </row>
    <row r="8156" spans="1:7" x14ac:dyDescent="0.25">
      <c r="A8156" t="s">
        <v>8</v>
      </c>
      <c r="B8156" s="1" t="str">
        <f>"000118955 - RICH FOODS NC-GRANITE CITY"</f>
        <v>000118955 - RICH FOODS NC-GRANITE CITY</v>
      </c>
      <c r="C8156" t="s">
        <v>864</v>
      </c>
      <c r="D8156" s="1" t="str">
        <f t="shared" ref="D8156:D8187" si="227">"PRG-1031505"</f>
        <v>PRG-1031505</v>
      </c>
      <c r="E8156" t="s">
        <v>846</v>
      </c>
      <c r="F8156" t="s">
        <v>4</v>
      </c>
      <c r="G8156" t="str">
        <f>""</f>
        <v/>
      </c>
    </row>
    <row r="8157" spans="1:7" x14ac:dyDescent="0.25">
      <c r="A8157" t="s">
        <v>8</v>
      </c>
      <c r="B8157" s="1" t="str">
        <f>"000118956 - RICH FOODS C-GRANITE CITY"</f>
        <v>000118956 - RICH FOODS C-GRANITE CITY</v>
      </c>
      <c r="C8157" t="s">
        <v>865</v>
      </c>
      <c r="D8157" s="1" t="str">
        <f t="shared" si="227"/>
        <v>PRG-1031505</v>
      </c>
      <c r="E8157" t="s">
        <v>846</v>
      </c>
      <c r="F8157" t="s">
        <v>4</v>
      </c>
      <c r="G8157" t="str">
        <f>""</f>
        <v/>
      </c>
    </row>
    <row r="8158" spans="1:7" x14ac:dyDescent="0.25">
      <c r="A8158" t="s">
        <v>8</v>
      </c>
      <c r="B8158" s="1" t="str">
        <f>"000120288 - RICH FOODS NC-GRANITE CITY"</f>
        <v>000120288 - RICH FOODS NC-GRANITE CITY</v>
      </c>
      <c r="C8158" t="s">
        <v>864</v>
      </c>
      <c r="D8158" s="1" t="str">
        <f t="shared" si="227"/>
        <v>PRG-1031505</v>
      </c>
      <c r="E8158" t="s">
        <v>846</v>
      </c>
      <c r="F8158" t="s">
        <v>4</v>
      </c>
      <c r="G8158" t="str">
        <f>""</f>
        <v/>
      </c>
    </row>
    <row r="8159" spans="1:7" x14ac:dyDescent="0.25">
      <c r="A8159" t="s">
        <v>8</v>
      </c>
      <c r="B8159" s="1" t="str">
        <f>"000120289 - RICH FOODS C-GRANITE CITY"</f>
        <v>000120289 - RICH FOODS C-GRANITE CITY</v>
      </c>
      <c r="C8159" t="s">
        <v>865</v>
      </c>
      <c r="D8159" s="1" t="str">
        <f t="shared" si="227"/>
        <v>PRG-1031505</v>
      </c>
      <c r="E8159" t="s">
        <v>846</v>
      </c>
      <c r="F8159" t="s">
        <v>4</v>
      </c>
      <c r="G8159" t="str">
        <f>""</f>
        <v/>
      </c>
    </row>
    <row r="8160" spans="1:7" x14ac:dyDescent="0.25">
      <c r="A8160" t="s">
        <v>8</v>
      </c>
      <c r="B8160" s="1" t="str">
        <f>"000121760 - RICH FOODS NC BB-GRANITE CITY"</f>
        <v>000121760 - RICH FOODS NC BB-GRANITE CITY</v>
      </c>
      <c r="C8160" t="s">
        <v>893</v>
      </c>
      <c r="D8160" s="1" t="str">
        <f t="shared" si="227"/>
        <v>PRG-1031505</v>
      </c>
      <c r="E8160" t="s">
        <v>846</v>
      </c>
      <c r="F8160" t="s">
        <v>4</v>
      </c>
      <c r="G8160" t="str">
        <f>""</f>
        <v/>
      </c>
    </row>
    <row r="8161" spans="1:7" x14ac:dyDescent="0.25">
      <c r="A8161" t="s">
        <v>8</v>
      </c>
      <c r="B8161" s="1" t="str">
        <f>"000122956 - RICH FOODS C BB-GRANITE CITY"</f>
        <v>000122956 - RICH FOODS C BB-GRANITE CITY</v>
      </c>
      <c r="C8161" t="s">
        <v>898</v>
      </c>
      <c r="D8161" s="1" t="str">
        <f t="shared" si="227"/>
        <v>PRG-1031505</v>
      </c>
      <c r="E8161" t="s">
        <v>846</v>
      </c>
      <c r="F8161" t="s">
        <v>4</v>
      </c>
      <c r="G8161" t="str">
        <f>""</f>
        <v/>
      </c>
    </row>
    <row r="8162" spans="1:7" x14ac:dyDescent="0.25">
      <c r="A8162" t="s">
        <v>8</v>
      </c>
      <c r="B8162" s="1" t="str">
        <f>"000124948 - RICHS CORE BB(DPMRETRO)-GRANIT"</f>
        <v>000124948 - RICHS CORE BB(DPMRETRO)-GRANIT</v>
      </c>
      <c r="C8162" t="s">
        <v>908</v>
      </c>
      <c r="D8162" s="1" t="str">
        <f t="shared" si="227"/>
        <v>PRG-1031505</v>
      </c>
      <c r="E8162" t="s">
        <v>846</v>
      </c>
      <c r="F8162" t="s">
        <v>4</v>
      </c>
      <c r="G8162" t="str">
        <f>""</f>
        <v/>
      </c>
    </row>
    <row r="8163" spans="1:7" x14ac:dyDescent="0.25">
      <c r="A8163" t="s">
        <v>8</v>
      </c>
      <c r="B8163" s="1" t="str">
        <f>"000142463 - "</f>
        <v xml:space="preserve">000142463 - </v>
      </c>
      <c r="D8163" s="1" t="str">
        <f t="shared" si="227"/>
        <v>PRG-1031505</v>
      </c>
      <c r="E8163" t="s">
        <v>846</v>
      </c>
      <c r="F8163" t="s">
        <v>4</v>
      </c>
      <c r="G8163" t="str">
        <f>""</f>
        <v/>
      </c>
    </row>
    <row r="8164" spans="1:7" x14ac:dyDescent="0.25">
      <c r="A8164" t="s">
        <v>8</v>
      </c>
      <c r="B8164" s="1" t="str">
        <f>"000143819 - "</f>
        <v xml:space="preserve">000143819 - </v>
      </c>
      <c r="D8164" s="1" t="str">
        <f t="shared" si="227"/>
        <v>PRG-1031505</v>
      </c>
      <c r="E8164" t="s">
        <v>846</v>
      </c>
      <c r="F8164" t="s">
        <v>4</v>
      </c>
      <c r="G8164" t="str">
        <f>""</f>
        <v/>
      </c>
    </row>
    <row r="8165" spans="1:7" x14ac:dyDescent="0.25">
      <c r="A8165" t="s">
        <v>8</v>
      </c>
      <c r="B8165" s="1" t="str">
        <f>"000206576 - RICH FOODS NC-GRANITE CITY"</f>
        <v>000206576 - RICH FOODS NC-GRANITE CITY</v>
      </c>
      <c r="C8165" t="s">
        <v>864</v>
      </c>
      <c r="D8165" s="1" t="str">
        <f t="shared" si="227"/>
        <v>PRG-1031505</v>
      </c>
      <c r="E8165" t="s">
        <v>846</v>
      </c>
      <c r="F8165" t="s">
        <v>4</v>
      </c>
      <c r="G8165" t="str">
        <f>""</f>
        <v/>
      </c>
    </row>
    <row r="8166" spans="1:7" x14ac:dyDescent="0.25">
      <c r="A8166" t="s">
        <v>8</v>
      </c>
      <c r="B8166" s="1" t="str">
        <f>"000220092 - RICH FOODS C-GRANITE CITY"</f>
        <v>000220092 - RICH FOODS C-GRANITE CITY</v>
      </c>
      <c r="C8166" t="s">
        <v>865</v>
      </c>
      <c r="D8166" s="1" t="str">
        <f t="shared" si="227"/>
        <v>PRG-1031505</v>
      </c>
      <c r="E8166" t="s">
        <v>846</v>
      </c>
      <c r="F8166" t="s">
        <v>4</v>
      </c>
      <c r="G8166" t="str">
        <f>""</f>
        <v/>
      </c>
    </row>
    <row r="8167" spans="1:7" x14ac:dyDescent="0.25">
      <c r="A8167" t="s">
        <v>8</v>
      </c>
      <c r="B8167" s="1" t="str">
        <f>"000221185 - BB GRANITE FOB RICH"</f>
        <v>000221185 - BB GRANITE FOB RICH</v>
      </c>
      <c r="C8167" t="s">
        <v>1212</v>
      </c>
      <c r="D8167" s="1" t="str">
        <f t="shared" si="227"/>
        <v>PRG-1031505</v>
      </c>
      <c r="E8167" t="s">
        <v>846</v>
      </c>
      <c r="F8167" t="s">
        <v>4</v>
      </c>
      <c r="G8167" t="str">
        <f>""</f>
        <v/>
      </c>
    </row>
    <row r="8168" spans="1:7" x14ac:dyDescent="0.25">
      <c r="A8168" t="s">
        <v>8</v>
      </c>
      <c r="B8168" s="1" t="str">
        <f>"000222773 - BB GRANITE FOB RICH"</f>
        <v>000222773 - BB GRANITE FOB RICH</v>
      </c>
      <c r="C8168" t="s">
        <v>1212</v>
      </c>
      <c r="D8168" s="1" t="str">
        <f t="shared" si="227"/>
        <v>PRG-1031505</v>
      </c>
      <c r="E8168" t="s">
        <v>846</v>
      </c>
      <c r="F8168" t="s">
        <v>4</v>
      </c>
      <c r="G8168" t="str">
        <f>""</f>
        <v/>
      </c>
    </row>
    <row r="8169" spans="1:7" x14ac:dyDescent="0.25">
      <c r="A8169" t="s">
        <v>8</v>
      </c>
      <c r="B8169" s="1" t="str">
        <f>"000224366 - RICH FOODS NC BB-GRANITE CITY"</f>
        <v>000224366 - RICH FOODS NC BB-GRANITE CITY</v>
      </c>
      <c r="C8169" t="s">
        <v>893</v>
      </c>
      <c r="D8169" s="1" t="str">
        <f t="shared" si="227"/>
        <v>PRG-1031505</v>
      </c>
      <c r="E8169" t="s">
        <v>846</v>
      </c>
      <c r="F8169" t="s">
        <v>4</v>
      </c>
      <c r="G8169" t="str">
        <f>""</f>
        <v/>
      </c>
    </row>
    <row r="8170" spans="1:7" x14ac:dyDescent="0.25">
      <c r="A8170" t="s">
        <v>8</v>
      </c>
      <c r="B8170" s="1" t="str">
        <f>"000224371 - BB GRANITE FOB RICH"</f>
        <v>000224371 - BB GRANITE FOB RICH</v>
      </c>
      <c r="C8170" t="s">
        <v>1212</v>
      </c>
      <c r="D8170" s="1" t="str">
        <f t="shared" si="227"/>
        <v>PRG-1031505</v>
      </c>
      <c r="E8170" t="s">
        <v>846</v>
      </c>
      <c r="F8170" t="s">
        <v>4</v>
      </c>
      <c r="G8170" t="str">
        <f>""</f>
        <v/>
      </c>
    </row>
    <row r="8171" spans="1:7" x14ac:dyDescent="0.25">
      <c r="A8171" t="s">
        <v>8</v>
      </c>
      <c r="B8171" s="1" t="str">
        <f>"000226152 - RICH FDS-ARAMARK MAIN EX K12"</f>
        <v>000226152 - RICH FDS-ARAMARK MAIN EX K12</v>
      </c>
      <c r="C8171" t="s">
        <v>511</v>
      </c>
      <c r="D8171" s="1" t="str">
        <f t="shared" si="227"/>
        <v>PRG-1031505</v>
      </c>
      <c r="E8171" t="s">
        <v>846</v>
      </c>
      <c r="F8171" t="s">
        <v>4</v>
      </c>
      <c r="G8171" t="str">
        <f>""</f>
        <v/>
      </c>
    </row>
    <row r="8172" spans="1:7" x14ac:dyDescent="0.25">
      <c r="A8172" t="s">
        <v>8</v>
      </c>
      <c r="B8172" s="1" t="str">
        <f>"000226171 - BB GRANITE DPMFX RICHS"</f>
        <v>000226171 - BB GRANITE DPMFX RICHS</v>
      </c>
      <c r="C8172" t="s">
        <v>1683</v>
      </c>
      <c r="D8172" s="1" t="str">
        <f t="shared" si="227"/>
        <v>PRG-1031505</v>
      </c>
      <c r="E8172" t="s">
        <v>846</v>
      </c>
      <c r="F8172" t="s">
        <v>4</v>
      </c>
      <c r="G8172" t="str">
        <f>""</f>
        <v/>
      </c>
    </row>
    <row r="8173" spans="1:7" x14ac:dyDescent="0.25">
      <c r="A8173" t="s">
        <v>8</v>
      </c>
      <c r="B8173" s="1" t="str">
        <f>"000228722 - RICH FOODS NC-GRANITE CITY"</f>
        <v>000228722 - RICH FOODS NC-GRANITE CITY</v>
      </c>
      <c r="C8173" t="s">
        <v>864</v>
      </c>
      <c r="D8173" s="1" t="str">
        <f t="shared" si="227"/>
        <v>PRG-1031505</v>
      </c>
      <c r="E8173" t="s">
        <v>846</v>
      </c>
      <c r="F8173" t="s">
        <v>4</v>
      </c>
      <c r="G8173" t="str">
        <f>""</f>
        <v/>
      </c>
    </row>
    <row r="8174" spans="1:7" x14ac:dyDescent="0.25">
      <c r="A8174" t="s">
        <v>8</v>
      </c>
      <c r="B8174" s="1" t="str">
        <f>"000228723 - RICH FOODS C-GRANITE CITY"</f>
        <v>000228723 - RICH FOODS C-GRANITE CITY</v>
      </c>
      <c r="C8174" t="s">
        <v>865</v>
      </c>
      <c r="D8174" s="1" t="str">
        <f t="shared" si="227"/>
        <v>PRG-1031505</v>
      </c>
      <c r="E8174" t="s">
        <v>846</v>
      </c>
      <c r="F8174" t="s">
        <v>4</v>
      </c>
      <c r="G8174" t="str">
        <f>""</f>
        <v/>
      </c>
    </row>
    <row r="8175" spans="1:7" x14ac:dyDescent="0.25">
      <c r="A8175" t="s">
        <v>8</v>
      </c>
      <c r="B8175" s="1" t="str">
        <f>"000230764 - RICH FOODS NC BB-GRANITE CITY"</f>
        <v>000230764 - RICH FOODS NC BB-GRANITE CITY</v>
      </c>
      <c r="C8175" t="s">
        <v>893</v>
      </c>
      <c r="D8175" s="1" t="str">
        <f t="shared" si="227"/>
        <v>PRG-1031505</v>
      </c>
      <c r="E8175" t="s">
        <v>846</v>
      </c>
      <c r="F8175" t="s">
        <v>4</v>
      </c>
      <c r="G8175" t="str">
        <f>""</f>
        <v/>
      </c>
    </row>
    <row r="8176" spans="1:7" x14ac:dyDescent="0.25">
      <c r="A8176" t="s">
        <v>8</v>
      </c>
      <c r="B8176" s="1" t="str">
        <f>"000231042 - RICH FOODS NC-GRANITE CITY"</f>
        <v>000231042 - RICH FOODS NC-GRANITE CITY</v>
      </c>
      <c r="C8176" t="s">
        <v>864</v>
      </c>
      <c r="D8176" s="1" t="str">
        <f t="shared" si="227"/>
        <v>PRG-1031505</v>
      </c>
      <c r="E8176" t="s">
        <v>846</v>
      </c>
      <c r="F8176" t="s">
        <v>4</v>
      </c>
      <c r="G8176" t="str">
        <f>""</f>
        <v/>
      </c>
    </row>
    <row r="8177" spans="1:7" x14ac:dyDescent="0.25">
      <c r="A8177" t="s">
        <v>8</v>
      </c>
      <c r="B8177" s="1" t="str">
        <f>"000231043 - RICH FOODS C-GRANITE CITY"</f>
        <v>000231043 - RICH FOODS C-GRANITE CITY</v>
      </c>
      <c r="C8177" t="s">
        <v>865</v>
      </c>
      <c r="D8177" s="1" t="str">
        <f t="shared" si="227"/>
        <v>PRG-1031505</v>
      </c>
      <c r="E8177" t="s">
        <v>846</v>
      </c>
      <c r="F8177" t="s">
        <v>4</v>
      </c>
      <c r="G8177" t="str">
        <f>""</f>
        <v/>
      </c>
    </row>
    <row r="8178" spans="1:7" x14ac:dyDescent="0.25">
      <c r="A8178" t="s">
        <v>8</v>
      </c>
      <c r="B8178" s="1" t="str">
        <f>"000232584 - RICH FOODS C BB-GRANITE CITY"</f>
        <v>000232584 - RICH FOODS C BB-GRANITE CITY</v>
      </c>
      <c r="C8178" t="s">
        <v>898</v>
      </c>
      <c r="D8178" s="1" t="str">
        <f t="shared" si="227"/>
        <v>PRG-1031505</v>
      </c>
      <c r="E8178" t="s">
        <v>846</v>
      </c>
      <c r="F8178" t="s">
        <v>4</v>
      </c>
      <c r="G8178" t="str">
        <f>""</f>
        <v/>
      </c>
    </row>
    <row r="8179" spans="1:7" x14ac:dyDescent="0.25">
      <c r="A8179" t="s">
        <v>8</v>
      </c>
      <c r="B8179" s="1" t="str">
        <f>"000232827 - RICH FOODS NC-GRANITE CITY"</f>
        <v>000232827 - RICH FOODS NC-GRANITE CITY</v>
      </c>
      <c r="C8179" t="s">
        <v>864</v>
      </c>
      <c r="D8179" s="1" t="str">
        <f t="shared" si="227"/>
        <v>PRG-1031505</v>
      </c>
      <c r="E8179" t="s">
        <v>846</v>
      </c>
      <c r="F8179" t="s">
        <v>4</v>
      </c>
      <c r="G8179" t="str">
        <f>""</f>
        <v/>
      </c>
    </row>
    <row r="8180" spans="1:7" x14ac:dyDescent="0.25">
      <c r="A8180" t="s">
        <v>8</v>
      </c>
      <c r="B8180" s="1" t="str">
        <f>"000232828 - RICH FOODS C-GRANITE CITY"</f>
        <v>000232828 - RICH FOODS C-GRANITE CITY</v>
      </c>
      <c r="C8180" t="s">
        <v>865</v>
      </c>
      <c r="D8180" s="1" t="str">
        <f t="shared" si="227"/>
        <v>PRG-1031505</v>
      </c>
      <c r="E8180" t="s">
        <v>846</v>
      </c>
      <c r="F8180" t="s">
        <v>4</v>
      </c>
      <c r="G8180" t="str">
        <f>""</f>
        <v/>
      </c>
    </row>
    <row r="8181" spans="1:7" x14ac:dyDescent="0.25">
      <c r="A8181" t="s">
        <v>8</v>
      </c>
      <c r="B8181" s="1" t="str">
        <f>"000234628 - RICH FOODS NC BB-GRANITE CITY"</f>
        <v>000234628 - RICH FOODS NC BB-GRANITE CITY</v>
      </c>
      <c r="C8181" t="s">
        <v>893</v>
      </c>
      <c r="D8181" s="1" t="str">
        <f t="shared" si="227"/>
        <v>PRG-1031505</v>
      </c>
      <c r="E8181" t="s">
        <v>846</v>
      </c>
      <c r="F8181" t="s">
        <v>4</v>
      </c>
      <c r="G8181" t="str">
        <f>""</f>
        <v/>
      </c>
    </row>
    <row r="8182" spans="1:7" x14ac:dyDescent="0.25">
      <c r="A8182" t="s">
        <v>8</v>
      </c>
      <c r="B8182" s="1" t="str">
        <f>"000236169 - RICH FOODS C BB-GRANITE CITY"</f>
        <v>000236169 - RICH FOODS C BB-GRANITE CITY</v>
      </c>
      <c r="C8182" t="s">
        <v>898</v>
      </c>
      <c r="D8182" s="1" t="str">
        <f t="shared" si="227"/>
        <v>PRG-1031505</v>
      </c>
      <c r="E8182" t="s">
        <v>846</v>
      </c>
      <c r="F8182" t="s">
        <v>4</v>
      </c>
      <c r="G8182" t="str">
        <f>""</f>
        <v/>
      </c>
    </row>
    <row r="8183" spans="1:7" x14ac:dyDescent="0.25">
      <c r="A8183" t="s">
        <v>8</v>
      </c>
      <c r="B8183" s="1" t="str">
        <f>"000236714 - "</f>
        <v xml:space="preserve">000236714 - </v>
      </c>
      <c r="D8183" s="1" t="str">
        <f t="shared" si="227"/>
        <v>PRG-1031505</v>
      </c>
      <c r="E8183" t="s">
        <v>846</v>
      </c>
      <c r="F8183" t="s">
        <v>4</v>
      </c>
      <c r="G8183" t="str">
        <f>""</f>
        <v/>
      </c>
    </row>
    <row r="8184" spans="1:7" x14ac:dyDescent="0.25">
      <c r="A8184" t="s">
        <v>8</v>
      </c>
      <c r="B8184" s="1" t="str">
        <f>"000236716 - "</f>
        <v xml:space="preserve">000236716 - </v>
      </c>
      <c r="D8184" s="1" t="str">
        <f t="shared" si="227"/>
        <v>PRG-1031505</v>
      </c>
      <c r="E8184" t="s">
        <v>846</v>
      </c>
      <c r="F8184" t="s">
        <v>4</v>
      </c>
      <c r="G8184" t="str">
        <f>""</f>
        <v/>
      </c>
    </row>
    <row r="8185" spans="1:7" x14ac:dyDescent="0.25">
      <c r="A8185" t="s">
        <v>8</v>
      </c>
      <c r="B8185" s="1" t="str">
        <f>"000238408 - "</f>
        <v xml:space="preserve">000238408 - </v>
      </c>
      <c r="D8185" s="1" t="str">
        <f t="shared" si="227"/>
        <v>PRG-1031505</v>
      </c>
      <c r="E8185" t="s">
        <v>846</v>
      </c>
      <c r="F8185" t="s">
        <v>4</v>
      </c>
      <c r="G8185" t="str">
        <f>""</f>
        <v/>
      </c>
    </row>
    <row r="8186" spans="1:7" x14ac:dyDescent="0.25">
      <c r="A8186" t="s">
        <v>8</v>
      </c>
      <c r="B8186" s="1" t="str">
        <f>"000239056 - BB GRANITE FOB RICHS"</f>
        <v>000239056 - BB GRANITE FOB RICHS</v>
      </c>
      <c r="C8186" t="s">
        <v>1889</v>
      </c>
      <c r="D8186" s="1" t="str">
        <f t="shared" si="227"/>
        <v>PRG-1031505</v>
      </c>
      <c r="E8186" t="s">
        <v>846</v>
      </c>
      <c r="F8186" t="s">
        <v>4</v>
      </c>
      <c r="G8186" t="str">
        <f>""</f>
        <v/>
      </c>
    </row>
    <row r="8187" spans="1:7" x14ac:dyDescent="0.25">
      <c r="A8187" t="s">
        <v>8</v>
      </c>
      <c r="B8187" s="1" t="str">
        <f>"000239790 - "</f>
        <v xml:space="preserve">000239790 - </v>
      </c>
      <c r="D8187" s="1" t="str">
        <f t="shared" si="227"/>
        <v>PRG-1031505</v>
      </c>
      <c r="E8187" t="s">
        <v>846</v>
      </c>
      <c r="F8187" t="s">
        <v>4</v>
      </c>
      <c r="G8187" t="str">
        <f>""</f>
        <v/>
      </c>
    </row>
    <row r="8188" spans="1:7" x14ac:dyDescent="0.25">
      <c r="A8188" t="s">
        <v>8</v>
      </c>
      <c r="B8188" s="1" t="str">
        <f>"000243927 - BB GRANITE FOB RICH"</f>
        <v>000243927 - BB GRANITE FOB RICH</v>
      </c>
      <c r="C8188" t="s">
        <v>1212</v>
      </c>
      <c r="D8188" s="1" t="str">
        <f t="shared" ref="D8188:D8219" si="228">"PRG-1031505"</f>
        <v>PRG-1031505</v>
      </c>
      <c r="E8188" t="s">
        <v>846</v>
      </c>
      <c r="F8188" t="s">
        <v>4</v>
      </c>
      <c r="G8188" t="str">
        <f>""</f>
        <v/>
      </c>
    </row>
    <row r="8189" spans="1:7" x14ac:dyDescent="0.25">
      <c r="A8189" t="s">
        <v>8</v>
      </c>
      <c r="B8189" s="1" t="str">
        <f>"000255904 - RICH FOODS NC-GRANITE CITY"</f>
        <v>000255904 - RICH FOODS NC-GRANITE CITY</v>
      </c>
      <c r="C8189" t="s">
        <v>864</v>
      </c>
      <c r="D8189" s="1" t="str">
        <f t="shared" si="228"/>
        <v>PRG-1031505</v>
      </c>
      <c r="E8189" t="s">
        <v>846</v>
      </c>
      <c r="F8189" t="s">
        <v>4</v>
      </c>
      <c r="G8189" t="str">
        <f>""</f>
        <v/>
      </c>
    </row>
    <row r="8190" spans="1:7" x14ac:dyDescent="0.25">
      <c r="A8190" t="s">
        <v>8</v>
      </c>
      <c r="B8190" s="1" t="str">
        <f>"000257696 - RICH FOODS NC BB-GRANITE CITY"</f>
        <v>000257696 - RICH FOODS NC BB-GRANITE CITY</v>
      </c>
      <c r="C8190" t="s">
        <v>893</v>
      </c>
      <c r="D8190" s="1" t="str">
        <f t="shared" si="228"/>
        <v>PRG-1031505</v>
      </c>
      <c r="E8190" t="s">
        <v>846</v>
      </c>
      <c r="F8190" t="s">
        <v>4</v>
      </c>
      <c r="G8190" t="str">
        <f>""</f>
        <v/>
      </c>
    </row>
    <row r="8191" spans="1:7" x14ac:dyDescent="0.25">
      <c r="A8191" t="s">
        <v>8</v>
      </c>
      <c r="B8191" s="1" t="str">
        <f>"000257992 - RICH FOODS NC-GRANITE CITY"</f>
        <v>000257992 - RICH FOODS NC-GRANITE CITY</v>
      </c>
      <c r="C8191" t="s">
        <v>864</v>
      </c>
      <c r="D8191" s="1" t="str">
        <f t="shared" si="228"/>
        <v>PRG-1031505</v>
      </c>
      <c r="E8191" t="s">
        <v>846</v>
      </c>
      <c r="F8191" t="s">
        <v>4</v>
      </c>
      <c r="G8191" t="str">
        <f>""</f>
        <v/>
      </c>
    </row>
    <row r="8192" spans="1:7" x14ac:dyDescent="0.25">
      <c r="A8192" t="s">
        <v>8</v>
      </c>
      <c r="B8192" s="1" t="str">
        <f>"000259279 - RICH FOODS C BB-GRANITE CITY"</f>
        <v>000259279 - RICH FOODS C BB-GRANITE CITY</v>
      </c>
      <c r="C8192" t="s">
        <v>898</v>
      </c>
      <c r="D8192" s="1" t="str">
        <f t="shared" si="228"/>
        <v>PRG-1031505</v>
      </c>
      <c r="E8192" t="s">
        <v>846</v>
      </c>
      <c r="F8192" t="s">
        <v>4</v>
      </c>
      <c r="G8192" t="str">
        <f>""</f>
        <v/>
      </c>
    </row>
    <row r="8193" spans="1:7" x14ac:dyDescent="0.25">
      <c r="A8193" t="s">
        <v>8</v>
      </c>
      <c r="B8193" s="1" t="str">
        <f>"000259925 - RICH FOODS NC BB-GRANITE CITY"</f>
        <v>000259925 - RICH FOODS NC BB-GRANITE CITY</v>
      </c>
      <c r="C8193" t="s">
        <v>893</v>
      </c>
      <c r="D8193" s="1" t="str">
        <f t="shared" si="228"/>
        <v>PRG-1031505</v>
      </c>
      <c r="E8193" t="s">
        <v>846</v>
      </c>
      <c r="F8193" t="s">
        <v>4</v>
      </c>
      <c r="G8193" t="str">
        <f>""</f>
        <v/>
      </c>
    </row>
    <row r="8194" spans="1:7" x14ac:dyDescent="0.25">
      <c r="A8194" t="s">
        <v>8</v>
      </c>
      <c r="B8194" s="1" t="str">
        <f>"000262146 - RICH FOODS C BB-GRANITE CITY"</f>
        <v>000262146 - RICH FOODS C BB-GRANITE CITY</v>
      </c>
      <c r="C8194" t="s">
        <v>898</v>
      </c>
      <c r="D8194" s="1" t="str">
        <f t="shared" si="228"/>
        <v>PRG-1031505</v>
      </c>
      <c r="E8194" t="s">
        <v>846</v>
      </c>
      <c r="F8194" t="s">
        <v>4</v>
      </c>
      <c r="G8194" t="str">
        <f>""</f>
        <v/>
      </c>
    </row>
    <row r="8195" spans="1:7" x14ac:dyDescent="0.25">
      <c r="A8195" t="s">
        <v>8</v>
      </c>
      <c r="B8195" s="1" t="str">
        <f>"000263116 - RICH FOODS NC-GRANITE CITY"</f>
        <v>000263116 - RICH FOODS NC-GRANITE CITY</v>
      </c>
      <c r="C8195" t="s">
        <v>864</v>
      </c>
      <c r="D8195" s="1" t="str">
        <f t="shared" si="228"/>
        <v>PRG-1031505</v>
      </c>
      <c r="E8195" t="s">
        <v>846</v>
      </c>
      <c r="F8195" t="s">
        <v>4</v>
      </c>
      <c r="G8195" t="str">
        <f>""</f>
        <v/>
      </c>
    </row>
    <row r="8196" spans="1:7" x14ac:dyDescent="0.25">
      <c r="A8196" t="s">
        <v>8</v>
      </c>
      <c r="B8196" s="1" t="str">
        <f>"000263117 - RICH FOODS C-GRANITE CITY"</f>
        <v>000263117 - RICH FOODS C-GRANITE CITY</v>
      </c>
      <c r="C8196" t="s">
        <v>865</v>
      </c>
      <c r="D8196" s="1" t="str">
        <f t="shared" si="228"/>
        <v>PRG-1031505</v>
      </c>
      <c r="E8196" t="s">
        <v>846</v>
      </c>
      <c r="F8196" t="s">
        <v>4</v>
      </c>
      <c r="G8196" t="str">
        <f>""</f>
        <v/>
      </c>
    </row>
    <row r="8197" spans="1:7" x14ac:dyDescent="0.25">
      <c r="A8197" t="s">
        <v>8</v>
      </c>
      <c r="B8197" s="1" t="str">
        <f>"000264859 - RICH FOODS NC BB-GRANITE CITY"</f>
        <v>000264859 - RICH FOODS NC BB-GRANITE CITY</v>
      </c>
      <c r="C8197" t="s">
        <v>893</v>
      </c>
      <c r="D8197" s="1" t="str">
        <f t="shared" si="228"/>
        <v>PRG-1031505</v>
      </c>
      <c r="E8197" t="s">
        <v>846</v>
      </c>
      <c r="F8197" t="s">
        <v>4</v>
      </c>
      <c r="G8197" t="str">
        <f>""</f>
        <v/>
      </c>
    </row>
    <row r="8198" spans="1:7" x14ac:dyDescent="0.25">
      <c r="A8198" t="s">
        <v>8</v>
      </c>
      <c r="B8198" s="1" t="str">
        <f>"000266430 - RICH FOODS C BB-GRANITE CITY"</f>
        <v>000266430 - RICH FOODS C BB-GRANITE CITY</v>
      </c>
      <c r="C8198" t="s">
        <v>898</v>
      </c>
      <c r="D8198" s="1" t="str">
        <f t="shared" si="228"/>
        <v>PRG-1031505</v>
      </c>
      <c r="E8198" t="s">
        <v>846</v>
      </c>
      <c r="F8198" t="s">
        <v>4</v>
      </c>
      <c r="G8198" t="str">
        <f>""</f>
        <v/>
      </c>
    </row>
    <row r="8199" spans="1:7" x14ac:dyDescent="0.25">
      <c r="A8199" t="s">
        <v>8</v>
      </c>
      <c r="B8199" s="1" t="str">
        <f>"000266882 - RICH FOODS C BB-GRANITE CITY"</f>
        <v>000266882 - RICH FOODS C BB-GRANITE CITY</v>
      </c>
      <c r="C8199" t="s">
        <v>898</v>
      </c>
      <c r="D8199" s="1" t="str">
        <f t="shared" si="228"/>
        <v>PRG-1031505</v>
      </c>
      <c r="E8199" t="s">
        <v>846</v>
      </c>
      <c r="F8199" t="s">
        <v>4</v>
      </c>
      <c r="G8199" t="str">
        <f>""</f>
        <v/>
      </c>
    </row>
    <row r="8200" spans="1:7" x14ac:dyDescent="0.25">
      <c r="A8200" t="s">
        <v>8</v>
      </c>
      <c r="B8200" s="1" t="str">
        <f>"000271974 - "</f>
        <v xml:space="preserve">000271974 - </v>
      </c>
      <c r="D8200" s="1" t="str">
        <f t="shared" si="228"/>
        <v>PRG-1031505</v>
      </c>
      <c r="E8200" t="s">
        <v>846</v>
      </c>
      <c r="F8200" t="s">
        <v>4</v>
      </c>
      <c r="G8200" t="str">
        <f>""</f>
        <v/>
      </c>
    </row>
    <row r="8201" spans="1:7" x14ac:dyDescent="0.25">
      <c r="A8201" t="s">
        <v>8</v>
      </c>
      <c r="B8201" s="1" t="str">
        <f>"000271975 - "</f>
        <v xml:space="preserve">000271975 - </v>
      </c>
      <c r="D8201" s="1" t="str">
        <f t="shared" si="228"/>
        <v>PRG-1031505</v>
      </c>
      <c r="E8201" t="s">
        <v>846</v>
      </c>
      <c r="F8201" t="s">
        <v>4</v>
      </c>
      <c r="G8201" t="str">
        <f>""</f>
        <v/>
      </c>
    </row>
    <row r="8202" spans="1:7" x14ac:dyDescent="0.25">
      <c r="A8202" t="s">
        <v>8</v>
      </c>
      <c r="B8202" s="1" t="str">
        <f>"000274195 - "</f>
        <v xml:space="preserve">000274195 - </v>
      </c>
      <c r="D8202" s="1" t="str">
        <f t="shared" si="228"/>
        <v>PRG-1031505</v>
      </c>
      <c r="E8202" t="s">
        <v>846</v>
      </c>
      <c r="F8202" t="s">
        <v>4</v>
      </c>
      <c r="G8202" t="str">
        <f>""</f>
        <v/>
      </c>
    </row>
    <row r="8203" spans="1:7" x14ac:dyDescent="0.25">
      <c r="A8203" t="s">
        <v>8</v>
      </c>
      <c r="B8203" s="1" t="str">
        <f>"000276032 - CASA DI BERTACCHI-SODEXO"</f>
        <v>000276032 - CASA DI BERTACCHI-SODEXO</v>
      </c>
      <c r="C8203" t="s">
        <v>378</v>
      </c>
      <c r="D8203" s="1" t="str">
        <f t="shared" si="228"/>
        <v>PRG-1031505</v>
      </c>
      <c r="E8203" t="s">
        <v>846</v>
      </c>
      <c r="F8203" t="s">
        <v>4</v>
      </c>
      <c r="G8203" t="str">
        <f>""</f>
        <v/>
      </c>
    </row>
    <row r="8204" spans="1:7" x14ac:dyDescent="0.25">
      <c r="A8204" t="s">
        <v>8</v>
      </c>
      <c r="B8204" s="1" t="str">
        <f>"000283916 - RICH FOODS C-GRANITE CITY"</f>
        <v>000283916 - RICH FOODS C-GRANITE CITY</v>
      </c>
      <c r="C8204" t="s">
        <v>865</v>
      </c>
      <c r="D8204" s="1" t="str">
        <f t="shared" si="228"/>
        <v>PRG-1031505</v>
      </c>
      <c r="E8204" t="s">
        <v>846</v>
      </c>
      <c r="F8204" t="s">
        <v>4</v>
      </c>
      <c r="G8204" t="str">
        <f>""</f>
        <v/>
      </c>
    </row>
    <row r="8205" spans="1:7" x14ac:dyDescent="0.25">
      <c r="A8205" t="s">
        <v>8</v>
      </c>
      <c r="B8205" s="1" t="str">
        <f>"000286132 - RICH FOODS NC BB-GRANITE CITY"</f>
        <v>000286132 - RICH FOODS NC BB-GRANITE CITY</v>
      </c>
      <c r="C8205" t="s">
        <v>893</v>
      </c>
      <c r="D8205" s="1" t="str">
        <f t="shared" si="228"/>
        <v>PRG-1031505</v>
      </c>
      <c r="E8205" t="s">
        <v>846</v>
      </c>
      <c r="F8205" t="s">
        <v>4</v>
      </c>
      <c r="G8205" t="str">
        <f>""</f>
        <v/>
      </c>
    </row>
    <row r="8206" spans="1:7" x14ac:dyDescent="0.25">
      <c r="A8206" t="s">
        <v>8</v>
      </c>
      <c r="B8206" s="1" t="str">
        <f>"000287825 - RICH FOODS C BB-GRANITE CITY"</f>
        <v>000287825 - RICH FOODS C BB-GRANITE CITY</v>
      </c>
      <c r="C8206" t="s">
        <v>898</v>
      </c>
      <c r="D8206" s="1" t="str">
        <f t="shared" si="228"/>
        <v>PRG-1031505</v>
      </c>
      <c r="E8206" t="s">
        <v>846</v>
      </c>
      <c r="F8206" t="s">
        <v>4</v>
      </c>
      <c r="G8206" t="str">
        <f>""</f>
        <v/>
      </c>
    </row>
    <row r="8207" spans="1:7" x14ac:dyDescent="0.25">
      <c r="A8207" t="s">
        <v>8</v>
      </c>
      <c r="B8207" s="1" t="str">
        <f>"000296089 - RICH FOODS NC-GRANITE CITY"</f>
        <v>000296089 - RICH FOODS NC-GRANITE CITY</v>
      </c>
      <c r="C8207" t="s">
        <v>864</v>
      </c>
      <c r="D8207" s="1" t="str">
        <f t="shared" si="228"/>
        <v>PRG-1031505</v>
      </c>
      <c r="E8207" t="s">
        <v>846</v>
      </c>
      <c r="F8207" t="s">
        <v>4</v>
      </c>
      <c r="G8207" t="str">
        <f>""</f>
        <v/>
      </c>
    </row>
    <row r="8208" spans="1:7" x14ac:dyDescent="0.25">
      <c r="A8208" t="s">
        <v>8</v>
      </c>
      <c r="B8208" s="1" t="str">
        <f>"000296090 - RICH FOODS C-GRANITE CITY"</f>
        <v>000296090 - RICH FOODS C-GRANITE CITY</v>
      </c>
      <c r="C8208" t="s">
        <v>865</v>
      </c>
      <c r="D8208" s="1" t="str">
        <f t="shared" si="228"/>
        <v>PRG-1031505</v>
      </c>
      <c r="E8208" t="s">
        <v>846</v>
      </c>
      <c r="F8208" t="s">
        <v>4</v>
      </c>
      <c r="G8208" t="str">
        <f>""</f>
        <v/>
      </c>
    </row>
    <row r="8209" spans="1:7" x14ac:dyDescent="0.25">
      <c r="A8209" t="s">
        <v>8</v>
      </c>
      <c r="B8209" s="1" t="str">
        <f>"000297905 - RICH FOODS NC-GRANITE CITY"</f>
        <v>000297905 - RICH FOODS NC-GRANITE CITY</v>
      </c>
      <c r="C8209" t="s">
        <v>864</v>
      </c>
      <c r="D8209" s="1" t="str">
        <f t="shared" si="228"/>
        <v>PRG-1031505</v>
      </c>
      <c r="E8209" t="s">
        <v>846</v>
      </c>
      <c r="F8209" t="s">
        <v>4</v>
      </c>
      <c r="G8209" t="str">
        <f>""</f>
        <v/>
      </c>
    </row>
    <row r="8210" spans="1:7" x14ac:dyDescent="0.25">
      <c r="A8210" t="s">
        <v>8</v>
      </c>
      <c r="B8210" s="1" t="str">
        <f>"000297906 - RICH FOODS C-GRANITE CITY"</f>
        <v>000297906 - RICH FOODS C-GRANITE CITY</v>
      </c>
      <c r="C8210" t="s">
        <v>865</v>
      </c>
      <c r="D8210" s="1" t="str">
        <f t="shared" si="228"/>
        <v>PRG-1031505</v>
      </c>
      <c r="E8210" t="s">
        <v>846</v>
      </c>
      <c r="F8210" t="s">
        <v>4</v>
      </c>
      <c r="G8210" t="str">
        <f>""</f>
        <v/>
      </c>
    </row>
    <row r="8211" spans="1:7" x14ac:dyDescent="0.25">
      <c r="A8211" t="s">
        <v>8</v>
      </c>
      <c r="B8211" s="1" t="str">
        <f>"000299804 - RICHS FDS NCORE BB-SSS ARAMARK"</f>
        <v>000299804 - RICHS FDS NCORE BB-SSS ARAMARK</v>
      </c>
      <c r="C8211" t="s">
        <v>558</v>
      </c>
      <c r="D8211" s="1" t="str">
        <f t="shared" si="228"/>
        <v>PRG-1031505</v>
      </c>
      <c r="E8211" t="s">
        <v>846</v>
      </c>
      <c r="F8211" t="s">
        <v>4</v>
      </c>
      <c r="G8211" t="str">
        <f>""</f>
        <v/>
      </c>
    </row>
    <row r="8212" spans="1:7" x14ac:dyDescent="0.25">
      <c r="A8212" t="s">
        <v>8</v>
      </c>
      <c r="B8212" s="1" t="str">
        <f>"000301309 - RICH FOODS C BB-GRANITE CITY"</f>
        <v>000301309 - RICH FOODS C BB-GRANITE CITY</v>
      </c>
      <c r="C8212" t="s">
        <v>898</v>
      </c>
      <c r="D8212" s="1" t="str">
        <f t="shared" si="228"/>
        <v>PRG-1031505</v>
      </c>
      <c r="E8212" t="s">
        <v>846</v>
      </c>
      <c r="F8212" t="s">
        <v>4</v>
      </c>
      <c r="G8212" t="str">
        <f>""</f>
        <v/>
      </c>
    </row>
    <row r="8213" spans="1:7" x14ac:dyDescent="0.25">
      <c r="A8213" t="s">
        <v>8</v>
      </c>
      <c r="B8213" s="1" t="str">
        <f>"000309723 - RICH FOODS NC-GRANITE CITY"</f>
        <v>000309723 - RICH FOODS NC-GRANITE CITY</v>
      </c>
      <c r="C8213" t="s">
        <v>864</v>
      </c>
      <c r="D8213" s="1" t="str">
        <f t="shared" si="228"/>
        <v>PRG-1031505</v>
      </c>
      <c r="E8213" t="s">
        <v>846</v>
      </c>
      <c r="F8213" t="s">
        <v>4</v>
      </c>
      <c r="G8213" t="str">
        <f>""</f>
        <v/>
      </c>
    </row>
    <row r="8214" spans="1:7" x14ac:dyDescent="0.25">
      <c r="A8214" t="s">
        <v>8</v>
      </c>
      <c r="B8214" s="1" t="str">
        <f>"000309724 - RICH FOODS C-GRANITE CITY"</f>
        <v>000309724 - RICH FOODS C-GRANITE CITY</v>
      </c>
      <c r="C8214" t="s">
        <v>865</v>
      </c>
      <c r="D8214" s="1" t="str">
        <f t="shared" si="228"/>
        <v>PRG-1031505</v>
      </c>
      <c r="E8214" t="s">
        <v>846</v>
      </c>
      <c r="F8214" t="s">
        <v>4</v>
      </c>
      <c r="G8214" t="str">
        <f>""</f>
        <v/>
      </c>
    </row>
    <row r="8215" spans="1:7" x14ac:dyDescent="0.25">
      <c r="A8215" t="s">
        <v>8</v>
      </c>
      <c r="B8215" s="1" t="str">
        <f>"000312547 - RICH FOODS NC-GRANITE CITY"</f>
        <v>000312547 - RICH FOODS NC-GRANITE CITY</v>
      </c>
      <c r="C8215" t="s">
        <v>864</v>
      </c>
      <c r="D8215" s="1" t="str">
        <f t="shared" si="228"/>
        <v>PRG-1031505</v>
      </c>
      <c r="E8215" t="s">
        <v>846</v>
      </c>
      <c r="F8215" t="s">
        <v>4</v>
      </c>
      <c r="G8215" t="str">
        <f>""</f>
        <v/>
      </c>
    </row>
    <row r="8216" spans="1:7" x14ac:dyDescent="0.25">
      <c r="A8216" t="s">
        <v>8</v>
      </c>
      <c r="B8216" s="1" t="str">
        <f>"000312548 - RICH FOODS C-GRANITE CITY"</f>
        <v>000312548 - RICH FOODS C-GRANITE CITY</v>
      </c>
      <c r="C8216" t="s">
        <v>865</v>
      </c>
      <c r="D8216" s="1" t="str">
        <f t="shared" si="228"/>
        <v>PRG-1031505</v>
      </c>
      <c r="E8216" t="s">
        <v>846</v>
      </c>
      <c r="F8216" t="s">
        <v>4</v>
      </c>
      <c r="G8216" t="str">
        <f>""</f>
        <v/>
      </c>
    </row>
    <row r="8217" spans="1:7" x14ac:dyDescent="0.25">
      <c r="A8217" t="s">
        <v>8</v>
      </c>
      <c r="B8217" s="1" t="str">
        <f>"000315366 - RICH FOODS NC BB-GRANITE CITY"</f>
        <v>000315366 - RICH FOODS NC BB-GRANITE CITY</v>
      </c>
      <c r="C8217" t="s">
        <v>893</v>
      </c>
      <c r="D8217" s="1" t="str">
        <f t="shared" si="228"/>
        <v>PRG-1031505</v>
      </c>
      <c r="E8217" t="s">
        <v>846</v>
      </c>
      <c r="F8217" t="s">
        <v>4</v>
      </c>
      <c r="G8217" t="str">
        <f>""</f>
        <v/>
      </c>
    </row>
    <row r="8218" spans="1:7" x14ac:dyDescent="0.25">
      <c r="A8218" t="s">
        <v>8</v>
      </c>
      <c r="B8218" s="1" t="str">
        <f>"000317884 - RICH FOODS C BB-GRANITE CITY"</f>
        <v>000317884 - RICH FOODS C BB-GRANITE CITY</v>
      </c>
      <c r="C8218" t="s">
        <v>898</v>
      </c>
      <c r="D8218" s="1" t="str">
        <f t="shared" si="228"/>
        <v>PRG-1031505</v>
      </c>
      <c r="E8218" t="s">
        <v>846</v>
      </c>
      <c r="F8218" t="s">
        <v>4</v>
      </c>
      <c r="G8218" t="str">
        <f>""</f>
        <v/>
      </c>
    </row>
    <row r="8219" spans="1:7" x14ac:dyDescent="0.25">
      <c r="A8219" t="s">
        <v>8</v>
      </c>
      <c r="B8219" s="1" t="str">
        <f>"000320856 - "</f>
        <v xml:space="preserve">000320856 - </v>
      </c>
      <c r="D8219" s="1" t="str">
        <f t="shared" si="228"/>
        <v>PRG-1031505</v>
      </c>
      <c r="E8219" t="s">
        <v>846</v>
      </c>
      <c r="F8219" t="s">
        <v>4</v>
      </c>
      <c r="G8219" t="str">
        <f>""</f>
        <v/>
      </c>
    </row>
    <row r="8220" spans="1:7" x14ac:dyDescent="0.25">
      <c r="A8220" t="s">
        <v>8</v>
      </c>
      <c r="B8220" s="1" t="str">
        <f>"000320857 - "</f>
        <v xml:space="preserve">000320857 - </v>
      </c>
      <c r="D8220" s="1" t="str">
        <f t="shared" ref="D8220:D8229" si="229">"PRG-1031505"</f>
        <v>PRG-1031505</v>
      </c>
      <c r="E8220" t="s">
        <v>846</v>
      </c>
      <c r="F8220" t="s">
        <v>4</v>
      </c>
      <c r="G8220" t="str">
        <f>""</f>
        <v/>
      </c>
    </row>
    <row r="8221" spans="1:7" x14ac:dyDescent="0.25">
      <c r="A8221" t="s">
        <v>8</v>
      </c>
      <c r="B8221" s="1" t="str">
        <f>"000323248 - "</f>
        <v xml:space="preserve">000323248 - </v>
      </c>
      <c r="D8221" s="1" t="str">
        <f t="shared" si="229"/>
        <v>PRG-1031505</v>
      </c>
      <c r="E8221" t="s">
        <v>846</v>
      </c>
      <c r="F8221" t="s">
        <v>4</v>
      </c>
      <c r="G8221" t="str">
        <f>""</f>
        <v/>
      </c>
    </row>
    <row r="8222" spans="1:7" x14ac:dyDescent="0.25">
      <c r="A8222" t="s">
        <v>8</v>
      </c>
      <c r="B8222" s="1" t="str">
        <f>"000325232 - "</f>
        <v xml:space="preserve">000325232 - </v>
      </c>
      <c r="D8222" s="1" t="str">
        <f t="shared" si="229"/>
        <v>PRG-1031505</v>
      </c>
      <c r="E8222" t="s">
        <v>846</v>
      </c>
      <c r="F8222" t="s">
        <v>4</v>
      </c>
      <c r="G8222" t="str">
        <f>""</f>
        <v/>
      </c>
    </row>
    <row r="8223" spans="1:7" x14ac:dyDescent="0.25">
      <c r="A8223" t="s">
        <v>8</v>
      </c>
      <c r="B8223" s="1" t="str">
        <f>"000325252 - "</f>
        <v xml:space="preserve">000325252 - </v>
      </c>
      <c r="D8223" s="1" t="str">
        <f t="shared" si="229"/>
        <v>PRG-1031505</v>
      </c>
      <c r="E8223" t="s">
        <v>846</v>
      </c>
      <c r="F8223" t="s">
        <v>4</v>
      </c>
      <c r="G8223" t="str">
        <f>""</f>
        <v/>
      </c>
    </row>
    <row r="8224" spans="1:7" x14ac:dyDescent="0.25">
      <c r="A8224" t="s">
        <v>8</v>
      </c>
      <c r="B8224" s="1" t="str">
        <f>"000344510 - RICH FOODS NC-GRANITE CITY"</f>
        <v>000344510 - RICH FOODS NC-GRANITE CITY</v>
      </c>
      <c r="C8224" t="s">
        <v>864</v>
      </c>
      <c r="D8224" s="1" t="str">
        <f t="shared" si="229"/>
        <v>PRG-1031505</v>
      </c>
      <c r="E8224" t="s">
        <v>846</v>
      </c>
      <c r="F8224" t="s">
        <v>4</v>
      </c>
      <c r="G8224" t="str">
        <f>""</f>
        <v/>
      </c>
    </row>
    <row r="8225" spans="1:7" x14ac:dyDescent="0.25">
      <c r="A8225" t="s">
        <v>8</v>
      </c>
      <c r="B8225" s="1" t="str">
        <f>"000346861 - RICH FOODS NC-GRANITE CITY"</f>
        <v>000346861 - RICH FOODS NC-GRANITE CITY</v>
      </c>
      <c r="C8225" t="s">
        <v>864</v>
      </c>
      <c r="D8225" s="1" t="str">
        <f t="shared" si="229"/>
        <v>PRG-1031505</v>
      </c>
      <c r="E8225" t="s">
        <v>846</v>
      </c>
      <c r="F8225" t="s">
        <v>4</v>
      </c>
      <c r="G8225" t="str">
        <f>""</f>
        <v/>
      </c>
    </row>
    <row r="8226" spans="1:7" x14ac:dyDescent="0.25">
      <c r="A8226" t="s">
        <v>8</v>
      </c>
      <c r="B8226" s="1" t="str">
        <f>"000346862 - RICH FOODS C-GRANITE CITY"</f>
        <v>000346862 - RICH FOODS C-GRANITE CITY</v>
      </c>
      <c r="C8226" t="s">
        <v>865</v>
      </c>
      <c r="D8226" s="1" t="str">
        <f t="shared" si="229"/>
        <v>PRG-1031505</v>
      </c>
      <c r="E8226" t="s">
        <v>846</v>
      </c>
      <c r="F8226" t="s">
        <v>4</v>
      </c>
      <c r="G8226" t="str">
        <f>""</f>
        <v/>
      </c>
    </row>
    <row r="8227" spans="1:7" x14ac:dyDescent="0.25">
      <c r="A8227" t="s">
        <v>8</v>
      </c>
      <c r="B8227" s="1" t="str">
        <f>"000349252 - RICH FOODS NC BB-GRANITE CITY"</f>
        <v>000349252 - RICH FOODS NC BB-GRANITE CITY</v>
      </c>
      <c r="C8227" t="s">
        <v>893</v>
      </c>
      <c r="D8227" s="1" t="str">
        <f t="shared" si="229"/>
        <v>PRG-1031505</v>
      </c>
      <c r="E8227" t="s">
        <v>846</v>
      </c>
      <c r="F8227" t="s">
        <v>4</v>
      </c>
      <c r="G8227" t="str">
        <f>""</f>
        <v/>
      </c>
    </row>
    <row r="8228" spans="1:7" x14ac:dyDescent="0.25">
      <c r="A8228" t="s">
        <v>8</v>
      </c>
      <c r="B8228" s="1" t="str">
        <f>"000351584 - RICH FOODS C BB-GRANITE CITY"</f>
        <v>000351584 - RICH FOODS C BB-GRANITE CITY</v>
      </c>
      <c r="C8228" t="s">
        <v>898</v>
      </c>
      <c r="D8228" s="1" t="str">
        <f t="shared" si="229"/>
        <v>PRG-1031505</v>
      </c>
      <c r="E8228" t="s">
        <v>846</v>
      </c>
      <c r="F8228" t="s">
        <v>4</v>
      </c>
      <c r="G8228" t="str">
        <f>""</f>
        <v/>
      </c>
    </row>
    <row r="8229" spans="1:7" x14ac:dyDescent="0.25">
      <c r="A8229" t="s">
        <v>8</v>
      </c>
      <c r="B8229" s="1" t="str">
        <f>"000355259 - RICHS CORE BB(DPMRETRO)-GRANIT"</f>
        <v>000355259 - RICHS CORE BB(DPMRETRO)-GRANIT</v>
      </c>
      <c r="C8229" t="s">
        <v>908</v>
      </c>
      <c r="D8229" s="1" t="str">
        <f t="shared" si="229"/>
        <v>PRG-1031505</v>
      </c>
      <c r="E8229" t="s">
        <v>846</v>
      </c>
      <c r="F8229" t="s">
        <v>4</v>
      </c>
      <c r="G8229" t="str">
        <f>""</f>
        <v/>
      </c>
    </row>
    <row r="8230" spans="1:7" x14ac:dyDescent="0.25">
      <c r="A8230" t="s">
        <v>8</v>
      </c>
      <c r="B8230" s="1" t="str">
        <f>"000133260 - RICH FDS NCORE BB-FORUM"</f>
        <v>000133260 - RICH FDS NCORE BB-FORUM</v>
      </c>
      <c r="C8230" t="s">
        <v>941</v>
      </c>
      <c r="D8230" s="1" t="str">
        <f t="shared" ref="D8230:D8267" si="230">"PRG-1031558"</f>
        <v>PRG-1031558</v>
      </c>
      <c r="E8230" t="s">
        <v>95</v>
      </c>
      <c r="F8230" t="s">
        <v>4</v>
      </c>
      <c r="G8230" t="str">
        <f>""</f>
        <v/>
      </c>
    </row>
    <row r="8231" spans="1:7" x14ac:dyDescent="0.25">
      <c r="A8231" t="s">
        <v>8</v>
      </c>
      <c r="B8231" s="1" t="str">
        <f>"000133286 - RICH FDS NCORE BB-FORUM"</f>
        <v>000133286 - RICH FDS NCORE BB-FORUM</v>
      </c>
      <c r="C8231" t="s">
        <v>941</v>
      </c>
      <c r="D8231" s="1" t="str">
        <f t="shared" si="230"/>
        <v>PRG-1031558</v>
      </c>
      <c r="E8231" t="s">
        <v>95</v>
      </c>
      <c r="F8231" t="s">
        <v>4</v>
      </c>
      <c r="G8231" t="str">
        <f>""</f>
        <v/>
      </c>
    </row>
    <row r="8232" spans="1:7" x14ac:dyDescent="0.25">
      <c r="A8232" t="s">
        <v>8</v>
      </c>
      <c r="B8232" s="1" t="str">
        <f>"000142240 - RICH FDS NCORE BB-FORUM"</f>
        <v>000142240 - RICH FDS NCORE BB-FORUM</v>
      </c>
      <c r="C8232" t="s">
        <v>941</v>
      </c>
      <c r="D8232" s="1" t="str">
        <f t="shared" si="230"/>
        <v>PRG-1031558</v>
      </c>
      <c r="E8232" t="s">
        <v>95</v>
      </c>
      <c r="F8232" t="s">
        <v>4</v>
      </c>
      <c r="G8232" t="str">
        <f>""</f>
        <v/>
      </c>
    </row>
    <row r="8233" spans="1:7" x14ac:dyDescent="0.25">
      <c r="A8233" t="s">
        <v>8</v>
      </c>
      <c r="B8233" s="1" t="str">
        <f>"000143006 - RICH FOODS NCORE BB-FORUM"</f>
        <v>000143006 - RICH FOODS NCORE BB-FORUM</v>
      </c>
      <c r="C8233" t="s">
        <v>249</v>
      </c>
      <c r="D8233" s="1" t="str">
        <f t="shared" si="230"/>
        <v>PRG-1031558</v>
      </c>
      <c r="E8233" t="s">
        <v>95</v>
      </c>
      <c r="F8233" t="s">
        <v>4</v>
      </c>
      <c r="G8233" t="str">
        <f>""</f>
        <v/>
      </c>
    </row>
    <row r="8234" spans="1:7" x14ac:dyDescent="0.25">
      <c r="A8234" t="s">
        <v>8</v>
      </c>
      <c r="B8234" s="1" t="str">
        <f>"000151273 - RICH FOODS NCORE BB-FORUM"</f>
        <v>000151273 - RICH FOODS NCORE BB-FORUM</v>
      </c>
      <c r="C8234" t="s">
        <v>249</v>
      </c>
      <c r="D8234" s="1" t="str">
        <f t="shared" si="230"/>
        <v>PRG-1031558</v>
      </c>
      <c r="E8234" t="s">
        <v>95</v>
      </c>
      <c r="F8234" t="s">
        <v>4</v>
      </c>
      <c r="G8234" t="str">
        <f>""</f>
        <v/>
      </c>
    </row>
    <row r="8235" spans="1:7" x14ac:dyDescent="0.25">
      <c r="A8235" t="s">
        <v>8</v>
      </c>
      <c r="B8235" s="1" t="str">
        <f>"000219874 - RICH FDS NCORE BB-FORUM"</f>
        <v>000219874 - RICH FDS NCORE BB-FORUM</v>
      </c>
      <c r="C8235" t="s">
        <v>941</v>
      </c>
      <c r="D8235" s="1" t="str">
        <f t="shared" si="230"/>
        <v>PRG-1031558</v>
      </c>
      <c r="E8235" t="s">
        <v>95</v>
      </c>
      <c r="F8235" t="s">
        <v>4</v>
      </c>
      <c r="G8235" t="str">
        <f>""</f>
        <v/>
      </c>
    </row>
    <row r="8236" spans="1:7" x14ac:dyDescent="0.25">
      <c r="A8236" t="s">
        <v>8</v>
      </c>
      <c r="B8236" s="1" t="str">
        <f>"000221864 - BB FORUM FOB RICH"</f>
        <v>000221864 - BB FORUM FOB RICH</v>
      </c>
      <c r="C8236" t="s">
        <v>1613</v>
      </c>
      <c r="D8236" s="1" t="str">
        <f t="shared" si="230"/>
        <v>PRG-1031558</v>
      </c>
      <c r="E8236" t="s">
        <v>95</v>
      </c>
      <c r="F8236" t="s">
        <v>4</v>
      </c>
      <c r="G8236" t="str">
        <f>""</f>
        <v/>
      </c>
    </row>
    <row r="8237" spans="1:7" x14ac:dyDescent="0.25">
      <c r="A8237" t="s">
        <v>8</v>
      </c>
      <c r="B8237" s="1" t="str">
        <f>"000230907 - RICH FDS NCORE BB-FORUM"</f>
        <v>000230907 - RICH FDS NCORE BB-FORUM</v>
      </c>
      <c r="C8237" t="s">
        <v>941</v>
      </c>
      <c r="D8237" s="1" t="str">
        <f t="shared" si="230"/>
        <v>PRG-1031558</v>
      </c>
      <c r="E8237" t="s">
        <v>95</v>
      </c>
      <c r="F8237" t="s">
        <v>4</v>
      </c>
      <c r="G8237" t="str">
        <f>""</f>
        <v/>
      </c>
    </row>
    <row r="8238" spans="1:7" x14ac:dyDescent="0.25">
      <c r="A8238" t="s">
        <v>8</v>
      </c>
      <c r="B8238" s="1" t="str">
        <f>"000231522 - RICH FDS NCORE BB-FORUM"</f>
        <v>000231522 - RICH FDS NCORE BB-FORUM</v>
      </c>
      <c r="C8238" t="s">
        <v>941</v>
      </c>
      <c r="D8238" s="1" t="str">
        <f t="shared" si="230"/>
        <v>PRG-1031558</v>
      </c>
      <c r="E8238" t="s">
        <v>95</v>
      </c>
      <c r="F8238" t="s">
        <v>4</v>
      </c>
      <c r="G8238" t="str">
        <f>""</f>
        <v/>
      </c>
    </row>
    <row r="8239" spans="1:7" x14ac:dyDescent="0.25">
      <c r="A8239" t="s">
        <v>8</v>
      </c>
      <c r="B8239" s="1" t="str">
        <f>"000232206 - RICH FDS NCORE BB-FORUM"</f>
        <v>000232206 - RICH FDS NCORE BB-FORUM</v>
      </c>
      <c r="C8239" t="s">
        <v>941</v>
      </c>
      <c r="D8239" s="1" t="str">
        <f t="shared" si="230"/>
        <v>PRG-1031558</v>
      </c>
      <c r="E8239" t="s">
        <v>95</v>
      </c>
      <c r="F8239" t="s">
        <v>4</v>
      </c>
      <c r="G8239" t="str">
        <f>""</f>
        <v/>
      </c>
    </row>
    <row r="8240" spans="1:7" x14ac:dyDescent="0.25">
      <c r="A8240" t="s">
        <v>8</v>
      </c>
      <c r="B8240" s="1" t="str">
        <f>"000237814 - RICH FDS NCORE BB-FORUM"</f>
        <v>000237814 - RICH FDS NCORE BB-FORUM</v>
      </c>
      <c r="C8240" t="s">
        <v>941</v>
      </c>
      <c r="D8240" s="1" t="str">
        <f t="shared" si="230"/>
        <v>PRG-1031558</v>
      </c>
      <c r="E8240" t="s">
        <v>95</v>
      </c>
      <c r="F8240" t="s">
        <v>4</v>
      </c>
      <c r="G8240" t="str">
        <f>""</f>
        <v/>
      </c>
    </row>
    <row r="8241" spans="1:7" x14ac:dyDescent="0.25">
      <c r="A8241" t="s">
        <v>8</v>
      </c>
      <c r="B8241" s="1" t="str">
        <f>"000239116 - RICH FOODS NCORE BB-FORUM"</f>
        <v>000239116 - RICH FOODS NCORE BB-FORUM</v>
      </c>
      <c r="C8241" t="s">
        <v>249</v>
      </c>
      <c r="D8241" s="1" t="str">
        <f t="shared" si="230"/>
        <v>PRG-1031558</v>
      </c>
      <c r="E8241" t="s">
        <v>95</v>
      </c>
      <c r="F8241" t="s">
        <v>4</v>
      </c>
      <c r="G8241" t="str">
        <f>""</f>
        <v/>
      </c>
    </row>
    <row r="8242" spans="1:7" x14ac:dyDescent="0.25">
      <c r="A8242" t="s">
        <v>8</v>
      </c>
      <c r="B8242" s="1" t="str">
        <f>"000240759 - RICH FOODS NCORE BB-FORUM"</f>
        <v>000240759 - RICH FOODS NCORE BB-FORUM</v>
      </c>
      <c r="C8242" t="s">
        <v>249</v>
      </c>
      <c r="D8242" s="1" t="str">
        <f t="shared" si="230"/>
        <v>PRG-1031558</v>
      </c>
      <c r="E8242" t="s">
        <v>95</v>
      </c>
      <c r="F8242" t="s">
        <v>4</v>
      </c>
      <c r="G8242" t="str">
        <f>""</f>
        <v/>
      </c>
    </row>
    <row r="8243" spans="1:7" x14ac:dyDescent="0.25">
      <c r="A8243" t="s">
        <v>8</v>
      </c>
      <c r="B8243" s="1" t="str">
        <f>"000242180 - "</f>
        <v xml:space="preserve">000242180 - </v>
      </c>
      <c r="D8243" s="1" t="str">
        <f t="shared" si="230"/>
        <v>PRG-1031558</v>
      </c>
      <c r="E8243" t="s">
        <v>95</v>
      </c>
      <c r="F8243" t="s">
        <v>4</v>
      </c>
      <c r="G8243" t="str">
        <f>""</f>
        <v/>
      </c>
    </row>
    <row r="8244" spans="1:7" x14ac:dyDescent="0.25">
      <c r="A8244" t="s">
        <v>8</v>
      </c>
      <c r="B8244" s="1" t="str">
        <f>"000242755 - RICH FDS NCORE BB-FORUM"</f>
        <v>000242755 - RICH FDS NCORE BB-FORUM</v>
      </c>
      <c r="C8244" t="s">
        <v>941</v>
      </c>
      <c r="D8244" s="1" t="str">
        <f t="shared" si="230"/>
        <v>PRG-1031558</v>
      </c>
      <c r="E8244" t="s">
        <v>95</v>
      </c>
      <c r="F8244" t="s">
        <v>4</v>
      </c>
      <c r="G8244" t="str">
        <f>""</f>
        <v/>
      </c>
    </row>
    <row r="8245" spans="1:7" x14ac:dyDescent="0.25">
      <c r="A8245" t="s">
        <v>8</v>
      </c>
      <c r="B8245" s="1" t="str">
        <f>"000242854 - RICH FOODS NCORE BB-FORUM"</f>
        <v>000242854 - RICH FOODS NCORE BB-FORUM</v>
      </c>
      <c r="C8245" t="s">
        <v>249</v>
      </c>
      <c r="D8245" s="1" t="str">
        <f t="shared" si="230"/>
        <v>PRG-1031558</v>
      </c>
      <c r="E8245" t="s">
        <v>95</v>
      </c>
      <c r="F8245" t="s">
        <v>4</v>
      </c>
      <c r="G8245" t="str">
        <f>""</f>
        <v/>
      </c>
    </row>
    <row r="8246" spans="1:7" x14ac:dyDescent="0.25">
      <c r="A8246" t="s">
        <v>8</v>
      </c>
      <c r="B8246" s="1" t="str">
        <f>"000243829 - RICH FDS BB-FORUM"</f>
        <v>000243829 - RICH FDS BB-FORUM</v>
      </c>
      <c r="C8246" t="s">
        <v>1961</v>
      </c>
      <c r="D8246" s="1" t="str">
        <f t="shared" si="230"/>
        <v>PRG-1031558</v>
      </c>
      <c r="E8246" t="s">
        <v>95</v>
      </c>
      <c r="F8246" t="s">
        <v>4</v>
      </c>
      <c r="G8246" t="str">
        <f>""</f>
        <v/>
      </c>
    </row>
    <row r="8247" spans="1:7" x14ac:dyDescent="0.25">
      <c r="A8247" t="s">
        <v>8</v>
      </c>
      <c r="B8247" s="1" t="str">
        <f>"000247422 - RICH FDS NCORE BB-FORUM"</f>
        <v>000247422 - RICH FDS NCORE BB-FORUM</v>
      </c>
      <c r="C8247" t="s">
        <v>941</v>
      </c>
      <c r="D8247" s="1" t="str">
        <f t="shared" si="230"/>
        <v>PRG-1031558</v>
      </c>
      <c r="E8247" t="s">
        <v>95</v>
      </c>
      <c r="F8247" t="s">
        <v>4</v>
      </c>
      <c r="G8247" t="str">
        <f>""</f>
        <v/>
      </c>
    </row>
    <row r="8248" spans="1:7" x14ac:dyDescent="0.25">
      <c r="A8248" t="s">
        <v>8</v>
      </c>
      <c r="B8248" s="1" t="str">
        <f>"000247464 - RICH FOODS NCORE BB-FORUM"</f>
        <v>000247464 - RICH FOODS NCORE BB-FORUM</v>
      </c>
      <c r="C8248" t="s">
        <v>249</v>
      </c>
      <c r="D8248" s="1" t="str">
        <f t="shared" si="230"/>
        <v>PRG-1031558</v>
      </c>
      <c r="E8248" t="s">
        <v>95</v>
      </c>
      <c r="F8248" t="s">
        <v>4</v>
      </c>
      <c r="G8248" t="str">
        <f>""</f>
        <v/>
      </c>
    </row>
    <row r="8249" spans="1:7" x14ac:dyDescent="0.25">
      <c r="A8249" t="s">
        <v>8</v>
      </c>
      <c r="B8249" s="1" t="str">
        <f>"000251970 - RICH FOODS NCORE BB-FORUM"</f>
        <v>000251970 - RICH FOODS NCORE BB-FORUM</v>
      </c>
      <c r="C8249" t="s">
        <v>249</v>
      </c>
      <c r="D8249" s="1" t="str">
        <f t="shared" si="230"/>
        <v>PRG-1031558</v>
      </c>
      <c r="E8249" t="s">
        <v>95</v>
      </c>
      <c r="F8249" t="s">
        <v>4</v>
      </c>
      <c r="G8249" t="str">
        <f>""</f>
        <v/>
      </c>
    </row>
    <row r="8250" spans="1:7" x14ac:dyDescent="0.25">
      <c r="A8250" t="s">
        <v>8</v>
      </c>
      <c r="B8250" s="1" t="str">
        <f>"000252663 - RICH FDS NCORE BB-FORUM"</f>
        <v>000252663 - RICH FDS NCORE BB-FORUM</v>
      </c>
      <c r="C8250" t="s">
        <v>941</v>
      </c>
      <c r="D8250" s="1" t="str">
        <f t="shared" si="230"/>
        <v>PRG-1031558</v>
      </c>
      <c r="E8250" t="s">
        <v>95</v>
      </c>
      <c r="F8250" t="s">
        <v>4</v>
      </c>
      <c r="G8250" t="str">
        <f>""</f>
        <v/>
      </c>
    </row>
    <row r="8251" spans="1:7" x14ac:dyDescent="0.25">
      <c r="A8251" t="s">
        <v>8</v>
      </c>
      <c r="B8251" s="1" t="str">
        <f>"000253392 - RICH FDS NCORE BB-FORUM"</f>
        <v>000253392 - RICH FDS NCORE BB-FORUM</v>
      </c>
      <c r="C8251" t="s">
        <v>941</v>
      </c>
      <c r="D8251" s="1" t="str">
        <f t="shared" si="230"/>
        <v>PRG-1031558</v>
      </c>
      <c r="E8251" t="s">
        <v>95</v>
      </c>
      <c r="F8251" t="s">
        <v>4</v>
      </c>
      <c r="G8251" t="str">
        <f>""</f>
        <v/>
      </c>
    </row>
    <row r="8252" spans="1:7" x14ac:dyDescent="0.25">
      <c r="A8252" t="s">
        <v>8</v>
      </c>
      <c r="B8252" s="1" t="str">
        <f>"000255275 - RICH FDS NCORE BB-FORUM"</f>
        <v>000255275 - RICH FDS NCORE BB-FORUM</v>
      </c>
      <c r="C8252" t="s">
        <v>941</v>
      </c>
      <c r="D8252" s="1" t="str">
        <f t="shared" si="230"/>
        <v>PRG-1031558</v>
      </c>
      <c r="E8252" t="s">
        <v>95</v>
      </c>
      <c r="F8252" t="s">
        <v>4</v>
      </c>
      <c r="G8252" t="str">
        <f>""</f>
        <v/>
      </c>
    </row>
    <row r="8253" spans="1:7" x14ac:dyDescent="0.25">
      <c r="A8253" t="s">
        <v>8</v>
      </c>
      <c r="B8253" s="1" t="str">
        <f>"000259988 - RICH FOODS NCORE BB-FORUM"</f>
        <v>000259988 - RICH FOODS NCORE BB-FORUM</v>
      </c>
      <c r="C8253" t="s">
        <v>249</v>
      </c>
      <c r="D8253" s="1" t="str">
        <f t="shared" si="230"/>
        <v>PRG-1031558</v>
      </c>
      <c r="E8253" t="s">
        <v>95</v>
      </c>
      <c r="F8253" t="s">
        <v>4</v>
      </c>
      <c r="G8253" t="str">
        <f>""</f>
        <v/>
      </c>
    </row>
    <row r="8254" spans="1:7" x14ac:dyDescent="0.25">
      <c r="A8254" t="s">
        <v>8</v>
      </c>
      <c r="B8254" s="1" t="str">
        <f>"000262524 - RICH FDS NCORE BB-FORUM"</f>
        <v>000262524 - RICH FDS NCORE BB-FORUM</v>
      </c>
      <c r="C8254" t="s">
        <v>941</v>
      </c>
      <c r="D8254" s="1" t="str">
        <f t="shared" si="230"/>
        <v>PRG-1031558</v>
      </c>
      <c r="E8254" t="s">
        <v>95</v>
      </c>
      <c r="F8254" t="s">
        <v>4</v>
      </c>
      <c r="G8254" t="str">
        <f>""</f>
        <v/>
      </c>
    </row>
    <row r="8255" spans="1:7" x14ac:dyDescent="0.25">
      <c r="A8255" t="s">
        <v>8</v>
      </c>
      <c r="B8255" s="1" t="str">
        <f>"000263784 - RICH FDS NCORE BB-FORUM"</f>
        <v>000263784 - RICH FDS NCORE BB-FORUM</v>
      </c>
      <c r="C8255" t="s">
        <v>941</v>
      </c>
      <c r="D8255" s="1" t="str">
        <f t="shared" si="230"/>
        <v>PRG-1031558</v>
      </c>
      <c r="E8255" t="s">
        <v>95</v>
      </c>
      <c r="F8255" t="s">
        <v>4</v>
      </c>
      <c r="G8255" t="str">
        <f>""</f>
        <v/>
      </c>
    </row>
    <row r="8256" spans="1:7" x14ac:dyDescent="0.25">
      <c r="A8256" t="s">
        <v>8</v>
      </c>
      <c r="B8256" s="1" t="str">
        <f>"000264427 - RICH FOODS NCORE BB-FORUM"</f>
        <v>000264427 - RICH FOODS NCORE BB-FORUM</v>
      </c>
      <c r="C8256" t="s">
        <v>249</v>
      </c>
      <c r="D8256" s="1" t="str">
        <f t="shared" si="230"/>
        <v>PRG-1031558</v>
      </c>
      <c r="E8256" t="s">
        <v>95</v>
      </c>
      <c r="F8256" t="s">
        <v>4</v>
      </c>
      <c r="G8256" t="str">
        <f>""</f>
        <v/>
      </c>
    </row>
    <row r="8257" spans="1:7" x14ac:dyDescent="0.25">
      <c r="A8257" t="s">
        <v>8</v>
      </c>
      <c r="B8257" s="1" t="str">
        <f>"000264624 - RICH FOODS NCORE BB-FORUM"</f>
        <v>000264624 - RICH FOODS NCORE BB-FORUM</v>
      </c>
      <c r="C8257" t="s">
        <v>249</v>
      </c>
      <c r="D8257" s="1" t="str">
        <f t="shared" si="230"/>
        <v>PRG-1031558</v>
      </c>
      <c r="E8257" t="s">
        <v>95</v>
      </c>
      <c r="F8257" t="s">
        <v>4</v>
      </c>
      <c r="G8257" t="str">
        <f>""</f>
        <v/>
      </c>
    </row>
    <row r="8258" spans="1:7" x14ac:dyDescent="0.25">
      <c r="A8258" t="s">
        <v>8</v>
      </c>
      <c r="B8258" s="1" t="str">
        <f>"000265891 - RICH FOODS NCORE BB-FORUM"</f>
        <v>000265891 - RICH FOODS NCORE BB-FORUM</v>
      </c>
      <c r="C8258" t="s">
        <v>249</v>
      </c>
      <c r="D8258" s="1" t="str">
        <f t="shared" si="230"/>
        <v>PRG-1031558</v>
      </c>
      <c r="E8258" t="s">
        <v>95</v>
      </c>
      <c r="F8258" t="s">
        <v>4</v>
      </c>
      <c r="G8258" t="str">
        <f>""</f>
        <v/>
      </c>
    </row>
    <row r="8259" spans="1:7" x14ac:dyDescent="0.25">
      <c r="A8259" t="s">
        <v>8</v>
      </c>
      <c r="B8259" s="1" t="str">
        <f>"000271698 - RICH FOODS NCORE BB-FORUM"</f>
        <v>000271698 - RICH FOODS NCORE BB-FORUM</v>
      </c>
      <c r="C8259" t="s">
        <v>249</v>
      </c>
      <c r="D8259" s="1" t="str">
        <f t="shared" si="230"/>
        <v>PRG-1031558</v>
      </c>
      <c r="E8259" t="s">
        <v>95</v>
      </c>
      <c r="F8259" t="s">
        <v>4</v>
      </c>
      <c r="G8259" t="str">
        <f>""</f>
        <v/>
      </c>
    </row>
    <row r="8260" spans="1:7" x14ac:dyDescent="0.25">
      <c r="A8260" t="s">
        <v>8</v>
      </c>
      <c r="B8260" s="1" t="str">
        <f>"000298981 - RICH FDS NCORE BB-FORUM"</f>
        <v>000298981 - RICH FDS NCORE BB-FORUM</v>
      </c>
      <c r="C8260" t="s">
        <v>941</v>
      </c>
      <c r="D8260" s="1" t="str">
        <f t="shared" si="230"/>
        <v>PRG-1031558</v>
      </c>
      <c r="E8260" t="s">
        <v>95</v>
      </c>
      <c r="F8260" t="s">
        <v>4</v>
      </c>
      <c r="G8260" t="str">
        <f>""</f>
        <v/>
      </c>
    </row>
    <row r="8261" spans="1:7" x14ac:dyDescent="0.25">
      <c r="A8261" t="s">
        <v>8</v>
      </c>
      <c r="B8261" s="1" t="str">
        <f>"000303097 - "</f>
        <v xml:space="preserve">000303097 - </v>
      </c>
      <c r="D8261" s="1" t="str">
        <f t="shared" si="230"/>
        <v>PRG-1031558</v>
      </c>
      <c r="E8261" t="s">
        <v>95</v>
      </c>
      <c r="F8261" t="s">
        <v>4</v>
      </c>
      <c r="G8261" t="str">
        <f>""</f>
        <v/>
      </c>
    </row>
    <row r="8262" spans="1:7" x14ac:dyDescent="0.25">
      <c r="A8262" t="s">
        <v>8</v>
      </c>
      <c r="B8262" s="1" t="str">
        <f>"000314221 - RICH FOODS NCORE BB-FORUM"</f>
        <v>000314221 - RICH FOODS NCORE BB-FORUM</v>
      </c>
      <c r="C8262" t="s">
        <v>249</v>
      </c>
      <c r="D8262" s="1" t="str">
        <f t="shared" si="230"/>
        <v>PRG-1031558</v>
      </c>
      <c r="E8262" t="s">
        <v>95</v>
      </c>
      <c r="F8262" t="s">
        <v>4</v>
      </c>
      <c r="G8262" t="str">
        <f>""</f>
        <v/>
      </c>
    </row>
    <row r="8263" spans="1:7" x14ac:dyDescent="0.25">
      <c r="A8263" t="s">
        <v>8</v>
      </c>
      <c r="B8263" s="1" t="str">
        <f>"000320507 - "</f>
        <v xml:space="preserve">000320507 - </v>
      </c>
      <c r="D8263" s="1" t="str">
        <f t="shared" si="230"/>
        <v>PRG-1031558</v>
      </c>
      <c r="E8263" t="s">
        <v>95</v>
      </c>
      <c r="F8263" t="s">
        <v>4</v>
      </c>
      <c r="G8263" t="str">
        <f>""</f>
        <v/>
      </c>
    </row>
    <row r="8264" spans="1:7" x14ac:dyDescent="0.25">
      <c r="A8264" t="s">
        <v>8</v>
      </c>
      <c r="B8264" s="1" t="str">
        <f>"000336937 - RICH FOODS NONCORE-FORUM"</f>
        <v>000336937 - RICH FOODS NONCORE-FORUM</v>
      </c>
      <c r="C8264" t="s">
        <v>919</v>
      </c>
      <c r="D8264" s="1" t="str">
        <f t="shared" si="230"/>
        <v>PRG-1031558</v>
      </c>
      <c r="E8264" t="s">
        <v>95</v>
      </c>
      <c r="F8264" t="s">
        <v>4</v>
      </c>
      <c r="G8264" t="str">
        <f>""</f>
        <v/>
      </c>
    </row>
    <row r="8265" spans="1:7" x14ac:dyDescent="0.25">
      <c r="A8265" t="s">
        <v>8</v>
      </c>
      <c r="B8265" s="1" t="str">
        <f>"000361427 - RICH FDS NCORE BB-FORUM"</f>
        <v>000361427 - RICH FDS NCORE BB-FORUM</v>
      </c>
      <c r="C8265" t="s">
        <v>941</v>
      </c>
      <c r="D8265" s="1" t="str">
        <f t="shared" si="230"/>
        <v>PRG-1031558</v>
      </c>
      <c r="E8265" t="s">
        <v>95</v>
      </c>
      <c r="F8265" t="s">
        <v>4</v>
      </c>
      <c r="G8265" t="str">
        <f>""</f>
        <v/>
      </c>
    </row>
    <row r="8266" spans="1:7" x14ac:dyDescent="0.25">
      <c r="A8266" t="s">
        <v>8</v>
      </c>
      <c r="B8266" s="1" t="str">
        <f>"2000331960 - RICH FOODS-FORUM"</f>
        <v>2000331960 - RICH FOODS-FORUM</v>
      </c>
      <c r="C8266" t="s">
        <v>94</v>
      </c>
      <c r="D8266" s="1" t="str">
        <f t="shared" si="230"/>
        <v>PRG-1031558</v>
      </c>
      <c r="E8266" t="s">
        <v>95</v>
      </c>
      <c r="F8266" t="s">
        <v>4</v>
      </c>
      <c r="G8266" t="str">
        <f>""</f>
        <v/>
      </c>
    </row>
    <row r="8267" spans="1:7" x14ac:dyDescent="0.25">
      <c r="A8267" t="s">
        <v>8</v>
      </c>
      <c r="B8267" s="1" t="str">
        <f>"2000384063 - RICH FOODS-FORUM"</f>
        <v>2000384063 - RICH FOODS-FORUM</v>
      </c>
      <c r="C8267" t="s">
        <v>94</v>
      </c>
      <c r="D8267" s="1" t="str">
        <f t="shared" si="230"/>
        <v>PRG-1031558</v>
      </c>
      <c r="E8267" t="s">
        <v>95</v>
      </c>
      <c r="F8267" t="s">
        <v>4</v>
      </c>
      <c r="G8267" t="str">
        <f>""</f>
        <v/>
      </c>
    </row>
    <row r="8268" spans="1:7" x14ac:dyDescent="0.25">
      <c r="A8268" t="s">
        <v>8</v>
      </c>
      <c r="B8268" s="1" t="str">
        <f>"000172313 - RICHS-FORUM"</f>
        <v>000172313 - RICHS-FORUM</v>
      </c>
      <c r="C8268" t="s">
        <v>389</v>
      </c>
      <c r="D8268" s="1" t="str">
        <f>"PRG-1031559"</f>
        <v>PRG-1031559</v>
      </c>
      <c r="E8268" t="s">
        <v>1106</v>
      </c>
      <c r="F8268" t="s">
        <v>4</v>
      </c>
      <c r="G8268" t="str">
        <f>""</f>
        <v/>
      </c>
    </row>
    <row r="8269" spans="1:7" x14ac:dyDescent="0.25">
      <c r="A8269" t="s">
        <v>8</v>
      </c>
      <c r="B8269" s="1" t="str">
        <f>"000271309 - RICHS-FORUM"</f>
        <v>000271309 - RICHS-FORUM</v>
      </c>
      <c r="C8269" t="s">
        <v>389</v>
      </c>
      <c r="D8269" s="1" t="str">
        <f>"PRG-1031559"</f>
        <v>PRG-1031559</v>
      </c>
      <c r="E8269" t="s">
        <v>1106</v>
      </c>
      <c r="F8269" t="s">
        <v>4</v>
      </c>
      <c r="G8269" t="str">
        <f>""</f>
        <v/>
      </c>
    </row>
    <row r="8270" spans="1:7" x14ac:dyDescent="0.25">
      <c r="A8270" t="s">
        <v>8</v>
      </c>
      <c r="B8270" s="1" t="str">
        <f>"000294041 - RICH'S LE SAIGON"</f>
        <v>000294041 - RICH'S LE SAIGON</v>
      </c>
      <c r="C8270" t="s">
        <v>2883</v>
      </c>
      <c r="D8270" s="1" t="str">
        <f>"PRG-1031581"</f>
        <v>PRG-1031581</v>
      </c>
      <c r="E8270" t="s">
        <v>2884</v>
      </c>
      <c r="F8270" t="s">
        <v>4</v>
      </c>
      <c r="G8270" t="str">
        <f>""</f>
        <v/>
      </c>
    </row>
    <row r="8271" spans="1:7" x14ac:dyDescent="0.25">
      <c r="A8271" t="s">
        <v>8</v>
      </c>
      <c r="B8271" s="1" t="str">
        <f>"2000337164 - RICH'S-PINNACLE PEAK GENERAL STORE"</f>
        <v>2000337164 - RICH'S-PINNACLE PEAK GENERAL STORE</v>
      </c>
      <c r="C8271" t="s">
        <v>4040</v>
      </c>
      <c r="D8271" s="1" t="str">
        <f>"PRG-1031596"</f>
        <v>PRG-1031596</v>
      </c>
      <c r="E8271" t="s">
        <v>4041</v>
      </c>
      <c r="F8271" t="s">
        <v>4</v>
      </c>
      <c r="G8271" t="str">
        <f>""</f>
        <v/>
      </c>
    </row>
    <row r="8272" spans="1:7" x14ac:dyDescent="0.25">
      <c r="A8272" t="s">
        <v>8</v>
      </c>
      <c r="B8272" s="1" t="str">
        <f>"000139352 - RICH PRODUCTS-LA MADELEINE"</f>
        <v>000139352 - RICH PRODUCTS-LA MADELEINE</v>
      </c>
      <c r="C8272" t="s">
        <v>139</v>
      </c>
      <c r="D8272" s="1" t="str">
        <f t="shared" ref="D8272:D8292" si="231">"PRG-1031614"</f>
        <v>PRG-1031614</v>
      </c>
      <c r="E8272" t="s">
        <v>975</v>
      </c>
      <c r="F8272" t="s">
        <v>4</v>
      </c>
      <c r="G8272" t="str">
        <f>""</f>
        <v/>
      </c>
    </row>
    <row r="8273" spans="1:7" x14ac:dyDescent="0.25">
      <c r="A8273" t="s">
        <v>8</v>
      </c>
      <c r="B8273" s="1" t="str">
        <f>"000203348 - RICH FOODS- MIMI CAFE"</f>
        <v>000203348 - RICH FOODS- MIMI CAFE</v>
      </c>
      <c r="C8273" t="s">
        <v>217</v>
      </c>
      <c r="D8273" s="1" t="str">
        <f t="shared" si="231"/>
        <v>PRG-1031614</v>
      </c>
      <c r="E8273" t="s">
        <v>975</v>
      </c>
      <c r="F8273" t="s">
        <v>4</v>
      </c>
      <c r="G8273" t="str">
        <f>""</f>
        <v/>
      </c>
    </row>
    <row r="8274" spans="1:7" x14ac:dyDescent="0.25">
      <c r="A8274" t="s">
        <v>8</v>
      </c>
      <c r="B8274" s="1" t="str">
        <f>"000203350 - RICH FOODS  MIMI CAFE"</f>
        <v>000203350 - RICH FOODS  MIMI CAFE</v>
      </c>
      <c r="C8274" t="s">
        <v>1336</v>
      </c>
      <c r="D8274" s="1" t="str">
        <f t="shared" si="231"/>
        <v>PRG-1031614</v>
      </c>
      <c r="E8274" t="s">
        <v>975</v>
      </c>
      <c r="F8274" t="s">
        <v>4</v>
      </c>
      <c r="G8274" t="str">
        <f>""</f>
        <v/>
      </c>
    </row>
    <row r="8275" spans="1:7" x14ac:dyDescent="0.25">
      <c r="A8275" t="s">
        <v>8</v>
      </c>
      <c r="B8275" s="1" t="str">
        <f>"000212560 - RICH FOODS- MIMI CAFE"</f>
        <v>000212560 - RICH FOODS- MIMI CAFE</v>
      </c>
      <c r="C8275" t="s">
        <v>217</v>
      </c>
      <c r="D8275" s="1" t="str">
        <f t="shared" si="231"/>
        <v>PRG-1031614</v>
      </c>
      <c r="E8275" t="s">
        <v>975</v>
      </c>
      <c r="F8275" t="s">
        <v>4</v>
      </c>
      <c r="G8275" t="str">
        <f>""</f>
        <v/>
      </c>
    </row>
    <row r="8276" spans="1:7" x14ac:dyDescent="0.25">
      <c r="A8276" t="s">
        <v>8</v>
      </c>
      <c r="B8276" s="1" t="str">
        <f>"000240328 - RICH PRODUCTS-LA MADELEINE"</f>
        <v>000240328 - RICH PRODUCTS-LA MADELEINE</v>
      </c>
      <c r="C8276" t="s">
        <v>139</v>
      </c>
      <c r="D8276" s="1" t="str">
        <f t="shared" si="231"/>
        <v>PRG-1031614</v>
      </c>
      <c r="E8276" t="s">
        <v>975</v>
      </c>
      <c r="F8276" t="s">
        <v>4</v>
      </c>
      <c r="G8276" t="str">
        <f>""</f>
        <v/>
      </c>
    </row>
    <row r="8277" spans="1:7" x14ac:dyDescent="0.25">
      <c r="A8277" t="s">
        <v>8</v>
      </c>
      <c r="B8277" s="1" t="str">
        <f>"000254066 - RICH FOODS- MIMI CAFE"</f>
        <v>000254066 - RICH FOODS- MIMI CAFE</v>
      </c>
      <c r="C8277" t="s">
        <v>217</v>
      </c>
      <c r="D8277" s="1" t="str">
        <f t="shared" si="231"/>
        <v>PRG-1031614</v>
      </c>
      <c r="E8277" t="s">
        <v>975</v>
      </c>
      <c r="F8277" t="s">
        <v>4</v>
      </c>
      <c r="G8277" t="str">
        <f>""</f>
        <v/>
      </c>
    </row>
    <row r="8278" spans="1:7" x14ac:dyDescent="0.25">
      <c r="A8278" t="s">
        <v>8</v>
      </c>
      <c r="B8278" s="1" t="str">
        <f>"000254383 - RICH FOODS- MIMI CAFE"</f>
        <v>000254383 - RICH FOODS- MIMI CAFE</v>
      </c>
      <c r="C8278" t="s">
        <v>217</v>
      </c>
      <c r="D8278" s="1" t="str">
        <f t="shared" si="231"/>
        <v>PRG-1031614</v>
      </c>
      <c r="E8278" t="s">
        <v>975</v>
      </c>
      <c r="F8278" t="s">
        <v>4</v>
      </c>
      <c r="G8278" t="str">
        <f>""</f>
        <v/>
      </c>
    </row>
    <row r="8279" spans="1:7" x14ac:dyDescent="0.25">
      <c r="A8279" t="s">
        <v>8</v>
      </c>
      <c r="B8279" s="1" t="str">
        <f>"000262764 - RICH FOODS- MIMI CAFE"</f>
        <v>000262764 - RICH FOODS- MIMI CAFE</v>
      </c>
      <c r="C8279" t="s">
        <v>217</v>
      </c>
      <c r="D8279" s="1" t="str">
        <f t="shared" si="231"/>
        <v>PRG-1031614</v>
      </c>
      <c r="E8279" t="s">
        <v>975</v>
      </c>
      <c r="F8279" t="s">
        <v>4</v>
      </c>
      <c r="G8279" t="str">
        <f>""</f>
        <v/>
      </c>
    </row>
    <row r="8280" spans="1:7" x14ac:dyDescent="0.25">
      <c r="A8280" t="s">
        <v>8</v>
      </c>
      <c r="B8280" s="1" t="str">
        <f>"000272711 - "</f>
        <v xml:space="preserve">000272711 - </v>
      </c>
      <c r="D8280" s="1" t="str">
        <f t="shared" si="231"/>
        <v>PRG-1031614</v>
      </c>
      <c r="E8280" t="s">
        <v>975</v>
      </c>
      <c r="F8280" t="s">
        <v>4</v>
      </c>
      <c r="G8280" t="str">
        <f>""</f>
        <v/>
      </c>
    </row>
    <row r="8281" spans="1:7" x14ac:dyDescent="0.25">
      <c r="A8281" t="s">
        <v>8</v>
      </c>
      <c r="B8281" s="1" t="str">
        <f>"000282038 - "</f>
        <v xml:space="preserve">000282038 - </v>
      </c>
      <c r="D8281" s="1" t="str">
        <f t="shared" si="231"/>
        <v>PRG-1031614</v>
      </c>
      <c r="E8281" t="s">
        <v>975</v>
      </c>
      <c r="F8281" t="s">
        <v>4</v>
      </c>
      <c r="G8281" t="str">
        <f>""</f>
        <v/>
      </c>
    </row>
    <row r="8282" spans="1:7" x14ac:dyDescent="0.25">
      <c r="A8282" t="s">
        <v>8</v>
      </c>
      <c r="B8282" s="1" t="str">
        <f>"000294822 - RICH PRODUCTS-LA MADELEINE"</f>
        <v>000294822 - RICH PRODUCTS-LA MADELEINE</v>
      </c>
      <c r="C8282" t="s">
        <v>139</v>
      </c>
      <c r="D8282" s="1" t="str">
        <f t="shared" si="231"/>
        <v>PRG-1031614</v>
      </c>
      <c r="E8282" t="s">
        <v>975</v>
      </c>
      <c r="F8282" t="s">
        <v>4</v>
      </c>
      <c r="G8282" t="str">
        <f>""</f>
        <v/>
      </c>
    </row>
    <row r="8283" spans="1:7" x14ac:dyDescent="0.25">
      <c r="A8283" t="s">
        <v>8</v>
      </c>
      <c r="B8283" s="1" t="str">
        <f>"000305813 - RICH PRODUCTS-LA MADELEINE"</f>
        <v>000305813 - RICH PRODUCTS-LA MADELEINE</v>
      </c>
      <c r="C8283" t="s">
        <v>139</v>
      </c>
      <c r="D8283" s="1" t="str">
        <f t="shared" si="231"/>
        <v>PRG-1031614</v>
      </c>
      <c r="E8283" t="s">
        <v>975</v>
      </c>
      <c r="F8283" t="s">
        <v>4</v>
      </c>
      <c r="G8283" t="str">
        <f>""</f>
        <v/>
      </c>
    </row>
    <row r="8284" spans="1:7" x14ac:dyDescent="0.25">
      <c r="A8284" t="s">
        <v>8</v>
      </c>
      <c r="B8284" s="1" t="str">
        <f>"000316664 - RICH PRODUCTS-LA MADELEINE"</f>
        <v>000316664 - RICH PRODUCTS-LA MADELEINE</v>
      </c>
      <c r="C8284" t="s">
        <v>139</v>
      </c>
      <c r="D8284" s="1" t="str">
        <f t="shared" si="231"/>
        <v>PRG-1031614</v>
      </c>
      <c r="E8284" t="s">
        <v>975</v>
      </c>
      <c r="F8284" t="s">
        <v>4</v>
      </c>
      <c r="G8284" t="str">
        <f>""</f>
        <v/>
      </c>
    </row>
    <row r="8285" spans="1:7" x14ac:dyDescent="0.25">
      <c r="A8285" t="s">
        <v>8</v>
      </c>
      <c r="B8285" s="1" t="str">
        <f>"000321930 - RICH FOODS- MIMI CAFE"</f>
        <v>000321930 - RICH FOODS- MIMI CAFE</v>
      </c>
      <c r="C8285" t="s">
        <v>217</v>
      </c>
      <c r="D8285" s="1" t="str">
        <f t="shared" si="231"/>
        <v>PRG-1031614</v>
      </c>
      <c r="E8285" t="s">
        <v>975</v>
      </c>
      <c r="F8285" t="s">
        <v>4</v>
      </c>
      <c r="G8285" t="str">
        <f>""</f>
        <v/>
      </c>
    </row>
    <row r="8286" spans="1:7" x14ac:dyDescent="0.25">
      <c r="A8286" t="s">
        <v>8</v>
      </c>
      <c r="B8286" s="1" t="str">
        <f>"000327144 - RICH PRODUCTS-LA MADELEINE"</f>
        <v>000327144 - RICH PRODUCTS-LA MADELEINE</v>
      </c>
      <c r="C8286" t="s">
        <v>139</v>
      </c>
      <c r="D8286" s="1" t="str">
        <f t="shared" si="231"/>
        <v>PRG-1031614</v>
      </c>
      <c r="E8286" t="s">
        <v>975</v>
      </c>
      <c r="F8286" t="s">
        <v>4</v>
      </c>
      <c r="G8286" t="str">
        <f>""</f>
        <v/>
      </c>
    </row>
    <row r="8287" spans="1:7" x14ac:dyDescent="0.25">
      <c r="A8287" t="s">
        <v>8</v>
      </c>
      <c r="B8287" s="1" t="str">
        <f>"000331991 - RICH FOODS- MIMI CAFE"</f>
        <v>000331991 - RICH FOODS- MIMI CAFE</v>
      </c>
      <c r="C8287" t="s">
        <v>217</v>
      </c>
      <c r="D8287" s="1" t="str">
        <f t="shared" si="231"/>
        <v>PRG-1031614</v>
      </c>
      <c r="E8287" t="s">
        <v>975</v>
      </c>
      <c r="F8287" t="s">
        <v>4</v>
      </c>
      <c r="G8287" t="str">
        <f>""</f>
        <v/>
      </c>
    </row>
    <row r="8288" spans="1:7" x14ac:dyDescent="0.25">
      <c r="A8288" t="s">
        <v>8</v>
      </c>
      <c r="B8288" s="1" t="str">
        <f>"000363300 - RICH FOODS- MIMI CAFE"</f>
        <v>000363300 - RICH FOODS- MIMI CAFE</v>
      </c>
      <c r="C8288" t="s">
        <v>217</v>
      </c>
      <c r="D8288" s="1" t="str">
        <f t="shared" si="231"/>
        <v>PRG-1031614</v>
      </c>
      <c r="E8288" t="s">
        <v>975</v>
      </c>
      <c r="F8288" t="s">
        <v>4</v>
      </c>
      <c r="G8288" t="str">
        <f>""</f>
        <v/>
      </c>
    </row>
    <row r="8289" spans="1:7" x14ac:dyDescent="0.25">
      <c r="A8289" t="s">
        <v>8</v>
      </c>
      <c r="B8289" s="1" t="str">
        <f>"000363304 - RICH FOOD MIMI'S RTR"</f>
        <v>000363304 - RICH FOOD MIMI'S RTR</v>
      </c>
      <c r="C8289" t="s">
        <v>3587</v>
      </c>
      <c r="D8289" s="1" t="str">
        <f t="shared" si="231"/>
        <v>PRG-1031614</v>
      </c>
      <c r="E8289" t="s">
        <v>975</v>
      </c>
      <c r="F8289" t="s">
        <v>4</v>
      </c>
      <c r="G8289" t="str">
        <f>""</f>
        <v/>
      </c>
    </row>
    <row r="8290" spans="1:7" x14ac:dyDescent="0.25">
      <c r="A8290" t="s">
        <v>8</v>
      </c>
      <c r="B8290" s="1" t="str">
        <f>"000373291 - RICH FOODS- MIMI CAFE"</f>
        <v>000373291 - RICH FOODS- MIMI CAFE</v>
      </c>
      <c r="C8290" t="s">
        <v>217</v>
      </c>
      <c r="D8290" s="1" t="str">
        <f t="shared" si="231"/>
        <v>PRG-1031614</v>
      </c>
      <c r="E8290" t="s">
        <v>975</v>
      </c>
      <c r="F8290" t="s">
        <v>4</v>
      </c>
      <c r="G8290" t="str">
        <f>""</f>
        <v/>
      </c>
    </row>
    <row r="8291" spans="1:7" x14ac:dyDescent="0.25">
      <c r="A8291" t="s">
        <v>8</v>
      </c>
      <c r="B8291" s="1" t="str">
        <f>"2000340636 - "</f>
        <v xml:space="preserve">2000340636 - </v>
      </c>
      <c r="D8291" s="1" t="str">
        <f t="shared" si="231"/>
        <v>PRG-1031614</v>
      </c>
      <c r="E8291" t="s">
        <v>975</v>
      </c>
      <c r="F8291" t="s">
        <v>4</v>
      </c>
      <c r="G8291" t="str">
        <f>""</f>
        <v/>
      </c>
    </row>
    <row r="8292" spans="1:7" x14ac:dyDescent="0.25">
      <c r="A8292" t="s">
        <v>8</v>
      </c>
      <c r="B8292" s="1" t="str">
        <f>"2000381743 - "</f>
        <v xml:space="preserve">2000381743 - </v>
      </c>
      <c r="D8292" s="1" t="str">
        <f t="shared" si="231"/>
        <v>PRG-1031614</v>
      </c>
      <c r="E8292" t="s">
        <v>975</v>
      </c>
      <c r="F8292" t="s">
        <v>4</v>
      </c>
      <c r="G8292" t="str">
        <f>""</f>
        <v/>
      </c>
    </row>
    <row r="8293" spans="1:7" x14ac:dyDescent="0.25">
      <c r="A8293" t="s">
        <v>8</v>
      </c>
      <c r="B8293" s="1" t="str">
        <f>"000349189 - RICH'S TAP HOUSE DC OVR FDBY"</f>
        <v>000349189 - RICH'S TAP HOUSE DC OVR FDBY</v>
      </c>
      <c r="C8293" t="s">
        <v>3488</v>
      </c>
      <c r="D8293" s="1" t="str">
        <f>"PRG-1031636"</f>
        <v>PRG-1031636</v>
      </c>
      <c r="E8293" t="s">
        <v>3489</v>
      </c>
      <c r="F8293" t="s">
        <v>4</v>
      </c>
      <c r="G8293" t="str">
        <f>""</f>
        <v/>
      </c>
    </row>
    <row r="8294" spans="1:7" x14ac:dyDescent="0.25">
      <c r="A8294" t="s">
        <v>8</v>
      </c>
      <c r="B8294" s="1" t="str">
        <f>"000301856 - RICH PROD TX HHSC 529-148139"</f>
        <v>000301856 - RICH PROD TX HHSC 529-148139</v>
      </c>
      <c r="C8294" t="s">
        <v>2987</v>
      </c>
      <c r="D8294" s="1" t="str">
        <f>"PRG-1031647"</f>
        <v>PRG-1031647</v>
      </c>
      <c r="E8294" t="s">
        <v>2870</v>
      </c>
      <c r="F8294" t="s">
        <v>4</v>
      </c>
      <c r="G8294" t="str">
        <f>""</f>
        <v/>
      </c>
    </row>
    <row r="8295" spans="1:7" x14ac:dyDescent="0.25">
      <c r="A8295" t="s">
        <v>8</v>
      </c>
      <c r="B8295" s="1" t="str">
        <f>"000260505 - RICH'S UCONN"</f>
        <v>000260505 - RICH'S UCONN</v>
      </c>
      <c r="C8295" t="s">
        <v>2264</v>
      </c>
      <c r="D8295" s="1" t="str">
        <f>"PRG-1031679"</f>
        <v>PRG-1031679</v>
      </c>
      <c r="E8295" t="s">
        <v>2265</v>
      </c>
      <c r="F8295" t="s">
        <v>4</v>
      </c>
      <c r="G8295" t="str">
        <f>""</f>
        <v/>
      </c>
    </row>
    <row r="8296" spans="1:7" x14ac:dyDescent="0.25">
      <c r="A8296" t="s">
        <v>8</v>
      </c>
      <c r="B8296" s="1" t="str">
        <f>"000302530 - "</f>
        <v xml:space="preserve">000302530 - </v>
      </c>
      <c r="D8296" s="1" t="str">
        <f>"PRG-1031699"</f>
        <v>PRG-1031699</v>
      </c>
      <c r="E8296" t="s">
        <v>2997</v>
      </c>
      <c r="F8296" t="s">
        <v>4</v>
      </c>
      <c r="G8296" t="str">
        <f>""</f>
        <v/>
      </c>
    </row>
    <row r="8297" spans="1:7" x14ac:dyDescent="0.25">
      <c r="A8297" t="s">
        <v>8</v>
      </c>
      <c r="B8297" s="1" t="str">
        <f>"000002581 - RICH FOODS BB NCORE HILTON"</f>
        <v>000002581 - RICH FOODS BB NCORE HILTON</v>
      </c>
      <c r="C8297" t="s">
        <v>124</v>
      </c>
      <c r="D8297" s="1" t="str">
        <f t="shared" ref="D8297:D8328" si="232">"PRG-1031702"</f>
        <v>PRG-1031702</v>
      </c>
      <c r="E8297" t="s">
        <v>125</v>
      </c>
      <c r="F8297" t="s">
        <v>4</v>
      </c>
      <c r="G8297" t="str">
        <f>""</f>
        <v/>
      </c>
    </row>
    <row r="8298" spans="1:7" x14ac:dyDescent="0.25">
      <c r="A8298" t="s">
        <v>8</v>
      </c>
      <c r="B8298" s="1" t="str">
        <f>"000044557 - RICH FOODS BB NCORE HILTON"</f>
        <v>000044557 - RICH FOODS BB NCORE HILTON</v>
      </c>
      <c r="C8298" t="s">
        <v>124</v>
      </c>
      <c r="D8298" s="1" t="str">
        <f t="shared" si="232"/>
        <v>PRG-1031702</v>
      </c>
      <c r="E8298" t="s">
        <v>125</v>
      </c>
      <c r="F8298" t="s">
        <v>4</v>
      </c>
      <c r="G8298" t="str">
        <f>""</f>
        <v/>
      </c>
    </row>
    <row r="8299" spans="1:7" x14ac:dyDescent="0.25">
      <c r="A8299" t="s">
        <v>8</v>
      </c>
      <c r="B8299" s="1" t="str">
        <f>"000054749 - RICH FOODS BB NCORE HILTON"</f>
        <v>000054749 - RICH FOODS BB NCORE HILTON</v>
      </c>
      <c r="C8299" t="s">
        <v>124</v>
      </c>
      <c r="D8299" s="1" t="str">
        <f t="shared" si="232"/>
        <v>PRG-1031702</v>
      </c>
      <c r="E8299" t="s">
        <v>125</v>
      </c>
      <c r="F8299" t="s">
        <v>4</v>
      </c>
      <c r="G8299" t="str">
        <f>""</f>
        <v/>
      </c>
    </row>
    <row r="8300" spans="1:7" x14ac:dyDescent="0.25">
      <c r="A8300" t="s">
        <v>8</v>
      </c>
      <c r="B8300" s="1" t="str">
        <f>"000113055 - RICH FOODS BB NCORE HILTON"</f>
        <v>000113055 - RICH FOODS BB NCORE HILTON</v>
      </c>
      <c r="C8300" t="s">
        <v>124</v>
      </c>
      <c r="D8300" s="1" t="str">
        <f t="shared" si="232"/>
        <v>PRG-1031702</v>
      </c>
      <c r="E8300" t="s">
        <v>125</v>
      </c>
      <c r="F8300" t="s">
        <v>4</v>
      </c>
      <c r="G8300" t="str">
        <f>""</f>
        <v/>
      </c>
    </row>
    <row r="8301" spans="1:7" x14ac:dyDescent="0.25">
      <c r="A8301" t="s">
        <v>8</v>
      </c>
      <c r="B8301" s="1" t="str">
        <f>"000120731 - RICH FOODS BB NCORE HILTON"</f>
        <v>000120731 - RICH FOODS BB NCORE HILTON</v>
      </c>
      <c r="C8301" t="s">
        <v>124</v>
      </c>
      <c r="D8301" s="1" t="str">
        <f t="shared" si="232"/>
        <v>PRG-1031702</v>
      </c>
      <c r="E8301" t="s">
        <v>125</v>
      </c>
      <c r="F8301" t="s">
        <v>4</v>
      </c>
      <c r="G8301" t="str">
        <f>""</f>
        <v/>
      </c>
    </row>
    <row r="8302" spans="1:7" x14ac:dyDescent="0.25">
      <c r="A8302" t="s">
        <v>8</v>
      </c>
      <c r="B8302" s="1" t="str">
        <f>"000141353 - RICH FOODS BB NCORE HILTON"</f>
        <v>000141353 - RICH FOODS BB NCORE HILTON</v>
      </c>
      <c r="C8302" t="s">
        <v>124</v>
      </c>
      <c r="D8302" s="1" t="str">
        <f t="shared" si="232"/>
        <v>PRG-1031702</v>
      </c>
      <c r="E8302" t="s">
        <v>125</v>
      </c>
      <c r="F8302" t="s">
        <v>4</v>
      </c>
      <c r="G8302" t="str">
        <f>""</f>
        <v/>
      </c>
    </row>
    <row r="8303" spans="1:7" x14ac:dyDescent="0.25">
      <c r="A8303" t="s">
        <v>8</v>
      </c>
      <c r="B8303" s="1" t="str">
        <f>"000143433 - RICH FOODS BB NCORE HILTON"</f>
        <v>000143433 - RICH FOODS BB NCORE HILTON</v>
      </c>
      <c r="C8303" t="s">
        <v>124</v>
      </c>
      <c r="D8303" s="1" t="str">
        <f t="shared" si="232"/>
        <v>PRG-1031702</v>
      </c>
      <c r="E8303" t="s">
        <v>125</v>
      </c>
      <c r="F8303" t="s">
        <v>4</v>
      </c>
      <c r="G8303" t="str">
        <f>""</f>
        <v/>
      </c>
    </row>
    <row r="8304" spans="1:7" x14ac:dyDescent="0.25">
      <c r="A8304" t="s">
        <v>8</v>
      </c>
      <c r="B8304" s="1" t="str">
        <f>"000145827 - RICH FOODS BB NCORE HILTON"</f>
        <v>000145827 - RICH FOODS BB NCORE HILTON</v>
      </c>
      <c r="C8304" t="s">
        <v>124</v>
      </c>
      <c r="D8304" s="1" t="str">
        <f t="shared" si="232"/>
        <v>PRG-1031702</v>
      </c>
      <c r="E8304" t="s">
        <v>125</v>
      </c>
      <c r="F8304" t="s">
        <v>4</v>
      </c>
      <c r="G8304" t="str">
        <f>""</f>
        <v/>
      </c>
    </row>
    <row r="8305" spans="1:7" x14ac:dyDescent="0.25">
      <c r="A8305" t="s">
        <v>8</v>
      </c>
      <c r="B8305" s="1" t="str">
        <f>"000160986 - RICH FOODS BB NCORE HILTON"</f>
        <v>000160986 - RICH FOODS BB NCORE HILTON</v>
      </c>
      <c r="C8305" t="s">
        <v>124</v>
      </c>
      <c r="D8305" s="1" t="str">
        <f t="shared" si="232"/>
        <v>PRG-1031702</v>
      </c>
      <c r="E8305" t="s">
        <v>125</v>
      </c>
      <c r="F8305" t="s">
        <v>4</v>
      </c>
      <c r="G8305" t="str">
        <f>""</f>
        <v/>
      </c>
    </row>
    <row r="8306" spans="1:7" x14ac:dyDescent="0.25">
      <c r="A8306" t="s">
        <v>8</v>
      </c>
      <c r="B8306" s="1" t="str">
        <f>"000186857 - RICH FOODS BB NCORE HILTON"</f>
        <v>000186857 - RICH FOODS BB NCORE HILTON</v>
      </c>
      <c r="C8306" t="s">
        <v>124</v>
      </c>
      <c r="D8306" s="1" t="str">
        <f t="shared" si="232"/>
        <v>PRG-1031702</v>
      </c>
      <c r="E8306" t="s">
        <v>125</v>
      </c>
      <c r="F8306" t="s">
        <v>4</v>
      </c>
      <c r="G8306" t="str">
        <f>""</f>
        <v/>
      </c>
    </row>
    <row r="8307" spans="1:7" x14ac:dyDescent="0.25">
      <c r="A8307" t="s">
        <v>8</v>
      </c>
      <c r="B8307" s="1" t="str">
        <f>"000201908 - RICH FOODS BB NCORE HILTON"</f>
        <v>000201908 - RICH FOODS BB NCORE HILTON</v>
      </c>
      <c r="C8307" t="s">
        <v>124</v>
      </c>
      <c r="D8307" s="1" t="str">
        <f t="shared" si="232"/>
        <v>PRG-1031702</v>
      </c>
      <c r="E8307" t="s">
        <v>125</v>
      </c>
      <c r="F8307" t="s">
        <v>4</v>
      </c>
      <c r="G8307" t="str">
        <f>""</f>
        <v/>
      </c>
    </row>
    <row r="8308" spans="1:7" x14ac:dyDescent="0.25">
      <c r="A8308" t="s">
        <v>8</v>
      </c>
      <c r="B8308" s="1" t="str">
        <f>"000203307 - RICH FOODS BB NCORE HILTON"</f>
        <v>000203307 - RICH FOODS BB NCORE HILTON</v>
      </c>
      <c r="C8308" t="s">
        <v>124</v>
      </c>
      <c r="D8308" s="1" t="str">
        <f t="shared" si="232"/>
        <v>PRG-1031702</v>
      </c>
      <c r="E8308" t="s">
        <v>125</v>
      </c>
      <c r="F8308" t="s">
        <v>4</v>
      </c>
      <c r="G8308" t="str">
        <f>""</f>
        <v/>
      </c>
    </row>
    <row r="8309" spans="1:7" x14ac:dyDescent="0.25">
      <c r="A8309" t="s">
        <v>8</v>
      </c>
      <c r="B8309" s="1" t="str">
        <f>"000208952 - RICH FOODS BB NCORE HILTON"</f>
        <v>000208952 - RICH FOODS BB NCORE HILTON</v>
      </c>
      <c r="C8309" t="s">
        <v>124</v>
      </c>
      <c r="D8309" s="1" t="str">
        <f t="shared" si="232"/>
        <v>PRG-1031702</v>
      </c>
      <c r="E8309" t="s">
        <v>125</v>
      </c>
      <c r="F8309" t="s">
        <v>4</v>
      </c>
      <c r="G8309" t="str">
        <f>""</f>
        <v/>
      </c>
    </row>
    <row r="8310" spans="1:7" x14ac:dyDescent="0.25">
      <c r="A8310" t="s">
        <v>8</v>
      </c>
      <c r="B8310" s="1" t="str">
        <f>"000220870 - RICH FOODS BB NCORE HILTON"</f>
        <v>000220870 - RICH FOODS BB NCORE HILTON</v>
      </c>
      <c r="C8310" t="s">
        <v>124</v>
      </c>
      <c r="D8310" s="1" t="str">
        <f t="shared" si="232"/>
        <v>PRG-1031702</v>
      </c>
      <c r="E8310" t="s">
        <v>125</v>
      </c>
      <c r="F8310" t="s">
        <v>4</v>
      </c>
      <c r="G8310" t="str">
        <f>""</f>
        <v/>
      </c>
    </row>
    <row r="8311" spans="1:7" x14ac:dyDescent="0.25">
      <c r="A8311" t="s">
        <v>8</v>
      </c>
      <c r="B8311" s="1" t="str">
        <f>"000221550 - RICH FOODS BB NCORE HILTON"</f>
        <v>000221550 - RICH FOODS BB NCORE HILTON</v>
      </c>
      <c r="C8311" t="s">
        <v>124</v>
      </c>
      <c r="D8311" s="1" t="str">
        <f t="shared" si="232"/>
        <v>PRG-1031702</v>
      </c>
      <c r="E8311" t="s">
        <v>125</v>
      </c>
      <c r="F8311" t="s">
        <v>4</v>
      </c>
      <c r="G8311" t="str">
        <f>""</f>
        <v/>
      </c>
    </row>
    <row r="8312" spans="1:7" x14ac:dyDescent="0.25">
      <c r="A8312" t="s">
        <v>8</v>
      </c>
      <c r="B8312" s="1" t="str">
        <f>"000222641 - BB HILTON FOB RICH NC"</f>
        <v>000222641 - BB HILTON FOB RICH NC</v>
      </c>
      <c r="C8312" t="s">
        <v>1629</v>
      </c>
      <c r="D8312" s="1" t="str">
        <f t="shared" si="232"/>
        <v>PRG-1031702</v>
      </c>
      <c r="E8312" t="s">
        <v>125</v>
      </c>
      <c r="F8312" t="s">
        <v>4</v>
      </c>
      <c r="G8312" t="str">
        <f>""</f>
        <v/>
      </c>
    </row>
    <row r="8313" spans="1:7" x14ac:dyDescent="0.25">
      <c r="A8313" t="s">
        <v>8</v>
      </c>
      <c r="B8313" s="1" t="str">
        <f>"000222648 - BB HILTON FOB RICH NC"</f>
        <v>000222648 - BB HILTON FOB RICH NC</v>
      </c>
      <c r="C8313" t="s">
        <v>1629</v>
      </c>
      <c r="D8313" s="1" t="str">
        <f t="shared" si="232"/>
        <v>PRG-1031702</v>
      </c>
      <c r="E8313" t="s">
        <v>125</v>
      </c>
      <c r="F8313" t="s">
        <v>4</v>
      </c>
      <c r="G8313" t="str">
        <f>""</f>
        <v/>
      </c>
    </row>
    <row r="8314" spans="1:7" x14ac:dyDescent="0.25">
      <c r="A8314" t="s">
        <v>8</v>
      </c>
      <c r="B8314" s="1" t="str">
        <f>"000222942 - RICH FOODS BB NCORE HILTON"</f>
        <v>000222942 - RICH FOODS BB NCORE HILTON</v>
      </c>
      <c r="C8314" t="s">
        <v>124</v>
      </c>
      <c r="D8314" s="1" t="str">
        <f t="shared" si="232"/>
        <v>PRG-1031702</v>
      </c>
      <c r="E8314" t="s">
        <v>125</v>
      </c>
      <c r="F8314" t="s">
        <v>4</v>
      </c>
      <c r="G8314" t="str">
        <f>""</f>
        <v/>
      </c>
    </row>
    <row r="8315" spans="1:7" x14ac:dyDescent="0.25">
      <c r="A8315" t="s">
        <v>8</v>
      </c>
      <c r="B8315" s="1" t="str">
        <f>"000232098 - RICH FOODS HILTON"</f>
        <v>000232098 - RICH FOODS HILTON</v>
      </c>
      <c r="C8315" t="s">
        <v>490</v>
      </c>
      <c r="D8315" s="1" t="str">
        <f t="shared" si="232"/>
        <v>PRG-1031702</v>
      </c>
      <c r="E8315" t="s">
        <v>125</v>
      </c>
      <c r="F8315" t="s">
        <v>4</v>
      </c>
      <c r="G8315" t="str">
        <f>""</f>
        <v/>
      </c>
    </row>
    <row r="8316" spans="1:7" x14ac:dyDescent="0.25">
      <c r="A8316" t="s">
        <v>8</v>
      </c>
      <c r="B8316" s="1" t="str">
        <f>"000232374 - RICH FOODS BB NCORE HILTON"</f>
        <v>000232374 - RICH FOODS BB NCORE HILTON</v>
      </c>
      <c r="C8316" t="s">
        <v>124</v>
      </c>
      <c r="D8316" s="1" t="str">
        <f t="shared" si="232"/>
        <v>PRG-1031702</v>
      </c>
      <c r="E8316" t="s">
        <v>125</v>
      </c>
      <c r="F8316" t="s">
        <v>4</v>
      </c>
      <c r="G8316" t="str">
        <f>""</f>
        <v/>
      </c>
    </row>
    <row r="8317" spans="1:7" x14ac:dyDescent="0.25">
      <c r="A8317" t="s">
        <v>8</v>
      </c>
      <c r="B8317" s="1" t="str">
        <f>"000232724 - RICH FOODS BB NCORE HILTON"</f>
        <v>000232724 - RICH FOODS BB NCORE HILTON</v>
      </c>
      <c r="C8317" t="s">
        <v>124</v>
      </c>
      <c r="D8317" s="1" t="str">
        <f t="shared" si="232"/>
        <v>PRG-1031702</v>
      </c>
      <c r="E8317" t="s">
        <v>125</v>
      </c>
      <c r="F8317" t="s">
        <v>4</v>
      </c>
      <c r="G8317" t="str">
        <f>""</f>
        <v/>
      </c>
    </row>
    <row r="8318" spans="1:7" x14ac:dyDescent="0.25">
      <c r="A8318" t="s">
        <v>8</v>
      </c>
      <c r="B8318" s="1" t="str">
        <f>"000233297 - RICHS B198 NORTH SALEM NOI"</f>
        <v>000233297 - RICHS B198 NORTH SALEM NOI</v>
      </c>
      <c r="C8318" t="s">
        <v>1803</v>
      </c>
      <c r="D8318" s="1" t="str">
        <f t="shared" si="232"/>
        <v>PRG-1031702</v>
      </c>
      <c r="E8318" t="s">
        <v>125</v>
      </c>
      <c r="F8318" t="s">
        <v>4</v>
      </c>
      <c r="G8318" t="str">
        <f>""</f>
        <v/>
      </c>
    </row>
    <row r="8319" spans="1:7" x14ac:dyDescent="0.25">
      <c r="A8319" t="s">
        <v>8</v>
      </c>
      <c r="B8319" s="1" t="str">
        <f>"000233917 - RICH FOODS CORE BB HILTON"</f>
        <v>000233917 - RICH FOODS CORE BB HILTON</v>
      </c>
      <c r="C8319" t="s">
        <v>1816</v>
      </c>
      <c r="D8319" s="1" t="str">
        <f t="shared" si="232"/>
        <v>PRG-1031702</v>
      </c>
      <c r="E8319" t="s">
        <v>125</v>
      </c>
      <c r="F8319" t="s">
        <v>4</v>
      </c>
      <c r="G8319" t="str">
        <f>""</f>
        <v/>
      </c>
    </row>
    <row r="8320" spans="1:7" x14ac:dyDescent="0.25">
      <c r="A8320" t="s">
        <v>8</v>
      </c>
      <c r="B8320" s="1" t="str">
        <f>"000233943 - RICH FOODS CORE BB HILTON"</f>
        <v>000233943 - RICH FOODS CORE BB HILTON</v>
      </c>
      <c r="C8320" t="s">
        <v>1816</v>
      </c>
      <c r="D8320" s="1" t="str">
        <f t="shared" si="232"/>
        <v>PRG-1031702</v>
      </c>
      <c r="E8320" t="s">
        <v>125</v>
      </c>
      <c r="F8320" t="s">
        <v>4</v>
      </c>
      <c r="G8320" t="str">
        <f>""</f>
        <v/>
      </c>
    </row>
    <row r="8321" spans="1:7" x14ac:dyDescent="0.25">
      <c r="A8321" t="s">
        <v>8</v>
      </c>
      <c r="B8321" s="1" t="str">
        <f>"000233944 - RICH FOODS CORE BB HILTON"</f>
        <v>000233944 - RICH FOODS CORE BB HILTON</v>
      </c>
      <c r="C8321" t="s">
        <v>1816</v>
      </c>
      <c r="D8321" s="1" t="str">
        <f t="shared" si="232"/>
        <v>PRG-1031702</v>
      </c>
      <c r="E8321" t="s">
        <v>125</v>
      </c>
      <c r="F8321" t="s">
        <v>4</v>
      </c>
      <c r="G8321" t="str">
        <f>""</f>
        <v/>
      </c>
    </row>
    <row r="8322" spans="1:7" x14ac:dyDescent="0.25">
      <c r="A8322" t="s">
        <v>8</v>
      </c>
      <c r="B8322" s="1" t="str">
        <f>"000234171 - RICH FOODS BB NCORE HILTON"</f>
        <v>000234171 - RICH FOODS BB NCORE HILTON</v>
      </c>
      <c r="C8322" t="s">
        <v>124</v>
      </c>
      <c r="D8322" s="1" t="str">
        <f t="shared" si="232"/>
        <v>PRG-1031702</v>
      </c>
      <c r="E8322" t="s">
        <v>125</v>
      </c>
      <c r="F8322" t="s">
        <v>4</v>
      </c>
      <c r="G8322" t="str">
        <f>""</f>
        <v/>
      </c>
    </row>
    <row r="8323" spans="1:7" x14ac:dyDescent="0.25">
      <c r="A8323" t="s">
        <v>8</v>
      </c>
      <c r="B8323" s="1" t="str">
        <f>"000238969 - RICH FOODS BB NCORE HILTON"</f>
        <v>000238969 - RICH FOODS BB NCORE HILTON</v>
      </c>
      <c r="C8323" t="s">
        <v>124</v>
      </c>
      <c r="D8323" s="1" t="str">
        <f t="shared" si="232"/>
        <v>PRG-1031702</v>
      </c>
      <c r="E8323" t="s">
        <v>125</v>
      </c>
      <c r="F8323" t="s">
        <v>4</v>
      </c>
      <c r="G8323" t="str">
        <f>""</f>
        <v/>
      </c>
    </row>
    <row r="8324" spans="1:7" x14ac:dyDescent="0.25">
      <c r="A8324" t="s">
        <v>8</v>
      </c>
      <c r="B8324" s="1" t="str">
        <f>"000243823 - "</f>
        <v xml:space="preserve">000243823 - </v>
      </c>
      <c r="D8324" s="1" t="str">
        <f t="shared" si="232"/>
        <v>PRG-1031702</v>
      </c>
      <c r="E8324" t="s">
        <v>125</v>
      </c>
      <c r="F8324" t="s">
        <v>4</v>
      </c>
      <c r="G8324" t="str">
        <f>""</f>
        <v/>
      </c>
    </row>
    <row r="8325" spans="1:7" x14ac:dyDescent="0.25">
      <c r="A8325" t="s">
        <v>8</v>
      </c>
      <c r="B8325" s="1" t="str">
        <f>"000243902 - RICH FOODS BB NCORE HILTON"</f>
        <v>000243902 - RICH FOODS BB NCORE HILTON</v>
      </c>
      <c r="C8325" t="s">
        <v>124</v>
      </c>
      <c r="D8325" s="1" t="str">
        <f t="shared" si="232"/>
        <v>PRG-1031702</v>
      </c>
      <c r="E8325" t="s">
        <v>125</v>
      </c>
      <c r="F8325" t="s">
        <v>4</v>
      </c>
      <c r="G8325" t="str">
        <f>""</f>
        <v/>
      </c>
    </row>
    <row r="8326" spans="1:7" x14ac:dyDescent="0.25">
      <c r="A8326" t="s">
        <v>8</v>
      </c>
      <c r="B8326" s="1" t="str">
        <f>"000249049 - RICH FOODS BB NCORE HILTON"</f>
        <v>000249049 - RICH FOODS BB NCORE HILTON</v>
      </c>
      <c r="C8326" t="s">
        <v>124</v>
      </c>
      <c r="D8326" s="1" t="str">
        <f t="shared" si="232"/>
        <v>PRG-1031702</v>
      </c>
      <c r="E8326" t="s">
        <v>125</v>
      </c>
      <c r="F8326" t="s">
        <v>4</v>
      </c>
      <c r="G8326" t="str">
        <f>""</f>
        <v/>
      </c>
    </row>
    <row r="8327" spans="1:7" x14ac:dyDescent="0.25">
      <c r="A8327" t="s">
        <v>8</v>
      </c>
      <c r="B8327" s="1" t="str">
        <f>"000249131 - RICH FOODS BB NCORE HILTON"</f>
        <v>000249131 - RICH FOODS BB NCORE HILTON</v>
      </c>
      <c r="C8327" t="s">
        <v>124</v>
      </c>
      <c r="D8327" s="1" t="str">
        <f t="shared" si="232"/>
        <v>PRG-1031702</v>
      </c>
      <c r="E8327" t="s">
        <v>125</v>
      </c>
      <c r="F8327" t="s">
        <v>4</v>
      </c>
      <c r="G8327" t="str">
        <f>""</f>
        <v/>
      </c>
    </row>
    <row r="8328" spans="1:7" x14ac:dyDescent="0.25">
      <c r="A8328" t="s">
        <v>8</v>
      </c>
      <c r="B8328" s="1" t="str">
        <f>"000251168 - RICH FOODS BB NCORE HILTON"</f>
        <v>000251168 - RICH FOODS BB NCORE HILTON</v>
      </c>
      <c r="C8328" t="s">
        <v>124</v>
      </c>
      <c r="D8328" s="1" t="str">
        <f t="shared" si="232"/>
        <v>PRG-1031702</v>
      </c>
      <c r="E8328" t="s">
        <v>125</v>
      </c>
      <c r="F8328" t="s">
        <v>4</v>
      </c>
      <c r="G8328" t="str">
        <f>""</f>
        <v/>
      </c>
    </row>
    <row r="8329" spans="1:7" x14ac:dyDescent="0.25">
      <c r="A8329" t="s">
        <v>8</v>
      </c>
      <c r="B8329" s="1" t="str">
        <f>"000254042 - RICH FOODS BB NCORE HILTON"</f>
        <v>000254042 - RICH FOODS BB NCORE HILTON</v>
      </c>
      <c r="C8329" t="s">
        <v>124</v>
      </c>
      <c r="D8329" s="1" t="str">
        <f t="shared" ref="D8329:D8355" si="233">"PRG-1031702"</f>
        <v>PRG-1031702</v>
      </c>
      <c r="E8329" t="s">
        <v>125</v>
      </c>
      <c r="F8329" t="s">
        <v>4</v>
      </c>
      <c r="G8329" t="str">
        <f>""</f>
        <v/>
      </c>
    </row>
    <row r="8330" spans="1:7" x14ac:dyDescent="0.25">
      <c r="A8330" t="s">
        <v>8</v>
      </c>
      <c r="B8330" s="1" t="str">
        <f>"000254892 - RICH FOODS BB NCORE HILTON"</f>
        <v>000254892 - RICH FOODS BB NCORE HILTON</v>
      </c>
      <c r="C8330" t="s">
        <v>124</v>
      </c>
      <c r="D8330" s="1" t="str">
        <f t="shared" si="233"/>
        <v>PRG-1031702</v>
      </c>
      <c r="E8330" t="s">
        <v>125</v>
      </c>
      <c r="F8330" t="s">
        <v>4</v>
      </c>
      <c r="G8330" t="str">
        <f>""</f>
        <v/>
      </c>
    </row>
    <row r="8331" spans="1:7" x14ac:dyDescent="0.25">
      <c r="A8331" t="s">
        <v>8</v>
      </c>
      <c r="B8331" s="1" t="str">
        <f>"000256159 - RICH FOODS BB NCORE HILTON"</f>
        <v>000256159 - RICH FOODS BB NCORE HILTON</v>
      </c>
      <c r="C8331" t="s">
        <v>124</v>
      </c>
      <c r="D8331" s="1" t="str">
        <f t="shared" si="233"/>
        <v>PRG-1031702</v>
      </c>
      <c r="E8331" t="s">
        <v>125</v>
      </c>
      <c r="F8331" t="s">
        <v>4</v>
      </c>
      <c r="G8331" t="str">
        <f>""</f>
        <v/>
      </c>
    </row>
    <row r="8332" spans="1:7" x14ac:dyDescent="0.25">
      <c r="A8332" t="s">
        <v>8</v>
      </c>
      <c r="B8332" s="1" t="str">
        <f>"000256465 - RICH FOODS BB NCORE HILTON"</f>
        <v>000256465 - RICH FOODS BB NCORE HILTON</v>
      </c>
      <c r="C8332" t="s">
        <v>124</v>
      </c>
      <c r="D8332" s="1" t="str">
        <f t="shared" si="233"/>
        <v>PRG-1031702</v>
      </c>
      <c r="E8332" t="s">
        <v>125</v>
      </c>
      <c r="F8332" t="s">
        <v>4</v>
      </c>
      <c r="G8332" t="str">
        <f>""</f>
        <v/>
      </c>
    </row>
    <row r="8333" spans="1:7" x14ac:dyDescent="0.25">
      <c r="A8333" t="s">
        <v>8</v>
      </c>
      <c r="B8333" s="1" t="str">
        <f>"000258623 - RICH FOODS BB NCORE HILTON"</f>
        <v>000258623 - RICH FOODS BB NCORE HILTON</v>
      </c>
      <c r="C8333" t="s">
        <v>124</v>
      </c>
      <c r="D8333" s="1" t="str">
        <f t="shared" si="233"/>
        <v>PRG-1031702</v>
      </c>
      <c r="E8333" t="s">
        <v>125</v>
      </c>
      <c r="F8333" t="s">
        <v>4</v>
      </c>
      <c r="G8333" t="str">
        <f>""</f>
        <v/>
      </c>
    </row>
    <row r="8334" spans="1:7" x14ac:dyDescent="0.25">
      <c r="A8334" t="s">
        <v>8</v>
      </c>
      <c r="B8334" s="1" t="str">
        <f>"000260227 - RICH FOODS BB NCORE HILTON"</f>
        <v>000260227 - RICH FOODS BB NCORE HILTON</v>
      </c>
      <c r="C8334" t="s">
        <v>124</v>
      </c>
      <c r="D8334" s="1" t="str">
        <f t="shared" si="233"/>
        <v>PRG-1031702</v>
      </c>
      <c r="E8334" t="s">
        <v>125</v>
      </c>
      <c r="F8334" t="s">
        <v>4</v>
      </c>
      <c r="G8334" t="str">
        <f>""</f>
        <v/>
      </c>
    </row>
    <row r="8335" spans="1:7" x14ac:dyDescent="0.25">
      <c r="A8335" t="s">
        <v>8</v>
      </c>
      <c r="B8335" s="1" t="str">
        <f>"000260750 - RICH FOODS BB NCORE HILTON"</f>
        <v>000260750 - RICH FOODS BB NCORE HILTON</v>
      </c>
      <c r="C8335" t="s">
        <v>143</v>
      </c>
      <c r="D8335" s="1" t="str">
        <f t="shared" si="233"/>
        <v>PRG-1031702</v>
      </c>
      <c r="E8335" t="s">
        <v>125</v>
      </c>
      <c r="F8335" t="s">
        <v>4</v>
      </c>
      <c r="G8335" t="str">
        <f>""</f>
        <v/>
      </c>
    </row>
    <row r="8336" spans="1:7" x14ac:dyDescent="0.25">
      <c r="A8336" t="s">
        <v>8</v>
      </c>
      <c r="B8336" s="1" t="str">
        <f>"000261037 - RICH FOODS BB NCORE HILTON"</f>
        <v>000261037 - RICH FOODS BB NCORE HILTON</v>
      </c>
      <c r="C8336" t="s">
        <v>124</v>
      </c>
      <c r="D8336" s="1" t="str">
        <f t="shared" si="233"/>
        <v>PRG-1031702</v>
      </c>
      <c r="E8336" t="s">
        <v>125</v>
      </c>
      <c r="F8336" t="s">
        <v>4</v>
      </c>
      <c r="G8336" t="str">
        <f>""</f>
        <v/>
      </c>
    </row>
    <row r="8337" spans="1:7" x14ac:dyDescent="0.25">
      <c r="A8337" t="s">
        <v>8</v>
      </c>
      <c r="B8337" s="1" t="str">
        <f>"000262221 - RICH FOODS BB NCORE HILTON"</f>
        <v>000262221 - RICH FOODS BB NCORE HILTON</v>
      </c>
      <c r="C8337" t="s">
        <v>124</v>
      </c>
      <c r="D8337" s="1" t="str">
        <f t="shared" si="233"/>
        <v>PRG-1031702</v>
      </c>
      <c r="E8337" t="s">
        <v>125</v>
      </c>
      <c r="F8337" t="s">
        <v>4</v>
      </c>
      <c r="G8337" t="str">
        <f>""</f>
        <v/>
      </c>
    </row>
    <row r="8338" spans="1:7" x14ac:dyDescent="0.25">
      <c r="A8338" t="s">
        <v>8</v>
      </c>
      <c r="B8338" s="1" t="str">
        <f>"000263658 - RICH FOODS BB NCORE HILTON"</f>
        <v>000263658 - RICH FOODS BB NCORE HILTON</v>
      </c>
      <c r="C8338" t="s">
        <v>124</v>
      </c>
      <c r="D8338" s="1" t="str">
        <f t="shared" si="233"/>
        <v>PRG-1031702</v>
      </c>
      <c r="E8338" t="s">
        <v>125</v>
      </c>
      <c r="F8338" t="s">
        <v>4</v>
      </c>
      <c r="G8338" t="str">
        <f>""</f>
        <v/>
      </c>
    </row>
    <row r="8339" spans="1:7" x14ac:dyDescent="0.25">
      <c r="A8339" t="s">
        <v>8</v>
      </c>
      <c r="B8339" s="1" t="str">
        <f>"000272666 - RICH FOODS BB NCORE HILTON"</f>
        <v>000272666 - RICH FOODS BB NCORE HILTON</v>
      </c>
      <c r="C8339" t="s">
        <v>124</v>
      </c>
      <c r="D8339" s="1" t="str">
        <f t="shared" si="233"/>
        <v>PRG-1031702</v>
      </c>
      <c r="E8339" t="s">
        <v>125</v>
      </c>
      <c r="F8339" t="s">
        <v>4</v>
      </c>
      <c r="G8339" t="str">
        <f>""</f>
        <v/>
      </c>
    </row>
    <row r="8340" spans="1:7" x14ac:dyDescent="0.25">
      <c r="A8340" t="s">
        <v>8</v>
      </c>
      <c r="B8340" s="1" t="str">
        <f>"000282059 - RICH FOODS BB NCORE HILTON"</f>
        <v>000282059 - RICH FOODS BB NCORE HILTON</v>
      </c>
      <c r="C8340" t="s">
        <v>124</v>
      </c>
      <c r="D8340" s="1" t="str">
        <f t="shared" si="233"/>
        <v>PRG-1031702</v>
      </c>
      <c r="E8340" t="s">
        <v>125</v>
      </c>
      <c r="F8340" t="s">
        <v>4</v>
      </c>
      <c r="G8340" t="str">
        <f>""</f>
        <v/>
      </c>
    </row>
    <row r="8341" spans="1:7" x14ac:dyDescent="0.25">
      <c r="A8341" t="s">
        <v>8</v>
      </c>
      <c r="B8341" s="1" t="str">
        <f>"000295105 - RICH FOODS BB NCORE HILTON"</f>
        <v>000295105 - RICH FOODS BB NCORE HILTON</v>
      </c>
      <c r="C8341" t="s">
        <v>124</v>
      </c>
      <c r="D8341" s="1" t="str">
        <f t="shared" si="233"/>
        <v>PRG-1031702</v>
      </c>
      <c r="E8341" t="s">
        <v>125</v>
      </c>
      <c r="F8341" t="s">
        <v>4</v>
      </c>
      <c r="G8341" t="str">
        <f>""</f>
        <v/>
      </c>
    </row>
    <row r="8342" spans="1:7" x14ac:dyDescent="0.25">
      <c r="A8342" t="s">
        <v>8</v>
      </c>
      <c r="B8342" s="1" t="str">
        <f>"000298154 - RICH FOODS BB NCORE HILTON"</f>
        <v>000298154 - RICH FOODS BB NCORE HILTON</v>
      </c>
      <c r="C8342" t="s">
        <v>143</v>
      </c>
      <c r="D8342" s="1" t="str">
        <f t="shared" si="233"/>
        <v>PRG-1031702</v>
      </c>
      <c r="E8342" t="s">
        <v>125</v>
      </c>
      <c r="F8342" t="s">
        <v>4</v>
      </c>
      <c r="G8342" t="str">
        <f>""</f>
        <v/>
      </c>
    </row>
    <row r="8343" spans="1:7" x14ac:dyDescent="0.25">
      <c r="A8343" t="s">
        <v>8</v>
      </c>
      <c r="B8343" s="1" t="str">
        <f>"000298505 - RICH FOODS BB NCORE HILTON"</f>
        <v>000298505 - RICH FOODS BB NCORE HILTON</v>
      </c>
      <c r="C8343" t="s">
        <v>124</v>
      </c>
      <c r="D8343" s="1" t="str">
        <f t="shared" si="233"/>
        <v>PRG-1031702</v>
      </c>
      <c r="E8343" t="s">
        <v>125</v>
      </c>
      <c r="F8343" t="s">
        <v>4</v>
      </c>
      <c r="G8343" t="str">
        <f>""</f>
        <v/>
      </c>
    </row>
    <row r="8344" spans="1:7" x14ac:dyDescent="0.25">
      <c r="A8344" t="s">
        <v>8</v>
      </c>
      <c r="B8344" s="1" t="str">
        <f>"000301119 - RICH FOODS BB NCORE HILTON"</f>
        <v>000301119 - RICH FOODS BB NCORE HILTON</v>
      </c>
      <c r="C8344" t="s">
        <v>124</v>
      </c>
      <c r="D8344" s="1" t="str">
        <f t="shared" si="233"/>
        <v>PRG-1031702</v>
      </c>
      <c r="E8344" t="s">
        <v>125</v>
      </c>
      <c r="F8344" t="s">
        <v>4</v>
      </c>
      <c r="G8344" t="str">
        <f>""</f>
        <v/>
      </c>
    </row>
    <row r="8345" spans="1:7" x14ac:dyDescent="0.25">
      <c r="A8345" t="s">
        <v>8</v>
      </c>
      <c r="B8345" s="1" t="str">
        <f>"000303226 - RICH FOODS BB NCORE HILTON"</f>
        <v>000303226 - RICH FOODS BB NCORE HILTON</v>
      </c>
      <c r="C8345" t="s">
        <v>124</v>
      </c>
      <c r="D8345" s="1" t="str">
        <f t="shared" si="233"/>
        <v>PRG-1031702</v>
      </c>
      <c r="E8345" t="s">
        <v>125</v>
      </c>
      <c r="F8345" t="s">
        <v>4</v>
      </c>
      <c r="G8345" t="str">
        <f>""</f>
        <v/>
      </c>
    </row>
    <row r="8346" spans="1:7" x14ac:dyDescent="0.25">
      <c r="A8346" t="s">
        <v>8</v>
      </c>
      <c r="B8346" s="1" t="str">
        <f>"000310997 - RICH FOODS BB NCORE HILTON"</f>
        <v>000310997 - RICH FOODS BB NCORE HILTON</v>
      </c>
      <c r="C8346" t="s">
        <v>143</v>
      </c>
      <c r="D8346" s="1" t="str">
        <f t="shared" si="233"/>
        <v>PRG-1031702</v>
      </c>
      <c r="E8346" t="s">
        <v>125</v>
      </c>
      <c r="F8346" t="s">
        <v>4</v>
      </c>
      <c r="G8346" t="str">
        <f>""</f>
        <v/>
      </c>
    </row>
    <row r="8347" spans="1:7" x14ac:dyDescent="0.25">
      <c r="A8347" t="s">
        <v>8</v>
      </c>
      <c r="B8347" s="1" t="str">
        <f>"000313306 - RICH FOODS BB NCORE HILTON"</f>
        <v>000313306 - RICH FOODS BB NCORE HILTON</v>
      </c>
      <c r="C8347" t="s">
        <v>124</v>
      </c>
      <c r="D8347" s="1" t="str">
        <f t="shared" si="233"/>
        <v>PRG-1031702</v>
      </c>
      <c r="E8347" t="s">
        <v>125</v>
      </c>
      <c r="F8347" t="s">
        <v>4</v>
      </c>
      <c r="G8347" t="str">
        <f>""</f>
        <v/>
      </c>
    </row>
    <row r="8348" spans="1:7" x14ac:dyDescent="0.25">
      <c r="A8348" t="s">
        <v>8</v>
      </c>
      <c r="B8348" s="1" t="str">
        <f>"000321485 - RICH FOODS BB NCORE HILTON"</f>
        <v>000321485 - RICH FOODS BB NCORE HILTON</v>
      </c>
      <c r="C8348" t="s">
        <v>143</v>
      </c>
      <c r="D8348" s="1" t="str">
        <f t="shared" si="233"/>
        <v>PRG-1031702</v>
      </c>
      <c r="E8348" t="s">
        <v>125</v>
      </c>
      <c r="F8348" t="s">
        <v>4</v>
      </c>
      <c r="G8348" t="str">
        <f>""</f>
        <v/>
      </c>
    </row>
    <row r="8349" spans="1:7" x14ac:dyDescent="0.25">
      <c r="A8349" t="s">
        <v>8</v>
      </c>
      <c r="B8349" s="1" t="str">
        <f>"000321881 - RICH FOODS BB NCORE HILTON"</f>
        <v>000321881 - RICH FOODS BB NCORE HILTON</v>
      </c>
      <c r="C8349" t="s">
        <v>124</v>
      </c>
      <c r="D8349" s="1" t="str">
        <f t="shared" si="233"/>
        <v>PRG-1031702</v>
      </c>
      <c r="E8349" t="s">
        <v>125</v>
      </c>
      <c r="F8349" t="s">
        <v>4</v>
      </c>
      <c r="G8349" t="str">
        <f>""</f>
        <v/>
      </c>
    </row>
    <row r="8350" spans="1:7" x14ac:dyDescent="0.25">
      <c r="A8350" t="s">
        <v>8</v>
      </c>
      <c r="B8350" s="1" t="str">
        <f>"000332055 - "</f>
        <v xml:space="preserve">000332055 - </v>
      </c>
      <c r="D8350" s="1" t="str">
        <f t="shared" si="233"/>
        <v>PRG-1031702</v>
      </c>
      <c r="E8350" t="s">
        <v>125</v>
      </c>
      <c r="F8350" t="s">
        <v>4</v>
      </c>
      <c r="G8350" t="str">
        <f>""</f>
        <v/>
      </c>
    </row>
    <row r="8351" spans="1:7" x14ac:dyDescent="0.25">
      <c r="A8351" t="s">
        <v>8</v>
      </c>
      <c r="B8351" s="1" t="str">
        <f>"000332713 - RICH FOODS BB NCORE HILTON"</f>
        <v>000332713 - RICH FOODS BB NCORE HILTON</v>
      </c>
      <c r="C8351" t="s">
        <v>124</v>
      </c>
      <c r="D8351" s="1" t="str">
        <f t="shared" si="233"/>
        <v>PRG-1031702</v>
      </c>
      <c r="E8351" t="s">
        <v>125</v>
      </c>
      <c r="F8351" t="s">
        <v>4</v>
      </c>
      <c r="G8351" t="str">
        <f>""</f>
        <v/>
      </c>
    </row>
    <row r="8352" spans="1:7" x14ac:dyDescent="0.25">
      <c r="A8352" t="s">
        <v>8</v>
      </c>
      <c r="B8352" s="1" t="str">
        <f>"000347293 - RICH FOODS BB NCORE HILTON"</f>
        <v>000347293 - RICH FOODS BB NCORE HILTON</v>
      </c>
      <c r="C8352" t="s">
        <v>143</v>
      </c>
      <c r="D8352" s="1" t="str">
        <f t="shared" si="233"/>
        <v>PRG-1031702</v>
      </c>
      <c r="E8352" t="s">
        <v>125</v>
      </c>
      <c r="F8352" t="s">
        <v>4</v>
      </c>
      <c r="G8352" t="str">
        <f>""</f>
        <v/>
      </c>
    </row>
    <row r="8353" spans="1:7" x14ac:dyDescent="0.25">
      <c r="A8353" t="s">
        <v>8</v>
      </c>
      <c r="B8353" s="1" t="str">
        <f>"000347646 - RICH FOODS BB NCORE HILTON"</f>
        <v>000347646 - RICH FOODS BB NCORE HILTON</v>
      </c>
      <c r="C8353" t="s">
        <v>124</v>
      </c>
      <c r="D8353" s="1" t="str">
        <f t="shared" si="233"/>
        <v>PRG-1031702</v>
      </c>
      <c r="E8353" t="s">
        <v>125</v>
      </c>
      <c r="F8353" t="s">
        <v>4</v>
      </c>
      <c r="G8353" t="str">
        <f>""</f>
        <v/>
      </c>
    </row>
    <row r="8354" spans="1:7" x14ac:dyDescent="0.25">
      <c r="A8354" t="s">
        <v>8</v>
      </c>
      <c r="B8354" s="1" t="str">
        <f>"000363233 - RICH FOODS BB NCORE HILTON"</f>
        <v>000363233 - RICH FOODS BB NCORE HILTON</v>
      </c>
      <c r="C8354" t="s">
        <v>124</v>
      </c>
      <c r="D8354" s="1" t="str">
        <f t="shared" si="233"/>
        <v>PRG-1031702</v>
      </c>
      <c r="E8354" t="s">
        <v>125</v>
      </c>
      <c r="F8354" t="s">
        <v>4</v>
      </c>
      <c r="G8354" t="str">
        <f>""</f>
        <v/>
      </c>
    </row>
    <row r="8355" spans="1:7" x14ac:dyDescent="0.25">
      <c r="A8355" t="s">
        <v>8</v>
      </c>
      <c r="B8355" s="1" t="str">
        <f>"2000330963 - RICH FOODS-HILTON"</f>
        <v>2000330963 - RICH FOODS-HILTON</v>
      </c>
      <c r="C8355" t="s">
        <v>183</v>
      </c>
      <c r="D8355" s="1" t="str">
        <f t="shared" si="233"/>
        <v>PRG-1031702</v>
      </c>
      <c r="E8355" t="s">
        <v>125</v>
      </c>
      <c r="F8355" t="s">
        <v>4</v>
      </c>
      <c r="G8355" t="str">
        <f>""</f>
        <v/>
      </c>
    </row>
    <row r="8356" spans="1:7" x14ac:dyDescent="0.25">
      <c r="A8356" t="s">
        <v>8</v>
      </c>
      <c r="B8356" s="1" t="str">
        <f>"000202619 - RICH DC TBONZ"</f>
        <v>000202619 - RICH DC TBONZ</v>
      </c>
      <c r="C8356" t="s">
        <v>1327</v>
      </c>
      <c r="D8356" s="1" t="str">
        <f>"PRG-1031733"</f>
        <v>PRG-1031733</v>
      </c>
      <c r="E8356" t="s">
        <v>1328</v>
      </c>
      <c r="F8356" t="s">
        <v>4</v>
      </c>
      <c r="G8356" t="str">
        <f>""</f>
        <v/>
      </c>
    </row>
    <row r="8357" spans="1:7" x14ac:dyDescent="0.25">
      <c r="A8357" t="s">
        <v>8</v>
      </c>
      <c r="B8357" s="1" t="str">
        <f>"000204261 - RICH DC TBONZ"</f>
        <v>000204261 - RICH DC TBONZ</v>
      </c>
      <c r="C8357" t="s">
        <v>1327</v>
      </c>
      <c r="D8357" s="1" t="str">
        <f>"PRG-1031733"</f>
        <v>PRG-1031733</v>
      </c>
      <c r="E8357" t="s">
        <v>1328</v>
      </c>
      <c r="F8357" t="s">
        <v>4</v>
      </c>
      <c r="G8357" t="str">
        <f>""</f>
        <v/>
      </c>
    </row>
    <row r="8358" spans="1:7" x14ac:dyDescent="0.25">
      <c r="A8358" t="s">
        <v>8</v>
      </c>
      <c r="B8358" s="1" t="str">
        <f>"000204262 - RICH DC TBONZ"</f>
        <v>000204262 - RICH DC TBONZ</v>
      </c>
      <c r="C8358" t="s">
        <v>1327</v>
      </c>
      <c r="D8358" s="1" t="str">
        <f>"PRG-1031733"</f>
        <v>PRG-1031733</v>
      </c>
      <c r="E8358" t="s">
        <v>1328</v>
      </c>
      <c r="F8358" t="s">
        <v>4</v>
      </c>
      <c r="G8358" t="str">
        <f>""</f>
        <v/>
      </c>
    </row>
    <row r="8359" spans="1:7" x14ac:dyDescent="0.25">
      <c r="A8359" t="s">
        <v>8</v>
      </c>
      <c r="B8359" s="1" t="str">
        <f>"000365371 - RICH ONTARIO CONVENTION"</f>
        <v>000365371 - RICH ONTARIO CONVENTION</v>
      </c>
      <c r="C8359" t="s">
        <v>3605</v>
      </c>
      <c r="D8359" s="1" t="str">
        <f>"PRG-1031754"</f>
        <v>PRG-1031754</v>
      </c>
      <c r="E8359" t="s">
        <v>3606</v>
      </c>
      <c r="F8359" t="s">
        <v>4</v>
      </c>
      <c r="G8359" t="str">
        <f>""</f>
        <v/>
      </c>
    </row>
    <row r="8360" spans="1:7" x14ac:dyDescent="0.25">
      <c r="A8360" t="s">
        <v>8</v>
      </c>
      <c r="B8360" s="1" t="str">
        <f>"000005459 - RICH FOODS-TOP GOLF"</f>
        <v>000005459 - RICH FOODS-TOP GOLF</v>
      </c>
      <c r="C8360" t="s">
        <v>203</v>
      </c>
      <c r="D8360" s="1" t="str">
        <f t="shared" ref="D8360:D8373" si="234">"PRG-1031851"</f>
        <v>PRG-1031851</v>
      </c>
      <c r="E8360" t="s">
        <v>220</v>
      </c>
      <c r="F8360" t="s">
        <v>4</v>
      </c>
      <c r="G8360" t="str">
        <f>""</f>
        <v/>
      </c>
    </row>
    <row r="8361" spans="1:7" x14ac:dyDescent="0.25">
      <c r="A8361" t="s">
        <v>8</v>
      </c>
      <c r="B8361" s="1" t="str">
        <f>"000005801 - "</f>
        <v xml:space="preserve">000005801 - </v>
      </c>
      <c r="D8361" s="1" t="str">
        <f t="shared" si="234"/>
        <v>PRG-1031851</v>
      </c>
      <c r="E8361" t="s">
        <v>220</v>
      </c>
      <c r="F8361" t="s">
        <v>4</v>
      </c>
      <c r="G8361" t="str">
        <f>""</f>
        <v/>
      </c>
    </row>
    <row r="8362" spans="1:7" x14ac:dyDescent="0.25">
      <c r="A8362" t="s">
        <v>8</v>
      </c>
      <c r="B8362" s="1" t="str">
        <f>"000233559 - RICH FOODS-TOP GOLF"</f>
        <v>000233559 - RICH FOODS-TOP GOLF</v>
      </c>
      <c r="C8362" t="s">
        <v>203</v>
      </c>
      <c r="D8362" s="1" t="str">
        <f t="shared" si="234"/>
        <v>PRG-1031851</v>
      </c>
      <c r="E8362" t="s">
        <v>220</v>
      </c>
      <c r="F8362" t="s">
        <v>4</v>
      </c>
      <c r="G8362" t="str">
        <f>""</f>
        <v/>
      </c>
    </row>
    <row r="8363" spans="1:7" x14ac:dyDescent="0.25">
      <c r="A8363" t="s">
        <v>8</v>
      </c>
      <c r="B8363" s="1" t="str">
        <f>"000246058 - RICH FOODS-TOP GOLF"</f>
        <v>000246058 - RICH FOODS-TOP GOLF</v>
      </c>
      <c r="C8363" t="s">
        <v>203</v>
      </c>
      <c r="D8363" s="1" t="str">
        <f t="shared" si="234"/>
        <v>PRG-1031851</v>
      </c>
      <c r="E8363" t="s">
        <v>220</v>
      </c>
      <c r="F8363" t="s">
        <v>4</v>
      </c>
      <c r="G8363" t="str">
        <f>""</f>
        <v/>
      </c>
    </row>
    <row r="8364" spans="1:7" x14ac:dyDescent="0.25">
      <c r="A8364" t="s">
        <v>8</v>
      </c>
      <c r="B8364" s="1" t="str">
        <f>"000260410 - RICH FOODS-TOP GOLF"</f>
        <v>000260410 - RICH FOODS-TOP GOLF</v>
      </c>
      <c r="C8364" t="s">
        <v>203</v>
      </c>
      <c r="D8364" s="1" t="str">
        <f t="shared" si="234"/>
        <v>PRG-1031851</v>
      </c>
      <c r="E8364" t="s">
        <v>220</v>
      </c>
      <c r="F8364" t="s">
        <v>4</v>
      </c>
      <c r="G8364" t="str">
        <f>""</f>
        <v/>
      </c>
    </row>
    <row r="8365" spans="1:7" x14ac:dyDescent="0.25">
      <c r="A8365" t="s">
        <v>8</v>
      </c>
      <c r="B8365" s="1" t="str">
        <f>"000261984 - RICH FOODS-TOP GOLF"</f>
        <v>000261984 - RICH FOODS-TOP GOLF</v>
      </c>
      <c r="C8365" t="s">
        <v>203</v>
      </c>
      <c r="D8365" s="1" t="str">
        <f t="shared" si="234"/>
        <v>PRG-1031851</v>
      </c>
      <c r="E8365" t="s">
        <v>220</v>
      </c>
      <c r="F8365" t="s">
        <v>4</v>
      </c>
      <c r="G8365" t="str">
        <f>""</f>
        <v/>
      </c>
    </row>
    <row r="8366" spans="1:7" x14ac:dyDescent="0.25">
      <c r="A8366" t="s">
        <v>8</v>
      </c>
      <c r="B8366" s="1" t="str">
        <f>"000309859 - RICH FOODS-TOP GOLF"</f>
        <v>000309859 - RICH FOODS-TOP GOLF</v>
      </c>
      <c r="C8366" t="s">
        <v>203</v>
      </c>
      <c r="D8366" s="1" t="str">
        <f t="shared" si="234"/>
        <v>PRG-1031851</v>
      </c>
      <c r="E8366" t="s">
        <v>220</v>
      </c>
      <c r="F8366" t="s">
        <v>4</v>
      </c>
      <c r="G8366" t="str">
        <f>""</f>
        <v/>
      </c>
    </row>
    <row r="8367" spans="1:7" x14ac:dyDescent="0.25">
      <c r="A8367" t="s">
        <v>8</v>
      </c>
      <c r="B8367" s="1" t="str">
        <f>"000309990 - "</f>
        <v xml:space="preserve">000309990 - </v>
      </c>
      <c r="D8367" s="1" t="str">
        <f t="shared" si="234"/>
        <v>PRG-1031851</v>
      </c>
      <c r="E8367" t="s">
        <v>220</v>
      </c>
      <c r="F8367" t="s">
        <v>4</v>
      </c>
      <c r="G8367" t="str">
        <f>""</f>
        <v/>
      </c>
    </row>
    <row r="8368" spans="1:7" x14ac:dyDescent="0.25">
      <c r="A8368" t="s">
        <v>8</v>
      </c>
      <c r="B8368" s="1" t="str">
        <f>"000322515 - RICH FOODS-TOP GOLF"</f>
        <v>000322515 - RICH FOODS-TOP GOLF</v>
      </c>
      <c r="C8368" t="s">
        <v>203</v>
      </c>
      <c r="D8368" s="1" t="str">
        <f t="shared" si="234"/>
        <v>PRG-1031851</v>
      </c>
      <c r="E8368" t="s">
        <v>220</v>
      </c>
      <c r="F8368" t="s">
        <v>4</v>
      </c>
      <c r="G8368" t="str">
        <f>""</f>
        <v/>
      </c>
    </row>
    <row r="8369" spans="1:7" x14ac:dyDescent="0.25">
      <c r="A8369" t="s">
        <v>8</v>
      </c>
      <c r="B8369" s="1" t="str">
        <f>"000329087 - "</f>
        <v xml:space="preserve">000329087 - </v>
      </c>
      <c r="D8369" s="1" t="str">
        <f t="shared" si="234"/>
        <v>PRG-1031851</v>
      </c>
      <c r="E8369" t="s">
        <v>220</v>
      </c>
      <c r="F8369" t="s">
        <v>4</v>
      </c>
      <c r="G8369" t="str">
        <f>""</f>
        <v/>
      </c>
    </row>
    <row r="8370" spans="1:7" x14ac:dyDescent="0.25">
      <c r="A8370" t="s">
        <v>8</v>
      </c>
      <c r="B8370" s="1" t="str">
        <f>"000329204 - "</f>
        <v xml:space="preserve">000329204 - </v>
      </c>
      <c r="D8370" s="1" t="str">
        <f t="shared" si="234"/>
        <v>PRG-1031851</v>
      </c>
      <c r="E8370" t="s">
        <v>220</v>
      </c>
      <c r="F8370" t="s">
        <v>4</v>
      </c>
      <c r="G8370" t="str">
        <f>""</f>
        <v/>
      </c>
    </row>
    <row r="8371" spans="1:7" x14ac:dyDescent="0.25">
      <c r="A8371" t="s">
        <v>8</v>
      </c>
      <c r="B8371" s="1" t="str">
        <f>"000341273 - RICH FOODS-TOP GOLF"</f>
        <v>000341273 - RICH FOODS-TOP GOLF</v>
      </c>
      <c r="C8371" t="s">
        <v>203</v>
      </c>
      <c r="D8371" s="1" t="str">
        <f t="shared" si="234"/>
        <v>PRG-1031851</v>
      </c>
      <c r="E8371" t="s">
        <v>220</v>
      </c>
      <c r="F8371" t="s">
        <v>4</v>
      </c>
      <c r="G8371" t="str">
        <f>""</f>
        <v/>
      </c>
    </row>
    <row r="8372" spans="1:7" x14ac:dyDescent="0.25">
      <c r="A8372" t="s">
        <v>8</v>
      </c>
      <c r="B8372" s="1" t="str">
        <f>"2000372805 - RICH FOODS PRODUCTS-TOP GOLF"</f>
        <v>2000372805 - RICH FOODS PRODUCTS-TOP GOLF</v>
      </c>
      <c r="C8372" t="s">
        <v>4052</v>
      </c>
      <c r="D8372" s="1" t="str">
        <f t="shared" si="234"/>
        <v>PRG-1031851</v>
      </c>
      <c r="E8372" t="s">
        <v>220</v>
      </c>
      <c r="F8372" t="s">
        <v>4</v>
      </c>
      <c r="G8372" t="str">
        <f>""</f>
        <v/>
      </c>
    </row>
    <row r="8373" spans="1:7" x14ac:dyDescent="0.25">
      <c r="A8373" t="s">
        <v>8</v>
      </c>
      <c r="B8373" s="1" t="str">
        <f>"2000433178 - &amp;MP RICH FDS BRISKET-TOPGOLF"</f>
        <v>2000433178 - &amp;MP RICH FDS BRISKET-TOPGOLF</v>
      </c>
      <c r="C8373" t="s">
        <v>4077</v>
      </c>
      <c r="D8373" s="1" t="str">
        <f t="shared" si="234"/>
        <v>PRG-1031851</v>
      </c>
      <c r="E8373" t="s">
        <v>220</v>
      </c>
      <c r="F8373" t="s">
        <v>4</v>
      </c>
      <c r="G8373" t="str">
        <f>""</f>
        <v/>
      </c>
    </row>
    <row r="8374" spans="1:7" x14ac:dyDescent="0.25">
      <c r="A8374" t="s">
        <v>8</v>
      </c>
      <c r="B8374" s="1" t="str">
        <f>"000206477 - TN-2015-06948 CHICK-RICH(EXPIR"</f>
        <v>000206477 - TN-2015-06948 CHICK-RICH(EXPIR</v>
      </c>
      <c r="C8374" t="s">
        <v>1370</v>
      </c>
      <c r="D8374" s="1" t="str">
        <f>"PRG-1031892"</f>
        <v>PRG-1031892</v>
      </c>
      <c r="E8374" t="s">
        <v>1371</v>
      </c>
      <c r="F8374" t="s">
        <v>4</v>
      </c>
      <c r="G8374" t="str">
        <f>""</f>
        <v/>
      </c>
    </row>
    <row r="8375" spans="1:7" x14ac:dyDescent="0.25">
      <c r="A8375" t="s">
        <v>8</v>
      </c>
      <c r="B8375" s="1" t="str">
        <f>"000269454 - "</f>
        <v xml:space="preserve">000269454 - </v>
      </c>
      <c r="D8375" s="1" t="str">
        <f>"PRG-1031985"</f>
        <v>PRG-1031985</v>
      </c>
      <c r="E8375" t="s">
        <v>2455</v>
      </c>
      <c r="F8375" t="s">
        <v>4</v>
      </c>
      <c r="G8375" t="str">
        <f>""</f>
        <v/>
      </c>
    </row>
    <row r="8376" spans="1:7" x14ac:dyDescent="0.25">
      <c r="A8376" t="s">
        <v>8</v>
      </c>
      <c r="B8376" s="1" t="str">
        <f>"000291150 - "</f>
        <v xml:space="preserve">000291150 - </v>
      </c>
      <c r="D8376" s="1" t="str">
        <f>"PRG-1031985"</f>
        <v>PRG-1031985</v>
      </c>
      <c r="E8376" t="s">
        <v>2455</v>
      </c>
      <c r="F8376" t="s">
        <v>4</v>
      </c>
      <c r="G8376" t="str">
        <f>""</f>
        <v/>
      </c>
    </row>
    <row r="8377" spans="1:7" x14ac:dyDescent="0.25">
      <c r="A8377" t="s">
        <v>8</v>
      </c>
      <c r="B8377" s="1" t="str">
        <f>"2000206890 - RICH'S FOOD-IHOP"</f>
        <v>2000206890 - RICH'S FOOD-IHOP</v>
      </c>
      <c r="C8377" t="s">
        <v>3947</v>
      </c>
      <c r="D8377" s="1" t="str">
        <f>"PRG-1031985"</f>
        <v>PRG-1031985</v>
      </c>
      <c r="E8377" t="s">
        <v>2455</v>
      </c>
      <c r="F8377" t="s">
        <v>4</v>
      </c>
      <c r="G8377" t="str">
        <f>""</f>
        <v/>
      </c>
    </row>
    <row r="8378" spans="1:7" x14ac:dyDescent="0.25">
      <c r="A8378" t="s">
        <v>8</v>
      </c>
      <c r="B8378" s="1" t="str">
        <f>"S9U00L50"</f>
        <v>S9U00L50</v>
      </c>
      <c r="C8378" t="s">
        <v>6378</v>
      </c>
      <c r="D8378" s="1" t="str">
        <f>"PRG-1032013"</f>
        <v>PRG-1032013</v>
      </c>
      <c r="E8378" t="s">
        <v>6379</v>
      </c>
      <c r="F8378" t="s">
        <v>5</v>
      </c>
      <c r="G8378" t="str">
        <f>""</f>
        <v/>
      </c>
    </row>
    <row r="8379" spans="1:7" x14ac:dyDescent="0.25">
      <c r="A8379" t="s">
        <v>8</v>
      </c>
      <c r="B8379" s="1" t="str">
        <f>"000334081 - RICH SWEET HUT BAKERY"</f>
        <v>000334081 - RICH SWEET HUT BAKERY</v>
      </c>
      <c r="C8379" t="s">
        <v>3378</v>
      </c>
      <c r="D8379" s="1" t="str">
        <f>"PRG-1032052"</f>
        <v>PRG-1032052</v>
      </c>
      <c r="E8379" t="s">
        <v>3379</v>
      </c>
      <c r="F8379" t="s">
        <v>4</v>
      </c>
      <c r="G8379" t="str">
        <f>""</f>
        <v/>
      </c>
    </row>
    <row r="8380" spans="1:7" x14ac:dyDescent="0.25">
      <c r="A8380" t="s">
        <v>8</v>
      </c>
      <c r="B8380" s="1" t="str">
        <f>"000035299 - CASA DI BERTACCHI-SODEXO"</f>
        <v>000035299 - CASA DI BERTACCHI-SODEXO</v>
      </c>
      <c r="C8380" t="s">
        <v>378</v>
      </c>
      <c r="D8380" s="1" t="str">
        <f t="shared" ref="D8380:D8395" si="235">"PRG-1032078"</f>
        <v>PRG-1032078</v>
      </c>
      <c r="E8380" t="s">
        <v>36</v>
      </c>
      <c r="F8380" t="s">
        <v>4</v>
      </c>
      <c r="G8380" t="str">
        <f>""</f>
        <v/>
      </c>
    </row>
    <row r="8381" spans="1:7" x14ac:dyDescent="0.25">
      <c r="A8381" t="s">
        <v>8</v>
      </c>
      <c r="B8381" s="1" t="str">
        <f>"000041879 - CASA DI BERTACCHI-SODEXO"</f>
        <v>000041879 - CASA DI BERTACCHI-SODEXO</v>
      </c>
      <c r="C8381" t="s">
        <v>378</v>
      </c>
      <c r="D8381" s="1" t="str">
        <f t="shared" si="235"/>
        <v>PRG-1032078</v>
      </c>
      <c r="E8381" t="s">
        <v>36</v>
      </c>
      <c r="F8381" t="s">
        <v>4</v>
      </c>
      <c r="G8381" t="str">
        <f>""</f>
        <v/>
      </c>
    </row>
    <row r="8382" spans="1:7" x14ac:dyDescent="0.25">
      <c r="A8382" t="s">
        <v>8</v>
      </c>
      <c r="B8382" s="1" t="str">
        <f>"000132055 - CASA DI BERTACCHI-SODEXO"</f>
        <v>000132055 - CASA DI BERTACCHI-SODEXO</v>
      </c>
      <c r="C8382" t="s">
        <v>378</v>
      </c>
      <c r="D8382" s="1" t="str">
        <f t="shared" si="235"/>
        <v>PRG-1032078</v>
      </c>
      <c r="E8382" t="s">
        <v>36</v>
      </c>
      <c r="F8382" t="s">
        <v>4</v>
      </c>
      <c r="G8382" t="str">
        <f>""</f>
        <v/>
      </c>
    </row>
    <row r="8383" spans="1:7" x14ac:dyDescent="0.25">
      <c r="A8383" t="s">
        <v>8</v>
      </c>
      <c r="B8383" s="1" t="str">
        <f>"000189547 - CASA DI BERTACCHI-SODEXO"</f>
        <v>000189547 - CASA DI BERTACCHI-SODEXO</v>
      </c>
      <c r="C8383" t="s">
        <v>378</v>
      </c>
      <c r="D8383" s="1" t="str">
        <f t="shared" si="235"/>
        <v>PRG-1032078</v>
      </c>
      <c r="E8383" t="s">
        <v>36</v>
      </c>
      <c r="F8383" t="s">
        <v>4</v>
      </c>
      <c r="G8383" t="str">
        <f>""</f>
        <v/>
      </c>
    </row>
    <row r="8384" spans="1:7" x14ac:dyDescent="0.25">
      <c r="A8384" t="s">
        <v>8</v>
      </c>
      <c r="B8384" s="1" t="str">
        <f>"000189735 - CASA DI BERTACCHI-SODEXO"</f>
        <v>000189735 - CASA DI BERTACCHI-SODEXO</v>
      </c>
      <c r="C8384" t="s">
        <v>378</v>
      </c>
      <c r="D8384" s="1" t="str">
        <f t="shared" si="235"/>
        <v>PRG-1032078</v>
      </c>
      <c r="E8384" t="s">
        <v>36</v>
      </c>
      <c r="F8384" t="s">
        <v>4</v>
      </c>
      <c r="G8384" t="str">
        <f>""</f>
        <v/>
      </c>
    </row>
    <row r="8385" spans="1:7" x14ac:dyDescent="0.25">
      <c r="A8385" t="s">
        <v>8</v>
      </c>
      <c r="B8385" s="1" t="str">
        <f>"000207882 - VOID  CASA DE BERTACCI-SODEXO"</f>
        <v>000207882 - VOID  CASA DE BERTACCI-SODEXO</v>
      </c>
      <c r="C8385" t="s">
        <v>637</v>
      </c>
      <c r="D8385" s="1" t="str">
        <f t="shared" si="235"/>
        <v>PRG-1032078</v>
      </c>
      <c r="E8385" t="s">
        <v>36</v>
      </c>
      <c r="F8385" t="s">
        <v>4</v>
      </c>
      <c r="G8385" t="str">
        <f>""</f>
        <v/>
      </c>
    </row>
    <row r="8386" spans="1:7" x14ac:dyDescent="0.25">
      <c r="A8386" t="s">
        <v>8</v>
      </c>
      <c r="B8386" s="1" t="str">
        <f>"000221774 - CASA DI BERTACCHI-SODEXO"</f>
        <v>000221774 - CASA DI BERTACCHI-SODEXO</v>
      </c>
      <c r="C8386" t="s">
        <v>378</v>
      </c>
      <c r="D8386" s="1" t="str">
        <f t="shared" si="235"/>
        <v>PRG-1032078</v>
      </c>
      <c r="E8386" t="s">
        <v>36</v>
      </c>
      <c r="F8386" t="s">
        <v>4</v>
      </c>
      <c r="G8386" t="str">
        <f>""</f>
        <v/>
      </c>
    </row>
    <row r="8387" spans="1:7" x14ac:dyDescent="0.25">
      <c r="A8387" t="s">
        <v>8</v>
      </c>
      <c r="B8387" s="1" t="str">
        <f>"000222640 - CASA DI BERTACCHI-SODEXO"</f>
        <v>000222640 - CASA DI BERTACCHI-SODEXO</v>
      </c>
      <c r="C8387" t="s">
        <v>378</v>
      </c>
      <c r="D8387" s="1" t="str">
        <f t="shared" si="235"/>
        <v>PRG-1032078</v>
      </c>
      <c r="E8387" t="s">
        <v>36</v>
      </c>
      <c r="F8387" t="s">
        <v>4</v>
      </c>
      <c r="G8387" t="str">
        <f>""</f>
        <v/>
      </c>
    </row>
    <row r="8388" spans="1:7" x14ac:dyDescent="0.25">
      <c r="A8388" t="s">
        <v>8</v>
      </c>
      <c r="B8388" s="1" t="str">
        <f>"000227275 - CASA DI BERTACCHI-SODEXO"</f>
        <v>000227275 - CASA DI BERTACCHI-SODEXO</v>
      </c>
      <c r="C8388" t="s">
        <v>378</v>
      </c>
      <c r="D8388" s="1" t="str">
        <f t="shared" si="235"/>
        <v>PRG-1032078</v>
      </c>
      <c r="E8388" t="s">
        <v>36</v>
      </c>
      <c r="F8388" t="s">
        <v>4</v>
      </c>
      <c r="G8388" t="str">
        <f>""</f>
        <v/>
      </c>
    </row>
    <row r="8389" spans="1:7" x14ac:dyDescent="0.25">
      <c r="A8389" t="s">
        <v>8</v>
      </c>
      <c r="B8389" s="1" t="str">
        <f>"000242001 - CASA DI BERTACCHI-SODEXO"</f>
        <v>000242001 - CASA DI BERTACCHI-SODEXO</v>
      </c>
      <c r="C8389" t="s">
        <v>378</v>
      </c>
      <c r="D8389" s="1" t="str">
        <f t="shared" si="235"/>
        <v>PRG-1032078</v>
      </c>
      <c r="E8389" t="s">
        <v>36</v>
      </c>
      <c r="F8389" t="s">
        <v>4</v>
      </c>
      <c r="G8389" t="str">
        <f>""</f>
        <v/>
      </c>
    </row>
    <row r="8390" spans="1:7" x14ac:dyDescent="0.25">
      <c r="A8390" t="s">
        <v>8</v>
      </c>
      <c r="B8390" s="1" t="str">
        <f>"000252408 - CASA DI BERTACCHI-SODEXO"</f>
        <v>000252408 - CASA DI BERTACCHI-SODEXO</v>
      </c>
      <c r="C8390" t="s">
        <v>378</v>
      </c>
      <c r="D8390" s="1" t="str">
        <f t="shared" si="235"/>
        <v>PRG-1032078</v>
      </c>
      <c r="E8390" t="s">
        <v>36</v>
      </c>
      <c r="F8390" t="s">
        <v>4</v>
      </c>
      <c r="G8390" t="str">
        <f>""</f>
        <v/>
      </c>
    </row>
    <row r="8391" spans="1:7" x14ac:dyDescent="0.25">
      <c r="A8391" t="s">
        <v>8</v>
      </c>
      <c r="B8391" s="1" t="str">
        <f>"000261882 - VOID  CASA DE BERTACCI-SODEXO"</f>
        <v>000261882 - VOID  CASA DE BERTACCI-SODEXO</v>
      </c>
      <c r="C8391" t="s">
        <v>637</v>
      </c>
      <c r="D8391" s="1" t="str">
        <f t="shared" si="235"/>
        <v>PRG-1032078</v>
      </c>
      <c r="E8391" t="s">
        <v>36</v>
      </c>
      <c r="F8391" t="s">
        <v>4</v>
      </c>
      <c r="G8391" t="str">
        <f>""</f>
        <v/>
      </c>
    </row>
    <row r="8392" spans="1:7" x14ac:dyDescent="0.25">
      <c r="A8392" t="s">
        <v>8</v>
      </c>
      <c r="B8392" s="1" t="str">
        <f>"000268964 - VOID  CASA DE BERTACCI-SODEXO"</f>
        <v>000268964 - VOID  CASA DE BERTACCI-SODEXO</v>
      </c>
      <c r="C8392" t="s">
        <v>637</v>
      </c>
      <c r="D8392" s="1" t="str">
        <f t="shared" si="235"/>
        <v>PRG-1032078</v>
      </c>
      <c r="E8392" t="s">
        <v>36</v>
      </c>
      <c r="F8392" t="s">
        <v>4</v>
      </c>
      <c r="G8392" t="str">
        <f>""</f>
        <v/>
      </c>
    </row>
    <row r="8393" spans="1:7" x14ac:dyDescent="0.25">
      <c r="A8393" t="s">
        <v>8</v>
      </c>
      <c r="B8393" s="1" t="str">
        <f>"000286573 - CASA DI BERTACCHI-SODEXO"</f>
        <v>000286573 - CASA DI BERTACCHI-SODEXO</v>
      </c>
      <c r="C8393" t="s">
        <v>378</v>
      </c>
      <c r="D8393" s="1" t="str">
        <f t="shared" si="235"/>
        <v>PRG-1032078</v>
      </c>
      <c r="E8393" t="s">
        <v>36</v>
      </c>
      <c r="F8393" t="s">
        <v>4</v>
      </c>
      <c r="G8393" t="str">
        <f>""</f>
        <v/>
      </c>
    </row>
    <row r="8394" spans="1:7" x14ac:dyDescent="0.25">
      <c r="A8394" t="s">
        <v>8</v>
      </c>
      <c r="B8394" s="1" t="str">
        <f>"000305831 - CASA DI BERTACCHI-SODEXO"</f>
        <v>000305831 - CASA DI BERTACCHI-SODEXO</v>
      </c>
      <c r="C8394" t="s">
        <v>378</v>
      </c>
      <c r="D8394" s="1" t="str">
        <f t="shared" si="235"/>
        <v>PRG-1032078</v>
      </c>
      <c r="E8394" t="s">
        <v>36</v>
      </c>
      <c r="F8394" t="s">
        <v>4</v>
      </c>
      <c r="G8394" t="str">
        <f>""</f>
        <v/>
      </c>
    </row>
    <row r="8395" spans="1:7" x14ac:dyDescent="0.25">
      <c r="A8395" t="s">
        <v>8</v>
      </c>
      <c r="B8395" s="1" t="str">
        <f>"000331149 - CASA DI BERTACCHI-SODEXO"</f>
        <v>000331149 - CASA DI BERTACCHI-SODEXO</v>
      </c>
      <c r="C8395" t="s">
        <v>378</v>
      </c>
      <c r="D8395" s="1" t="str">
        <f t="shared" si="235"/>
        <v>PRG-1032078</v>
      </c>
      <c r="E8395" t="s">
        <v>36</v>
      </c>
      <c r="F8395" t="s">
        <v>4</v>
      </c>
      <c r="G8395" t="str">
        <f>""</f>
        <v/>
      </c>
    </row>
    <row r="8396" spans="1:7" x14ac:dyDescent="0.25">
      <c r="A8396" t="s">
        <v>8</v>
      </c>
      <c r="B8396" s="1" t="str">
        <f>"000348768 - RICH PROD HOMETOWN MEATS"</f>
        <v>000348768 - RICH PROD HOMETOWN MEATS</v>
      </c>
      <c r="C8396" t="s">
        <v>3483</v>
      </c>
      <c r="D8396" s="1" t="str">
        <f>"PRG-1032191"</f>
        <v>PRG-1032191</v>
      </c>
      <c r="E8396" t="s">
        <v>3484</v>
      </c>
      <c r="F8396" t="s">
        <v>4</v>
      </c>
      <c r="G8396" t="str">
        <f>""</f>
        <v/>
      </c>
    </row>
    <row r="8397" spans="1:7" x14ac:dyDescent="0.25">
      <c r="A8397" t="s">
        <v>8</v>
      </c>
      <c r="B8397" s="1" t="str">
        <f>"000250433 - RICH UNITED SPORTS"</f>
        <v>000250433 - RICH UNITED SPORTS</v>
      </c>
      <c r="C8397" t="s">
        <v>2093</v>
      </c>
      <c r="D8397" s="1" t="str">
        <f>"PRG-1032197"</f>
        <v>PRG-1032197</v>
      </c>
      <c r="E8397" t="s">
        <v>2094</v>
      </c>
      <c r="F8397" t="s">
        <v>4</v>
      </c>
      <c r="G8397" t="str">
        <f>""</f>
        <v/>
      </c>
    </row>
    <row r="8398" spans="1:7" x14ac:dyDescent="0.25">
      <c r="A8398" t="s">
        <v>8</v>
      </c>
      <c r="B8398" s="1" t="str">
        <f>"000324068 - LOL STATION RICH PRODUCT'S"</f>
        <v>000324068 - LOL STATION RICH PRODUCT'S</v>
      </c>
      <c r="C8398" t="s">
        <v>3276</v>
      </c>
      <c r="D8398" s="1" t="str">
        <f>"PRG-1032222"</f>
        <v>PRG-1032222</v>
      </c>
      <c r="E8398" t="s">
        <v>3277</v>
      </c>
      <c r="F8398" t="s">
        <v>4</v>
      </c>
      <c r="G8398" t="str">
        <f>""</f>
        <v/>
      </c>
    </row>
    <row r="8399" spans="1:7" x14ac:dyDescent="0.25">
      <c r="A8399" t="s">
        <v>8</v>
      </c>
      <c r="B8399" s="1" t="str">
        <f>"000344087 - LOL STATION RICH PRODUCT'S"</f>
        <v>000344087 - LOL STATION RICH PRODUCT'S</v>
      </c>
      <c r="C8399" t="s">
        <v>3276</v>
      </c>
      <c r="D8399" s="1" t="str">
        <f>"PRG-1032222"</f>
        <v>PRG-1032222</v>
      </c>
      <c r="E8399" t="s">
        <v>3277</v>
      </c>
      <c r="F8399" t="s">
        <v>4</v>
      </c>
      <c r="G8399" t="str">
        <f>""</f>
        <v/>
      </c>
    </row>
    <row r="8400" spans="1:7" x14ac:dyDescent="0.25">
      <c r="A8400" t="s">
        <v>8</v>
      </c>
      <c r="B8400" s="1" t="str">
        <f>"000045124 - RICH FDS BB CORE-ARA EX-SSS"</f>
        <v>000045124 - RICH FDS BB CORE-ARA EX-SSS</v>
      </c>
      <c r="C8400" t="s">
        <v>570</v>
      </c>
      <c r="D8400" s="1" t="str">
        <f t="shared" ref="D8400:D8463" si="236">"PRG-1032233"</f>
        <v>PRG-1032233</v>
      </c>
      <c r="E8400" t="s">
        <v>82</v>
      </c>
      <c r="F8400" t="s">
        <v>4</v>
      </c>
      <c r="G8400" t="str">
        <f>""</f>
        <v/>
      </c>
    </row>
    <row r="8401" spans="1:7" x14ac:dyDescent="0.25">
      <c r="A8401" t="s">
        <v>8</v>
      </c>
      <c r="B8401" s="1" t="str">
        <f>"000055582 - RICH FDS BB NCORE-ARA EX-SSS"</f>
        <v>000055582 - RICH FDS BB NCORE-ARA EX-SSS</v>
      </c>
      <c r="C8401" t="s">
        <v>571</v>
      </c>
      <c r="D8401" s="1" t="str">
        <f t="shared" si="236"/>
        <v>PRG-1032233</v>
      </c>
      <c r="E8401" t="s">
        <v>82</v>
      </c>
      <c r="F8401" t="s">
        <v>4</v>
      </c>
      <c r="G8401" t="str">
        <f>""</f>
        <v/>
      </c>
    </row>
    <row r="8402" spans="1:7" x14ac:dyDescent="0.25">
      <c r="A8402" t="s">
        <v>8</v>
      </c>
      <c r="B8402" s="1" t="str">
        <f>"000055583 - RICH FDS BB CORE-ARA EX-SSS"</f>
        <v>000055583 - RICH FDS BB CORE-ARA EX-SSS</v>
      </c>
      <c r="C8402" t="s">
        <v>570</v>
      </c>
      <c r="D8402" s="1" t="str">
        <f t="shared" si="236"/>
        <v>PRG-1032233</v>
      </c>
      <c r="E8402" t="s">
        <v>82</v>
      </c>
      <c r="F8402" t="s">
        <v>4</v>
      </c>
      <c r="G8402" t="str">
        <f>""</f>
        <v/>
      </c>
    </row>
    <row r="8403" spans="1:7" x14ac:dyDescent="0.25">
      <c r="A8403" t="s">
        <v>8</v>
      </c>
      <c r="B8403" s="1" t="str">
        <f>"000056831 - RICH FDS NCORE BB-ARA EX-SSS"</f>
        <v>000056831 - RICH FDS NCORE BB-ARA EX-SSS</v>
      </c>
      <c r="C8403" t="s">
        <v>617</v>
      </c>
      <c r="D8403" s="1" t="str">
        <f t="shared" si="236"/>
        <v>PRG-1032233</v>
      </c>
      <c r="E8403" t="s">
        <v>82</v>
      </c>
      <c r="F8403" t="s">
        <v>4</v>
      </c>
      <c r="G8403" t="str">
        <f>""</f>
        <v/>
      </c>
    </row>
    <row r="8404" spans="1:7" x14ac:dyDescent="0.25">
      <c r="A8404" t="s">
        <v>8</v>
      </c>
      <c r="B8404" s="1" t="str">
        <f>"000056832 - RICH FDS CORE BB-ARA EX-SSS"</f>
        <v>000056832 - RICH FDS CORE BB-ARA EX-SSS</v>
      </c>
      <c r="C8404" t="s">
        <v>618</v>
      </c>
      <c r="D8404" s="1" t="str">
        <f t="shared" si="236"/>
        <v>PRG-1032233</v>
      </c>
      <c r="E8404" t="s">
        <v>82</v>
      </c>
      <c r="F8404" t="s">
        <v>4</v>
      </c>
      <c r="G8404" t="str">
        <f>""</f>
        <v/>
      </c>
    </row>
    <row r="8405" spans="1:7" x14ac:dyDescent="0.25">
      <c r="A8405" t="s">
        <v>8</v>
      </c>
      <c r="B8405" s="1" t="str">
        <f>"000061171 - RICH FDS NCORE BB-MAIN ARAMARK"</f>
        <v>000061171 - RICH FDS NCORE BB-MAIN ARAMARK</v>
      </c>
      <c r="C8405" t="s">
        <v>194</v>
      </c>
      <c r="D8405" s="1" t="str">
        <f t="shared" si="236"/>
        <v>PRG-1032233</v>
      </c>
      <c r="E8405" t="s">
        <v>82</v>
      </c>
      <c r="F8405" t="s">
        <v>4</v>
      </c>
      <c r="G8405" t="str">
        <f>""</f>
        <v/>
      </c>
    </row>
    <row r="8406" spans="1:7" x14ac:dyDescent="0.25">
      <c r="A8406" t="s">
        <v>8</v>
      </c>
      <c r="B8406" s="1" t="str">
        <f>"000061172 - RICH FDS CORE BB-MAIN ARAMARK"</f>
        <v>000061172 - RICH FDS CORE BB-MAIN ARAMARK</v>
      </c>
      <c r="C8406" t="s">
        <v>196</v>
      </c>
      <c r="D8406" s="1" t="str">
        <f t="shared" si="236"/>
        <v>PRG-1032233</v>
      </c>
      <c r="E8406" t="s">
        <v>82</v>
      </c>
      <c r="F8406" t="s">
        <v>4</v>
      </c>
      <c r="G8406" t="str">
        <f>""</f>
        <v/>
      </c>
    </row>
    <row r="8407" spans="1:7" x14ac:dyDescent="0.25">
      <c r="A8407" t="s">
        <v>8</v>
      </c>
      <c r="B8407" s="1" t="str">
        <f>"000061196 - RICH FDS NCORE BB-MAIN ARAMARK"</f>
        <v>000061196 - RICH FDS NCORE BB-MAIN ARAMARK</v>
      </c>
      <c r="C8407" t="s">
        <v>194</v>
      </c>
      <c r="D8407" s="1" t="str">
        <f t="shared" si="236"/>
        <v>PRG-1032233</v>
      </c>
      <c r="E8407" t="s">
        <v>82</v>
      </c>
      <c r="F8407" t="s">
        <v>4</v>
      </c>
      <c r="G8407" t="str">
        <f>""</f>
        <v/>
      </c>
    </row>
    <row r="8408" spans="1:7" x14ac:dyDescent="0.25">
      <c r="A8408" t="s">
        <v>8</v>
      </c>
      <c r="B8408" s="1" t="str">
        <f>"000061197 - RICH FDS NCORE BB-MAIN ARAMARK"</f>
        <v>000061197 - RICH FDS NCORE BB-MAIN ARAMARK</v>
      </c>
      <c r="C8408" t="s">
        <v>194</v>
      </c>
      <c r="D8408" s="1" t="str">
        <f t="shared" si="236"/>
        <v>PRG-1032233</v>
      </c>
      <c r="E8408" t="s">
        <v>82</v>
      </c>
      <c r="F8408" t="s">
        <v>4</v>
      </c>
      <c r="G8408" t="str">
        <f>""</f>
        <v/>
      </c>
    </row>
    <row r="8409" spans="1:7" x14ac:dyDescent="0.25">
      <c r="A8409" t="s">
        <v>8</v>
      </c>
      <c r="B8409" s="1" t="str">
        <f>"000061221 - RICH FDS NCORE BB-MAIN ARAMARK"</f>
        <v>000061221 - RICH FDS NCORE BB-MAIN ARAMARK</v>
      </c>
      <c r="C8409" t="s">
        <v>194</v>
      </c>
      <c r="D8409" s="1" t="str">
        <f t="shared" si="236"/>
        <v>PRG-1032233</v>
      </c>
      <c r="E8409" t="s">
        <v>82</v>
      </c>
      <c r="F8409" t="s">
        <v>4</v>
      </c>
      <c r="G8409" t="str">
        <f>""</f>
        <v/>
      </c>
    </row>
    <row r="8410" spans="1:7" x14ac:dyDescent="0.25">
      <c r="A8410" t="s">
        <v>8</v>
      </c>
      <c r="B8410" s="1" t="str">
        <f>"000105300 - RICHS FDS NCORE BB-SSS ARAMARK"</f>
        <v>000105300 - RICHS FDS NCORE BB-SSS ARAMARK</v>
      </c>
      <c r="C8410" t="s">
        <v>558</v>
      </c>
      <c r="D8410" s="1" t="str">
        <f t="shared" si="236"/>
        <v>PRG-1032233</v>
      </c>
      <c r="E8410" t="s">
        <v>82</v>
      </c>
      <c r="F8410" t="s">
        <v>4</v>
      </c>
      <c r="G8410" t="str">
        <f>""</f>
        <v/>
      </c>
    </row>
    <row r="8411" spans="1:7" x14ac:dyDescent="0.25">
      <c r="A8411" t="s">
        <v>8</v>
      </c>
      <c r="B8411" s="1" t="str">
        <f>"000113717 - RICH FDS BB NCORE-ARA EX-SSS"</f>
        <v>000113717 - RICH FDS BB NCORE-ARA EX-SSS</v>
      </c>
      <c r="C8411" t="s">
        <v>571</v>
      </c>
      <c r="D8411" s="1" t="str">
        <f t="shared" si="236"/>
        <v>PRG-1032233</v>
      </c>
      <c r="E8411" t="s">
        <v>82</v>
      </c>
      <c r="F8411" t="s">
        <v>4</v>
      </c>
      <c r="G8411" t="str">
        <f>""</f>
        <v/>
      </c>
    </row>
    <row r="8412" spans="1:7" x14ac:dyDescent="0.25">
      <c r="A8412" t="s">
        <v>8</v>
      </c>
      <c r="B8412" s="1" t="str">
        <f>"000113718 - RICH FDS BB CORE-ARA EX-SSS"</f>
        <v>000113718 - RICH FDS BB CORE-ARA EX-SSS</v>
      </c>
      <c r="C8412" t="s">
        <v>570</v>
      </c>
      <c r="D8412" s="1" t="str">
        <f t="shared" si="236"/>
        <v>PRG-1032233</v>
      </c>
      <c r="E8412" t="s">
        <v>82</v>
      </c>
      <c r="F8412" t="s">
        <v>4</v>
      </c>
      <c r="G8412" t="str">
        <f>""</f>
        <v/>
      </c>
    </row>
    <row r="8413" spans="1:7" x14ac:dyDescent="0.25">
      <c r="A8413" t="s">
        <v>8</v>
      </c>
      <c r="B8413" s="1" t="str">
        <f>"000113734 - RICH FDS BB NCORE-ARA EX-SSS"</f>
        <v>000113734 - RICH FDS BB NCORE-ARA EX-SSS</v>
      </c>
      <c r="C8413" t="s">
        <v>571</v>
      </c>
      <c r="D8413" s="1" t="str">
        <f t="shared" si="236"/>
        <v>PRG-1032233</v>
      </c>
      <c r="E8413" t="s">
        <v>82</v>
      </c>
      <c r="F8413" t="s">
        <v>4</v>
      </c>
      <c r="G8413" t="str">
        <f>""</f>
        <v/>
      </c>
    </row>
    <row r="8414" spans="1:7" x14ac:dyDescent="0.25">
      <c r="A8414" t="s">
        <v>8</v>
      </c>
      <c r="B8414" s="1" t="str">
        <f>"000113735 - RICH FDS BB CORE-ARA EX-SSS"</f>
        <v>000113735 - RICH FDS BB CORE-ARA EX-SSS</v>
      </c>
      <c r="C8414" t="s">
        <v>570</v>
      </c>
      <c r="D8414" s="1" t="str">
        <f t="shared" si="236"/>
        <v>PRG-1032233</v>
      </c>
      <c r="E8414" t="s">
        <v>82</v>
      </c>
      <c r="F8414" t="s">
        <v>4</v>
      </c>
      <c r="G8414" t="str">
        <f>""</f>
        <v/>
      </c>
    </row>
    <row r="8415" spans="1:7" x14ac:dyDescent="0.25">
      <c r="A8415" t="s">
        <v>8</v>
      </c>
      <c r="B8415" s="1" t="str">
        <f>"000114673 - RICH FDS BB NCORE-ARA EX-SSS"</f>
        <v>000114673 - RICH FDS BB NCORE-ARA EX-SSS</v>
      </c>
      <c r="C8415" t="s">
        <v>571</v>
      </c>
      <c r="D8415" s="1" t="str">
        <f t="shared" si="236"/>
        <v>PRG-1032233</v>
      </c>
      <c r="E8415" t="s">
        <v>82</v>
      </c>
      <c r="F8415" t="s">
        <v>4</v>
      </c>
      <c r="G8415" t="str">
        <f>""</f>
        <v/>
      </c>
    </row>
    <row r="8416" spans="1:7" x14ac:dyDescent="0.25">
      <c r="A8416" t="s">
        <v>8</v>
      </c>
      <c r="B8416" s="1" t="str">
        <f>"000114675 - RICH FDS BB CORE-ARA EX-SSS"</f>
        <v>000114675 - RICH FDS BB CORE-ARA EX-SSS</v>
      </c>
      <c r="C8416" t="s">
        <v>570</v>
      </c>
      <c r="D8416" s="1" t="str">
        <f t="shared" si="236"/>
        <v>PRG-1032233</v>
      </c>
      <c r="E8416" t="s">
        <v>82</v>
      </c>
      <c r="F8416" t="s">
        <v>4</v>
      </c>
      <c r="G8416" t="str">
        <f>""</f>
        <v/>
      </c>
    </row>
    <row r="8417" spans="1:7" x14ac:dyDescent="0.25">
      <c r="A8417" t="s">
        <v>8</v>
      </c>
      <c r="B8417" s="1" t="str">
        <f>"000114698 - Rich's Bread-Sodexo"</f>
        <v>000114698 - Rich's Bread-Sodexo</v>
      </c>
      <c r="C8417" t="s">
        <v>857</v>
      </c>
      <c r="D8417" s="1" t="str">
        <f t="shared" si="236"/>
        <v>PRG-1032233</v>
      </c>
      <c r="E8417" t="s">
        <v>82</v>
      </c>
      <c r="F8417" t="s">
        <v>4</v>
      </c>
      <c r="G8417" t="str">
        <f>""</f>
        <v/>
      </c>
    </row>
    <row r="8418" spans="1:7" x14ac:dyDescent="0.25">
      <c r="A8418" t="s">
        <v>8</v>
      </c>
      <c r="B8418" s="1" t="str">
        <f>"000114912 - RICH FDS NCORE BB-ARA EX-SSS"</f>
        <v>000114912 - RICH FDS NCORE BB-ARA EX-SSS</v>
      </c>
      <c r="C8418" t="s">
        <v>617</v>
      </c>
      <c r="D8418" s="1" t="str">
        <f t="shared" si="236"/>
        <v>PRG-1032233</v>
      </c>
      <c r="E8418" t="s">
        <v>82</v>
      </c>
      <c r="F8418" t="s">
        <v>4</v>
      </c>
      <c r="G8418" t="str">
        <f>""</f>
        <v/>
      </c>
    </row>
    <row r="8419" spans="1:7" x14ac:dyDescent="0.25">
      <c r="A8419" t="s">
        <v>8</v>
      </c>
      <c r="B8419" s="1" t="str">
        <f>"000114913 - RICH FDS CORE BB-ARA EX-SSS"</f>
        <v>000114913 - RICH FDS CORE BB-ARA EX-SSS</v>
      </c>
      <c r="C8419" t="s">
        <v>618</v>
      </c>
      <c r="D8419" s="1" t="str">
        <f t="shared" si="236"/>
        <v>PRG-1032233</v>
      </c>
      <c r="E8419" t="s">
        <v>82</v>
      </c>
      <c r="F8419" t="s">
        <v>4</v>
      </c>
      <c r="G8419" t="str">
        <f>""</f>
        <v/>
      </c>
    </row>
    <row r="8420" spans="1:7" x14ac:dyDescent="0.25">
      <c r="A8420" t="s">
        <v>8</v>
      </c>
      <c r="B8420" s="1" t="str">
        <f>"000118964 - RICH FDS NCORE BB-MAIN ARAMARK"</f>
        <v>000118964 - RICH FDS NCORE BB-MAIN ARAMARK</v>
      </c>
      <c r="C8420" t="s">
        <v>194</v>
      </c>
      <c r="D8420" s="1" t="str">
        <f t="shared" si="236"/>
        <v>PRG-1032233</v>
      </c>
      <c r="E8420" t="s">
        <v>82</v>
      </c>
      <c r="F8420" t="s">
        <v>4</v>
      </c>
      <c r="G8420" t="str">
        <f>""</f>
        <v/>
      </c>
    </row>
    <row r="8421" spans="1:7" x14ac:dyDescent="0.25">
      <c r="A8421" t="s">
        <v>8</v>
      </c>
      <c r="B8421" s="1" t="str">
        <f>"000118965 - RICH FDS CORE BB-MAIN ARAMARK"</f>
        <v>000118965 - RICH FDS CORE BB-MAIN ARAMARK</v>
      </c>
      <c r="C8421" t="s">
        <v>196</v>
      </c>
      <c r="D8421" s="1" t="str">
        <f t="shared" si="236"/>
        <v>PRG-1032233</v>
      </c>
      <c r="E8421" t="s">
        <v>82</v>
      </c>
      <c r="F8421" t="s">
        <v>4</v>
      </c>
      <c r="G8421" t="str">
        <f>""</f>
        <v/>
      </c>
    </row>
    <row r="8422" spans="1:7" x14ac:dyDescent="0.25">
      <c r="A8422" t="s">
        <v>8</v>
      </c>
      <c r="B8422" s="1" t="str">
        <f>"000119037 - RICH FDS ARAM BB (CORE) EX-SSS"</f>
        <v>000119037 - RICH FDS ARAM BB (CORE) EX-SSS</v>
      </c>
      <c r="C8422" t="s">
        <v>877</v>
      </c>
      <c r="D8422" s="1" t="str">
        <f t="shared" si="236"/>
        <v>PRG-1032233</v>
      </c>
      <c r="E8422" t="s">
        <v>82</v>
      </c>
      <c r="F8422" t="s">
        <v>4</v>
      </c>
      <c r="G8422" t="str">
        <f>""</f>
        <v/>
      </c>
    </row>
    <row r="8423" spans="1:7" x14ac:dyDescent="0.25">
      <c r="A8423" t="s">
        <v>8</v>
      </c>
      <c r="B8423" s="1" t="str">
        <f>"000119038 - RICH FDS ARAM BB (NCOR) EX-SSS"</f>
        <v>000119038 - RICH FDS ARAM BB (NCOR) EX-SSS</v>
      </c>
      <c r="C8423" t="s">
        <v>878</v>
      </c>
      <c r="D8423" s="1" t="str">
        <f t="shared" si="236"/>
        <v>PRG-1032233</v>
      </c>
      <c r="E8423" t="s">
        <v>82</v>
      </c>
      <c r="F8423" t="s">
        <v>4</v>
      </c>
      <c r="G8423" t="str">
        <f>""</f>
        <v/>
      </c>
    </row>
    <row r="8424" spans="1:7" x14ac:dyDescent="0.25">
      <c r="A8424" t="s">
        <v>8</v>
      </c>
      <c r="B8424" s="1" t="str">
        <f>"000127556 - RICHS FDS NCORE BB-SSS ARAMARK"</f>
        <v>000127556 - RICHS FDS NCORE BB-SSS ARAMARK</v>
      </c>
      <c r="C8424" t="s">
        <v>558</v>
      </c>
      <c r="D8424" s="1" t="str">
        <f t="shared" si="236"/>
        <v>PRG-1032233</v>
      </c>
      <c r="E8424" t="s">
        <v>82</v>
      </c>
      <c r="F8424" t="s">
        <v>4</v>
      </c>
      <c r="G8424" t="str">
        <f>""</f>
        <v/>
      </c>
    </row>
    <row r="8425" spans="1:7" x14ac:dyDescent="0.25">
      <c r="A8425" t="s">
        <v>8</v>
      </c>
      <c r="B8425" s="1" t="str">
        <f>"000135030 - RICH FDS BB NCORE-ARA EX-SSS"</f>
        <v>000135030 - RICH FDS BB NCORE-ARA EX-SSS</v>
      </c>
      <c r="C8425" t="s">
        <v>571</v>
      </c>
      <c r="D8425" s="1" t="str">
        <f t="shared" si="236"/>
        <v>PRG-1032233</v>
      </c>
      <c r="E8425" t="s">
        <v>82</v>
      </c>
      <c r="F8425" t="s">
        <v>4</v>
      </c>
      <c r="G8425" t="str">
        <f>""</f>
        <v/>
      </c>
    </row>
    <row r="8426" spans="1:7" x14ac:dyDescent="0.25">
      <c r="A8426" t="s">
        <v>8</v>
      </c>
      <c r="B8426" s="1" t="str">
        <f>"000135031 - RICH FDS BB CORE-ARA EX-SSS"</f>
        <v>000135031 - RICH FDS BB CORE-ARA EX-SSS</v>
      </c>
      <c r="C8426" t="s">
        <v>570</v>
      </c>
      <c r="D8426" s="1" t="str">
        <f t="shared" si="236"/>
        <v>PRG-1032233</v>
      </c>
      <c r="E8426" t="s">
        <v>82</v>
      </c>
      <c r="F8426" t="s">
        <v>4</v>
      </c>
      <c r="G8426" t="str">
        <f>""</f>
        <v/>
      </c>
    </row>
    <row r="8427" spans="1:7" x14ac:dyDescent="0.25">
      <c r="A8427" t="s">
        <v>8</v>
      </c>
      <c r="B8427" s="1" t="str">
        <f>"000135157 - RICH FDS BB CORE-ARA EX-SSS"</f>
        <v>000135157 - RICH FDS BB CORE-ARA EX-SSS</v>
      </c>
      <c r="C8427" t="s">
        <v>570</v>
      </c>
      <c r="D8427" s="1" t="str">
        <f t="shared" si="236"/>
        <v>PRG-1032233</v>
      </c>
      <c r="E8427" t="s">
        <v>82</v>
      </c>
      <c r="F8427" t="s">
        <v>4</v>
      </c>
      <c r="G8427" t="str">
        <f>""</f>
        <v/>
      </c>
    </row>
    <row r="8428" spans="1:7" x14ac:dyDescent="0.25">
      <c r="A8428" t="s">
        <v>8</v>
      </c>
      <c r="B8428" s="1" t="str">
        <f>"000136521 - RICH FDS NCORE BB-ARA EX-SSS"</f>
        <v>000136521 - RICH FDS NCORE BB-ARA EX-SSS</v>
      </c>
      <c r="C8428" t="s">
        <v>617</v>
      </c>
      <c r="D8428" s="1" t="str">
        <f t="shared" si="236"/>
        <v>PRG-1032233</v>
      </c>
      <c r="E8428" t="s">
        <v>82</v>
      </c>
      <c r="F8428" t="s">
        <v>4</v>
      </c>
      <c r="G8428" t="str">
        <f>""</f>
        <v/>
      </c>
    </row>
    <row r="8429" spans="1:7" x14ac:dyDescent="0.25">
      <c r="A8429" t="s">
        <v>8</v>
      </c>
      <c r="B8429" s="1" t="str">
        <f>"000140526 - RICH FDS NCORE BB-MAIN ARAMARK"</f>
        <v>000140526 - RICH FDS NCORE BB-MAIN ARAMARK</v>
      </c>
      <c r="C8429" t="s">
        <v>194</v>
      </c>
      <c r="D8429" s="1" t="str">
        <f t="shared" si="236"/>
        <v>PRG-1032233</v>
      </c>
      <c r="E8429" t="s">
        <v>82</v>
      </c>
      <c r="F8429" t="s">
        <v>4</v>
      </c>
      <c r="G8429" t="str">
        <f>""</f>
        <v/>
      </c>
    </row>
    <row r="8430" spans="1:7" x14ac:dyDescent="0.25">
      <c r="A8430" t="s">
        <v>8</v>
      </c>
      <c r="B8430" s="1" t="str">
        <f>"000140527 - RICH FDS CORE BB-MAIN ARAMARK"</f>
        <v>000140527 - RICH FDS CORE BB-MAIN ARAMARK</v>
      </c>
      <c r="C8430" t="s">
        <v>196</v>
      </c>
      <c r="D8430" s="1" t="str">
        <f t="shared" si="236"/>
        <v>PRG-1032233</v>
      </c>
      <c r="E8430" t="s">
        <v>82</v>
      </c>
      <c r="F8430" t="s">
        <v>4</v>
      </c>
      <c r="G8430" t="str">
        <f>""</f>
        <v/>
      </c>
    </row>
    <row r="8431" spans="1:7" x14ac:dyDescent="0.25">
      <c r="A8431" t="s">
        <v>8</v>
      </c>
      <c r="B8431" s="1" t="str">
        <f>"000140749 - RICH PROD-ARAMARK CORE"</f>
        <v>000140749 - RICH PROD-ARAMARK CORE</v>
      </c>
      <c r="C8431" t="s">
        <v>979</v>
      </c>
      <c r="D8431" s="1" t="str">
        <f t="shared" si="236"/>
        <v>PRG-1032233</v>
      </c>
      <c r="E8431" t="s">
        <v>82</v>
      </c>
      <c r="F8431" t="s">
        <v>4</v>
      </c>
      <c r="G8431" t="str">
        <f>""</f>
        <v/>
      </c>
    </row>
    <row r="8432" spans="1:7" x14ac:dyDescent="0.25">
      <c r="A8432" t="s">
        <v>8</v>
      </c>
      <c r="B8432" s="1" t="str">
        <f>"000140751 - RICH PROD-ARAMARK NONCORE"</f>
        <v>000140751 - RICH PROD-ARAMARK NONCORE</v>
      </c>
      <c r="C8432" t="s">
        <v>981</v>
      </c>
      <c r="D8432" s="1" t="str">
        <f t="shared" si="236"/>
        <v>PRG-1032233</v>
      </c>
      <c r="E8432" t="s">
        <v>82</v>
      </c>
      <c r="F8432" t="s">
        <v>4</v>
      </c>
      <c r="G8432" t="str">
        <f>""</f>
        <v/>
      </c>
    </row>
    <row r="8433" spans="1:7" x14ac:dyDescent="0.25">
      <c r="A8433" t="s">
        <v>8</v>
      </c>
      <c r="B8433" s="1" t="str">
        <f>"000140757 - RICH PROD-ARAMARK NONCORE RETR"</f>
        <v>000140757 - RICH PROD-ARAMARK NONCORE RETR</v>
      </c>
      <c r="C8433" t="s">
        <v>982</v>
      </c>
      <c r="D8433" s="1" t="str">
        <f t="shared" si="236"/>
        <v>PRG-1032233</v>
      </c>
      <c r="E8433" t="s">
        <v>82</v>
      </c>
      <c r="F8433" t="s">
        <v>4</v>
      </c>
      <c r="G8433" t="str">
        <f>""</f>
        <v/>
      </c>
    </row>
    <row r="8434" spans="1:7" x14ac:dyDescent="0.25">
      <c r="A8434" t="s">
        <v>8</v>
      </c>
      <c r="B8434" s="1" t="str">
        <f>"000194088 - RICHS FDS CORE BB-SSS ARAMARK"</f>
        <v>000194088 - RICHS FDS CORE BB-SSS ARAMARK</v>
      </c>
      <c r="C8434" t="s">
        <v>858</v>
      </c>
      <c r="D8434" s="1" t="str">
        <f t="shared" si="236"/>
        <v>PRG-1032233</v>
      </c>
      <c r="E8434" t="s">
        <v>82</v>
      </c>
      <c r="F8434" t="s">
        <v>4</v>
      </c>
      <c r="G8434" t="str">
        <f>""</f>
        <v/>
      </c>
    </row>
    <row r="8435" spans="1:7" x14ac:dyDescent="0.25">
      <c r="A8435" t="s">
        <v>8</v>
      </c>
      <c r="B8435" s="1" t="str">
        <f>"000194665 - RICHS FDS CORE BB-SSS ARAMARK"</f>
        <v>000194665 - RICHS FDS CORE BB-SSS ARAMARK</v>
      </c>
      <c r="C8435" t="s">
        <v>858</v>
      </c>
      <c r="D8435" s="1" t="str">
        <f t="shared" si="236"/>
        <v>PRG-1032233</v>
      </c>
      <c r="E8435" t="s">
        <v>82</v>
      </c>
      <c r="F8435" t="s">
        <v>4</v>
      </c>
      <c r="G8435" t="str">
        <f>""</f>
        <v/>
      </c>
    </row>
    <row r="8436" spans="1:7" x14ac:dyDescent="0.25">
      <c r="A8436" t="s">
        <v>8</v>
      </c>
      <c r="B8436" s="1" t="str">
        <f>"000202660 - RICH FDS BB NCORE-ARA EX-SSS"</f>
        <v>000202660 - RICH FDS BB NCORE-ARA EX-SSS</v>
      </c>
      <c r="C8436" t="s">
        <v>571</v>
      </c>
      <c r="D8436" s="1" t="str">
        <f t="shared" si="236"/>
        <v>PRG-1032233</v>
      </c>
      <c r="E8436" t="s">
        <v>82</v>
      </c>
      <c r="F8436" t="s">
        <v>4</v>
      </c>
      <c r="G8436" t="str">
        <f>""</f>
        <v/>
      </c>
    </row>
    <row r="8437" spans="1:7" x14ac:dyDescent="0.25">
      <c r="A8437" t="s">
        <v>8</v>
      </c>
      <c r="B8437" s="1" t="str">
        <f>"000202661 - RICH FDS BB CORE-ARA EX-SSS"</f>
        <v>000202661 - RICH FDS BB CORE-ARA EX-SSS</v>
      </c>
      <c r="C8437" t="s">
        <v>570</v>
      </c>
      <c r="D8437" s="1" t="str">
        <f t="shared" si="236"/>
        <v>PRG-1032233</v>
      </c>
      <c r="E8437" t="s">
        <v>82</v>
      </c>
      <c r="F8437" t="s">
        <v>4</v>
      </c>
      <c r="G8437" t="str">
        <f>""</f>
        <v/>
      </c>
    </row>
    <row r="8438" spans="1:7" x14ac:dyDescent="0.25">
      <c r="A8438" t="s">
        <v>8</v>
      </c>
      <c r="B8438" s="1" t="str">
        <f>"000202710 - (L)RICH BB CORE(ARA-202661)"</f>
        <v>000202710 - (L)RICH BB CORE(ARA-202661)</v>
      </c>
      <c r="C8438" t="s">
        <v>1330</v>
      </c>
      <c r="D8438" s="1" t="str">
        <f t="shared" si="236"/>
        <v>PRG-1032233</v>
      </c>
      <c r="E8438" t="s">
        <v>82</v>
      </c>
      <c r="F8438" t="s">
        <v>4</v>
      </c>
      <c r="G8438" t="str">
        <f>""</f>
        <v/>
      </c>
    </row>
    <row r="8439" spans="1:7" x14ac:dyDescent="0.25">
      <c r="A8439" t="s">
        <v>8</v>
      </c>
      <c r="B8439" s="1" t="str">
        <f>"000202711 - (L)RICH BB NCORE(ARA-202660)"</f>
        <v>000202711 - (L)RICH BB NCORE(ARA-202660)</v>
      </c>
      <c r="C8439" t="s">
        <v>1331</v>
      </c>
      <c r="D8439" s="1" t="str">
        <f t="shared" si="236"/>
        <v>PRG-1032233</v>
      </c>
      <c r="E8439" t="s">
        <v>82</v>
      </c>
      <c r="F8439" t="s">
        <v>4</v>
      </c>
      <c r="G8439" t="str">
        <f>""</f>
        <v/>
      </c>
    </row>
    <row r="8440" spans="1:7" x14ac:dyDescent="0.25">
      <c r="A8440" t="s">
        <v>8</v>
      </c>
      <c r="B8440" s="1" t="str">
        <f>"000203852 - RICH FDS NCORE BB-ARA EX-SSS"</f>
        <v>000203852 - RICH FDS NCORE BB-ARA EX-SSS</v>
      </c>
      <c r="C8440" t="s">
        <v>617</v>
      </c>
      <c r="D8440" s="1" t="str">
        <f t="shared" si="236"/>
        <v>PRG-1032233</v>
      </c>
      <c r="E8440" t="s">
        <v>82</v>
      </c>
      <c r="F8440" t="s">
        <v>4</v>
      </c>
      <c r="G8440" t="str">
        <f>""</f>
        <v/>
      </c>
    </row>
    <row r="8441" spans="1:7" x14ac:dyDescent="0.25">
      <c r="A8441" t="s">
        <v>8</v>
      </c>
      <c r="B8441" s="1" t="str">
        <f>"000203853 - RICH FDS CORE BB-ARA EX-SSS"</f>
        <v>000203853 - RICH FDS CORE BB-ARA EX-SSS</v>
      </c>
      <c r="C8441" t="s">
        <v>618</v>
      </c>
      <c r="D8441" s="1" t="str">
        <f t="shared" si="236"/>
        <v>PRG-1032233</v>
      </c>
      <c r="E8441" t="s">
        <v>82</v>
      </c>
      <c r="F8441" t="s">
        <v>4</v>
      </c>
      <c r="G8441" t="str">
        <f>""</f>
        <v/>
      </c>
    </row>
    <row r="8442" spans="1:7" x14ac:dyDescent="0.25">
      <c r="A8442" t="s">
        <v>8</v>
      </c>
      <c r="B8442" s="1" t="str">
        <f>"000204211 - RICH FDS BB NCORE-ARA EX-SSS"</f>
        <v>000204211 - RICH FDS BB NCORE-ARA EX-SSS</v>
      </c>
      <c r="C8442" t="s">
        <v>571</v>
      </c>
      <c r="D8442" s="1" t="str">
        <f t="shared" si="236"/>
        <v>PRG-1032233</v>
      </c>
      <c r="E8442" t="s">
        <v>82</v>
      </c>
      <c r="F8442" t="s">
        <v>4</v>
      </c>
      <c r="G8442" t="str">
        <f>""</f>
        <v/>
      </c>
    </row>
    <row r="8443" spans="1:7" x14ac:dyDescent="0.25">
      <c r="A8443" t="s">
        <v>8</v>
      </c>
      <c r="B8443" s="1" t="str">
        <f>"000204212 - RICH FDS BB CORE-ARA EX-SSS"</f>
        <v>000204212 - RICH FDS BB CORE-ARA EX-SSS</v>
      </c>
      <c r="C8443" t="s">
        <v>570</v>
      </c>
      <c r="D8443" s="1" t="str">
        <f t="shared" si="236"/>
        <v>PRG-1032233</v>
      </c>
      <c r="E8443" t="s">
        <v>82</v>
      </c>
      <c r="F8443" t="s">
        <v>4</v>
      </c>
      <c r="G8443" t="str">
        <f>""</f>
        <v/>
      </c>
    </row>
    <row r="8444" spans="1:7" x14ac:dyDescent="0.25">
      <c r="A8444" t="s">
        <v>8</v>
      </c>
      <c r="B8444" s="1" t="str">
        <f>"000205435 - RICH FDS NCORE BB-ARA EX-SSS"</f>
        <v>000205435 - RICH FDS NCORE BB-ARA EX-SSS</v>
      </c>
      <c r="C8444" t="s">
        <v>617</v>
      </c>
      <c r="D8444" s="1" t="str">
        <f t="shared" si="236"/>
        <v>PRG-1032233</v>
      </c>
      <c r="E8444" t="s">
        <v>82</v>
      </c>
      <c r="F8444" t="s">
        <v>4</v>
      </c>
      <c r="G8444" t="str">
        <f>""</f>
        <v/>
      </c>
    </row>
    <row r="8445" spans="1:7" x14ac:dyDescent="0.25">
      <c r="A8445" t="s">
        <v>8</v>
      </c>
      <c r="B8445" s="1" t="str">
        <f>"000205436 - RICH FDS CORE BB-ARA EX-SSS"</f>
        <v>000205436 - RICH FDS CORE BB-ARA EX-SSS</v>
      </c>
      <c r="C8445" t="s">
        <v>618</v>
      </c>
      <c r="D8445" s="1" t="str">
        <f t="shared" si="236"/>
        <v>PRG-1032233</v>
      </c>
      <c r="E8445" t="s">
        <v>82</v>
      </c>
      <c r="F8445" t="s">
        <v>4</v>
      </c>
      <c r="G8445" t="str">
        <f>""</f>
        <v/>
      </c>
    </row>
    <row r="8446" spans="1:7" x14ac:dyDescent="0.25">
      <c r="A8446" t="s">
        <v>8</v>
      </c>
      <c r="B8446" s="1" t="str">
        <f>"000208460 - RICH FDS NCORE BB-MAIN ARAMARK"</f>
        <v>000208460 - RICH FDS NCORE BB-MAIN ARAMARK</v>
      </c>
      <c r="C8446" t="s">
        <v>194</v>
      </c>
      <c r="D8446" s="1" t="str">
        <f t="shared" si="236"/>
        <v>PRG-1032233</v>
      </c>
      <c r="E8446" t="s">
        <v>82</v>
      </c>
      <c r="F8446" t="s">
        <v>4</v>
      </c>
      <c r="G8446" t="str">
        <f>""</f>
        <v/>
      </c>
    </row>
    <row r="8447" spans="1:7" x14ac:dyDescent="0.25">
      <c r="A8447" t="s">
        <v>8</v>
      </c>
      <c r="B8447" s="1" t="str">
        <f>"000208461 - RICH FDS CORE BB-MAIN ARAMARK"</f>
        <v>000208461 - RICH FDS CORE BB-MAIN ARAMARK</v>
      </c>
      <c r="C8447" t="s">
        <v>196</v>
      </c>
      <c r="D8447" s="1" t="str">
        <f t="shared" si="236"/>
        <v>PRG-1032233</v>
      </c>
      <c r="E8447" t="s">
        <v>82</v>
      </c>
      <c r="F8447" t="s">
        <v>4</v>
      </c>
      <c r="G8447" t="str">
        <f>""</f>
        <v/>
      </c>
    </row>
    <row r="8448" spans="1:7" x14ac:dyDescent="0.25">
      <c r="A8448" t="s">
        <v>8</v>
      </c>
      <c r="B8448" s="1" t="str">
        <f>"000208465 - RICHS FDS NCORE BB-SSS ARAMARK"</f>
        <v>000208465 - RICHS FDS NCORE BB-SSS ARAMARK</v>
      </c>
      <c r="C8448" t="s">
        <v>558</v>
      </c>
      <c r="D8448" s="1" t="str">
        <f t="shared" si="236"/>
        <v>PRG-1032233</v>
      </c>
      <c r="E8448" t="s">
        <v>82</v>
      </c>
      <c r="F8448" t="s">
        <v>4</v>
      </c>
      <c r="G8448" t="str">
        <f>""</f>
        <v/>
      </c>
    </row>
    <row r="8449" spans="1:7" x14ac:dyDescent="0.25">
      <c r="A8449" t="s">
        <v>8</v>
      </c>
      <c r="B8449" s="1" t="str">
        <f>"000208466 - RICHS FDS CORE BB-SSS ARAMARK"</f>
        <v>000208466 - RICHS FDS CORE BB-SSS ARAMARK</v>
      </c>
      <c r="C8449" t="s">
        <v>858</v>
      </c>
      <c r="D8449" s="1" t="str">
        <f t="shared" si="236"/>
        <v>PRG-1032233</v>
      </c>
      <c r="E8449" t="s">
        <v>82</v>
      </c>
      <c r="F8449" t="s">
        <v>4</v>
      </c>
      <c r="G8449" t="str">
        <f>""</f>
        <v/>
      </c>
    </row>
    <row r="8450" spans="1:7" x14ac:dyDescent="0.25">
      <c r="A8450" t="s">
        <v>8</v>
      </c>
      <c r="B8450" s="1" t="str">
        <f>"000208548 - RICH FDS CORE BB(ARA-208557)"</f>
        <v>000208548 - RICH FDS CORE BB(ARA-208557)</v>
      </c>
      <c r="C8450" t="s">
        <v>1402</v>
      </c>
      <c r="D8450" s="1" t="str">
        <f t="shared" si="236"/>
        <v>PRG-1032233</v>
      </c>
      <c r="E8450" t="s">
        <v>82</v>
      </c>
      <c r="F8450" t="s">
        <v>4</v>
      </c>
      <c r="G8450" t="str">
        <f>""</f>
        <v/>
      </c>
    </row>
    <row r="8451" spans="1:7" x14ac:dyDescent="0.25">
      <c r="A8451" t="s">
        <v>8</v>
      </c>
      <c r="B8451" s="1" t="str">
        <f>"000208554 - RICH FDS NC BB(ARA-208558)"</f>
        <v>000208554 - RICH FDS NC BB(ARA-208558)</v>
      </c>
      <c r="C8451" t="s">
        <v>1403</v>
      </c>
      <c r="D8451" s="1" t="str">
        <f t="shared" si="236"/>
        <v>PRG-1032233</v>
      </c>
      <c r="E8451" t="s">
        <v>82</v>
      </c>
      <c r="F8451" t="s">
        <v>4</v>
      </c>
      <c r="G8451" t="str">
        <f>""</f>
        <v/>
      </c>
    </row>
    <row r="8452" spans="1:7" x14ac:dyDescent="0.25">
      <c r="A8452" t="s">
        <v>8</v>
      </c>
      <c r="B8452" s="1" t="str">
        <f>"000208557 - (L)RICH CORE BB(ARA-208461)"</f>
        <v>000208557 - (L)RICH CORE BB(ARA-208461)</v>
      </c>
      <c r="C8452" t="s">
        <v>1404</v>
      </c>
      <c r="D8452" s="1" t="str">
        <f t="shared" si="236"/>
        <v>PRG-1032233</v>
      </c>
      <c r="E8452" t="s">
        <v>82</v>
      </c>
      <c r="F8452" t="s">
        <v>4</v>
      </c>
      <c r="G8452" t="str">
        <f>""</f>
        <v/>
      </c>
    </row>
    <row r="8453" spans="1:7" x14ac:dyDescent="0.25">
      <c r="A8453" t="s">
        <v>8</v>
      </c>
      <c r="B8453" s="1" t="str">
        <f>"000208558 - (L)RICH NC BB(ARA-208460)"</f>
        <v>000208558 - (L)RICH NC BB(ARA-208460)</v>
      </c>
      <c r="C8453" t="s">
        <v>1405</v>
      </c>
      <c r="D8453" s="1" t="str">
        <f t="shared" si="236"/>
        <v>PRG-1032233</v>
      </c>
      <c r="E8453" t="s">
        <v>82</v>
      </c>
      <c r="F8453" t="s">
        <v>4</v>
      </c>
      <c r="G8453" t="str">
        <f>""</f>
        <v/>
      </c>
    </row>
    <row r="8454" spans="1:7" x14ac:dyDescent="0.25">
      <c r="A8454" t="s">
        <v>8</v>
      </c>
      <c r="B8454" s="1" t="str">
        <f>"000210429 - RICH FDS NCORE BB-MAIN ARAMARK"</f>
        <v>000210429 - RICH FDS NCORE BB-MAIN ARAMARK</v>
      </c>
      <c r="C8454" t="s">
        <v>194</v>
      </c>
      <c r="D8454" s="1" t="str">
        <f t="shared" si="236"/>
        <v>PRG-1032233</v>
      </c>
      <c r="E8454" t="s">
        <v>82</v>
      </c>
      <c r="F8454" t="s">
        <v>4</v>
      </c>
      <c r="G8454" t="str">
        <f>""</f>
        <v/>
      </c>
    </row>
    <row r="8455" spans="1:7" x14ac:dyDescent="0.25">
      <c r="A8455" t="s">
        <v>8</v>
      </c>
      <c r="B8455" s="1" t="str">
        <f>"000210430 - RICH FDS CORE BB-MAIN ARAMARK"</f>
        <v>000210430 - RICH FDS CORE BB-MAIN ARAMARK</v>
      </c>
      <c r="C8455" t="s">
        <v>196</v>
      </c>
      <c r="D8455" s="1" t="str">
        <f t="shared" si="236"/>
        <v>PRG-1032233</v>
      </c>
      <c r="E8455" t="s">
        <v>82</v>
      </c>
      <c r="F8455" t="s">
        <v>4</v>
      </c>
      <c r="G8455" t="str">
        <f>""</f>
        <v/>
      </c>
    </row>
    <row r="8456" spans="1:7" x14ac:dyDescent="0.25">
      <c r="A8456" t="s">
        <v>8</v>
      </c>
      <c r="B8456" s="1" t="str">
        <f>"000214001 - BB ARA SSS FOB NC RICHS"</f>
        <v>000214001 - BB ARA SSS FOB NC RICHS</v>
      </c>
      <c r="C8456" t="s">
        <v>1489</v>
      </c>
      <c r="D8456" s="1" t="str">
        <f t="shared" si="236"/>
        <v>PRG-1032233</v>
      </c>
      <c r="E8456" t="s">
        <v>82</v>
      </c>
      <c r="F8456" t="s">
        <v>4</v>
      </c>
      <c r="G8456" t="str">
        <f>""</f>
        <v/>
      </c>
    </row>
    <row r="8457" spans="1:7" x14ac:dyDescent="0.25">
      <c r="A8457" t="s">
        <v>8</v>
      </c>
      <c r="B8457" s="1" t="str">
        <f>"000221444 - RICH FDS BB NCORE-ARA EX-SSS"</f>
        <v>000221444 - RICH FDS BB NCORE-ARA EX-SSS</v>
      </c>
      <c r="C8457" t="s">
        <v>571</v>
      </c>
      <c r="D8457" s="1" t="str">
        <f t="shared" si="236"/>
        <v>PRG-1032233</v>
      </c>
      <c r="E8457" t="s">
        <v>82</v>
      </c>
      <c r="F8457" t="s">
        <v>4</v>
      </c>
      <c r="G8457" t="str">
        <f>""</f>
        <v/>
      </c>
    </row>
    <row r="8458" spans="1:7" x14ac:dyDescent="0.25">
      <c r="A8458" t="s">
        <v>8</v>
      </c>
      <c r="B8458" s="1" t="str">
        <f>"000221445 - RICH FDS BB CORE-ARA EX-SSS"</f>
        <v>000221445 - RICH FDS BB CORE-ARA EX-SSS</v>
      </c>
      <c r="C8458" t="s">
        <v>570</v>
      </c>
      <c r="D8458" s="1" t="str">
        <f t="shared" si="236"/>
        <v>PRG-1032233</v>
      </c>
      <c r="E8458" t="s">
        <v>82</v>
      </c>
      <c r="F8458" t="s">
        <v>4</v>
      </c>
      <c r="G8458" t="str">
        <f>""</f>
        <v/>
      </c>
    </row>
    <row r="8459" spans="1:7" x14ac:dyDescent="0.25">
      <c r="A8459" t="s">
        <v>8</v>
      </c>
      <c r="B8459" s="1" t="str">
        <f>"000222122 - RICH FDS BB NCORE-ARA EX-SSS"</f>
        <v>000222122 - RICH FDS BB NCORE-ARA EX-SSS</v>
      </c>
      <c r="C8459" t="s">
        <v>571</v>
      </c>
      <c r="D8459" s="1" t="str">
        <f t="shared" si="236"/>
        <v>PRG-1032233</v>
      </c>
      <c r="E8459" t="s">
        <v>82</v>
      </c>
      <c r="F8459" t="s">
        <v>4</v>
      </c>
      <c r="G8459" t="str">
        <f>""</f>
        <v/>
      </c>
    </row>
    <row r="8460" spans="1:7" x14ac:dyDescent="0.25">
      <c r="A8460" t="s">
        <v>8</v>
      </c>
      <c r="B8460" s="1" t="str">
        <f>"000222123 - RICH FDS BB CORE-ARA EX-SSS"</f>
        <v>000222123 - RICH FDS BB CORE-ARA EX-SSS</v>
      </c>
      <c r="C8460" t="s">
        <v>570</v>
      </c>
      <c r="D8460" s="1" t="str">
        <f t="shared" si="236"/>
        <v>PRG-1032233</v>
      </c>
      <c r="E8460" t="s">
        <v>82</v>
      </c>
      <c r="F8460" t="s">
        <v>4</v>
      </c>
      <c r="G8460" t="str">
        <f>""</f>
        <v/>
      </c>
    </row>
    <row r="8461" spans="1:7" x14ac:dyDescent="0.25">
      <c r="A8461" t="s">
        <v>8</v>
      </c>
      <c r="B8461" s="1" t="str">
        <f>"000222568 - RICH FDS BB NCORE-ARA EX-SSS"</f>
        <v>000222568 - RICH FDS BB NCORE-ARA EX-SSS</v>
      </c>
      <c r="C8461" t="s">
        <v>571</v>
      </c>
      <c r="D8461" s="1" t="str">
        <f t="shared" si="236"/>
        <v>PRG-1032233</v>
      </c>
      <c r="E8461" t="s">
        <v>82</v>
      </c>
      <c r="F8461" t="s">
        <v>4</v>
      </c>
      <c r="G8461" t="str">
        <f>""</f>
        <v/>
      </c>
    </row>
    <row r="8462" spans="1:7" x14ac:dyDescent="0.25">
      <c r="A8462" t="s">
        <v>8</v>
      </c>
      <c r="B8462" s="1" t="str">
        <f>"000222570 - RICH FDS BB CORE-ARA EX-SSS"</f>
        <v>000222570 - RICH FDS BB CORE-ARA EX-SSS</v>
      </c>
      <c r="C8462" t="s">
        <v>570</v>
      </c>
      <c r="D8462" s="1" t="str">
        <f t="shared" si="236"/>
        <v>PRG-1032233</v>
      </c>
      <c r="E8462" t="s">
        <v>82</v>
      </c>
      <c r="F8462" t="s">
        <v>4</v>
      </c>
      <c r="G8462" t="str">
        <f>""</f>
        <v/>
      </c>
    </row>
    <row r="8463" spans="1:7" x14ac:dyDescent="0.25">
      <c r="A8463" t="s">
        <v>8</v>
      </c>
      <c r="B8463" s="1" t="str">
        <f>"000222584 - RICH FDS NCORE BB-ARA EX-SSS"</f>
        <v>000222584 - RICH FDS NCORE BB-ARA EX-SSS</v>
      </c>
      <c r="C8463" t="s">
        <v>617</v>
      </c>
      <c r="D8463" s="1" t="str">
        <f t="shared" si="236"/>
        <v>PRG-1032233</v>
      </c>
      <c r="E8463" t="s">
        <v>82</v>
      </c>
      <c r="F8463" t="s">
        <v>4</v>
      </c>
      <c r="G8463" t="str">
        <f>""</f>
        <v/>
      </c>
    </row>
    <row r="8464" spans="1:7" x14ac:dyDescent="0.25">
      <c r="A8464" t="s">
        <v>8</v>
      </c>
      <c r="B8464" s="1" t="str">
        <f>"000222585 - RICH FDS CORE BB-ARA EX-SSS"</f>
        <v>000222585 - RICH FDS CORE BB-ARA EX-SSS</v>
      </c>
      <c r="C8464" t="s">
        <v>618</v>
      </c>
      <c r="D8464" s="1" t="str">
        <f t="shared" ref="D8464:D8527" si="237">"PRG-1032233"</f>
        <v>PRG-1032233</v>
      </c>
      <c r="E8464" t="s">
        <v>82</v>
      </c>
      <c r="F8464" t="s">
        <v>4</v>
      </c>
      <c r="G8464" t="str">
        <f>""</f>
        <v/>
      </c>
    </row>
    <row r="8465" spans="1:7" x14ac:dyDescent="0.25">
      <c r="A8465" t="s">
        <v>8</v>
      </c>
      <c r="B8465" s="1" t="str">
        <f>"000223768 - RICH FDS BB NCORE-ARA EX-SSS"</f>
        <v>000223768 - RICH FDS BB NCORE-ARA EX-SSS</v>
      </c>
      <c r="C8465" t="s">
        <v>571</v>
      </c>
      <c r="D8465" s="1" t="str">
        <f t="shared" si="237"/>
        <v>PRG-1032233</v>
      </c>
      <c r="E8465" t="s">
        <v>82</v>
      </c>
      <c r="F8465" t="s">
        <v>4</v>
      </c>
      <c r="G8465" t="str">
        <f>""</f>
        <v/>
      </c>
    </row>
    <row r="8466" spans="1:7" x14ac:dyDescent="0.25">
      <c r="A8466" t="s">
        <v>8</v>
      </c>
      <c r="B8466" s="1" t="str">
        <f>"000223769 - RICH FDS BB CORE-ARA EX-SSS"</f>
        <v>000223769 - RICH FDS BB CORE-ARA EX-SSS</v>
      </c>
      <c r="C8466" t="s">
        <v>570</v>
      </c>
      <c r="D8466" s="1" t="str">
        <f t="shared" si="237"/>
        <v>PRG-1032233</v>
      </c>
      <c r="E8466" t="s">
        <v>82</v>
      </c>
      <c r="F8466" t="s">
        <v>4</v>
      </c>
      <c r="G8466" t="str">
        <f>""</f>
        <v/>
      </c>
    </row>
    <row r="8467" spans="1:7" x14ac:dyDescent="0.25">
      <c r="A8467" t="s">
        <v>8</v>
      </c>
      <c r="B8467" s="1" t="str">
        <f>"000224005 - BB ARA NC DPM RICHS"</f>
        <v>000224005 - BB ARA NC DPM RICHS</v>
      </c>
      <c r="C8467" t="s">
        <v>1657</v>
      </c>
      <c r="D8467" s="1" t="str">
        <f t="shared" si="237"/>
        <v>PRG-1032233</v>
      </c>
      <c r="E8467" t="s">
        <v>82</v>
      </c>
      <c r="F8467" t="s">
        <v>4</v>
      </c>
      <c r="G8467" t="str">
        <f>""</f>
        <v/>
      </c>
    </row>
    <row r="8468" spans="1:7" x14ac:dyDescent="0.25">
      <c r="A8468" t="s">
        <v>8</v>
      </c>
      <c r="B8468" s="1" t="str">
        <f>"000230199 - RICH FDS BB NCORE-ARA EX-SSS"</f>
        <v>000230199 - RICH FDS BB NCORE-ARA EX-SSS</v>
      </c>
      <c r="C8468" t="s">
        <v>571</v>
      </c>
      <c r="D8468" s="1" t="str">
        <f t="shared" si="237"/>
        <v>PRG-1032233</v>
      </c>
      <c r="E8468" t="s">
        <v>82</v>
      </c>
      <c r="F8468" t="s">
        <v>4</v>
      </c>
      <c r="G8468" t="str">
        <f>""</f>
        <v/>
      </c>
    </row>
    <row r="8469" spans="1:7" x14ac:dyDescent="0.25">
      <c r="A8469" t="s">
        <v>8</v>
      </c>
      <c r="B8469" s="1" t="str">
        <f>"000230200 - RICH FDS BB CORE-ARA EX-SSS"</f>
        <v>000230200 - RICH FDS BB CORE-ARA EX-SSS</v>
      </c>
      <c r="C8469" t="s">
        <v>570</v>
      </c>
      <c r="D8469" s="1" t="str">
        <f t="shared" si="237"/>
        <v>PRG-1032233</v>
      </c>
      <c r="E8469" t="s">
        <v>82</v>
      </c>
      <c r="F8469" t="s">
        <v>4</v>
      </c>
      <c r="G8469" t="str">
        <f>""</f>
        <v/>
      </c>
    </row>
    <row r="8470" spans="1:7" x14ac:dyDescent="0.25">
      <c r="A8470" t="s">
        <v>8</v>
      </c>
      <c r="B8470" s="1" t="str">
        <f>"000231498 - RICH FDS NCORE BB-ARA EX-SSS"</f>
        <v>000231498 - RICH FDS NCORE BB-ARA EX-SSS</v>
      </c>
      <c r="C8470" t="s">
        <v>617</v>
      </c>
      <c r="D8470" s="1" t="str">
        <f t="shared" si="237"/>
        <v>PRG-1032233</v>
      </c>
      <c r="E8470" t="s">
        <v>82</v>
      </c>
      <c r="F8470" t="s">
        <v>4</v>
      </c>
      <c r="G8470" t="str">
        <f>""</f>
        <v/>
      </c>
    </row>
    <row r="8471" spans="1:7" x14ac:dyDescent="0.25">
      <c r="A8471" t="s">
        <v>8</v>
      </c>
      <c r="B8471" s="1" t="str">
        <f>"000231499 - RICH FDS CORE BB-ARA EX-SSS"</f>
        <v>000231499 - RICH FDS CORE BB-ARA EX-SSS</v>
      </c>
      <c r="C8471" t="s">
        <v>618</v>
      </c>
      <c r="D8471" s="1" t="str">
        <f t="shared" si="237"/>
        <v>PRG-1032233</v>
      </c>
      <c r="E8471" t="s">
        <v>82</v>
      </c>
      <c r="F8471" t="s">
        <v>4</v>
      </c>
      <c r="G8471" t="str">
        <f>""</f>
        <v/>
      </c>
    </row>
    <row r="8472" spans="1:7" x14ac:dyDescent="0.25">
      <c r="A8472" t="s">
        <v>8</v>
      </c>
      <c r="B8472" s="1" t="str">
        <f>"000232800 - RICH FDS BB NCORE-ARA EX-SSS"</f>
        <v>000232800 - RICH FDS BB NCORE-ARA EX-SSS</v>
      </c>
      <c r="C8472" t="s">
        <v>571</v>
      </c>
      <c r="D8472" s="1" t="str">
        <f t="shared" si="237"/>
        <v>PRG-1032233</v>
      </c>
      <c r="E8472" t="s">
        <v>82</v>
      </c>
      <c r="F8472" t="s">
        <v>4</v>
      </c>
      <c r="G8472" t="str">
        <f>""</f>
        <v/>
      </c>
    </row>
    <row r="8473" spans="1:7" x14ac:dyDescent="0.25">
      <c r="A8473" t="s">
        <v>8</v>
      </c>
      <c r="B8473" s="1" t="str">
        <f>"000232801 - RICH FDS BB CORE-ARA EX-SSS"</f>
        <v>000232801 - RICH FDS BB CORE-ARA EX-SSS</v>
      </c>
      <c r="C8473" t="s">
        <v>570</v>
      </c>
      <c r="D8473" s="1" t="str">
        <f t="shared" si="237"/>
        <v>PRG-1032233</v>
      </c>
      <c r="E8473" t="s">
        <v>82</v>
      </c>
      <c r="F8473" t="s">
        <v>4</v>
      </c>
      <c r="G8473" t="str">
        <f>""</f>
        <v/>
      </c>
    </row>
    <row r="8474" spans="1:7" x14ac:dyDescent="0.25">
      <c r="A8474" t="s">
        <v>8</v>
      </c>
      <c r="B8474" s="1" t="str">
        <f>"000232860 - RICH FDS BB CORE-ARA EX-SSS"</f>
        <v>000232860 - RICH FDS BB CORE-ARA EX-SSS</v>
      </c>
      <c r="C8474" t="s">
        <v>570</v>
      </c>
      <c r="D8474" s="1" t="str">
        <f t="shared" si="237"/>
        <v>PRG-1032233</v>
      </c>
      <c r="E8474" t="s">
        <v>82</v>
      </c>
      <c r="F8474" t="s">
        <v>4</v>
      </c>
      <c r="G8474" t="str">
        <f>""</f>
        <v/>
      </c>
    </row>
    <row r="8475" spans="1:7" x14ac:dyDescent="0.25">
      <c r="A8475" t="s">
        <v>8</v>
      </c>
      <c r="B8475" s="1" t="str">
        <f>"000232867 - RICH FDS BB NCORE-ARA EX-SSS"</f>
        <v>000232867 - RICH FDS BB NCORE-ARA EX-SSS</v>
      </c>
      <c r="C8475" t="s">
        <v>571</v>
      </c>
      <c r="D8475" s="1" t="str">
        <f t="shared" si="237"/>
        <v>PRG-1032233</v>
      </c>
      <c r="E8475" t="s">
        <v>82</v>
      </c>
      <c r="F8475" t="s">
        <v>4</v>
      </c>
      <c r="G8475" t="str">
        <f>""</f>
        <v/>
      </c>
    </row>
    <row r="8476" spans="1:7" x14ac:dyDescent="0.25">
      <c r="A8476" t="s">
        <v>8</v>
      </c>
      <c r="B8476" s="1" t="str">
        <f>"000232868 - RICH FDS BB CORE-ARA EX-SSS"</f>
        <v>000232868 - RICH FDS BB CORE-ARA EX-SSS</v>
      </c>
      <c r="C8476" t="s">
        <v>570</v>
      </c>
      <c r="D8476" s="1" t="str">
        <f t="shared" si="237"/>
        <v>PRG-1032233</v>
      </c>
      <c r="E8476" t="s">
        <v>82</v>
      </c>
      <c r="F8476" t="s">
        <v>4</v>
      </c>
      <c r="G8476" t="str">
        <f>""</f>
        <v/>
      </c>
    </row>
    <row r="8477" spans="1:7" x14ac:dyDescent="0.25">
      <c r="A8477" t="s">
        <v>8</v>
      </c>
      <c r="B8477" s="1" t="str">
        <f>"000233838 - RICH FDS NCORE BB-ARA EX-SSS"</f>
        <v>000233838 - RICH FDS NCORE BB-ARA EX-SSS</v>
      </c>
      <c r="C8477" t="s">
        <v>617</v>
      </c>
      <c r="D8477" s="1" t="str">
        <f t="shared" si="237"/>
        <v>PRG-1032233</v>
      </c>
      <c r="E8477" t="s">
        <v>82</v>
      </c>
      <c r="F8477" t="s">
        <v>4</v>
      </c>
      <c r="G8477" t="str">
        <f>""</f>
        <v/>
      </c>
    </row>
    <row r="8478" spans="1:7" x14ac:dyDescent="0.25">
      <c r="A8478" t="s">
        <v>8</v>
      </c>
      <c r="B8478" s="1" t="str">
        <f>"000233839 - RICH FDS CORE BB-ARA EX-SSS"</f>
        <v>000233839 - RICH FDS CORE BB-ARA EX-SSS</v>
      </c>
      <c r="C8478" t="s">
        <v>618</v>
      </c>
      <c r="D8478" s="1" t="str">
        <f t="shared" si="237"/>
        <v>PRG-1032233</v>
      </c>
      <c r="E8478" t="s">
        <v>82</v>
      </c>
      <c r="F8478" t="s">
        <v>4</v>
      </c>
      <c r="G8478" t="str">
        <f>""</f>
        <v/>
      </c>
    </row>
    <row r="8479" spans="1:7" x14ac:dyDescent="0.25">
      <c r="A8479" t="s">
        <v>8</v>
      </c>
      <c r="B8479" s="1" t="str">
        <f>"000233918 - RICH FDS BB CORE-ARA EX-SSS"</f>
        <v>000233918 - RICH FDS BB CORE-ARA EX-SSS</v>
      </c>
      <c r="C8479" t="s">
        <v>570</v>
      </c>
      <c r="D8479" s="1" t="str">
        <f t="shared" si="237"/>
        <v>PRG-1032233</v>
      </c>
      <c r="E8479" t="s">
        <v>82</v>
      </c>
      <c r="F8479" t="s">
        <v>4</v>
      </c>
      <c r="G8479" t="str">
        <f>""</f>
        <v/>
      </c>
    </row>
    <row r="8480" spans="1:7" x14ac:dyDescent="0.25">
      <c r="A8480" t="s">
        <v>8</v>
      </c>
      <c r="B8480" s="1" t="str">
        <f>"000233959 - RICH FDS BB CORE-ARA EX-SSS"</f>
        <v>000233959 - RICH FDS BB CORE-ARA EX-SSS</v>
      </c>
      <c r="C8480" t="s">
        <v>570</v>
      </c>
      <c r="D8480" s="1" t="str">
        <f t="shared" si="237"/>
        <v>PRG-1032233</v>
      </c>
      <c r="E8480" t="s">
        <v>82</v>
      </c>
      <c r="F8480" t="s">
        <v>4</v>
      </c>
      <c r="G8480" t="str">
        <f>""</f>
        <v/>
      </c>
    </row>
    <row r="8481" spans="1:7" x14ac:dyDescent="0.25">
      <c r="A8481" t="s">
        <v>8</v>
      </c>
      <c r="B8481" s="1" t="str">
        <f>"000233960 - RICH FDS BB NCORE-ARA EX-SSS"</f>
        <v>000233960 - RICH FDS BB NCORE-ARA EX-SSS</v>
      </c>
      <c r="C8481" t="s">
        <v>571</v>
      </c>
      <c r="D8481" s="1" t="str">
        <f t="shared" si="237"/>
        <v>PRG-1032233</v>
      </c>
      <c r="E8481" t="s">
        <v>82</v>
      </c>
      <c r="F8481" t="s">
        <v>4</v>
      </c>
      <c r="G8481" t="str">
        <f>""</f>
        <v/>
      </c>
    </row>
    <row r="8482" spans="1:7" x14ac:dyDescent="0.25">
      <c r="A8482" t="s">
        <v>8</v>
      </c>
      <c r="B8482" s="1" t="str">
        <f>"000233961 - RICH FDS NCORE BB-ARA EX-SSS"</f>
        <v>000233961 - RICH FDS NCORE BB-ARA EX-SSS</v>
      </c>
      <c r="C8482" t="s">
        <v>617</v>
      </c>
      <c r="D8482" s="1" t="str">
        <f t="shared" si="237"/>
        <v>PRG-1032233</v>
      </c>
      <c r="E8482" t="s">
        <v>82</v>
      </c>
      <c r="F8482" t="s">
        <v>4</v>
      </c>
      <c r="G8482" t="str">
        <f>""</f>
        <v/>
      </c>
    </row>
    <row r="8483" spans="1:7" x14ac:dyDescent="0.25">
      <c r="A8483" t="s">
        <v>8</v>
      </c>
      <c r="B8483" s="1" t="str">
        <f>"000233962 - RICH FDS CORE BB-ARA EX-SSS"</f>
        <v>000233962 - RICH FDS CORE BB-ARA EX-SSS</v>
      </c>
      <c r="C8483" t="s">
        <v>618</v>
      </c>
      <c r="D8483" s="1" t="str">
        <f t="shared" si="237"/>
        <v>PRG-1032233</v>
      </c>
      <c r="E8483" t="s">
        <v>82</v>
      </c>
      <c r="F8483" t="s">
        <v>4</v>
      </c>
      <c r="G8483" t="str">
        <f>""</f>
        <v/>
      </c>
    </row>
    <row r="8484" spans="1:7" x14ac:dyDescent="0.25">
      <c r="A8484" t="s">
        <v>8</v>
      </c>
      <c r="B8484" s="1" t="str">
        <f>"000234056 - RICH FDS BB CORE-ARA EX-SSS"</f>
        <v>000234056 - RICH FDS BB CORE-ARA EX-SSS</v>
      </c>
      <c r="C8484" t="s">
        <v>570</v>
      </c>
      <c r="D8484" s="1" t="str">
        <f t="shared" si="237"/>
        <v>PRG-1032233</v>
      </c>
      <c r="E8484" t="s">
        <v>82</v>
      </c>
      <c r="F8484" t="s">
        <v>4</v>
      </c>
      <c r="G8484" t="str">
        <f>""</f>
        <v/>
      </c>
    </row>
    <row r="8485" spans="1:7" x14ac:dyDescent="0.25">
      <c r="A8485" t="s">
        <v>8</v>
      </c>
      <c r="B8485" s="1" t="str">
        <f>"000235230 - RICH FDS NCORE BB-ARA EX-SSS"</f>
        <v>000235230 - RICH FDS NCORE BB-ARA EX-SSS</v>
      </c>
      <c r="C8485" t="s">
        <v>617</v>
      </c>
      <c r="D8485" s="1" t="str">
        <f t="shared" si="237"/>
        <v>PRG-1032233</v>
      </c>
      <c r="E8485" t="s">
        <v>82</v>
      </c>
      <c r="F8485" t="s">
        <v>4</v>
      </c>
      <c r="G8485" t="str">
        <f>""</f>
        <v/>
      </c>
    </row>
    <row r="8486" spans="1:7" x14ac:dyDescent="0.25">
      <c r="A8486" t="s">
        <v>8</v>
      </c>
      <c r="B8486" s="1" t="str">
        <f>"000237253 - RICHS PIZZA DGH &amp; ICING-SODEXO"</f>
        <v>000237253 - RICHS PIZZA DGH &amp; ICING-SODEXO</v>
      </c>
      <c r="C8486" t="s">
        <v>489</v>
      </c>
      <c r="D8486" s="1" t="str">
        <f t="shared" si="237"/>
        <v>PRG-1032233</v>
      </c>
      <c r="E8486" t="s">
        <v>82</v>
      </c>
      <c r="F8486" t="s">
        <v>4</v>
      </c>
      <c r="G8486" t="str">
        <f>""</f>
        <v/>
      </c>
    </row>
    <row r="8487" spans="1:7" x14ac:dyDescent="0.25">
      <c r="A8487" t="s">
        <v>8</v>
      </c>
      <c r="B8487" s="1" t="str">
        <f>"000237254 - RICH FDS CORE BB-MAIN ARAMARK"</f>
        <v>000237254 - RICH FDS CORE BB-MAIN ARAMARK</v>
      </c>
      <c r="C8487" t="s">
        <v>196</v>
      </c>
      <c r="D8487" s="1" t="str">
        <f t="shared" si="237"/>
        <v>PRG-1032233</v>
      </c>
      <c r="E8487" t="s">
        <v>82</v>
      </c>
      <c r="F8487" t="s">
        <v>4</v>
      </c>
      <c r="G8487" t="str">
        <f>""</f>
        <v/>
      </c>
    </row>
    <row r="8488" spans="1:7" x14ac:dyDescent="0.25">
      <c r="A8488" t="s">
        <v>8</v>
      </c>
      <c r="B8488" s="1" t="str">
        <f>"000237264 - RICH FDS NCORE BB-MAIN ARAMARK"</f>
        <v>000237264 - RICH FDS NCORE BB-MAIN ARAMARK</v>
      </c>
      <c r="C8488" t="s">
        <v>194</v>
      </c>
      <c r="D8488" s="1" t="str">
        <f t="shared" si="237"/>
        <v>PRG-1032233</v>
      </c>
      <c r="E8488" t="s">
        <v>82</v>
      </c>
      <c r="F8488" t="s">
        <v>4</v>
      </c>
      <c r="G8488" t="str">
        <f>""</f>
        <v/>
      </c>
    </row>
    <row r="8489" spans="1:7" x14ac:dyDescent="0.25">
      <c r="A8489" t="s">
        <v>8</v>
      </c>
      <c r="B8489" s="1" t="str">
        <f>"000237265 - RICH FDS CORE BB-MAIN ARAMARK"</f>
        <v>000237265 - RICH FDS CORE BB-MAIN ARAMARK</v>
      </c>
      <c r="C8489" t="s">
        <v>196</v>
      </c>
      <c r="D8489" s="1" t="str">
        <f t="shared" si="237"/>
        <v>PRG-1032233</v>
      </c>
      <c r="E8489" t="s">
        <v>82</v>
      </c>
      <c r="F8489" t="s">
        <v>4</v>
      </c>
      <c r="G8489" t="str">
        <f>""</f>
        <v/>
      </c>
    </row>
    <row r="8490" spans="1:7" x14ac:dyDescent="0.25">
      <c r="A8490" t="s">
        <v>8</v>
      </c>
      <c r="B8490" s="1" t="str">
        <f>"000237269 - RICH FDS CORE BB-MAIN ARAMARK"</f>
        <v>000237269 - RICH FDS CORE BB-MAIN ARAMARK</v>
      </c>
      <c r="C8490" t="s">
        <v>196</v>
      </c>
      <c r="D8490" s="1" t="str">
        <f t="shared" si="237"/>
        <v>PRG-1032233</v>
      </c>
      <c r="E8490" t="s">
        <v>82</v>
      </c>
      <c r="F8490" t="s">
        <v>4</v>
      </c>
      <c r="G8490" t="str">
        <f>""</f>
        <v/>
      </c>
    </row>
    <row r="8491" spans="1:7" x14ac:dyDescent="0.25">
      <c r="A8491" t="s">
        <v>8</v>
      </c>
      <c r="B8491" s="1" t="str">
        <f>"000237270 - RICH FDS NCORE BB-MAIN ARAMARK"</f>
        <v>000237270 - RICH FDS NCORE BB-MAIN ARAMARK</v>
      </c>
      <c r="C8491" t="s">
        <v>194</v>
      </c>
      <c r="D8491" s="1" t="str">
        <f t="shared" si="237"/>
        <v>PRG-1032233</v>
      </c>
      <c r="E8491" t="s">
        <v>82</v>
      </c>
      <c r="F8491" t="s">
        <v>4</v>
      </c>
      <c r="G8491" t="str">
        <f>""</f>
        <v/>
      </c>
    </row>
    <row r="8492" spans="1:7" x14ac:dyDescent="0.25">
      <c r="A8492" t="s">
        <v>8</v>
      </c>
      <c r="B8492" s="1" t="str">
        <f>"000239783 - RICH FDS BB NCORE-ARA EX-SSS"</f>
        <v>000239783 - RICH FDS BB NCORE-ARA EX-SSS</v>
      </c>
      <c r="C8492" t="s">
        <v>571</v>
      </c>
      <c r="D8492" s="1" t="str">
        <f t="shared" si="237"/>
        <v>PRG-1032233</v>
      </c>
      <c r="E8492" t="s">
        <v>82</v>
      </c>
      <c r="F8492" t="s">
        <v>4</v>
      </c>
      <c r="G8492" t="str">
        <f>""</f>
        <v/>
      </c>
    </row>
    <row r="8493" spans="1:7" x14ac:dyDescent="0.25">
      <c r="A8493" t="s">
        <v>8</v>
      </c>
      <c r="B8493" s="1" t="str">
        <f>"000239784 - RICH FDS BB CORE-ARA EX-SSS"</f>
        <v>000239784 - RICH FDS BB CORE-ARA EX-SSS</v>
      </c>
      <c r="C8493" t="s">
        <v>570</v>
      </c>
      <c r="D8493" s="1" t="str">
        <f t="shared" si="237"/>
        <v>PRG-1032233</v>
      </c>
      <c r="E8493" t="s">
        <v>82</v>
      </c>
      <c r="F8493" t="s">
        <v>4</v>
      </c>
      <c r="G8493" t="str">
        <f>""</f>
        <v/>
      </c>
    </row>
    <row r="8494" spans="1:7" x14ac:dyDescent="0.25">
      <c r="A8494" t="s">
        <v>8</v>
      </c>
      <c r="B8494" s="1" t="str">
        <f>"000240974 - RICH FDS NCORE BB-ARA EX-SSS"</f>
        <v>000240974 - RICH FDS NCORE BB-ARA EX-SSS</v>
      </c>
      <c r="C8494" t="s">
        <v>617</v>
      </c>
      <c r="D8494" s="1" t="str">
        <f t="shared" si="237"/>
        <v>PRG-1032233</v>
      </c>
      <c r="E8494" t="s">
        <v>82</v>
      </c>
      <c r="F8494" t="s">
        <v>4</v>
      </c>
      <c r="G8494" t="str">
        <f>""</f>
        <v/>
      </c>
    </row>
    <row r="8495" spans="1:7" x14ac:dyDescent="0.25">
      <c r="A8495" t="s">
        <v>8</v>
      </c>
      <c r="B8495" s="1" t="str">
        <f>"000240975 - RICH FDS CORE BB-ARA EX-SSS"</f>
        <v>000240975 - RICH FDS CORE BB-ARA EX-SSS</v>
      </c>
      <c r="C8495" t="s">
        <v>618</v>
      </c>
      <c r="D8495" s="1" t="str">
        <f t="shared" si="237"/>
        <v>PRG-1032233</v>
      </c>
      <c r="E8495" t="s">
        <v>82</v>
      </c>
      <c r="F8495" t="s">
        <v>4</v>
      </c>
      <c r="G8495" t="str">
        <f>""</f>
        <v/>
      </c>
    </row>
    <row r="8496" spans="1:7" x14ac:dyDescent="0.25">
      <c r="A8496" t="s">
        <v>8</v>
      </c>
      <c r="B8496" s="1" t="str">
        <f>"000244559 - RICH FDS BB NCORE-ARA EX-SSS"</f>
        <v>000244559 - RICH FDS BB NCORE-ARA EX-SSS</v>
      </c>
      <c r="C8496" t="s">
        <v>571</v>
      </c>
      <c r="D8496" s="1" t="str">
        <f t="shared" si="237"/>
        <v>PRG-1032233</v>
      </c>
      <c r="E8496" t="s">
        <v>82</v>
      </c>
      <c r="F8496" t="s">
        <v>4</v>
      </c>
      <c r="G8496" t="str">
        <f>""</f>
        <v/>
      </c>
    </row>
    <row r="8497" spans="1:7" x14ac:dyDescent="0.25">
      <c r="A8497" t="s">
        <v>8</v>
      </c>
      <c r="B8497" s="1" t="str">
        <f>"000244560 - RICH FDS BB CORE-ARA EX-SSS"</f>
        <v>000244560 - RICH FDS BB CORE-ARA EX-SSS</v>
      </c>
      <c r="C8497" t="s">
        <v>570</v>
      </c>
      <c r="D8497" s="1" t="str">
        <f t="shared" si="237"/>
        <v>PRG-1032233</v>
      </c>
      <c r="E8497" t="s">
        <v>82</v>
      </c>
      <c r="F8497" t="s">
        <v>4</v>
      </c>
      <c r="G8497" t="str">
        <f>""</f>
        <v/>
      </c>
    </row>
    <row r="8498" spans="1:7" x14ac:dyDescent="0.25">
      <c r="A8498" t="s">
        <v>8</v>
      </c>
      <c r="B8498" s="1" t="str">
        <f>"000244780 - "</f>
        <v xml:space="preserve">000244780 - </v>
      </c>
      <c r="D8498" s="1" t="str">
        <f t="shared" si="237"/>
        <v>PRG-1032233</v>
      </c>
      <c r="E8498" t="s">
        <v>82</v>
      </c>
      <c r="F8498" t="s">
        <v>4</v>
      </c>
      <c r="G8498" t="str">
        <f>""</f>
        <v/>
      </c>
    </row>
    <row r="8499" spans="1:7" x14ac:dyDescent="0.25">
      <c r="A8499" t="s">
        <v>8</v>
      </c>
      <c r="B8499" s="1" t="str">
        <f>"000245169 - RICH FDS NCORE BB-MAIN ARAMARK"</f>
        <v>000245169 - RICH FDS NCORE BB-MAIN ARAMARK</v>
      </c>
      <c r="C8499" t="s">
        <v>194</v>
      </c>
      <c r="D8499" s="1" t="str">
        <f t="shared" si="237"/>
        <v>PRG-1032233</v>
      </c>
      <c r="E8499" t="s">
        <v>82</v>
      </c>
      <c r="F8499" t="s">
        <v>4</v>
      </c>
      <c r="G8499" t="str">
        <f>""</f>
        <v/>
      </c>
    </row>
    <row r="8500" spans="1:7" x14ac:dyDescent="0.25">
      <c r="A8500" t="s">
        <v>8</v>
      </c>
      <c r="B8500" s="1" t="str">
        <f>"000245274 - RICH FDS CORE BB-MAIN ARAMARK"</f>
        <v>000245274 - RICH FDS CORE BB-MAIN ARAMARK</v>
      </c>
      <c r="C8500" t="s">
        <v>196</v>
      </c>
      <c r="D8500" s="1" t="str">
        <f t="shared" si="237"/>
        <v>PRG-1032233</v>
      </c>
      <c r="E8500" t="s">
        <v>82</v>
      </c>
      <c r="F8500" t="s">
        <v>4</v>
      </c>
      <c r="G8500" t="str">
        <f>""</f>
        <v/>
      </c>
    </row>
    <row r="8501" spans="1:7" x14ac:dyDescent="0.25">
      <c r="A8501" t="s">
        <v>8</v>
      </c>
      <c r="B8501" s="1" t="str">
        <f>"000245275 - RICH FDS NCORE BB-MAIN ARAMARK"</f>
        <v>000245275 - RICH FDS NCORE BB-MAIN ARAMARK</v>
      </c>
      <c r="C8501" t="s">
        <v>194</v>
      </c>
      <c r="D8501" s="1" t="str">
        <f t="shared" si="237"/>
        <v>PRG-1032233</v>
      </c>
      <c r="E8501" t="s">
        <v>82</v>
      </c>
      <c r="F8501" t="s">
        <v>4</v>
      </c>
      <c r="G8501" t="str">
        <f>""</f>
        <v/>
      </c>
    </row>
    <row r="8502" spans="1:7" x14ac:dyDescent="0.25">
      <c r="A8502" t="s">
        <v>8</v>
      </c>
      <c r="B8502" s="1" t="str">
        <f>"000245633 - RICH FDS NCORE BB-ARA EX-SSS"</f>
        <v>000245633 - RICH FDS NCORE BB-ARA EX-SSS</v>
      </c>
      <c r="C8502" t="s">
        <v>617</v>
      </c>
      <c r="D8502" s="1" t="str">
        <f t="shared" si="237"/>
        <v>PRG-1032233</v>
      </c>
      <c r="E8502" t="s">
        <v>82</v>
      </c>
      <c r="F8502" t="s">
        <v>4</v>
      </c>
      <c r="G8502" t="str">
        <f>""</f>
        <v/>
      </c>
    </row>
    <row r="8503" spans="1:7" x14ac:dyDescent="0.25">
      <c r="A8503" t="s">
        <v>8</v>
      </c>
      <c r="B8503" s="1" t="str">
        <f>"000245634 - RICH FDS CORE BB-ARA EX-SSS"</f>
        <v>000245634 - RICH FDS CORE BB-ARA EX-SSS</v>
      </c>
      <c r="C8503" t="s">
        <v>618</v>
      </c>
      <c r="D8503" s="1" t="str">
        <f t="shared" si="237"/>
        <v>PRG-1032233</v>
      </c>
      <c r="E8503" t="s">
        <v>82</v>
      </c>
      <c r="F8503" t="s">
        <v>4</v>
      </c>
      <c r="G8503" t="str">
        <f>""</f>
        <v/>
      </c>
    </row>
    <row r="8504" spans="1:7" x14ac:dyDescent="0.25">
      <c r="A8504" t="s">
        <v>8</v>
      </c>
      <c r="B8504" s="1" t="str">
        <f>"000246303 - "</f>
        <v xml:space="preserve">000246303 - </v>
      </c>
      <c r="D8504" s="1" t="str">
        <f t="shared" si="237"/>
        <v>PRG-1032233</v>
      </c>
      <c r="E8504" t="s">
        <v>82</v>
      </c>
      <c r="F8504" t="s">
        <v>4</v>
      </c>
      <c r="G8504" t="str">
        <f>""</f>
        <v/>
      </c>
    </row>
    <row r="8505" spans="1:7" x14ac:dyDescent="0.25">
      <c r="A8505" t="s">
        <v>8</v>
      </c>
      <c r="B8505" s="1" t="str">
        <f>"000250022 - RICH FDS BB NCORE-ARA EX-SSS"</f>
        <v>000250022 - RICH FDS BB NCORE-ARA EX-SSS</v>
      </c>
      <c r="C8505" t="s">
        <v>571</v>
      </c>
      <c r="D8505" s="1" t="str">
        <f t="shared" si="237"/>
        <v>PRG-1032233</v>
      </c>
      <c r="E8505" t="s">
        <v>82</v>
      </c>
      <c r="F8505" t="s">
        <v>4</v>
      </c>
      <c r="G8505" t="str">
        <f>""</f>
        <v/>
      </c>
    </row>
    <row r="8506" spans="1:7" x14ac:dyDescent="0.25">
      <c r="A8506" t="s">
        <v>8</v>
      </c>
      <c r="B8506" s="1" t="str">
        <f>"000250023 - RICH FDS BB CORE-ARA EX-SSS"</f>
        <v>000250023 - RICH FDS BB CORE-ARA EX-SSS</v>
      </c>
      <c r="C8506" t="s">
        <v>570</v>
      </c>
      <c r="D8506" s="1" t="str">
        <f t="shared" si="237"/>
        <v>PRG-1032233</v>
      </c>
      <c r="E8506" t="s">
        <v>82</v>
      </c>
      <c r="F8506" t="s">
        <v>4</v>
      </c>
      <c r="G8506" t="str">
        <f>""</f>
        <v/>
      </c>
    </row>
    <row r="8507" spans="1:7" x14ac:dyDescent="0.25">
      <c r="A8507" t="s">
        <v>8</v>
      </c>
      <c r="B8507" s="1" t="str">
        <f>"000250076 - BB RETRO RICH FDS NC ARA X-SSS"</f>
        <v>000250076 - BB RETRO RICH FDS NC ARA X-SSS</v>
      </c>
      <c r="C8507" t="s">
        <v>2090</v>
      </c>
      <c r="D8507" s="1" t="str">
        <f t="shared" si="237"/>
        <v>PRG-1032233</v>
      </c>
      <c r="E8507" t="s">
        <v>82</v>
      </c>
      <c r="F8507" t="s">
        <v>4</v>
      </c>
      <c r="G8507" t="str">
        <f>""</f>
        <v/>
      </c>
    </row>
    <row r="8508" spans="1:7" x14ac:dyDescent="0.25">
      <c r="A8508" t="s">
        <v>8</v>
      </c>
      <c r="B8508" s="1" t="str">
        <f>"000250079 - BB RETRO RICH CORE ARA X-SSS"</f>
        <v>000250079 - BB RETRO RICH CORE ARA X-SSS</v>
      </c>
      <c r="C8508" t="s">
        <v>2091</v>
      </c>
      <c r="D8508" s="1" t="str">
        <f t="shared" si="237"/>
        <v>PRG-1032233</v>
      </c>
      <c r="E8508" t="s">
        <v>82</v>
      </c>
      <c r="F8508" t="s">
        <v>4</v>
      </c>
      <c r="G8508" t="str">
        <f>""</f>
        <v/>
      </c>
    </row>
    <row r="8509" spans="1:7" x14ac:dyDescent="0.25">
      <c r="A8509" t="s">
        <v>8</v>
      </c>
      <c r="B8509" s="1" t="str">
        <f>"000251465 - RICH FDS NCORE BB-ARA EX-SSS"</f>
        <v>000251465 - RICH FDS NCORE BB-ARA EX-SSS</v>
      </c>
      <c r="C8509" t="s">
        <v>617</v>
      </c>
      <c r="D8509" s="1" t="str">
        <f t="shared" si="237"/>
        <v>PRG-1032233</v>
      </c>
      <c r="E8509" t="s">
        <v>82</v>
      </c>
      <c r="F8509" t="s">
        <v>4</v>
      </c>
      <c r="G8509" t="str">
        <f>""</f>
        <v/>
      </c>
    </row>
    <row r="8510" spans="1:7" x14ac:dyDescent="0.25">
      <c r="A8510" t="s">
        <v>8</v>
      </c>
      <c r="B8510" s="1" t="str">
        <f>"000251466 - RICH FDS CORE BB-ARA EX-SSS"</f>
        <v>000251466 - RICH FDS CORE BB-ARA EX-SSS</v>
      </c>
      <c r="C8510" t="s">
        <v>618</v>
      </c>
      <c r="D8510" s="1" t="str">
        <f t="shared" si="237"/>
        <v>PRG-1032233</v>
      </c>
      <c r="E8510" t="s">
        <v>82</v>
      </c>
      <c r="F8510" t="s">
        <v>4</v>
      </c>
      <c r="G8510" t="str">
        <f>""</f>
        <v/>
      </c>
    </row>
    <row r="8511" spans="1:7" x14ac:dyDescent="0.25">
      <c r="A8511" t="s">
        <v>8</v>
      </c>
      <c r="B8511" s="1" t="str">
        <f>"000251963 - RICH FDS BB NCORE-ARA EX-SSS"</f>
        <v>000251963 - RICH FDS BB NCORE-ARA EX-SSS</v>
      </c>
      <c r="C8511" t="s">
        <v>571</v>
      </c>
      <c r="D8511" s="1" t="str">
        <f t="shared" si="237"/>
        <v>PRG-1032233</v>
      </c>
      <c r="E8511" t="s">
        <v>82</v>
      </c>
      <c r="F8511" t="s">
        <v>4</v>
      </c>
      <c r="G8511" t="str">
        <f>""</f>
        <v/>
      </c>
    </row>
    <row r="8512" spans="1:7" x14ac:dyDescent="0.25">
      <c r="A8512" t="s">
        <v>8</v>
      </c>
      <c r="B8512" s="1" t="str">
        <f>"000251964 - RICH FDS BB CORE-ARA EX-SSS"</f>
        <v>000251964 - RICH FDS BB CORE-ARA EX-SSS</v>
      </c>
      <c r="C8512" t="s">
        <v>570</v>
      </c>
      <c r="D8512" s="1" t="str">
        <f t="shared" si="237"/>
        <v>PRG-1032233</v>
      </c>
      <c r="E8512" t="s">
        <v>82</v>
      </c>
      <c r="F8512" t="s">
        <v>4</v>
      </c>
      <c r="G8512" t="str">
        <f>""</f>
        <v/>
      </c>
    </row>
    <row r="8513" spans="1:7" x14ac:dyDescent="0.25">
      <c r="A8513" t="s">
        <v>8</v>
      </c>
      <c r="B8513" s="1" t="str">
        <f>"000253151 - RICH FDS NCORE BB-ARA EX-SSS"</f>
        <v>000253151 - RICH FDS NCORE BB-ARA EX-SSS</v>
      </c>
      <c r="C8513" t="s">
        <v>617</v>
      </c>
      <c r="D8513" s="1" t="str">
        <f t="shared" si="237"/>
        <v>PRG-1032233</v>
      </c>
      <c r="E8513" t="s">
        <v>82</v>
      </c>
      <c r="F8513" t="s">
        <v>4</v>
      </c>
      <c r="G8513" t="str">
        <f>""</f>
        <v/>
      </c>
    </row>
    <row r="8514" spans="1:7" x14ac:dyDescent="0.25">
      <c r="A8514" t="s">
        <v>8</v>
      </c>
      <c r="B8514" s="1" t="str">
        <f>"000253152 - RICH FDS CORE BB-ARA EX-SSS"</f>
        <v>000253152 - RICH FDS CORE BB-ARA EX-SSS</v>
      </c>
      <c r="C8514" t="s">
        <v>618</v>
      </c>
      <c r="D8514" s="1" t="str">
        <f t="shared" si="237"/>
        <v>PRG-1032233</v>
      </c>
      <c r="E8514" t="s">
        <v>82</v>
      </c>
      <c r="F8514" t="s">
        <v>4</v>
      </c>
      <c r="G8514" t="str">
        <f>""</f>
        <v/>
      </c>
    </row>
    <row r="8515" spans="1:7" x14ac:dyDescent="0.25">
      <c r="A8515" t="s">
        <v>8</v>
      </c>
      <c r="B8515" s="1" t="str">
        <f>"000254872 - RICH FDS BB NCORE-ARA EX-SSS"</f>
        <v>000254872 - RICH FDS BB NCORE-ARA EX-SSS</v>
      </c>
      <c r="C8515" t="s">
        <v>571</v>
      </c>
      <c r="D8515" s="1" t="str">
        <f t="shared" si="237"/>
        <v>PRG-1032233</v>
      </c>
      <c r="E8515" t="s">
        <v>82</v>
      </c>
      <c r="F8515" t="s">
        <v>4</v>
      </c>
      <c r="G8515" t="str">
        <f>""</f>
        <v/>
      </c>
    </row>
    <row r="8516" spans="1:7" x14ac:dyDescent="0.25">
      <c r="A8516" t="s">
        <v>8</v>
      </c>
      <c r="B8516" s="1" t="str">
        <f>"000254873 - RICH FDS BB CORE-ARA EX-SSS"</f>
        <v>000254873 - RICH FDS BB CORE-ARA EX-SSS</v>
      </c>
      <c r="C8516" t="s">
        <v>570</v>
      </c>
      <c r="D8516" s="1" t="str">
        <f t="shared" si="237"/>
        <v>PRG-1032233</v>
      </c>
      <c r="E8516" t="s">
        <v>82</v>
      </c>
      <c r="F8516" t="s">
        <v>4</v>
      </c>
      <c r="G8516" t="str">
        <f>""</f>
        <v/>
      </c>
    </row>
    <row r="8517" spans="1:7" x14ac:dyDescent="0.25">
      <c r="A8517" t="s">
        <v>8</v>
      </c>
      <c r="B8517" s="1" t="str">
        <f>"000255236 - RICH FDS BB NCORE-ARA EX-SSS"</f>
        <v>000255236 - RICH FDS BB NCORE-ARA EX-SSS</v>
      </c>
      <c r="C8517" t="s">
        <v>571</v>
      </c>
      <c r="D8517" s="1" t="str">
        <f t="shared" si="237"/>
        <v>PRG-1032233</v>
      </c>
      <c r="E8517" t="s">
        <v>82</v>
      </c>
      <c r="F8517" t="s">
        <v>4</v>
      </c>
      <c r="G8517" t="str">
        <f>""</f>
        <v/>
      </c>
    </row>
    <row r="8518" spans="1:7" x14ac:dyDescent="0.25">
      <c r="A8518" t="s">
        <v>8</v>
      </c>
      <c r="B8518" s="1" t="str">
        <f>"000255754 - RICH FDS BB NCORE-ARA EX-SSS"</f>
        <v>000255754 - RICH FDS BB NCORE-ARA EX-SSS</v>
      </c>
      <c r="C8518" t="s">
        <v>571</v>
      </c>
      <c r="D8518" s="1" t="str">
        <f t="shared" si="237"/>
        <v>PRG-1032233</v>
      </c>
      <c r="E8518" t="s">
        <v>82</v>
      </c>
      <c r="F8518" t="s">
        <v>4</v>
      </c>
      <c r="G8518" t="str">
        <f>""</f>
        <v/>
      </c>
    </row>
    <row r="8519" spans="1:7" x14ac:dyDescent="0.25">
      <c r="A8519" t="s">
        <v>8</v>
      </c>
      <c r="B8519" s="1" t="str">
        <f>"000255755 - RICH FDS BB CORE-ARA EX-SSS"</f>
        <v>000255755 - RICH FDS BB CORE-ARA EX-SSS</v>
      </c>
      <c r="C8519" t="s">
        <v>570</v>
      </c>
      <c r="D8519" s="1" t="str">
        <f t="shared" si="237"/>
        <v>PRG-1032233</v>
      </c>
      <c r="E8519" t="s">
        <v>82</v>
      </c>
      <c r="F8519" t="s">
        <v>4</v>
      </c>
      <c r="G8519" t="str">
        <f>""</f>
        <v/>
      </c>
    </row>
    <row r="8520" spans="1:7" x14ac:dyDescent="0.25">
      <c r="A8520" t="s">
        <v>8</v>
      </c>
      <c r="B8520" s="1" t="str">
        <f>"000256052 - ARA XSSS-RICHS NONC BB RETRO"</f>
        <v>000256052 - ARA XSSS-RICHS NONC BB RETRO</v>
      </c>
      <c r="C8520" t="s">
        <v>2176</v>
      </c>
      <c r="D8520" s="1" t="str">
        <f t="shared" si="237"/>
        <v>PRG-1032233</v>
      </c>
      <c r="E8520" t="s">
        <v>82</v>
      </c>
      <c r="F8520" t="s">
        <v>4</v>
      </c>
      <c r="G8520" t="str">
        <f>""</f>
        <v/>
      </c>
    </row>
    <row r="8521" spans="1:7" x14ac:dyDescent="0.25">
      <c r="A8521" t="s">
        <v>8</v>
      </c>
      <c r="B8521" s="1" t="str">
        <f>"000256179 - RICH FDS NCORE BB-ARA EX-SSS"</f>
        <v>000256179 - RICH FDS NCORE BB-ARA EX-SSS</v>
      </c>
      <c r="C8521" t="s">
        <v>617</v>
      </c>
      <c r="D8521" s="1" t="str">
        <f t="shared" si="237"/>
        <v>PRG-1032233</v>
      </c>
      <c r="E8521" t="s">
        <v>82</v>
      </c>
      <c r="F8521" t="s">
        <v>4</v>
      </c>
      <c r="G8521" t="str">
        <f>""</f>
        <v/>
      </c>
    </row>
    <row r="8522" spans="1:7" x14ac:dyDescent="0.25">
      <c r="A8522" t="s">
        <v>8</v>
      </c>
      <c r="B8522" s="1" t="str">
        <f>"000256180 - RICH FDS CORE BB-ARA EX-SSS"</f>
        <v>000256180 - RICH FDS CORE BB-ARA EX-SSS</v>
      </c>
      <c r="C8522" t="s">
        <v>618</v>
      </c>
      <c r="D8522" s="1" t="str">
        <f t="shared" si="237"/>
        <v>PRG-1032233</v>
      </c>
      <c r="E8522" t="s">
        <v>82</v>
      </c>
      <c r="F8522" t="s">
        <v>4</v>
      </c>
      <c r="G8522" t="str">
        <f>""</f>
        <v/>
      </c>
    </row>
    <row r="8523" spans="1:7" x14ac:dyDescent="0.25">
      <c r="A8523" t="s">
        <v>8</v>
      </c>
      <c r="B8523" s="1" t="str">
        <f>"000257018 - RICH FDS BB NCORE-ARA EX-SSS"</f>
        <v>000257018 - RICH FDS BB NCORE-ARA EX-SSS</v>
      </c>
      <c r="C8523" t="s">
        <v>571</v>
      </c>
      <c r="D8523" s="1" t="str">
        <f t="shared" si="237"/>
        <v>PRG-1032233</v>
      </c>
      <c r="E8523" t="s">
        <v>82</v>
      </c>
      <c r="F8523" t="s">
        <v>4</v>
      </c>
      <c r="G8523" t="str">
        <f>""</f>
        <v/>
      </c>
    </row>
    <row r="8524" spans="1:7" x14ac:dyDescent="0.25">
      <c r="A8524" t="s">
        <v>8</v>
      </c>
      <c r="B8524" s="1" t="str">
        <f>"000257019 - RICH FDS BB CORE-ARA EX-SSS"</f>
        <v>000257019 - RICH FDS BB CORE-ARA EX-SSS</v>
      </c>
      <c r="C8524" t="s">
        <v>570</v>
      </c>
      <c r="D8524" s="1" t="str">
        <f t="shared" si="237"/>
        <v>PRG-1032233</v>
      </c>
      <c r="E8524" t="s">
        <v>82</v>
      </c>
      <c r="F8524" t="s">
        <v>4</v>
      </c>
      <c r="G8524" t="str">
        <f>""</f>
        <v/>
      </c>
    </row>
    <row r="8525" spans="1:7" x14ac:dyDescent="0.25">
      <c r="A8525" t="s">
        <v>8</v>
      </c>
      <c r="B8525" s="1" t="str">
        <f>"000257095 - RICH FDS NCORE BB-ARA EX-SSS"</f>
        <v>000257095 - RICH FDS NCORE BB-ARA EX-SSS</v>
      </c>
      <c r="C8525" t="s">
        <v>617</v>
      </c>
      <c r="D8525" s="1" t="str">
        <f t="shared" si="237"/>
        <v>PRG-1032233</v>
      </c>
      <c r="E8525" t="s">
        <v>82</v>
      </c>
      <c r="F8525" t="s">
        <v>4</v>
      </c>
      <c r="G8525" t="str">
        <f>""</f>
        <v/>
      </c>
    </row>
    <row r="8526" spans="1:7" x14ac:dyDescent="0.25">
      <c r="A8526" t="s">
        <v>8</v>
      </c>
      <c r="B8526" s="1" t="str">
        <f>"000257096 - RICH FDS CORE BB-ARA EX-SSS"</f>
        <v>000257096 - RICH FDS CORE BB-ARA EX-SSS</v>
      </c>
      <c r="C8526" t="s">
        <v>618</v>
      </c>
      <c r="D8526" s="1" t="str">
        <f t="shared" si="237"/>
        <v>PRG-1032233</v>
      </c>
      <c r="E8526" t="s">
        <v>82</v>
      </c>
      <c r="F8526" t="s">
        <v>4</v>
      </c>
      <c r="G8526" t="str">
        <f>""</f>
        <v/>
      </c>
    </row>
    <row r="8527" spans="1:7" x14ac:dyDescent="0.25">
      <c r="A8527" t="s">
        <v>8</v>
      </c>
      <c r="B8527" s="1" t="str">
        <f>"000257159 - RICH FDS BB NCORE-ARA EX-SSS"</f>
        <v>000257159 - RICH FDS BB NCORE-ARA EX-SSS</v>
      </c>
      <c r="C8527" t="s">
        <v>571</v>
      </c>
      <c r="D8527" s="1" t="str">
        <f t="shared" si="237"/>
        <v>PRG-1032233</v>
      </c>
      <c r="E8527" t="s">
        <v>82</v>
      </c>
      <c r="F8527" t="s">
        <v>4</v>
      </c>
      <c r="G8527" t="str">
        <f>""</f>
        <v/>
      </c>
    </row>
    <row r="8528" spans="1:7" x14ac:dyDescent="0.25">
      <c r="A8528" t="s">
        <v>8</v>
      </c>
      <c r="B8528" s="1" t="str">
        <f>"000257160 - RICH FDS BB CORE-ARA EX-SSS"</f>
        <v>000257160 - RICH FDS BB CORE-ARA EX-SSS</v>
      </c>
      <c r="C8528" t="s">
        <v>570</v>
      </c>
      <c r="D8528" s="1" t="str">
        <f t="shared" ref="D8528:D8591" si="238">"PRG-1032233"</f>
        <v>PRG-1032233</v>
      </c>
      <c r="E8528" t="s">
        <v>82</v>
      </c>
      <c r="F8528" t="s">
        <v>4</v>
      </c>
      <c r="G8528" t="str">
        <f>""</f>
        <v/>
      </c>
    </row>
    <row r="8529" spans="1:7" x14ac:dyDescent="0.25">
      <c r="A8529" t="s">
        <v>8</v>
      </c>
      <c r="B8529" s="1" t="str">
        <f>"000257318 - RICH FDS-BB-CORE-ARAMARK"</f>
        <v>000257318 - RICH FDS-BB-CORE-ARAMARK</v>
      </c>
      <c r="C8529" t="s">
        <v>2206</v>
      </c>
      <c r="D8529" s="1" t="str">
        <f t="shared" si="238"/>
        <v>PRG-1032233</v>
      </c>
      <c r="E8529" t="s">
        <v>82</v>
      </c>
      <c r="F8529" t="s">
        <v>4</v>
      </c>
      <c r="G8529" t="str">
        <f>""</f>
        <v/>
      </c>
    </row>
    <row r="8530" spans="1:7" x14ac:dyDescent="0.25">
      <c r="A8530" t="s">
        <v>8</v>
      </c>
      <c r="B8530" s="1" t="str">
        <f>"000257319 - RICH FDS-NCORE-BB-ARAMARK"</f>
        <v>000257319 - RICH FDS-NCORE-BB-ARAMARK</v>
      </c>
      <c r="C8530" t="s">
        <v>2207</v>
      </c>
      <c r="D8530" s="1" t="str">
        <f t="shared" si="238"/>
        <v>PRG-1032233</v>
      </c>
      <c r="E8530" t="s">
        <v>82</v>
      </c>
      <c r="F8530" t="s">
        <v>4</v>
      </c>
      <c r="G8530" t="str">
        <f>""</f>
        <v/>
      </c>
    </row>
    <row r="8531" spans="1:7" x14ac:dyDescent="0.25">
      <c r="A8531" t="s">
        <v>8</v>
      </c>
      <c r="B8531" s="1" t="str">
        <f>"000257352 - RICH FDS NCORE BB-MAIN ARAMARK"</f>
        <v>000257352 - RICH FDS NCORE BB-MAIN ARAMARK</v>
      </c>
      <c r="C8531" t="s">
        <v>194</v>
      </c>
      <c r="D8531" s="1" t="str">
        <f t="shared" si="238"/>
        <v>PRG-1032233</v>
      </c>
      <c r="E8531" t="s">
        <v>82</v>
      </c>
      <c r="F8531" t="s">
        <v>4</v>
      </c>
      <c r="G8531" t="str">
        <f>""</f>
        <v/>
      </c>
    </row>
    <row r="8532" spans="1:7" x14ac:dyDescent="0.25">
      <c r="A8532" t="s">
        <v>8</v>
      </c>
      <c r="B8532" s="1" t="str">
        <f>"000258299 - RICH FDS NCORE BB-ARA EX-SSS"</f>
        <v>000258299 - RICH FDS NCORE BB-ARA EX-SSS</v>
      </c>
      <c r="C8532" t="s">
        <v>617</v>
      </c>
      <c r="D8532" s="1" t="str">
        <f t="shared" si="238"/>
        <v>PRG-1032233</v>
      </c>
      <c r="E8532" t="s">
        <v>82</v>
      </c>
      <c r="F8532" t="s">
        <v>4</v>
      </c>
      <c r="G8532" t="str">
        <f>""</f>
        <v/>
      </c>
    </row>
    <row r="8533" spans="1:7" x14ac:dyDescent="0.25">
      <c r="A8533" t="s">
        <v>8</v>
      </c>
      <c r="B8533" s="1" t="str">
        <f>"000258300 - RICH FDS CORE BB-ARA EX-SSS"</f>
        <v>000258300 - RICH FDS CORE BB-ARA EX-SSS</v>
      </c>
      <c r="C8533" t="s">
        <v>618</v>
      </c>
      <c r="D8533" s="1" t="str">
        <f t="shared" si="238"/>
        <v>PRG-1032233</v>
      </c>
      <c r="E8533" t="s">
        <v>82</v>
      </c>
      <c r="F8533" t="s">
        <v>4</v>
      </c>
      <c r="G8533" t="str">
        <f>""</f>
        <v/>
      </c>
    </row>
    <row r="8534" spans="1:7" x14ac:dyDescent="0.25">
      <c r="A8534" t="s">
        <v>8</v>
      </c>
      <c r="B8534" s="1" t="str">
        <f>"000258577 - RICH FDS NCORE BB-ARA EX-SSS"</f>
        <v>000258577 - RICH FDS NCORE BB-ARA EX-SSS</v>
      </c>
      <c r="C8534" t="s">
        <v>617</v>
      </c>
      <c r="D8534" s="1" t="str">
        <f t="shared" si="238"/>
        <v>PRG-1032233</v>
      </c>
      <c r="E8534" t="s">
        <v>82</v>
      </c>
      <c r="F8534" t="s">
        <v>4</v>
      </c>
      <c r="G8534" t="str">
        <f>""</f>
        <v/>
      </c>
    </row>
    <row r="8535" spans="1:7" x14ac:dyDescent="0.25">
      <c r="A8535" t="s">
        <v>8</v>
      </c>
      <c r="B8535" s="1" t="str">
        <f>"000258578 - RICH FDS CORE BB-ARA EX-SSS"</f>
        <v>000258578 - RICH FDS CORE BB-ARA EX-SSS</v>
      </c>
      <c r="C8535" t="s">
        <v>618</v>
      </c>
      <c r="D8535" s="1" t="str">
        <f t="shared" si="238"/>
        <v>PRG-1032233</v>
      </c>
      <c r="E8535" t="s">
        <v>82</v>
      </c>
      <c r="F8535" t="s">
        <v>4</v>
      </c>
      <c r="G8535" t="str">
        <f>""</f>
        <v/>
      </c>
    </row>
    <row r="8536" spans="1:7" x14ac:dyDescent="0.25">
      <c r="A8536" t="s">
        <v>8</v>
      </c>
      <c r="B8536" s="1" t="str">
        <f>"000259382 - RICH FDS BB NCORE-ARA EX-SSS"</f>
        <v>000259382 - RICH FDS BB NCORE-ARA EX-SSS</v>
      </c>
      <c r="C8536" t="s">
        <v>571</v>
      </c>
      <c r="D8536" s="1" t="str">
        <f t="shared" si="238"/>
        <v>PRG-1032233</v>
      </c>
      <c r="E8536" t="s">
        <v>82</v>
      </c>
      <c r="F8536" t="s">
        <v>4</v>
      </c>
      <c r="G8536" t="str">
        <f>""</f>
        <v/>
      </c>
    </row>
    <row r="8537" spans="1:7" x14ac:dyDescent="0.25">
      <c r="A8537" t="s">
        <v>8</v>
      </c>
      <c r="B8537" s="1" t="str">
        <f>"000259724 - RICH FDS BB NCORE-ARA EX-SSS"</f>
        <v>000259724 - RICH FDS BB NCORE-ARA EX-SSS</v>
      </c>
      <c r="C8537" t="s">
        <v>571</v>
      </c>
      <c r="D8537" s="1" t="str">
        <f t="shared" si="238"/>
        <v>PRG-1032233</v>
      </c>
      <c r="E8537" t="s">
        <v>82</v>
      </c>
      <c r="F8537" t="s">
        <v>4</v>
      </c>
      <c r="G8537" t="str">
        <f>""</f>
        <v/>
      </c>
    </row>
    <row r="8538" spans="1:7" x14ac:dyDescent="0.25">
      <c r="A8538" t="s">
        <v>8</v>
      </c>
      <c r="B8538" s="1" t="str">
        <f>"000259725 - RICH FDS BB CORE-ARA EX-SSS"</f>
        <v>000259725 - RICH FDS BB CORE-ARA EX-SSS</v>
      </c>
      <c r="C8538" t="s">
        <v>570</v>
      </c>
      <c r="D8538" s="1" t="str">
        <f t="shared" si="238"/>
        <v>PRG-1032233</v>
      </c>
      <c r="E8538" t="s">
        <v>82</v>
      </c>
      <c r="F8538" t="s">
        <v>4</v>
      </c>
      <c r="G8538" t="str">
        <f>""</f>
        <v/>
      </c>
    </row>
    <row r="8539" spans="1:7" x14ac:dyDescent="0.25">
      <c r="A8539" t="s">
        <v>8</v>
      </c>
      <c r="B8539" s="1" t="str">
        <f>"000260542 - RICH FDS NCORE BB-ARA EX-SSS"</f>
        <v>000260542 - RICH FDS NCORE BB-ARA EX-SSS</v>
      </c>
      <c r="C8539" t="s">
        <v>617</v>
      </c>
      <c r="D8539" s="1" t="str">
        <f t="shared" si="238"/>
        <v>PRG-1032233</v>
      </c>
      <c r="E8539" t="s">
        <v>82</v>
      </c>
      <c r="F8539" t="s">
        <v>4</v>
      </c>
      <c r="G8539" t="str">
        <f>""</f>
        <v/>
      </c>
    </row>
    <row r="8540" spans="1:7" x14ac:dyDescent="0.25">
      <c r="A8540" t="s">
        <v>8</v>
      </c>
      <c r="B8540" s="1" t="str">
        <f>"000260543 - RICH FDS CORE BB-ARA EX-SSS"</f>
        <v>000260543 - RICH FDS CORE BB-ARA EX-SSS</v>
      </c>
      <c r="C8540" t="s">
        <v>618</v>
      </c>
      <c r="D8540" s="1" t="str">
        <f t="shared" si="238"/>
        <v>PRG-1032233</v>
      </c>
      <c r="E8540" t="s">
        <v>82</v>
      </c>
      <c r="F8540" t="s">
        <v>4</v>
      </c>
      <c r="G8540" t="str">
        <f>""</f>
        <v/>
      </c>
    </row>
    <row r="8541" spans="1:7" x14ac:dyDescent="0.25">
      <c r="A8541" t="s">
        <v>8</v>
      </c>
      <c r="B8541" s="1" t="str">
        <f>"000261109 - RICH FDS BB NCORE-ARA EX-SSS"</f>
        <v>000261109 - RICH FDS BB NCORE-ARA EX-SSS</v>
      </c>
      <c r="C8541" t="s">
        <v>571</v>
      </c>
      <c r="D8541" s="1" t="str">
        <f t="shared" si="238"/>
        <v>PRG-1032233</v>
      </c>
      <c r="E8541" t="s">
        <v>82</v>
      </c>
      <c r="F8541" t="s">
        <v>4</v>
      </c>
      <c r="G8541" t="str">
        <f>""</f>
        <v/>
      </c>
    </row>
    <row r="8542" spans="1:7" x14ac:dyDescent="0.25">
      <c r="A8542" t="s">
        <v>8</v>
      </c>
      <c r="B8542" s="1" t="str">
        <f>"000261110 - RICH FDS BB CORE-ARA EX-SSS"</f>
        <v>000261110 - RICH FDS BB CORE-ARA EX-SSS</v>
      </c>
      <c r="C8542" t="s">
        <v>570</v>
      </c>
      <c r="D8542" s="1" t="str">
        <f t="shared" si="238"/>
        <v>PRG-1032233</v>
      </c>
      <c r="E8542" t="s">
        <v>82</v>
      </c>
      <c r="F8542" t="s">
        <v>4</v>
      </c>
      <c r="G8542" t="str">
        <f>""</f>
        <v/>
      </c>
    </row>
    <row r="8543" spans="1:7" x14ac:dyDescent="0.25">
      <c r="A8543" t="s">
        <v>8</v>
      </c>
      <c r="B8543" s="1" t="str">
        <f>"000261667 - RICH PRODUCTS (CORE)   ARAMARK"</f>
        <v>000261667 - RICH PRODUCTS (CORE)   ARAMARK</v>
      </c>
      <c r="C8543" t="s">
        <v>2293</v>
      </c>
      <c r="D8543" s="1" t="str">
        <f t="shared" si="238"/>
        <v>PRG-1032233</v>
      </c>
      <c r="E8543" t="s">
        <v>82</v>
      </c>
      <c r="F8543" t="s">
        <v>4</v>
      </c>
      <c r="G8543" t="str">
        <f>""</f>
        <v/>
      </c>
    </row>
    <row r="8544" spans="1:7" x14ac:dyDescent="0.25">
      <c r="A8544" t="s">
        <v>8</v>
      </c>
      <c r="B8544" s="1" t="str">
        <f>"000261670 - RICH PRODUCTS (NON)   ARAMARK"</f>
        <v>000261670 - RICH PRODUCTS (NON)   ARAMARK</v>
      </c>
      <c r="C8544" t="s">
        <v>2294</v>
      </c>
      <c r="D8544" s="1" t="str">
        <f t="shared" si="238"/>
        <v>PRG-1032233</v>
      </c>
      <c r="E8544" t="s">
        <v>82</v>
      </c>
      <c r="F8544" t="s">
        <v>4</v>
      </c>
      <c r="G8544" t="str">
        <f>""</f>
        <v/>
      </c>
    </row>
    <row r="8545" spans="1:7" x14ac:dyDescent="0.25">
      <c r="A8545" t="s">
        <v>8</v>
      </c>
      <c r="B8545" s="1" t="str">
        <f>"000261795 - RICH FDS BB NCORE-ARA EX-SSS"</f>
        <v>000261795 - RICH FDS BB NCORE-ARA EX-SSS</v>
      </c>
      <c r="C8545" t="s">
        <v>571</v>
      </c>
      <c r="D8545" s="1" t="str">
        <f t="shared" si="238"/>
        <v>PRG-1032233</v>
      </c>
      <c r="E8545" t="s">
        <v>82</v>
      </c>
      <c r="F8545" t="s">
        <v>4</v>
      </c>
      <c r="G8545" t="str">
        <f>""</f>
        <v/>
      </c>
    </row>
    <row r="8546" spans="1:7" x14ac:dyDescent="0.25">
      <c r="A8546" t="s">
        <v>8</v>
      </c>
      <c r="B8546" s="1" t="str">
        <f>"000261796 - RICH FDS BB CORE-ARA EX-SSS"</f>
        <v>000261796 - RICH FDS BB CORE-ARA EX-SSS</v>
      </c>
      <c r="C8546" t="s">
        <v>570</v>
      </c>
      <c r="D8546" s="1" t="str">
        <f t="shared" si="238"/>
        <v>PRG-1032233</v>
      </c>
      <c r="E8546" t="s">
        <v>82</v>
      </c>
      <c r="F8546" t="s">
        <v>4</v>
      </c>
      <c r="G8546" t="str">
        <f>""</f>
        <v/>
      </c>
    </row>
    <row r="8547" spans="1:7" x14ac:dyDescent="0.25">
      <c r="A8547" t="s">
        <v>8</v>
      </c>
      <c r="B8547" s="1" t="str">
        <f>"000262277 - RICH FDS NCORE BB-ARA EX-SSS"</f>
        <v>000262277 - RICH FDS NCORE BB-ARA EX-SSS</v>
      </c>
      <c r="C8547" t="s">
        <v>617</v>
      </c>
      <c r="D8547" s="1" t="str">
        <f t="shared" si="238"/>
        <v>PRG-1032233</v>
      </c>
      <c r="E8547" t="s">
        <v>82</v>
      </c>
      <c r="F8547" t="s">
        <v>4</v>
      </c>
      <c r="G8547" t="str">
        <f>""</f>
        <v/>
      </c>
    </row>
    <row r="8548" spans="1:7" x14ac:dyDescent="0.25">
      <c r="A8548" t="s">
        <v>8</v>
      </c>
      <c r="B8548" s="1" t="str">
        <f>"000262278 - RICH FDS CORE BB-ARA EX-SSS"</f>
        <v>000262278 - RICH FDS CORE BB-ARA EX-SSS</v>
      </c>
      <c r="C8548" t="s">
        <v>618</v>
      </c>
      <c r="D8548" s="1" t="str">
        <f t="shared" si="238"/>
        <v>PRG-1032233</v>
      </c>
      <c r="E8548" t="s">
        <v>82</v>
      </c>
      <c r="F8548" t="s">
        <v>4</v>
      </c>
      <c r="G8548" t="str">
        <f>""</f>
        <v/>
      </c>
    </row>
    <row r="8549" spans="1:7" x14ac:dyDescent="0.25">
      <c r="A8549" t="s">
        <v>8</v>
      </c>
      <c r="B8549" s="1" t="str">
        <f>"000262374 - RICH FDS NCORE BB-MAIN ARAMARK"</f>
        <v>000262374 - RICH FDS NCORE BB-MAIN ARAMARK</v>
      </c>
      <c r="C8549" t="s">
        <v>194</v>
      </c>
      <c r="D8549" s="1" t="str">
        <f t="shared" si="238"/>
        <v>PRG-1032233</v>
      </c>
      <c r="E8549" t="s">
        <v>82</v>
      </c>
      <c r="F8549" t="s">
        <v>4</v>
      </c>
      <c r="G8549" t="str">
        <f>""</f>
        <v/>
      </c>
    </row>
    <row r="8550" spans="1:7" x14ac:dyDescent="0.25">
      <c r="A8550" t="s">
        <v>8</v>
      </c>
      <c r="B8550" s="1" t="str">
        <f>"000262375 - RICH FDS CORE BB-MAIN ARAMARK"</f>
        <v>000262375 - RICH FDS CORE BB-MAIN ARAMARK</v>
      </c>
      <c r="C8550" t="s">
        <v>196</v>
      </c>
      <c r="D8550" s="1" t="str">
        <f t="shared" si="238"/>
        <v>PRG-1032233</v>
      </c>
      <c r="E8550" t="s">
        <v>82</v>
      </c>
      <c r="F8550" t="s">
        <v>4</v>
      </c>
      <c r="G8550" t="str">
        <f>""</f>
        <v/>
      </c>
    </row>
    <row r="8551" spans="1:7" x14ac:dyDescent="0.25">
      <c r="A8551" t="s">
        <v>8</v>
      </c>
      <c r="B8551" s="1" t="str">
        <f>"000263381 - RICH FDS NCORE BB-MAIN ARAMARK"</f>
        <v>000263381 - RICH FDS NCORE BB-MAIN ARAMARK</v>
      </c>
      <c r="C8551" t="s">
        <v>194</v>
      </c>
      <c r="D8551" s="1" t="str">
        <f t="shared" si="238"/>
        <v>PRG-1032233</v>
      </c>
      <c r="E8551" t="s">
        <v>82</v>
      </c>
      <c r="F8551" t="s">
        <v>4</v>
      </c>
      <c r="G8551" t="str">
        <f>""</f>
        <v/>
      </c>
    </row>
    <row r="8552" spans="1:7" x14ac:dyDescent="0.25">
      <c r="A8552" t="s">
        <v>8</v>
      </c>
      <c r="B8552" s="1" t="str">
        <f>"000263382 - RICH FDS CORE BB-MAIN ARAMARK"</f>
        <v>000263382 - RICH FDS CORE BB-MAIN ARAMARK</v>
      </c>
      <c r="C8552" t="s">
        <v>196</v>
      </c>
      <c r="D8552" s="1" t="str">
        <f t="shared" si="238"/>
        <v>PRG-1032233</v>
      </c>
      <c r="E8552" t="s">
        <v>82</v>
      </c>
      <c r="F8552" t="s">
        <v>4</v>
      </c>
      <c r="G8552" t="str">
        <f>""</f>
        <v/>
      </c>
    </row>
    <row r="8553" spans="1:7" x14ac:dyDescent="0.25">
      <c r="A8553" t="s">
        <v>8</v>
      </c>
      <c r="B8553" s="1" t="str">
        <f>"000263395 - RICH FDS NCORE BB-ARAMARK"</f>
        <v>000263395 - RICH FDS NCORE BB-ARAMARK</v>
      </c>
      <c r="C8553" t="s">
        <v>2335</v>
      </c>
      <c r="D8553" s="1" t="str">
        <f t="shared" si="238"/>
        <v>PRG-1032233</v>
      </c>
      <c r="E8553" t="s">
        <v>82</v>
      </c>
      <c r="F8553" t="s">
        <v>4</v>
      </c>
      <c r="G8553" t="str">
        <f>""</f>
        <v/>
      </c>
    </row>
    <row r="8554" spans="1:7" x14ac:dyDescent="0.25">
      <c r="A8554" t="s">
        <v>8</v>
      </c>
      <c r="B8554" s="1" t="str">
        <f>"000263398 - RICH FOODS BB NCORE HILTON"</f>
        <v>000263398 - RICH FOODS BB NCORE HILTON</v>
      </c>
      <c r="C8554" t="s">
        <v>143</v>
      </c>
      <c r="D8554" s="1" t="str">
        <f t="shared" si="238"/>
        <v>PRG-1032233</v>
      </c>
      <c r="E8554" t="s">
        <v>82</v>
      </c>
      <c r="F8554" t="s">
        <v>4</v>
      </c>
      <c r="G8554" t="str">
        <f>""</f>
        <v/>
      </c>
    </row>
    <row r="8555" spans="1:7" x14ac:dyDescent="0.25">
      <c r="A8555" t="s">
        <v>8</v>
      </c>
      <c r="B8555" s="1" t="str">
        <f>"000263400 - RICH FDS CORE BB-MAIN ARAMARK"</f>
        <v>000263400 - RICH FDS CORE BB-MAIN ARAMARK</v>
      </c>
      <c r="C8555" t="s">
        <v>196</v>
      </c>
      <c r="D8555" s="1" t="str">
        <f t="shared" si="238"/>
        <v>PRG-1032233</v>
      </c>
      <c r="E8555" t="s">
        <v>82</v>
      </c>
      <c r="F8555" t="s">
        <v>4</v>
      </c>
      <c r="G8555" t="str">
        <f>""</f>
        <v/>
      </c>
    </row>
    <row r="8556" spans="1:7" x14ac:dyDescent="0.25">
      <c r="A8556" t="s">
        <v>8</v>
      </c>
      <c r="B8556" s="1" t="str">
        <f>"000263401 - RICH FDS NCOREBB-MAIN ARAMARK"</f>
        <v>000263401 - RICH FDS NCOREBB-MAIN ARAMARK</v>
      </c>
      <c r="C8556" t="s">
        <v>2336</v>
      </c>
      <c r="D8556" s="1" t="str">
        <f t="shared" si="238"/>
        <v>PRG-1032233</v>
      </c>
      <c r="E8556" t="s">
        <v>82</v>
      </c>
      <c r="F8556" t="s">
        <v>4</v>
      </c>
      <c r="G8556" t="str">
        <f>""</f>
        <v/>
      </c>
    </row>
    <row r="8557" spans="1:7" x14ac:dyDescent="0.25">
      <c r="A8557" t="s">
        <v>8</v>
      </c>
      <c r="B8557" s="1" t="str">
        <f>"000263425 - RICH FDS BB NCORE-ARA EX-SSS"</f>
        <v>000263425 - RICH FDS BB NCORE-ARA EX-SSS</v>
      </c>
      <c r="C8557" t="s">
        <v>571</v>
      </c>
      <c r="D8557" s="1" t="str">
        <f t="shared" si="238"/>
        <v>PRG-1032233</v>
      </c>
      <c r="E8557" t="s">
        <v>82</v>
      </c>
      <c r="F8557" t="s">
        <v>4</v>
      </c>
      <c r="G8557" t="str">
        <f>""</f>
        <v/>
      </c>
    </row>
    <row r="8558" spans="1:7" x14ac:dyDescent="0.25">
      <c r="A8558" t="s">
        <v>8</v>
      </c>
      <c r="B8558" s="1" t="str">
        <f>"000264391 - RICH FDS BB NCORE-ARA EX-SSS"</f>
        <v>000264391 - RICH FDS BB NCORE-ARA EX-SSS</v>
      </c>
      <c r="C8558" t="s">
        <v>571</v>
      </c>
      <c r="D8558" s="1" t="str">
        <f t="shared" si="238"/>
        <v>PRG-1032233</v>
      </c>
      <c r="E8558" t="s">
        <v>82</v>
      </c>
      <c r="F8558" t="s">
        <v>4</v>
      </c>
      <c r="G8558" t="str">
        <f>""</f>
        <v/>
      </c>
    </row>
    <row r="8559" spans="1:7" x14ac:dyDescent="0.25">
      <c r="A8559" t="s">
        <v>8</v>
      </c>
      <c r="B8559" s="1" t="str">
        <f>"000264392 - RICH FDS BB CORE-ARA EX-SSS"</f>
        <v>000264392 - RICH FDS BB CORE-ARA EX-SSS</v>
      </c>
      <c r="C8559" t="s">
        <v>570</v>
      </c>
      <c r="D8559" s="1" t="str">
        <f t="shared" si="238"/>
        <v>PRG-1032233</v>
      </c>
      <c r="E8559" t="s">
        <v>82</v>
      </c>
      <c r="F8559" t="s">
        <v>4</v>
      </c>
      <c r="G8559" t="str">
        <f>""</f>
        <v/>
      </c>
    </row>
    <row r="8560" spans="1:7" x14ac:dyDescent="0.25">
      <c r="A8560" t="s">
        <v>8</v>
      </c>
      <c r="B8560" s="1" t="str">
        <f>"000264714 - RICH FDS NCORE BB-ARA EX-SSS"</f>
        <v>000264714 - RICH FDS NCORE BB-ARA EX-SSS</v>
      </c>
      <c r="C8560" t="s">
        <v>617</v>
      </c>
      <c r="D8560" s="1" t="str">
        <f t="shared" si="238"/>
        <v>PRG-1032233</v>
      </c>
      <c r="E8560" t="s">
        <v>82</v>
      </c>
      <c r="F8560" t="s">
        <v>4</v>
      </c>
      <c r="G8560" t="str">
        <f>""</f>
        <v/>
      </c>
    </row>
    <row r="8561" spans="1:7" x14ac:dyDescent="0.25">
      <c r="A8561" t="s">
        <v>8</v>
      </c>
      <c r="B8561" s="1" t="str">
        <f>"000264715 - RICH FDS CORE BB-ARA EX-SSS"</f>
        <v>000264715 - RICH FDS CORE BB-ARA EX-SSS</v>
      </c>
      <c r="C8561" t="s">
        <v>618</v>
      </c>
      <c r="D8561" s="1" t="str">
        <f t="shared" si="238"/>
        <v>PRG-1032233</v>
      </c>
      <c r="E8561" t="s">
        <v>82</v>
      </c>
      <c r="F8561" t="s">
        <v>4</v>
      </c>
      <c r="G8561" t="str">
        <f>""</f>
        <v/>
      </c>
    </row>
    <row r="8562" spans="1:7" x14ac:dyDescent="0.25">
      <c r="A8562" t="s">
        <v>8</v>
      </c>
      <c r="B8562" s="1" t="str">
        <f>"000265414 - RICH FDS NCORE BB-ARA EX-SSS"</f>
        <v>000265414 - RICH FDS NCORE BB-ARA EX-SSS</v>
      </c>
      <c r="C8562" t="s">
        <v>617</v>
      </c>
      <c r="D8562" s="1" t="str">
        <f t="shared" si="238"/>
        <v>PRG-1032233</v>
      </c>
      <c r="E8562" t="s">
        <v>82</v>
      </c>
      <c r="F8562" t="s">
        <v>4</v>
      </c>
      <c r="G8562" t="str">
        <f>""</f>
        <v/>
      </c>
    </row>
    <row r="8563" spans="1:7" x14ac:dyDescent="0.25">
      <c r="A8563" t="s">
        <v>8</v>
      </c>
      <c r="B8563" s="1" t="str">
        <f>"000265415 - RICH FDS CORE BB-ARA EX-SSS"</f>
        <v>000265415 - RICH FDS CORE BB-ARA EX-SSS</v>
      </c>
      <c r="C8563" t="s">
        <v>618</v>
      </c>
      <c r="D8563" s="1" t="str">
        <f t="shared" si="238"/>
        <v>PRG-1032233</v>
      </c>
      <c r="E8563" t="s">
        <v>82</v>
      </c>
      <c r="F8563" t="s">
        <v>4</v>
      </c>
      <c r="G8563" t="str">
        <f>""</f>
        <v/>
      </c>
    </row>
    <row r="8564" spans="1:7" x14ac:dyDescent="0.25">
      <c r="A8564" t="s">
        <v>8</v>
      </c>
      <c r="B8564" s="1" t="str">
        <f>"000266525 - RICH FDS BB NCORE-ARA EX-SSS"</f>
        <v>000266525 - RICH FDS BB NCORE-ARA EX-SSS</v>
      </c>
      <c r="C8564" t="s">
        <v>571</v>
      </c>
      <c r="D8564" s="1" t="str">
        <f t="shared" si="238"/>
        <v>PRG-1032233</v>
      </c>
      <c r="E8564" t="s">
        <v>82</v>
      </c>
      <c r="F8564" t="s">
        <v>4</v>
      </c>
      <c r="G8564" t="str">
        <f>""</f>
        <v/>
      </c>
    </row>
    <row r="8565" spans="1:7" x14ac:dyDescent="0.25">
      <c r="A8565" t="s">
        <v>8</v>
      </c>
      <c r="B8565" s="1" t="str">
        <f>"000266526 - RICH FDS BB CORE-ARA EX-SSS"</f>
        <v>000266526 - RICH FDS BB CORE-ARA EX-SSS</v>
      </c>
      <c r="C8565" t="s">
        <v>570</v>
      </c>
      <c r="D8565" s="1" t="str">
        <f t="shared" si="238"/>
        <v>PRG-1032233</v>
      </c>
      <c r="E8565" t="s">
        <v>82</v>
      </c>
      <c r="F8565" t="s">
        <v>4</v>
      </c>
      <c r="G8565" t="str">
        <f>""</f>
        <v/>
      </c>
    </row>
    <row r="8566" spans="1:7" x14ac:dyDescent="0.25">
      <c r="A8566" t="s">
        <v>8</v>
      </c>
      <c r="B8566" s="1" t="str">
        <f>"000269518 - RICH FDS NCORE BB-MAIN ARAMARK"</f>
        <v>000269518 - RICH FDS NCORE BB-MAIN ARAMARK</v>
      </c>
      <c r="C8566" t="s">
        <v>194</v>
      </c>
      <c r="D8566" s="1" t="str">
        <f t="shared" si="238"/>
        <v>PRG-1032233</v>
      </c>
      <c r="E8566" t="s">
        <v>82</v>
      </c>
      <c r="F8566" t="s">
        <v>4</v>
      </c>
      <c r="G8566" t="str">
        <f>""</f>
        <v/>
      </c>
    </row>
    <row r="8567" spans="1:7" x14ac:dyDescent="0.25">
      <c r="A8567" t="s">
        <v>8</v>
      </c>
      <c r="B8567" s="1" t="str">
        <f>"000269519 - RICH FDS CORE BB-MAIN ARAMARK"</f>
        <v>000269519 - RICH FDS CORE BB-MAIN ARAMARK</v>
      </c>
      <c r="C8567" t="s">
        <v>196</v>
      </c>
      <c r="D8567" s="1" t="str">
        <f t="shared" si="238"/>
        <v>PRG-1032233</v>
      </c>
      <c r="E8567" t="s">
        <v>82</v>
      </c>
      <c r="F8567" t="s">
        <v>4</v>
      </c>
      <c r="G8567" t="str">
        <f>""</f>
        <v/>
      </c>
    </row>
    <row r="8568" spans="1:7" x14ac:dyDescent="0.25">
      <c r="A8568" t="s">
        <v>8</v>
      </c>
      <c r="B8568" s="1" t="str">
        <f>"000272265 - RICH BB NCORE-ARA"</f>
        <v>000272265 - RICH BB NCORE-ARA</v>
      </c>
      <c r="C8568" t="s">
        <v>2501</v>
      </c>
      <c r="D8568" s="1" t="str">
        <f t="shared" si="238"/>
        <v>PRG-1032233</v>
      </c>
      <c r="E8568" t="s">
        <v>82</v>
      </c>
      <c r="F8568" t="s">
        <v>4</v>
      </c>
      <c r="G8568" t="str">
        <f>""</f>
        <v/>
      </c>
    </row>
    <row r="8569" spans="1:7" x14ac:dyDescent="0.25">
      <c r="A8569" t="s">
        <v>8</v>
      </c>
      <c r="B8569" s="1" t="str">
        <f>"000272272 - RICH BB-CORE-ARA"</f>
        <v>000272272 - RICH BB-CORE-ARA</v>
      </c>
      <c r="C8569" t="s">
        <v>2502</v>
      </c>
      <c r="D8569" s="1" t="str">
        <f t="shared" si="238"/>
        <v>PRG-1032233</v>
      </c>
      <c r="E8569" t="s">
        <v>82</v>
      </c>
      <c r="F8569" t="s">
        <v>4</v>
      </c>
      <c r="G8569" t="str">
        <f>""</f>
        <v/>
      </c>
    </row>
    <row r="8570" spans="1:7" x14ac:dyDescent="0.25">
      <c r="A8570" t="s">
        <v>8</v>
      </c>
      <c r="B8570" s="1" t="str">
        <f>"000272273 - RICH FDS NCORE BB-MAIN ARAMARK"</f>
        <v>000272273 - RICH FDS NCORE BB-MAIN ARAMARK</v>
      </c>
      <c r="C8570" t="s">
        <v>194</v>
      </c>
      <c r="D8570" s="1" t="str">
        <f t="shared" si="238"/>
        <v>PRG-1032233</v>
      </c>
      <c r="E8570" t="s">
        <v>82</v>
      </c>
      <c r="F8570" t="s">
        <v>4</v>
      </c>
      <c r="G8570" t="str">
        <f>""</f>
        <v/>
      </c>
    </row>
    <row r="8571" spans="1:7" x14ac:dyDescent="0.25">
      <c r="A8571" t="s">
        <v>8</v>
      </c>
      <c r="B8571" s="1" t="str">
        <f>"000285424 - RICH FDS BB NCORE-ARA EX-SSS"</f>
        <v>000285424 - RICH FDS BB NCORE-ARA EX-SSS</v>
      </c>
      <c r="C8571" t="s">
        <v>571</v>
      </c>
      <c r="D8571" s="1" t="str">
        <f t="shared" si="238"/>
        <v>PRG-1032233</v>
      </c>
      <c r="E8571" t="s">
        <v>82</v>
      </c>
      <c r="F8571" t="s">
        <v>4</v>
      </c>
      <c r="G8571" t="str">
        <f>""</f>
        <v/>
      </c>
    </row>
    <row r="8572" spans="1:7" x14ac:dyDescent="0.25">
      <c r="A8572" t="s">
        <v>8</v>
      </c>
      <c r="B8572" s="1" t="str">
        <f>"000285425 - RICH FDS BB CORE-ARA EX-SSS"</f>
        <v>000285425 - RICH FDS BB CORE-ARA EX-SSS</v>
      </c>
      <c r="C8572" t="s">
        <v>570</v>
      </c>
      <c r="D8572" s="1" t="str">
        <f t="shared" si="238"/>
        <v>PRG-1032233</v>
      </c>
      <c r="E8572" t="s">
        <v>82</v>
      </c>
      <c r="F8572" t="s">
        <v>4</v>
      </c>
      <c r="G8572" t="str">
        <f>""</f>
        <v/>
      </c>
    </row>
    <row r="8573" spans="1:7" x14ac:dyDescent="0.25">
      <c r="A8573" t="s">
        <v>8</v>
      </c>
      <c r="B8573" s="1" t="str">
        <f>"000285694 - ARAMAK EX-SSS(BB NOCRE)RICH FD"</f>
        <v>000285694 - ARAMAK EX-SSS(BB NOCRE)RICH FD</v>
      </c>
      <c r="C8573" t="s">
        <v>2723</v>
      </c>
      <c r="D8573" s="1" t="str">
        <f t="shared" si="238"/>
        <v>PRG-1032233</v>
      </c>
      <c r="E8573" t="s">
        <v>82</v>
      </c>
      <c r="F8573" t="s">
        <v>4</v>
      </c>
      <c r="G8573" t="str">
        <f>""</f>
        <v/>
      </c>
    </row>
    <row r="8574" spans="1:7" x14ac:dyDescent="0.25">
      <c r="A8574" t="s">
        <v>8</v>
      </c>
      <c r="B8574" s="1" t="str">
        <f>"000285696 - ARAMARK EX-SSS(BB CORE)RICH FD"</f>
        <v>000285696 - ARAMARK EX-SSS(BB CORE)RICH FD</v>
      </c>
      <c r="C8574" t="s">
        <v>2724</v>
      </c>
      <c r="D8574" s="1" t="str">
        <f t="shared" si="238"/>
        <v>PRG-1032233</v>
      </c>
      <c r="E8574" t="s">
        <v>82</v>
      </c>
      <c r="F8574" t="s">
        <v>4</v>
      </c>
      <c r="G8574" t="str">
        <f>""</f>
        <v/>
      </c>
    </row>
    <row r="8575" spans="1:7" x14ac:dyDescent="0.25">
      <c r="A8575" t="s">
        <v>8</v>
      </c>
      <c r="B8575" s="1" t="str">
        <f>"000286818 - RICH FDS NCORE BB-ARA EX-SSS"</f>
        <v>000286818 - RICH FDS NCORE BB-ARA EX-SSS</v>
      </c>
      <c r="C8575" t="s">
        <v>617</v>
      </c>
      <c r="D8575" s="1" t="str">
        <f t="shared" si="238"/>
        <v>PRG-1032233</v>
      </c>
      <c r="E8575" t="s">
        <v>82</v>
      </c>
      <c r="F8575" t="s">
        <v>4</v>
      </c>
      <c r="G8575" t="str">
        <f>""</f>
        <v/>
      </c>
    </row>
    <row r="8576" spans="1:7" x14ac:dyDescent="0.25">
      <c r="A8576" t="s">
        <v>8</v>
      </c>
      <c r="B8576" s="1" t="str">
        <f>"000286819 - RICH FDS CORE BB-ARA EX-SSS"</f>
        <v>000286819 - RICH FDS CORE BB-ARA EX-SSS</v>
      </c>
      <c r="C8576" t="s">
        <v>618</v>
      </c>
      <c r="D8576" s="1" t="str">
        <f t="shared" si="238"/>
        <v>PRG-1032233</v>
      </c>
      <c r="E8576" t="s">
        <v>82</v>
      </c>
      <c r="F8576" t="s">
        <v>4</v>
      </c>
      <c r="G8576" t="str">
        <f>""</f>
        <v/>
      </c>
    </row>
    <row r="8577" spans="1:7" x14ac:dyDescent="0.25">
      <c r="A8577" t="s">
        <v>8</v>
      </c>
      <c r="B8577" s="1" t="str">
        <f>"000295886 - RICH FDS BB NCORE-ARA EX-SSS"</f>
        <v>000295886 - RICH FDS BB NCORE-ARA EX-SSS</v>
      </c>
      <c r="C8577" t="s">
        <v>571</v>
      </c>
      <c r="D8577" s="1" t="str">
        <f t="shared" si="238"/>
        <v>PRG-1032233</v>
      </c>
      <c r="E8577" t="s">
        <v>82</v>
      </c>
      <c r="F8577" t="s">
        <v>4</v>
      </c>
      <c r="G8577" t="str">
        <f>""</f>
        <v/>
      </c>
    </row>
    <row r="8578" spans="1:7" x14ac:dyDescent="0.25">
      <c r="A8578" t="s">
        <v>8</v>
      </c>
      <c r="B8578" s="1" t="str">
        <f>"000295887 - RICH FDS BB CORE-ARA EX-SSS"</f>
        <v>000295887 - RICH FDS BB CORE-ARA EX-SSS</v>
      </c>
      <c r="C8578" t="s">
        <v>570</v>
      </c>
      <c r="D8578" s="1" t="str">
        <f t="shared" si="238"/>
        <v>PRG-1032233</v>
      </c>
      <c r="E8578" t="s">
        <v>82</v>
      </c>
      <c r="F8578" t="s">
        <v>4</v>
      </c>
      <c r="G8578" t="str">
        <f>""</f>
        <v/>
      </c>
    </row>
    <row r="8579" spans="1:7" x14ac:dyDescent="0.25">
      <c r="A8579" t="s">
        <v>8</v>
      </c>
      <c r="B8579" s="1" t="str">
        <f>"000297108 - RICH FDS NCORE BB-ARA EX-SSS"</f>
        <v>000297108 - RICH FDS NCORE BB-ARA EX-SSS</v>
      </c>
      <c r="C8579" t="s">
        <v>617</v>
      </c>
      <c r="D8579" s="1" t="str">
        <f t="shared" si="238"/>
        <v>PRG-1032233</v>
      </c>
      <c r="E8579" t="s">
        <v>82</v>
      </c>
      <c r="F8579" t="s">
        <v>4</v>
      </c>
      <c r="G8579" t="str">
        <f>""</f>
        <v/>
      </c>
    </row>
    <row r="8580" spans="1:7" x14ac:dyDescent="0.25">
      <c r="A8580" t="s">
        <v>8</v>
      </c>
      <c r="B8580" s="1" t="str">
        <f>"000297109 - RICH FDS CORE BB-ARA EX-SSS"</f>
        <v>000297109 - RICH FDS CORE BB-ARA EX-SSS</v>
      </c>
      <c r="C8580" t="s">
        <v>618</v>
      </c>
      <c r="D8580" s="1" t="str">
        <f t="shared" si="238"/>
        <v>PRG-1032233</v>
      </c>
      <c r="E8580" t="s">
        <v>82</v>
      </c>
      <c r="F8580" t="s">
        <v>4</v>
      </c>
      <c r="G8580" t="str">
        <f>""</f>
        <v/>
      </c>
    </row>
    <row r="8581" spans="1:7" x14ac:dyDescent="0.25">
      <c r="A8581" t="s">
        <v>8</v>
      </c>
      <c r="B8581" s="1" t="str">
        <f>"000299805 - RICHS FDS CORE BB-SSS ARAMARK"</f>
        <v>000299805 - RICHS FDS CORE BB-SSS ARAMARK</v>
      </c>
      <c r="C8581" t="s">
        <v>858</v>
      </c>
      <c r="D8581" s="1" t="str">
        <f t="shared" si="238"/>
        <v>PRG-1032233</v>
      </c>
      <c r="E8581" t="s">
        <v>82</v>
      </c>
      <c r="F8581" t="s">
        <v>4</v>
      </c>
      <c r="G8581" t="str">
        <f>""</f>
        <v/>
      </c>
    </row>
    <row r="8582" spans="1:7" x14ac:dyDescent="0.25">
      <c r="A8582" t="s">
        <v>8</v>
      </c>
      <c r="B8582" s="1" t="str">
        <f>"000302151 - RICH FDS BB NCORE-ARA EX-SSS"</f>
        <v>000302151 - RICH FDS BB NCORE-ARA EX-SSS</v>
      </c>
      <c r="C8582" t="s">
        <v>571</v>
      </c>
      <c r="D8582" s="1" t="str">
        <f t="shared" si="238"/>
        <v>PRG-1032233</v>
      </c>
      <c r="E8582" t="s">
        <v>82</v>
      </c>
      <c r="F8582" t="s">
        <v>4</v>
      </c>
      <c r="G8582" t="str">
        <f>""</f>
        <v/>
      </c>
    </row>
    <row r="8583" spans="1:7" x14ac:dyDescent="0.25">
      <c r="A8583" t="s">
        <v>8</v>
      </c>
      <c r="B8583" s="1" t="str">
        <f>"000302152 - RICH FDS BB CORE-ARA EX-SSS"</f>
        <v>000302152 - RICH FDS BB CORE-ARA EX-SSS</v>
      </c>
      <c r="C8583" t="s">
        <v>570</v>
      </c>
      <c r="D8583" s="1" t="str">
        <f t="shared" si="238"/>
        <v>PRG-1032233</v>
      </c>
      <c r="E8583" t="s">
        <v>82</v>
      </c>
      <c r="F8583" t="s">
        <v>4</v>
      </c>
      <c r="G8583" t="str">
        <f>""</f>
        <v/>
      </c>
    </row>
    <row r="8584" spans="1:7" x14ac:dyDescent="0.25">
      <c r="A8584" t="s">
        <v>8</v>
      </c>
      <c r="B8584" s="1" t="str">
        <f>"000302169 - RICH FDS BB CORE-ARA EX-SSS"</f>
        <v>000302169 - RICH FDS BB CORE-ARA EX-SSS</v>
      </c>
      <c r="C8584" t="s">
        <v>570</v>
      </c>
      <c r="D8584" s="1" t="str">
        <f t="shared" si="238"/>
        <v>PRG-1032233</v>
      </c>
      <c r="E8584" t="s">
        <v>82</v>
      </c>
      <c r="F8584" t="s">
        <v>4</v>
      </c>
      <c r="G8584" t="str">
        <f>""</f>
        <v/>
      </c>
    </row>
    <row r="8585" spans="1:7" x14ac:dyDescent="0.25">
      <c r="A8585" t="s">
        <v>8</v>
      </c>
      <c r="B8585" s="1" t="str">
        <f>"000302170 - RICH FDS BB NCORE-ARA EX-SSS"</f>
        <v>000302170 - RICH FDS BB NCORE-ARA EX-SSS</v>
      </c>
      <c r="C8585" t="s">
        <v>571</v>
      </c>
      <c r="D8585" s="1" t="str">
        <f t="shared" si="238"/>
        <v>PRG-1032233</v>
      </c>
      <c r="E8585" t="s">
        <v>82</v>
      </c>
      <c r="F8585" t="s">
        <v>4</v>
      </c>
      <c r="G8585" t="str">
        <f>""</f>
        <v/>
      </c>
    </row>
    <row r="8586" spans="1:7" x14ac:dyDescent="0.25">
      <c r="A8586" t="s">
        <v>8</v>
      </c>
      <c r="B8586" s="1" t="str">
        <f>"000303852 - RICH FDS NCORE BB-ARA EX-SSS"</f>
        <v>000303852 - RICH FDS NCORE BB-ARA EX-SSS</v>
      </c>
      <c r="C8586" t="s">
        <v>617</v>
      </c>
      <c r="D8586" s="1" t="str">
        <f t="shared" si="238"/>
        <v>PRG-1032233</v>
      </c>
      <c r="E8586" t="s">
        <v>82</v>
      </c>
      <c r="F8586" t="s">
        <v>4</v>
      </c>
      <c r="G8586" t="str">
        <f>""</f>
        <v/>
      </c>
    </row>
    <row r="8587" spans="1:7" x14ac:dyDescent="0.25">
      <c r="A8587" t="s">
        <v>8</v>
      </c>
      <c r="B8587" s="1" t="str">
        <f>"000303853 - RICH FDS CORE BB-ARA EX-SSS"</f>
        <v>000303853 - RICH FDS CORE BB-ARA EX-SSS</v>
      </c>
      <c r="C8587" t="s">
        <v>618</v>
      </c>
      <c r="D8587" s="1" t="str">
        <f t="shared" si="238"/>
        <v>PRG-1032233</v>
      </c>
      <c r="E8587" t="s">
        <v>82</v>
      </c>
      <c r="F8587" t="s">
        <v>4</v>
      </c>
      <c r="G8587" t="str">
        <f>""</f>
        <v/>
      </c>
    </row>
    <row r="8588" spans="1:7" x14ac:dyDescent="0.25">
      <c r="A8588" t="s">
        <v>8</v>
      </c>
      <c r="B8588" s="1" t="str">
        <f>"000312540 - RICH FDS BB NCORE-ARA EX-SSS"</f>
        <v>000312540 - RICH FDS BB NCORE-ARA EX-SSS</v>
      </c>
      <c r="C8588" t="s">
        <v>571</v>
      </c>
      <c r="D8588" s="1" t="str">
        <f t="shared" si="238"/>
        <v>PRG-1032233</v>
      </c>
      <c r="E8588" t="s">
        <v>82</v>
      </c>
      <c r="F8588" t="s">
        <v>4</v>
      </c>
      <c r="G8588" t="str">
        <f>""</f>
        <v/>
      </c>
    </row>
    <row r="8589" spans="1:7" x14ac:dyDescent="0.25">
      <c r="A8589" t="s">
        <v>8</v>
      </c>
      <c r="B8589" s="1" t="str">
        <f>"000312541 - RICH FDS BB CORE-ARA EX-SSS"</f>
        <v>000312541 - RICH FDS BB CORE-ARA EX-SSS</v>
      </c>
      <c r="C8589" t="s">
        <v>570</v>
      </c>
      <c r="D8589" s="1" t="str">
        <f t="shared" si="238"/>
        <v>PRG-1032233</v>
      </c>
      <c r="E8589" t="s">
        <v>82</v>
      </c>
      <c r="F8589" t="s">
        <v>4</v>
      </c>
      <c r="G8589" t="str">
        <f>""</f>
        <v/>
      </c>
    </row>
    <row r="8590" spans="1:7" x14ac:dyDescent="0.25">
      <c r="A8590" t="s">
        <v>8</v>
      </c>
      <c r="B8590" s="1" t="str">
        <f>"000312583 - RICH FDS BB NCORE-ARA EX-SSS"</f>
        <v>000312583 - RICH FDS BB NCORE-ARA EX-SSS</v>
      </c>
      <c r="C8590" t="s">
        <v>571</v>
      </c>
      <c r="D8590" s="1" t="str">
        <f t="shared" si="238"/>
        <v>PRG-1032233</v>
      </c>
      <c r="E8590" t="s">
        <v>82</v>
      </c>
      <c r="F8590" t="s">
        <v>4</v>
      </c>
      <c r="G8590" t="str">
        <f>""</f>
        <v/>
      </c>
    </row>
    <row r="8591" spans="1:7" x14ac:dyDescent="0.25">
      <c r="A8591" t="s">
        <v>8</v>
      </c>
      <c r="B8591" s="1" t="str">
        <f>"000312586 - RICH FDS BB CORE-ARA EX-SSS"</f>
        <v>000312586 - RICH FDS BB CORE-ARA EX-SSS</v>
      </c>
      <c r="C8591" t="s">
        <v>570</v>
      </c>
      <c r="D8591" s="1" t="str">
        <f t="shared" si="238"/>
        <v>PRG-1032233</v>
      </c>
      <c r="E8591" t="s">
        <v>82</v>
      </c>
      <c r="F8591" t="s">
        <v>4</v>
      </c>
      <c r="G8591" t="str">
        <f>""</f>
        <v/>
      </c>
    </row>
    <row r="8592" spans="1:7" x14ac:dyDescent="0.25">
      <c r="A8592" t="s">
        <v>8</v>
      </c>
      <c r="B8592" s="1" t="str">
        <f>"000314528 - RICH FDS BB NCORE-ARA EX-SSS"</f>
        <v>000314528 - RICH FDS BB NCORE-ARA EX-SSS</v>
      </c>
      <c r="C8592" t="s">
        <v>571</v>
      </c>
      <c r="D8592" s="1" t="str">
        <f t="shared" ref="D8592:D8608" si="239">"PRG-1032233"</f>
        <v>PRG-1032233</v>
      </c>
      <c r="E8592" t="s">
        <v>82</v>
      </c>
      <c r="F8592" t="s">
        <v>4</v>
      </c>
      <c r="G8592" t="str">
        <f>""</f>
        <v/>
      </c>
    </row>
    <row r="8593" spans="1:7" x14ac:dyDescent="0.25">
      <c r="A8593" t="s">
        <v>8</v>
      </c>
      <c r="B8593" s="1" t="str">
        <f>"000314529 - RICH FDS BB CORE-ARA EX-SSS"</f>
        <v>000314529 - RICH FDS BB CORE-ARA EX-SSS</v>
      </c>
      <c r="C8593" t="s">
        <v>570</v>
      </c>
      <c r="D8593" s="1" t="str">
        <f t="shared" si="239"/>
        <v>PRG-1032233</v>
      </c>
      <c r="E8593" t="s">
        <v>82</v>
      </c>
      <c r="F8593" t="s">
        <v>4</v>
      </c>
      <c r="G8593" t="str">
        <f>""</f>
        <v/>
      </c>
    </row>
    <row r="8594" spans="1:7" x14ac:dyDescent="0.25">
      <c r="A8594" t="s">
        <v>8</v>
      </c>
      <c r="B8594" s="1" t="str">
        <f>"000323431 - "</f>
        <v xml:space="preserve">000323431 - </v>
      </c>
      <c r="D8594" s="1" t="str">
        <f t="shared" si="239"/>
        <v>PRG-1032233</v>
      </c>
      <c r="E8594" t="s">
        <v>82</v>
      </c>
      <c r="F8594" t="s">
        <v>4</v>
      </c>
      <c r="G8594" t="str">
        <f>""</f>
        <v/>
      </c>
    </row>
    <row r="8595" spans="1:7" x14ac:dyDescent="0.25">
      <c r="A8595" t="s">
        <v>8</v>
      </c>
      <c r="B8595" s="1" t="str">
        <f>"000333913 - RICH FDS BB NCORE-ARA EX-SSS"</f>
        <v>000333913 - RICH FDS BB NCORE-ARA EX-SSS</v>
      </c>
      <c r="C8595" t="s">
        <v>571</v>
      </c>
      <c r="D8595" s="1" t="str">
        <f t="shared" si="239"/>
        <v>PRG-1032233</v>
      </c>
      <c r="E8595" t="s">
        <v>82</v>
      </c>
      <c r="F8595" t="s">
        <v>4</v>
      </c>
      <c r="G8595" t="str">
        <f>""</f>
        <v/>
      </c>
    </row>
    <row r="8596" spans="1:7" x14ac:dyDescent="0.25">
      <c r="A8596" t="s">
        <v>8</v>
      </c>
      <c r="B8596" s="1" t="str">
        <f>"000333914 - RICH FDS BB CORE-ARA EX-SSS"</f>
        <v>000333914 - RICH FDS BB CORE-ARA EX-SSS</v>
      </c>
      <c r="C8596" t="s">
        <v>570</v>
      </c>
      <c r="D8596" s="1" t="str">
        <f t="shared" si="239"/>
        <v>PRG-1032233</v>
      </c>
      <c r="E8596" t="s">
        <v>82</v>
      </c>
      <c r="F8596" t="s">
        <v>4</v>
      </c>
      <c r="G8596" t="str">
        <f>""</f>
        <v/>
      </c>
    </row>
    <row r="8597" spans="1:7" x14ac:dyDescent="0.25">
      <c r="A8597" t="s">
        <v>8</v>
      </c>
      <c r="B8597" s="1" t="str">
        <f>"000334278 - RICH FDS  NCORE BB-ARA EX-SSS"</f>
        <v>000334278 - RICH FDS  NCORE BB-ARA EX-SSS</v>
      </c>
      <c r="C8597" t="s">
        <v>3381</v>
      </c>
      <c r="D8597" s="1" t="str">
        <f t="shared" si="239"/>
        <v>PRG-1032233</v>
      </c>
      <c r="E8597" t="s">
        <v>82</v>
      </c>
      <c r="F8597" t="s">
        <v>4</v>
      </c>
      <c r="G8597" t="str">
        <f>""</f>
        <v/>
      </c>
    </row>
    <row r="8598" spans="1:7" x14ac:dyDescent="0.25">
      <c r="A8598" t="s">
        <v>8</v>
      </c>
      <c r="B8598" s="1" t="str">
        <f>"000334284 - RICH FDS BB CORE- ARA EX-SSS"</f>
        <v>000334284 - RICH FDS BB CORE- ARA EX-SSS</v>
      </c>
      <c r="C8598" t="s">
        <v>3382</v>
      </c>
      <c r="D8598" s="1" t="str">
        <f t="shared" si="239"/>
        <v>PRG-1032233</v>
      </c>
      <c r="E8598" t="s">
        <v>82</v>
      </c>
      <c r="F8598" t="s">
        <v>4</v>
      </c>
      <c r="G8598" t="str">
        <f>""</f>
        <v/>
      </c>
    </row>
    <row r="8599" spans="1:7" x14ac:dyDescent="0.25">
      <c r="A8599" t="s">
        <v>8</v>
      </c>
      <c r="B8599" s="1" t="str">
        <f>"000335619 - RICH FDS NCORE BB-ARA EX-SSS"</f>
        <v>000335619 - RICH FDS NCORE BB-ARA EX-SSS</v>
      </c>
      <c r="C8599" t="s">
        <v>617</v>
      </c>
      <c r="D8599" s="1" t="str">
        <f t="shared" si="239"/>
        <v>PRG-1032233</v>
      </c>
      <c r="E8599" t="s">
        <v>82</v>
      </c>
      <c r="F8599" t="s">
        <v>4</v>
      </c>
      <c r="G8599" t="str">
        <f>""</f>
        <v/>
      </c>
    </row>
    <row r="8600" spans="1:7" x14ac:dyDescent="0.25">
      <c r="A8600" t="s">
        <v>8</v>
      </c>
      <c r="B8600" s="1" t="str">
        <f>"000335620 - RICH FDS CORE BB-ARA EX-SSS"</f>
        <v>000335620 - RICH FDS CORE BB-ARA EX-SSS</v>
      </c>
      <c r="C8600" t="s">
        <v>618</v>
      </c>
      <c r="D8600" s="1" t="str">
        <f t="shared" si="239"/>
        <v>PRG-1032233</v>
      </c>
      <c r="E8600" t="s">
        <v>82</v>
      </c>
      <c r="F8600" t="s">
        <v>4</v>
      </c>
      <c r="G8600" t="str">
        <f>""</f>
        <v/>
      </c>
    </row>
    <row r="8601" spans="1:7" x14ac:dyDescent="0.25">
      <c r="A8601" t="s">
        <v>8</v>
      </c>
      <c r="B8601" s="1" t="str">
        <f>"000341956 - RICH FDS CORE BB-MAIN ARAMARK"</f>
        <v>000341956 - RICH FDS CORE BB-MAIN ARAMARK</v>
      </c>
      <c r="C8601" t="s">
        <v>196</v>
      </c>
      <c r="D8601" s="1" t="str">
        <f t="shared" si="239"/>
        <v>PRG-1032233</v>
      </c>
      <c r="E8601" t="s">
        <v>82</v>
      </c>
      <c r="F8601" t="s">
        <v>4</v>
      </c>
      <c r="G8601" t="str">
        <f>""</f>
        <v/>
      </c>
    </row>
    <row r="8602" spans="1:7" x14ac:dyDescent="0.25">
      <c r="A8602" t="s">
        <v>8</v>
      </c>
      <c r="B8602" s="1" t="str">
        <f>"000348656 - RICH FDS BB NCORE-ARA EX-SSS"</f>
        <v>000348656 - RICH FDS BB NCORE-ARA EX-SSS</v>
      </c>
      <c r="C8602" t="s">
        <v>571</v>
      </c>
      <c r="D8602" s="1" t="str">
        <f t="shared" si="239"/>
        <v>PRG-1032233</v>
      </c>
      <c r="E8602" t="s">
        <v>82</v>
      </c>
      <c r="F8602" t="s">
        <v>4</v>
      </c>
      <c r="G8602" t="str">
        <f>""</f>
        <v/>
      </c>
    </row>
    <row r="8603" spans="1:7" x14ac:dyDescent="0.25">
      <c r="A8603" t="s">
        <v>8</v>
      </c>
      <c r="B8603" s="1" t="str">
        <f>"2000327145 - RICH FOODS VARIETY MAIN-ARAMARK"</f>
        <v>2000327145 - RICH FOODS VARIETY MAIN-ARAMARK</v>
      </c>
      <c r="C8603" t="s">
        <v>4031</v>
      </c>
      <c r="D8603" s="1" t="str">
        <f t="shared" si="239"/>
        <v>PRG-1032233</v>
      </c>
      <c r="E8603" t="s">
        <v>82</v>
      </c>
      <c r="F8603" t="s">
        <v>4</v>
      </c>
      <c r="G8603" t="str">
        <f>""</f>
        <v/>
      </c>
    </row>
    <row r="8604" spans="1:7" x14ac:dyDescent="0.25">
      <c r="A8604" t="s">
        <v>8</v>
      </c>
      <c r="B8604" s="1" t="str">
        <f>"2000345079 - RICH FOODS VARIETY MAIN-ARAMARK"</f>
        <v>2000345079 - RICH FOODS VARIETY MAIN-ARAMARK</v>
      </c>
      <c r="C8604" t="s">
        <v>4031</v>
      </c>
      <c r="D8604" s="1" t="str">
        <f t="shared" si="239"/>
        <v>PRG-1032233</v>
      </c>
      <c r="E8604" t="s">
        <v>82</v>
      </c>
      <c r="F8604" t="s">
        <v>4</v>
      </c>
      <c r="G8604" t="str">
        <f>""</f>
        <v/>
      </c>
    </row>
    <row r="8605" spans="1:7" x14ac:dyDescent="0.25">
      <c r="A8605" t="s">
        <v>8</v>
      </c>
      <c r="B8605" s="1" t="str">
        <f>"2000350609 - RICH FOODS VARIETY MAIN-ARAMARK"</f>
        <v>2000350609 - RICH FOODS VARIETY MAIN-ARAMARK</v>
      </c>
      <c r="C8605" t="s">
        <v>4031</v>
      </c>
      <c r="D8605" s="1" t="str">
        <f t="shared" si="239"/>
        <v>PRG-1032233</v>
      </c>
      <c r="E8605" t="s">
        <v>82</v>
      </c>
      <c r="F8605" t="s">
        <v>4</v>
      </c>
      <c r="G8605" t="str">
        <f>""</f>
        <v/>
      </c>
    </row>
    <row r="8606" spans="1:7" x14ac:dyDescent="0.25">
      <c r="A8606" t="s">
        <v>8</v>
      </c>
      <c r="B8606" s="1" t="str">
        <f>"2000360988 - RICH FOODS VARIETY MAIN-ARAMARK"</f>
        <v>2000360988 - RICH FOODS VARIETY MAIN-ARAMARK</v>
      </c>
      <c r="C8606" t="s">
        <v>4031</v>
      </c>
      <c r="D8606" s="1" t="str">
        <f t="shared" si="239"/>
        <v>PRG-1032233</v>
      </c>
      <c r="E8606" t="s">
        <v>82</v>
      </c>
      <c r="F8606" t="s">
        <v>4</v>
      </c>
      <c r="G8606" t="str">
        <f>""</f>
        <v/>
      </c>
    </row>
    <row r="8607" spans="1:7" x14ac:dyDescent="0.25">
      <c r="A8607" t="s">
        <v>8</v>
      </c>
      <c r="B8607" s="1" t="str">
        <f>"2000368807 - RICH FOODS VARIETY MAIN-ARAMARK"</f>
        <v>2000368807 - RICH FOODS VARIETY MAIN-ARAMARK</v>
      </c>
      <c r="C8607" t="s">
        <v>4031</v>
      </c>
      <c r="D8607" s="1" t="str">
        <f t="shared" si="239"/>
        <v>PRG-1032233</v>
      </c>
      <c r="E8607" t="s">
        <v>82</v>
      </c>
      <c r="F8607" t="s">
        <v>4</v>
      </c>
      <c r="G8607" t="str">
        <f>""</f>
        <v/>
      </c>
    </row>
    <row r="8608" spans="1:7" x14ac:dyDescent="0.25">
      <c r="A8608" t="s">
        <v>8</v>
      </c>
      <c r="B8608" s="1" t="str">
        <f>"2000374313 - RICH FOODS VARIETY MAIN-ARAMARK"</f>
        <v>2000374313 - RICH FOODS VARIETY MAIN-ARAMARK</v>
      </c>
      <c r="C8608" t="s">
        <v>4031</v>
      </c>
      <c r="D8608" s="1" t="str">
        <f t="shared" si="239"/>
        <v>PRG-1032233</v>
      </c>
      <c r="E8608" t="s">
        <v>82</v>
      </c>
      <c r="F8608" t="s">
        <v>4</v>
      </c>
      <c r="G8608" t="str">
        <f>""</f>
        <v/>
      </c>
    </row>
    <row r="8609" spans="1:7" x14ac:dyDescent="0.25">
      <c r="A8609" t="s">
        <v>8</v>
      </c>
      <c r="B8609" s="1" t="str">
        <f>"000367393 - RICH'S GRITS"</f>
        <v>000367393 - RICH'S GRITS</v>
      </c>
      <c r="C8609" t="s">
        <v>3613</v>
      </c>
      <c r="D8609" s="1" t="str">
        <f>"PRG-1032266"</f>
        <v>PRG-1032266</v>
      </c>
      <c r="E8609" t="s">
        <v>3614</v>
      </c>
      <c r="F8609" t="s">
        <v>4</v>
      </c>
      <c r="G8609" t="str">
        <f>""</f>
        <v/>
      </c>
    </row>
    <row r="8610" spans="1:7" x14ac:dyDescent="0.25">
      <c r="A8610" t="s">
        <v>8</v>
      </c>
      <c r="B8610" s="1" t="str">
        <f>"S3E001K0"</f>
        <v>S3E001K0</v>
      </c>
      <c r="C8610" t="s">
        <v>5595</v>
      </c>
      <c r="D8610" s="1" t="str">
        <f>"PRG-1032367"</f>
        <v>PRG-1032367</v>
      </c>
      <c r="E8610" t="s">
        <v>5596</v>
      </c>
      <c r="F8610" t="s">
        <v>5</v>
      </c>
      <c r="G8610" t="str">
        <f>""</f>
        <v/>
      </c>
    </row>
    <row r="8611" spans="1:7" x14ac:dyDescent="0.25">
      <c r="A8611" t="s">
        <v>8</v>
      </c>
      <c r="B8611" s="1" t="str">
        <f>"S6I00SN0"</f>
        <v>S6I00SN0</v>
      </c>
      <c r="C8611" t="s">
        <v>6086</v>
      </c>
      <c r="D8611" s="1" t="str">
        <f>"PRG-1032387"</f>
        <v>PRG-1032387</v>
      </c>
      <c r="E8611" t="s">
        <v>6087</v>
      </c>
      <c r="F8611" t="s">
        <v>5</v>
      </c>
      <c r="G8611" t="str">
        <f>""</f>
        <v/>
      </c>
    </row>
    <row r="8612" spans="1:7" x14ac:dyDescent="0.25">
      <c r="A8612" t="s">
        <v>8</v>
      </c>
      <c r="B8612" s="1" t="str">
        <f>"000262098 - RICH (FLATBREAD)   TRAVEL CTR"</f>
        <v>000262098 - RICH (FLATBREAD)   TRAVEL CTR</v>
      </c>
      <c r="C8612" t="s">
        <v>2307</v>
      </c>
      <c r="D8612" s="1" t="str">
        <f>"PRG-1032449"</f>
        <v>PRG-1032449</v>
      </c>
      <c r="E8612" t="s">
        <v>2308</v>
      </c>
      <c r="F8612" t="s">
        <v>4</v>
      </c>
      <c r="G8612" t="str">
        <f>""</f>
        <v/>
      </c>
    </row>
    <row r="8613" spans="1:7" x14ac:dyDescent="0.25">
      <c r="A8613" t="s">
        <v>8</v>
      </c>
      <c r="B8613" s="1" t="str">
        <f>"23501002"</f>
        <v>23501002</v>
      </c>
      <c r="C8613" t="s">
        <v>4502</v>
      </c>
      <c r="D8613" s="1" t="str">
        <f>"PRG-1032484"</f>
        <v>PRG-1032484</v>
      </c>
      <c r="E8613" t="s">
        <v>4503</v>
      </c>
      <c r="F8613" t="s">
        <v>5</v>
      </c>
      <c r="G8613" t="str">
        <f>""</f>
        <v/>
      </c>
    </row>
    <row r="8614" spans="1:7" x14ac:dyDescent="0.25">
      <c r="A8614" t="s">
        <v>8</v>
      </c>
      <c r="B8614" s="1" t="str">
        <f>"000325398 - RICH PRODUCTS FRESH 2 ORDER"</f>
        <v>000325398 - RICH PRODUCTS FRESH 2 ORDER</v>
      </c>
      <c r="C8614" t="s">
        <v>3284</v>
      </c>
      <c r="D8614" s="1" t="str">
        <f>"PRG-1032489"</f>
        <v>PRG-1032489</v>
      </c>
      <c r="E8614" t="s">
        <v>3285</v>
      </c>
      <c r="F8614" t="s">
        <v>4</v>
      </c>
      <c r="G8614" t="str">
        <f>""</f>
        <v/>
      </c>
    </row>
    <row r="8615" spans="1:7" x14ac:dyDescent="0.25">
      <c r="A8615" t="s">
        <v>8</v>
      </c>
      <c r="B8615" s="1" t="str">
        <f>"000325412 - RICH PRODUCTS FRESH 2 ORDER"</f>
        <v>000325412 - RICH PRODUCTS FRESH 2 ORDER</v>
      </c>
      <c r="C8615" t="s">
        <v>3284</v>
      </c>
      <c r="D8615" s="1" t="str">
        <f>"PRG-1032489"</f>
        <v>PRG-1032489</v>
      </c>
      <c r="E8615" t="s">
        <v>3285</v>
      </c>
      <c r="F8615" t="s">
        <v>4</v>
      </c>
      <c r="G8615" t="str">
        <f>""</f>
        <v/>
      </c>
    </row>
    <row r="8616" spans="1:7" x14ac:dyDescent="0.25">
      <c r="A8616" t="s">
        <v>8</v>
      </c>
      <c r="B8616" s="1" t="str">
        <f>"000334319 - RICH PRODUCT   FRESH TO ORDER"</f>
        <v>000334319 - RICH PRODUCT   FRESH TO ORDER</v>
      </c>
      <c r="C8616" t="s">
        <v>3383</v>
      </c>
      <c r="D8616" s="1" t="str">
        <f>"PRG-1032489"</f>
        <v>PRG-1032489</v>
      </c>
      <c r="E8616" t="s">
        <v>3285</v>
      </c>
      <c r="F8616" t="s">
        <v>4</v>
      </c>
      <c r="G8616" t="str">
        <f>""</f>
        <v/>
      </c>
    </row>
    <row r="8617" spans="1:7" x14ac:dyDescent="0.25">
      <c r="A8617" t="s">
        <v>8</v>
      </c>
      <c r="B8617" s="1" t="str">
        <f>"000337054 - RICHS   FRESH TO ORDER"</f>
        <v>000337054 - RICHS   FRESH TO ORDER</v>
      </c>
      <c r="C8617" t="s">
        <v>3413</v>
      </c>
      <c r="D8617" s="1" t="str">
        <f>"PRG-1032489"</f>
        <v>PRG-1032489</v>
      </c>
      <c r="E8617" t="s">
        <v>3285</v>
      </c>
      <c r="F8617" t="s">
        <v>4</v>
      </c>
      <c r="G8617" t="str">
        <f>""</f>
        <v/>
      </c>
    </row>
    <row r="8618" spans="1:7" x14ac:dyDescent="0.25">
      <c r="A8618" t="s">
        <v>8</v>
      </c>
      <c r="B8618" s="1" t="str">
        <f>"000368583 - RICH FOODS FRESH TO ORDER"</f>
        <v>000368583 - RICH FOODS FRESH TO ORDER</v>
      </c>
      <c r="C8618" t="s">
        <v>3616</v>
      </c>
      <c r="D8618" s="1" t="str">
        <f>"PRG-1032489"</f>
        <v>PRG-1032489</v>
      </c>
      <c r="E8618" t="s">
        <v>3285</v>
      </c>
      <c r="F8618" t="s">
        <v>4</v>
      </c>
      <c r="G8618" t="str">
        <f>""</f>
        <v/>
      </c>
    </row>
    <row r="8619" spans="1:7" x14ac:dyDescent="0.25">
      <c r="A8619" t="s">
        <v>8</v>
      </c>
      <c r="B8619" s="1" t="str">
        <f>"000000503 - RICHS-GATORS PIZZA"</f>
        <v>000000503 - RICHS-GATORS PIZZA</v>
      </c>
      <c r="C8619" t="s">
        <v>52</v>
      </c>
      <c r="D8619" s="1" t="str">
        <f>"PRG-1032497"</f>
        <v>PRG-1032497</v>
      </c>
      <c r="E8619" t="s">
        <v>53</v>
      </c>
      <c r="F8619" t="s">
        <v>4</v>
      </c>
      <c r="G8619" t="str">
        <f>""</f>
        <v/>
      </c>
    </row>
    <row r="8620" spans="1:7" x14ac:dyDescent="0.25">
      <c r="A8620" t="s">
        <v>8</v>
      </c>
      <c r="B8620" s="1" t="str">
        <f>"000013761 - RICH GATORS PIZZA"</f>
        <v>000013761 - RICH GATORS PIZZA</v>
      </c>
      <c r="C8620" t="s">
        <v>350</v>
      </c>
      <c r="D8620" s="1" t="str">
        <f>"PRG-1032497"</f>
        <v>PRG-1032497</v>
      </c>
      <c r="E8620" t="s">
        <v>53</v>
      </c>
      <c r="F8620" t="s">
        <v>4</v>
      </c>
      <c r="G8620" t="str">
        <f>""</f>
        <v/>
      </c>
    </row>
    <row r="8621" spans="1:7" x14ac:dyDescent="0.25">
      <c r="A8621" t="s">
        <v>8</v>
      </c>
      <c r="B8621" s="1" t="str">
        <f>"2000354874 - RICHS-GATORS PIZZA"</f>
        <v>2000354874 - RICHS-GATORS PIZZA</v>
      </c>
      <c r="C8621" t="s">
        <v>52</v>
      </c>
      <c r="D8621" s="1" t="str">
        <f>"PRG-1032497"</f>
        <v>PRG-1032497</v>
      </c>
      <c r="E8621" t="s">
        <v>53</v>
      </c>
      <c r="F8621" t="s">
        <v>4</v>
      </c>
      <c r="G8621" t="str">
        <f>""</f>
        <v/>
      </c>
    </row>
    <row r="8622" spans="1:7" x14ac:dyDescent="0.25">
      <c r="A8622" t="s">
        <v>8</v>
      </c>
      <c r="B8622" s="1" t="str">
        <f>"000257593 - AW SHUCKS RICHS"</f>
        <v>000257593 - AW SHUCKS RICHS</v>
      </c>
      <c r="C8622" t="s">
        <v>2208</v>
      </c>
      <c r="D8622" s="1" t="str">
        <f>"PRG-1032509"</f>
        <v>PRG-1032509</v>
      </c>
      <c r="E8622" t="s">
        <v>2209</v>
      </c>
      <c r="F8622" t="s">
        <v>4</v>
      </c>
      <c r="G8622" t="str">
        <f>""</f>
        <v/>
      </c>
    </row>
    <row r="8623" spans="1:7" x14ac:dyDescent="0.25">
      <c r="A8623" t="s">
        <v>8</v>
      </c>
      <c r="B8623" s="1" t="str">
        <f>"000238846 - "</f>
        <v xml:space="preserve">000238846 - </v>
      </c>
      <c r="D8623" s="1" t="str">
        <f>"PRG-1032513"</f>
        <v>PRG-1032513</v>
      </c>
      <c r="E8623" t="s">
        <v>1886</v>
      </c>
      <c r="F8623" t="s">
        <v>4</v>
      </c>
      <c r="G8623" t="str">
        <f>""</f>
        <v/>
      </c>
    </row>
    <row r="8624" spans="1:7" x14ac:dyDescent="0.25">
      <c r="A8624" t="s">
        <v>8</v>
      </c>
      <c r="B8624" s="1" t="str">
        <f>"000259355 - RICHS GT"</f>
        <v>000259355 - RICHS GT</v>
      </c>
      <c r="C8624" t="s">
        <v>2242</v>
      </c>
      <c r="D8624" s="1" t="str">
        <f>"PRG-1032539"</f>
        <v>PRG-1032539</v>
      </c>
      <c r="E8624" t="s">
        <v>2243</v>
      </c>
      <c r="F8624" t="s">
        <v>4</v>
      </c>
      <c r="G8624" t="str">
        <f>""</f>
        <v/>
      </c>
    </row>
    <row r="8625" spans="1:7" x14ac:dyDescent="0.25">
      <c r="A8625" t="s">
        <v>8</v>
      </c>
      <c r="B8625" s="1" t="str">
        <f>"000262141 - RICH'S-GREENE TURTLE"</f>
        <v>000262141 - RICH'S-GREENE TURTLE</v>
      </c>
      <c r="C8625" t="s">
        <v>2310</v>
      </c>
      <c r="D8625" s="1" t="str">
        <f>"PRG-1032539"</f>
        <v>PRG-1032539</v>
      </c>
      <c r="E8625" t="s">
        <v>2243</v>
      </c>
      <c r="F8625" t="s">
        <v>4</v>
      </c>
      <c r="G8625" t="str">
        <f>""</f>
        <v/>
      </c>
    </row>
    <row r="8626" spans="1:7" x14ac:dyDescent="0.25">
      <c r="A8626" t="s">
        <v>8</v>
      </c>
      <c r="B8626" s="1" t="str">
        <f>"32301377"</f>
        <v>32301377</v>
      </c>
      <c r="C8626" t="s">
        <v>4832</v>
      </c>
      <c r="D8626" s="1" t="str">
        <f>"PRG-1032540"</f>
        <v>PRG-1032540</v>
      </c>
      <c r="E8626" t="s">
        <v>4833</v>
      </c>
      <c r="F8626" t="s">
        <v>5</v>
      </c>
      <c r="G8626" t="str">
        <f>""</f>
        <v/>
      </c>
    </row>
    <row r="8627" spans="1:7" x14ac:dyDescent="0.25">
      <c r="A8627" t="s">
        <v>8</v>
      </c>
      <c r="B8627" s="1" t="str">
        <f>"000265613 - RICH CC-MIGHTY TACO"</f>
        <v>000265613 - RICH CC-MIGHTY TACO</v>
      </c>
      <c r="C8627" t="s">
        <v>2386</v>
      </c>
      <c r="D8627" s="1" t="str">
        <f>"PRG-1032545"</f>
        <v>PRG-1032545</v>
      </c>
      <c r="E8627" t="s">
        <v>2387</v>
      </c>
      <c r="F8627" t="s">
        <v>4</v>
      </c>
      <c r="G8627" t="str">
        <f>""</f>
        <v/>
      </c>
    </row>
    <row r="8628" spans="1:7" x14ac:dyDescent="0.25">
      <c r="A8628" t="s">
        <v>8</v>
      </c>
      <c r="B8628" s="1" t="str">
        <f>"000004824 - RICH FOODS BB-FOODBUY"</f>
        <v>000004824 - RICH FOODS BB-FOODBUY</v>
      </c>
      <c r="C8628" t="s">
        <v>209</v>
      </c>
      <c r="D8628" s="1" t="str">
        <f t="shared" ref="D8628:D8691" si="240">"PRG-1032567"</f>
        <v>PRG-1032567</v>
      </c>
      <c r="E8628" t="s">
        <v>147</v>
      </c>
      <c r="F8628" t="s">
        <v>4</v>
      </c>
      <c r="G8628" t="str">
        <f>""</f>
        <v/>
      </c>
    </row>
    <row r="8629" spans="1:7" x14ac:dyDescent="0.25">
      <c r="A8629" t="s">
        <v>8</v>
      </c>
      <c r="B8629" s="1" t="str">
        <f>"000005106 - FOODBUY AK  RICH'S BB"</f>
        <v>000005106 - FOODBUY AK  RICH'S BB</v>
      </c>
      <c r="C8629" t="s">
        <v>145</v>
      </c>
      <c r="D8629" s="1" t="str">
        <f t="shared" si="240"/>
        <v>PRG-1032567</v>
      </c>
      <c r="E8629" t="s">
        <v>147</v>
      </c>
      <c r="F8629" t="s">
        <v>4</v>
      </c>
      <c r="G8629" t="str">
        <f>""</f>
        <v/>
      </c>
    </row>
    <row r="8630" spans="1:7" x14ac:dyDescent="0.25">
      <c r="A8630" t="s">
        <v>8</v>
      </c>
      <c r="B8630" s="1" t="str">
        <f>"000005652 - RICH FOODS BB-FOODBUY"</f>
        <v>000005652 - RICH FOODS BB-FOODBUY</v>
      </c>
      <c r="C8630" t="s">
        <v>209</v>
      </c>
      <c r="D8630" s="1" t="str">
        <f t="shared" si="240"/>
        <v>PRG-1032567</v>
      </c>
      <c r="E8630" t="s">
        <v>147</v>
      </c>
      <c r="F8630" t="s">
        <v>4</v>
      </c>
      <c r="G8630" t="str">
        <f>""</f>
        <v/>
      </c>
    </row>
    <row r="8631" spans="1:7" x14ac:dyDescent="0.25">
      <c r="A8631" t="s">
        <v>8</v>
      </c>
      <c r="B8631" s="1" t="str">
        <f>"000005726 - RICH FOODS BB FOODBUY"</f>
        <v>000005726 - RICH FOODS BB FOODBUY</v>
      </c>
      <c r="C8631" t="s">
        <v>228</v>
      </c>
      <c r="D8631" s="1" t="str">
        <f t="shared" si="240"/>
        <v>PRG-1032567</v>
      </c>
      <c r="E8631" t="s">
        <v>147</v>
      </c>
      <c r="F8631" t="s">
        <v>4</v>
      </c>
      <c r="G8631" t="str">
        <f>""</f>
        <v/>
      </c>
    </row>
    <row r="8632" spans="1:7" x14ac:dyDescent="0.25">
      <c r="A8632" t="s">
        <v>8</v>
      </c>
      <c r="B8632" s="1" t="str">
        <f>"000006062 - "</f>
        <v xml:space="preserve">000006062 - </v>
      </c>
      <c r="D8632" s="1" t="str">
        <f t="shared" si="240"/>
        <v>PRG-1032567</v>
      </c>
      <c r="E8632" t="s">
        <v>147</v>
      </c>
      <c r="F8632" t="s">
        <v>4</v>
      </c>
      <c r="G8632" t="str">
        <f>""</f>
        <v/>
      </c>
    </row>
    <row r="8633" spans="1:7" x14ac:dyDescent="0.25">
      <c r="A8633" t="s">
        <v>8</v>
      </c>
      <c r="B8633" s="1" t="str">
        <f>"000006319 - RICH FOODS BB-FOODBUY"</f>
        <v>000006319 - RICH FOODS BB-FOODBUY</v>
      </c>
      <c r="C8633" t="s">
        <v>209</v>
      </c>
      <c r="D8633" s="1" t="str">
        <f t="shared" si="240"/>
        <v>PRG-1032567</v>
      </c>
      <c r="E8633" t="s">
        <v>147</v>
      </c>
      <c r="F8633" t="s">
        <v>4</v>
      </c>
      <c r="G8633" t="str">
        <f>""</f>
        <v/>
      </c>
    </row>
    <row r="8634" spans="1:7" x14ac:dyDescent="0.25">
      <c r="A8634" t="s">
        <v>8</v>
      </c>
      <c r="B8634" s="1" t="str">
        <f>"000007501 - RICH FOODS NC BB FOODBUY"</f>
        <v>000007501 - RICH FOODS NC BB FOODBUY</v>
      </c>
      <c r="C8634" t="s">
        <v>263</v>
      </c>
      <c r="D8634" s="1" t="str">
        <f t="shared" si="240"/>
        <v>PRG-1032567</v>
      </c>
      <c r="E8634" t="s">
        <v>147</v>
      </c>
      <c r="F8634" t="s">
        <v>4</v>
      </c>
      <c r="G8634" t="str">
        <f>""</f>
        <v/>
      </c>
    </row>
    <row r="8635" spans="1:7" x14ac:dyDescent="0.25">
      <c r="A8635" t="s">
        <v>8</v>
      </c>
      <c r="B8635" s="1" t="str">
        <f>"000007502 - RICH FOODS CORE BB FOODBUY"</f>
        <v>000007502 - RICH FOODS CORE BB FOODBUY</v>
      </c>
      <c r="C8635" t="s">
        <v>264</v>
      </c>
      <c r="D8635" s="1" t="str">
        <f t="shared" si="240"/>
        <v>PRG-1032567</v>
      </c>
      <c r="E8635" t="s">
        <v>147</v>
      </c>
      <c r="F8635" t="s">
        <v>4</v>
      </c>
      <c r="G8635" t="str">
        <f>""</f>
        <v/>
      </c>
    </row>
    <row r="8636" spans="1:7" x14ac:dyDescent="0.25">
      <c r="A8636" t="s">
        <v>8</v>
      </c>
      <c r="B8636" s="1" t="str">
        <f>"000007955 - RICH FOODS BB FOODBUY"</f>
        <v>000007955 - RICH FOODS BB FOODBUY</v>
      </c>
      <c r="C8636" t="s">
        <v>228</v>
      </c>
      <c r="D8636" s="1" t="str">
        <f t="shared" si="240"/>
        <v>PRG-1032567</v>
      </c>
      <c r="E8636" t="s">
        <v>147</v>
      </c>
      <c r="F8636" t="s">
        <v>4</v>
      </c>
      <c r="G8636" t="str">
        <f>""</f>
        <v/>
      </c>
    </row>
    <row r="8637" spans="1:7" x14ac:dyDescent="0.25">
      <c r="A8637" t="s">
        <v>8</v>
      </c>
      <c r="B8637" s="1" t="str">
        <f>"000008192 - RICH FOODS BB FOODBUY"</f>
        <v>000008192 - RICH FOODS BB FOODBUY</v>
      </c>
      <c r="C8637" t="s">
        <v>228</v>
      </c>
      <c r="D8637" s="1" t="str">
        <f t="shared" si="240"/>
        <v>PRG-1032567</v>
      </c>
      <c r="E8637" t="s">
        <v>147</v>
      </c>
      <c r="F8637" t="s">
        <v>4</v>
      </c>
      <c r="G8637" t="str">
        <f>""</f>
        <v/>
      </c>
    </row>
    <row r="8638" spans="1:7" x14ac:dyDescent="0.25">
      <c r="A8638" t="s">
        <v>8</v>
      </c>
      <c r="B8638" s="1" t="str">
        <f>"000008994 - RICH FOODS BB FOODBUY"</f>
        <v>000008994 - RICH FOODS BB FOODBUY</v>
      </c>
      <c r="C8638" t="s">
        <v>228</v>
      </c>
      <c r="D8638" s="1" t="str">
        <f t="shared" si="240"/>
        <v>PRG-1032567</v>
      </c>
      <c r="E8638" t="s">
        <v>147</v>
      </c>
      <c r="F8638" t="s">
        <v>4</v>
      </c>
      <c r="G8638" t="str">
        <f>""</f>
        <v/>
      </c>
    </row>
    <row r="8639" spans="1:7" x14ac:dyDescent="0.25">
      <c r="A8639" t="s">
        <v>8</v>
      </c>
      <c r="B8639" s="1" t="str">
        <f>"000010152 - RICH FOODS BB FOODBUY"</f>
        <v>000010152 - RICH FOODS BB FOODBUY</v>
      </c>
      <c r="C8639" t="s">
        <v>228</v>
      </c>
      <c r="D8639" s="1" t="str">
        <f t="shared" si="240"/>
        <v>PRG-1032567</v>
      </c>
      <c r="E8639" t="s">
        <v>147</v>
      </c>
      <c r="F8639" t="s">
        <v>4</v>
      </c>
      <c r="G8639" t="str">
        <f>""</f>
        <v/>
      </c>
    </row>
    <row r="8640" spans="1:7" x14ac:dyDescent="0.25">
      <c r="A8640" t="s">
        <v>8</v>
      </c>
      <c r="B8640" s="1" t="str">
        <f>"000010394 - RICH FOODS BB-FOODBUY"</f>
        <v>000010394 - RICH FOODS BB-FOODBUY</v>
      </c>
      <c r="C8640" t="s">
        <v>209</v>
      </c>
      <c r="D8640" s="1" t="str">
        <f t="shared" si="240"/>
        <v>PRG-1032567</v>
      </c>
      <c r="E8640" t="s">
        <v>147</v>
      </c>
      <c r="F8640" t="s">
        <v>4</v>
      </c>
      <c r="G8640" t="str">
        <f>""</f>
        <v/>
      </c>
    </row>
    <row r="8641" spans="1:7" x14ac:dyDescent="0.25">
      <c r="A8641" t="s">
        <v>8</v>
      </c>
      <c r="B8641" s="1" t="str">
        <f>"000010984 - RICH FOODS BB-FOODBUY"</f>
        <v>000010984 - RICH FOODS BB-FOODBUY</v>
      </c>
      <c r="C8641" t="s">
        <v>209</v>
      </c>
      <c r="D8641" s="1" t="str">
        <f t="shared" si="240"/>
        <v>PRG-1032567</v>
      </c>
      <c r="E8641" t="s">
        <v>147</v>
      </c>
      <c r="F8641" t="s">
        <v>4</v>
      </c>
      <c r="G8641" t="str">
        <f>""</f>
        <v/>
      </c>
    </row>
    <row r="8642" spans="1:7" x14ac:dyDescent="0.25">
      <c r="A8642" t="s">
        <v>8</v>
      </c>
      <c r="B8642" s="1" t="str">
        <f>"000012414 - RICH FOODS BB FOODBUY"</f>
        <v>000012414 - RICH FOODS BB FOODBUY</v>
      </c>
      <c r="C8642" t="s">
        <v>228</v>
      </c>
      <c r="D8642" s="1" t="str">
        <f t="shared" si="240"/>
        <v>PRG-1032567</v>
      </c>
      <c r="E8642" t="s">
        <v>147</v>
      </c>
      <c r="F8642" t="s">
        <v>4</v>
      </c>
      <c r="G8642" t="str">
        <f>""</f>
        <v/>
      </c>
    </row>
    <row r="8643" spans="1:7" x14ac:dyDescent="0.25">
      <c r="A8643" t="s">
        <v>8</v>
      </c>
      <c r="B8643" s="1" t="str">
        <f>"000013270 - "</f>
        <v xml:space="preserve">000013270 - </v>
      </c>
      <c r="D8643" s="1" t="str">
        <f t="shared" si="240"/>
        <v>PRG-1032567</v>
      </c>
      <c r="E8643" t="s">
        <v>147</v>
      </c>
      <c r="F8643" t="s">
        <v>4</v>
      </c>
      <c r="G8643" t="str">
        <f>""</f>
        <v/>
      </c>
    </row>
    <row r="8644" spans="1:7" x14ac:dyDescent="0.25">
      <c r="A8644" t="s">
        <v>8</v>
      </c>
      <c r="B8644" s="1" t="str">
        <f>"000018947 - DOOLITTLES (FOODBUY) RICH'S"</f>
        <v>000018947 - DOOLITTLES (FOODBUY) RICH'S</v>
      </c>
      <c r="C8644" t="s">
        <v>392</v>
      </c>
      <c r="D8644" s="1" t="str">
        <f t="shared" si="240"/>
        <v>PRG-1032567</v>
      </c>
      <c r="E8644" t="s">
        <v>147</v>
      </c>
      <c r="F8644" t="s">
        <v>4</v>
      </c>
      <c r="G8644" t="str">
        <f>""</f>
        <v/>
      </c>
    </row>
    <row r="8645" spans="1:7" x14ac:dyDescent="0.25">
      <c r="A8645" t="s">
        <v>8</v>
      </c>
      <c r="B8645" s="1" t="str">
        <f>"000019146 - RICHS FOODS BB-FOODBUY"</f>
        <v>000019146 - RICHS FOODS BB-FOODBUY</v>
      </c>
      <c r="C8645" t="s">
        <v>393</v>
      </c>
      <c r="D8645" s="1" t="str">
        <f t="shared" si="240"/>
        <v>PRG-1032567</v>
      </c>
      <c r="E8645" t="s">
        <v>147</v>
      </c>
      <c r="F8645" t="s">
        <v>4</v>
      </c>
      <c r="G8645" t="str">
        <f>""</f>
        <v/>
      </c>
    </row>
    <row r="8646" spans="1:7" x14ac:dyDescent="0.25">
      <c r="A8646" t="s">
        <v>8</v>
      </c>
      <c r="B8646" s="1" t="str">
        <f>"000020147 - RICH FOODS BB-FOODBUY"</f>
        <v>000020147 - RICH FOODS BB-FOODBUY</v>
      </c>
      <c r="C8646" t="s">
        <v>209</v>
      </c>
      <c r="D8646" s="1" t="str">
        <f t="shared" si="240"/>
        <v>PRG-1032567</v>
      </c>
      <c r="E8646" t="s">
        <v>147</v>
      </c>
      <c r="F8646" t="s">
        <v>4</v>
      </c>
      <c r="G8646" t="str">
        <f>""</f>
        <v/>
      </c>
    </row>
    <row r="8647" spans="1:7" x14ac:dyDescent="0.25">
      <c r="A8647" t="s">
        <v>8</v>
      </c>
      <c r="B8647" s="1" t="str">
        <f>"000040487 - RICH FOODS BB-FOODBUY"</f>
        <v>000040487 - RICH FOODS BB-FOODBUY</v>
      </c>
      <c r="C8647" t="s">
        <v>209</v>
      </c>
      <c r="D8647" s="1" t="str">
        <f t="shared" si="240"/>
        <v>PRG-1032567</v>
      </c>
      <c r="E8647" t="s">
        <v>147</v>
      </c>
      <c r="F8647" t="s">
        <v>4</v>
      </c>
      <c r="G8647" t="str">
        <f>""</f>
        <v/>
      </c>
    </row>
    <row r="8648" spans="1:7" x14ac:dyDescent="0.25">
      <c r="A8648" t="s">
        <v>8</v>
      </c>
      <c r="B8648" s="1" t="str">
        <f>"000045358 - RICH FOODS BB-FOODBUY"</f>
        <v>000045358 - RICH FOODS BB-FOODBUY</v>
      </c>
      <c r="C8648" t="s">
        <v>209</v>
      </c>
      <c r="D8648" s="1" t="str">
        <f t="shared" si="240"/>
        <v>PRG-1032567</v>
      </c>
      <c r="E8648" t="s">
        <v>147</v>
      </c>
      <c r="F8648" t="s">
        <v>4</v>
      </c>
      <c r="G8648" t="str">
        <f>""</f>
        <v/>
      </c>
    </row>
    <row r="8649" spans="1:7" x14ac:dyDescent="0.25">
      <c r="A8649" t="s">
        <v>8</v>
      </c>
      <c r="B8649" s="1" t="str">
        <f>"000045891 - RICH FOODS BB-FOODBUY"</f>
        <v>000045891 - RICH FOODS BB-FOODBUY</v>
      </c>
      <c r="C8649" t="s">
        <v>209</v>
      </c>
      <c r="D8649" s="1" t="str">
        <f t="shared" si="240"/>
        <v>PRG-1032567</v>
      </c>
      <c r="E8649" t="s">
        <v>147</v>
      </c>
      <c r="F8649" t="s">
        <v>4</v>
      </c>
      <c r="G8649" t="str">
        <f>""</f>
        <v/>
      </c>
    </row>
    <row r="8650" spans="1:7" x14ac:dyDescent="0.25">
      <c r="A8650" t="s">
        <v>8</v>
      </c>
      <c r="B8650" s="1" t="str">
        <f>"000047768 - RICH FOODS BB-FOODBUY"</f>
        <v>000047768 - RICH FOODS BB-FOODBUY</v>
      </c>
      <c r="C8650" t="s">
        <v>209</v>
      </c>
      <c r="D8650" s="1" t="str">
        <f t="shared" si="240"/>
        <v>PRG-1032567</v>
      </c>
      <c r="E8650" t="s">
        <v>147</v>
      </c>
      <c r="F8650" t="s">
        <v>4</v>
      </c>
      <c r="G8650" t="str">
        <f>""</f>
        <v/>
      </c>
    </row>
    <row r="8651" spans="1:7" x14ac:dyDescent="0.25">
      <c r="A8651" t="s">
        <v>8</v>
      </c>
      <c r="B8651" s="1" t="str">
        <f>"000050596 - RICH FOODS BB-FOODBUY"</f>
        <v>000050596 - RICH FOODS BB-FOODBUY</v>
      </c>
      <c r="C8651" t="s">
        <v>209</v>
      </c>
      <c r="D8651" s="1" t="str">
        <f t="shared" si="240"/>
        <v>PRG-1032567</v>
      </c>
      <c r="E8651" t="s">
        <v>147</v>
      </c>
      <c r="F8651" t="s">
        <v>4</v>
      </c>
      <c r="G8651" t="str">
        <f>""</f>
        <v/>
      </c>
    </row>
    <row r="8652" spans="1:7" x14ac:dyDescent="0.25">
      <c r="A8652" t="s">
        <v>8</v>
      </c>
      <c r="B8652" s="1" t="str">
        <f>"000055850 - RICH FOODS BB FOODBUY RETRO"</f>
        <v>000055850 - RICH FOODS BB FOODBUY RETRO</v>
      </c>
      <c r="C8652" t="s">
        <v>682</v>
      </c>
      <c r="D8652" s="1" t="str">
        <f t="shared" si="240"/>
        <v>PRG-1032567</v>
      </c>
      <c r="E8652" t="s">
        <v>147</v>
      </c>
      <c r="F8652" t="s">
        <v>4</v>
      </c>
      <c r="G8652" t="str">
        <f>""</f>
        <v/>
      </c>
    </row>
    <row r="8653" spans="1:7" x14ac:dyDescent="0.25">
      <c r="A8653" t="s">
        <v>8</v>
      </c>
      <c r="B8653" s="1" t="str">
        <f>"000056785 - RICH FOODS BB-FOODBUY"</f>
        <v>000056785 - RICH FOODS BB-FOODBUY</v>
      </c>
      <c r="C8653" t="s">
        <v>209</v>
      </c>
      <c r="D8653" s="1" t="str">
        <f t="shared" si="240"/>
        <v>PRG-1032567</v>
      </c>
      <c r="E8653" t="s">
        <v>147</v>
      </c>
      <c r="F8653" t="s">
        <v>4</v>
      </c>
      <c r="G8653" t="str">
        <f>""</f>
        <v/>
      </c>
    </row>
    <row r="8654" spans="1:7" x14ac:dyDescent="0.25">
      <c r="A8654" t="s">
        <v>8</v>
      </c>
      <c r="B8654" s="1" t="str">
        <f>"000057303 - RICH FOODS BB-FOODBUY"</f>
        <v>000057303 - RICH FOODS BB-FOODBUY</v>
      </c>
      <c r="C8654" t="s">
        <v>209</v>
      </c>
      <c r="D8654" s="1" t="str">
        <f t="shared" si="240"/>
        <v>PRG-1032567</v>
      </c>
      <c r="E8654" t="s">
        <v>147</v>
      </c>
      <c r="F8654" t="s">
        <v>4</v>
      </c>
      <c r="G8654" t="str">
        <f>""</f>
        <v/>
      </c>
    </row>
    <row r="8655" spans="1:7" x14ac:dyDescent="0.25">
      <c r="A8655" t="s">
        <v>8</v>
      </c>
      <c r="B8655" s="1" t="str">
        <f>"000059414 - RICH FOODS BB-FOODBUY"</f>
        <v>000059414 - RICH FOODS BB-FOODBUY</v>
      </c>
      <c r="C8655" t="s">
        <v>209</v>
      </c>
      <c r="D8655" s="1" t="str">
        <f t="shared" si="240"/>
        <v>PRG-1032567</v>
      </c>
      <c r="E8655" t="s">
        <v>147</v>
      </c>
      <c r="F8655" t="s">
        <v>4</v>
      </c>
      <c r="G8655" t="str">
        <f>""</f>
        <v/>
      </c>
    </row>
    <row r="8656" spans="1:7" x14ac:dyDescent="0.25">
      <c r="A8656" t="s">
        <v>8</v>
      </c>
      <c r="B8656" s="1" t="str">
        <f>"000060483 - RICH FOODS BB FOODBUY CORPRETO"</f>
        <v>000060483 - RICH FOODS BB FOODBUY CORPRETO</v>
      </c>
      <c r="C8656" t="s">
        <v>703</v>
      </c>
      <c r="D8656" s="1" t="str">
        <f t="shared" si="240"/>
        <v>PRG-1032567</v>
      </c>
      <c r="E8656" t="s">
        <v>147</v>
      </c>
      <c r="F8656" t="s">
        <v>4</v>
      </c>
      <c r="G8656" t="str">
        <f>""</f>
        <v/>
      </c>
    </row>
    <row r="8657" spans="1:7" x14ac:dyDescent="0.25">
      <c r="A8657" t="s">
        <v>8</v>
      </c>
      <c r="B8657" s="1" t="str">
        <f>"000063274 - RICH FOODS BB-FOODBUY"</f>
        <v>000063274 - RICH FOODS BB-FOODBUY</v>
      </c>
      <c r="C8657" t="s">
        <v>209</v>
      </c>
      <c r="D8657" s="1" t="str">
        <f t="shared" si="240"/>
        <v>PRG-1032567</v>
      </c>
      <c r="E8657" t="s">
        <v>147</v>
      </c>
      <c r="F8657" t="s">
        <v>4</v>
      </c>
      <c r="G8657" t="str">
        <f>""</f>
        <v/>
      </c>
    </row>
    <row r="8658" spans="1:7" x14ac:dyDescent="0.25">
      <c r="A8658" t="s">
        <v>8</v>
      </c>
      <c r="B8658" s="1" t="str">
        <f>"000071154 - RICH FOODS BB-FOODBUY"</f>
        <v>000071154 - RICH FOODS BB-FOODBUY</v>
      </c>
      <c r="C8658" t="s">
        <v>209</v>
      </c>
      <c r="D8658" s="1" t="str">
        <f t="shared" si="240"/>
        <v>PRG-1032567</v>
      </c>
      <c r="E8658" t="s">
        <v>147</v>
      </c>
      <c r="F8658" t="s">
        <v>4</v>
      </c>
      <c r="G8658" t="str">
        <f>""</f>
        <v/>
      </c>
    </row>
    <row r="8659" spans="1:7" x14ac:dyDescent="0.25">
      <c r="A8659" t="s">
        <v>8</v>
      </c>
      <c r="B8659" s="1" t="str">
        <f>"000114872 - RICH FOODS BB-FOODBUY"</f>
        <v>000114872 - RICH FOODS BB-FOODBUY</v>
      </c>
      <c r="C8659" t="s">
        <v>209</v>
      </c>
      <c r="D8659" s="1" t="str">
        <f t="shared" si="240"/>
        <v>PRG-1032567</v>
      </c>
      <c r="E8659" t="s">
        <v>147</v>
      </c>
      <c r="F8659" t="s">
        <v>4</v>
      </c>
      <c r="G8659" t="str">
        <f>""</f>
        <v/>
      </c>
    </row>
    <row r="8660" spans="1:7" x14ac:dyDescent="0.25">
      <c r="A8660" t="s">
        <v>8</v>
      </c>
      <c r="B8660" s="1" t="str">
        <f>"000115823 - RICHS BB(DPMRETRO)-FOODBUY"</f>
        <v>000115823 - RICHS BB(DPMRETRO)-FOODBUY</v>
      </c>
      <c r="C8660" t="s">
        <v>861</v>
      </c>
      <c r="D8660" s="1" t="str">
        <f t="shared" si="240"/>
        <v>PRG-1032567</v>
      </c>
      <c r="E8660" t="s">
        <v>147</v>
      </c>
      <c r="F8660" t="s">
        <v>4</v>
      </c>
      <c r="G8660" t="str">
        <f>""</f>
        <v/>
      </c>
    </row>
    <row r="8661" spans="1:7" x14ac:dyDescent="0.25">
      <c r="A8661" t="s">
        <v>8</v>
      </c>
      <c r="B8661" s="1" t="str">
        <f>"000117397 - RICH FOODS BB-FOODBUY"</f>
        <v>000117397 - RICH FOODS BB-FOODBUY</v>
      </c>
      <c r="C8661" t="s">
        <v>209</v>
      </c>
      <c r="D8661" s="1" t="str">
        <f t="shared" si="240"/>
        <v>PRG-1032567</v>
      </c>
      <c r="E8661" t="s">
        <v>147</v>
      </c>
      <c r="F8661" t="s">
        <v>4</v>
      </c>
      <c r="G8661" t="str">
        <f>""</f>
        <v/>
      </c>
    </row>
    <row r="8662" spans="1:7" x14ac:dyDescent="0.25">
      <c r="A8662" t="s">
        <v>8</v>
      </c>
      <c r="B8662" s="1" t="str">
        <f>"000117483 - RICH FOODS BB-FOODBUY"</f>
        <v>000117483 - RICH FOODS BB-FOODBUY</v>
      </c>
      <c r="C8662" t="s">
        <v>209</v>
      </c>
      <c r="D8662" s="1" t="str">
        <f t="shared" si="240"/>
        <v>PRG-1032567</v>
      </c>
      <c r="E8662" t="s">
        <v>147</v>
      </c>
      <c r="F8662" t="s">
        <v>4</v>
      </c>
      <c r="G8662" t="str">
        <f>""</f>
        <v/>
      </c>
    </row>
    <row r="8663" spans="1:7" x14ac:dyDescent="0.25">
      <c r="A8663" t="s">
        <v>8</v>
      </c>
      <c r="B8663" s="1" t="str">
        <f>"000120685 - RICH FOODS BB-FOODBUY"</f>
        <v>000120685 - RICH FOODS BB-FOODBUY</v>
      </c>
      <c r="C8663" t="s">
        <v>209</v>
      </c>
      <c r="D8663" s="1" t="str">
        <f t="shared" si="240"/>
        <v>PRG-1032567</v>
      </c>
      <c r="E8663" t="s">
        <v>147</v>
      </c>
      <c r="F8663" t="s">
        <v>4</v>
      </c>
      <c r="G8663" t="str">
        <f>""</f>
        <v/>
      </c>
    </row>
    <row r="8664" spans="1:7" x14ac:dyDescent="0.25">
      <c r="A8664" t="s">
        <v>8</v>
      </c>
      <c r="B8664" s="1" t="str">
        <f>"000120839 - RICH FOODS BB-FOODBUY"</f>
        <v>000120839 - RICH FOODS BB-FOODBUY</v>
      </c>
      <c r="C8664" t="s">
        <v>209</v>
      </c>
      <c r="D8664" s="1" t="str">
        <f t="shared" si="240"/>
        <v>PRG-1032567</v>
      </c>
      <c r="E8664" t="s">
        <v>147</v>
      </c>
      <c r="F8664" t="s">
        <v>4</v>
      </c>
      <c r="G8664" t="str">
        <f>""</f>
        <v/>
      </c>
    </row>
    <row r="8665" spans="1:7" x14ac:dyDescent="0.25">
      <c r="A8665" t="s">
        <v>8</v>
      </c>
      <c r="B8665" s="1" t="str">
        <f>"000121121 - RICHS - RUTH CHRIS"</f>
        <v>000121121 - RICHS - RUTH CHRIS</v>
      </c>
      <c r="C8665" t="s">
        <v>871</v>
      </c>
      <c r="D8665" s="1" t="str">
        <f t="shared" si="240"/>
        <v>PRG-1032567</v>
      </c>
      <c r="E8665" t="s">
        <v>147</v>
      </c>
      <c r="F8665" t="s">
        <v>4</v>
      </c>
      <c r="G8665" t="str">
        <f>""</f>
        <v/>
      </c>
    </row>
    <row r="8666" spans="1:7" x14ac:dyDescent="0.25">
      <c r="A8666" t="s">
        <v>8</v>
      </c>
      <c r="B8666" s="1" t="str">
        <f>"000121567 - RICH FOODS BB-FOODBUY"</f>
        <v>000121567 - RICH FOODS BB-FOODBUY</v>
      </c>
      <c r="C8666" t="s">
        <v>209</v>
      </c>
      <c r="D8666" s="1" t="str">
        <f t="shared" si="240"/>
        <v>PRG-1032567</v>
      </c>
      <c r="E8666" t="s">
        <v>147</v>
      </c>
      <c r="F8666" t="s">
        <v>4</v>
      </c>
      <c r="G8666" t="str">
        <f>""</f>
        <v/>
      </c>
    </row>
    <row r="8667" spans="1:7" x14ac:dyDescent="0.25">
      <c r="A8667" t="s">
        <v>8</v>
      </c>
      <c r="B8667" s="1" t="str">
        <f>"000122146 - RICH FOODS BB-FOODBUY"</f>
        <v>000122146 - RICH FOODS BB-FOODBUY</v>
      </c>
      <c r="C8667" t="s">
        <v>209</v>
      </c>
      <c r="D8667" s="1" t="str">
        <f t="shared" si="240"/>
        <v>PRG-1032567</v>
      </c>
      <c r="E8667" t="s">
        <v>147</v>
      </c>
      <c r="F8667" t="s">
        <v>4</v>
      </c>
      <c r="G8667" t="str">
        <f>""</f>
        <v/>
      </c>
    </row>
    <row r="8668" spans="1:7" x14ac:dyDescent="0.25">
      <c r="A8668" t="s">
        <v>8</v>
      </c>
      <c r="B8668" s="1" t="str">
        <f>"000122706 - RICHS(NONCORE)-RUTH CHRIS"</f>
        <v>000122706 - RICHS(NONCORE)-RUTH CHRIS</v>
      </c>
      <c r="C8668" t="s">
        <v>897</v>
      </c>
      <c r="D8668" s="1" t="str">
        <f t="shared" si="240"/>
        <v>PRG-1032567</v>
      </c>
      <c r="E8668" t="s">
        <v>147</v>
      </c>
      <c r="F8668" t="s">
        <v>4</v>
      </c>
      <c r="G8668" t="str">
        <f>""</f>
        <v/>
      </c>
    </row>
    <row r="8669" spans="1:7" x14ac:dyDescent="0.25">
      <c r="A8669" t="s">
        <v>8</v>
      </c>
      <c r="B8669" s="1" t="str">
        <f>"000123024 - RICHS BB (DPMRETRO)-FOODBUY"</f>
        <v>000123024 - RICHS BB (DPMRETRO)-FOODBUY</v>
      </c>
      <c r="C8669" t="s">
        <v>900</v>
      </c>
      <c r="D8669" s="1" t="str">
        <f t="shared" si="240"/>
        <v>PRG-1032567</v>
      </c>
      <c r="E8669" t="s">
        <v>147</v>
      </c>
      <c r="F8669" t="s">
        <v>4</v>
      </c>
      <c r="G8669" t="str">
        <f>""</f>
        <v/>
      </c>
    </row>
    <row r="8670" spans="1:7" x14ac:dyDescent="0.25">
      <c r="A8670" t="s">
        <v>8</v>
      </c>
      <c r="B8670" s="1" t="str">
        <f>"000124081 - RICH FOODS BB-FOODBUY"</f>
        <v>000124081 - RICH FOODS BB-FOODBUY</v>
      </c>
      <c r="C8670" t="s">
        <v>209</v>
      </c>
      <c r="D8670" s="1" t="str">
        <f t="shared" si="240"/>
        <v>PRG-1032567</v>
      </c>
      <c r="E8670" t="s">
        <v>147</v>
      </c>
      <c r="F8670" t="s">
        <v>4</v>
      </c>
      <c r="G8670" t="str">
        <f>""</f>
        <v/>
      </c>
    </row>
    <row r="8671" spans="1:7" x14ac:dyDescent="0.25">
      <c r="A8671" t="s">
        <v>8</v>
      </c>
      <c r="B8671" s="1" t="str">
        <f>"000126023 - RICHS BB(DPMRETRO)-FOODBUY"</f>
        <v>000126023 - RICHS BB(DPMRETRO)-FOODBUY</v>
      </c>
      <c r="C8671" t="s">
        <v>861</v>
      </c>
      <c r="D8671" s="1" t="str">
        <f t="shared" si="240"/>
        <v>PRG-1032567</v>
      </c>
      <c r="E8671" t="s">
        <v>147</v>
      </c>
      <c r="F8671" t="s">
        <v>4</v>
      </c>
      <c r="G8671" t="str">
        <f>""</f>
        <v/>
      </c>
    </row>
    <row r="8672" spans="1:7" x14ac:dyDescent="0.25">
      <c r="A8672" t="s">
        <v>8</v>
      </c>
      <c r="B8672" s="1" t="str">
        <f>"000126908 - RICH FOODS BB-FOODBUY"</f>
        <v>000126908 - RICH FOODS BB-FOODBUY</v>
      </c>
      <c r="C8672" t="s">
        <v>209</v>
      </c>
      <c r="D8672" s="1" t="str">
        <f t="shared" si="240"/>
        <v>PRG-1032567</v>
      </c>
      <c r="E8672" t="s">
        <v>147</v>
      </c>
      <c r="F8672" t="s">
        <v>4</v>
      </c>
      <c r="G8672" t="str">
        <f>""</f>
        <v/>
      </c>
    </row>
    <row r="8673" spans="1:7" x14ac:dyDescent="0.25">
      <c r="A8673" t="s">
        <v>8</v>
      </c>
      <c r="B8673" s="1" t="str">
        <f>"000127918 - RICH FOODS BB-FOODBUY"</f>
        <v>000127918 - RICH FOODS BB-FOODBUY</v>
      </c>
      <c r="C8673" t="s">
        <v>209</v>
      </c>
      <c r="D8673" s="1" t="str">
        <f t="shared" si="240"/>
        <v>PRG-1032567</v>
      </c>
      <c r="E8673" t="s">
        <v>147</v>
      </c>
      <c r="F8673" t="s">
        <v>4</v>
      </c>
      <c r="G8673" t="str">
        <f>""</f>
        <v/>
      </c>
    </row>
    <row r="8674" spans="1:7" x14ac:dyDescent="0.25">
      <c r="A8674" t="s">
        <v>8</v>
      </c>
      <c r="B8674" s="1" t="str">
        <f>"000132522 - RICH FOODS BB-FOODBUY"</f>
        <v>000132522 - RICH FOODS BB-FOODBUY</v>
      </c>
      <c r="C8674" t="s">
        <v>209</v>
      </c>
      <c r="D8674" s="1" t="str">
        <f t="shared" si="240"/>
        <v>PRG-1032567</v>
      </c>
      <c r="E8674" t="s">
        <v>147</v>
      </c>
      <c r="F8674" t="s">
        <v>4</v>
      </c>
      <c r="G8674" t="str">
        <f>""</f>
        <v/>
      </c>
    </row>
    <row r="8675" spans="1:7" x14ac:dyDescent="0.25">
      <c r="A8675" t="s">
        <v>8</v>
      </c>
      <c r="B8675" s="1" t="str">
        <f>"000134629 - RICH FDS-FOODBUY NONCORE"</f>
        <v>000134629 - RICH FDS-FOODBUY NONCORE</v>
      </c>
      <c r="C8675" t="s">
        <v>952</v>
      </c>
      <c r="D8675" s="1" t="str">
        <f t="shared" si="240"/>
        <v>PRG-1032567</v>
      </c>
      <c r="E8675" t="s">
        <v>147</v>
      </c>
      <c r="F8675" t="s">
        <v>4</v>
      </c>
      <c r="G8675" t="str">
        <f>""</f>
        <v/>
      </c>
    </row>
    <row r="8676" spans="1:7" x14ac:dyDescent="0.25">
      <c r="A8676" t="s">
        <v>8</v>
      </c>
      <c r="B8676" s="1" t="str">
        <f>"000135545 - RICHS FOODS BB-FOODBUY"</f>
        <v>000135545 - RICHS FOODS BB-FOODBUY</v>
      </c>
      <c r="C8676" t="s">
        <v>393</v>
      </c>
      <c r="D8676" s="1" t="str">
        <f t="shared" si="240"/>
        <v>PRG-1032567</v>
      </c>
      <c r="E8676" t="s">
        <v>147</v>
      </c>
      <c r="F8676" t="s">
        <v>4</v>
      </c>
      <c r="G8676" t="str">
        <f>""</f>
        <v/>
      </c>
    </row>
    <row r="8677" spans="1:7" x14ac:dyDescent="0.25">
      <c r="A8677" t="s">
        <v>8</v>
      </c>
      <c r="B8677" s="1" t="str">
        <f>"000136480 - RICH FOODS BB-FOODBUY"</f>
        <v>000136480 - RICH FOODS BB-FOODBUY</v>
      </c>
      <c r="C8677" t="s">
        <v>209</v>
      </c>
      <c r="D8677" s="1" t="str">
        <f t="shared" si="240"/>
        <v>PRG-1032567</v>
      </c>
      <c r="E8677" t="s">
        <v>147</v>
      </c>
      <c r="F8677" t="s">
        <v>4</v>
      </c>
      <c r="G8677" t="str">
        <f>""</f>
        <v/>
      </c>
    </row>
    <row r="8678" spans="1:7" x14ac:dyDescent="0.25">
      <c r="A8678" t="s">
        <v>8</v>
      </c>
      <c r="B8678" s="1" t="str">
        <f>"000136561 - RICHS BB(DPMRETRO)-FOODBUY"</f>
        <v>000136561 - RICHS BB(DPMRETRO)-FOODBUY</v>
      </c>
      <c r="C8678" t="s">
        <v>861</v>
      </c>
      <c r="D8678" s="1" t="str">
        <f t="shared" si="240"/>
        <v>PRG-1032567</v>
      </c>
      <c r="E8678" t="s">
        <v>147</v>
      </c>
      <c r="F8678" t="s">
        <v>4</v>
      </c>
      <c r="G8678" t="str">
        <f>""</f>
        <v/>
      </c>
    </row>
    <row r="8679" spans="1:7" x14ac:dyDescent="0.25">
      <c r="A8679" t="s">
        <v>8</v>
      </c>
      <c r="B8679" s="1" t="str">
        <f>"000137187 - RICH FOODS BB-FOODBUY"</f>
        <v>000137187 - RICH FOODS BB-FOODBUY</v>
      </c>
      <c r="C8679" t="s">
        <v>209</v>
      </c>
      <c r="D8679" s="1" t="str">
        <f t="shared" si="240"/>
        <v>PRG-1032567</v>
      </c>
      <c r="E8679" t="s">
        <v>147</v>
      </c>
      <c r="F8679" t="s">
        <v>4</v>
      </c>
      <c r="G8679" t="str">
        <f>""</f>
        <v/>
      </c>
    </row>
    <row r="8680" spans="1:7" x14ac:dyDescent="0.25">
      <c r="A8680" t="s">
        <v>8</v>
      </c>
      <c r="B8680" s="1" t="str">
        <f>"000137349 - RICH FOODS BB-FOODBUY BIGSTEAK"</f>
        <v>000137349 - RICH FOODS BB-FOODBUY BIGSTEAK</v>
      </c>
      <c r="C8680" t="s">
        <v>967</v>
      </c>
      <c r="D8680" s="1" t="str">
        <f t="shared" si="240"/>
        <v>PRG-1032567</v>
      </c>
      <c r="E8680" t="s">
        <v>147</v>
      </c>
      <c r="F8680" t="s">
        <v>4</v>
      </c>
      <c r="G8680" t="str">
        <f>""</f>
        <v/>
      </c>
    </row>
    <row r="8681" spans="1:7" x14ac:dyDescent="0.25">
      <c r="A8681" t="s">
        <v>8</v>
      </c>
      <c r="B8681" s="1" t="str">
        <f>"000138936 - RICH FOODS BB-FOODBUY"</f>
        <v>000138936 - RICH FOODS BB-FOODBUY</v>
      </c>
      <c r="C8681" t="s">
        <v>209</v>
      </c>
      <c r="D8681" s="1" t="str">
        <f t="shared" si="240"/>
        <v>PRG-1032567</v>
      </c>
      <c r="E8681" t="s">
        <v>147</v>
      </c>
      <c r="F8681" t="s">
        <v>4</v>
      </c>
      <c r="G8681" t="str">
        <f>""</f>
        <v/>
      </c>
    </row>
    <row r="8682" spans="1:7" x14ac:dyDescent="0.25">
      <c r="A8682" t="s">
        <v>8</v>
      </c>
      <c r="B8682" s="1" t="str">
        <f>"000138949 - RICH FOODS-FOODBUY NCORE RETRO"</f>
        <v>000138949 - RICH FOODS-FOODBUY NCORE RETRO</v>
      </c>
      <c r="C8682" t="s">
        <v>972</v>
      </c>
      <c r="D8682" s="1" t="str">
        <f t="shared" si="240"/>
        <v>PRG-1032567</v>
      </c>
      <c r="E8682" t="s">
        <v>147</v>
      </c>
      <c r="F8682" t="s">
        <v>4</v>
      </c>
      <c r="G8682" t="str">
        <f>""</f>
        <v/>
      </c>
    </row>
    <row r="8683" spans="1:7" x14ac:dyDescent="0.25">
      <c r="A8683" t="s">
        <v>8</v>
      </c>
      <c r="B8683" s="1" t="str">
        <f>"000138950 - RICH FOODS-FOODBUY CORE RETRO"</f>
        <v>000138950 - RICH FOODS-FOODBUY CORE RETRO</v>
      </c>
      <c r="C8683" t="s">
        <v>973</v>
      </c>
      <c r="D8683" s="1" t="str">
        <f t="shared" si="240"/>
        <v>PRG-1032567</v>
      </c>
      <c r="E8683" t="s">
        <v>147</v>
      </c>
      <c r="F8683" t="s">
        <v>4</v>
      </c>
      <c r="G8683" t="str">
        <f>""</f>
        <v/>
      </c>
    </row>
    <row r="8684" spans="1:7" x14ac:dyDescent="0.25">
      <c r="A8684" t="s">
        <v>8</v>
      </c>
      <c r="B8684" s="1" t="str">
        <f>"000139330 - RICHS FOODS BB-FOODBUY"</f>
        <v>000139330 - RICHS FOODS BB-FOODBUY</v>
      </c>
      <c r="C8684" t="s">
        <v>393</v>
      </c>
      <c r="D8684" s="1" t="str">
        <f t="shared" si="240"/>
        <v>PRG-1032567</v>
      </c>
      <c r="E8684" t="s">
        <v>147</v>
      </c>
      <c r="F8684" t="s">
        <v>4</v>
      </c>
      <c r="G8684" t="str">
        <f>""</f>
        <v/>
      </c>
    </row>
    <row r="8685" spans="1:7" x14ac:dyDescent="0.25">
      <c r="A8685" t="s">
        <v>8</v>
      </c>
      <c r="B8685" s="1" t="str">
        <f>"000141003 - RICH FOODS BB-FOODBUY"</f>
        <v>000141003 - RICH FOODS BB-FOODBUY</v>
      </c>
      <c r="C8685" t="s">
        <v>209</v>
      </c>
      <c r="D8685" s="1" t="str">
        <f t="shared" si="240"/>
        <v>PRG-1032567</v>
      </c>
      <c r="E8685" t="s">
        <v>147</v>
      </c>
      <c r="F8685" t="s">
        <v>4</v>
      </c>
      <c r="G8685" t="str">
        <f>""</f>
        <v/>
      </c>
    </row>
    <row r="8686" spans="1:7" x14ac:dyDescent="0.25">
      <c r="A8686" t="s">
        <v>8</v>
      </c>
      <c r="B8686" s="1" t="str">
        <f>"000141292 - RICH FOODS BB-FOODBUY"</f>
        <v>000141292 - RICH FOODS BB-FOODBUY</v>
      </c>
      <c r="C8686" t="s">
        <v>209</v>
      </c>
      <c r="D8686" s="1" t="str">
        <f t="shared" si="240"/>
        <v>PRG-1032567</v>
      </c>
      <c r="E8686" t="s">
        <v>147</v>
      </c>
      <c r="F8686" t="s">
        <v>4</v>
      </c>
      <c r="G8686" t="str">
        <f>""</f>
        <v/>
      </c>
    </row>
    <row r="8687" spans="1:7" x14ac:dyDescent="0.25">
      <c r="A8687" t="s">
        <v>8</v>
      </c>
      <c r="B8687" s="1" t="str">
        <f>"000142164 - RICH FOODS BB-FOODBUY"</f>
        <v>000142164 - RICH FOODS BB-FOODBUY</v>
      </c>
      <c r="C8687" t="s">
        <v>209</v>
      </c>
      <c r="D8687" s="1" t="str">
        <f t="shared" si="240"/>
        <v>PRG-1032567</v>
      </c>
      <c r="E8687" t="s">
        <v>147</v>
      </c>
      <c r="F8687" t="s">
        <v>4</v>
      </c>
      <c r="G8687" t="str">
        <f>""</f>
        <v/>
      </c>
    </row>
    <row r="8688" spans="1:7" x14ac:dyDescent="0.25">
      <c r="A8688" t="s">
        <v>8</v>
      </c>
      <c r="B8688" s="1" t="str">
        <f>"000142511 - RICH FOODS BB-FOODBUY"</f>
        <v>000142511 - RICH FOODS BB-FOODBUY</v>
      </c>
      <c r="C8688" t="s">
        <v>209</v>
      </c>
      <c r="D8688" s="1" t="str">
        <f t="shared" si="240"/>
        <v>PRG-1032567</v>
      </c>
      <c r="E8688" t="s">
        <v>147</v>
      </c>
      <c r="F8688" t="s">
        <v>4</v>
      </c>
      <c r="G8688" t="str">
        <f>""</f>
        <v/>
      </c>
    </row>
    <row r="8689" spans="1:7" x14ac:dyDescent="0.25">
      <c r="A8689" t="s">
        <v>8</v>
      </c>
      <c r="B8689" s="1" t="str">
        <f>"000142851 - "</f>
        <v xml:space="preserve">000142851 - </v>
      </c>
      <c r="D8689" s="1" t="str">
        <f t="shared" si="240"/>
        <v>PRG-1032567</v>
      </c>
      <c r="E8689" t="s">
        <v>147</v>
      </c>
      <c r="F8689" t="s">
        <v>4</v>
      </c>
      <c r="G8689" t="str">
        <f>""</f>
        <v/>
      </c>
    </row>
    <row r="8690" spans="1:7" x14ac:dyDescent="0.25">
      <c r="A8690" t="s">
        <v>8</v>
      </c>
      <c r="B8690" s="1" t="str">
        <f>"000143886 - RICHS BB (DPMRETRO)-FOODBUY"</f>
        <v>000143886 - RICHS BB (DPMRETRO)-FOODBUY</v>
      </c>
      <c r="C8690" t="s">
        <v>900</v>
      </c>
      <c r="D8690" s="1" t="str">
        <f t="shared" si="240"/>
        <v>PRG-1032567</v>
      </c>
      <c r="E8690" t="s">
        <v>147</v>
      </c>
      <c r="F8690" t="s">
        <v>4</v>
      </c>
      <c r="G8690" t="str">
        <f>""</f>
        <v/>
      </c>
    </row>
    <row r="8691" spans="1:7" x14ac:dyDescent="0.25">
      <c r="A8691" t="s">
        <v>8</v>
      </c>
      <c r="B8691" s="1" t="str">
        <f>"000145036 - RICH FOODS BB-FOODBUY"</f>
        <v>000145036 - RICH FOODS BB-FOODBUY</v>
      </c>
      <c r="C8691" t="s">
        <v>209</v>
      </c>
      <c r="D8691" s="1" t="str">
        <f t="shared" si="240"/>
        <v>PRG-1032567</v>
      </c>
      <c r="E8691" t="s">
        <v>147</v>
      </c>
      <c r="F8691" t="s">
        <v>4</v>
      </c>
      <c r="G8691" t="str">
        <f>""</f>
        <v/>
      </c>
    </row>
    <row r="8692" spans="1:7" x14ac:dyDescent="0.25">
      <c r="A8692" t="s">
        <v>8</v>
      </c>
      <c r="B8692" s="1" t="str">
        <f>"000145196 - RICH FOODS BB-FOODBUY"</f>
        <v>000145196 - RICH FOODS BB-FOODBUY</v>
      </c>
      <c r="C8692" t="s">
        <v>209</v>
      </c>
      <c r="D8692" s="1" t="str">
        <f t="shared" ref="D8692:D8755" si="241">"PRG-1032567"</f>
        <v>PRG-1032567</v>
      </c>
      <c r="E8692" t="s">
        <v>147</v>
      </c>
      <c r="F8692" t="s">
        <v>4</v>
      </c>
      <c r="G8692" t="str">
        <f>""</f>
        <v/>
      </c>
    </row>
    <row r="8693" spans="1:7" x14ac:dyDescent="0.25">
      <c r="A8693" t="s">
        <v>8</v>
      </c>
      <c r="B8693" s="1" t="str">
        <f>"000145767 - RICH FOODS BB-FOODBUY"</f>
        <v>000145767 - RICH FOODS BB-FOODBUY</v>
      </c>
      <c r="C8693" t="s">
        <v>209</v>
      </c>
      <c r="D8693" s="1" t="str">
        <f t="shared" si="241"/>
        <v>PRG-1032567</v>
      </c>
      <c r="E8693" t="s">
        <v>147</v>
      </c>
      <c r="F8693" t="s">
        <v>4</v>
      </c>
      <c r="G8693" t="str">
        <f>""</f>
        <v/>
      </c>
    </row>
    <row r="8694" spans="1:7" x14ac:dyDescent="0.25">
      <c r="A8694" t="s">
        <v>8</v>
      </c>
      <c r="B8694" s="1" t="str">
        <f>"000145934 - RICH FOODS BB FOODBUY"</f>
        <v>000145934 - RICH FOODS BB FOODBUY</v>
      </c>
      <c r="C8694" t="s">
        <v>228</v>
      </c>
      <c r="D8694" s="1" t="str">
        <f t="shared" si="241"/>
        <v>PRG-1032567</v>
      </c>
      <c r="E8694" t="s">
        <v>147</v>
      </c>
      <c r="F8694" t="s">
        <v>4</v>
      </c>
      <c r="G8694" t="str">
        <f>""</f>
        <v/>
      </c>
    </row>
    <row r="8695" spans="1:7" x14ac:dyDescent="0.25">
      <c r="A8695" t="s">
        <v>8</v>
      </c>
      <c r="B8695" s="1" t="str">
        <f>"000146712 - RICH FOODS BB-FOODBUY"</f>
        <v>000146712 - RICH FOODS BB-FOODBUY</v>
      </c>
      <c r="C8695" t="s">
        <v>209</v>
      </c>
      <c r="D8695" s="1" t="str">
        <f t="shared" si="241"/>
        <v>PRG-1032567</v>
      </c>
      <c r="E8695" t="s">
        <v>147</v>
      </c>
      <c r="F8695" t="s">
        <v>4</v>
      </c>
      <c r="G8695" t="str">
        <f>""</f>
        <v/>
      </c>
    </row>
    <row r="8696" spans="1:7" x14ac:dyDescent="0.25">
      <c r="A8696" t="s">
        <v>8</v>
      </c>
      <c r="B8696" s="1" t="str">
        <f>"000146917 - RICHS BB(DPMRETRO)-FOODBUY"</f>
        <v>000146917 - RICHS BB(DPMRETRO)-FOODBUY</v>
      </c>
      <c r="C8696" t="s">
        <v>861</v>
      </c>
      <c r="D8696" s="1" t="str">
        <f t="shared" si="241"/>
        <v>PRG-1032567</v>
      </c>
      <c r="E8696" t="s">
        <v>147</v>
      </c>
      <c r="F8696" t="s">
        <v>4</v>
      </c>
      <c r="G8696" t="str">
        <f>""</f>
        <v/>
      </c>
    </row>
    <row r="8697" spans="1:7" x14ac:dyDescent="0.25">
      <c r="A8697" t="s">
        <v>8</v>
      </c>
      <c r="B8697" s="1" t="str">
        <f>"000147343 - "</f>
        <v xml:space="preserve">000147343 - </v>
      </c>
      <c r="D8697" s="1" t="str">
        <f t="shared" si="241"/>
        <v>PRG-1032567</v>
      </c>
      <c r="E8697" t="s">
        <v>147</v>
      </c>
      <c r="F8697" t="s">
        <v>4</v>
      </c>
      <c r="G8697" t="str">
        <f>""</f>
        <v/>
      </c>
    </row>
    <row r="8698" spans="1:7" x14ac:dyDescent="0.25">
      <c r="A8698" t="s">
        <v>8</v>
      </c>
      <c r="B8698" s="1" t="str">
        <f>"000147441 - RICH FOODS BB-FOODBUY"</f>
        <v>000147441 - RICH FOODS BB-FOODBUY</v>
      </c>
      <c r="C8698" t="s">
        <v>209</v>
      </c>
      <c r="D8698" s="1" t="str">
        <f t="shared" si="241"/>
        <v>PRG-1032567</v>
      </c>
      <c r="E8698" t="s">
        <v>147</v>
      </c>
      <c r="F8698" t="s">
        <v>4</v>
      </c>
      <c r="G8698" t="str">
        <f>""</f>
        <v/>
      </c>
    </row>
    <row r="8699" spans="1:7" x14ac:dyDescent="0.25">
      <c r="A8699" t="s">
        <v>8</v>
      </c>
      <c r="B8699" s="1" t="str">
        <f>"000147724 - RICH FOODS BB-FOODBUY"</f>
        <v>000147724 - RICH FOODS BB-FOODBUY</v>
      </c>
      <c r="C8699" t="s">
        <v>209</v>
      </c>
      <c r="D8699" s="1" t="str">
        <f t="shared" si="241"/>
        <v>PRG-1032567</v>
      </c>
      <c r="E8699" t="s">
        <v>147</v>
      </c>
      <c r="F8699" t="s">
        <v>4</v>
      </c>
      <c r="G8699" t="str">
        <f>""</f>
        <v/>
      </c>
    </row>
    <row r="8700" spans="1:7" x14ac:dyDescent="0.25">
      <c r="A8700" t="s">
        <v>8</v>
      </c>
      <c r="B8700" s="1" t="str">
        <f>"000147779 - RICH FOODS BB-FOODBUY"</f>
        <v>000147779 - RICH FOODS BB-FOODBUY</v>
      </c>
      <c r="C8700" t="s">
        <v>209</v>
      </c>
      <c r="D8700" s="1" t="str">
        <f t="shared" si="241"/>
        <v>PRG-1032567</v>
      </c>
      <c r="E8700" t="s">
        <v>147</v>
      </c>
      <c r="F8700" t="s">
        <v>4</v>
      </c>
      <c r="G8700" t="str">
        <f>""</f>
        <v/>
      </c>
    </row>
    <row r="8701" spans="1:7" x14ac:dyDescent="0.25">
      <c r="A8701" t="s">
        <v>8</v>
      </c>
      <c r="B8701" s="1" t="str">
        <f>"000149561 - RICH FOODS BB-FOODBUY"</f>
        <v>000149561 - RICH FOODS BB-FOODBUY</v>
      </c>
      <c r="C8701" t="s">
        <v>209</v>
      </c>
      <c r="D8701" s="1" t="str">
        <f t="shared" si="241"/>
        <v>PRG-1032567</v>
      </c>
      <c r="E8701" t="s">
        <v>147</v>
      </c>
      <c r="F8701" t="s">
        <v>4</v>
      </c>
      <c r="G8701" t="str">
        <f>""</f>
        <v/>
      </c>
    </row>
    <row r="8702" spans="1:7" x14ac:dyDescent="0.25">
      <c r="A8702" t="s">
        <v>8</v>
      </c>
      <c r="B8702" s="1" t="str">
        <f>"000149637 - RICH FOODS BB-FOODBUY"</f>
        <v>000149637 - RICH FOODS BB-FOODBUY</v>
      </c>
      <c r="C8702" t="s">
        <v>209</v>
      </c>
      <c r="D8702" s="1" t="str">
        <f t="shared" si="241"/>
        <v>PRG-1032567</v>
      </c>
      <c r="E8702" t="s">
        <v>147</v>
      </c>
      <c r="F8702" t="s">
        <v>4</v>
      </c>
      <c r="G8702" t="str">
        <f>""</f>
        <v/>
      </c>
    </row>
    <row r="8703" spans="1:7" x14ac:dyDescent="0.25">
      <c r="A8703" t="s">
        <v>8</v>
      </c>
      <c r="B8703" s="1" t="str">
        <f>"000151005 - RICH FOODS BB-FOODBUY"</f>
        <v>000151005 - RICH FOODS BB-FOODBUY</v>
      </c>
      <c r="C8703" t="s">
        <v>209</v>
      </c>
      <c r="D8703" s="1" t="str">
        <f t="shared" si="241"/>
        <v>PRG-1032567</v>
      </c>
      <c r="E8703" t="s">
        <v>147</v>
      </c>
      <c r="F8703" t="s">
        <v>4</v>
      </c>
      <c r="G8703" t="str">
        <f>""</f>
        <v/>
      </c>
    </row>
    <row r="8704" spans="1:7" x14ac:dyDescent="0.25">
      <c r="A8704" t="s">
        <v>8</v>
      </c>
      <c r="B8704" s="1" t="str">
        <f>"000152388 - RICH FOODS BB-FOODBUY"</f>
        <v>000152388 - RICH FOODS BB-FOODBUY</v>
      </c>
      <c r="C8704" t="s">
        <v>209</v>
      </c>
      <c r="D8704" s="1" t="str">
        <f t="shared" si="241"/>
        <v>PRG-1032567</v>
      </c>
      <c r="E8704" t="s">
        <v>147</v>
      </c>
      <c r="F8704" t="s">
        <v>4</v>
      </c>
      <c r="G8704" t="str">
        <f>""</f>
        <v/>
      </c>
    </row>
    <row r="8705" spans="1:7" x14ac:dyDescent="0.25">
      <c r="A8705" t="s">
        <v>8</v>
      </c>
      <c r="B8705" s="1" t="str">
        <f>"000153362 - RICH FOODS BB-FOODBUY"</f>
        <v>000153362 - RICH FOODS BB-FOODBUY</v>
      </c>
      <c r="C8705" t="s">
        <v>209</v>
      </c>
      <c r="D8705" s="1" t="str">
        <f t="shared" si="241"/>
        <v>PRG-1032567</v>
      </c>
      <c r="E8705" t="s">
        <v>147</v>
      </c>
      <c r="F8705" t="s">
        <v>4</v>
      </c>
      <c r="G8705" t="str">
        <f>""</f>
        <v/>
      </c>
    </row>
    <row r="8706" spans="1:7" x14ac:dyDescent="0.25">
      <c r="A8706" t="s">
        <v>8</v>
      </c>
      <c r="B8706" s="1" t="str">
        <f>"000154078 - RICHS FOODS BB-FOODBUY"</f>
        <v>000154078 - RICHS FOODS BB-FOODBUY</v>
      </c>
      <c r="C8706" t="s">
        <v>393</v>
      </c>
      <c r="D8706" s="1" t="str">
        <f t="shared" si="241"/>
        <v>PRG-1032567</v>
      </c>
      <c r="E8706" t="s">
        <v>147</v>
      </c>
      <c r="F8706" t="s">
        <v>4</v>
      </c>
      <c r="G8706" t="str">
        <f>""</f>
        <v/>
      </c>
    </row>
    <row r="8707" spans="1:7" x14ac:dyDescent="0.25">
      <c r="A8707" t="s">
        <v>8</v>
      </c>
      <c r="B8707" s="1" t="str">
        <f>"000155582 - RICH FDS FDBY-COMPASS BB"</f>
        <v>000155582 - RICH FDS FDBY-COMPASS BB</v>
      </c>
      <c r="C8707" t="s">
        <v>1007</v>
      </c>
      <c r="D8707" s="1" t="str">
        <f t="shared" si="241"/>
        <v>PRG-1032567</v>
      </c>
      <c r="E8707" t="s">
        <v>147</v>
      </c>
      <c r="F8707" t="s">
        <v>4</v>
      </c>
      <c r="G8707" t="str">
        <f>""</f>
        <v/>
      </c>
    </row>
    <row r="8708" spans="1:7" x14ac:dyDescent="0.25">
      <c r="A8708" t="s">
        <v>8</v>
      </c>
      <c r="B8708" s="1" t="str">
        <f>"000155583 - RICH FDS FDBY-COMPASS BB"</f>
        <v>000155583 - RICH FDS FDBY-COMPASS BB</v>
      </c>
      <c r="C8708" t="s">
        <v>1007</v>
      </c>
      <c r="D8708" s="1" t="str">
        <f t="shared" si="241"/>
        <v>PRG-1032567</v>
      </c>
      <c r="E8708" t="s">
        <v>147</v>
      </c>
      <c r="F8708" t="s">
        <v>4</v>
      </c>
      <c r="G8708" t="str">
        <f>""</f>
        <v/>
      </c>
    </row>
    <row r="8709" spans="1:7" x14ac:dyDescent="0.25">
      <c r="A8709" t="s">
        <v>8</v>
      </c>
      <c r="B8709" s="1" t="str">
        <f>"000156063 - RICH FOODS BB-FOODBUY"</f>
        <v>000156063 - RICH FOODS BB-FOODBUY</v>
      </c>
      <c r="C8709" t="s">
        <v>209</v>
      </c>
      <c r="D8709" s="1" t="str">
        <f t="shared" si="241"/>
        <v>PRG-1032567</v>
      </c>
      <c r="E8709" t="s">
        <v>147</v>
      </c>
      <c r="F8709" t="s">
        <v>4</v>
      </c>
      <c r="G8709" t="str">
        <f>""</f>
        <v/>
      </c>
    </row>
    <row r="8710" spans="1:7" x14ac:dyDescent="0.25">
      <c r="A8710" t="s">
        <v>8</v>
      </c>
      <c r="B8710" s="1" t="str">
        <f>"000157608 - RICH FOODS BB-FOODBUY"</f>
        <v>000157608 - RICH FOODS BB-FOODBUY</v>
      </c>
      <c r="C8710" t="s">
        <v>209</v>
      </c>
      <c r="D8710" s="1" t="str">
        <f t="shared" si="241"/>
        <v>PRG-1032567</v>
      </c>
      <c r="E8710" t="s">
        <v>147</v>
      </c>
      <c r="F8710" t="s">
        <v>4</v>
      </c>
      <c r="G8710" t="str">
        <f>""</f>
        <v/>
      </c>
    </row>
    <row r="8711" spans="1:7" x14ac:dyDescent="0.25">
      <c r="A8711" t="s">
        <v>8</v>
      </c>
      <c r="B8711" s="1" t="str">
        <f>"000158384 - "</f>
        <v xml:space="preserve">000158384 - </v>
      </c>
      <c r="D8711" s="1" t="str">
        <f t="shared" si="241"/>
        <v>PRG-1032567</v>
      </c>
      <c r="E8711" t="s">
        <v>147</v>
      </c>
      <c r="F8711" t="s">
        <v>4</v>
      </c>
      <c r="G8711" t="str">
        <f>""</f>
        <v/>
      </c>
    </row>
    <row r="8712" spans="1:7" x14ac:dyDescent="0.25">
      <c r="A8712" t="s">
        <v>8</v>
      </c>
      <c r="B8712" s="1" t="str">
        <f>"000158419 - "</f>
        <v xml:space="preserve">000158419 - </v>
      </c>
      <c r="D8712" s="1" t="str">
        <f t="shared" si="241"/>
        <v>PRG-1032567</v>
      </c>
      <c r="E8712" t="s">
        <v>147</v>
      </c>
      <c r="F8712" t="s">
        <v>4</v>
      </c>
      <c r="G8712" t="str">
        <f>""</f>
        <v/>
      </c>
    </row>
    <row r="8713" spans="1:7" x14ac:dyDescent="0.25">
      <c r="A8713" t="s">
        <v>8</v>
      </c>
      <c r="B8713" s="1" t="str">
        <f>"000160875 - RICH FOODS BB-FOODBUY"</f>
        <v>000160875 - RICH FOODS BB-FOODBUY</v>
      </c>
      <c r="C8713" t="s">
        <v>209</v>
      </c>
      <c r="D8713" s="1" t="str">
        <f t="shared" si="241"/>
        <v>PRG-1032567</v>
      </c>
      <c r="E8713" t="s">
        <v>147</v>
      </c>
      <c r="F8713" t="s">
        <v>4</v>
      </c>
      <c r="G8713" t="str">
        <f>""</f>
        <v/>
      </c>
    </row>
    <row r="8714" spans="1:7" x14ac:dyDescent="0.25">
      <c r="A8714" t="s">
        <v>8</v>
      </c>
      <c r="B8714" s="1" t="str">
        <f>"000162208 - RICH FOODS BB-FOODBUY"</f>
        <v>000162208 - RICH FOODS BB-FOODBUY</v>
      </c>
      <c r="C8714" t="s">
        <v>209</v>
      </c>
      <c r="D8714" s="1" t="str">
        <f t="shared" si="241"/>
        <v>PRG-1032567</v>
      </c>
      <c r="E8714" t="s">
        <v>147</v>
      </c>
      <c r="F8714" t="s">
        <v>4</v>
      </c>
      <c r="G8714" t="str">
        <f>""</f>
        <v/>
      </c>
    </row>
    <row r="8715" spans="1:7" x14ac:dyDescent="0.25">
      <c r="A8715" t="s">
        <v>8</v>
      </c>
      <c r="B8715" s="1" t="str">
        <f>"000162921 - "</f>
        <v xml:space="preserve">000162921 - </v>
      </c>
      <c r="D8715" s="1" t="str">
        <f t="shared" si="241"/>
        <v>PRG-1032567</v>
      </c>
      <c r="E8715" t="s">
        <v>147</v>
      </c>
      <c r="F8715" t="s">
        <v>4</v>
      </c>
      <c r="G8715" t="str">
        <f>""</f>
        <v/>
      </c>
    </row>
    <row r="8716" spans="1:7" x14ac:dyDescent="0.25">
      <c r="A8716" t="s">
        <v>8</v>
      </c>
      <c r="B8716" s="1" t="str">
        <f>"000165360 - RICH FOODS BB-FOODBUY"</f>
        <v>000165360 - RICH FOODS BB-FOODBUY</v>
      </c>
      <c r="C8716" t="s">
        <v>209</v>
      </c>
      <c r="D8716" s="1" t="str">
        <f t="shared" si="241"/>
        <v>PRG-1032567</v>
      </c>
      <c r="E8716" t="s">
        <v>147</v>
      </c>
      <c r="F8716" t="s">
        <v>4</v>
      </c>
      <c r="G8716" t="str">
        <f>""</f>
        <v/>
      </c>
    </row>
    <row r="8717" spans="1:7" x14ac:dyDescent="0.25">
      <c r="A8717" t="s">
        <v>8</v>
      </c>
      <c r="B8717" s="1" t="str">
        <f>"000169133 - RICH FOODS BB-FOODBUY"</f>
        <v>000169133 - RICH FOODS BB-FOODBUY</v>
      </c>
      <c r="C8717" t="s">
        <v>209</v>
      </c>
      <c r="D8717" s="1" t="str">
        <f t="shared" si="241"/>
        <v>PRG-1032567</v>
      </c>
      <c r="E8717" t="s">
        <v>147</v>
      </c>
      <c r="F8717" t="s">
        <v>4</v>
      </c>
      <c r="G8717" t="str">
        <f>""</f>
        <v/>
      </c>
    </row>
    <row r="8718" spans="1:7" x14ac:dyDescent="0.25">
      <c r="A8718" t="s">
        <v>8</v>
      </c>
      <c r="B8718" s="1" t="str">
        <f>"000176011 - "</f>
        <v xml:space="preserve">000176011 - </v>
      </c>
      <c r="D8718" s="1" t="str">
        <f t="shared" si="241"/>
        <v>PRG-1032567</v>
      </c>
      <c r="E8718" t="s">
        <v>147</v>
      </c>
      <c r="F8718" t="s">
        <v>4</v>
      </c>
      <c r="G8718" t="str">
        <f>""</f>
        <v/>
      </c>
    </row>
    <row r="8719" spans="1:7" x14ac:dyDescent="0.25">
      <c r="A8719" t="s">
        <v>8</v>
      </c>
      <c r="B8719" s="1" t="str">
        <f>"000180513 - RICHS FOODS BB-FOODBUY"</f>
        <v>000180513 - RICHS FOODS BB-FOODBUY</v>
      </c>
      <c r="C8719" t="s">
        <v>393</v>
      </c>
      <c r="D8719" s="1" t="str">
        <f t="shared" si="241"/>
        <v>PRG-1032567</v>
      </c>
      <c r="E8719" t="s">
        <v>147</v>
      </c>
      <c r="F8719" t="s">
        <v>4</v>
      </c>
      <c r="G8719" t="str">
        <f>""</f>
        <v/>
      </c>
    </row>
    <row r="8720" spans="1:7" x14ac:dyDescent="0.25">
      <c r="A8720" t="s">
        <v>8</v>
      </c>
      <c r="B8720" s="1" t="str">
        <f>"000181295 - "</f>
        <v xml:space="preserve">000181295 - </v>
      </c>
      <c r="D8720" s="1" t="str">
        <f t="shared" si="241"/>
        <v>PRG-1032567</v>
      </c>
      <c r="E8720" t="s">
        <v>147</v>
      </c>
      <c r="F8720" t="s">
        <v>4</v>
      </c>
      <c r="G8720" t="str">
        <f>""</f>
        <v/>
      </c>
    </row>
    <row r="8721" spans="1:7" x14ac:dyDescent="0.25">
      <c r="A8721" t="s">
        <v>8</v>
      </c>
      <c r="B8721" s="1" t="str">
        <f>"000182355 - RICH FOODS BB-FOODBUY"</f>
        <v>000182355 - RICH FOODS BB-FOODBUY</v>
      </c>
      <c r="C8721" t="s">
        <v>209</v>
      </c>
      <c r="D8721" s="1" t="str">
        <f t="shared" si="241"/>
        <v>PRG-1032567</v>
      </c>
      <c r="E8721" t="s">
        <v>147</v>
      </c>
      <c r="F8721" t="s">
        <v>4</v>
      </c>
      <c r="G8721" t="str">
        <f>""</f>
        <v/>
      </c>
    </row>
    <row r="8722" spans="1:7" x14ac:dyDescent="0.25">
      <c r="A8722" t="s">
        <v>8</v>
      </c>
      <c r="B8722" s="1" t="str">
        <f>"000186781 - RICH FOODS BB-FOODBUY"</f>
        <v>000186781 - RICH FOODS BB-FOODBUY</v>
      </c>
      <c r="C8722" t="s">
        <v>209</v>
      </c>
      <c r="D8722" s="1" t="str">
        <f t="shared" si="241"/>
        <v>PRG-1032567</v>
      </c>
      <c r="E8722" t="s">
        <v>147</v>
      </c>
      <c r="F8722" t="s">
        <v>4</v>
      </c>
      <c r="G8722" t="str">
        <f>""</f>
        <v/>
      </c>
    </row>
    <row r="8723" spans="1:7" x14ac:dyDescent="0.25">
      <c r="A8723" t="s">
        <v>8</v>
      </c>
      <c r="B8723" s="1" t="str">
        <f>"000187819 - "</f>
        <v xml:space="preserve">000187819 - </v>
      </c>
      <c r="D8723" s="1" t="str">
        <f t="shared" si="241"/>
        <v>PRG-1032567</v>
      </c>
      <c r="E8723" t="s">
        <v>147</v>
      </c>
      <c r="F8723" t="s">
        <v>4</v>
      </c>
      <c r="G8723" t="str">
        <f>""</f>
        <v/>
      </c>
    </row>
    <row r="8724" spans="1:7" x14ac:dyDescent="0.25">
      <c r="A8724" t="s">
        <v>8</v>
      </c>
      <c r="B8724" s="1" t="str">
        <f>"000188391 - RICH FOODS BB-FOODBUY"</f>
        <v>000188391 - RICH FOODS BB-FOODBUY</v>
      </c>
      <c r="C8724" t="s">
        <v>209</v>
      </c>
      <c r="D8724" s="1" t="str">
        <f t="shared" si="241"/>
        <v>PRG-1032567</v>
      </c>
      <c r="E8724" t="s">
        <v>147</v>
      </c>
      <c r="F8724" t="s">
        <v>4</v>
      </c>
      <c r="G8724" t="str">
        <f>""</f>
        <v/>
      </c>
    </row>
    <row r="8725" spans="1:7" x14ac:dyDescent="0.25">
      <c r="A8725" t="s">
        <v>8</v>
      </c>
      <c r="B8725" s="1" t="str">
        <f>"000190849 - RICH FOODS BB-FOODBUY"</f>
        <v>000190849 - RICH FOODS BB-FOODBUY</v>
      </c>
      <c r="C8725" t="s">
        <v>209</v>
      </c>
      <c r="D8725" s="1" t="str">
        <f t="shared" si="241"/>
        <v>PRG-1032567</v>
      </c>
      <c r="E8725" t="s">
        <v>147</v>
      </c>
      <c r="F8725" t="s">
        <v>4</v>
      </c>
      <c r="G8725" t="str">
        <f>""</f>
        <v/>
      </c>
    </row>
    <row r="8726" spans="1:7" x14ac:dyDescent="0.25">
      <c r="A8726" t="s">
        <v>8</v>
      </c>
      <c r="B8726" s="1" t="str">
        <f>"000193684 - RICH FOODS BB-FOODBUY"</f>
        <v>000193684 - RICH FOODS BB-FOODBUY</v>
      </c>
      <c r="C8726" t="s">
        <v>209</v>
      </c>
      <c r="D8726" s="1" t="str">
        <f t="shared" si="241"/>
        <v>PRG-1032567</v>
      </c>
      <c r="E8726" t="s">
        <v>147</v>
      </c>
      <c r="F8726" t="s">
        <v>4</v>
      </c>
      <c r="G8726" t="str">
        <f>""</f>
        <v/>
      </c>
    </row>
    <row r="8727" spans="1:7" x14ac:dyDescent="0.25">
      <c r="A8727" t="s">
        <v>8</v>
      </c>
      <c r="B8727" s="1" t="str">
        <f>"000199481 - RICH FOODS BB-FOODBUY"</f>
        <v>000199481 - RICH FOODS BB-FOODBUY</v>
      </c>
      <c r="C8727" t="s">
        <v>209</v>
      </c>
      <c r="D8727" s="1" t="str">
        <f t="shared" si="241"/>
        <v>PRG-1032567</v>
      </c>
      <c r="E8727" t="s">
        <v>147</v>
      </c>
      <c r="F8727" t="s">
        <v>4</v>
      </c>
      <c r="G8727" t="str">
        <f>""</f>
        <v/>
      </c>
    </row>
    <row r="8728" spans="1:7" x14ac:dyDescent="0.25">
      <c r="A8728" t="s">
        <v>8</v>
      </c>
      <c r="B8728" s="1" t="str">
        <f>"000203479 - RICH FOODS BB-FOODBUY"</f>
        <v>000203479 - RICH FOODS BB-FOODBUY</v>
      </c>
      <c r="C8728" t="s">
        <v>209</v>
      </c>
      <c r="D8728" s="1" t="str">
        <f t="shared" si="241"/>
        <v>PRG-1032567</v>
      </c>
      <c r="E8728" t="s">
        <v>147</v>
      </c>
      <c r="F8728" t="s">
        <v>4</v>
      </c>
      <c r="G8728" t="str">
        <f>""</f>
        <v/>
      </c>
    </row>
    <row r="8729" spans="1:7" x14ac:dyDescent="0.25">
      <c r="A8729" t="s">
        <v>8</v>
      </c>
      <c r="B8729" s="1" t="str">
        <f>"000203808 - RICH FOODS BB-FOODBUY"</f>
        <v>000203808 - RICH FOODS BB-FOODBUY</v>
      </c>
      <c r="C8729" t="s">
        <v>209</v>
      </c>
      <c r="D8729" s="1" t="str">
        <f t="shared" si="241"/>
        <v>PRG-1032567</v>
      </c>
      <c r="E8729" t="s">
        <v>147</v>
      </c>
      <c r="F8729" t="s">
        <v>4</v>
      </c>
      <c r="G8729" t="str">
        <f>""</f>
        <v/>
      </c>
    </row>
    <row r="8730" spans="1:7" x14ac:dyDescent="0.25">
      <c r="A8730" t="s">
        <v>8</v>
      </c>
      <c r="B8730" s="1" t="str">
        <f>"000205396 - RICH FOODS BB-FOODBUY"</f>
        <v>000205396 - RICH FOODS BB-FOODBUY</v>
      </c>
      <c r="C8730" t="s">
        <v>209</v>
      </c>
      <c r="D8730" s="1" t="str">
        <f t="shared" si="241"/>
        <v>PRG-1032567</v>
      </c>
      <c r="E8730" t="s">
        <v>147</v>
      </c>
      <c r="F8730" t="s">
        <v>4</v>
      </c>
      <c r="G8730" t="str">
        <f>""</f>
        <v/>
      </c>
    </row>
    <row r="8731" spans="1:7" x14ac:dyDescent="0.25">
      <c r="A8731" t="s">
        <v>8</v>
      </c>
      <c r="B8731" s="1" t="str">
        <f>"000206569 - RICH FOODS BB-FOODBUY"</f>
        <v>000206569 - RICH FOODS BB-FOODBUY</v>
      </c>
      <c r="C8731" t="s">
        <v>209</v>
      </c>
      <c r="D8731" s="1" t="str">
        <f t="shared" si="241"/>
        <v>PRG-1032567</v>
      </c>
      <c r="E8731" t="s">
        <v>147</v>
      </c>
      <c r="F8731" t="s">
        <v>4</v>
      </c>
      <c r="G8731" t="str">
        <f>""</f>
        <v/>
      </c>
    </row>
    <row r="8732" spans="1:7" x14ac:dyDescent="0.25">
      <c r="A8732" t="s">
        <v>8</v>
      </c>
      <c r="B8732" s="1" t="str">
        <f>"000206650 - (L)RICH FDS BB(FDBUY-206569)"</f>
        <v>000206650 - (L)RICH FDS BB(FDBUY-206569)</v>
      </c>
      <c r="C8732" t="s">
        <v>1373</v>
      </c>
      <c r="D8732" s="1" t="str">
        <f t="shared" si="241"/>
        <v>PRG-1032567</v>
      </c>
      <c r="E8732" t="s">
        <v>147</v>
      </c>
      <c r="F8732" t="s">
        <v>4</v>
      </c>
      <c r="G8732" t="str">
        <f>""</f>
        <v/>
      </c>
    </row>
    <row r="8733" spans="1:7" x14ac:dyDescent="0.25">
      <c r="A8733" t="s">
        <v>8</v>
      </c>
      <c r="B8733" s="1" t="str">
        <f>"000208439 - RICH FOODS BB-FOODBUY"</f>
        <v>000208439 - RICH FOODS BB-FOODBUY</v>
      </c>
      <c r="C8733" t="s">
        <v>209</v>
      </c>
      <c r="D8733" s="1" t="str">
        <f t="shared" si="241"/>
        <v>PRG-1032567</v>
      </c>
      <c r="E8733" t="s">
        <v>147</v>
      </c>
      <c r="F8733" t="s">
        <v>4</v>
      </c>
      <c r="G8733" t="str">
        <f>""</f>
        <v/>
      </c>
    </row>
    <row r="8734" spans="1:7" x14ac:dyDescent="0.25">
      <c r="A8734" t="s">
        <v>8</v>
      </c>
      <c r="B8734" s="1" t="str">
        <f>"000208440 - RICH FOODS BB FOODBUY"</f>
        <v>000208440 - RICH FOODS BB FOODBUY</v>
      </c>
      <c r="C8734" t="s">
        <v>228</v>
      </c>
      <c r="D8734" s="1" t="str">
        <f t="shared" si="241"/>
        <v>PRG-1032567</v>
      </c>
      <c r="E8734" t="s">
        <v>147</v>
      </c>
      <c r="F8734" t="s">
        <v>4</v>
      </c>
      <c r="G8734" t="str">
        <f>""</f>
        <v/>
      </c>
    </row>
    <row r="8735" spans="1:7" x14ac:dyDescent="0.25">
      <c r="A8735" t="s">
        <v>8</v>
      </c>
      <c r="B8735" s="1" t="str">
        <f>"000208881 - RICH FOODS BB-FOODBUY"</f>
        <v>000208881 - RICH FOODS BB-FOODBUY</v>
      </c>
      <c r="C8735" t="s">
        <v>209</v>
      </c>
      <c r="D8735" s="1" t="str">
        <f t="shared" si="241"/>
        <v>PRG-1032567</v>
      </c>
      <c r="E8735" t="s">
        <v>147</v>
      </c>
      <c r="F8735" t="s">
        <v>4</v>
      </c>
      <c r="G8735" t="str">
        <f>""</f>
        <v/>
      </c>
    </row>
    <row r="8736" spans="1:7" x14ac:dyDescent="0.25">
      <c r="A8736" t="s">
        <v>8</v>
      </c>
      <c r="B8736" s="1" t="str">
        <f>"000209935 - RICH FOODS BB-FOODBUY"</f>
        <v>000209935 - RICH FOODS BB-FOODBUY</v>
      </c>
      <c r="C8736" t="s">
        <v>209</v>
      </c>
      <c r="D8736" s="1" t="str">
        <f t="shared" si="241"/>
        <v>PRG-1032567</v>
      </c>
      <c r="E8736" t="s">
        <v>147</v>
      </c>
      <c r="F8736" t="s">
        <v>4</v>
      </c>
      <c r="G8736" t="str">
        <f>""</f>
        <v/>
      </c>
    </row>
    <row r="8737" spans="1:7" x14ac:dyDescent="0.25">
      <c r="A8737" t="s">
        <v>8</v>
      </c>
      <c r="B8737" s="1" t="str">
        <f>"000210425 - RICH FOODS BB-FOODBUY"</f>
        <v>000210425 - RICH FOODS BB-FOODBUY</v>
      </c>
      <c r="C8737" t="s">
        <v>209</v>
      </c>
      <c r="D8737" s="1" t="str">
        <f t="shared" si="241"/>
        <v>PRG-1032567</v>
      </c>
      <c r="E8737" t="s">
        <v>147</v>
      </c>
      <c r="F8737" t="s">
        <v>4</v>
      </c>
      <c r="G8737" t="str">
        <f>""</f>
        <v/>
      </c>
    </row>
    <row r="8738" spans="1:7" x14ac:dyDescent="0.25">
      <c r="A8738" t="s">
        <v>8</v>
      </c>
      <c r="B8738" s="1" t="str">
        <f>"000210749 - RICH FOODS BB-FOODBUY"</f>
        <v>000210749 - RICH FOODS BB-FOODBUY</v>
      </c>
      <c r="C8738" t="s">
        <v>209</v>
      </c>
      <c r="D8738" s="1" t="str">
        <f t="shared" si="241"/>
        <v>PRG-1032567</v>
      </c>
      <c r="E8738" t="s">
        <v>147</v>
      </c>
      <c r="F8738" t="s">
        <v>4</v>
      </c>
      <c r="G8738" t="str">
        <f>""</f>
        <v/>
      </c>
    </row>
    <row r="8739" spans="1:7" x14ac:dyDescent="0.25">
      <c r="A8739" t="s">
        <v>8</v>
      </c>
      <c r="B8739" s="1" t="str">
        <f>"000212759 - RICH FOODS BB-FOODBUY"</f>
        <v>000212759 - RICH FOODS BB-FOODBUY</v>
      </c>
      <c r="C8739" t="s">
        <v>209</v>
      </c>
      <c r="D8739" s="1" t="str">
        <f t="shared" si="241"/>
        <v>PRG-1032567</v>
      </c>
      <c r="E8739" t="s">
        <v>147</v>
      </c>
      <c r="F8739" t="s">
        <v>4</v>
      </c>
      <c r="G8739" t="str">
        <f>""</f>
        <v/>
      </c>
    </row>
    <row r="8740" spans="1:7" x14ac:dyDescent="0.25">
      <c r="A8740" t="s">
        <v>8</v>
      </c>
      <c r="B8740" s="1" t="str">
        <f>"000213295 - RICH FOODS BB-FOODBUY"</f>
        <v>000213295 - RICH FOODS BB-FOODBUY</v>
      </c>
      <c r="C8740" t="s">
        <v>209</v>
      </c>
      <c r="D8740" s="1" t="str">
        <f t="shared" si="241"/>
        <v>PRG-1032567</v>
      </c>
      <c r="E8740" t="s">
        <v>147</v>
      </c>
      <c r="F8740" t="s">
        <v>4</v>
      </c>
      <c r="G8740" t="str">
        <f>""</f>
        <v/>
      </c>
    </row>
    <row r="8741" spans="1:7" x14ac:dyDescent="0.25">
      <c r="A8741" t="s">
        <v>8</v>
      </c>
      <c r="B8741" s="1" t="str">
        <f>"000216906 - RICH FOODS BB-FOODBUY"</f>
        <v>000216906 - RICH FOODS BB-FOODBUY</v>
      </c>
      <c r="C8741" t="s">
        <v>209</v>
      </c>
      <c r="D8741" s="1" t="str">
        <f t="shared" si="241"/>
        <v>PRG-1032567</v>
      </c>
      <c r="E8741" t="s">
        <v>147</v>
      </c>
      <c r="F8741" t="s">
        <v>4</v>
      </c>
      <c r="G8741" t="str">
        <f>""</f>
        <v/>
      </c>
    </row>
    <row r="8742" spans="1:7" x14ac:dyDescent="0.25">
      <c r="A8742" t="s">
        <v>8</v>
      </c>
      <c r="B8742" s="1" t="str">
        <f>"000217753 - RICH FOODS BB-FOODBUY"</f>
        <v>000217753 - RICH FOODS BB-FOODBUY</v>
      </c>
      <c r="C8742" t="s">
        <v>209</v>
      </c>
      <c r="D8742" s="1" t="str">
        <f t="shared" si="241"/>
        <v>PRG-1032567</v>
      </c>
      <c r="E8742" t="s">
        <v>147</v>
      </c>
      <c r="F8742" t="s">
        <v>4</v>
      </c>
      <c r="G8742" t="str">
        <f>""</f>
        <v/>
      </c>
    </row>
    <row r="8743" spans="1:7" x14ac:dyDescent="0.25">
      <c r="A8743" t="s">
        <v>8</v>
      </c>
      <c r="B8743" s="1" t="str">
        <f>"000221077 - RICH FOODS BB-FOODBUY"</f>
        <v>000221077 - RICH FOODS BB-FOODBUY</v>
      </c>
      <c r="C8743" t="s">
        <v>209</v>
      </c>
      <c r="D8743" s="1" t="str">
        <f t="shared" si="241"/>
        <v>PRG-1032567</v>
      </c>
      <c r="E8743" t="s">
        <v>147</v>
      </c>
      <c r="F8743" t="s">
        <v>4</v>
      </c>
      <c r="G8743" t="str">
        <f>""</f>
        <v/>
      </c>
    </row>
    <row r="8744" spans="1:7" x14ac:dyDescent="0.25">
      <c r="A8744" t="s">
        <v>8</v>
      </c>
      <c r="B8744" s="1" t="str">
        <f>"000221470 - RICH FOODS BB-FOODBUY"</f>
        <v>000221470 - RICH FOODS BB-FOODBUY</v>
      </c>
      <c r="C8744" t="s">
        <v>209</v>
      </c>
      <c r="D8744" s="1" t="str">
        <f t="shared" si="241"/>
        <v>PRG-1032567</v>
      </c>
      <c r="E8744" t="s">
        <v>147</v>
      </c>
      <c r="F8744" t="s">
        <v>4</v>
      </c>
      <c r="G8744" t="str">
        <f>""</f>
        <v/>
      </c>
    </row>
    <row r="8745" spans="1:7" x14ac:dyDescent="0.25">
      <c r="A8745" t="s">
        <v>8</v>
      </c>
      <c r="B8745" s="1" t="str">
        <f>"000221519 - RICH FOODS BB-FOODBUY"</f>
        <v>000221519 - RICH FOODS BB-FOODBUY</v>
      </c>
      <c r="C8745" t="s">
        <v>209</v>
      </c>
      <c r="D8745" s="1" t="str">
        <f t="shared" si="241"/>
        <v>PRG-1032567</v>
      </c>
      <c r="E8745" t="s">
        <v>147</v>
      </c>
      <c r="F8745" t="s">
        <v>4</v>
      </c>
      <c r="G8745" t="str">
        <f>""</f>
        <v/>
      </c>
    </row>
    <row r="8746" spans="1:7" x14ac:dyDescent="0.25">
      <c r="A8746" t="s">
        <v>8</v>
      </c>
      <c r="B8746" s="1" t="str">
        <f>"000222397 - RICH FOODS BB-FOODBUY"</f>
        <v>000222397 - RICH FOODS BB-FOODBUY</v>
      </c>
      <c r="C8746" t="s">
        <v>209</v>
      </c>
      <c r="D8746" s="1" t="str">
        <f t="shared" si="241"/>
        <v>PRG-1032567</v>
      </c>
      <c r="E8746" t="s">
        <v>147</v>
      </c>
      <c r="F8746" t="s">
        <v>4</v>
      </c>
      <c r="G8746" t="str">
        <f>""</f>
        <v/>
      </c>
    </row>
    <row r="8747" spans="1:7" x14ac:dyDescent="0.25">
      <c r="A8747" t="s">
        <v>8</v>
      </c>
      <c r="B8747" s="1" t="str">
        <f>"000222535 - RICH FOODS BB-FOODBUY"</f>
        <v>000222535 - RICH FOODS BB-FOODBUY</v>
      </c>
      <c r="C8747" t="s">
        <v>209</v>
      </c>
      <c r="D8747" s="1" t="str">
        <f t="shared" si="241"/>
        <v>PRG-1032567</v>
      </c>
      <c r="E8747" t="s">
        <v>147</v>
      </c>
      <c r="F8747" t="s">
        <v>4</v>
      </c>
      <c r="G8747" t="str">
        <f>""</f>
        <v/>
      </c>
    </row>
    <row r="8748" spans="1:7" x14ac:dyDescent="0.25">
      <c r="A8748" t="s">
        <v>8</v>
      </c>
      <c r="B8748" s="1" t="str">
        <f>"000222975 - RICH FOODS BB-FOODBUY"</f>
        <v>000222975 - RICH FOODS BB-FOODBUY</v>
      </c>
      <c r="C8748" t="s">
        <v>209</v>
      </c>
      <c r="D8748" s="1" t="str">
        <f t="shared" si="241"/>
        <v>PRG-1032567</v>
      </c>
      <c r="E8748" t="s">
        <v>147</v>
      </c>
      <c r="F8748" t="s">
        <v>4</v>
      </c>
      <c r="G8748" t="str">
        <f>""</f>
        <v/>
      </c>
    </row>
    <row r="8749" spans="1:7" x14ac:dyDescent="0.25">
      <c r="A8749" t="s">
        <v>8</v>
      </c>
      <c r="B8749" s="1" t="str">
        <f>"000224094 - RICH FOODS BB-FOODBUY"</f>
        <v>000224094 - RICH FOODS BB-FOODBUY</v>
      </c>
      <c r="C8749" t="s">
        <v>209</v>
      </c>
      <c r="D8749" s="1" t="str">
        <f t="shared" si="241"/>
        <v>PRG-1032567</v>
      </c>
      <c r="E8749" t="s">
        <v>147</v>
      </c>
      <c r="F8749" t="s">
        <v>4</v>
      </c>
      <c r="G8749" t="str">
        <f>""</f>
        <v/>
      </c>
    </row>
    <row r="8750" spans="1:7" x14ac:dyDescent="0.25">
      <c r="A8750" t="s">
        <v>8</v>
      </c>
      <c r="B8750" s="1" t="str">
        <f>"000224120 - BB FDBY FOB RICHS"</f>
        <v>000224120 - BB FDBY FOB RICHS</v>
      </c>
      <c r="C8750" t="s">
        <v>1488</v>
      </c>
      <c r="D8750" s="1" t="str">
        <f t="shared" si="241"/>
        <v>PRG-1032567</v>
      </c>
      <c r="E8750" t="s">
        <v>147</v>
      </c>
      <c r="F8750" t="s">
        <v>4</v>
      </c>
      <c r="G8750" t="str">
        <f>""</f>
        <v/>
      </c>
    </row>
    <row r="8751" spans="1:7" x14ac:dyDescent="0.25">
      <c r="A8751" t="s">
        <v>8</v>
      </c>
      <c r="B8751" s="1" t="str">
        <f>"000224356 - RICH FOODS BB-FOODBUY"</f>
        <v>000224356 - RICH FOODS BB-FOODBUY</v>
      </c>
      <c r="C8751" t="s">
        <v>209</v>
      </c>
      <c r="D8751" s="1" t="str">
        <f t="shared" si="241"/>
        <v>PRG-1032567</v>
      </c>
      <c r="E8751" t="s">
        <v>147</v>
      </c>
      <c r="F8751" t="s">
        <v>4</v>
      </c>
      <c r="G8751" t="str">
        <f>""</f>
        <v/>
      </c>
    </row>
    <row r="8752" spans="1:7" x14ac:dyDescent="0.25">
      <c r="A8752" t="s">
        <v>8</v>
      </c>
      <c r="B8752" s="1" t="str">
        <f>"000224822 - RICH FOODS BB-FOODBUY"</f>
        <v>000224822 - RICH FOODS BB-FOODBUY</v>
      </c>
      <c r="C8752" t="s">
        <v>209</v>
      </c>
      <c r="D8752" s="1" t="str">
        <f t="shared" si="241"/>
        <v>PRG-1032567</v>
      </c>
      <c r="E8752" t="s">
        <v>147</v>
      </c>
      <c r="F8752" t="s">
        <v>4</v>
      </c>
      <c r="G8752" t="str">
        <f>""</f>
        <v/>
      </c>
    </row>
    <row r="8753" spans="1:7" x14ac:dyDescent="0.25">
      <c r="A8753" t="s">
        <v>8</v>
      </c>
      <c r="B8753" s="1" t="str">
        <f>"000225086 - RICH FOODS BB-FOODBUY"</f>
        <v>000225086 - RICH FOODS BB-FOODBUY</v>
      </c>
      <c r="C8753" t="s">
        <v>209</v>
      </c>
      <c r="D8753" s="1" t="str">
        <f t="shared" si="241"/>
        <v>PRG-1032567</v>
      </c>
      <c r="E8753" t="s">
        <v>147</v>
      </c>
      <c r="F8753" t="s">
        <v>4</v>
      </c>
      <c r="G8753" t="str">
        <f>""</f>
        <v/>
      </c>
    </row>
    <row r="8754" spans="1:7" x14ac:dyDescent="0.25">
      <c r="A8754" t="s">
        <v>8</v>
      </c>
      <c r="B8754" s="1" t="str">
        <f>"000226586 - RICH'S (NCOR) RUTHS CHRIS"</f>
        <v>000226586 - RICH'S (NCOR) RUTHS CHRIS</v>
      </c>
      <c r="C8754" t="s">
        <v>1697</v>
      </c>
      <c r="D8754" s="1" t="str">
        <f t="shared" si="241"/>
        <v>PRG-1032567</v>
      </c>
      <c r="E8754" t="s">
        <v>147</v>
      </c>
      <c r="F8754" t="s">
        <v>4</v>
      </c>
      <c r="G8754" t="str">
        <f>""</f>
        <v/>
      </c>
    </row>
    <row r="8755" spans="1:7" x14ac:dyDescent="0.25">
      <c r="A8755" t="s">
        <v>8</v>
      </c>
      <c r="B8755" s="1" t="str">
        <f>"000226848 - RICH FOODS BB-FOODBUY"</f>
        <v>000226848 - RICH FOODS BB-FOODBUY</v>
      </c>
      <c r="C8755" t="s">
        <v>209</v>
      </c>
      <c r="D8755" s="1" t="str">
        <f t="shared" si="241"/>
        <v>PRG-1032567</v>
      </c>
      <c r="E8755" t="s">
        <v>147</v>
      </c>
      <c r="F8755" t="s">
        <v>4</v>
      </c>
      <c r="G8755" t="str">
        <f>""</f>
        <v/>
      </c>
    </row>
    <row r="8756" spans="1:7" x14ac:dyDescent="0.25">
      <c r="A8756" t="s">
        <v>8</v>
      </c>
      <c r="B8756" s="1" t="str">
        <f>"000227638 - RICH FOODS BB-FOODBUY"</f>
        <v>000227638 - RICH FOODS BB-FOODBUY</v>
      </c>
      <c r="C8756" t="s">
        <v>209</v>
      </c>
      <c r="D8756" s="1" t="str">
        <f t="shared" ref="D8756:D8819" si="242">"PRG-1032567"</f>
        <v>PRG-1032567</v>
      </c>
      <c r="E8756" t="s">
        <v>147</v>
      </c>
      <c r="F8756" t="s">
        <v>4</v>
      </c>
      <c r="G8756" t="str">
        <f>""</f>
        <v/>
      </c>
    </row>
    <row r="8757" spans="1:7" x14ac:dyDescent="0.25">
      <c r="A8757" t="s">
        <v>8</v>
      </c>
      <c r="B8757" s="1" t="str">
        <f>"000227998 - RICH FOODS BB-FOODBUY"</f>
        <v>000227998 - RICH FOODS BB-FOODBUY</v>
      </c>
      <c r="C8757" t="s">
        <v>209</v>
      </c>
      <c r="D8757" s="1" t="str">
        <f t="shared" si="242"/>
        <v>PRG-1032567</v>
      </c>
      <c r="E8757" t="s">
        <v>147</v>
      </c>
      <c r="F8757" t="s">
        <v>4</v>
      </c>
      <c r="G8757" t="str">
        <f>""</f>
        <v/>
      </c>
    </row>
    <row r="8758" spans="1:7" x14ac:dyDescent="0.25">
      <c r="A8758" t="s">
        <v>8</v>
      </c>
      <c r="B8758" s="1" t="str">
        <f>"000228050 - BB FDBY FOB RICH"</f>
        <v>000228050 - BB FDBY FOB RICH</v>
      </c>
      <c r="C8758" t="s">
        <v>1248</v>
      </c>
      <c r="D8758" s="1" t="str">
        <f t="shared" si="242"/>
        <v>PRG-1032567</v>
      </c>
      <c r="E8758" t="s">
        <v>147</v>
      </c>
      <c r="F8758" t="s">
        <v>4</v>
      </c>
      <c r="G8758" t="str">
        <f>""</f>
        <v/>
      </c>
    </row>
    <row r="8759" spans="1:7" x14ac:dyDescent="0.25">
      <c r="A8759" t="s">
        <v>8</v>
      </c>
      <c r="B8759" s="1" t="str">
        <f>"000228895 - BB FDBY FOB RICH"</f>
        <v>000228895 - BB FDBY FOB RICH</v>
      </c>
      <c r="C8759" t="s">
        <v>1248</v>
      </c>
      <c r="D8759" s="1" t="str">
        <f t="shared" si="242"/>
        <v>PRG-1032567</v>
      </c>
      <c r="E8759" t="s">
        <v>147</v>
      </c>
      <c r="F8759" t="s">
        <v>4</v>
      </c>
      <c r="G8759" t="str">
        <f>""</f>
        <v/>
      </c>
    </row>
    <row r="8760" spans="1:7" x14ac:dyDescent="0.25">
      <c r="A8760" t="s">
        <v>8</v>
      </c>
      <c r="B8760" s="1" t="str">
        <f>"000230514 - RICHS FOODS BB-FOODBUY"</f>
        <v>000230514 - RICHS FOODS BB-FOODBUY</v>
      </c>
      <c r="C8760" t="s">
        <v>393</v>
      </c>
      <c r="D8760" s="1" t="str">
        <f t="shared" si="242"/>
        <v>PRG-1032567</v>
      </c>
      <c r="E8760" t="s">
        <v>147</v>
      </c>
      <c r="F8760" t="s">
        <v>4</v>
      </c>
      <c r="G8760" t="str">
        <f>""</f>
        <v/>
      </c>
    </row>
    <row r="8761" spans="1:7" x14ac:dyDescent="0.25">
      <c r="A8761" t="s">
        <v>8</v>
      </c>
      <c r="B8761" s="1" t="str">
        <f>"000230544 - RICHS (NCOR) RUTHS CHRIS"</f>
        <v>000230544 - RICHS (NCOR) RUTHS CHRIS</v>
      </c>
      <c r="C8761" t="s">
        <v>1750</v>
      </c>
      <c r="D8761" s="1" t="str">
        <f t="shared" si="242"/>
        <v>PRG-1032567</v>
      </c>
      <c r="E8761" t="s">
        <v>147</v>
      </c>
      <c r="F8761" t="s">
        <v>4</v>
      </c>
      <c r="G8761" t="str">
        <f>""</f>
        <v/>
      </c>
    </row>
    <row r="8762" spans="1:7" x14ac:dyDescent="0.25">
      <c r="A8762" t="s">
        <v>8</v>
      </c>
      <c r="B8762" s="1" t="str">
        <f>"000230847 - RICHS FOODS BB-FOODBUY"</f>
        <v>000230847 - RICHS FOODS BB-FOODBUY</v>
      </c>
      <c r="C8762" t="s">
        <v>393</v>
      </c>
      <c r="D8762" s="1" t="str">
        <f t="shared" si="242"/>
        <v>PRG-1032567</v>
      </c>
      <c r="E8762" t="s">
        <v>147</v>
      </c>
      <c r="F8762" t="s">
        <v>4</v>
      </c>
      <c r="G8762" t="str">
        <f>""</f>
        <v/>
      </c>
    </row>
    <row r="8763" spans="1:7" x14ac:dyDescent="0.25">
      <c r="A8763" t="s">
        <v>8</v>
      </c>
      <c r="B8763" s="1" t="str">
        <f>"000231410 - RICH FOODS BB-FOODBUY"</f>
        <v>000231410 - RICH FOODS BB-FOODBUY</v>
      </c>
      <c r="C8763" t="s">
        <v>209</v>
      </c>
      <c r="D8763" s="1" t="str">
        <f t="shared" si="242"/>
        <v>PRG-1032567</v>
      </c>
      <c r="E8763" t="s">
        <v>147</v>
      </c>
      <c r="F8763" t="s">
        <v>4</v>
      </c>
      <c r="G8763" t="str">
        <f>""</f>
        <v/>
      </c>
    </row>
    <row r="8764" spans="1:7" x14ac:dyDescent="0.25">
      <c r="A8764" t="s">
        <v>8</v>
      </c>
      <c r="B8764" s="1" t="str">
        <f>"000232298 - RICH BREAD &amp; ROLLS-SODEXO"</f>
        <v>000232298 - RICH BREAD &amp; ROLLS-SODEXO</v>
      </c>
      <c r="C8764" t="s">
        <v>141</v>
      </c>
      <c r="D8764" s="1" t="str">
        <f t="shared" si="242"/>
        <v>PRG-1032567</v>
      </c>
      <c r="E8764" t="s">
        <v>147</v>
      </c>
      <c r="F8764" t="s">
        <v>4</v>
      </c>
      <c r="G8764" t="str">
        <f>""</f>
        <v/>
      </c>
    </row>
    <row r="8765" spans="1:7" x14ac:dyDescent="0.25">
      <c r="A8765" t="s">
        <v>8</v>
      </c>
      <c r="B8765" s="1" t="str">
        <f>"000232366 - BB FDBY FOB RICH"</f>
        <v>000232366 - BB FDBY FOB RICH</v>
      </c>
      <c r="C8765" t="s">
        <v>1248</v>
      </c>
      <c r="D8765" s="1" t="str">
        <f t="shared" si="242"/>
        <v>PRG-1032567</v>
      </c>
      <c r="E8765" t="s">
        <v>147</v>
      </c>
      <c r="F8765" t="s">
        <v>4</v>
      </c>
      <c r="G8765" t="str">
        <f>""</f>
        <v/>
      </c>
    </row>
    <row r="8766" spans="1:7" x14ac:dyDescent="0.25">
      <c r="A8766" t="s">
        <v>8</v>
      </c>
      <c r="B8766" s="1" t="str">
        <f>"000232469 - RICH FOODS BB-FOODBUY"</f>
        <v>000232469 - RICH FOODS BB-FOODBUY</v>
      </c>
      <c r="C8766" t="s">
        <v>209</v>
      </c>
      <c r="D8766" s="1" t="str">
        <f t="shared" si="242"/>
        <v>PRG-1032567</v>
      </c>
      <c r="E8766" t="s">
        <v>147</v>
      </c>
      <c r="F8766" t="s">
        <v>4</v>
      </c>
      <c r="G8766" t="str">
        <f>""</f>
        <v/>
      </c>
    </row>
    <row r="8767" spans="1:7" x14ac:dyDescent="0.25">
      <c r="A8767" t="s">
        <v>8</v>
      </c>
      <c r="B8767" s="1" t="str">
        <f>"000233184 - RICH FOODS BB-FOODBUY"</f>
        <v>000233184 - RICH FOODS BB-FOODBUY</v>
      </c>
      <c r="C8767" t="s">
        <v>209</v>
      </c>
      <c r="D8767" s="1" t="str">
        <f t="shared" si="242"/>
        <v>PRG-1032567</v>
      </c>
      <c r="E8767" t="s">
        <v>147</v>
      </c>
      <c r="F8767" t="s">
        <v>4</v>
      </c>
      <c r="G8767" t="str">
        <f>""</f>
        <v/>
      </c>
    </row>
    <row r="8768" spans="1:7" x14ac:dyDescent="0.25">
      <c r="A8768" t="s">
        <v>8</v>
      </c>
      <c r="B8768" s="1" t="str">
        <f>"000233248 - RICH FOODS BB-FOODBUY"</f>
        <v>000233248 - RICH FOODS BB-FOODBUY</v>
      </c>
      <c r="C8768" t="s">
        <v>209</v>
      </c>
      <c r="D8768" s="1" t="str">
        <f t="shared" si="242"/>
        <v>PRG-1032567</v>
      </c>
      <c r="E8768" t="s">
        <v>147</v>
      </c>
      <c r="F8768" t="s">
        <v>4</v>
      </c>
      <c r="G8768" t="str">
        <f>""</f>
        <v/>
      </c>
    </row>
    <row r="8769" spans="1:7" x14ac:dyDescent="0.25">
      <c r="A8769" t="s">
        <v>8</v>
      </c>
      <c r="B8769" s="1" t="str">
        <f>"000233794 - RICH FOODS BB-FOODBUY"</f>
        <v>000233794 - RICH FOODS BB-FOODBUY</v>
      </c>
      <c r="C8769" t="s">
        <v>209</v>
      </c>
      <c r="D8769" s="1" t="str">
        <f t="shared" si="242"/>
        <v>PRG-1032567</v>
      </c>
      <c r="E8769" t="s">
        <v>147</v>
      </c>
      <c r="F8769" t="s">
        <v>4</v>
      </c>
      <c r="G8769" t="str">
        <f>""</f>
        <v/>
      </c>
    </row>
    <row r="8770" spans="1:7" x14ac:dyDescent="0.25">
      <c r="A8770" t="s">
        <v>8</v>
      </c>
      <c r="B8770" s="1" t="str">
        <f>"000233809 - RICH FOODS BB-FOODBUY"</f>
        <v>000233809 - RICH FOODS BB-FOODBUY</v>
      </c>
      <c r="C8770" t="s">
        <v>209</v>
      </c>
      <c r="D8770" s="1" t="str">
        <f t="shared" si="242"/>
        <v>PRG-1032567</v>
      </c>
      <c r="E8770" t="s">
        <v>147</v>
      </c>
      <c r="F8770" t="s">
        <v>4</v>
      </c>
      <c r="G8770" t="str">
        <f>""</f>
        <v/>
      </c>
    </row>
    <row r="8771" spans="1:7" x14ac:dyDescent="0.25">
      <c r="A8771" t="s">
        <v>8</v>
      </c>
      <c r="B8771" s="1" t="str">
        <f>"000233923 - RICH FOODS BB-FOODBUY"</f>
        <v>000233923 - RICH FOODS BB-FOODBUY</v>
      </c>
      <c r="C8771" t="s">
        <v>209</v>
      </c>
      <c r="D8771" s="1" t="str">
        <f t="shared" si="242"/>
        <v>PRG-1032567</v>
      </c>
      <c r="E8771" t="s">
        <v>147</v>
      </c>
      <c r="F8771" t="s">
        <v>4</v>
      </c>
      <c r="G8771" t="str">
        <f>""</f>
        <v/>
      </c>
    </row>
    <row r="8772" spans="1:7" x14ac:dyDescent="0.25">
      <c r="A8772" t="s">
        <v>8</v>
      </c>
      <c r="B8772" s="1" t="str">
        <f>"000233940 - RICH FOODS BB-FOODBUY"</f>
        <v>000233940 - RICH FOODS BB-FOODBUY</v>
      </c>
      <c r="C8772" t="s">
        <v>209</v>
      </c>
      <c r="D8772" s="1" t="str">
        <f t="shared" si="242"/>
        <v>PRG-1032567</v>
      </c>
      <c r="E8772" t="s">
        <v>147</v>
      </c>
      <c r="F8772" t="s">
        <v>4</v>
      </c>
      <c r="G8772" t="str">
        <f>""</f>
        <v/>
      </c>
    </row>
    <row r="8773" spans="1:7" x14ac:dyDescent="0.25">
      <c r="A8773" t="s">
        <v>8</v>
      </c>
      <c r="B8773" s="1" t="str">
        <f>"000234089 - RICH FOODS BB-FOODBUY"</f>
        <v>000234089 - RICH FOODS BB-FOODBUY</v>
      </c>
      <c r="C8773" t="s">
        <v>209</v>
      </c>
      <c r="D8773" s="1" t="str">
        <f t="shared" si="242"/>
        <v>PRG-1032567</v>
      </c>
      <c r="E8773" t="s">
        <v>147</v>
      </c>
      <c r="F8773" t="s">
        <v>4</v>
      </c>
      <c r="G8773" t="str">
        <f>""</f>
        <v/>
      </c>
    </row>
    <row r="8774" spans="1:7" x14ac:dyDescent="0.25">
      <c r="A8774" t="s">
        <v>8</v>
      </c>
      <c r="B8774" s="1" t="str">
        <f>"000234090 - RICH FOODS BB-FOODBUY"</f>
        <v>000234090 - RICH FOODS BB-FOODBUY</v>
      </c>
      <c r="C8774" t="s">
        <v>209</v>
      </c>
      <c r="D8774" s="1" t="str">
        <f t="shared" si="242"/>
        <v>PRG-1032567</v>
      </c>
      <c r="E8774" t="s">
        <v>147</v>
      </c>
      <c r="F8774" t="s">
        <v>4</v>
      </c>
      <c r="G8774" t="str">
        <f>""</f>
        <v/>
      </c>
    </row>
    <row r="8775" spans="1:7" x14ac:dyDescent="0.25">
      <c r="A8775" t="s">
        <v>8</v>
      </c>
      <c r="B8775" s="1" t="str">
        <f>"000234293 - RICHS FOODS BB-FOODBUY"</f>
        <v>000234293 - RICHS FOODS BB-FOODBUY</v>
      </c>
      <c r="C8775" t="s">
        <v>393</v>
      </c>
      <c r="D8775" s="1" t="str">
        <f t="shared" si="242"/>
        <v>PRG-1032567</v>
      </c>
      <c r="E8775" t="s">
        <v>147</v>
      </c>
      <c r="F8775" t="s">
        <v>4</v>
      </c>
      <c r="G8775" t="str">
        <f>""</f>
        <v/>
      </c>
    </row>
    <row r="8776" spans="1:7" x14ac:dyDescent="0.25">
      <c r="A8776" t="s">
        <v>8</v>
      </c>
      <c r="B8776" s="1" t="str">
        <f>"000234388 - RICH FOODS BB-FOODBUY"</f>
        <v>000234388 - RICH FOODS BB-FOODBUY</v>
      </c>
      <c r="C8776" t="s">
        <v>209</v>
      </c>
      <c r="D8776" s="1" t="str">
        <f t="shared" si="242"/>
        <v>PRG-1032567</v>
      </c>
      <c r="E8776" t="s">
        <v>147</v>
      </c>
      <c r="F8776" t="s">
        <v>4</v>
      </c>
      <c r="G8776" t="str">
        <f>""</f>
        <v/>
      </c>
    </row>
    <row r="8777" spans="1:7" x14ac:dyDescent="0.25">
      <c r="A8777" t="s">
        <v>8</v>
      </c>
      <c r="B8777" s="1" t="str">
        <f>"000234403 - RICH FOODS BB-FOODBUY"</f>
        <v>000234403 - RICH FOODS BB-FOODBUY</v>
      </c>
      <c r="C8777" t="s">
        <v>209</v>
      </c>
      <c r="D8777" s="1" t="str">
        <f t="shared" si="242"/>
        <v>PRG-1032567</v>
      </c>
      <c r="E8777" t="s">
        <v>147</v>
      </c>
      <c r="F8777" t="s">
        <v>4</v>
      </c>
      <c r="G8777" t="str">
        <f>""</f>
        <v/>
      </c>
    </row>
    <row r="8778" spans="1:7" x14ac:dyDescent="0.25">
      <c r="A8778" t="s">
        <v>8</v>
      </c>
      <c r="B8778" s="1" t="str">
        <f>"000235052 - RICH FOODS BB-FOODBUY"</f>
        <v>000235052 - RICH FOODS BB-FOODBUY</v>
      </c>
      <c r="C8778" t="s">
        <v>209</v>
      </c>
      <c r="D8778" s="1" t="str">
        <f t="shared" si="242"/>
        <v>PRG-1032567</v>
      </c>
      <c r="E8778" t="s">
        <v>147</v>
      </c>
      <c r="F8778" t="s">
        <v>4</v>
      </c>
      <c r="G8778" t="str">
        <f>""</f>
        <v/>
      </c>
    </row>
    <row r="8779" spans="1:7" x14ac:dyDescent="0.25">
      <c r="A8779" t="s">
        <v>8</v>
      </c>
      <c r="B8779" s="1" t="str">
        <f>"000235109 - RICH FOODS BB-FOODBUY"</f>
        <v>000235109 - RICH FOODS BB-FOODBUY</v>
      </c>
      <c r="C8779" t="s">
        <v>209</v>
      </c>
      <c r="D8779" s="1" t="str">
        <f t="shared" si="242"/>
        <v>PRG-1032567</v>
      </c>
      <c r="E8779" t="s">
        <v>147</v>
      </c>
      <c r="F8779" t="s">
        <v>4</v>
      </c>
      <c r="G8779" t="str">
        <f>""</f>
        <v/>
      </c>
    </row>
    <row r="8780" spans="1:7" x14ac:dyDescent="0.25">
      <c r="A8780" t="s">
        <v>8</v>
      </c>
      <c r="B8780" s="1" t="str">
        <f>"000235183 - RICH FOODS BB-FOODBUY"</f>
        <v>000235183 - RICH FOODS BB-FOODBUY</v>
      </c>
      <c r="C8780" t="s">
        <v>209</v>
      </c>
      <c r="D8780" s="1" t="str">
        <f t="shared" si="242"/>
        <v>PRG-1032567</v>
      </c>
      <c r="E8780" t="s">
        <v>147</v>
      </c>
      <c r="F8780" t="s">
        <v>4</v>
      </c>
      <c r="G8780" t="str">
        <f>""</f>
        <v/>
      </c>
    </row>
    <row r="8781" spans="1:7" x14ac:dyDescent="0.25">
      <c r="A8781" t="s">
        <v>8</v>
      </c>
      <c r="B8781" s="1" t="str">
        <f>"000235525 - BB FDBY FOB RICH"</f>
        <v>000235525 - BB FDBY FOB RICH</v>
      </c>
      <c r="C8781" t="s">
        <v>1248</v>
      </c>
      <c r="D8781" s="1" t="str">
        <f t="shared" si="242"/>
        <v>PRG-1032567</v>
      </c>
      <c r="E8781" t="s">
        <v>147</v>
      </c>
      <c r="F8781" t="s">
        <v>4</v>
      </c>
      <c r="G8781" t="str">
        <f>""</f>
        <v/>
      </c>
    </row>
    <row r="8782" spans="1:7" x14ac:dyDescent="0.25">
      <c r="A8782" t="s">
        <v>8</v>
      </c>
      <c r="B8782" s="1" t="str">
        <f>"000235722 - RICH FOODS BB-FOODBUY"</f>
        <v>000235722 - RICH FOODS BB-FOODBUY</v>
      </c>
      <c r="C8782" t="s">
        <v>209</v>
      </c>
      <c r="D8782" s="1" t="str">
        <f t="shared" si="242"/>
        <v>PRG-1032567</v>
      </c>
      <c r="E8782" t="s">
        <v>147</v>
      </c>
      <c r="F8782" t="s">
        <v>4</v>
      </c>
      <c r="G8782" t="str">
        <f>""</f>
        <v/>
      </c>
    </row>
    <row r="8783" spans="1:7" x14ac:dyDescent="0.25">
      <c r="A8783" t="s">
        <v>8</v>
      </c>
      <c r="B8783" s="1" t="str">
        <f>"000235755 - RICH FOODS BB-FOODBUY"</f>
        <v>000235755 - RICH FOODS BB-FOODBUY</v>
      </c>
      <c r="C8783" t="s">
        <v>209</v>
      </c>
      <c r="D8783" s="1" t="str">
        <f t="shared" si="242"/>
        <v>PRG-1032567</v>
      </c>
      <c r="E8783" t="s">
        <v>147</v>
      </c>
      <c r="F8783" t="s">
        <v>4</v>
      </c>
      <c r="G8783" t="str">
        <f>""</f>
        <v/>
      </c>
    </row>
    <row r="8784" spans="1:7" x14ac:dyDescent="0.25">
      <c r="A8784" t="s">
        <v>8</v>
      </c>
      <c r="B8784" s="1" t="str">
        <f>"000236094 - RICH FOODS BB-FOODBUY"</f>
        <v>000236094 - RICH FOODS BB-FOODBUY</v>
      </c>
      <c r="C8784" t="s">
        <v>209</v>
      </c>
      <c r="D8784" s="1" t="str">
        <f t="shared" si="242"/>
        <v>PRG-1032567</v>
      </c>
      <c r="E8784" t="s">
        <v>147</v>
      </c>
      <c r="F8784" t="s">
        <v>4</v>
      </c>
      <c r="G8784" t="str">
        <f>""</f>
        <v/>
      </c>
    </row>
    <row r="8785" spans="1:7" x14ac:dyDescent="0.25">
      <c r="A8785" t="s">
        <v>8</v>
      </c>
      <c r="B8785" s="1" t="str">
        <f>"000236669 - RICH FOODS BB-FOODBUY"</f>
        <v>000236669 - RICH FOODS BB-FOODBUY</v>
      </c>
      <c r="C8785" t="s">
        <v>209</v>
      </c>
      <c r="D8785" s="1" t="str">
        <f t="shared" si="242"/>
        <v>PRG-1032567</v>
      </c>
      <c r="E8785" t="s">
        <v>147</v>
      </c>
      <c r="F8785" t="s">
        <v>4</v>
      </c>
      <c r="G8785" t="str">
        <f>""</f>
        <v/>
      </c>
    </row>
    <row r="8786" spans="1:7" x14ac:dyDescent="0.25">
      <c r="A8786" t="s">
        <v>8</v>
      </c>
      <c r="B8786" s="1" t="str">
        <f>"000236678 - RICH FOODS BB-FOODBUY"</f>
        <v>000236678 - RICH FOODS BB-FOODBUY</v>
      </c>
      <c r="C8786" t="s">
        <v>209</v>
      </c>
      <c r="D8786" s="1" t="str">
        <f t="shared" si="242"/>
        <v>PRG-1032567</v>
      </c>
      <c r="E8786" t="s">
        <v>147</v>
      </c>
      <c r="F8786" t="s">
        <v>4</v>
      </c>
      <c r="G8786" t="str">
        <f>""</f>
        <v/>
      </c>
    </row>
    <row r="8787" spans="1:7" x14ac:dyDescent="0.25">
      <c r="A8787" t="s">
        <v>8</v>
      </c>
      <c r="B8787" s="1" t="str">
        <f>"000236858 - RICH FOODS BB-FOODBUY"</f>
        <v>000236858 - RICH FOODS BB-FOODBUY</v>
      </c>
      <c r="C8787" t="s">
        <v>209</v>
      </c>
      <c r="D8787" s="1" t="str">
        <f t="shared" si="242"/>
        <v>PRG-1032567</v>
      </c>
      <c r="E8787" t="s">
        <v>147</v>
      </c>
      <c r="F8787" t="s">
        <v>4</v>
      </c>
      <c r="G8787" t="str">
        <f>""</f>
        <v/>
      </c>
    </row>
    <row r="8788" spans="1:7" x14ac:dyDescent="0.25">
      <c r="A8788" t="s">
        <v>8</v>
      </c>
      <c r="B8788" s="1" t="str">
        <f>"000237161 - RICH FOODS BB-FOODBUY"</f>
        <v>000237161 - RICH FOODS BB-FOODBUY</v>
      </c>
      <c r="C8788" t="s">
        <v>209</v>
      </c>
      <c r="D8788" s="1" t="str">
        <f t="shared" si="242"/>
        <v>PRG-1032567</v>
      </c>
      <c r="E8788" t="s">
        <v>147</v>
      </c>
      <c r="F8788" t="s">
        <v>4</v>
      </c>
      <c r="G8788" t="str">
        <f>""</f>
        <v/>
      </c>
    </row>
    <row r="8789" spans="1:7" x14ac:dyDescent="0.25">
      <c r="A8789" t="s">
        <v>8</v>
      </c>
      <c r="B8789" s="1" t="str">
        <f>"000237370 - RICH FOODS BB-FOODBUY"</f>
        <v>000237370 - RICH FOODS BB-FOODBUY</v>
      </c>
      <c r="C8789" t="s">
        <v>209</v>
      </c>
      <c r="D8789" s="1" t="str">
        <f t="shared" si="242"/>
        <v>PRG-1032567</v>
      </c>
      <c r="E8789" t="s">
        <v>147</v>
      </c>
      <c r="F8789" t="s">
        <v>4</v>
      </c>
      <c r="G8789" t="str">
        <f>""</f>
        <v/>
      </c>
    </row>
    <row r="8790" spans="1:7" x14ac:dyDescent="0.25">
      <c r="A8790" t="s">
        <v>8</v>
      </c>
      <c r="B8790" s="1" t="str">
        <f>"000237666 - RICH FOODS BB-FOODBUY"</f>
        <v>000237666 - RICH FOODS BB-FOODBUY</v>
      </c>
      <c r="C8790" t="s">
        <v>209</v>
      </c>
      <c r="D8790" s="1" t="str">
        <f t="shared" si="242"/>
        <v>PRG-1032567</v>
      </c>
      <c r="E8790" t="s">
        <v>147</v>
      </c>
      <c r="F8790" t="s">
        <v>4</v>
      </c>
      <c r="G8790" t="str">
        <f>""</f>
        <v/>
      </c>
    </row>
    <row r="8791" spans="1:7" x14ac:dyDescent="0.25">
      <c r="A8791" t="s">
        <v>8</v>
      </c>
      <c r="B8791" s="1" t="str">
        <f>"000238019 - RICH FOODS BB-FOODBUY"</f>
        <v>000238019 - RICH FOODS BB-FOODBUY</v>
      </c>
      <c r="C8791" t="s">
        <v>209</v>
      </c>
      <c r="D8791" s="1" t="str">
        <f t="shared" si="242"/>
        <v>PRG-1032567</v>
      </c>
      <c r="E8791" t="s">
        <v>147</v>
      </c>
      <c r="F8791" t="s">
        <v>4</v>
      </c>
      <c r="G8791" t="str">
        <f>""</f>
        <v/>
      </c>
    </row>
    <row r="8792" spans="1:7" x14ac:dyDescent="0.25">
      <c r="A8792" t="s">
        <v>8</v>
      </c>
      <c r="B8792" s="1" t="str">
        <f>"000238148 - RICH FOODS BB-FOODBUY"</f>
        <v>000238148 - RICH FOODS BB-FOODBUY</v>
      </c>
      <c r="C8792" t="s">
        <v>209</v>
      </c>
      <c r="D8792" s="1" t="str">
        <f t="shared" si="242"/>
        <v>PRG-1032567</v>
      </c>
      <c r="E8792" t="s">
        <v>147</v>
      </c>
      <c r="F8792" t="s">
        <v>4</v>
      </c>
      <c r="G8792" t="str">
        <f>""</f>
        <v/>
      </c>
    </row>
    <row r="8793" spans="1:7" x14ac:dyDescent="0.25">
      <c r="A8793" t="s">
        <v>8</v>
      </c>
      <c r="B8793" s="1" t="str">
        <f>"000238202 - RICH FOODS BB-FOODBUY"</f>
        <v>000238202 - RICH FOODS BB-FOODBUY</v>
      </c>
      <c r="C8793" t="s">
        <v>209</v>
      </c>
      <c r="D8793" s="1" t="str">
        <f t="shared" si="242"/>
        <v>PRG-1032567</v>
      </c>
      <c r="E8793" t="s">
        <v>147</v>
      </c>
      <c r="F8793" t="s">
        <v>4</v>
      </c>
      <c r="G8793" t="str">
        <f>""</f>
        <v/>
      </c>
    </row>
    <row r="8794" spans="1:7" x14ac:dyDescent="0.25">
      <c r="A8794" t="s">
        <v>8</v>
      </c>
      <c r="B8794" s="1" t="str">
        <f>"000238392 - RICH FOODS BB-FOODBUY"</f>
        <v>000238392 - RICH FOODS BB-FOODBUY</v>
      </c>
      <c r="C8794" t="s">
        <v>209</v>
      </c>
      <c r="D8794" s="1" t="str">
        <f t="shared" si="242"/>
        <v>PRG-1032567</v>
      </c>
      <c r="E8794" t="s">
        <v>147</v>
      </c>
      <c r="F8794" t="s">
        <v>4</v>
      </c>
      <c r="G8794" t="str">
        <f>""</f>
        <v/>
      </c>
    </row>
    <row r="8795" spans="1:7" x14ac:dyDescent="0.25">
      <c r="A8795" t="s">
        <v>8</v>
      </c>
      <c r="B8795" s="1" t="str">
        <f>"000238411 - RICH FOODS BB-FOODBUY"</f>
        <v>000238411 - RICH FOODS BB-FOODBUY</v>
      </c>
      <c r="C8795" t="s">
        <v>209</v>
      </c>
      <c r="D8795" s="1" t="str">
        <f t="shared" si="242"/>
        <v>PRG-1032567</v>
      </c>
      <c r="E8795" t="s">
        <v>147</v>
      </c>
      <c r="F8795" t="s">
        <v>4</v>
      </c>
      <c r="G8795" t="str">
        <f>""</f>
        <v/>
      </c>
    </row>
    <row r="8796" spans="1:7" x14ac:dyDescent="0.25">
      <c r="A8796" t="s">
        <v>8</v>
      </c>
      <c r="B8796" s="1" t="str">
        <f>"000238700 - MMI HTLCARE RICHS"</f>
        <v>000238700 - MMI HTLCARE RICHS</v>
      </c>
      <c r="C8796" t="s">
        <v>1765</v>
      </c>
      <c r="D8796" s="1" t="str">
        <f t="shared" si="242"/>
        <v>PRG-1032567</v>
      </c>
      <c r="E8796" t="s">
        <v>147</v>
      </c>
      <c r="F8796" t="s">
        <v>4</v>
      </c>
      <c r="G8796" t="str">
        <f>""</f>
        <v/>
      </c>
    </row>
    <row r="8797" spans="1:7" x14ac:dyDescent="0.25">
      <c r="A8797" t="s">
        <v>8</v>
      </c>
      <c r="B8797" s="1" t="str">
        <f>"000238856 - "</f>
        <v xml:space="preserve">000238856 - </v>
      </c>
      <c r="D8797" s="1" t="str">
        <f t="shared" si="242"/>
        <v>PRG-1032567</v>
      </c>
      <c r="E8797" t="s">
        <v>147</v>
      </c>
      <c r="F8797" t="s">
        <v>4</v>
      </c>
      <c r="G8797" t="str">
        <f>""</f>
        <v/>
      </c>
    </row>
    <row r="8798" spans="1:7" x14ac:dyDescent="0.25">
      <c r="A8798" t="s">
        <v>8</v>
      </c>
      <c r="B8798" s="1" t="str">
        <f>"000238872 - RICH FOODS BB-FOODBUY"</f>
        <v>000238872 - RICH FOODS BB-FOODBUY</v>
      </c>
      <c r="C8798" t="s">
        <v>209</v>
      </c>
      <c r="D8798" s="1" t="str">
        <f t="shared" si="242"/>
        <v>PRG-1032567</v>
      </c>
      <c r="E8798" t="s">
        <v>147</v>
      </c>
      <c r="F8798" t="s">
        <v>4</v>
      </c>
      <c r="G8798" t="str">
        <f>""</f>
        <v/>
      </c>
    </row>
    <row r="8799" spans="1:7" x14ac:dyDescent="0.25">
      <c r="A8799" t="s">
        <v>8</v>
      </c>
      <c r="B8799" s="1" t="str">
        <f>"000239704 - RICH FOODS BB-MAX BRENNER"</f>
        <v>000239704 - RICH FOODS BB-MAX BRENNER</v>
      </c>
      <c r="C8799" t="s">
        <v>1602</v>
      </c>
      <c r="D8799" s="1" t="str">
        <f t="shared" si="242"/>
        <v>PRG-1032567</v>
      </c>
      <c r="E8799" t="s">
        <v>147</v>
      </c>
      <c r="F8799" t="s">
        <v>4</v>
      </c>
      <c r="G8799" t="str">
        <f>""</f>
        <v/>
      </c>
    </row>
    <row r="8800" spans="1:7" x14ac:dyDescent="0.25">
      <c r="A8800" t="s">
        <v>8</v>
      </c>
      <c r="B8800" s="1" t="str">
        <f>"000240400 - RICH FOODS BB-FOODBUY"</f>
        <v>000240400 - RICH FOODS BB-FOODBUY</v>
      </c>
      <c r="C8800" t="s">
        <v>209</v>
      </c>
      <c r="D8800" s="1" t="str">
        <f t="shared" si="242"/>
        <v>PRG-1032567</v>
      </c>
      <c r="E8800" t="s">
        <v>147</v>
      </c>
      <c r="F8800" t="s">
        <v>4</v>
      </c>
      <c r="G8800" t="str">
        <f>""</f>
        <v/>
      </c>
    </row>
    <row r="8801" spans="1:7" x14ac:dyDescent="0.25">
      <c r="A8801" t="s">
        <v>8</v>
      </c>
      <c r="B8801" s="1" t="str">
        <f>"000240402 - BB CREATIVE FOB RICH"</f>
        <v>000240402 - BB CREATIVE FOB RICH</v>
      </c>
      <c r="C8801" t="s">
        <v>1905</v>
      </c>
      <c r="D8801" s="1" t="str">
        <f t="shared" si="242"/>
        <v>PRG-1032567</v>
      </c>
      <c r="E8801" t="s">
        <v>147</v>
      </c>
      <c r="F8801" t="s">
        <v>4</v>
      </c>
      <c r="G8801" t="str">
        <f>""</f>
        <v/>
      </c>
    </row>
    <row r="8802" spans="1:7" x14ac:dyDescent="0.25">
      <c r="A8802" t="s">
        <v>8</v>
      </c>
      <c r="B8802" s="1" t="str">
        <f>"000240403 - BB FDBY FOB RICH"</f>
        <v>000240403 - BB FDBY FOB RICH</v>
      </c>
      <c r="C8802" t="s">
        <v>1248</v>
      </c>
      <c r="D8802" s="1" t="str">
        <f t="shared" si="242"/>
        <v>PRG-1032567</v>
      </c>
      <c r="E8802" t="s">
        <v>147</v>
      </c>
      <c r="F8802" t="s">
        <v>4</v>
      </c>
      <c r="G8802" t="str">
        <f>""</f>
        <v/>
      </c>
    </row>
    <row r="8803" spans="1:7" x14ac:dyDescent="0.25">
      <c r="A8803" t="s">
        <v>8</v>
      </c>
      <c r="B8803" s="1" t="str">
        <f>"000240406 - RICH FOODS BB-FOODBUY"</f>
        <v>000240406 - RICH FOODS BB-FOODBUY</v>
      </c>
      <c r="C8803" t="s">
        <v>209</v>
      </c>
      <c r="D8803" s="1" t="str">
        <f t="shared" si="242"/>
        <v>PRG-1032567</v>
      </c>
      <c r="E8803" t="s">
        <v>147</v>
      </c>
      <c r="F8803" t="s">
        <v>4</v>
      </c>
      <c r="G8803" t="str">
        <f>""</f>
        <v/>
      </c>
    </row>
    <row r="8804" spans="1:7" x14ac:dyDescent="0.25">
      <c r="A8804" t="s">
        <v>8</v>
      </c>
      <c r="B8804" s="1" t="str">
        <f>"000240854 - RICH FOODS BB-FOODBUY"</f>
        <v>000240854 - RICH FOODS BB-FOODBUY</v>
      </c>
      <c r="C8804" t="s">
        <v>209</v>
      </c>
      <c r="D8804" s="1" t="str">
        <f t="shared" si="242"/>
        <v>PRG-1032567</v>
      </c>
      <c r="E8804" t="s">
        <v>147</v>
      </c>
      <c r="F8804" t="s">
        <v>4</v>
      </c>
      <c r="G8804" t="str">
        <f>""</f>
        <v/>
      </c>
    </row>
    <row r="8805" spans="1:7" x14ac:dyDescent="0.25">
      <c r="A8805" t="s">
        <v>8</v>
      </c>
      <c r="B8805" s="1" t="str">
        <f>"000241109 - RICH FOODS BB-FOODBUY"</f>
        <v>000241109 - RICH FOODS BB-FOODBUY</v>
      </c>
      <c r="C8805" t="s">
        <v>209</v>
      </c>
      <c r="D8805" s="1" t="str">
        <f t="shared" si="242"/>
        <v>PRG-1032567</v>
      </c>
      <c r="E8805" t="s">
        <v>147</v>
      </c>
      <c r="F8805" t="s">
        <v>4</v>
      </c>
      <c r="G8805" t="str">
        <f>""</f>
        <v/>
      </c>
    </row>
    <row r="8806" spans="1:7" x14ac:dyDescent="0.25">
      <c r="A8806" t="s">
        <v>8</v>
      </c>
      <c r="B8806" s="1" t="str">
        <f>"000241220 - "</f>
        <v xml:space="preserve">000241220 - </v>
      </c>
      <c r="D8806" s="1" t="str">
        <f t="shared" si="242"/>
        <v>PRG-1032567</v>
      </c>
      <c r="E8806" t="s">
        <v>147</v>
      </c>
      <c r="F8806" t="s">
        <v>4</v>
      </c>
      <c r="G8806" t="str">
        <f>""</f>
        <v/>
      </c>
    </row>
    <row r="8807" spans="1:7" x14ac:dyDescent="0.25">
      <c r="A8807" t="s">
        <v>8</v>
      </c>
      <c r="B8807" s="1" t="str">
        <f>"000241287 - "</f>
        <v xml:space="preserve">000241287 - </v>
      </c>
      <c r="D8807" s="1" t="str">
        <f t="shared" si="242"/>
        <v>PRG-1032567</v>
      </c>
      <c r="E8807" t="s">
        <v>147</v>
      </c>
      <c r="F8807" t="s">
        <v>4</v>
      </c>
      <c r="G8807" t="str">
        <f>""</f>
        <v/>
      </c>
    </row>
    <row r="8808" spans="1:7" x14ac:dyDescent="0.25">
      <c r="A8808" t="s">
        <v>8</v>
      </c>
      <c r="B8808" s="1" t="str">
        <f>"000241402 - RICH FOODS BB-FOODBUY"</f>
        <v>000241402 - RICH FOODS BB-FOODBUY</v>
      </c>
      <c r="C8808" t="s">
        <v>209</v>
      </c>
      <c r="D8808" s="1" t="str">
        <f t="shared" si="242"/>
        <v>PRG-1032567</v>
      </c>
      <c r="E8808" t="s">
        <v>147</v>
      </c>
      <c r="F8808" t="s">
        <v>4</v>
      </c>
      <c r="G8808" t="str">
        <f>""</f>
        <v/>
      </c>
    </row>
    <row r="8809" spans="1:7" x14ac:dyDescent="0.25">
      <c r="A8809" t="s">
        <v>8</v>
      </c>
      <c r="B8809" s="1" t="str">
        <f>"000241403 - RICHS FOODS BB-FOODBUY"</f>
        <v>000241403 - RICHS FOODS BB-FOODBUY</v>
      </c>
      <c r="C8809" t="s">
        <v>393</v>
      </c>
      <c r="D8809" s="1" t="str">
        <f t="shared" si="242"/>
        <v>PRG-1032567</v>
      </c>
      <c r="E8809" t="s">
        <v>147</v>
      </c>
      <c r="F8809" t="s">
        <v>4</v>
      </c>
      <c r="G8809" t="str">
        <f>""</f>
        <v/>
      </c>
    </row>
    <row r="8810" spans="1:7" x14ac:dyDescent="0.25">
      <c r="A8810" t="s">
        <v>8</v>
      </c>
      <c r="B8810" s="1" t="str">
        <f>"000242463 - RICH FOODS BB-FOODBUY"</f>
        <v>000242463 - RICH FOODS BB-FOODBUY</v>
      </c>
      <c r="C8810" t="s">
        <v>209</v>
      </c>
      <c r="D8810" s="1" t="str">
        <f t="shared" si="242"/>
        <v>PRG-1032567</v>
      </c>
      <c r="E8810" t="s">
        <v>147</v>
      </c>
      <c r="F8810" t="s">
        <v>4</v>
      </c>
      <c r="G8810" t="str">
        <f>""</f>
        <v/>
      </c>
    </row>
    <row r="8811" spans="1:7" x14ac:dyDescent="0.25">
      <c r="A8811" t="s">
        <v>8</v>
      </c>
      <c r="B8811" s="1" t="str">
        <f>"000243438 - RICH FOODS BB-FOODBUY"</f>
        <v>000243438 - RICH FOODS BB-FOODBUY</v>
      </c>
      <c r="C8811" t="s">
        <v>209</v>
      </c>
      <c r="D8811" s="1" t="str">
        <f t="shared" si="242"/>
        <v>PRG-1032567</v>
      </c>
      <c r="E8811" t="s">
        <v>147</v>
      </c>
      <c r="F8811" t="s">
        <v>4</v>
      </c>
      <c r="G8811" t="str">
        <f>""</f>
        <v/>
      </c>
    </row>
    <row r="8812" spans="1:7" x14ac:dyDescent="0.25">
      <c r="A8812" t="s">
        <v>8</v>
      </c>
      <c r="B8812" s="1" t="str">
        <f>"000243654 - RICH FOODS BB-FOODBUY"</f>
        <v>000243654 - RICH FOODS BB-FOODBUY</v>
      </c>
      <c r="C8812" t="s">
        <v>209</v>
      </c>
      <c r="D8812" s="1" t="str">
        <f t="shared" si="242"/>
        <v>PRG-1032567</v>
      </c>
      <c r="E8812" t="s">
        <v>147</v>
      </c>
      <c r="F8812" t="s">
        <v>4</v>
      </c>
      <c r="G8812" t="str">
        <f>""</f>
        <v/>
      </c>
    </row>
    <row r="8813" spans="1:7" x14ac:dyDescent="0.25">
      <c r="A8813" t="s">
        <v>8</v>
      </c>
      <c r="B8813" s="1" t="str">
        <f>"000243732 - RICH FOODS BB-FOODBUY"</f>
        <v>000243732 - RICH FOODS BB-FOODBUY</v>
      </c>
      <c r="C8813" t="s">
        <v>209</v>
      </c>
      <c r="D8813" s="1" t="str">
        <f t="shared" si="242"/>
        <v>PRG-1032567</v>
      </c>
      <c r="E8813" t="s">
        <v>147</v>
      </c>
      <c r="F8813" t="s">
        <v>4</v>
      </c>
      <c r="G8813" t="str">
        <f>""</f>
        <v/>
      </c>
    </row>
    <row r="8814" spans="1:7" x14ac:dyDescent="0.25">
      <c r="A8814" t="s">
        <v>8</v>
      </c>
      <c r="B8814" s="1" t="str">
        <f>"000244431 - RICH FOODS BB-FOODBUY"</f>
        <v>000244431 - RICH FOODS BB-FOODBUY</v>
      </c>
      <c r="C8814" t="s">
        <v>209</v>
      </c>
      <c r="D8814" s="1" t="str">
        <f t="shared" si="242"/>
        <v>PRG-1032567</v>
      </c>
      <c r="E8814" t="s">
        <v>147</v>
      </c>
      <c r="F8814" t="s">
        <v>4</v>
      </c>
      <c r="G8814" t="str">
        <f>""</f>
        <v/>
      </c>
    </row>
    <row r="8815" spans="1:7" x14ac:dyDescent="0.25">
      <c r="A8815" t="s">
        <v>8</v>
      </c>
      <c r="B8815" s="1" t="str">
        <f>"000244576 - RICH FOODS BB-FOODBUY"</f>
        <v>000244576 - RICH FOODS BB-FOODBUY</v>
      </c>
      <c r="C8815" t="s">
        <v>209</v>
      </c>
      <c r="D8815" s="1" t="str">
        <f t="shared" si="242"/>
        <v>PRG-1032567</v>
      </c>
      <c r="E8815" t="s">
        <v>147</v>
      </c>
      <c r="F8815" t="s">
        <v>4</v>
      </c>
      <c r="G8815" t="str">
        <f>""</f>
        <v/>
      </c>
    </row>
    <row r="8816" spans="1:7" x14ac:dyDescent="0.25">
      <c r="A8816" t="s">
        <v>8</v>
      </c>
      <c r="B8816" s="1" t="str">
        <f>"000244880 - RICH FOODS BB-FOODBUY"</f>
        <v>000244880 - RICH FOODS BB-FOODBUY</v>
      </c>
      <c r="C8816" t="s">
        <v>209</v>
      </c>
      <c r="D8816" s="1" t="str">
        <f t="shared" si="242"/>
        <v>PRG-1032567</v>
      </c>
      <c r="E8816" t="s">
        <v>147</v>
      </c>
      <c r="F8816" t="s">
        <v>4</v>
      </c>
      <c r="G8816" t="str">
        <f>""</f>
        <v/>
      </c>
    </row>
    <row r="8817" spans="1:7" x14ac:dyDescent="0.25">
      <c r="A8817" t="s">
        <v>8</v>
      </c>
      <c r="B8817" s="1" t="str">
        <f>"000245596 - RICH FOODS BB-FOODBUY"</f>
        <v>000245596 - RICH FOODS BB-FOODBUY</v>
      </c>
      <c r="C8817" t="s">
        <v>209</v>
      </c>
      <c r="D8817" s="1" t="str">
        <f t="shared" si="242"/>
        <v>PRG-1032567</v>
      </c>
      <c r="E8817" t="s">
        <v>147</v>
      </c>
      <c r="F8817" t="s">
        <v>4</v>
      </c>
      <c r="G8817" t="str">
        <f>""</f>
        <v/>
      </c>
    </row>
    <row r="8818" spans="1:7" x14ac:dyDescent="0.25">
      <c r="A8818" t="s">
        <v>8</v>
      </c>
      <c r="B8818" s="1" t="str">
        <f>"000245693 - BB FDBY FOB RICH"</f>
        <v>000245693 - BB FDBY FOB RICH</v>
      </c>
      <c r="C8818" t="s">
        <v>1248</v>
      </c>
      <c r="D8818" s="1" t="str">
        <f t="shared" si="242"/>
        <v>PRG-1032567</v>
      </c>
      <c r="E8818" t="s">
        <v>147</v>
      </c>
      <c r="F8818" t="s">
        <v>4</v>
      </c>
      <c r="G8818" t="str">
        <f>""</f>
        <v/>
      </c>
    </row>
    <row r="8819" spans="1:7" x14ac:dyDescent="0.25">
      <c r="A8819" t="s">
        <v>8</v>
      </c>
      <c r="B8819" s="1" t="str">
        <f>"000246245 - "</f>
        <v xml:space="preserve">000246245 - </v>
      </c>
      <c r="D8819" s="1" t="str">
        <f t="shared" si="242"/>
        <v>PRG-1032567</v>
      </c>
      <c r="E8819" t="s">
        <v>147</v>
      </c>
      <c r="F8819" t="s">
        <v>4</v>
      </c>
      <c r="G8819" t="str">
        <f>""</f>
        <v/>
      </c>
    </row>
    <row r="8820" spans="1:7" x14ac:dyDescent="0.25">
      <c r="A8820" t="s">
        <v>8</v>
      </c>
      <c r="B8820" s="1" t="str">
        <f>"000246312 - RICH FOODS BB-FOODBUY"</f>
        <v>000246312 - RICH FOODS BB-FOODBUY</v>
      </c>
      <c r="C8820" t="s">
        <v>209</v>
      </c>
      <c r="D8820" s="1" t="str">
        <f t="shared" ref="D8820:D8883" si="243">"PRG-1032567"</f>
        <v>PRG-1032567</v>
      </c>
      <c r="E8820" t="s">
        <v>147</v>
      </c>
      <c r="F8820" t="s">
        <v>4</v>
      </c>
      <c r="G8820" t="str">
        <f>""</f>
        <v/>
      </c>
    </row>
    <row r="8821" spans="1:7" x14ac:dyDescent="0.25">
      <c r="A8821" t="s">
        <v>8</v>
      </c>
      <c r="B8821" s="1" t="str">
        <f>"000247097 - RICH FOODS BB-FOODBUY"</f>
        <v>000247097 - RICH FOODS BB-FOODBUY</v>
      </c>
      <c r="C8821" t="s">
        <v>209</v>
      </c>
      <c r="D8821" s="1" t="str">
        <f t="shared" si="243"/>
        <v>PRG-1032567</v>
      </c>
      <c r="E8821" t="s">
        <v>147</v>
      </c>
      <c r="F8821" t="s">
        <v>4</v>
      </c>
      <c r="G8821" t="str">
        <f>""</f>
        <v/>
      </c>
    </row>
    <row r="8822" spans="1:7" x14ac:dyDescent="0.25">
      <c r="A8822" t="s">
        <v>8</v>
      </c>
      <c r="B8822" s="1" t="str">
        <f>"000247167 - RICH NCORE-NUTRITION"</f>
        <v>000247167 - RICH NCORE-NUTRITION</v>
      </c>
      <c r="C8822" t="s">
        <v>937</v>
      </c>
      <c r="D8822" s="1" t="str">
        <f t="shared" si="243"/>
        <v>PRG-1032567</v>
      </c>
      <c r="E8822" t="s">
        <v>147</v>
      </c>
      <c r="F8822" t="s">
        <v>4</v>
      </c>
      <c r="G8822" t="str">
        <f>""</f>
        <v/>
      </c>
    </row>
    <row r="8823" spans="1:7" x14ac:dyDescent="0.25">
      <c r="A8823" t="s">
        <v>8</v>
      </c>
      <c r="B8823" s="1" t="str">
        <f>"000247575 - RICH FOODS BB-FOODBUY"</f>
        <v>000247575 - RICH FOODS BB-FOODBUY</v>
      </c>
      <c r="C8823" t="s">
        <v>209</v>
      </c>
      <c r="D8823" s="1" t="str">
        <f t="shared" si="243"/>
        <v>PRG-1032567</v>
      </c>
      <c r="E8823" t="s">
        <v>147</v>
      </c>
      <c r="F8823" t="s">
        <v>4</v>
      </c>
      <c r="G8823" t="str">
        <f>""</f>
        <v/>
      </c>
    </row>
    <row r="8824" spans="1:7" x14ac:dyDescent="0.25">
      <c r="A8824" t="s">
        <v>8</v>
      </c>
      <c r="B8824" s="1" t="str">
        <f>"000248163 - RICH FOODS BB-FOODBUY"</f>
        <v>000248163 - RICH FOODS BB-FOODBUY</v>
      </c>
      <c r="C8824" t="s">
        <v>209</v>
      </c>
      <c r="D8824" s="1" t="str">
        <f t="shared" si="243"/>
        <v>PRG-1032567</v>
      </c>
      <c r="E8824" t="s">
        <v>147</v>
      </c>
      <c r="F8824" t="s">
        <v>4</v>
      </c>
      <c r="G8824" t="str">
        <f>""</f>
        <v/>
      </c>
    </row>
    <row r="8825" spans="1:7" x14ac:dyDescent="0.25">
      <c r="A8825" t="s">
        <v>8</v>
      </c>
      <c r="B8825" s="1" t="str">
        <f>"000248225 - RETRO RICH FOODS-BB FOODBUY"</f>
        <v>000248225 - RETRO RICH FOODS-BB FOODBUY</v>
      </c>
      <c r="C8825" t="s">
        <v>2043</v>
      </c>
      <c r="D8825" s="1" t="str">
        <f t="shared" si="243"/>
        <v>PRG-1032567</v>
      </c>
      <c r="E8825" t="s">
        <v>147</v>
      </c>
      <c r="F8825" t="s">
        <v>4</v>
      </c>
      <c r="G8825" t="str">
        <f>""</f>
        <v/>
      </c>
    </row>
    <row r="8826" spans="1:7" x14ac:dyDescent="0.25">
      <c r="A8826" t="s">
        <v>8</v>
      </c>
      <c r="B8826" s="1" t="str">
        <f>"000248545 - RICH FOODS BB-FOODBUY"</f>
        <v>000248545 - RICH FOODS BB-FOODBUY</v>
      </c>
      <c r="C8826" t="s">
        <v>209</v>
      </c>
      <c r="D8826" s="1" t="str">
        <f t="shared" si="243"/>
        <v>PRG-1032567</v>
      </c>
      <c r="E8826" t="s">
        <v>147</v>
      </c>
      <c r="F8826" t="s">
        <v>4</v>
      </c>
      <c r="G8826" t="str">
        <f>""</f>
        <v/>
      </c>
    </row>
    <row r="8827" spans="1:7" x14ac:dyDescent="0.25">
      <c r="A8827" t="s">
        <v>8</v>
      </c>
      <c r="B8827" s="1" t="str">
        <f>"000249081 - RICH FOODS BB-FOODBUY"</f>
        <v>000249081 - RICH FOODS BB-FOODBUY</v>
      </c>
      <c r="C8827" t="s">
        <v>209</v>
      </c>
      <c r="D8827" s="1" t="str">
        <f t="shared" si="243"/>
        <v>PRG-1032567</v>
      </c>
      <c r="E8827" t="s">
        <v>147</v>
      </c>
      <c r="F8827" t="s">
        <v>4</v>
      </c>
      <c r="G8827" t="str">
        <f>""</f>
        <v/>
      </c>
    </row>
    <row r="8828" spans="1:7" x14ac:dyDescent="0.25">
      <c r="A8828" t="s">
        <v>8</v>
      </c>
      <c r="B8828" s="1" t="str">
        <f>"000249634 - RICH FOODS BB-FOODBUY"</f>
        <v>000249634 - RICH FOODS BB-FOODBUY</v>
      </c>
      <c r="C8828" t="s">
        <v>209</v>
      </c>
      <c r="D8828" s="1" t="str">
        <f t="shared" si="243"/>
        <v>PRG-1032567</v>
      </c>
      <c r="E8828" t="s">
        <v>147</v>
      </c>
      <c r="F8828" t="s">
        <v>4</v>
      </c>
      <c r="G8828" t="str">
        <f>""</f>
        <v/>
      </c>
    </row>
    <row r="8829" spans="1:7" x14ac:dyDescent="0.25">
      <c r="A8829" t="s">
        <v>8</v>
      </c>
      <c r="B8829" s="1" t="str">
        <f>"000249650 - RICH FOODS BB-FOODBUY"</f>
        <v>000249650 - RICH FOODS BB-FOODBUY</v>
      </c>
      <c r="C8829" t="s">
        <v>209</v>
      </c>
      <c r="D8829" s="1" t="str">
        <f t="shared" si="243"/>
        <v>PRG-1032567</v>
      </c>
      <c r="E8829" t="s">
        <v>147</v>
      </c>
      <c r="F8829" t="s">
        <v>4</v>
      </c>
      <c r="G8829" t="str">
        <f>""</f>
        <v/>
      </c>
    </row>
    <row r="8830" spans="1:7" x14ac:dyDescent="0.25">
      <c r="A8830" t="s">
        <v>8</v>
      </c>
      <c r="B8830" s="1" t="str">
        <f>"000250160 - RICH FOODS BB-FOODBUY"</f>
        <v>000250160 - RICH FOODS BB-FOODBUY</v>
      </c>
      <c r="C8830" t="s">
        <v>209</v>
      </c>
      <c r="D8830" s="1" t="str">
        <f t="shared" si="243"/>
        <v>PRG-1032567</v>
      </c>
      <c r="E8830" t="s">
        <v>147</v>
      </c>
      <c r="F8830" t="s">
        <v>4</v>
      </c>
      <c r="G8830" t="str">
        <f>""</f>
        <v/>
      </c>
    </row>
    <row r="8831" spans="1:7" x14ac:dyDescent="0.25">
      <c r="A8831" t="s">
        <v>8</v>
      </c>
      <c r="B8831" s="1" t="str">
        <f>"000250323 - RICH FOODS BB-FOODBUY"</f>
        <v>000250323 - RICH FOODS BB-FOODBUY</v>
      </c>
      <c r="C8831" t="s">
        <v>209</v>
      </c>
      <c r="D8831" s="1" t="str">
        <f t="shared" si="243"/>
        <v>PRG-1032567</v>
      </c>
      <c r="E8831" t="s">
        <v>147</v>
      </c>
      <c r="F8831" t="s">
        <v>4</v>
      </c>
      <c r="G8831" t="str">
        <f>""</f>
        <v/>
      </c>
    </row>
    <row r="8832" spans="1:7" x14ac:dyDescent="0.25">
      <c r="A8832" t="s">
        <v>8</v>
      </c>
      <c r="B8832" s="1" t="str">
        <f>"000250877 - RICHS FOODS BB-FOODBUY"</f>
        <v>000250877 - RICHS FOODS BB-FOODBUY</v>
      </c>
      <c r="C8832" t="s">
        <v>393</v>
      </c>
      <c r="D8832" s="1" t="str">
        <f t="shared" si="243"/>
        <v>PRG-1032567</v>
      </c>
      <c r="E8832" t="s">
        <v>147</v>
      </c>
      <c r="F8832" t="s">
        <v>4</v>
      </c>
      <c r="G8832" t="str">
        <f>""</f>
        <v/>
      </c>
    </row>
    <row r="8833" spans="1:7" x14ac:dyDescent="0.25">
      <c r="A8833" t="s">
        <v>8</v>
      </c>
      <c r="B8833" s="1" t="str">
        <f>"000250949 - RICH FOODS BB-FOODBUY"</f>
        <v>000250949 - RICH FOODS BB-FOODBUY</v>
      </c>
      <c r="C8833" t="s">
        <v>209</v>
      </c>
      <c r="D8833" s="1" t="str">
        <f t="shared" si="243"/>
        <v>PRG-1032567</v>
      </c>
      <c r="E8833" t="s">
        <v>147</v>
      </c>
      <c r="F8833" t="s">
        <v>4</v>
      </c>
      <c r="G8833" t="str">
        <f>""</f>
        <v/>
      </c>
    </row>
    <row r="8834" spans="1:7" x14ac:dyDescent="0.25">
      <c r="A8834" t="s">
        <v>8</v>
      </c>
      <c r="B8834" s="1" t="str">
        <f>"000250981 - "</f>
        <v xml:space="preserve">000250981 - </v>
      </c>
      <c r="D8834" s="1" t="str">
        <f t="shared" si="243"/>
        <v>PRG-1032567</v>
      </c>
      <c r="E8834" t="s">
        <v>147</v>
      </c>
      <c r="F8834" t="s">
        <v>4</v>
      </c>
      <c r="G8834" t="str">
        <f>""</f>
        <v/>
      </c>
    </row>
    <row r="8835" spans="1:7" x14ac:dyDescent="0.25">
      <c r="A8835" t="s">
        <v>8</v>
      </c>
      <c r="B8835" s="1" t="str">
        <f>"000251391 - RICH FOODS BB-FOODBUY"</f>
        <v>000251391 - RICH FOODS BB-FOODBUY</v>
      </c>
      <c r="C8835" t="s">
        <v>209</v>
      </c>
      <c r="D8835" s="1" t="str">
        <f t="shared" si="243"/>
        <v>PRG-1032567</v>
      </c>
      <c r="E8835" t="s">
        <v>147</v>
      </c>
      <c r="F8835" t="s">
        <v>4</v>
      </c>
      <c r="G8835" t="str">
        <f>""</f>
        <v/>
      </c>
    </row>
    <row r="8836" spans="1:7" x14ac:dyDescent="0.25">
      <c r="A8836" t="s">
        <v>8</v>
      </c>
      <c r="B8836" s="1" t="str">
        <f>"000251407 - RICH FOODS BB-FOODBUY"</f>
        <v>000251407 - RICH FOODS BB-FOODBUY</v>
      </c>
      <c r="C8836" t="s">
        <v>209</v>
      </c>
      <c r="D8836" s="1" t="str">
        <f t="shared" si="243"/>
        <v>PRG-1032567</v>
      </c>
      <c r="E8836" t="s">
        <v>147</v>
      </c>
      <c r="F8836" t="s">
        <v>4</v>
      </c>
      <c r="G8836" t="str">
        <f>""</f>
        <v/>
      </c>
    </row>
    <row r="8837" spans="1:7" x14ac:dyDescent="0.25">
      <c r="A8837" t="s">
        <v>8</v>
      </c>
      <c r="B8837" s="1" t="str">
        <f>"000251695 - RICH FOODS BB-FOODBUY"</f>
        <v>000251695 - RICH FOODS BB-FOODBUY</v>
      </c>
      <c r="C8837" t="s">
        <v>209</v>
      </c>
      <c r="D8837" s="1" t="str">
        <f t="shared" si="243"/>
        <v>PRG-1032567</v>
      </c>
      <c r="E8837" t="s">
        <v>147</v>
      </c>
      <c r="F8837" t="s">
        <v>4</v>
      </c>
      <c r="G8837" t="str">
        <f>""</f>
        <v/>
      </c>
    </row>
    <row r="8838" spans="1:7" x14ac:dyDescent="0.25">
      <c r="A8838" t="s">
        <v>8</v>
      </c>
      <c r="B8838" s="1" t="str">
        <f>"000253105 - RICH FOODS BB-FOODBUY"</f>
        <v>000253105 - RICH FOODS BB-FOODBUY</v>
      </c>
      <c r="C8838" t="s">
        <v>209</v>
      </c>
      <c r="D8838" s="1" t="str">
        <f t="shared" si="243"/>
        <v>PRG-1032567</v>
      </c>
      <c r="E8838" t="s">
        <v>147</v>
      </c>
      <c r="F8838" t="s">
        <v>4</v>
      </c>
      <c r="G8838" t="str">
        <f>""</f>
        <v/>
      </c>
    </row>
    <row r="8839" spans="1:7" x14ac:dyDescent="0.25">
      <c r="A8839" t="s">
        <v>8</v>
      </c>
      <c r="B8839" s="1" t="str">
        <f>"000253226 - RICH FOODS BB-FOODBUY"</f>
        <v>000253226 - RICH FOODS BB-FOODBUY</v>
      </c>
      <c r="C8839" t="s">
        <v>209</v>
      </c>
      <c r="D8839" s="1" t="str">
        <f t="shared" si="243"/>
        <v>PRG-1032567</v>
      </c>
      <c r="E8839" t="s">
        <v>147</v>
      </c>
      <c r="F8839" t="s">
        <v>4</v>
      </c>
      <c r="G8839" t="str">
        <f>""</f>
        <v/>
      </c>
    </row>
    <row r="8840" spans="1:7" x14ac:dyDescent="0.25">
      <c r="A8840" t="s">
        <v>8</v>
      </c>
      <c r="B8840" s="1" t="str">
        <f>"000253829 - "</f>
        <v xml:space="preserve">000253829 - </v>
      </c>
      <c r="D8840" s="1" t="str">
        <f t="shared" si="243"/>
        <v>PRG-1032567</v>
      </c>
      <c r="E8840" t="s">
        <v>147</v>
      </c>
      <c r="F8840" t="s">
        <v>4</v>
      </c>
      <c r="G8840" t="str">
        <f>""</f>
        <v/>
      </c>
    </row>
    <row r="8841" spans="1:7" x14ac:dyDescent="0.25">
      <c r="A8841" t="s">
        <v>8</v>
      </c>
      <c r="B8841" s="1" t="str">
        <f>"000254117 - RICH FOODS BB-FOODBUY"</f>
        <v>000254117 - RICH FOODS BB-FOODBUY</v>
      </c>
      <c r="C8841" t="s">
        <v>209</v>
      </c>
      <c r="D8841" s="1" t="str">
        <f t="shared" si="243"/>
        <v>PRG-1032567</v>
      </c>
      <c r="E8841" t="s">
        <v>147</v>
      </c>
      <c r="F8841" t="s">
        <v>4</v>
      </c>
      <c r="G8841" t="str">
        <f>""</f>
        <v/>
      </c>
    </row>
    <row r="8842" spans="1:7" x14ac:dyDescent="0.25">
      <c r="A8842" t="s">
        <v>8</v>
      </c>
      <c r="B8842" s="1" t="str">
        <f>"000254297 - RICH FOODS BB-FOODBUY"</f>
        <v>000254297 - RICH FOODS BB-FOODBUY</v>
      </c>
      <c r="C8842" t="s">
        <v>209</v>
      </c>
      <c r="D8842" s="1" t="str">
        <f t="shared" si="243"/>
        <v>PRG-1032567</v>
      </c>
      <c r="E8842" t="s">
        <v>147</v>
      </c>
      <c r="F8842" t="s">
        <v>4</v>
      </c>
      <c r="G8842" t="str">
        <f>""</f>
        <v/>
      </c>
    </row>
    <row r="8843" spans="1:7" x14ac:dyDescent="0.25">
      <c r="A8843" t="s">
        <v>8</v>
      </c>
      <c r="B8843" s="1" t="str">
        <f>"000254833 - RICH FOODS-FOODBUY"</f>
        <v>000254833 - RICH FOODS-FOODBUY</v>
      </c>
      <c r="C8843" t="s">
        <v>237</v>
      </c>
      <c r="D8843" s="1" t="str">
        <f t="shared" si="243"/>
        <v>PRG-1032567</v>
      </c>
      <c r="E8843" t="s">
        <v>147</v>
      </c>
      <c r="F8843" t="s">
        <v>4</v>
      </c>
      <c r="G8843" t="str">
        <f>""</f>
        <v/>
      </c>
    </row>
    <row r="8844" spans="1:7" x14ac:dyDescent="0.25">
      <c r="A8844" t="s">
        <v>8</v>
      </c>
      <c r="B8844" s="1" t="str">
        <f>"000254834 - BB RETRO RICH FOODBUY"</f>
        <v>000254834 - BB RETRO RICH FOODBUY</v>
      </c>
      <c r="C8844" t="s">
        <v>2153</v>
      </c>
      <c r="D8844" s="1" t="str">
        <f t="shared" si="243"/>
        <v>PRG-1032567</v>
      </c>
      <c r="E8844" t="s">
        <v>147</v>
      </c>
      <c r="F8844" t="s">
        <v>4</v>
      </c>
      <c r="G8844" t="str">
        <f>""</f>
        <v/>
      </c>
    </row>
    <row r="8845" spans="1:7" x14ac:dyDescent="0.25">
      <c r="A8845" t="s">
        <v>8</v>
      </c>
      <c r="B8845" s="1" t="str">
        <f>"000255694 - RICH FOODS BB-FOODBUY"</f>
        <v>000255694 - RICH FOODS BB-FOODBUY</v>
      </c>
      <c r="C8845" t="s">
        <v>209</v>
      </c>
      <c r="D8845" s="1" t="str">
        <f t="shared" si="243"/>
        <v>PRG-1032567</v>
      </c>
      <c r="E8845" t="s">
        <v>147</v>
      </c>
      <c r="F8845" t="s">
        <v>4</v>
      </c>
      <c r="G8845" t="str">
        <f>""</f>
        <v/>
      </c>
    </row>
    <row r="8846" spans="1:7" x14ac:dyDescent="0.25">
      <c r="A8846" t="s">
        <v>8</v>
      </c>
      <c r="B8846" s="1" t="str">
        <f>"000255738 - RICH FOODS BB FOODBUY"</f>
        <v>000255738 - RICH FOODS BB FOODBUY</v>
      </c>
      <c r="C8846" t="s">
        <v>228</v>
      </c>
      <c r="D8846" s="1" t="str">
        <f t="shared" si="243"/>
        <v>PRG-1032567</v>
      </c>
      <c r="E8846" t="s">
        <v>147</v>
      </c>
      <c r="F8846" t="s">
        <v>4</v>
      </c>
      <c r="G8846" t="str">
        <f>""</f>
        <v/>
      </c>
    </row>
    <row r="8847" spans="1:7" x14ac:dyDescent="0.25">
      <c r="A8847" t="s">
        <v>8</v>
      </c>
      <c r="B8847" s="1" t="str">
        <f>"000256120 - RICH FOODS BB-FOODBUY"</f>
        <v>000256120 - RICH FOODS BB-FOODBUY</v>
      </c>
      <c r="C8847" t="s">
        <v>209</v>
      </c>
      <c r="D8847" s="1" t="str">
        <f t="shared" si="243"/>
        <v>PRG-1032567</v>
      </c>
      <c r="E8847" t="s">
        <v>147</v>
      </c>
      <c r="F8847" t="s">
        <v>4</v>
      </c>
      <c r="G8847" t="str">
        <f>""</f>
        <v/>
      </c>
    </row>
    <row r="8848" spans="1:7" x14ac:dyDescent="0.25">
      <c r="A8848" t="s">
        <v>8</v>
      </c>
      <c r="B8848" s="1" t="str">
        <f>"000256144 - RICH FOODS BB-FOODBUY"</f>
        <v>000256144 - RICH FOODS BB-FOODBUY</v>
      </c>
      <c r="C8848" t="s">
        <v>209</v>
      </c>
      <c r="D8848" s="1" t="str">
        <f t="shared" si="243"/>
        <v>PRG-1032567</v>
      </c>
      <c r="E8848" t="s">
        <v>147</v>
      </c>
      <c r="F8848" t="s">
        <v>4</v>
      </c>
      <c r="G8848" t="str">
        <f>""</f>
        <v/>
      </c>
    </row>
    <row r="8849" spans="1:7" x14ac:dyDescent="0.25">
      <c r="A8849" t="s">
        <v>8</v>
      </c>
      <c r="B8849" s="1" t="str">
        <f>"000257042 - RICH FOODS BB-FOODBUY"</f>
        <v>000257042 - RICH FOODS BB-FOODBUY</v>
      </c>
      <c r="C8849" t="s">
        <v>209</v>
      </c>
      <c r="D8849" s="1" t="str">
        <f t="shared" si="243"/>
        <v>PRG-1032567</v>
      </c>
      <c r="E8849" t="s">
        <v>147</v>
      </c>
      <c r="F8849" t="s">
        <v>4</v>
      </c>
      <c r="G8849" t="str">
        <f>""</f>
        <v/>
      </c>
    </row>
    <row r="8850" spans="1:7" x14ac:dyDescent="0.25">
      <c r="A8850" t="s">
        <v>8</v>
      </c>
      <c r="B8850" s="1" t="str">
        <f>"000257488 - RICH FOODS BB-FOODBUY"</f>
        <v>000257488 - RICH FOODS BB-FOODBUY</v>
      </c>
      <c r="C8850" t="s">
        <v>209</v>
      </c>
      <c r="D8850" s="1" t="str">
        <f t="shared" si="243"/>
        <v>PRG-1032567</v>
      </c>
      <c r="E8850" t="s">
        <v>147</v>
      </c>
      <c r="F8850" t="s">
        <v>4</v>
      </c>
      <c r="G8850" t="str">
        <f>""</f>
        <v/>
      </c>
    </row>
    <row r="8851" spans="1:7" x14ac:dyDescent="0.25">
      <c r="A8851" t="s">
        <v>8</v>
      </c>
      <c r="B8851" s="1" t="str">
        <f>"000257812 - RICH FOODS BB-FOODBUY"</f>
        <v>000257812 - RICH FOODS BB-FOODBUY</v>
      </c>
      <c r="C8851" t="s">
        <v>209</v>
      </c>
      <c r="D8851" s="1" t="str">
        <f t="shared" si="243"/>
        <v>PRG-1032567</v>
      </c>
      <c r="E8851" t="s">
        <v>147</v>
      </c>
      <c r="F8851" t="s">
        <v>4</v>
      </c>
      <c r="G8851" t="str">
        <f>""</f>
        <v/>
      </c>
    </row>
    <row r="8852" spans="1:7" x14ac:dyDescent="0.25">
      <c r="A8852" t="s">
        <v>8</v>
      </c>
      <c r="B8852" s="1" t="str">
        <f>"000257975 - RICH BB MAZZONE"</f>
        <v>000257975 - RICH BB MAZZONE</v>
      </c>
      <c r="C8852" t="s">
        <v>2211</v>
      </c>
      <c r="D8852" s="1" t="str">
        <f t="shared" si="243"/>
        <v>PRG-1032567</v>
      </c>
      <c r="E8852" t="s">
        <v>147</v>
      </c>
      <c r="F8852" t="s">
        <v>4</v>
      </c>
      <c r="G8852" t="str">
        <f>""</f>
        <v/>
      </c>
    </row>
    <row r="8853" spans="1:7" x14ac:dyDescent="0.25">
      <c r="A8853" t="s">
        <v>8</v>
      </c>
      <c r="B8853" s="1" t="str">
        <f>"000258244 - RICH FOODS BB-FOODBUY"</f>
        <v>000258244 - RICH FOODS BB-FOODBUY</v>
      </c>
      <c r="C8853" t="s">
        <v>209</v>
      </c>
      <c r="D8853" s="1" t="str">
        <f t="shared" si="243"/>
        <v>PRG-1032567</v>
      </c>
      <c r="E8853" t="s">
        <v>147</v>
      </c>
      <c r="F8853" t="s">
        <v>4</v>
      </c>
      <c r="G8853" t="str">
        <f>""</f>
        <v/>
      </c>
    </row>
    <row r="8854" spans="1:7" x14ac:dyDescent="0.25">
      <c r="A8854" t="s">
        <v>8</v>
      </c>
      <c r="B8854" s="1" t="str">
        <f>"000258261 - RICH FOODS BB-FOODBUY"</f>
        <v>000258261 - RICH FOODS BB-FOODBUY</v>
      </c>
      <c r="C8854" t="s">
        <v>209</v>
      </c>
      <c r="D8854" s="1" t="str">
        <f t="shared" si="243"/>
        <v>PRG-1032567</v>
      </c>
      <c r="E8854" t="s">
        <v>147</v>
      </c>
      <c r="F8854" t="s">
        <v>4</v>
      </c>
      <c r="G8854" t="str">
        <f>""</f>
        <v/>
      </c>
    </row>
    <row r="8855" spans="1:7" x14ac:dyDescent="0.25">
      <c r="A8855" t="s">
        <v>8</v>
      </c>
      <c r="B8855" s="1" t="str">
        <f>"000258534 - RICH FOODS BB-FOODBUY"</f>
        <v>000258534 - RICH FOODS BB-FOODBUY</v>
      </c>
      <c r="C8855" t="s">
        <v>209</v>
      </c>
      <c r="D8855" s="1" t="str">
        <f t="shared" si="243"/>
        <v>PRG-1032567</v>
      </c>
      <c r="E8855" t="s">
        <v>147</v>
      </c>
      <c r="F8855" t="s">
        <v>4</v>
      </c>
      <c r="G8855" t="str">
        <f>""</f>
        <v/>
      </c>
    </row>
    <row r="8856" spans="1:7" x14ac:dyDescent="0.25">
      <c r="A8856" t="s">
        <v>8</v>
      </c>
      <c r="B8856" s="1" t="str">
        <f>"000258571 - RICH FOODS BB-RUTHS CHRIS (FDB"</f>
        <v>000258571 - RICH FOODS BB-RUTHS CHRIS (FDB</v>
      </c>
      <c r="C8856" t="s">
        <v>2216</v>
      </c>
      <c r="D8856" s="1" t="str">
        <f t="shared" si="243"/>
        <v>PRG-1032567</v>
      </c>
      <c r="E8856" t="s">
        <v>147</v>
      </c>
      <c r="F8856" t="s">
        <v>4</v>
      </c>
      <c r="G8856" t="str">
        <f>""</f>
        <v/>
      </c>
    </row>
    <row r="8857" spans="1:7" x14ac:dyDescent="0.25">
      <c r="A8857" t="s">
        <v>8</v>
      </c>
      <c r="B8857" s="1" t="str">
        <f>"000258986 - RICH FOODS BB-FOODBUY"</f>
        <v>000258986 - RICH FOODS BB-FOODBUY</v>
      </c>
      <c r="C8857" t="s">
        <v>209</v>
      </c>
      <c r="D8857" s="1" t="str">
        <f t="shared" si="243"/>
        <v>PRG-1032567</v>
      </c>
      <c r="E8857" t="s">
        <v>147</v>
      </c>
      <c r="F8857" t="s">
        <v>4</v>
      </c>
      <c r="G8857" t="str">
        <f>""</f>
        <v/>
      </c>
    </row>
    <row r="8858" spans="1:7" x14ac:dyDescent="0.25">
      <c r="A8858" t="s">
        <v>8</v>
      </c>
      <c r="B8858" s="1" t="str">
        <f>"000259278 - RICH FOODS BB-FOODBUY"</f>
        <v>000259278 - RICH FOODS BB-FOODBUY</v>
      </c>
      <c r="C8858" t="s">
        <v>209</v>
      </c>
      <c r="D8858" s="1" t="str">
        <f t="shared" si="243"/>
        <v>PRG-1032567</v>
      </c>
      <c r="E8858" t="s">
        <v>147</v>
      </c>
      <c r="F8858" t="s">
        <v>4</v>
      </c>
      <c r="G8858" t="str">
        <f>""</f>
        <v/>
      </c>
    </row>
    <row r="8859" spans="1:7" x14ac:dyDescent="0.25">
      <c r="A8859" t="s">
        <v>8</v>
      </c>
      <c r="B8859" s="1" t="str">
        <f>"000259556 - RICH FOODS BB-FOODBUY"</f>
        <v>000259556 - RICH FOODS BB-FOODBUY</v>
      </c>
      <c r="C8859" t="s">
        <v>209</v>
      </c>
      <c r="D8859" s="1" t="str">
        <f t="shared" si="243"/>
        <v>PRG-1032567</v>
      </c>
      <c r="E8859" t="s">
        <v>147</v>
      </c>
      <c r="F8859" t="s">
        <v>4</v>
      </c>
      <c r="G8859" t="str">
        <f>""</f>
        <v/>
      </c>
    </row>
    <row r="8860" spans="1:7" x14ac:dyDescent="0.25">
      <c r="A8860" t="s">
        <v>8</v>
      </c>
      <c r="B8860" s="1" t="str">
        <f>"000259688 - RICH FOODS BB-FOODBUY"</f>
        <v>000259688 - RICH FOODS BB-FOODBUY</v>
      </c>
      <c r="C8860" t="s">
        <v>209</v>
      </c>
      <c r="D8860" s="1" t="str">
        <f t="shared" si="243"/>
        <v>PRG-1032567</v>
      </c>
      <c r="E8860" t="s">
        <v>147</v>
      </c>
      <c r="F8860" t="s">
        <v>4</v>
      </c>
      <c r="G8860" t="str">
        <f>""</f>
        <v/>
      </c>
    </row>
    <row r="8861" spans="1:7" x14ac:dyDescent="0.25">
      <c r="A8861" t="s">
        <v>8</v>
      </c>
      <c r="B8861" s="1" t="str">
        <f>"000259921 - RICH FOODS BB-FOODBUY"</f>
        <v>000259921 - RICH FOODS BB-FOODBUY</v>
      </c>
      <c r="C8861" t="s">
        <v>209</v>
      </c>
      <c r="D8861" s="1" t="str">
        <f t="shared" si="243"/>
        <v>PRG-1032567</v>
      </c>
      <c r="E8861" t="s">
        <v>147</v>
      </c>
      <c r="F8861" t="s">
        <v>4</v>
      </c>
      <c r="G8861" t="str">
        <f>""</f>
        <v/>
      </c>
    </row>
    <row r="8862" spans="1:7" x14ac:dyDescent="0.25">
      <c r="A8862" t="s">
        <v>8</v>
      </c>
      <c r="B8862" s="1" t="str">
        <f>"000260495 - RICH FOODS BB-FOODBUY"</f>
        <v>000260495 - RICH FOODS BB-FOODBUY</v>
      </c>
      <c r="C8862" t="s">
        <v>209</v>
      </c>
      <c r="D8862" s="1" t="str">
        <f t="shared" si="243"/>
        <v>PRG-1032567</v>
      </c>
      <c r="E8862" t="s">
        <v>147</v>
      </c>
      <c r="F8862" t="s">
        <v>4</v>
      </c>
      <c r="G8862" t="str">
        <f>""</f>
        <v/>
      </c>
    </row>
    <row r="8863" spans="1:7" x14ac:dyDescent="0.25">
      <c r="A8863" t="s">
        <v>8</v>
      </c>
      <c r="B8863" s="1" t="str">
        <f>"000260811 - RICH FOODS BB-FOODBUY"</f>
        <v>000260811 - RICH FOODS BB-FOODBUY</v>
      </c>
      <c r="C8863" t="s">
        <v>209</v>
      </c>
      <c r="D8863" s="1" t="str">
        <f t="shared" si="243"/>
        <v>PRG-1032567</v>
      </c>
      <c r="E8863" t="s">
        <v>147</v>
      </c>
      <c r="F8863" t="s">
        <v>4</v>
      </c>
      <c r="G8863" t="str">
        <f>""</f>
        <v/>
      </c>
    </row>
    <row r="8864" spans="1:7" x14ac:dyDescent="0.25">
      <c r="A8864" t="s">
        <v>8</v>
      </c>
      <c r="B8864" s="1" t="str">
        <f>"000260932 - RICH FOODS BB-FOODBUY"</f>
        <v>000260932 - RICH FOODS BB-FOODBUY</v>
      </c>
      <c r="C8864" t="s">
        <v>209</v>
      </c>
      <c r="D8864" s="1" t="str">
        <f t="shared" si="243"/>
        <v>PRG-1032567</v>
      </c>
      <c r="E8864" t="s">
        <v>147</v>
      </c>
      <c r="F8864" t="s">
        <v>4</v>
      </c>
      <c r="G8864" t="str">
        <f>""</f>
        <v/>
      </c>
    </row>
    <row r="8865" spans="1:7" x14ac:dyDescent="0.25">
      <c r="A8865" t="s">
        <v>8</v>
      </c>
      <c r="B8865" s="1" t="str">
        <f>"000261427 - RICH FOODS BB-FOODBUY"</f>
        <v>000261427 - RICH FOODS BB-FOODBUY</v>
      </c>
      <c r="C8865" t="s">
        <v>209</v>
      </c>
      <c r="D8865" s="1" t="str">
        <f t="shared" si="243"/>
        <v>PRG-1032567</v>
      </c>
      <c r="E8865" t="s">
        <v>147</v>
      </c>
      <c r="F8865" t="s">
        <v>4</v>
      </c>
      <c r="G8865" t="str">
        <f>""</f>
        <v/>
      </c>
    </row>
    <row r="8866" spans="1:7" x14ac:dyDescent="0.25">
      <c r="A8866" t="s">
        <v>8</v>
      </c>
      <c r="B8866" s="1" t="str">
        <f>"000261430 - RICH FOODS BB-FOODBUY"</f>
        <v>000261430 - RICH FOODS BB-FOODBUY</v>
      </c>
      <c r="C8866" t="s">
        <v>209</v>
      </c>
      <c r="D8866" s="1" t="str">
        <f t="shared" si="243"/>
        <v>PRG-1032567</v>
      </c>
      <c r="E8866" t="s">
        <v>147</v>
      </c>
      <c r="F8866" t="s">
        <v>4</v>
      </c>
      <c r="G8866" t="str">
        <f>""</f>
        <v/>
      </c>
    </row>
    <row r="8867" spans="1:7" x14ac:dyDescent="0.25">
      <c r="A8867" t="s">
        <v>8</v>
      </c>
      <c r="B8867" s="1" t="str">
        <f>"000261432 - RICH FOODS-BB-FOODBUY"</f>
        <v>000261432 - RICH FOODS-BB-FOODBUY</v>
      </c>
      <c r="C8867" t="s">
        <v>1904</v>
      </c>
      <c r="D8867" s="1" t="str">
        <f t="shared" si="243"/>
        <v>PRG-1032567</v>
      </c>
      <c r="E8867" t="s">
        <v>147</v>
      </c>
      <c r="F8867" t="s">
        <v>4</v>
      </c>
      <c r="G8867" t="str">
        <f>""</f>
        <v/>
      </c>
    </row>
    <row r="8868" spans="1:7" x14ac:dyDescent="0.25">
      <c r="A8868" t="s">
        <v>8</v>
      </c>
      <c r="B8868" s="1" t="str">
        <f>"000262105 - RICH FOODS BB-FOODBUY"</f>
        <v>000262105 - RICH FOODS BB-FOODBUY</v>
      </c>
      <c r="C8868" t="s">
        <v>209</v>
      </c>
      <c r="D8868" s="1" t="str">
        <f t="shared" si="243"/>
        <v>PRG-1032567</v>
      </c>
      <c r="E8868" t="s">
        <v>147</v>
      </c>
      <c r="F8868" t="s">
        <v>4</v>
      </c>
      <c r="G8868" t="str">
        <f>""</f>
        <v/>
      </c>
    </row>
    <row r="8869" spans="1:7" x14ac:dyDescent="0.25">
      <c r="A8869" t="s">
        <v>8</v>
      </c>
      <c r="B8869" s="1" t="str">
        <f>"000262128 - RICH FOODS BB-FOODBUY"</f>
        <v>000262128 - RICH FOODS BB-FOODBUY</v>
      </c>
      <c r="C8869" t="s">
        <v>209</v>
      </c>
      <c r="D8869" s="1" t="str">
        <f t="shared" si="243"/>
        <v>PRG-1032567</v>
      </c>
      <c r="E8869" t="s">
        <v>147</v>
      </c>
      <c r="F8869" t="s">
        <v>4</v>
      </c>
      <c r="G8869" t="str">
        <f>""</f>
        <v/>
      </c>
    </row>
    <row r="8870" spans="1:7" x14ac:dyDescent="0.25">
      <c r="A8870" t="s">
        <v>8</v>
      </c>
      <c r="B8870" s="1" t="str">
        <f>"000262227 - RICH FOODS BB-FOODBUY"</f>
        <v>000262227 - RICH FOODS BB-FOODBUY</v>
      </c>
      <c r="C8870" t="s">
        <v>209</v>
      </c>
      <c r="D8870" s="1" t="str">
        <f t="shared" si="243"/>
        <v>PRG-1032567</v>
      </c>
      <c r="E8870" t="s">
        <v>147</v>
      </c>
      <c r="F8870" t="s">
        <v>4</v>
      </c>
      <c r="G8870" t="str">
        <f>""</f>
        <v/>
      </c>
    </row>
    <row r="8871" spans="1:7" x14ac:dyDescent="0.25">
      <c r="A8871" t="s">
        <v>8</v>
      </c>
      <c r="B8871" s="1" t="str">
        <f>"000262416 - RICH FOODS BB FOODBUY"</f>
        <v>000262416 - RICH FOODS BB FOODBUY</v>
      </c>
      <c r="C8871" t="s">
        <v>228</v>
      </c>
      <c r="D8871" s="1" t="str">
        <f t="shared" si="243"/>
        <v>PRG-1032567</v>
      </c>
      <c r="E8871" t="s">
        <v>147</v>
      </c>
      <c r="F8871" t="s">
        <v>4</v>
      </c>
      <c r="G8871" t="str">
        <f>""</f>
        <v/>
      </c>
    </row>
    <row r="8872" spans="1:7" x14ac:dyDescent="0.25">
      <c r="A8872" t="s">
        <v>8</v>
      </c>
      <c r="B8872" s="1" t="str">
        <f>"000262932 - RICH FOODS BB-FOODBUY"</f>
        <v>000262932 - RICH FOODS BB-FOODBUY</v>
      </c>
      <c r="C8872" t="s">
        <v>209</v>
      </c>
      <c r="D8872" s="1" t="str">
        <f t="shared" si="243"/>
        <v>PRG-1032567</v>
      </c>
      <c r="E8872" t="s">
        <v>147</v>
      </c>
      <c r="F8872" t="s">
        <v>4</v>
      </c>
      <c r="G8872" t="str">
        <f>""</f>
        <v/>
      </c>
    </row>
    <row r="8873" spans="1:7" x14ac:dyDescent="0.25">
      <c r="A8873" t="s">
        <v>8</v>
      </c>
      <c r="B8873" s="1" t="str">
        <f>"000263716 - RICH FOODS BB-FOODBUY"</f>
        <v>000263716 - RICH FOODS BB-FOODBUY</v>
      </c>
      <c r="C8873" t="s">
        <v>209</v>
      </c>
      <c r="D8873" s="1" t="str">
        <f t="shared" si="243"/>
        <v>PRG-1032567</v>
      </c>
      <c r="E8873" t="s">
        <v>147</v>
      </c>
      <c r="F8873" t="s">
        <v>4</v>
      </c>
      <c r="G8873" t="str">
        <f>""</f>
        <v/>
      </c>
    </row>
    <row r="8874" spans="1:7" x14ac:dyDescent="0.25">
      <c r="A8874" t="s">
        <v>8</v>
      </c>
      <c r="B8874" s="1" t="str">
        <f>"000263775 - RICH FOODS BB-FOODBUY"</f>
        <v>000263775 - RICH FOODS BB-FOODBUY</v>
      </c>
      <c r="C8874" t="s">
        <v>209</v>
      </c>
      <c r="D8874" s="1" t="str">
        <f t="shared" si="243"/>
        <v>PRG-1032567</v>
      </c>
      <c r="E8874" t="s">
        <v>147</v>
      </c>
      <c r="F8874" t="s">
        <v>4</v>
      </c>
      <c r="G8874" t="str">
        <f>""</f>
        <v/>
      </c>
    </row>
    <row r="8875" spans="1:7" x14ac:dyDescent="0.25">
      <c r="A8875" t="s">
        <v>8</v>
      </c>
      <c r="B8875" s="1" t="str">
        <f>"000264016 - RICH FOODS BB-FOODBUY"</f>
        <v>000264016 - RICH FOODS BB-FOODBUY</v>
      </c>
      <c r="C8875" t="s">
        <v>209</v>
      </c>
      <c r="D8875" s="1" t="str">
        <f t="shared" si="243"/>
        <v>PRG-1032567</v>
      </c>
      <c r="E8875" t="s">
        <v>147</v>
      </c>
      <c r="F8875" t="s">
        <v>4</v>
      </c>
      <c r="G8875" t="str">
        <f>""</f>
        <v/>
      </c>
    </row>
    <row r="8876" spans="1:7" x14ac:dyDescent="0.25">
      <c r="A8876" t="s">
        <v>8</v>
      </c>
      <c r="B8876" s="1" t="str">
        <f>"000264335 - RICH FOODS BB-FOODBUY"</f>
        <v>000264335 - RICH FOODS BB-FOODBUY</v>
      </c>
      <c r="C8876" t="s">
        <v>209</v>
      </c>
      <c r="D8876" s="1" t="str">
        <f t="shared" si="243"/>
        <v>PRG-1032567</v>
      </c>
      <c r="E8876" t="s">
        <v>147</v>
      </c>
      <c r="F8876" t="s">
        <v>4</v>
      </c>
      <c r="G8876" t="str">
        <f>""</f>
        <v/>
      </c>
    </row>
    <row r="8877" spans="1:7" x14ac:dyDescent="0.25">
      <c r="A8877" t="s">
        <v>8</v>
      </c>
      <c r="B8877" s="1" t="str">
        <f>"000264669 - RICH FOODS BB-FOODBUY"</f>
        <v>000264669 - RICH FOODS BB-FOODBUY</v>
      </c>
      <c r="C8877" t="s">
        <v>209</v>
      </c>
      <c r="D8877" s="1" t="str">
        <f t="shared" si="243"/>
        <v>PRG-1032567</v>
      </c>
      <c r="E8877" t="s">
        <v>147</v>
      </c>
      <c r="F8877" t="s">
        <v>4</v>
      </c>
      <c r="G8877" t="str">
        <f>""</f>
        <v/>
      </c>
    </row>
    <row r="8878" spans="1:7" x14ac:dyDescent="0.25">
      <c r="A8878" t="s">
        <v>8</v>
      </c>
      <c r="B8878" s="1" t="str">
        <f>"000264680 - RICH FOODS BB-FOODBUY NEMACOLI"</f>
        <v>000264680 - RICH FOODS BB-FOODBUY NEMACOLI</v>
      </c>
      <c r="C8878" t="s">
        <v>2225</v>
      </c>
      <c r="D8878" s="1" t="str">
        <f t="shared" si="243"/>
        <v>PRG-1032567</v>
      </c>
      <c r="E8878" t="s">
        <v>147</v>
      </c>
      <c r="F8878" t="s">
        <v>4</v>
      </c>
      <c r="G8878" t="str">
        <f>""</f>
        <v/>
      </c>
    </row>
    <row r="8879" spans="1:7" x14ac:dyDescent="0.25">
      <c r="A8879" t="s">
        <v>8</v>
      </c>
      <c r="B8879" s="1" t="str">
        <f>"000265380 - RICH FOODS BB-FOODBUY"</f>
        <v>000265380 - RICH FOODS BB-FOODBUY</v>
      </c>
      <c r="C8879" t="s">
        <v>209</v>
      </c>
      <c r="D8879" s="1" t="str">
        <f t="shared" si="243"/>
        <v>PRG-1032567</v>
      </c>
      <c r="E8879" t="s">
        <v>147</v>
      </c>
      <c r="F8879" t="s">
        <v>4</v>
      </c>
      <c r="G8879" t="str">
        <f>""</f>
        <v/>
      </c>
    </row>
    <row r="8880" spans="1:7" x14ac:dyDescent="0.25">
      <c r="A8880" t="s">
        <v>8</v>
      </c>
      <c r="B8880" s="1" t="str">
        <f>"000265419 - RICH FOODS BB-FOODBUY"</f>
        <v>000265419 - RICH FOODS BB-FOODBUY</v>
      </c>
      <c r="C8880" t="s">
        <v>209</v>
      </c>
      <c r="D8880" s="1" t="str">
        <f t="shared" si="243"/>
        <v>PRG-1032567</v>
      </c>
      <c r="E8880" t="s">
        <v>147</v>
      </c>
      <c r="F8880" t="s">
        <v>4</v>
      </c>
      <c r="G8880" t="str">
        <f>""</f>
        <v/>
      </c>
    </row>
    <row r="8881" spans="1:7" x14ac:dyDescent="0.25">
      <c r="A8881" t="s">
        <v>8</v>
      </c>
      <c r="B8881" s="1" t="str">
        <f>"000265564 - RICH FOODS BB-FOODBUY"</f>
        <v>000265564 - RICH FOODS BB-FOODBUY</v>
      </c>
      <c r="C8881" t="s">
        <v>209</v>
      </c>
      <c r="D8881" s="1" t="str">
        <f t="shared" si="243"/>
        <v>PRG-1032567</v>
      </c>
      <c r="E8881" t="s">
        <v>147</v>
      </c>
      <c r="F8881" t="s">
        <v>4</v>
      </c>
      <c r="G8881" t="str">
        <f>""</f>
        <v/>
      </c>
    </row>
    <row r="8882" spans="1:7" x14ac:dyDescent="0.25">
      <c r="A8882" t="s">
        <v>8</v>
      </c>
      <c r="B8882" s="1" t="str">
        <f>"000265751 - RICH FOODS BB-FOODBUY"</f>
        <v>000265751 - RICH FOODS BB-FOODBUY</v>
      </c>
      <c r="C8882" t="s">
        <v>209</v>
      </c>
      <c r="D8882" s="1" t="str">
        <f t="shared" si="243"/>
        <v>PRG-1032567</v>
      </c>
      <c r="E8882" t="s">
        <v>147</v>
      </c>
      <c r="F8882" t="s">
        <v>4</v>
      </c>
      <c r="G8882" t="str">
        <f>""</f>
        <v/>
      </c>
    </row>
    <row r="8883" spans="1:7" x14ac:dyDescent="0.25">
      <c r="A8883" t="s">
        <v>8</v>
      </c>
      <c r="B8883" s="1" t="str">
        <f>"000265942 - RICH FOODS BB-FOODBUY"</f>
        <v>000265942 - RICH FOODS BB-FOODBUY</v>
      </c>
      <c r="C8883" t="s">
        <v>209</v>
      </c>
      <c r="D8883" s="1" t="str">
        <f t="shared" si="243"/>
        <v>PRG-1032567</v>
      </c>
      <c r="E8883" t="s">
        <v>147</v>
      </c>
      <c r="F8883" t="s">
        <v>4</v>
      </c>
      <c r="G8883" t="str">
        <f>""</f>
        <v/>
      </c>
    </row>
    <row r="8884" spans="1:7" x14ac:dyDescent="0.25">
      <c r="A8884" t="s">
        <v>8</v>
      </c>
      <c r="B8884" s="1" t="str">
        <f>"000266408 - RICH FOODS BB-FOODBUY"</f>
        <v>000266408 - RICH FOODS BB-FOODBUY</v>
      </c>
      <c r="C8884" t="s">
        <v>209</v>
      </c>
      <c r="D8884" s="1" t="str">
        <f t="shared" ref="D8884:D8947" si="244">"PRG-1032567"</f>
        <v>PRG-1032567</v>
      </c>
      <c r="E8884" t="s">
        <v>147</v>
      </c>
      <c r="F8884" t="s">
        <v>4</v>
      </c>
      <c r="G8884" t="str">
        <f>""</f>
        <v/>
      </c>
    </row>
    <row r="8885" spans="1:7" x14ac:dyDescent="0.25">
      <c r="A8885" t="s">
        <v>8</v>
      </c>
      <c r="B8885" s="1" t="str">
        <f>"000267329 - RICH FOODS BB-FOODBUY"</f>
        <v>000267329 - RICH FOODS BB-FOODBUY</v>
      </c>
      <c r="C8885" t="s">
        <v>209</v>
      </c>
      <c r="D8885" s="1" t="str">
        <f t="shared" si="244"/>
        <v>PRG-1032567</v>
      </c>
      <c r="E8885" t="s">
        <v>147</v>
      </c>
      <c r="F8885" t="s">
        <v>4</v>
      </c>
      <c r="G8885" t="str">
        <f>""</f>
        <v/>
      </c>
    </row>
    <row r="8886" spans="1:7" x14ac:dyDescent="0.25">
      <c r="A8886" t="s">
        <v>8</v>
      </c>
      <c r="B8886" s="1" t="str">
        <f>"000267543 - RICH FOODS BB-FOODBUY"</f>
        <v>000267543 - RICH FOODS BB-FOODBUY</v>
      </c>
      <c r="C8886" t="s">
        <v>209</v>
      </c>
      <c r="D8886" s="1" t="str">
        <f t="shared" si="244"/>
        <v>PRG-1032567</v>
      </c>
      <c r="E8886" t="s">
        <v>147</v>
      </c>
      <c r="F8886" t="s">
        <v>4</v>
      </c>
      <c r="G8886" t="str">
        <f>""</f>
        <v/>
      </c>
    </row>
    <row r="8887" spans="1:7" x14ac:dyDescent="0.25">
      <c r="A8887" t="s">
        <v>8</v>
      </c>
      <c r="B8887" s="1" t="str">
        <f>"000267894 - RICH FOODS BB-FOODBUY"</f>
        <v>000267894 - RICH FOODS BB-FOODBUY</v>
      </c>
      <c r="C8887" t="s">
        <v>209</v>
      </c>
      <c r="D8887" s="1" t="str">
        <f t="shared" si="244"/>
        <v>PRG-1032567</v>
      </c>
      <c r="E8887" t="s">
        <v>147</v>
      </c>
      <c r="F8887" t="s">
        <v>4</v>
      </c>
      <c r="G8887" t="str">
        <f>""</f>
        <v/>
      </c>
    </row>
    <row r="8888" spans="1:7" x14ac:dyDescent="0.25">
      <c r="A8888" t="s">
        <v>8</v>
      </c>
      <c r="B8888" s="1" t="str">
        <f>"000267898 - FOODBUY(ESU) RICHS"</f>
        <v>000267898 - FOODBUY(ESU) RICHS</v>
      </c>
      <c r="C8888" t="s">
        <v>2425</v>
      </c>
      <c r="D8888" s="1" t="str">
        <f t="shared" si="244"/>
        <v>PRG-1032567</v>
      </c>
      <c r="E8888" t="s">
        <v>147</v>
      </c>
      <c r="F8888" t="s">
        <v>4</v>
      </c>
      <c r="G8888" t="str">
        <f>""</f>
        <v/>
      </c>
    </row>
    <row r="8889" spans="1:7" x14ac:dyDescent="0.25">
      <c r="A8889" t="s">
        <v>8</v>
      </c>
      <c r="B8889" s="1" t="str">
        <f>"000268381 - RICH FOODS BB-FOODBUY"</f>
        <v>000268381 - RICH FOODS BB-FOODBUY</v>
      </c>
      <c r="C8889" t="s">
        <v>209</v>
      </c>
      <c r="D8889" s="1" t="str">
        <f t="shared" si="244"/>
        <v>PRG-1032567</v>
      </c>
      <c r="E8889" t="s">
        <v>147</v>
      </c>
      <c r="F8889" t="s">
        <v>4</v>
      </c>
      <c r="G8889" t="str">
        <f>""</f>
        <v/>
      </c>
    </row>
    <row r="8890" spans="1:7" x14ac:dyDescent="0.25">
      <c r="A8890" t="s">
        <v>8</v>
      </c>
      <c r="B8890" s="1" t="str">
        <f>"000268985 - RICH FOODS BB-FOODBUY"</f>
        <v>000268985 - RICH FOODS BB-FOODBUY</v>
      </c>
      <c r="C8890" t="s">
        <v>209</v>
      </c>
      <c r="D8890" s="1" t="str">
        <f t="shared" si="244"/>
        <v>PRG-1032567</v>
      </c>
      <c r="E8890" t="s">
        <v>147</v>
      </c>
      <c r="F8890" t="s">
        <v>4</v>
      </c>
      <c r="G8890" t="str">
        <f>""</f>
        <v/>
      </c>
    </row>
    <row r="8891" spans="1:7" x14ac:dyDescent="0.25">
      <c r="A8891" t="s">
        <v>8</v>
      </c>
      <c r="B8891" s="1" t="str">
        <f>"000269188 - RICH FOODS BB-FOODBUY"</f>
        <v>000269188 - RICH FOODS BB-FOODBUY</v>
      </c>
      <c r="C8891" t="s">
        <v>209</v>
      </c>
      <c r="D8891" s="1" t="str">
        <f t="shared" si="244"/>
        <v>PRG-1032567</v>
      </c>
      <c r="E8891" t="s">
        <v>147</v>
      </c>
      <c r="F8891" t="s">
        <v>4</v>
      </c>
      <c r="G8891" t="str">
        <f>""</f>
        <v/>
      </c>
    </row>
    <row r="8892" spans="1:7" x14ac:dyDescent="0.25">
      <c r="A8892" t="s">
        <v>8</v>
      </c>
      <c r="B8892" s="1" t="str">
        <f>"000269320 - RICH FOODS BB-FOODBUY"</f>
        <v>000269320 - RICH FOODS BB-FOODBUY</v>
      </c>
      <c r="C8892" t="s">
        <v>209</v>
      </c>
      <c r="D8892" s="1" t="str">
        <f t="shared" si="244"/>
        <v>PRG-1032567</v>
      </c>
      <c r="E8892" t="s">
        <v>147</v>
      </c>
      <c r="F8892" t="s">
        <v>4</v>
      </c>
      <c r="G8892" t="str">
        <f>""</f>
        <v/>
      </c>
    </row>
    <row r="8893" spans="1:7" x14ac:dyDescent="0.25">
      <c r="A8893" t="s">
        <v>8</v>
      </c>
      <c r="B8893" s="1" t="str">
        <f>"000271173 - RICH FOODS BB-FOODBUY"</f>
        <v>000271173 - RICH FOODS BB-FOODBUY</v>
      </c>
      <c r="C8893" t="s">
        <v>209</v>
      </c>
      <c r="D8893" s="1" t="str">
        <f t="shared" si="244"/>
        <v>PRG-1032567</v>
      </c>
      <c r="E8893" t="s">
        <v>147</v>
      </c>
      <c r="F8893" t="s">
        <v>4</v>
      </c>
      <c r="G8893" t="str">
        <f>""</f>
        <v/>
      </c>
    </row>
    <row r="8894" spans="1:7" x14ac:dyDescent="0.25">
      <c r="A8894" t="s">
        <v>8</v>
      </c>
      <c r="B8894" s="1" t="str">
        <f>"000271442 - RICH FOODS BB-FOODBUY"</f>
        <v>000271442 - RICH FOODS BB-FOODBUY</v>
      </c>
      <c r="C8894" t="s">
        <v>209</v>
      </c>
      <c r="D8894" s="1" t="str">
        <f t="shared" si="244"/>
        <v>PRG-1032567</v>
      </c>
      <c r="E8894" t="s">
        <v>147</v>
      </c>
      <c r="F8894" t="s">
        <v>4</v>
      </c>
      <c r="G8894" t="str">
        <f>""</f>
        <v/>
      </c>
    </row>
    <row r="8895" spans="1:7" x14ac:dyDescent="0.25">
      <c r="A8895" t="s">
        <v>8</v>
      </c>
      <c r="B8895" s="1" t="str">
        <f>"000271712 - RICH FOODS BB-FOODBUY"</f>
        <v>000271712 - RICH FOODS BB-FOODBUY</v>
      </c>
      <c r="C8895" t="s">
        <v>209</v>
      </c>
      <c r="D8895" s="1" t="str">
        <f t="shared" si="244"/>
        <v>PRG-1032567</v>
      </c>
      <c r="E8895" t="s">
        <v>147</v>
      </c>
      <c r="F8895" t="s">
        <v>4</v>
      </c>
      <c r="G8895" t="str">
        <f>""</f>
        <v/>
      </c>
    </row>
    <row r="8896" spans="1:7" x14ac:dyDescent="0.25">
      <c r="A8896" t="s">
        <v>8</v>
      </c>
      <c r="B8896" s="1" t="str">
        <f>"000271860 - RICH FOODS BB-FOODBUY"</f>
        <v>000271860 - RICH FOODS BB-FOODBUY</v>
      </c>
      <c r="C8896" t="s">
        <v>209</v>
      </c>
      <c r="D8896" s="1" t="str">
        <f t="shared" si="244"/>
        <v>PRG-1032567</v>
      </c>
      <c r="E8896" t="s">
        <v>147</v>
      </c>
      <c r="F8896" t="s">
        <v>4</v>
      </c>
      <c r="G8896" t="str">
        <f>""</f>
        <v/>
      </c>
    </row>
    <row r="8897" spans="1:7" x14ac:dyDescent="0.25">
      <c r="A8897" t="s">
        <v>8</v>
      </c>
      <c r="B8897" s="1" t="str">
        <f>"000272194 - RICH FOODS BB-FOODBUY"</f>
        <v>000272194 - RICH FOODS BB-FOODBUY</v>
      </c>
      <c r="C8897" t="s">
        <v>209</v>
      </c>
      <c r="D8897" s="1" t="str">
        <f t="shared" si="244"/>
        <v>PRG-1032567</v>
      </c>
      <c r="E8897" t="s">
        <v>147</v>
      </c>
      <c r="F8897" t="s">
        <v>4</v>
      </c>
      <c r="G8897" t="str">
        <f>""</f>
        <v/>
      </c>
    </row>
    <row r="8898" spans="1:7" x14ac:dyDescent="0.25">
      <c r="A8898" t="s">
        <v>8</v>
      </c>
      <c r="B8898" s="1" t="str">
        <f>"000272596 - RICH FOODS BB-FOODBUY"</f>
        <v>000272596 - RICH FOODS BB-FOODBUY</v>
      </c>
      <c r="C8898" t="s">
        <v>209</v>
      </c>
      <c r="D8898" s="1" t="str">
        <f t="shared" si="244"/>
        <v>PRG-1032567</v>
      </c>
      <c r="E8898" t="s">
        <v>147</v>
      </c>
      <c r="F8898" t="s">
        <v>4</v>
      </c>
      <c r="G8898" t="str">
        <f>""</f>
        <v/>
      </c>
    </row>
    <row r="8899" spans="1:7" x14ac:dyDescent="0.25">
      <c r="A8899" t="s">
        <v>8</v>
      </c>
      <c r="B8899" s="1" t="str">
        <f>"000273525 - DAVINCI'S RICH'S (FOODBUY)"</f>
        <v>000273525 - DAVINCI'S RICH'S (FOODBUY)</v>
      </c>
      <c r="C8899" t="s">
        <v>2526</v>
      </c>
      <c r="D8899" s="1" t="str">
        <f t="shared" si="244"/>
        <v>PRG-1032567</v>
      </c>
      <c r="E8899" t="s">
        <v>147</v>
      </c>
      <c r="F8899" t="s">
        <v>4</v>
      </c>
      <c r="G8899" t="str">
        <f>""</f>
        <v/>
      </c>
    </row>
    <row r="8900" spans="1:7" x14ac:dyDescent="0.25">
      <c r="A8900" t="s">
        <v>8</v>
      </c>
      <c r="B8900" s="1" t="str">
        <f>"000273935 - RICH FOODS BB-FOODBUY"</f>
        <v>000273935 - RICH FOODS BB-FOODBUY</v>
      </c>
      <c r="C8900" t="s">
        <v>209</v>
      </c>
      <c r="D8900" s="1" t="str">
        <f t="shared" si="244"/>
        <v>PRG-1032567</v>
      </c>
      <c r="E8900" t="s">
        <v>147</v>
      </c>
      <c r="F8900" t="s">
        <v>4</v>
      </c>
      <c r="G8900" t="str">
        <f>""</f>
        <v/>
      </c>
    </row>
    <row r="8901" spans="1:7" x14ac:dyDescent="0.25">
      <c r="A8901" t="s">
        <v>8</v>
      </c>
      <c r="B8901" s="1" t="str">
        <f>"000273969 - RICH FOODS BB-FOODBUY"</f>
        <v>000273969 - RICH FOODS BB-FOODBUY</v>
      </c>
      <c r="C8901" t="s">
        <v>209</v>
      </c>
      <c r="D8901" s="1" t="str">
        <f t="shared" si="244"/>
        <v>PRG-1032567</v>
      </c>
      <c r="E8901" t="s">
        <v>147</v>
      </c>
      <c r="F8901" t="s">
        <v>4</v>
      </c>
      <c r="G8901" t="str">
        <f>""</f>
        <v/>
      </c>
    </row>
    <row r="8902" spans="1:7" x14ac:dyDescent="0.25">
      <c r="A8902" t="s">
        <v>8</v>
      </c>
      <c r="B8902" s="1" t="str">
        <f>"000274199 - RICH FOODS BB-FOODBUY"</f>
        <v>000274199 - RICH FOODS BB-FOODBUY</v>
      </c>
      <c r="C8902" t="s">
        <v>209</v>
      </c>
      <c r="D8902" s="1" t="str">
        <f t="shared" si="244"/>
        <v>PRG-1032567</v>
      </c>
      <c r="E8902" t="s">
        <v>147</v>
      </c>
      <c r="F8902" t="s">
        <v>4</v>
      </c>
      <c r="G8902" t="str">
        <f>""</f>
        <v/>
      </c>
    </row>
    <row r="8903" spans="1:7" x14ac:dyDescent="0.25">
      <c r="A8903" t="s">
        <v>8</v>
      </c>
      <c r="B8903" s="1" t="str">
        <f>"000274481 - RICH FOODS BB-FOODBUY"</f>
        <v>000274481 - RICH FOODS BB-FOODBUY</v>
      </c>
      <c r="C8903" t="s">
        <v>209</v>
      </c>
      <c r="D8903" s="1" t="str">
        <f t="shared" si="244"/>
        <v>PRG-1032567</v>
      </c>
      <c r="E8903" t="s">
        <v>147</v>
      </c>
      <c r="F8903" t="s">
        <v>4</v>
      </c>
      <c r="G8903" t="str">
        <f>""</f>
        <v/>
      </c>
    </row>
    <row r="8904" spans="1:7" x14ac:dyDescent="0.25">
      <c r="A8904" t="s">
        <v>8</v>
      </c>
      <c r="B8904" s="1" t="str">
        <f>"000274795 - "</f>
        <v xml:space="preserve">000274795 - </v>
      </c>
      <c r="D8904" s="1" t="str">
        <f t="shared" si="244"/>
        <v>PRG-1032567</v>
      </c>
      <c r="E8904" t="s">
        <v>147</v>
      </c>
      <c r="F8904" t="s">
        <v>4</v>
      </c>
      <c r="G8904" t="str">
        <f>""</f>
        <v/>
      </c>
    </row>
    <row r="8905" spans="1:7" x14ac:dyDescent="0.25">
      <c r="A8905" t="s">
        <v>8</v>
      </c>
      <c r="B8905" s="1" t="str">
        <f>"000275592 - "</f>
        <v xml:space="preserve">000275592 - </v>
      </c>
      <c r="D8905" s="1" t="str">
        <f t="shared" si="244"/>
        <v>PRG-1032567</v>
      </c>
      <c r="E8905" t="s">
        <v>147</v>
      </c>
      <c r="F8905" t="s">
        <v>4</v>
      </c>
      <c r="G8905" t="str">
        <f>""</f>
        <v/>
      </c>
    </row>
    <row r="8906" spans="1:7" x14ac:dyDescent="0.25">
      <c r="A8906" t="s">
        <v>8</v>
      </c>
      <c r="B8906" s="1" t="str">
        <f>"000276418 - RICH FOODS BB-FOODBUY"</f>
        <v>000276418 - RICH FOODS BB-FOODBUY</v>
      </c>
      <c r="C8906" t="s">
        <v>209</v>
      </c>
      <c r="D8906" s="1" t="str">
        <f t="shared" si="244"/>
        <v>PRG-1032567</v>
      </c>
      <c r="E8906" t="s">
        <v>147</v>
      </c>
      <c r="F8906" t="s">
        <v>4</v>
      </c>
      <c r="G8906" t="str">
        <f>""</f>
        <v/>
      </c>
    </row>
    <row r="8907" spans="1:7" x14ac:dyDescent="0.25">
      <c r="A8907" t="s">
        <v>8</v>
      </c>
      <c r="B8907" s="1" t="str">
        <f>"000276796 - RICH FOODS BB-FOODBUY"</f>
        <v>000276796 - RICH FOODS BB-FOODBUY</v>
      </c>
      <c r="C8907" t="s">
        <v>209</v>
      </c>
      <c r="D8907" s="1" t="str">
        <f t="shared" si="244"/>
        <v>PRG-1032567</v>
      </c>
      <c r="E8907" t="s">
        <v>147</v>
      </c>
      <c r="F8907" t="s">
        <v>4</v>
      </c>
      <c r="G8907" t="str">
        <f>""</f>
        <v/>
      </c>
    </row>
    <row r="8908" spans="1:7" x14ac:dyDescent="0.25">
      <c r="A8908" t="s">
        <v>8</v>
      </c>
      <c r="B8908" s="1" t="str">
        <f>"000277958 - "</f>
        <v xml:space="preserve">000277958 - </v>
      </c>
      <c r="D8908" s="1" t="str">
        <f t="shared" si="244"/>
        <v>PRG-1032567</v>
      </c>
      <c r="E8908" t="s">
        <v>147</v>
      </c>
      <c r="F8908" t="s">
        <v>4</v>
      </c>
      <c r="G8908" t="str">
        <f>""</f>
        <v/>
      </c>
    </row>
    <row r="8909" spans="1:7" x14ac:dyDescent="0.25">
      <c r="A8909" t="s">
        <v>8</v>
      </c>
      <c r="B8909" s="1" t="str">
        <f>"000278070 - RICH FOODS BB-FOODBUY"</f>
        <v>000278070 - RICH FOODS BB-FOODBUY</v>
      </c>
      <c r="C8909" t="s">
        <v>209</v>
      </c>
      <c r="D8909" s="1" t="str">
        <f t="shared" si="244"/>
        <v>PRG-1032567</v>
      </c>
      <c r="E8909" t="s">
        <v>147</v>
      </c>
      <c r="F8909" t="s">
        <v>4</v>
      </c>
      <c r="G8909" t="str">
        <f>""</f>
        <v/>
      </c>
    </row>
    <row r="8910" spans="1:7" x14ac:dyDescent="0.25">
      <c r="A8910" t="s">
        <v>8</v>
      </c>
      <c r="B8910" s="1" t="str">
        <f>"000278092 - RICH FOODS BB-FOODBUY"</f>
        <v>000278092 - RICH FOODS BB-FOODBUY</v>
      </c>
      <c r="C8910" t="s">
        <v>209</v>
      </c>
      <c r="D8910" s="1" t="str">
        <f t="shared" si="244"/>
        <v>PRG-1032567</v>
      </c>
      <c r="E8910" t="s">
        <v>147</v>
      </c>
      <c r="F8910" t="s">
        <v>4</v>
      </c>
      <c r="G8910" t="str">
        <f>""</f>
        <v/>
      </c>
    </row>
    <row r="8911" spans="1:7" x14ac:dyDescent="0.25">
      <c r="A8911" t="s">
        <v>8</v>
      </c>
      <c r="B8911" s="1" t="str">
        <f>"000278551 - RICH FOODS BB-FOODBUY"</f>
        <v>000278551 - RICH FOODS BB-FOODBUY</v>
      </c>
      <c r="C8911" t="s">
        <v>209</v>
      </c>
      <c r="D8911" s="1" t="str">
        <f t="shared" si="244"/>
        <v>PRG-1032567</v>
      </c>
      <c r="E8911" t="s">
        <v>147</v>
      </c>
      <c r="F8911" t="s">
        <v>4</v>
      </c>
      <c r="G8911" t="str">
        <f>""</f>
        <v/>
      </c>
    </row>
    <row r="8912" spans="1:7" x14ac:dyDescent="0.25">
      <c r="A8912" t="s">
        <v>8</v>
      </c>
      <c r="B8912" s="1" t="str">
        <f>"000280124 - RICH FOODS BB-FOODBUY"</f>
        <v>000280124 - RICH FOODS BB-FOODBUY</v>
      </c>
      <c r="C8912" t="s">
        <v>209</v>
      </c>
      <c r="D8912" s="1" t="str">
        <f t="shared" si="244"/>
        <v>PRG-1032567</v>
      </c>
      <c r="E8912" t="s">
        <v>147</v>
      </c>
      <c r="F8912" t="s">
        <v>4</v>
      </c>
      <c r="G8912" t="str">
        <f>""</f>
        <v/>
      </c>
    </row>
    <row r="8913" spans="1:7" x14ac:dyDescent="0.25">
      <c r="A8913" t="s">
        <v>8</v>
      </c>
      <c r="B8913" s="1" t="str">
        <f>"000281906 - RICH FOODS BB-FOODBUY"</f>
        <v>000281906 - RICH FOODS BB-FOODBUY</v>
      </c>
      <c r="C8913" t="s">
        <v>209</v>
      </c>
      <c r="D8913" s="1" t="str">
        <f t="shared" si="244"/>
        <v>PRG-1032567</v>
      </c>
      <c r="E8913" t="s">
        <v>147</v>
      </c>
      <c r="F8913" t="s">
        <v>4</v>
      </c>
      <c r="G8913" t="str">
        <f>""</f>
        <v/>
      </c>
    </row>
    <row r="8914" spans="1:7" x14ac:dyDescent="0.25">
      <c r="A8914" t="s">
        <v>8</v>
      </c>
      <c r="B8914" s="1" t="str">
        <f>"000282188 - RICH FOODS BB-FOODBUY"</f>
        <v>000282188 - RICH FOODS BB-FOODBUY</v>
      </c>
      <c r="C8914" t="s">
        <v>209</v>
      </c>
      <c r="D8914" s="1" t="str">
        <f t="shared" si="244"/>
        <v>PRG-1032567</v>
      </c>
      <c r="E8914" t="s">
        <v>147</v>
      </c>
      <c r="F8914" t="s">
        <v>4</v>
      </c>
      <c r="G8914" t="str">
        <f>""</f>
        <v/>
      </c>
    </row>
    <row r="8915" spans="1:7" x14ac:dyDescent="0.25">
      <c r="A8915" t="s">
        <v>8</v>
      </c>
      <c r="B8915" s="1" t="str">
        <f>"000283505 - RICH FOODS BB-FOODBUY"</f>
        <v>000283505 - RICH FOODS BB-FOODBUY</v>
      </c>
      <c r="C8915" t="s">
        <v>209</v>
      </c>
      <c r="D8915" s="1" t="str">
        <f t="shared" si="244"/>
        <v>PRG-1032567</v>
      </c>
      <c r="E8915" t="s">
        <v>147</v>
      </c>
      <c r="F8915" t="s">
        <v>4</v>
      </c>
      <c r="G8915" t="str">
        <f>""</f>
        <v/>
      </c>
    </row>
    <row r="8916" spans="1:7" x14ac:dyDescent="0.25">
      <c r="A8916" t="s">
        <v>8</v>
      </c>
      <c r="B8916" s="1" t="str">
        <f>"000284554 - RICH FOODS BB-FOODBUY"</f>
        <v>000284554 - RICH FOODS BB-FOODBUY</v>
      </c>
      <c r="C8916" t="s">
        <v>209</v>
      </c>
      <c r="D8916" s="1" t="str">
        <f t="shared" si="244"/>
        <v>PRG-1032567</v>
      </c>
      <c r="E8916" t="s">
        <v>147</v>
      </c>
      <c r="F8916" t="s">
        <v>4</v>
      </c>
      <c r="G8916" t="str">
        <f>""</f>
        <v/>
      </c>
    </row>
    <row r="8917" spans="1:7" x14ac:dyDescent="0.25">
      <c r="A8917" t="s">
        <v>8</v>
      </c>
      <c r="B8917" s="1" t="str">
        <f>"000285825 - RICH FOODS BB-FOODBUY"</f>
        <v>000285825 - RICH FOODS BB-FOODBUY</v>
      </c>
      <c r="C8917" t="s">
        <v>209</v>
      </c>
      <c r="D8917" s="1" t="str">
        <f t="shared" si="244"/>
        <v>PRG-1032567</v>
      </c>
      <c r="E8917" t="s">
        <v>147</v>
      </c>
      <c r="F8917" t="s">
        <v>4</v>
      </c>
      <c r="G8917" t="str">
        <f>""</f>
        <v/>
      </c>
    </row>
    <row r="8918" spans="1:7" x14ac:dyDescent="0.25">
      <c r="A8918" t="s">
        <v>8</v>
      </c>
      <c r="B8918" s="1" t="str">
        <f>"000286777 - RICH FOODS BB-FOODBUY"</f>
        <v>000286777 - RICH FOODS BB-FOODBUY</v>
      </c>
      <c r="C8918" t="s">
        <v>209</v>
      </c>
      <c r="D8918" s="1" t="str">
        <f t="shared" si="244"/>
        <v>PRG-1032567</v>
      </c>
      <c r="E8918" t="s">
        <v>147</v>
      </c>
      <c r="F8918" t="s">
        <v>4</v>
      </c>
      <c r="G8918" t="str">
        <f>""</f>
        <v/>
      </c>
    </row>
    <row r="8919" spans="1:7" x14ac:dyDescent="0.25">
      <c r="A8919" t="s">
        <v>8</v>
      </c>
      <c r="B8919" s="1" t="str">
        <f>"000288160 - RICH FOODS BB-FOODBUY"</f>
        <v>000288160 - RICH FOODS BB-FOODBUY</v>
      </c>
      <c r="C8919" t="s">
        <v>209</v>
      </c>
      <c r="D8919" s="1" t="str">
        <f t="shared" si="244"/>
        <v>PRG-1032567</v>
      </c>
      <c r="E8919" t="s">
        <v>147</v>
      </c>
      <c r="F8919" t="s">
        <v>4</v>
      </c>
      <c r="G8919" t="str">
        <f>""</f>
        <v/>
      </c>
    </row>
    <row r="8920" spans="1:7" x14ac:dyDescent="0.25">
      <c r="A8920" t="s">
        <v>8</v>
      </c>
      <c r="B8920" s="1" t="str">
        <f>"000289749 - RICH FOODS BB-FOODBUY"</f>
        <v>000289749 - RICH FOODS BB-FOODBUY</v>
      </c>
      <c r="C8920" t="s">
        <v>209</v>
      </c>
      <c r="D8920" s="1" t="str">
        <f t="shared" si="244"/>
        <v>PRG-1032567</v>
      </c>
      <c r="E8920" t="s">
        <v>147</v>
      </c>
      <c r="F8920" t="s">
        <v>4</v>
      </c>
      <c r="G8920" t="str">
        <f>""</f>
        <v/>
      </c>
    </row>
    <row r="8921" spans="1:7" x14ac:dyDescent="0.25">
      <c r="A8921" t="s">
        <v>8</v>
      </c>
      <c r="B8921" s="1" t="str">
        <f>"000289769 - FOODBUY (BB) (CORE) RICH FOODS"</f>
        <v>000289769 - FOODBUY (BB) (CORE) RICH FOODS</v>
      </c>
      <c r="C8921" t="s">
        <v>2798</v>
      </c>
      <c r="D8921" s="1" t="str">
        <f t="shared" si="244"/>
        <v>PRG-1032567</v>
      </c>
      <c r="E8921" t="s">
        <v>147</v>
      </c>
      <c r="F8921" t="s">
        <v>4</v>
      </c>
      <c r="G8921" t="str">
        <f>""</f>
        <v/>
      </c>
    </row>
    <row r="8922" spans="1:7" x14ac:dyDescent="0.25">
      <c r="A8922" t="s">
        <v>8</v>
      </c>
      <c r="B8922" s="1" t="str">
        <f>"000289779 - FOODBUY(BB)(NCORE)RICH FOODS"</f>
        <v>000289779 - FOODBUY(BB)(NCORE)RICH FOODS</v>
      </c>
      <c r="C8922" t="s">
        <v>2799</v>
      </c>
      <c r="D8922" s="1" t="str">
        <f t="shared" si="244"/>
        <v>PRG-1032567</v>
      </c>
      <c r="E8922" t="s">
        <v>147</v>
      </c>
      <c r="F8922" t="s">
        <v>4</v>
      </c>
      <c r="G8922" t="str">
        <f>""</f>
        <v/>
      </c>
    </row>
    <row r="8923" spans="1:7" x14ac:dyDescent="0.25">
      <c r="A8923" t="s">
        <v>8</v>
      </c>
      <c r="B8923" s="1" t="str">
        <f>"000290654 - FBUY COMM BYED BIMINI(BB)RICHS"</f>
        <v>000290654 - FBUY COMM BYED BIMINI(BB)RICHS</v>
      </c>
      <c r="C8923" t="s">
        <v>2831</v>
      </c>
      <c r="D8923" s="1" t="str">
        <f t="shared" si="244"/>
        <v>PRG-1032567</v>
      </c>
      <c r="E8923" t="s">
        <v>147</v>
      </c>
      <c r="F8923" t="s">
        <v>4</v>
      </c>
      <c r="G8923" t="str">
        <f>""</f>
        <v/>
      </c>
    </row>
    <row r="8924" spans="1:7" x14ac:dyDescent="0.25">
      <c r="A8924" t="s">
        <v>8</v>
      </c>
      <c r="B8924" s="1" t="str">
        <f>"000291984 - RICH FOODS BB-FOODBUY"</f>
        <v>000291984 - RICH FOODS BB-FOODBUY</v>
      </c>
      <c r="C8924" t="s">
        <v>209</v>
      </c>
      <c r="D8924" s="1" t="str">
        <f t="shared" si="244"/>
        <v>PRG-1032567</v>
      </c>
      <c r="E8924" t="s">
        <v>147</v>
      </c>
      <c r="F8924" t="s">
        <v>4</v>
      </c>
      <c r="G8924" t="str">
        <f>""</f>
        <v/>
      </c>
    </row>
    <row r="8925" spans="1:7" x14ac:dyDescent="0.25">
      <c r="A8925" t="s">
        <v>8</v>
      </c>
      <c r="B8925" s="1" t="str">
        <f>"000291987 - "</f>
        <v xml:space="preserve">000291987 - </v>
      </c>
      <c r="D8925" s="1" t="str">
        <f t="shared" si="244"/>
        <v>PRG-1032567</v>
      </c>
      <c r="E8925" t="s">
        <v>147</v>
      </c>
      <c r="F8925" t="s">
        <v>4</v>
      </c>
      <c r="G8925" t="str">
        <f>""</f>
        <v/>
      </c>
    </row>
    <row r="8926" spans="1:7" x14ac:dyDescent="0.25">
      <c r="A8926" t="s">
        <v>8</v>
      </c>
      <c r="B8926" s="1" t="str">
        <f>"000293188 - RICH FOODS BB-FOODBUY"</f>
        <v>000293188 - RICH FOODS BB-FOODBUY</v>
      </c>
      <c r="C8926" t="s">
        <v>209</v>
      </c>
      <c r="D8926" s="1" t="str">
        <f t="shared" si="244"/>
        <v>PRG-1032567</v>
      </c>
      <c r="E8926" t="s">
        <v>147</v>
      </c>
      <c r="F8926" t="s">
        <v>4</v>
      </c>
      <c r="G8926" t="str">
        <f>""</f>
        <v/>
      </c>
    </row>
    <row r="8927" spans="1:7" x14ac:dyDescent="0.25">
      <c r="A8927" t="s">
        <v>8</v>
      </c>
      <c r="B8927" s="1" t="str">
        <f>"000293737 - RICH FOODS BB-FOODBUY"</f>
        <v>000293737 - RICH FOODS BB-FOODBUY</v>
      </c>
      <c r="C8927" t="s">
        <v>209</v>
      </c>
      <c r="D8927" s="1" t="str">
        <f t="shared" si="244"/>
        <v>PRG-1032567</v>
      </c>
      <c r="E8927" t="s">
        <v>147</v>
      </c>
      <c r="F8927" t="s">
        <v>4</v>
      </c>
      <c r="G8927" t="str">
        <f>""</f>
        <v/>
      </c>
    </row>
    <row r="8928" spans="1:7" x14ac:dyDescent="0.25">
      <c r="A8928" t="s">
        <v>8</v>
      </c>
      <c r="B8928" s="1" t="str">
        <f>"000295517 - RICHS FOODS BB-FOODBUY"</f>
        <v>000295517 - RICHS FOODS BB-FOODBUY</v>
      </c>
      <c r="C8928" t="s">
        <v>393</v>
      </c>
      <c r="D8928" s="1" t="str">
        <f t="shared" si="244"/>
        <v>PRG-1032567</v>
      </c>
      <c r="E8928" t="s">
        <v>147</v>
      </c>
      <c r="F8928" t="s">
        <v>4</v>
      </c>
      <c r="G8928" t="str">
        <f>""</f>
        <v/>
      </c>
    </row>
    <row r="8929" spans="1:7" x14ac:dyDescent="0.25">
      <c r="A8929" t="s">
        <v>8</v>
      </c>
      <c r="B8929" s="1" t="str">
        <f>"000296287 - RICH FOODS BB-FOODBUY"</f>
        <v>000296287 - RICH FOODS BB-FOODBUY</v>
      </c>
      <c r="C8929" t="s">
        <v>209</v>
      </c>
      <c r="D8929" s="1" t="str">
        <f t="shared" si="244"/>
        <v>PRG-1032567</v>
      </c>
      <c r="E8929" t="s">
        <v>147</v>
      </c>
      <c r="F8929" t="s">
        <v>4</v>
      </c>
      <c r="G8929" t="str">
        <f>""</f>
        <v/>
      </c>
    </row>
    <row r="8930" spans="1:7" x14ac:dyDescent="0.25">
      <c r="A8930" t="s">
        <v>8</v>
      </c>
      <c r="B8930" s="1" t="str">
        <f>"000297055 - RICH FOODS BB-FOODBUY"</f>
        <v>000297055 - RICH FOODS BB-FOODBUY</v>
      </c>
      <c r="C8930" t="s">
        <v>209</v>
      </c>
      <c r="D8930" s="1" t="str">
        <f t="shared" si="244"/>
        <v>PRG-1032567</v>
      </c>
      <c r="E8930" t="s">
        <v>147</v>
      </c>
      <c r="F8930" t="s">
        <v>4</v>
      </c>
      <c r="G8930" t="str">
        <f>""</f>
        <v/>
      </c>
    </row>
    <row r="8931" spans="1:7" x14ac:dyDescent="0.25">
      <c r="A8931" t="s">
        <v>8</v>
      </c>
      <c r="B8931" s="1" t="str">
        <f>"000298458 - RICH FOODS BB-FOODBUY"</f>
        <v>000298458 - RICH FOODS BB-FOODBUY</v>
      </c>
      <c r="C8931" t="s">
        <v>209</v>
      </c>
      <c r="D8931" s="1" t="str">
        <f t="shared" si="244"/>
        <v>PRG-1032567</v>
      </c>
      <c r="E8931" t="s">
        <v>147</v>
      </c>
      <c r="F8931" t="s">
        <v>4</v>
      </c>
      <c r="G8931" t="str">
        <f>""</f>
        <v/>
      </c>
    </row>
    <row r="8932" spans="1:7" x14ac:dyDescent="0.25">
      <c r="A8932" t="s">
        <v>8</v>
      </c>
      <c r="B8932" s="1" t="str">
        <f>"000299553 - RICH FOODS BB-FOODBUY"</f>
        <v>000299553 - RICH FOODS BB-FOODBUY</v>
      </c>
      <c r="C8932" t="s">
        <v>209</v>
      </c>
      <c r="D8932" s="1" t="str">
        <f t="shared" si="244"/>
        <v>PRG-1032567</v>
      </c>
      <c r="E8932" t="s">
        <v>147</v>
      </c>
      <c r="F8932" t="s">
        <v>4</v>
      </c>
      <c r="G8932" t="str">
        <f>""</f>
        <v/>
      </c>
    </row>
    <row r="8933" spans="1:7" x14ac:dyDescent="0.25">
      <c r="A8933" t="s">
        <v>8</v>
      </c>
      <c r="B8933" s="1" t="str">
        <f>"000299965 - RICH FOODS BB-FOODBUY"</f>
        <v>000299965 - RICH FOODS BB-FOODBUY</v>
      </c>
      <c r="C8933" t="s">
        <v>209</v>
      </c>
      <c r="D8933" s="1" t="str">
        <f t="shared" si="244"/>
        <v>PRG-1032567</v>
      </c>
      <c r="E8933" t="s">
        <v>147</v>
      </c>
      <c r="F8933" t="s">
        <v>4</v>
      </c>
      <c r="G8933" t="str">
        <f>""</f>
        <v/>
      </c>
    </row>
    <row r="8934" spans="1:7" x14ac:dyDescent="0.25">
      <c r="A8934" t="s">
        <v>8</v>
      </c>
      <c r="B8934" s="1" t="str">
        <f>"000300307 - RICH FOODS BB  FOODBUY"</f>
        <v>000300307 - RICH FOODS BB  FOODBUY</v>
      </c>
      <c r="C8934" t="s">
        <v>2970</v>
      </c>
      <c r="D8934" s="1" t="str">
        <f t="shared" si="244"/>
        <v>PRG-1032567</v>
      </c>
      <c r="E8934" t="s">
        <v>147</v>
      </c>
      <c r="F8934" t="s">
        <v>4</v>
      </c>
      <c r="G8934" t="str">
        <f>""</f>
        <v/>
      </c>
    </row>
    <row r="8935" spans="1:7" x14ac:dyDescent="0.25">
      <c r="A8935" t="s">
        <v>8</v>
      </c>
      <c r="B8935" s="1" t="str">
        <f>"000300351 - RICH FOODS BB-FOODBUY"</f>
        <v>000300351 - RICH FOODS BB-FOODBUY</v>
      </c>
      <c r="C8935" t="s">
        <v>209</v>
      </c>
      <c r="D8935" s="1" t="str">
        <f t="shared" si="244"/>
        <v>PRG-1032567</v>
      </c>
      <c r="E8935" t="s">
        <v>147</v>
      </c>
      <c r="F8935" t="s">
        <v>4</v>
      </c>
      <c r="G8935" t="str">
        <f>""</f>
        <v/>
      </c>
    </row>
    <row r="8936" spans="1:7" x14ac:dyDescent="0.25">
      <c r="A8936" t="s">
        <v>8</v>
      </c>
      <c r="B8936" s="1" t="str">
        <f>"000300869 - RICH FOODS BB-FOODBUY"</f>
        <v>000300869 - RICH FOODS BB-FOODBUY</v>
      </c>
      <c r="C8936" t="s">
        <v>209</v>
      </c>
      <c r="D8936" s="1" t="str">
        <f t="shared" si="244"/>
        <v>PRG-1032567</v>
      </c>
      <c r="E8936" t="s">
        <v>147</v>
      </c>
      <c r="F8936" t="s">
        <v>4</v>
      </c>
      <c r="G8936" t="str">
        <f>""</f>
        <v/>
      </c>
    </row>
    <row r="8937" spans="1:7" x14ac:dyDescent="0.25">
      <c r="A8937" t="s">
        <v>8</v>
      </c>
      <c r="B8937" s="1" t="str">
        <f>"000300878 - RICHS FOODS BB-FOODBUY SPIN"</f>
        <v>000300878 - RICHS FOODS BB-FOODBUY SPIN</v>
      </c>
      <c r="C8937" t="s">
        <v>2974</v>
      </c>
      <c r="D8937" s="1" t="str">
        <f t="shared" si="244"/>
        <v>PRG-1032567</v>
      </c>
      <c r="E8937" t="s">
        <v>147</v>
      </c>
      <c r="F8937" t="s">
        <v>4</v>
      </c>
      <c r="G8937" t="str">
        <f>""</f>
        <v/>
      </c>
    </row>
    <row r="8938" spans="1:7" x14ac:dyDescent="0.25">
      <c r="A8938" t="s">
        <v>8</v>
      </c>
      <c r="B8938" s="1" t="str">
        <f>"000301587 - RICH FOODS BB-FOODBUY"</f>
        <v>000301587 - RICH FOODS BB-FOODBUY</v>
      </c>
      <c r="C8938" t="s">
        <v>209</v>
      </c>
      <c r="D8938" s="1" t="str">
        <f t="shared" si="244"/>
        <v>PRG-1032567</v>
      </c>
      <c r="E8938" t="s">
        <v>147</v>
      </c>
      <c r="F8938" t="s">
        <v>4</v>
      </c>
      <c r="G8938" t="str">
        <f>""</f>
        <v/>
      </c>
    </row>
    <row r="8939" spans="1:7" x14ac:dyDescent="0.25">
      <c r="A8939" t="s">
        <v>8</v>
      </c>
      <c r="B8939" s="1" t="str">
        <f>"000302581 - RICH FOODS BB-FOODBUY"</f>
        <v>000302581 - RICH FOODS BB-FOODBUY</v>
      </c>
      <c r="C8939" t="s">
        <v>209</v>
      </c>
      <c r="D8939" s="1" t="str">
        <f t="shared" si="244"/>
        <v>PRG-1032567</v>
      </c>
      <c r="E8939" t="s">
        <v>147</v>
      </c>
      <c r="F8939" t="s">
        <v>4</v>
      </c>
      <c r="G8939" t="str">
        <f>""</f>
        <v/>
      </c>
    </row>
    <row r="8940" spans="1:7" x14ac:dyDescent="0.25">
      <c r="A8940" t="s">
        <v>8</v>
      </c>
      <c r="B8940" s="1" t="str">
        <f>"000303139 - RICH FOODS BB-FOODBUY"</f>
        <v>000303139 - RICH FOODS BB-FOODBUY</v>
      </c>
      <c r="C8940" t="s">
        <v>209</v>
      </c>
      <c r="D8940" s="1" t="str">
        <f t="shared" si="244"/>
        <v>PRG-1032567</v>
      </c>
      <c r="E8940" t="s">
        <v>147</v>
      </c>
      <c r="F8940" t="s">
        <v>4</v>
      </c>
      <c r="G8940" t="str">
        <f>""</f>
        <v/>
      </c>
    </row>
    <row r="8941" spans="1:7" x14ac:dyDescent="0.25">
      <c r="A8941" t="s">
        <v>8</v>
      </c>
      <c r="B8941" s="1" t="str">
        <f>"000303367 - RICH FOODS BB FOODBUY"</f>
        <v>000303367 - RICH FOODS BB FOODBUY</v>
      </c>
      <c r="C8941" t="s">
        <v>228</v>
      </c>
      <c r="D8941" s="1" t="str">
        <f t="shared" si="244"/>
        <v>PRG-1032567</v>
      </c>
      <c r="E8941" t="s">
        <v>147</v>
      </c>
      <c r="F8941" t="s">
        <v>4</v>
      </c>
      <c r="G8941" t="str">
        <f>""</f>
        <v/>
      </c>
    </row>
    <row r="8942" spans="1:7" x14ac:dyDescent="0.25">
      <c r="A8942" t="s">
        <v>8</v>
      </c>
      <c r="B8942" s="1" t="str">
        <f>"000303614 - RICH FOODS BB-FOODBUY"</f>
        <v>000303614 - RICH FOODS BB-FOODBUY</v>
      </c>
      <c r="C8942" t="s">
        <v>209</v>
      </c>
      <c r="D8942" s="1" t="str">
        <f t="shared" si="244"/>
        <v>PRG-1032567</v>
      </c>
      <c r="E8942" t="s">
        <v>147</v>
      </c>
      <c r="F8942" t="s">
        <v>4</v>
      </c>
      <c r="G8942" t="str">
        <f>""</f>
        <v/>
      </c>
    </row>
    <row r="8943" spans="1:7" x14ac:dyDescent="0.25">
      <c r="A8943" t="s">
        <v>8</v>
      </c>
      <c r="B8943" s="1" t="str">
        <f>"000303633 - RICH FOODS BB-FOODBUY"</f>
        <v>000303633 - RICH FOODS BB-FOODBUY</v>
      </c>
      <c r="C8943" t="s">
        <v>209</v>
      </c>
      <c r="D8943" s="1" t="str">
        <f t="shared" si="244"/>
        <v>PRG-1032567</v>
      </c>
      <c r="E8943" t="s">
        <v>147</v>
      </c>
      <c r="F8943" t="s">
        <v>4</v>
      </c>
      <c r="G8943" t="str">
        <f>""</f>
        <v/>
      </c>
    </row>
    <row r="8944" spans="1:7" x14ac:dyDescent="0.25">
      <c r="A8944" t="s">
        <v>8</v>
      </c>
      <c r="B8944" s="1" t="str">
        <f>"000303799 - RICH FOODS BB-FOODBUY"</f>
        <v>000303799 - RICH FOODS BB-FOODBUY</v>
      </c>
      <c r="C8944" t="s">
        <v>209</v>
      </c>
      <c r="D8944" s="1" t="str">
        <f t="shared" si="244"/>
        <v>PRG-1032567</v>
      </c>
      <c r="E8944" t="s">
        <v>147</v>
      </c>
      <c r="F8944" t="s">
        <v>4</v>
      </c>
      <c r="G8944" t="str">
        <f>""</f>
        <v/>
      </c>
    </row>
    <row r="8945" spans="1:7" x14ac:dyDescent="0.25">
      <c r="A8945" t="s">
        <v>8</v>
      </c>
      <c r="B8945" s="1" t="str">
        <f>"000304451 - RICH FOODS BB-FOODBUY"</f>
        <v>000304451 - RICH FOODS BB-FOODBUY</v>
      </c>
      <c r="C8945" t="s">
        <v>209</v>
      </c>
      <c r="D8945" s="1" t="str">
        <f t="shared" si="244"/>
        <v>PRG-1032567</v>
      </c>
      <c r="E8945" t="s">
        <v>147</v>
      </c>
      <c r="F8945" t="s">
        <v>4</v>
      </c>
      <c r="G8945" t="str">
        <f>""</f>
        <v/>
      </c>
    </row>
    <row r="8946" spans="1:7" x14ac:dyDescent="0.25">
      <c r="A8946" t="s">
        <v>8</v>
      </c>
      <c r="B8946" s="1" t="str">
        <f>"000305344 - "</f>
        <v xml:space="preserve">000305344 - </v>
      </c>
      <c r="D8946" s="1" t="str">
        <f t="shared" si="244"/>
        <v>PRG-1032567</v>
      </c>
      <c r="E8946" t="s">
        <v>147</v>
      </c>
      <c r="F8946" t="s">
        <v>4</v>
      </c>
      <c r="G8946" t="str">
        <f>""</f>
        <v/>
      </c>
    </row>
    <row r="8947" spans="1:7" x14ac:dyDescent="0.25">
      <c r="A8947" t="s">
        <v>8</v>
      </c>
      <c r="B8947" s="1" t="str">
        <f>"000305372 - RICHS FOODS BB-FOODBUY"</f>
        <v>000305372 - RICHS FOODS BB-FOODBUY</v>
      </c>
      <c r="C8947" t="s">
        <v>393</v>
      </c>
      <c r="D8947" s="1" t="str">
        <f t="shared" si="244"/>
        <v>PRG-1032567</v>
      </c>
      <c r="E8947" t="s">
        <v>147</v>
      </c>
      <c r="F8947" t="s">
        <v>4</v>
      </c>
      <c r="G8947" t="str">
        <f>""</f>
        <v/>
      </c>
    </row>
    <row r="8948" spans="1:7" x14ac:dyDescent="0.25">
      <c r="A8948" t="s">
        <v>8</v>
      </c>
      <c r="B8948" s="1" t="str">
        <f>"000305825 - RICH FOODS BB-FOODBUY"</f>
        <v>000305825 - RICH FOODS BB-FOODBUY</v>
      </c>
      <c r="C8948" t="s">
        <v>209</v>
      </c>
      <c r="D8948" s="1" t="str">
        <f t="shared" ref="D8948:D9011" si="245">"PRG-1032567"</f>
        <v>PRG-1032567</v>
      </c>
      <c r="E8948" t="s">
        <v>147</v>
      </c>
      <c r="F8948" t="s">
        <v>4</v>
      </c>
      <c r="G8948" t="str">
        <f>""</f>
        <v/>
      </c>
    </row>
    <row r="8949" spans="1:7" x14ac:dyDescent="0.25">
      <c r="A8949" t="s">
        <v>8</v>
      </c>
      <c r="B8949" s="1" t="str">
        <f>"000305861 - RICHS FOODS BB RETR FOODBUY"</f>
        <v>000305861 - RICHS FOODS BB RETR FOODBUY</v>
      </c>
      <c r="C8949" t="s">
        <v>3034</v>
      </c>
      <c r="D8949" s="1" t="str">
        <f t="shared" si="245"/>
        <v>PRG-1032567</v>
      </c>
      <c r="E8949" t="s">
        <v>147</v>
      </c>
      <c r="F8949" t="s">
        <v>4</v>
      </c>
      <c r="G8949" t="str">
        <f>""</f>
        <v/>
      </c>
    </row>
    <row r="8950" spans="1:7" x14ac:dyDescent="0.25">
      <c r="A8950" t="s">
        <v>8</v>
      </c>
      <c r="B8950" s="1" t="str">
        <f>"000305862 - RICHS FOODS BB RETR FOODBUY"</f>
        <v>000305862 - RICHS FOODS BB RETR FOODBUY</v>
      </c>
      <c r="C8950" t="s">
        <v>3034</v>
      </c>
      <c r="D8950" s="1" t="str">
        <f t="shared" si="245"/>
        <v>PRG-1032567</v>
      </c>
      <c r="E8950" t="s">
        <v>147</v>
      </c>
      <c r="F8950" t="s">
        <v>4</v>
      </c>
      <c r="G8950" t="str">
        <f>""</f>
        <v/>
      </c>
    </row>
    <row r="8951" spans="1:7" x14ac:dyDescent="0.25">
      <c r="A8951" t="s">
        <v>8</v>
      </c>
      <c r="B8951" s="1" t="str">
        <f>"000305864 - RICH FOODS BB RETRO FOODBUY"</f>
        <v>000305864 - RICH FOODS BB RETRO FOODBUY</v>
      </c>
      <c r="C8951" t="s">
        <v>2055</v>
      </c>
      <c r="D8951" s="1" t="str">
        <f t="shared" si="245"/>
        <v>PRG-1032567</v>
      </c>
      <c r="E8951" t="s">
        <v>147</v>
      </c>
      <c r="F8951" t="s">
        <v>4</v>
      </c>
      <c r="G8951" t="str">
        <f>""</f>
        <v/>
      </c>
    </row>
    <row r="8952" spans="1:7" x14ac:dyDescent="0.25">
      <c r="A8952" t="s">
        <v>8</v>
      </c>
      <c r="B8952" s="1" t="str">
        <f>"000306670 - RICH FOODS BB-FOODBUY"</f>
        <v>000306670 - RICH FOODS BB-FOODBUY</v>
      </c>
      <c r="C8952" t="s">
        <v>209</v>
      </c>
      <c r="D8952" s="1" t="str">
        <f t="shared" si="245"/>
        <v>PRG-1032567</v>
      </c>
      <c r="E8952" t="s">
        <v>147</v>
      </c>
      <c r="F8952" t="s">
        <v>4</v>
      </c>
      <c r="G8952" t="str">
        <f>""</f>
        <v/>
      </c>
    </row>
    <row r="8953" spans="1:7" x14ac:dyDescent="0.25">
      <c r="A8953" t="s">
        <v>8</v>
      </c>
      <c r="B8953" s="1" t="str">
        <f>"000306774 - VOID"</f>
        <v>000306774 - VOID</v>
      </c>
      <c r="C8953" t="s">
        <v>3050</v>
      </c>
      <c r="D8953" s="1" t="str">
        <f t="shared" si="245"/>
        <v>PRG-1032567</v>
      </c>
      <c r="E8953" t="s">
        <v>147</v>
      </c>
      <c r="F8953" t="s">
        <v>4</v>
      </c>
      <c r="G8953" t="str">
        <f>""</f>
        <v/>
      </c>
    </row>
    <row r="8954" spans="1:7" x14ac:dyDescent="0.25">
      <c r="A8954" t="s">
        <v>8</v>
      </c>
      <c r="B8954" s="1" t="str">
        <f>"000307803 - RICH FOODS BB-FOODBUY"</f>
        <v>000307803 - RICH FOODS BB-FOODBUY</v>
      </c>
      <c r="C8954" t="s">
        <v>209</v>
      </c>
      <c r="D8954" s="1" t="str">
        <f t="shared" si="245"/>
        <v>PRG-1032567</v>
      </c>
      <c r="E8954" t="s">
        <v>147</v>
      </c>
      <c r="F8954" t="s">
        <v>4</v>
      </c>
      <c r="G8954" t="str">
        <f>""</f>
        <v/>
      </c>
    </row>
    <row r="8955" spans="1:7" x14ac:dyDescent="0.25">
      <c r="A8955" t="s">
        <v>8</v>
      </c>
      <c r="B8955" s="1" t="str">
        <f>"000307852 - RICH FOODS BB-FOODBUY"</f>
        <v>000307852 - RICH FOODS BB-FOODBUY</v>
      </c>
      <c r="C8955" t="s">
        <v>209</v>
      </c>
      <c r="D8955" s="1" t="str">
        <f t="shared" si="245"/>
        <v>PRG-1032567</v>
      </c>
      <c r="E8955" t="s">
        <v>147</v>
      </c>
      <c r="F8955" t="s">
        <v>4</v>
      </c>
      <c r="G8955" t="str">
        <f>""</f>
        <v/>
      </c>
    </row>
    <row r="8956" spans="1:7" x14ac:dyDescent="0.25">
      <c r="A8956" t="s">
        <v>8</v>
      </c>
      <c r="B8956" s="1" t="str">
        <f>"000308158 - RICH FDS BB-FOODBUY DPM RETRO"</f>
        <v>000308158 - RICH FDS BB-FOODBUY DPM RETRO</v>
      </c>
      <c r="C8956" t="s">
        <v>3079</v>
      </c>
      <c r="D8956" s="1" t="str">
        <f t="shared" si="245"/>
        <v>PRG-1032567</v>
      </c>
      <c r="E8956" t="s">
        <v>147</v>
      </c>
      <c r="F8956" t="s">
        <v>4</v>
      </c>
      <c r="G8956" t="str">
        <f>""</f>
        <v/>
      </c>
    </row>
    <row r="8957" spans="1:7" x14ac:dyDescent="0.25">
      <c r="A8957" t="s">
        <v>8</v>
      </c>
      <c r="B8957" s="1" t="str">
        <f>"000308575 - RICH FOODS BB-FOODBUY"</f>
        <v>000308575 - RICH FOODS BB-FOODBUY</v>
      </c>
      <c r="C8957" t="s">
        <v>209</v>
      </c>
      <c r="D8957" s="1" t="str">
        <f t="shared" si="245"/>
        <v>PRG-1032567</v>
      </c>
      <c r="E8957" t="s">
        <v>147</v>
      </c>
      <c r="F8957" t="s">
        <v>4</v>
      </c>
      <c r="G8957" t="str">
        <f>""</f>
        <v/>
      </c>
    </row>
    <row r="8958" spans="1:7" x14ac:dyDescent="0.25">
      <c r="A8958" t="s">
        <v>8</v>
      </c>
      <c r="B8958" s="1" t="str">
        <f>"000310120 - RICH FOODS BB-FOODBUY"</f>
        <v>000310120 - RICH FOODS BB-FOODBUY</v>
      </c>
      <c r="C8958" t="s">
        <v>209</v>
      </c>
      <c r="D8958" s="1" t="str">
        <f t="shared" si="245"/>
        <v>PRG-1032567</v>
      </c>
      <c r="E8958" t="s">
        <v>147</v>
      </c>
      <c r="F8958" t="s">
        <v>4</v>
      </c>
      <c r="G8958" t="str">
        <f>""</f>
        <v/>
      </c>
    </row>
    <row r="8959" spans="1:7" x14ac:dyDescent="0.25">
      <c r="A8959" t="s">
        <v>8</v>
      </c>
      <c r="B8959" s="1" t="str">
        <f>"000310479 - RICHS FOODS BB-FOODBUY"</f>
        <v>000310479 - RICHS FOODS BB-FOODBUY</v>
      </c>
      <c r="C8959" t="s">
        <v>393</v>
      </c>
      <c r="D8959" s="1" t="str">
        <f t="shared" si="245"/>
        <v>PRG-1032567</v>
      </c>
      <c r="E8959" t="s">
        <v>147</v>
      </c>
      <c r="F8959" t="s">
        <v>4</v>
      </c>
      <c r="G8959" t="str">
        <f>""</f>
        <v/>
      </c>
    </row>
    <row r="8960" spans="1:7" x14ac:dyDescent="0.25">
      <c r="A8960" t="s">
        <v>8</v>
      </c>
      <c r="B8960" s="1" t="str">
        <f>"000311292 - RICH FOODS BB-FOODBUY"</f>
        <v>000311292 - RICH FOODS BB-FOODBUY</v>
      </c>
      <c r="C8960" t="s">
        <v>209</v>
      </c>
      <c r="D8960" s="1" t="str">
        <f t="shared" si="245"/>
        <v>PRG-1032567</v>
      </c>
      <c r="E8960" t="s">
        <v>147</v>
      </c>
      <c r="F8960" t="s">
        <v>4</v>
      </c>
      <c r="G8960" t="str">
        <f>""</f>
        <v/>
      </c>
    </row>
    <row r="8961" spans="1:7" x14ac:dyDescent="0.25">
      <c r="A8961" t="s">
        <v>8</v>
      </c>
      <c r="B8961" s="1" t="str">
        <f>"000311957 - RICHS FOODS BB-FOODBUY"</f>
        <v>000311957 - RICHS FOODS BB-FOODBUY</v>
      </c>
      <c r="C8961" t="s">
        <v>393</v>
      </c>
      <c r="D8961" s="1" t="str">
        <f t="shared" si="245"/>
        <v>PRG-1032567</v>
      </c>
      <c r="E8961" t="s">
        <v>147</v>
      </c>
      <c r="F8961" t="s">
        <v>4</v>
      </c>
      <c r="G8961" t="str">
        <f>""</f>
        <v/>
      </c>
    </row>
    <row r="8962" spans="1:7" x14ac:dyDescent="0.25">
      <c r="A8962" t="s">
        <v>8</v>
      </c>
      <c r="B8962" s="1" t="str">
        <f>"000312466 - RICH FOODS BB-FOODBUY"</f>
        <v>000312466 - RICH FOODS BB-FOODBUY</v>
      </c>
      <c r="C8962" t="s">
        <v>209</v>
      </c>
      <c r="D8962" s="1" t="str">
        <f t="shared" si="245"/>
        <v>PRG-1032567</v>
      </c>
      <c r="E8962" t="s">
        <v>147</v>
      </c>
      <c r="F8962" t="s">
        <v>4</v>
      </c>
      <c r="G8962" t="str">
        <f>""</f>
        <v/>
      </c>
    </row>
    <row r="8963" spans="1:7" x14ac:dyDescent="0.25">
      <c r="A8963" t="s">
        <v>8</v>
      </c>
      <c r="B8963" s="1" t="str">
        <f>"000312882 - RICH FOODS BB-FOODBUY"</f>
        <v>000312882 - RICH FOODS BB-FOODBUY</v>
      </c>
      <c r="C8963" t="s">
        <v>209</v>
      </c>
      <c r="D8963" s="1" t="str">
        <f t="shared" si="245"/>
        <v>PRG-1032567</v>
      </c>
      <c r="E8963" t="s">
        <v>147</v>
      </c>
      <c r="F8963" t="s">
        <v>4</v>
      </c>
      <c r="G8963" t="str">
        <f>""</f>
        <v/>
      </c>
    </row>
    <row r="8964" spans="1:7" x14ac:dyDescent="0.25">
      <c r="A8964" t="s">
        <v>8</v>
      </c>
      <c r="B8964" s="1" t="str">
        <f>"000313069 - RICH FOODS BB RETRO FOODBUY"</f>
        <v>000313069 - RICH FOODS BB RETRO FOODBUY</v>
      </c>
      <c r="C8964" t="s">
        <v>2055</v>
      </c>
      <c r="D8964" s="1" t="str">
        <f t="shared" si="245"/>
        <v>PRG-1032567</v>
      </c>
      <c r="E8964" t="s">
        <v>147</v>
      </c>
      <c r="F8964" t="s">
        <v>4</v>
      </c>
      <c r="G8964" t="str">
        <f>""</f>
        <v/>
      </c>
    </row>
    <row r="8965" spans="1:7" x14ac:dyDescent="0.25">
      <c r="A8965" t="s">
        <v>8</v>
      </c>
      <c r="B8965" s="1" t="str">
        <f>"000313070 - RICH FOODS BB RETRO FOODBUY"</f>
        <v>000313070 - RICH FOODS BB RETRO FOODBUY</v>
      </c>
      <c r="C8965" t="s">
        <v>2055</v>
      </c>
      <c r="D8965" s="1" t="str">
        <f t="shared" si="245"/>
        <v>PRG-1032567</v>
      </c>
      <c r="E8965" t="s">
        <v>147</v>
      </c>
      <c r="F8965" t="s">
        <v>4</v>
      </c>
      <c r="G8965" t="str">
        <f>""</f>
        <v/>
      </c>
    </row>
    <row r="8966" spans="1:7" x14ac:dyDescent="0.25">
      <c r="A8966" t="s">
        <v>8</v>
      </c>
      <c r="B8966" s="1" t="str">
        <f>"000313077 - RICH FOODS BB FOODBUY"</f>
        <v>000313077 - RICH FOODS BB FOODBUY</v>
      </c>
      <c r="C8966" t="s">
        <v>228</v>
      </c>
      <c r="D8966" s="1" t="str">
        <f t="shared" si="245"/>
        <v>PRG-1032567</v>
      </c>
      <c r="E8966" t="s">
        <v>147</v>
      </c>
      <c r="F8966" t="s">
        <v>4</v>
      </c>
      <c r="G8966" t="str">
        <f>""</f>
        <v/>
      </c>
    </row>
    <row r="8967" spans="1:7" x14ac:dyDescent="0.25">
      <c r="A8967" t="s">
        <v>8</v>
      </c>
      <c r="B8967" s="1" t="str">
        <f>"000313191 - RICH FOODS BB-FOODBUY"</f>
        <v>000313191 - RICH FOODS BB-FOODBUY</v>
      </c>
      <c r="C8967" t="s">
        <v>209</v>
      </c>
      <c r="D8967" s="1" t="str">
        <f t="shared" si="245"/>
        <v>PRG-1032567</v>
      </c>
      <c r="E8967" t="s">
        <v>147</v>
      </c>
      <c r="F8967" t="s">
        <v>4</v>
      </c>
      <c r="G8967" t="str">
        <f>""</f>
        <v/>
      </c>
    </row>
    <row r="8968" spans="1:7" x14ac:dyDescent="0.25">
      <c r="A8968" t="s">
        <v>8</v>
      </c>
      <c r="B8968" s="1" t="str">
        <f>"000313203 - RICH FOODS BB-FOODBUY"</f>
        <v>000313203 - RICH FOODS BB-FOODBUY</v>
      </c>
      <c r="C8968" t="s">
        <v>209</v>
      </c>
      <c r="D8968" s="1" t="str">
        <f t="shared" si="245"/>
        <v>PRG-1032567</v>
      </c>
      <c r="E8968" t="s">
        <v>147</v>
      </c>
      <c r="F8968" t="s">
        <v>4</v>
      </c>
      <c r="G8968" t="str">
        <f>""</f>
        <v/>
      </c>
    </row>
    <row r="8969" spans="1:7" x14ac:dyDescent="0.25">
      <c r="A8969" t="s">
        <v>8</v>
      </c>
      <c r="B8969" s="1" t="str">
        <f>"000313673 - RICH FOODS BB-FOODBUY"</f>
        <v>000313673 - RICH FOODS BB-FOODBUY</v>
      </c>
      <c r="C8969" t="s">
        <v>209</v>
      </c>
      <c r="D8969" s="1" t="str">
        <f t="shared" si="245"/>
        <v>PRG-1032567</v>
      </c>
      <c r="E8969" t="s">
        <v>147</v>
      </c>
      <c r="F8969" t="s">
        <v>4</v>
      </c>
      <c r="G8969" t="str">
        <f>""</f>
        <v/>
      </c>
    </row>
    <row r="8970" spans="1:7" x14ac:dyDescent="0.25">
      <c r="A8970" t="s">
        <v>8</v>
      </c>
      <c r="B8970" s="1" t="str">
        <f>"000313763 - RICH FOODS BB-FOODBUY"</f>
        <v>000313763 - RICH FOODS BB-FOODBUY</v>
      </c>
      <c r="C8970" t="s">
        <v>209</v>
      </c>
      <c r="D8970" s="1" t="str">
        <f t="shared" si="245"/>
        <v>PRG-1032567</v>
      </c>
      <c r="E8970" t="s">
        <v>147</v>
      </c>
      <c r="F8970" t="s">
        <v>4</v>
      </c>
      <c r="G8970" t="str">
        <f>""</f>
        <v/>
      </c>
    </row>
    <row r="8971" spans="1:7" x14ac:dyDescent="0.25">
      <c r="A8971" t="s">
        <v>8</v>
      </c>
      <c r="B8971" s="1" t="str">
        <f>"000313800 - RICH FOODS BB-FOODBUY"</f>
        <v>000313800 - RICH FOODS BB-FOODBUY</v>
      </c>
      <c r="C8971" t="s">
        <v>209</v>
      </c>
      <c r="D8971" s="1" t="str">
        <f t="shared" si="245"/>
        <v>PRG-1032567</v>
      </c>
      <c r="E8971" t="s">
        <v>147</v>
      </c>
      <c r="F8971" t="s">
        <v>4</v>
      </c>
      <c r="G8971" t="str">
        <f>""</f>
        <v/>
      </c>
    </row>
    <row r="8972" spans="1:7" x14ac:dyDescent="0.25">
      <c r="A8972" t="s">
        <v>8</v>
      </c>
      <c r="B8972" s="1" t="str">
        <f>"000314082 - RICH FOODS BB-FOODBUY"</f>
        <v>000314082 - RICH FOODS BB-FOODBUY</v>
      </c>
      <c r="C8972" t="s">
        <v>209</v>
      </c>
      <c r="D8972" s="1" t="str">
        <f t="shared" si="245"/>
        <v>PRG-1032567</v>
      </c>
      <c r="E8972" t="s">
        <v>147</v>
      </c>
      <c r="F8972" t="s">
        <v>4</v>
      </c>
      <c r="G8972" t="str">
        <f>""</f>
        <v/>
      </c>
    </row>
    <row r="8973" spans="1:7" x14ac:dyDescent="0.25">
      <c r="A8973" t="s">
        <v>8</v>
      </c>
      <c r="B8973" s="1" t="str">
        <f>"000314120 - RICH FOODS BB-FOODBUY"</f>
        <v>000314120 - RICH FOODS BB-FOODBUY</v>
      </c>
      <c r="C8973" t="s">
        <v>209</v>
      </c>
      <c r="D8973" s="1" t="str">
        <f t="shared" si="245"/>
        <v>PRG-1032567</v>
      </c>
      <c r="E8973" t="s">
        <v>147</v>
      </c>
      <c r="F8973" t="s">
        <v>4</v>
      </c>
      <c r="G8973" t="str">
        <f>""</f>
        <v/>
      </c>
    </row>
    <row r="8974" spans="1:7" x14ac:dyDescent="0.25">
      <c r="A8974" t="s">
        <v>8</v>
      </c>
      <c r="B8974" s="1" t="str">
        <f>"000314702 - RICH FOODS BB-FOODBUY"</f>
        <v>000314702 - RICH FOODS BB-FOODBUY</v>
      </c>
      <c r="C8974" t="s">
        <v>209</v>
      </c>
      <c r="D8974" s="1" t="str">
        <f t="shared" si="245"/>
        <v>PRG-1032567</v>
      </c>
      <c r="E8974" t="s">
        <v>147</v>
      </c>
      <c r="F8974" t="s">
        <v>4</v>
      </c>
      <c r="G8974" t="str">
        <f>""</f>
        <v/>
      </c>
    </row>
    <row r="8975" spans="1:7" x14ac:dyDescent="0.25">
      <c r="A8975" t="s">
        <v>8</v>
      </c>
      <c r="B8975" s="1" t="str">
        <f>"000314709 - RICH FOODS BB-FOODBUY"</f>
        <v>000314709 - RICH FOODS BB-FOODBUY</v>
      </c>
      <c r="C8975" t="s">
        <v>209</v>
      </c>
      <c r="D8975" s="1" t="str">
        <f t="shared" si="245"/>
        <v>PRG-1032567</v>
      </c>
      <c r="E8975" t="s">
        <v>147</v>
      </c>
      <c r="F8975" t="s">
        <v>4</v>
      </c>
      <c r="G8975" t="str">
        <f>""</f>
        <v/>
      </c>
    </row>
    <row r="8976" spans="1:7" x14ac:dyDescent="0.25">
      <c r="A8976" t="s">
        <v>8</v>
      </c>
      <c r="B8976" s="1" t="str">
        <f>"000315028 - RICH FOODS BB-FOODBUY"</f>
        <v>000315028 - RICH FOODS BB-FOODBUY</v>
      </c>
      <c r="C8976" t="s">
        <v>209</v>
      </c>
      <c r="D8976" s="1" t="str">
        <f t="shared" si="245"/>
        <v>PRG-1032567</v>
      </c>
      <c r="E8976" t="s">
        <v>147</v>
      </c>
      <c r="F8976" t="s">
        <v>4</v>
      </c>
      <c r="G8976" t="str">
        <f>""</f>
        <v/>
      </c>
    </row>
    <row r="8977" spans="1:7" x14ac:dyDescent="0.25">
      <c r="A8977" t="s">
        <v>8</v>
      </c>
      <c r="B8977" s="1" t="str">
        <f>"000316205 - RICH FOODS BB-FOODBUY"</f>
        <v>000316205 - RICH FOODS BB-FOODBUY</v>
      </c>
      <c r="C8977" t="s">
        <v>209</v>
      </c>
      <c r="D8977" s="1" t="str">
        <f t="shared" si="245"/>
        <v>PRG-1032567</v>
      </c>
      <c r="E8977" t="s">
        <v>147</v>
      </c>
      <c r="F8977" t="s">
        <v>4</v>
      </c>
      <c r="G8977" t="str">
        <f>""</f>
        <v/>
      </c>
    </row>
    <row r="8978" spans="1:7" x14ac:dyDescent="0.25">
      <c r="A8978" t="s">
        <v>8</v>
      </c>
      <c r="B8978" s="1" t="str">
        <f>"000316646 - RICH FOODS BB-FOODBUY"</f>
        <v>000316646 - RICH FOODS BB-FOODBUY</v>
      </c>
      <c r="C8978" t="s">
        <v>209</v>
      </c>
      <c r="D8978" s="1" t="str">
        <f t="shared" si="245"/>
        <v>PRG-1032567</v>
      </c>
      <c r="E8978" t="s">
        <v>147</v>
      </c>
      <c r="F8978" t="s">
        <v>4</v>
      </c>
      <c r="G8978" t="str">
        <f>""</f>
        <v/>
      </c>
    </row>
    <row r="8979" spans="1:7" x14ac:dyDescent="0.25">
      <c r="A8979" t="s">
        <v>8</v>
      </c>
      <c r="B8979" s="1" t="str">
        <f>"000317459 - RICH FOODS BB-FOODBUY"</f>
        <v>000317459 - RICH FOODS BB-FOODBUY</v>
      </c>
      <c r="C8979" t="s">
        <v>209</v>
      </c>
      <c r="D8979" s="1" t="str">
        <f t="shared" si="245"/>
        <v>PRG-1032567</v>
      </c>
      <c r="E8979" t="s">
        <v>147</v>
      </c>
      <c r="F8979" t="s">
        <v>4</v>
      </c>
      <c r="G8979" t="str">
        <f>""</f>
        <v/>
      </c>
    </row>
    <row r="8980" spans="1:7" x14ac:dyDescent="0.25">
      <c r="A8980" t="s">
        <v>8</v>
      </c>
      <c r="B8980" s="1" t="str">
        <f>"000317638 - RICH FOODS BB-FOODBUY"</f>
        <v>000317638 - RICH FOODS BB-FOODBUY</v>
      </c>
      <c r="C8980" t="s">
        <v>209</v>
      </c>
      <c r="D8980" s="1" t="str">
        <f t="shared" si="245"/>
        <v>PRG-1032567</v>
      </c>
      <c r="E8980" t="s">
        <v>147</v>
      </c>
      <c r="F8980" t="s">
        <v>4</v>
      </c>
      <c r="G8980" t="str">
        <f>""</f>
        <v/>
      </c>
    </row>
    <row r="8981" spans="1:7" x14ac:dyDescent="0.25">
      <c r="A8981" t="s">
        <v>8</v>
      </c>
      <c r="B8981" s="1" t="str">
        <f>"000319379 - RICH FOODS FOODBUY NC"</f>
        <v>000319379 - RICH FOODS FOODBUY NC</v>
      </c>
      <c r="C8981" t="s">
        <v>3228</v>
      </c>
      <c r="D8981" s="1" t="str">
        <f t="shared" si="245"/>
        <v>PRG-1032567</v>
      </c>
      <c r="E8981" t="s">
        <v>147</v>
      </c>
      <c r="F8981" t="s">
        <v>4</v>
      </c>
      <c r="G8981" t="str">
        <f>""</f>
        <v/>
      </c>
    </row>
    <row r="8982" spans="1:7" x14ac:dyDescent="0.25">
      <c r="A8982" t="s">
        <v>8</v>
      </c>
      <c r="B8982" s="1" t="str">
        <f>"000320569 - RICH FOODS BB-FOODBUY"</f>
        <v>000320569 - RICH FOODS BB-FOODBUY</v>
      </c>
      <c r="C8982" t="s">
        <v>209</v>
      </c>
      <c r="D8982" s="1" t="str">
        <f t="shared" si="245"/>
        <v>PRG-1032567</v>
      </c>
      <c r="E8982" t="s">
        <v>147</v>
      </c>
      <c r="F8982" t="s">
        <v>4</v>
      </c>
      <c r="G8982" t="str">
        <f>""</f>
        <v/>
      </c>
    </row>
    <row r="8983" spans="1:7" x14ac:dyDescent="0.25">
      <c r="A8983" t="s">
        <v>8</v>
      </c>
      <c r="B8983" s="1" t="str">
        <f>"000320576 - RICH FOODS BB-FOODBUY"</f>
        <v>000320576 - RICH FOODS BB-FOODBUY</v>
      </c>
      <c r="C8983" t="s">
        <v>209</v>
      </c>
      <c r="D8983" s="1" t="str">
        <f t="shared" si="245"/>
        <v>PRG-1032567</v>
      </c>
      <c r="E8983" t="s">
        <v>147</v>
      </c>
      <c r="F8983" t="s">
        <v>4</v>
      </c>
      <c r="G8983" t="str">
        <f>""</f>
        <v/>
      </c>
    </row>
    <row r="8984" spans="1:7" x14ac:dyDescent="0.25">
      <c r="A8984" t="s">
        <v>8</v>
      </c>
      <c r="B8984" s="1" t="str">
        <f>"000320882 - "</f>
        <v xml:space="preserve">000320882 - </v>
      </c>
      <c r="D8984" s="1" t="str">
        <f t="shared" si="245"/>
        <v>PRG-1032567</v>
      </c>
      <c r="E8984" t="s">
        <v>147</v>
      </c>
      <c r="F8984" t="s">
        <v>4</v>
      </c>
      <c r="G8984" t="str">
        <f>""</f>
        <v/>
      </c>
    </row>
    <row r="8985" spans="1:7" x14ac:dyDescent="0.25">
      <c r="A8985" t="s">
        <v>8</v>
      </c>
      <c r="B8985" s="1" t="str">
        <f>"000321140 - RICH FOODS BB-FOODBUY"</f>
        <v>000321140 - RICH FOODS BB-FOODBUY</v>
      </c>
      <c r="C8985" t="s">
        <v>209</v>
      </c>
      <c r="D8985" s="1" t="str">
        <f t="shared" si="245"/>
        <v>PRG-1032567</v>
      </c>
      <c r="E8985" t="s">
        <v>147</v>
      </c>
      <c r="F8985" t="s">
        <v>4</v>
      </c>
      <c r="G8985" t="str">
        <f>""</f>
        <v/>
      </c>
    </row>
    <row r="8986" spans="1:7" x14ac:dyDescent="0.25">
      <c r="A8986" t="s">
        <v>8</v>
      </c>
      <c r="B8986" s="1" t="str">
        <f>"000321473 - RICH FOODS BB-FOODBUY"</f>
        <v>000321473 - RICH FOODS BB-FOODBUY</v>
      </c>
      <c r="C8986" t="s">
        <v>209</v>
      </c>
      <c r="D8986" s="1" t="str">
        <f t="shared" si="245"/>
        <v>PRG-1032567</v>
      </c>
      <c r="E8986" t="s">
        <v>147</v>
      </c>
      <c r="F8986" t="s">
        <v>4</v>
      </c>
      <c r="G8986" t="str">
        <f>""</f>
        <v/>
      </c>
    </row>
    <row r="8987" spans="1:7" x14ac:dyDescent="0.25">
      <c r="A8987" t="s">
        <v>8</v>
      </c>
      <c r="B8987" s="1" t="str">
        <f>"000321760 - RICH FOODS BB-FOODBUY"</f>
        <v>000321760 - RICH FOODS BB-FOODBUY</v>
      </c>
      <c r="C8987" t="s">
        <v>209</v>
      </c>
      <c r="D8987" s="1" t="str">
        <f t="shared" si="245"/>
        <v>PRG-1032567</v>
      </c>
      <c r="E8987" t="s">
        <v>147</v>
      </c>
      <c r="F8987" t="s">
        <v>4</v>
      </c>
      <c r="G8987" t="str">
        <f>""</f>
        <v/>
      </c>
    </row>
    <row r="8988" spans="1:7" x14ac:dyDescent="0.25">
      <c r="A8988" t="s">
        <v>8</v>
      </c>
      <c r="B8988" s="1" t="str">
        <f>"000321912 - RICH FOODS BB-FOODBUY"</f>
        <v>000321912 - RICH FOODS BB-FOODBUY</v>
      </c>
      <c r="C8988" t="s">
        <v>209</v>
      </c>
      <c r="D8988" s="1" t="str">
        <f t="shared" si="245"/>
        <v>PRG-1032567</v>
      </c>
      <c r="E8988" t="s">
        <v>147</v>
      </c>
      <c r="F8988" t="s">
        <v>4</v>
      </c>
      <c r="G8988" t="str">
        <f>""</f>
        <v/>
      </c>
    </row>
    <row r="8989" spans="1:7" x14ac:dyDescent="0.25">
      <c r="A8989" t="s">
        <v>8</v>
      </c>
      <c r="B8989" s="1" t="str">
        <f>"000322122 - RICH FOODS BB-FOODBUY"</f>
        <v>000322122 - RICH FOODS BB-FOODBUY</v>
      </c>
      <c r="C8989" t="s">
        <v>209</v>
      </c>
      <c r="D8989" s="1" t="str">
        <f t="shared" si="245"/>
        <v>PRG-1032567</v>
      </c>
      <c r="E8989" t="s">
        <v>147</v>
      </c>
      <c r="F8989" t="s">
        <v>4</v>
      </c>
      <c r="G8989" t="str">
        <f>""</f>
        <v/>
      </c>
    </row>
    <row r="8990" spans="1:7" x14ac:dyDescent="0.25">
      <c r="A8990" t="s">
        <v>8</v>
      </c>
      <c r="B8990" s="1" t="str">
        <f>"000322131 - RICH FOODS BB-FOODBUY"</f>
        <v>000322131 - RICH FOODS BB-FOODBUY</v>
      </c>
      <c r="C8990" t="s">
        <v>209</v>
      </c>
      <c r="D8990" s="1" t="str">
        <f t="shared" si="245"/>
        <v>PRG-1032567</v>
      </c>
      <c r="E8990" t="s">
        <v>147</v>
      </c>
      <c r="F8990" t="s">
        <v>4</v>
      </c>
      <c r="G8990" t="str">
        <f>""</f>
        <v/>
      </c>
    </row>
    <row r="8991" spans="1:7" x14ac:dyDescent="0.25">
      <c r="A8991" t="s">
        <v>8</v>
      </c>
      <c r="B8991" s="1" t="str">
        <f>"000322854 - RICHS FOODS BB-FOODBUY"</f>
        <v>000322854 - RICHS FOODS BB-FOODBUY</v>
      </c>
      <c r="C8991" t="s">
        <v>393</v>
      </c>
      <c r="D8991" s="1" t="str">
        <f t="shared" si="245"/>
        <v>PRG-1032567</v>
      </c>
      <c r="E8991" t="s">
        <v>147</v>
      </c>
      <c r="F8991" t="s">
        <v>4</v>
      </c>
      <c r="G8991" t="str">
        <f>""</f>
        <v/>
      </c>
    </row>
    <row r="8992" spans="1:7" x14ac:dyDescent="0.25">
      <c r="A8992" t="s">
        <v>8</v>
      </c>
      <c r="B8992" s="1" t="str">
        <f>"000322962 - RICH FOODS BB-FOODBUY"</f>
        <v>000322962 - RICH FOODS BB-FOODBUY</v>
      </c>
      <c r="C8992" t="s">
        <v>209</v>
      </c>
      <c r="D8992" s="1" t="str">
        <f t="shared" si="245"/>
        <v>PRG-1032567</v>
      </c>
      <c r="E8992" t="s">
        <v>147</v>
      </c>
      <c r="F8992" t="s">
        <v>4</v>
      </c>
      <c r="G8992" t="str">
        <f>""</f>
        <v/>
      </c>
    </row>
    <row r="8993" spans="1:7" x14ac:dyDescent="0.25">
      <c r="A8993" t="s">
        <v>8</v>
      </c>
      <c r="B8993" s="1" t="str">
        <f>"000323217 - RICH FOODS BB-FOODBUY"</f>
        <v>000323217 - RICH FOODS BB-FOODBUY</v>
      </c>
      <c r="C8993" t="s">
        <v>209</v>
      </c>
      <c r="D8993" s="1" t="str">
        <f t="shared" si="245"/>
        <v>PRG-1032567</v>
      </c>
      <c r="E8993" t="s">
        <v>147</v>
      </c>
      <c r="F8993" t="s">
        <v>4</v>
      </c>
      <c r="G8993" t="str">
        <f>""</f>
        <v/>
      </c>
    </row>
    <row r="8994" spans="1:7" x14ac:dyDescent="0.25">
      <c r="A8994" t="s">
        <v>8</v>
      </c>
      <c r="B8994" s="1" t="str">
        <f>"000323511 - RICH FOODS(BB)FOODBUY"</f>
        <v>000323511 - RICH FOODS(BB)FOODBUY</v>
      </c>
      <c r="C8994" t="s">
        <v>3269</v>
      </c>
      <c r="D8994" s="1" t="str">
        <f t="shared" si="245"/>
        <v>PRG-1032567</v>
      </c>
      <c r="E8994" t="s">
        <v>147</v>
      </c>
      <c r="F8994" t="s">
        <v>4</v>
      </c>
      <c r="G8994" t="str">
        <f>""</f>
        <v/>
      </c>
    </row>
    <row r="8995" spans="1:7" x14ac:dyDescent="0.25">
      <c r="A8995" t="s">
        <v>8</v>
      </c>
      <c r="B8995" s="1" t="str">
        <f>"000323877 - RICH FOODS BB-FOODBUY"</f>
        <v>000323877 - RICH FOODS BB-FOODBUY</v>
      </c>
      <c r="C8995" t="s">
        <v>209</v>
      </c>
      <c r="D8995" s="1" t="str">
        <f t="shared" si="245"/>
        <v>PRG-1032567</v>
      </c>
      <c r="E8995" t="s">
        <v>147</v>
      </c>
      <c r="F8995" t="s">
        <v>4</v>
      </c>
      <c r="G8995" t="str">
        <f>""</f>
        <v/>
      </c>
    </row>
    <row r="8996" spans="1:7" x14ac:dyDescent="0.25">
      <c r="A8996" t="s">
        <v>8</v>
      </c>
      <c r="B8996" s="1" t="str">
        <f>"000323924 - "</f>
        <v xml:space="preserve">000323924 - </v>
      </c>
      <c r="D8996" s="1" t="str">
        <f t="shared" si="245"/>
        <v>PRG-1032567</v>
      </c>
      <c r="E8996" t="s">
        <v>147</v>
      </c>
      <c r="F8996" t="s">
        <v>4</v>
      </c>
      <c r="G8996" t="str">
        <f>""</f>
        <v/>
      </c>
    </row>
    <row r="8997" spans="1:7" x14ac:dyDescent="0.25">
      <c r="A8997" t="s">
        <v>8</v>
      </c>
      <c r="B8997" s="1" t="str">
        <f>"000324235 - RICH FOODS BB-FOODBUY"</f>
        <v>000324235 - RICH FOODS BB-FOODBUY</v>
      </c>
      <c r="C8997" t="s">
        <v>209</v>
      </c>
      <c r="D8997" s="1" t="str">
        <f t="shared" si="245"/>
        <v>PRG-1032567</v>
      </c>
      <c r="E8997" t="s">
        <v>147</v>
      </c>
      <c r="F8997" t="s">
        <v>4</v>
      </c>
      <c r="G8997" t="str">
        <f>""</f>
        <v/>
      </c>
    </row>
    <row r="8998" spans="1:7" x14ac:dyDescent="0.25">
      <c r="A8998" t="s">
        <v>8</v>
      </c>
      <c r="B8998" s="1" t="str">
        <f>"000325012 - RICH FOODS BB-FOODBUY"</f>
        <v>000325012 - RICH FOODS BB-FOODBUY</v>
      </c>
      <c r="C8998" t="s">
        <v>209</v>
      </c>
      <c r="D8998" s="1" t="str">
        <f t="shared" si="245"/>
        <v>PRG-1032567</v>
      </c>
      <c r="E8998" t="s">
        <v>147</v>
      </c>
      <c r="F8998" t="s">
        <v>4</v>
      </c>
      <c r="G8998" t="str">
        <f>""</f>
        <v/>
      </c>
    </row>
    <row r="8999" spans="1:7" x14ac:dyDescent="0.25">
      <c r="A8999" t="s">
        <v>8</v>
      </c>
      <c r="B8999" s="1" t="str">
        <f>"000325114 - "</f>
        <v xml:space="preserve">000325114 - </v>
      </c>
      <c r="D8999" s="1" t="str">
        <f t="shared" si="245"/>
        <v>PRG-1032567</v>
      </c>
      <c r="E8999" t="s">
        <v>147</v>
      </c>
      <c r="F8999" t="s">
        <v>4</v>
      </c>
      <c r="G8999" t="str">
        <f>""</f>
        <v/>
      </c>
    </row>
    <row r="9000" spans="1:7" x14ac:dyDescent="0.25">
      <c r="A9000" t="s">
        <v>8</v>
      </c>
      <c r="B9000" s="1" t="str">
        <f>"000325406 - RICH FOODS BB-FOODBUY"</f>
        <v>000325406 - RICH FOODS BB-FOODBUY</v>
      </c>
      <c r="C9000" t="s">
        <v>209</v>
      </c>
      <c r="D9000" s="1" t="str">
        <f t="shared" si="245"/>
        <v>PRG-1032567</v>
      </c>
      <c r="E9000" t="s">
        <v>147</v>
      </c>
      <c r="F9000" t="s">
        <v>4</v>
      </c>
      <c r="G9000" t="str">
        <f>""</f>
        <v/>
      </c>
    </row>
    <row r="9001" spans="1:7" x14ac:dyDescent="0.25">
      <c r="A9001" t="s">
        <v>8</v>
      </c>
      <c r="B9001" s="1" t="str">
        <f>"000325451 - RICHS FOODS BB-FOODBUY"</f>
        <v>000325451 - RICHS FOODS BB-FOODBUY</v>
      </c>
      <c r="C9001" t="s">
        <v>393</v>
      </c>
      <c r="D9001" s="1" t="str">
        <f t="shared" si="245"/>
        <v>PRG-1032567</v>
      </c>
      <c r="E9001" t="s">
        <v>147</v>
      </c>
      <c r="F9001" t="s">
        <v>4</v>
      </c>
      <c r="G9001" t="str">
        <f>""</f>
        <v/>
      </c>
    </row>
    <row r="9002" spans="1:7" x14ac:dyDescent="0.25">
      <c r="A9002" t="s">
        <v>8</v>
      </c>
      <c r="B9002" s="1" t="str">
        <f>"000325733 - RICHS FOODS BB-FOODBUY GAP"</f>
        <v>000325733 - RICHS FOODS BB-FOODBUY GAP</v>
      </c>
      <c r="C9002" t="s">
        <v>3290</v>
      </c>
      <c r="D9002" s="1" t="str">
        <f t="shared" si="245"/>
        <v>PRG-1032567</v>
      </c>
      <c r="E9002" t="s">
        <v>147</v>
      </c>
      <c r="F9002" t="s">
        <v>4</v>
      </c>
      <c r="G9002" t="str">
        <f>""</f>
        <v/>
      </c>
    </row>
    <row r="9003" spans="1:7" x14ac:dyDescent="0.25">
      <c r="A9003" t="s">
        <v>8</v>
      </c>
      <c r="B9003" s="1" t="str">
        <f>"000326005 - RICH FOODS BB-FOODBUY"</f>
        <v>000326005 - RICH FOODS BB-FOODBUY</v>
      </c>
      <c r="C9003" t="s">
        <v>209</v>
      </c>
      <c r="D9003" s="1" t="str">
        <f t="shared" si="245"/>
        <v>PRG-1032567</v>
      </c>
      <c r="E9003" t="s">
        <v>147</v>
      </c>
      <c r="F9003" t="s">
        <v>4</v>
      </c>
      <c r="G9003" t="str">
        <f>""</f>
        <v/>
      </c>
    </row>
    <row r="9004" spans="1:7" x14ac:dyDescent="0.25">
      <c r="A9004" t="s">
        <v>8</v>
      </c>
      <c r="B9004" s="1" t="str">
        <f>"000327479 - RICH FOODS BB-FOODBUY"</f>
        <v>000327479 - RICH FOODS BB-FOODBUY</v>
      </c>
      <c r="C9004" t="s">
        <v>209</v>
      </c>
      <c r="D9004" s="1" t="str">
        <f t="shared" si="245"/>
        <v>PRG-1032567</v>
      </c>
      <c r="E9004" t="s">
        <v>147</v>
      </c>
      <c r="F9004" t="s">
        <v>4</v>
      </c>
      <c r="G9004" t="str">
        <f>""</f>
        <v/>
      </c>
    </row>
    <row r="9005" spans="1:7" x14ac:dyDescent="0.25">
      <c r="A9005" t="s">
        <v>8</v>
      </c>
      <c r="B9005" s="1" t="str">
        <f>"000327649 - RICH FOODS BB-FOODBUY"</f>
        <v>000327649 - RICH FOODS BB-FOODBUY</v>
      </c>
      <c r="C9005" t="s">
        <v>209</v>
      </c>
      <c r="D9005" s="1" t="str">
        <f t="shared" si="245"/>
        <v>PRG-1032567</v>
      </c>
      <c r="E9005" t="s">
        <v>147</v>
      </c>
      <c r="F9005" t="s">
        <v>4</v>
      </c>
      <c r="G9005" t="str">
        <f>""</f>
        <v/>
      </c>
    </row>
    <row r="9006" spans="1:7" x14ac:dyDescent="0.25">
      <c r="A9006" t="s">
        <v>8</v>
      </c>
      <c r="B9006" s="1" t="str">
        <f>"000328105 - RICH FOODS BB-FOODBUY"</f>
        <v>000328105 - RICH FOODS BB-FOODBUY</v>
      </c>
      <c r="C9006" t="s">
        <v>209</v>
      </c>
      <c r="D9006" s="1" t="str">
        <f t="shared" si="245"/>
        <v>PRG-1032567</v>
      </c>
      <c r="E9006" t="s">
        <v>147</v>
      </c>
      <c r="F9006" t="s">
        <v>4</v>
      </c>
      <c r="G9006" t="str">
        <f>""</f>
        <v/>
      </c>
    </row>
    <row r="9007" spans="1:7" x14ac:dyDescent="0.25">
      <c r="A9007" t="s">
        <v>8</v>
      </c>
      <c r="B9007" s="1" t="str">
        <f>"000328876 - RICH FOODS BB-FOODBUY"</f>
        <v>000328876 - RICH FOODS BB-FOODBUY</v>
      </c>
      <c r="C9007" t="s">
        <v>209</v>
      </c>
      <c r="D9007" s="1" t="str">
        <f t="shared" si="245"/>
        <v>PRG-1032567</v>
      </c>
      <c r="E9007" t="s">
        <v>147</v>
      </c>
      <c r="F9007" t="s">
        <v>4</v>
      </c>
      <c r="G9007" t="str">
        <f>""</f>
        <v/>
      </c>
    </row>
    <row r="9008" spans="1:7" x14ac:dyDescent="0.25">
      <c r="A9008" t="s">
        <v>8</v>
      </c>
      <c r="B9008" s="1" t="str">
        <f>"000329426 - RICH FOODS BB-FOODBUY"</f>
        <v>000329426 - RICH FOODS BB-FOODBUY</v>
      </c>
      <c r="C9008" t="s">
        <v>209</v>
      </c>
      <c r="D9008" s="1" t="str">
        <f t="shared" si="245"/>
        <v>PRG-1032567</v>
      </c>
      <c r="E9008" t="s">
        <v>147</v>
      </c>
      <c r="F9008" t="s">
        <v>4</v>
      </c>
      <c r="G9008" t="str">
        <f>""</f>
        <v/>
      </c>
    </row>
    <row r="9009" spans="1:7" x14ac:dyDescent="0.25">
      <c r="A9009" t="s">
        <v>8</v>
      </c>
      <c r="B9009" s="1" t="str">
        <f>"000331900 - RICH FDS BB-FDBY CLIENT RWD MA"</f>
        <v>000331900 - RICH FDS BB-FDBY CLIENT RWD MA</v>
      </c>
      <c r="C9009" t="s">
        <v>3350</v>
      </c>
      <c r="D9009" s="1" t="str">
        <f t="shared" si="245"/>
        <v>PRG-1032567</v>
      </c>
      <c r="E9009" t="s">
        <v>147</v>
      </c>
      <c r="F9009" t="s">
        <v>4</v>
      </c>
      <c r="G9009" t="str">
        <f>""</f>
        <v/>
      </c>
    </row>
    <row r="9010" spans="1:7" x14ac:dyDescent="0.25">
      <c r="A9010" t="s">
        <v>8</v>
      </c>
      <c r="B9010" s="1" t="str">
        <f>"000331929 - RICH FOODS BB-FOODBUY"</f>
        <v>000331929 - RICH FOODS BB-FOODBUY</v>
      </c>
      <c r="C9010" t="s">
        <v>209</v>
      </c>
      <c r="D9010" s="1" t="str">
        <f t="shared" si="245"/>
        <v>PRG-1032567</v>
      </c>
      <c r="E9010" t="s">
        <v>147</v>
      </c>
      <c r="F9010" t="s">
        <v>4</v>
      </c>
      <c r="G9010" t="str">
        <f>""</f>
        <v/>
      </c>
    </row>
    <row r="9011" spans="1:7" x14ac:dyDescent="0.25">
      <c r="A9011" t="s">
        <v>8</v>
      </c>
      <c r="B9011" s="1" t="str">
        <f>"000331955 - RICH FOODS BB-FOODBUY"</f>
        <v>000331955 - RICH FOODS BB-FOODBUY</v>
      </c>
      <c r="C9011" t="s">
        <v>209</v>
      </c>
      <c r="D9011" s="1" t="str">
        <f t="shared" si="245"/>
        <v>PRG-1032567</v>
      </c>
      <c r="E9011" t="s">
        <v>147</v>
      </c>
      <c r="F9011" t="s">
        <v>4</v>
      </c>
      <c r="G9011" t="str">
        <f>""</f>
        <v/>
      </c>
    </row>
    <row r="9012" spans="1:7" x14ac:dyDescent="0.25">
      <c r="A9012" t="s">
        <v>8</v>
      </c>
      <c r="B9012" s="1" t="str">
        <f>"000331958 - RICH FOODS BB-FOODBUY"</f>
        <v>000331958 - RICH FOODS BB-FOODBUY</v>
      </c>
      <c r="C9012" t="s">
        <v>209</v>
      </c>
      <c r="D9012" s="1" t="str">
        <f t="shared" ref="D9012:D9077" si="246">"PRG-1032567"</f>
        <v>PRG-1032567</v>
      </c>
      <c r="E9012" t="s">
        <v>147</v>
      </c>
      <c r="F9012" t="s">
        <v>4</v>
      </c>
      <c r="G9012" t="str">
        <f>""</f>
        <v/>
      </c>
    </row>
    <row r="9013" spans="1:7" x14ac:dyDescent="0.25">
      <c r="A9013" t="s">
        <v>8</v>
      </c>
      <c r="B9013" s="1" t="str">
        <f>"000332001 - RICH FOODS BB-FOODBUY"</f>
        <v>000332001 - RICH FOODS BB-FOODBUY</v>
      </c>
      <c r="C9013" t="s">
        <v>209</v>
      </c>
      <c r="D9013" s="1" t="str">
        <f t="shared" si="246"/>
        <v>PRG-1032567</v>
      </c>
      <c r="E9013" t="s">
        <v>147</v>
      </c>
      <c r="F9013" t="s">
        <v>4</v>
      </c>
      <c r="G9013" t="str">
        <f>""</f>
        <v/>
      </c>
    </row>
    <row r="9014" spans="1:7" x14ac:dyDescent="0.25">
      <c r="A9014" t="s">
        <v>8</v>
      </c>
      <c r="B9014" s="1" t="str">
        <f>"000332166 - RICH FOODS BB-FOODBUY"</f>
        <v>000332166 - RICH FOODS BB-FOODBUY</v>
      </c>
      <c r="C9014" t="s">
        <v>209</v>
      </c>
      <c r="D9014" s="1" t="str">
        <f t="shared" si="246"/>
        <v>PRG-1032567</v>
      </c>
      <c r="E9014" t="s">
        <v>147</v>
      </c>
      <c r="F9014" t="s">
        <v>4</v>
      </c>
      <c r="G9014" t="str">
        <f>""</f>
        <v/>
      </c>
    </row>
    <row r="9015" spans="1:7" x14ac:dyDescent="0.25">
      <c r="A9015" t="s">
        <v>8</v>
      </c>
      <c r="B9015" s="1" t="str">
        <f>"000333588 - RICH FOODS BB-FOODBUY"</f>
        <v>000333588 - RICH FOODS BB-FOODBUY</v>
      </c>
      <c r="C9015" t="s">
        <v>209</v>
      </c>
      <c r="D9015" s="1" t="str">
        <f t="shared" si="246"/>
        <v>PRG-1032567</v>
      </c>
      <c r="E9015" t="s">
        <v>147</v>
      </c>
      <c r="F9015" t="s">
        <v>4</v>
      </c>
      <c r="G9015" t="str">
        <f>""</f>
        <v/>
      </c>
    </row>
    <row r="9016" spans="1:7" x14ac:dyDescent="0.25">
      <c r="A9016" t="s">
        <v>8</v>
      </c>
      <c r="B9016" s="1" t="str">
        <f>"000333757 - RICH FDS BB-NON CLIENT RWD MA"</f>
        <v>000333757 - RICH FDS BB-NON CLIENT RWD MA</v>
      </c>
      <c r="C9016" t="s">
        <v>3374</v>
      </c>
      <c r="D9016" s="1" t="str">
        <f t="shared" si="246"/>
        <v>PRG-1032567</v>
      </c>
      <c r="E9016" t="s">
        <v>147</v>
      </c>
      <c r="F9016" t="s">
        <v>4</v>
      </c>
      <c r="G9016" t="str">
        <f>""</f>
        <v/>
      </c>
    </row>
    <row r="9017" spans="1:7" x14ac:dyDescent="0.25">
      <c r="A9017" t="s">
        <v>8</v>
      </c>
      <c r="B9017" s="1" t="str">
        <f>"000334581 - "</f>
        <v xml:space="preserve">000334581 - </v>
      </c>
      <c r="D9017" s="1" t="str">
        <f t="shared" si="246"/>
        <v>PRG-1032567</v>
      </c>
      <c r="E9017" t="s">
        <v>147</v>
      </c>
      <c r="F9017" t="s">
        <v>4</v>
      </c>
      <c r="G9017" t="str">
        <f>""</f>
        <v/>
      </c>
    </row>
    <row r="9018" spans="1:7" x14ac:dyDescent="0.25">
      <c r="A9018" t="s">
        <v>8</v>
      </c>
      <c r="B9018" s="1" t="str">
        <f>"000334743 - "</f>
        <v xml:space="preserve">000334743 - </v>
      </c>
      <c r="D9018" s="1" t="str">
        <f t="shared" si="246"/>
        <v>PRG-1032567</v>
      </c>
      <c r="E9018" t="s">
        <v>147</v>
      </c>
      <c r="F9018" t="s">
        <v>4</v>
      </c>
      <c r="G9018" t="str">
        <f>""</f>
        <v/>
      </c>
    </row>
    <row r="9019" spans="1:7" x14ac:dyDescent="0.25">
      <c r="A9019" t="s">
        <v>8</v>
      </c>
      <c r="B9019" s="1" t="str">
        <f>"000335066 - RICH FOODS BB-FOODBUY"</f>
        <v>000335066 - RICH FOODS BB-FOODBUY</v>
      </c>
      <c r="C9019" t="s">
        <v>209</v>
      </c>
      <c r="D9019" s="1" t="str">
        <f t="shared" si="246"/>
        <v>PRG-1032567</v>
      </c>
      <c r="E9019" t="s">
        <v>147</v>
      </c>
      <c r="F9019" t="s">
        <v>4</v>
      </c>
      <c r="G9019" t="str">
        <f>""</f>
        <v/>
      </c>
    </row>
    <row r="9020" spans="1:7" x14ac:dyDescent="0.25">
      <c r="A9020" t="s">
        <v>8</v>
      </c>
      <c r="B9020" s="1" t="str">
        <f>"000335565 - RICH FOODS BB-FOODBUY"</f>
        <v>000335565 - RICH FOODS BB-FOODBUY</v>
      </c>
      <c r="C9020" t="s">
        <v>209</v>
      </c>
      <c r="D9020" s="1" t="str">
        <f t="shared" si="246"/>
        <v>PRG-1032567</v>
      </c>
      <c r="E9020" t="s">
        <v>147</v>
      </c>
      <c r="F9020" t="s">
        <v>4</v>
      </c>
      <c r="G9020" t="str">
        <f>""</f>
        <v/>
      </c>
    </row>
    <row r="9021" spans="1:7" x14ac:dyDescent="0.25">
      <c r="A9021" t="s">
        <v>8</v>
      </c>
      <c r="B9021" s="1" t="str">
        <f>"000336488 - RICH FOODS BB-FOODBUY"</f>
        <v>000336488 - RICH FOODS BB-FOODBUY</v>
      </c>
      <c r="C9021" t="s">
        <v>209</v>
      </c>
      <c r="D9021" s="1" t="str">
        <f t="shared" si="246"/>
        <v>PRG-1032567</v>
      </c>
      <c r="E9021" t="s">
        <v>147</v>
      </c>
      <c r="F9021" t="s">
        <v>4</v>
      </c>
      <c r="G9021" t="str">
        <f>""</f>
        <v/>
      </c>
    </row>
    <row r="9022" spans="1:7" x14ac:dyDescent="0.25">
      <c r="A9022" t="s">
        <v>8</v>
      </c>
      <c r="B9022" s="1" t="str">
        <f>"000337191 - RICH FOODS BB-FOODBUY"</f>
        <v>000337191 - RICH FOODS BB-FOODBUY</v>
      </c>
      <c r="C9022" t="s">
        <v>209</v>
      </c>
      <c r="D9022" s="1" t="str">
        <f t="shared" si="246"/>
        <v>PRG-1032567</v>
      </c>
      <c r="E9022" t="s">
        <v>147</v>
      </c>
      <c r="F9022" t="s">
        <v>4</v>
      </c>
      <c r="G9022" t="str">
        <f>""</f>
        <v/>
      </c>
    </row>
    <row r="9023" spans="1:7" x14ac:dyDescent="0.25">
      <c r="A9023" t="s">
        <v>8</v>
      </c>
      <c r="B9023" s="1" t="str">
        <f>"000337439 - "</f>
        <v xml:space="preserve">000337439 - </v>
      </c>
      <c r="D9023" s="1" t="str">
        <f t="shared" si="246"/>
        <v>PRG-1032567</v>
      </c>
      <c r="E9023" t="s">
        <v>147</v>
      </c>
      <c r="F9023" t="s">
        <v>4</v>
      </c>
      <c r="G9023" t="str">
        <f>""</f>
        <v/>
      </c>
    </row>
    <row r="9024" spans="1:7" x14ac:dyDescent="0.25">
      <c r="A9024" t="s">
        <v>8</v>
      </c>
      <c r="B9024" s="1" t="str">
        <f>"000338426 - "</f>
        <v xml:space="preserve">000338426 - </v>
      </c>
      <c r="D9024" s="1" t="str">
        <f t="shared" si="246"/>
        <v>PRG-1032567</v>
      </c>
      <c r="E9024" t="s">
        <v>147</v>
      </c>
      <c r="F9024" t="s">
        <v>4</v>
      </c>
      <c r="G9024" t="str">
        <f>""</f>
        <v/>
      </c>
    </row>
    <row r="9025" spans="1:7" x14ac:dyDescent="0.25">
      <c r="A9025" t="s">
        <v>8</v>
      </c>
      <c r="B9025" s="1" t="str">
        <f>"000338436 - "</f>
        <v xml:space="preserve">000338436 - </v>
      </c>
      <c r="D9025" s="1" t="str">
        <f t="shared" si="246"/>
        <v>PRG-1032567</v>
      </c>
      <c r="E9025" t="s">
        <v>147</v>
      </c>
      <c r="F9025" t="s">
        <v>4</v>
      </c>
      <c r="G9025" t="str">
        <f>""</f>
        <v/>
      </c>
    </row>
    <row r="9026" spans="1:7" x14ac:dyDescent="0.25">
      <c r="A9026" t="s">
        <v>8</v>
      </c>
      <c r="B9026" s="1" t="str">
        <f>"000339195 - RICH FOODS BB-FOODBUY"</f>
        <v>000339195 - RICH FOODS BB-FOODBUY</v>
      </c>
      <c r="C9026" t="s">
        <v>209</v>
      </c>
      <c r="D9026" s="1" t="str">
        <f t="shared" si="246"/>
        <v>PRG-1032567</v>
      </c>
      <c r="E9026" t="s">
        <v>147</v>
      </c>
      <c r="F9026" t="s">
        <v>4</v>
      </c>
      <c r="G9026" t="str">
        <f>""</f>
        <v/>
      </c>
    </row>
    <row r="9027" spans="1:7" x14ac:dyDescent="0.25">
      <c r="A9027" t="s">
        <v>8</v>
      </c>
      <c r="B9027" s="1" t="str">
        <f>"000340854 - "</f>
        <v xml:space="preserve">000340854 - </v>
      </c>
      <c r="D9027" s="1" t="str">
        <f t="shared" si="246"/>
        <v>PRG-1032567</v>
      </c>
      <c r="E9027" t="s">
        <v>147</v>
      </c>
      <c r="F9027" t="s">
        <v>4</v>
      </c>
      <c r="G9027" t="str">
        <f>""</f>
        <v/>
      </c>
    </row>
    <row r="9028" spans="1:7" x14ac:dyDescent="0.25">
      <c r="A9028" t="s">
        <v>8</v>
      </c>
      <c r="B9028" s="1" t="str">
        <f>"000341259 - "</f>
        <v xml:space="preserve">000341259 - </v>
      </c>
      <c r="D9028" s="1" t="str">
        <f t="shared" si="246"/>
        <v>PRG-1032567</v>
      </c>
      <c r="E9028" t="s">
        <v>147</v>
      </c>
      <c r="F9028" t="s">
        <v>4</v>
      </c>
      <c r="G9028" t="str">
        <f>""</f>
        <v/>
      </c>
    </row>
    <row r="9029" spans="1:7" x14ac:dyDescent="0.25">
      <c r="A9029" t="s">
        <v>8</v>
      </c>
      <c r="B9029" s="1" t="str">
        <f>"000341437 - RICH FOODS BB-FOODBUY"</f>
        <v>000341437 - RICH FOODS BB-FOODBUY</v>
      </c>
      <c r="C9029" t="s">
        <v>209</v>
      </c>
      <c r="D9029" s="1" t="str">
        <f t="shared" si="246"/>
        <v>PRG-1032567</v>
      </c>
      <c r="E9029" t="s">
        <v>147</v>
      </c>
      <c r="F9029" t="s">
        <v>4</v>
      </c>
      <c r="G9029" t="str">
        <f>""</f>
        <v/>
      </c>
    </row>
    <row r="9030" spans="1:7" x14ac:dyDescent="0.25">
      <c r="A9030" t="s">
        <v>8</v>
      </c>
      <c r="B9030" s="1" t="str">
        <f>"000342963 - RICH FOODS BB-FOODBUY"</f>
        <v>000342963 - RICH FOODS BB-FOODBUY</v>
      </c>
      <c r="C9030" t="s">
        <v>209</v>
      </c>
      <c r="D9030" s="1" t="str">
        <f t="shared" si="246"/>
        <v>PRG-1032567</v>
      </c>
      <c r="E9030" t="s">
        <v>147</v>
      </c>
      <c r="F9030" t="s">
        <v>4</v>
      </c>
      <c r="G9030" t="str">
        <f>""</f>
        <v/>
      </c>
    </row>
    <row r="9031" spans="1:7" x14ac:dyDescent="0.25">
      <c r="A9031" t="s">
        <v>8</v>
      </c>
      <c r="B9031" s="1" t="str">
        <f>"000344712 - RICH FOODS BB-FOODBUY"</f>
        <v>000344712 - RICH FOODS BB-FOODBUY</v>
      </c>
      <c r="C9031" t="s">
        <v>209</v>
      </c>
      <c r="D9031" s="1" t="str">
        <f t="shared" si="246"/>
        <v>PRG-1032567</v>
      </c>
      <c r="E9031" t="s">
        <v>147</v>
      </c>
      <c r="F9031" t="s">
        <v>4</v>
      </c>
      <c r="G9031" t="str">
        <f>""</f>
        <v/>
      </c>
    </row>
    <row r="9032" spans="1:7" x14ac:dyDescent="0.25">
      <c r="A9032" t="s">
        <v>8</v>
      </c>
      <c r="B9032" s="1" t="str">
        <f>"000345198 - RICH FOODS BB-FOODBUY"</f>
        <v>000345198 - RICH FOODS BB-FOODBUY</v>
      </c>
      <c r="C9032" t="s">
        <v>209</v>
      </c>
      <c r="D9032" s="1" t="str">
        <f t="shared" si="246"/>
        <v>PRG-1032567</v>
      </c>
      <c r="E9032" t="s">
        <v>147</v>
      </c>
      <c r="F9032" t="s">
        <v>4</v>
      </c>
      <c r="G9032" t="str">
        <f>""</f>
        <v/>
      </c>
    </row>
    <row r="9033" spans="1:7" x14ac:dyDescent="0.25">
      <c r="A9033" t="s">
        <v>8</v>
      </c>
      <c r="B9033" s="1" t="str">
        <f>"000345654 - RICH FOODS BB-FOODBUY"</f>
        <v>000345654 - RICH FOODS BB-FOODBUY</v>
      </c>
      <c r="C9033" t="s">
        <v>209</v>
      </c>
      <c r="D9033" s="1" t="str">
        <f t="shared" si="246"/>
        <v>PRG-1032567</v>
      </c>
      <c r="E9033" t="s">
        <v>147</v>
      </c>
      <c r="F9033" t="s">
        <v>4</v>
      </c>
      <c r="G9033" t="str">
        <f>""</f>
        <v/>
      </c>
    </row>
    <row r="9034" spans="1:7" x14ac:dyDescent="0.25">
      <c r="A9034" t="s">
        <v>8</v>
      </c>
      <c r="B9034" s="1" t="str">
        <f>"000348979 - RICH FOODS BB-FOODBUY"</f>
        <v>000348979 - RICH FOODS BB-FOODBUY</v>
      </c>
      <c r="C9034" t="s">
        <v>209</v>
      </c>
      <c r="D9034" s="1" t="str">
        <f t="shared" si="246"/>
        <v>PRG-1032567</v>
      </c>
      <c r="E9034" t="s">
        <v>147</v>
      </c>
      <c r="F9034" t="s">
        <v>4</v>
      </c>
      <c r="G9034" t="str">
        <f>""</f>
        <v/>
      </c>
    </row>
    <row r="9035" spans="1:7" x14ac:dyDescent="0.25">
      <c r="A9035" t="s">
        <v>8</v>
      </c>
      <c r="B9035" s="1" t="str">
        <f>"000350034 - RICH FOODS BB-FOODBUY"</f>
        <v>000350034 - RICH FOODS BB-FOODBUY</v>
      </c>
      <c r="C9035" t="s">
        <v>209</v>
      </c>
      <c r="D9035" s="1" t="str">
        <f t="shared" si="246"/>
        <v>PRG-1032567</v>
      </c>
      <c r="E9035" t="s">
        <v>147</v>
      </c>
      <c r="F9035" t="s">
        <v>4</v>
      </c>
      <c r="G9035" t="str">
        <f>""</f>
        <v/>
      </c>
    </row>
    <row r="9036" spans="1:7" x14ac:dyDescent="0.25">
      <c r="A9036" t="s">
        <v>8</v>
      </c>
      <c r="B9036" s="1" t="str">
        <f>"000351790 - "</f>
        <v xml:space="preserve">000351790 - </v>
      </c>
      <c r="D9036" s="1" t="str">
        <f t="shared" si="246"/>
        <v>PRG-1032567</v>
      </c>
      <c r="E9036" t="s">
        <v>147</v>
      </c>
      <c r="F9036" t="s">
        <v>4</v>
      </c>
      <c r="G9036" t="str">
        <f>""</f>
        <v/>
      </c>
    </row>
    <row r="9037" spans="1:7" x14ac:dyDescent="0.25">
      <c r="A9037" t="s">
        <v>8</v>
      </c>
      <c r="B9037" s="1" t="str">
        <f>"000353138 - RICH FDS(BB-#373811) FOODBUY"</f>
        <v>000353138 - RICH FDS(BB-#373811) FOODBUY</v>
      </c>
      <c r="C9037" t="s">
        <v>3530</v>
      </c>
      <c r="D9037" s="1" t="str">
        <f t="shared" si="246"/>
        <v>PRG-1032567</v>
      </c>
      <c r="E9037" t="s">
        <v>147</v>
      </c>
      <c r="F9037" t="s">
        <v>4</v>
      </c>
      <c r="G9037" t="str">
        <f>""</f>
        <v/>
      </c>
    </row>
    <row r="9038" spans="1:7" x14ac:dyDescent="0.25">
      <c r="A9038" t="s">
        <v>8</v>
      </c>
      <c r="B9038" s="1" t="str">
        <f>"000353657 - RICH FOODS BB-FOODBUY"</f>
        <v>000353657 - RICH FOODS BB-FOODBUY</v>
      </c>
      <c r="C9038" t="s">
        <v>209</v>
      </c>
      <c r="D9038" s="1" t="str">
        <f t="shared" si="246"/>
        <v>PRG-1032567</v>
      </c>
      <c r="E9038" t="s">
        <v>147</v>
      </c>
      <c r="F9038" t="s">
        <v>4</v>
      </c>
      <c r="G9038" t="str">
        <f>""</f>
        <v/>
      </c>
    </row>
    <row r="9039" spans="1:7" x14ac:dyDescent="0.25">
      <c r="A9039" t="s">
        <v>8</v>
      </c>
      <c r="B9039" s="1" t="str">
        <f>"000353905 - "</f>
        <v xml:space="preserve">000353905 - </v>
      </c>
      <c r="D9039" s="1" t="str">
        <f t="shared" si="246"/>
        <v>PRG-1032567</v>
      </c>
      <c r="E9039" t="s">
        <v>147</v>
      </c>
      <c r="F9039" t="s">
        <v>4</v>
      </c>
      <c r="G9039" t="str">
        <f>""</f>
        <v/>
      </c>
    </row>
    <row r="9040" spans="1:7" x14ac:dyDescent="0.25">
      <c r="A9040" t="s">
        <v>8</v>
      </c>
      <c r="B9040" s="1" t="str">
        <f>"000355130 - RICH FOODS BB-FOODBUY"</f>
        <v>000355130 - RICH FOODS BB-FOODBUY</v>
      </c>
      <c r="C9040" t="s">
        <v>209</v>
      </c>
      <c r="D9040" s="1" t="str">
        <f t="shared" si="246"/>
        <v>PRG-1032567</v>
      </c>
      <c r="E9040" t="s">
        <v>147</v>
      </c>
      <c r="F9040" t="s">
        <v>4</v>
      </c>
      <c r="G9040" t="str">
        <f>""</f>
        <v/>
      </c>
    </row>
    <row r="9041" spans="1:7" x14ac:dyDescent="0.25">
      <c r="A9041" t="s">
        <v>8</v>
      </c>
      <c r="B9041" s="1" t="str">
        <f>"000358736 - RICH FOODS BB-FOODBUY"</f>
        <v>000358736 - RICH FOODS BB-FOODBUY</v>
      </c>
      <c r="C9041" t="s">
        <v>209</v>
      </c>
      <c r="D9041" s="1" t="str">
        <f t="shared" si="246"/>
        <v>PRG-1032567</v>
      </c>
      <c r="E9041" t="s">
        <v>147</v>
      </c>
      <c r="F9041" t="s">
        <v>4</v>
      </c>
      <c r="G9041" t="str">
        <f>""</f>
        <v/>
      </c>
    </row>
    <row r="9042" spans="1:7" x14ac:dyDescent="0.25">
      <c r="A9042" t="s">
        <v>8</v>
      </c>
      <c r="B9042" s="1" t="str">
        <f>"000359797 - RICH FOODS BB-FOODBUY"</f>
        <v>000359797 - RICH FOODS BB-FOODBUY</v>
      </c>
      <c r="C9042" t="s">
        <v>209</v>
      </c>
      <c r="D9042" s="1" t="str">
        <f t="shared" si="246"/>
        <v>PRG-1032567</v>
      </c>
      <c r="E9042" t="s">
        <v>147</v>
      </c>
      <c r="F9042" t="s">
        <v>4</v>
      </c>
      <c r="G9042" t="str">
        <f>""</f>
        <v/>
      </c>
    </row>
    <row r="9043" spans="1:7" x14ac:dyDescent="0.25">
      <c r="A9043" t="s">
        <v>8</v>
      </c>
      <c r="B9043" s="1" t="str">
        <f>"000363155 - RICH FOODS BB-FOODBUY RETRO"</f>
        <v>000363155 - RICH FOODS BB-FOODBUY RETRO</v>
      </c>
      <c r="C9043" t="s">
        <v>1617</v>
      </c>
      <c r="D9043" s="1" t="str">
        <f t="shared" si="246"/>
        <v>PRG-1032567</v>
      </c>
      <c r="E9043" t="s">
        <v>147</v>
      </c>
      <c r="F9043" t="s">
        <v>4</v>
      </c>
      <c r="G9043" t="str">
        <f>""</f>
        <v/>
      </c>
    </row>
    <row r="9044" spans="1:7" x14ac:dyDescent="0.25">
      <c r="A9044" t="s">
        <v>8</v>
      </c>
      <c r="B9044" s="1" t="str">
        <f>"000364685 - RICH FOODS BB-FOODBUY"</f>
        <v>000364685 - RICH FOODS BB-FOODBUY</v>
      </c>
      <c r="C9044" t="s">
        <v>209</v>
      </c>
      <c r="D9044" s="1" t="str">
        <f t="shared" si="246"/>
        <v>PRG-1032567</v>
      </c>
      <c r="E9044" t="s">
        <v>147</v>
      </c>
      <c r="F9044" t="s">
        <v>4</v>
      </c>
      <c r="G9044" t="str">
        <f>""</f>
        <v/>
      </c>
    </row>
    <row r="9045" spans="1:7" x14ac:dyDescent="0.25">
      <c r="A9045" t="s">
        <v>8</v>
      </c>
      <c r="B9045" s="1" t="str">
        <f>"000365711 - RICH FOODS BB-FOODBUY"</f>
        <v>000365711 - RICH FOODS BB-FOODBUY</v>
      </c>
      <c r="C9045" t="s">
        <v>209</v>
      </c>
      <c r="D9045" s="1" t="str">
        <f t="shared" si="246"/>
        <v>PRG-1032567</v>
      </c>
      <c r="E9045" t="s">
        <v>147</v>
      </c>
      <c r="F9045" t="s">
        <v>4</v>
      </c>
      <c r="G9045" t="str">
        <f>""</f>
        <v/>
      </c>
    </row>
    <row r="9046" spans="1:7" x14ac:dyDescent="0.25">
      <c r="A9046" t="s">
        <v>8</v>
      </c>
      <c r="B9046" s="1" t="str">
        <f>"000365865 - RICH FOODS BB-FOODBUY"</f>
        <v>000365865 - RICH FOODS BB-FOODBUY</v>
      </c>
      <c r="C9046" t="s">
        <v>209</v>
      </c>
      <c r="D9046" s="1" t="str">
        <f t="shared" si="246"/>
        <v>PRG-1032567</v>
      </c>
      <c r="E9046" t="s">
        <v>147</v>
      </c>
      <c r="F9046" t="s">
        <v>4</v>
      </c>
      <c r="G9046" t="str">
        <f>""</f>
        <v/>
      </c>
    </row>
    <row r="9047" spans="1:7" x14ac:dyDescent="0.25">
      <c r="A9047" t="s">
        <v>8</v>
      </c>
      <c r="B9047" s="1" t="str">
        <f>"000365929 - RICH FOODS BB CRO-FDBY"</f>
        <v>000365929 - RICH FOODS BB CRO-FDBY</v>
      </c>
      <c r="C9047" t="s">
        <v>3446</v>
      </c>
      <c r="D9047" s="1" t="str">
        <f t="shared" si="246"/>
        <v>PRG-1032567</v>
      </c>
      <c r="E9047" t="s">
        <v>147</v>
      </c>
      <c r="F9047" t="s">
        <v>4</v>
      </c>
      <c r="G9047" t="str">
        <f>""</f>
        <v/>
      </c>
    </row>
    <row r="9048" spans="1:7" x14ac:dyDescent="0.25">
      <c r="A9048" t="s">
        <v>8</v>
      </c>
      <c r="B9048" s="1" t="str">
        <f>"000367055 - RICH FOODS BB-FOODBUY"</f>
        <v>000367055 - RICH FOODS BB-FOODBUY</v>
      </c>
      <c r="C9048" t="s">
        <v>209</v>
      </c>
      <c r="D9048" s="1" t="str">
        <f t="shared" si="246"/>
        <v>PRG-1032567</v>
      </c>
      <c r="E9048" t="s">
        <v>147</v>
      </c>
      <c r="F9048" t="s">
        <v>4</v>
      </c>
      <c r="G9048" t="str">
        <f>""</f>
        <v/>
      </c>
    </row>
    <row r="9049" spans="1:7" x14ac:dyDescent="0.25">
      <c r="A9049" t="s">
        <v>8</v>
      </c>
      <c r="B9049" s="1" t="str">
        <f>"000368003 - RICH FOODS BB-FOODBUY"</f>
        <v>000368003 - RICH FOODS BB-FOODBUY</v>
      </c>
      <c r="C9049" t="s">
        <v>209</v>
      </c>
      <c r="D9049" s="1" t="str">
        <f t="shared" si="246"/>
        <v>PRG-1032567</v>
      </c>
      <c r="E9049" t="s">
        <v>147</v>
      </c>
      <c r="F9049" t="s">
        <v>4</v>
      </c>
      <c r="G9049" t="str">
        <f>""</f>
        <v/>
      </c>
    </row>
    <row r="9050" spans="1:7" x14ac:dyDescent="0.25">
      <c r="A9050" t="s">
        <v>8</v>
      </c>
      <c r="B9050" s="1" t="str">
        <f>"000368456 - RICH FOODS BB-FOODBUY"</f>
        <v>000368456 - RICH FOODS BB-FOODBUY</v>
      </c>
      <c r="C9050" t="s">
        <v>209</v>
      </c>
      <c r="D9050" s="1" t="str">
        <f t="shared" si="246"/>
        <v>PRG-1032567</v>
      </c>
      <c r="E9050" t="s">
        <v>147</v>
      </c>
      <c r="F9050" t="s">
        <v>4</v>
      </c>
      <c r="G9050" t="str">
        <f>""</f>
        <v/>
      </c>
    </row>
    <row r="9051" spans="1:7" x14ac:dyDescent="0.25">
      <c r="A9051" t="s">
        <v>8</v>
      </c>
      <c r="B9051" s="1" t="str">
        <f>"000369116 - RICH FOODS BB-FOODBUY"</f>
        <v>000369116 - RICH FOODS BB-FOODBUY</v>
      </c>
      <c r="C9051" t="s">
        <v>209</v>
      </c>
      <c r="D9051" s="1" t="str">
        <f t="shared" si="246"/>
        <v>PRG-1032567</v>
      </c>
      <c r="E9051" t="s">
        <v>147</v>
      </c>
      <c r="F9051" t="s">
        <v>4</v>
      </c>
      <c r="G9051" t="str">
        <f>""</f>
        <v/>
      </c>
    </row>
    <row r="9052" spans="1:7" x14ac:dyDescent="0.25">
      <c r="A9052" t="s">
        <v>8</v>
      </c>
      <c r="B9052" s="1" t="str">
        <f>"000369206 - RICH FOODS BB-FOODBUY(RETRO)"</f>
        <v>000369206 - RICH FOODS BB-FOODBUY(RETRO)</v>
      </c>
      <c r="C9052" t="s">
        <v>2859</v>
      </c>
      <c r="D9052" s="1" t="str">
        <f t="shared" si="246"/>
        <v>PRG-1032567</v>
      </c>
      <c r="E9052" t="s">
        <v>147</v>
      </c>
      <c r="F9052" t="s">
        <v>4</v>
      </c>
      <c r="G9052" t="str">
        <f>""</f>
        <v/>
      </c>
    </row>
    <row r="9053" spans="1:7" x14ac:dyDescent="0.25">
      <c r="A9053" t="s">
        <v>8</v>
      </c>
      <c r="B9053" s="1" t="str">
        <f>"000370416 - XRICH FOODS BB CRO-FDBY"</f>
        <v>000370416 - XRICH FOODS BB CRO-FDBY</v>
      </c>
      <c r="C9053" t="s">
        <v>3624</v>
      </c>
      <c r="D9053" s="1" t="str">
        <f t="shared" si="246"/>
        <v>PRG-1032567</v>
      </c>
      <c r="E9053" t="s">
        <v>147</v>
      </c>
      <c r="F9053" t="s">
        <v>4</v>
      </c>
      <c r="G9053" t="str">
        <f>""</f>
        <v/>
      </c>
    </row>
    <row r="9054" spans="1:7" x14ac:dyDescent="0.25">
      <c r="A9054" t="s">
        <v>8</v>
      </c>
      <c r="B9054" s="1" t="str">
        <f>"000370417 - RICH FOODS BB CRO-FDBY"</f>
        <v>000370417 - RICH FOODS BB CRO-FDBY</v>
      </c>
      <c r="C9054" t="s">
        <v>3446</v>
      </c>
      <c r="D9054" s="1" t="str">
        <f t="shared" si="246"/>
        <v>PRG-1032567</v>
      </c>
      <c r="E9054" t="s">
        <v>147</v>
      </c>
      <c r="F9054" t="s">
        <v>4</v>
      </c>
      <c r="G9054" t="str">
        <f>""</f>
        <v/>
      </c>
    </row>
    <row r="9055" spans="1:7" x14ac:dyDescent="0.25">
      <c r="A9055" t="s">
        <v>8</v>
      </c>
      <c r="B9055" s="1" t="str">
        <f>"000371006 - RICH FOODS BB-FOODBUY"</f>
        <v>000371006 - RICH FOODS BB-FOODBUY</v>
      </c>
      <c r="C9055" t="s">
        <v>209</v>
      </c>
      <c r="D9055" s="1" t="str">
        <f t="shared" si="246"/>
        <v>PRG-1032567</v>
      </c>
      <c r="E9055" t="s">
        <v>147</v>
      </c>
      <c r="F9055" t="s">
        <v>4</v>
      </c>
      <c r="G9055" t="str">
        <f>""</f>
        <v/>
      </c>
    </row>
    <row r="9056" spans="1:7" x14ac:dyDescent="0.25">
      <c r="A9056" t="s">
        <v>8</v>
      </c>
      <c r="B9056" s="1" t="str">
        <f>"000373534 - RICH FOODS BB-FOODBUY"</f>
        <v>000373534 - RICH FOODS BB-FOODBUY</v>
      </c>
      <c r="C9056" t="s">
        <v>209</v>
      </c>
      <c r="D9056" s="1" t="str">
        <f t="shared" si="246"/>
        <v>PRG-1032567</v>
      </c>
      <c r="E9056" t="s">
        <v>147</v>
      </c>
      <c r="F9056" t="s">
        <v>4</v>
      </c>
      <c r="G9056" t="str">
        <f>""</f>
        <v/>
      </c>
    </row>
    <row r="9057" spans="1:7" x14ac:dyDescent="0.25">
      <c r="A9057" t="s">
        <v>8</v>
      </c>
      <c r="B9057" s="1" t="str">
        <f>"000373937 - RICH FOODS BB CRO-FB"</f>
        <v>000373937 - RICH FOODS BB CRO-FB</v>
      </c>
      <c r="C9057" t="s">
        <v>3634</v>
      </c>
      <c r="D9057" s="1" t="str">
        <f t="shared" si="246"/>
        <v>PRG-1032567</v>
      </c>
      <c r="E9057" t="s">
        <v>147</v>
      </c>
      <c r="F9057" t="s">
        <v>4</v>
      </c>
      <c r="G9057" t="str">
        <f>""</f>
        <v/>
      </c>
    </row>
    <row r="9058" spans="1:7" x14ac:dyDescent="0.25">
      <c r="A9058" t="s">
        <v>8</v>
      </c>
      <c r="B9058" s="1" t="str">
        <f>"000374651 - RICH FOODS BB-FOODBUY"</f>
        <v>000374651 - RICH FOODS BB-FOODBUY</v>
      </c>
      <c r="C9058" t="s">
        <v>209</v>
      </c>
      <c r="D9058" s="1" t="str">
        <f t="shared" si="246"/>
        <v>PRG-1032567</v>
      </c>
      <c r="E9058" t="s">
        <v>147</v>
      </c>
      <c r="F9058" t="s">
        <v>4</v>
      </c>
      <c r="G9058" t="str">
        <f>""</f>
        <v/>
      </c>
    </row>
    <row r="9059" spans="1:7" x14ac:dyDescent="0.25">
      <c r="A9059" t="s">
        <v>8</v>
      </c>
      <c r="B9059" s="1" t="str">
        <f>"000382169 - "</f>
        <v xml:space="preserve">000382169 - </v>
      </c>
      <c r="D9059" s="1" t="str">
        <f t="shared" si="246"/>
        <v>PRG-1032567</v>
      </c>
      <c r="E9059" t="s">
        <v>147</v>
      </c>
      <c r="F9059" t="s">
        <v>4</v>
      </c>
      <c r="G9059" t="str">
        <f>""</f>
        <v/>
      </c>
    </row>
    <row r="9060" spans="1:7" x14ac:dyDescent="0.25">
      <c r="A9060" t="s">
        <v>8</v>
      </c>
      <c r="B9060" s="1" t="str">
        <f>"000382702 - RICH FOODS BB-FOODBUY"</f>
        <v>000382702 - RICH FOODS BB-FOODBUY</v>
      </c>
      <c r="C9060" t="s">
        <v>209</v>
      </c>
      <c r="D9060" s="1" t="str">
        <f t="shared" si="246"/>
        <v>PRG-1032567</v>
      </c>
      <c r="E9060" t="s">
        <v>147</v>
      </c>
      <c r="F9060" t="s">
        <v>4</v>
      </c>
      <c r="G9060" t="str">
        <f>""</f>
        <v/>
      </c>
    </row>
    <row r="9061" spans="1:7" x14ac:dyDescent="0.25">
      <c r="A9061" t="s">
        <v>8</v>
      </c>
      <c r="B9061" s="1" t="str">
        <f>"2000022763 - RICH FDS-FOODBUY COMM"</f>
        <v>2000022763 - RICH FDS-FOODBUY COMM</v>
      </c>
      <c r="C9061" t="s">
        <v>3829</v>
      </c>
      <c r="D9061" s="1" t="str">
        <f t="shared" si="246"/>
        <v>PRG-1032567</v>
      </c>
      <c r="E9061" t="s">
        <v>147</v>
      </c>
      <c r="F9061" t="s">
        <v>4</v>
      </c>
      <c r="G9061" t="str">
        <f>""</f>
        <v/>
      </c>
    </row>
    <row r="9062" spans="1:7" x14ac:dyDescent="0.25">
      <c r="A9062" t="s">
        <v>8</v>
      </c>
      <c r="B9062" s="1" t="str">
        <f>"2000027474 - RICH FDS-FOODBUY COMP COMM"</f>
        <v>2000027474 - RICH FDS-FOODBUY COMP COMM</v>
      </c>
      <c r="C9062" t="s">
        <v>3831</v>
      </c>
      <c r="D9062" s="1" t="str">
        <f t="shared" si="246"/>
        <v>PRG-1032567</v>
      </c>
      <c r="E9062" t="s">
        <v>147</v>
      </c>
      <c r="F9062" t="s">
        <v>4</v>
      </c>
      <c r="G9062" t="str">
        <f>""</f>
        <v/>
      </c>
    </row>
    <row r="9063" spans="1:7" x14ac:dyDescent="0.25">
      <c r="A9063" t="s">
        <v>8</v>
      </c>
      <c r="B9063" s="1" t="str">
        <f>"2000032744 - RICH FDS-FOODBUY COMP COMM"</f>
        <v>2000032744 - RICH FDS-FOODBUY COMP COMM</v>
      </c>
      <c r="C9063" t="s">
        <v>3831</v>
      </c>
      <c r="D9063" s="1" t="str">
        <f t="shared" si="246"/>
        <v>PRG-1032567</v>
      </c>
      <c r="E9063" t="s">
        <v>147</v>
      </c>
      <c r="F9063" t="s">
        <v>4</v>
      </c>
      <c r="G9063" t="str">
        <f>""</f>
        <v/>
      </c>
    </row>
    <row r="9064" spans="1:7" x14ac:dyDescent="0.25">
      <c r="A9064" t="s">
        <v>8</v>
      </c>
      <c r="B9064" s="1" t="str">
        <f>"2000036004 - RICH FDS-FOODBUY COMP COMM EXL K-12"</f>
        <v>2000036004 - RICH FDS-FOODBUY COMP COMM EXL K-12</v>
      </c>
      <c r="C9064" t="s">
        <v>3834</v>
      </c>
      <c r="D9064" s="1" t="str">
        <f t="shared" si="246"/>
        <v>PRG-1032567</v>
      </c>
      <c r="E9064" t="s">
        <v>147</v>
      </c>
      <c r="F9064" t="s">
        <v>4</v>
      </c>
      <c r="G9064" t="str">
        <f>""</f>
        <v/>
      </c>
    </row>
    <row r="9065" spans="1:7" x14ac:dyDescent="0.25">
      <c r="A9065" t="s">
        <v>8</v>
      </c>
      <c r="B9065" s="1" t="str">
        <f>"2000046315 - RICH FDS-FOODBUY COMP COMM"</f>
        <v>2000046315 - RICH FDS-FOODBUY COMP COMM</v>
      </c>
      <c r="C9065" t="s">
        <v>3831</v>
      </c>
      <c r="D9065" s="1" t="str">
        <f t="shared" si="246"/>
        <v>PRG-1032567</v>
      </c>
      <c r="E9065" t="s">
        <v>147</v>
      </c>
      <c r="F9065" t="s">
        <v>4</v>
      </c>
      <c r="G9065" t="str">
        <f>""</f>
        <v/>
      </c>
    </row>
    <row r="9066" spans="1:7" x14ac:dyDescent="0.25">
      <c r="A9066" t="s">
        <v>8</v>
      </c>
      <c r="B9066" s="1" t="str">
        <f>"2000055387 - RICH FDS-FOODBUY COMP COMM"</f>
        <v>2000055387 - RICH FDS-FOODBUY COMP COMM</v>
      </c>
      <c r="C9066" t="s">
        <v>3831</v>
      </c>
      <c r="D9066" s="1" t="str">
        <f t="shared" si="246"/>
        <v>PRG-1032567</v>
      </c>
      <c r="E9066" t="s">
        <v>147</v>
      </c>
      <c r="F9066" t="s">
        <v>4</v>
      </c>
      <c r="G9066" t="str">
        <f>""</f>
        <v/>
      </c>
    </row>
    <row r="9067" spans="1:7" x14ac:dyDescent="0.25">
      <c r="A9067" t="s">
        <v>8</v>
      </c>
      <c r="B9067" s="1" t="str">
        <f>"2000350979 - RICH FDS-FOODBUY COMP COMM"</f>
        <v>2000350979 - RICH FDS-FOODBUY COMP COMM</v>
      </c>
      <c r="C9067" t="s">
        <v>3831</v>
      </c>
      <c r="D9067" s="1" t="str">
        <f t="shared" si="246"/>
        <v>PRG-1032567</v>
      </c>
      <c r="E9067" t="s">
        <v>147</v>
      </c>
      <c r="F9067" t="s">
        <v>4</v>
      </c>
      <c r="G9067" t="str">
        <f>""</f>
        <v/>
      </c>
    </row>
    <row r="9068" spans="1:7" x14ac:dyDescent="0.25">
      <c r="A9068" t="s">
        <v>8</v>
      </c>
      <c r="B9068" s="1" t="str">
        <f>"2000382952 - RICH FDS-FOODBUY COMP COMM"</f>
        <v>2000382952 - RICH FDS-FOODBUY COMP COMM</v>
      </c>
      <c r="C9068" t="s">
        <v>3831</v>
      </c>
      <c r="D9068" s="1" t="str">
        <f t="shared" si="246"/>
        <v>PRG-1032567</v>
      </c>
      <c r="E9068" t="s">
        <v>147</v>
      </c>
      <c r="F9068" t="s">
        <v>4</v>
      </c>
      <c r="G9068" t="str">
        <f>""</f>
        <v/>
      </c>
    </row>
    <row r="9069" spans="1:7" x14ac:dyDescent="0.25">
      <c r="A9069" t="s">
        <v>8</v>
      </c>
      <c r="B9069" s="1" t="str">
        <f>"2000414171 - RICH FDS-FOODBUY COMP COMM"</f>
        <v>2000414171 - RICH FDS-FOODBUY COMP COMM</v>
      </c>
      <c r="C9069" t="s">
        <v>3831</v>
      </c>
      <c r="D9069" s="1" t="str">
        <f t="shared" si="246"/>
        <v>PRG-1032567</v>
      </c>
      <c r="E9069" t="s">
        <v>147</v>
      </c>
      <c r="F9069" t="s">
        <v>4</v>
      </c>
      <c r="G9069" t="str">
        <f>""</f>
        <v/>
      </c>
    </row>
    <row r="9070" spans="1:7" x14ac:dyDescent="0.25">
      <c r="A9070" t="s">
        <v>8</v>
      </c>
      <c r="B9070" s="1" t="str">
        <f>"2000421150 - RICH FDS-FOODBUY COMP COMM"</f>
        <v>2000421150 - RICH FDS-FOODBUY COMP COMM</v>
      </c>
      <c r="C9070" t="s">
        <v>3831</v>
      </c>
      <c r="D9070" s="1" t="str">
        <f t="shared" si="246"/>
        <v>PRG-1032567</v>
      </c>
      <c r="E9070" t="s">
        <v>147</v>
      </c>
      <c r="F9070" t="s">
        <v>4</v>
      </c>
      <c r="G9070" t="str">
        <f>""</f>
        <v/>
      </c>
    </row>
    <row r="9071" spans="1:7" x14ac:dyDescent="0.25">
      <c r="A9071" t="s">
        <v>8</v>
      </c>
      <c r="B9071" s="1" t="str">
        <f>"6026CV11"</f>
        <v>6026CV11</v>
      </c>
      <c r="C9071" t="s">
        <v>5034</v>
      </c>
      <c r="D9071" s="1" t="str">
        <f t="shared" si="246"/>
        <v>PRG-1032567</v>
      </c>
      <c r="E9071" t="s">
        <v>147</v>
      </c>
      <c r="F9071" t="s">
        <v>5</v>
      </c>
      <c r="G9071" t="str">
        <f>""</f>
        <v/>
      </c>
    </row>
    <row r="9072" spans="1:7" x14ac:dyDescent="0.25">
      <c r="A9072" t="s">
        <v>8</v>
      </c>
      <c r="B9072" s="1" t="str">
        <f>"6026NP20"</f>
        <v>6026NP20</v>
      </c>
      <c r="C9072" t="s">
        <v>5107</v>
      </c>
      <c r="D9072" s="1" t="str">
        <f t="shared" si="246"/>
        <v>PRG-1032567</v>
      </c>
      <c r="E9072" t="s">
        <v>147</v>
      </c>
      <c r="F9072" t="s">
        <v>5</v>
      </c>
      <c r="G9072" t="str">
        <f>""</f>
        <v/>
      </c>
    </row>
    <row r="9073" spans="1:7" x14ac:dyDescent="0.25">
      <c r="A9073" t="s">
        <v>8</v>
      </c>
      <c r="B9073" s="1" t="str">
        <f>"6026R069"</f>
        <v>6026R069</v>
      </c>
      <c r="C9073" t="s">
        <v>5121</v>
      </c>
      <c r="D9073" s="1" t="str">
        <f t="shared" si="246"/>
        <v>PRG-1032567</v>
      </c>
      <c r="E9073" t="s">
        <v>147</v>
      </c>
      <c r="F9073" t="s">
        <v>5</v>
      </c>
      <c r="G9073" t="str">
        <f>""</f>
        <v/>
      </c>
    </row>
    <row r="9074" spans="1:7" x14ac:dyDescent="0.25">
      <c r="A9074" t="s">
        <v>8</v>
      </c>
      <c r="B9074" s="1" t="str">
        <f>"6026R070"</f>
        <v>6026R070</v>
      </c>
      <c r="C9074" t="s">
        <v>5122</v>
      </c>
      <c r="D9074" s="1" t="str">
        <f t="shared" si="246"/>
        <v>PRG-1032567</v>
      </c>
      <c r="E9074" t="s">
        <v>147</v>
      </c>
      <c r="F9074" t="s">
        <v>5</v>
      </c>
      <c r="G9074" t="str">
        <f>""</f>
        <v/>
      </c>
    </row>
    <row r="9075" spans="1:7" x14ac:dyDescent="0.25">
      <c r="A9075" t="s">
        <v>8</v>
      </c>
      <c r="B9075" s="1" t="str">
        <f>"60272944"</f>
        <v>60272944</v>
      </c>
      <c r="C9075" t="s">
        <v>5192</v>
      </c>
      <c r="D9075" s="1" t="str">
        <f t="shared" si="246"/>
        <v>PRG-1032567</v>
      </c>
      <c r="E9075" t="s">
        <v>147</v>
      </c>
      <c r="F9075" t="s">
        <v>5</v>
      </c>
      <c r="G9075" t="str">
        <f>""</f>
        <v/>
      </c>
    </row>
    <row r="9076" spans="1:7" x14ac:dyDescent="0.25">
      <c r="A9076" t="s">
        <v>8</v>
      </c>
      <c r="B9076" s="1" t="str">
        <f>"60284759"</f>
        <v>60284759</v>
      </c>
      <c r="C9076" t="s">
        <v>5219</v>
      </c>
      <c r="D9076" s="1" t="str">
        <f t="shared" si="246"/>
        <v>PRG-1032567</v>
      </c>
      <c r="E9076" t="s">
        <v>147</v>
      </c>
      <c r="F9076" t="s">
        <v>5</v>
      </c>
      <c r="G9076" t="str">
        <f>""</f>
        <v/>
      </c>
    </row>
    <row r="9077" spans="1:7" x14ac:dyDescent="0.25">
      <c r="A9077" t="s">
        <v>8</v>
      </c>
      <c r="B9077" s="1" t="str">
        <f>"60291879"</f>
        <v>60291879</v>
      </c>
      <c r="C9077" t="s">
        <v>5226</v>
      </c>
      <c r="D9077" s="1" t="str">
        <f t="shared" si="246"/>
        <v>PRG-1032567</v>
      </c>
      <c r="E9077" t="s">
        <v>147</v>
      </c>
      <c r="F9077" t="s">
        <v>5</v>
      </c>
      <c r="G9077" t="str">
        <f>""</f>
        <v/>
      </c>
    </row>
    <row r="9078" spans="1:7" x14ac:dyDescent="0.25">
      <c r="A9078" t="s">
        <v>8</v>
      </c>
      <c r="B9078" s="1" t="str">
        <f>"6026PE31"</f>
        <v>6026PE31</v>
      </c>
      <c r="C9078" t="s">
        <v>5109</v>
      </c>
      <c r="D9078" s="1" t="str">
        <f t="shared" ref="D9078:D9094" si="247">"PRG-1032570"</f>
        <v>PRG-1032570</v>
      </c>
      <c r="E9078" t="s">
        <v>5110</v>
      </c>
      <c r="F9078" t="s">
        <v>5</v>
      </c>
      <c r="G9078" t="str">
        <f>""</f>
        <v/>
      </c>
    </row>
    <row r="9079" spans="1:7" x14ac:dyDescent="0.25">
      <c r="A9079" t="s">
        <v>8</v>
      </c>
      <c r="B9079" s="1" t="str">
        <f>"6026QY86"</f>
        <v>6026QY86</v>
      </c>
      <c r="C9079" t="s">
        <v>5118</v>
      </c>
      <c r="D9079" s="1" t="str">
        <f t="shared" si="247"/>
        <v>PRG-1032570</v>
      </c>
      <c r="E9079" t="s">
        <v>5110</v>
      </c>
      <c r="F9079" t="s">
        <v>5</v>
      </c>
      <c r="G9079" t="str">
        <f>""</f>
        <v/>
      </c>
    </row>
    <row r="9080" spans="1:7" x14ac:dyDescent="0.25">
      <c r="A9080" t="s">
        <v>8</v>
      </c>
      <c r="B9080" s="1" t="str">
        <f>"6026TM18"</f>
        <v>6026TM18</v>
      </c>
      <c r="C9080" t="s">
        <v>5158</v>
      </c>
      <c r="D9080" s="1" t="str">
        <f t="shared" si="247"/>
        <v>PRG-1032570</v>
      </c>
      <c r="E9080" t="s">
        <v>5110</v>
      </c>
      <c r="F9080" t="s">
        <v>5</v>
      </c>
      <c r="G9080" t="str">
        <f>""</f>
        <v/>
      </c>
    </row>
    <row r="9081" spans="1:7" x14ac:dyDescent="0.25">
      <c r="A9081" t="s">
        <v>8</v>
      </c>
      <c r="B9081" s="1" t="str">
        <f>"6026VW00"</f>
        <v>6026VW00</v>
      </c>
      <c r="C9081" t="s">
        <v>5168</v>
      </c>
      <c r="D9081" s="1" t="str">
        <f t="shared" si="247"/>
        <v>PRG-1032570</v>
      </c>
      <c r="E9081" t="s">
        <v>5110</v>
      </c>
      <c r="F9081" t="s">
        <v>5</v>
      </c>
      <c r="G9081" t="str">
        <f>""</f>
        <v/>
      </c>
    </row>
    <row r="9082" spans="1:7" x14ac:dyDescent="0.25">
      <c r="A9082" t="s">
        <v>8</v>
      </c>
      <c r="B9082" s="1" t="str">
        <f>"6026XA28"</f>
        <v>6026XA28</v>
      </c>
      <c r="C9082" t="s">
        <v>5175</v>
      </c>
      <c r="D9082" s="1" t="str">
        <f t="shared" si="247"/>
        <v>PRG-1032570</v>
      </c>
      <c r="E9082" t="s">
        <v>5110</v>
      </c>
      <c r="F9082" t="s">
        <v>5</v>
      </c>
      <c r="G9082" t="str">
        <f>""</f>
        <v/>
      </c>
    </row>
    <row r="9083" spans="1:7" x14ac:dyDescent="0.25">
      <c r="A9083" t="s">
        <v>8</v>
      </c>
      <c r="B9083" s="1" t="str">
        <f>"S1Z03IN0"</f>
        <v>S1Z03IN0</v>
      </c>
      <c r="C9083" t="s">
        <v>5335</v>
      </c>
      <c r="D9083" s="1" t="str">
        <f t="shared" si="247"/>
        <v>PRG-1032570</v>
      </c>
      <c r="E9083" t="s">
        <v>5110</v>
      </c>
      <c r="F9083" t="s">
        <v>5</v>
      </c>
      <c r="G9083" t="str">
        <f>""</f>
        <v/>
      </c>
    </row>
    <row r="9084" spans="1:7" x14ac:dyDescent="0.25">
      <c r="A9084" t="s">
        <v>8</v>
      </c>
      <c r="B9084" s="1" t="str">
        <f>"S1Z08DR0"</f>
        <v>S1Z08DR0</v>
      </c>
      <c r="C9084" t="s">
        <v>5349</v>
      </c>
      <c r="D9084" s="1" t="str">
        <f t="shared" si="247"/>
        <v>PRG-1032570</v>
      </c>
      <c r="E9084" t="s">
        <v>5110</v>
      </c>
      <c r="F9084" t="s">
        <v>5</v>
      </c>
      <c r="G9084" t="str">
        <f>""</f>
        <v/>
      </c>
    </row>
    <row r="9085" spans="1:7" x14ac:dyDescent="0.25">
      <c r="A9085" t="s">
        <v>8</v>
      </c>
      <c r="B9085" s="1" t="str">
        <f>"S1Z08X20"</f>
        <v>S1Z08X20</v>
      </c>
      <c r="C9085" t="s">
        <v>5352</v>
      </c>
      <c r="D9085" s="1" t="str">
        <f t="shared" si="247"/>
        <v>PRG-1032570</v>
      </c>
      <c r="E9085" t="s">
        <v>5110</v>
      </c>
      <c r="F9085" t="s">
        <v>5</v>
      </c>
      <c r="G9085" t="str">
        <f>""</f>
        <v/>
      </c>
    </row>
    <row r="9086" spans="1:7" x14ac:dyDescent="0.25">
      <c r="A9086" t="s">
        <v>8</v>
      </c>
      <c r="B9086" s="1" t="str">
        <f>"S1Z08X90"</f>
        <v>S1Z08X90</v>
      </c>
      <c r="C9086" t="s">
        <v>5353</v>
      </c>
      <c r="D9086" s="1" t="str">
        <f t="shared" si="247"/>
        <v>PRG-1032570</v>
      </c>
      <c r="E9086" t="s">
        <v>5110</v>
      </c>
      <c r="F9086" t="s">
        <v>5</v>
      </c>
      <c r="G9086" t="str">
        <f>""</f>
        <v/>
      </c>
    </row>
    <row r="9087" spans="1:7" x14ac:dyDescent="0.25">
      <c r="A9087" t="s">
        <v>8</v>
      </c>
      <c r="B9087" s="1" t="str">
        <f>"S1Z08ZR0"</f>
        <v>S1Z08ZR0</v>
      </c>
      <c r="C9087" t="s">
        <v>5357</v>
      </c>
      <c r="D9087" s="1" t="str">
        <f t="shared" si="247"/>
        <v>PRG-1032570</v>
      </c>
      <c r="E9087" t="s">
        <v>5110</v>
      </c>
      <c r="F9087" t="s">
        <v>5</v>
      </c>
      <c r="G9087" t="str">
        <f>""</f>
        <v/>
      </c>
    </row>
    <row r="9088" spans="1:7" x14ac:dyDescent="0.25">
      <c r="A9088" t="s">
        <v>8</v>
      </c>
      <c r="B9088" s="1" t="str">
        <f>"S1Z08ZY0"</f>
        <v>S1Z08ZY0</v>
      </c>
      <c r="C9088" t="s">
        <v>5358</v>
      </c>
      <c r="D9088" s="1" t="str">
        <f t="shared" si="247"/>
        <v>PRG-1032570</v>
      </c>
      <c r="E9088" t="s">
        <v>5110</v>
      </c>
      <c r="F9088" t="s">
        <v>5</v>
      </c>
      <c r="G9088" t="str">
        <f>""</f>
        <v/>
      </c>
    </row>
    <row r="9089" spans="1:7" x14ac:dyDescent="0.25">
      <c r="A9089" t="s">
        <v>8</v>
      </c>
      <c r="B9089" s="1" t="str">
        <f>"S1Z090L0"</f>
        <v>S1Z090L0</v>
      </c>
      <c r="C9089" t="s">
        <v>5360</v>
      </c>
      <c r="D9089" s="1" t="str">
        <f t="shared" si="247"/>
        <v>PRG-1032570</v>
      </c>
      <c r="E9089" t="s">
        <v>5110</v>
      </c>
      <c r="F9089" t="s">
        <v>5</v>
      </c>
      <c r="G9089" t="str">
        <f>""</f>
        <v/>
      </c>
    </row>
    <row r="9090" spans="1:7" x14ac:dyDescent="0.25">
      <c r="A9090" t="s">
        <v>8</v>
      </c>
      <c r="B9090" s="1" t="str">
        <f>"S1Z0E270"</f>
        <v>S1Z0E270</v>
      </c>
      <c r="C9090" t="s">
        <v>5379</v>
      </c>
      <c r="D9090" s="1" t="str">
        <f t="shared" si="247"/>
        <v>PRG-1032570</v>
      </c>
      <c r="E9090" t="s">
        <v>5110</v>
      </c>
      <c r="F9090" t="s">
        <v>5</v>
      </c>
      <c r="G9090" t="str">
        <f>""</f>
        <v/>
      </c>
    </row>
    <row r="9091" spans="1:7" x14ac:dyDescent="0.25">
      <c r="A9091" t="s">
        <v>8</v>
      </c>
      <c r="B9091" s="1" t="str">
        <f>"T1Z0006I"</f>
        <v>T1Z0006I</v>
      </c>
      <c r="C9091" t="s">
        <v>6388</v>
      </c>
      <c r="D9091" s="1" t="str">
        <f t="shared" si="247"/>
        <v>PRG-1032570</v>
      </c>
      <c r="E9091" t="s">
        <v>5110</v>
      </c>
      <c r="F9091" t="s">
        <v>5</v>
      </c>
      <c r="G9091" t="str">
        <f>""</f>
        <v/>
      </c>
    </row>
    <row r="9092" spans="1:7" x14ac:dyDescent="0.25">
      <c r="A9092" t="s">
        <v>8</v>
      </c>
      <c r="B9092" s="1" t="str">
        <f>"T1Z0070H"</f>
        <v>T1Z0070H</v>
      </c>
      <c r="C9092" t="s">
        <v>5466</v>
      </c>
      <c r="D9092" s="1" t="str">
        <f t="shared" si="247"/>
        <v>PRG-1032570</v>
      </c>
      <c r="E9092" t="s">
        <v>5110</v>
      </c>
      <c r="F9092" t="s">
        <v>5</v>
      </c>
      <c r="G9092" t="str">
        <f>""</f>
        <v/>
      </c>
    </row>
    <row r="9093" spans="1:7" x14ac:dyDescent="0.25">
      <c r="A9093" t="s">
        <v>8</v>
      </c>
      <c r="B9093" s="1" t="str">
        <f>"T1Z007W0"</f>
        <v>T1Z007W0</v>
      </c>
      <c r="C9093" t="s">
        <v>6394</v>
      </c>
      <c r="D9093" s="1" t="str">
        <f t="shared" si="247"/>
        <v>PRG-1032570</v>
      </c>
      <c r="E9093" t="s">
        <v>5110</v>
      </c>
      <c r="F9093" t="s">
        <v>5</v>
      </c>
      <c r="G9093" t="str">
        <f>""</f>
        <v/>
      </c>
    </row>
    <row r="9094" spans="1:7" x14ac:dyDescent="0.25">
      <c r="A9094" t="s">
        <v>8</v>
      </c>
      <c r="B9094" s="1" t="str">
        <f>"T1Z008CW"</f>
        <v>T1Z008CW</v>
      </c>
      <c r="C9094" t="s">
        <v>6395</v>
      </c>
      <c r="D9094" s="1" t="str">
        <f t="shared" si="247"/>
        <v>PRG-1032570</v>
      </c>
      <c r="E9094" t="s">
        <v>5110</v>
      </c>
      <c r="F9094" t="s">
        <v>5</v>
      </c>
      <c r="G9094" t="str">
        <f>""</f>
        <v/>
      </c>
    </row>
    <row r="9095" spans="1:7" x14ac:dyDescent="0.25">
      <c r="A9095" t="s">
        <v>8</v>
      </c>
      <c r="B9095" s="1" t="str">
        <f>"3A06ZC01"</f>
        <v>3A06ZC01</v>
      </c>
      <c r="C9095" t="s">
        <v>4916</v>
      </c>
      <c r="D9095" s="1" t="str">
        <f>"PRG-1032572"</f>
        <v>PRG-1032572</v>
      </c>
      <c r="E9095" t="s">
        <v>4920</v>
      </c>
      <c r="F9095" t="s">
        <v>5</v>
      </c>
      <c r="G9095" t="str">
        <f>""</f>
        <v/>
      </c>
    </row>
    <row r="9096" spans="1:7" x14ac:dyDescent="0.25">
      <c r="A9096" t="s">
        <v>8</v>
      </c>
      <c r="B9096" s="1" t="str">
        <f>"3A06ZC02"</f>
        <v>3A06ZC02</v>
      </c>
      <c r="C9096" t="s">
        <v>4916</v>
      </c>
      <c r="D9096" s="1" t="str">
        <f>"PRG-1032572"</f>
        <v>PRG-1032572</v>
      </c>
      <c r="E9096" t="s">
        <v>4920</v>
      </c>
      <c r="F9096" t="s">
        <v>5</v>
      </c>
      <c r="G9096" t="str">
        <f>""</f>
        <v/>
      </c>
    </row>
    <row r="9097" spans="1:7" x14ac:dyDescent="0.25">
      <c r="A9097" t="s">
        <v>8</v>
      </c>
      <c r="B9097" s="1" t="str">
        <f>"3A07JV01"</f>
        <v>3A07JV01</v>
      </c>
      <c r="C9097" t="s">
        <v>4916</v>
      </c>
      <c r="D9097" s="1" t="str">
        <f>"PRG-1032572"</f>
        <v>PRG-1032572</v>
      </c>
      <c r="E9097" t="s">
        <v>4920</v>
      </c>
      <c r="F9097" t="s">
        <v>5</v>
      </c>
      <c r="G9097" t="str">
        <f>""</f>
        <v/>
      </c>
    </row>
    <row r="9098" spans="1:7" x14ac:dyDescent="0.25">
      <c r="A9098" t="s">
        <v>8</v>
      </c>
      <c r="B9098" s="1" t="str">
        <f>"3A07JV02"</f>
        <v>3A07JV02</v>
      </c>
      <c r="C9098" t="s">
        <v>4916</v>
      </c>
      <c r="D9098" s="1" t="str">
        <f>"PRG-1032572"</f>
        <v>PRG-1032572</v>
      </c>
      <c r="E9098" t="s">
        <v>4920</v>
      </c>
      <c r="F9098" t="s">
        <v>5</v>
      </c>
      <c r="G9098" t="str">
        <f>""</f>
        <v/>
      </c>
    </row>
    <row r="9099" spans="1:7" x14ac:dyDescent="0.25">
      <c r="A9099" t="s">
        <v>8</v>
      </c>
      <c r="B9099" s="1" t="str">
        <f>"3A06ZD01"</f>
        <v>3A06ZD01</v>
      </c>
      <c r="C9099" t="s">
        <v>4918</v>
      </c>
      <c r="D9099" s="1" t="str">
        <f t="shared" ref="D9099:D9104" si="248">"PRG-1032574"</f>
        <v>PRG-1032574</v>
      </c>
      <c r="E9099" t="s">
        <v>4921</v>
      </c>
      <c r="F9099" t="s">
        <v>5</v>
      </c>
      <c r="G9099" t="str">
        <f>""</f>
        <v/>
      </c>
    </row>
    <row r="9100" spans="1:7" x14ac:dyDescent="0.25">
      <c r="A9100" t="s">
        <v>8</v>
      </c>
      <c r="B9100" s="1" t="str">
        <f>"3A06ZD02"</f>
        <v>3A06ZD02</v>
      </c>
      <c r="C9100" t="s">
        <v>4918</v>
      </c>
      <c r="D9100" s="1" t="str">
        <f t="shared" si="248"/>
        <v>PRG-1032574</v>
      </c>
      <c r="E9100" t="s">
        <v>4921</v>
      </c>
      <c r="F9100" t="s">
        <v>5</v>
      </c>
      <c r="G9100" t="str">
        <f>""</f>
        <v/>
      </c>
    </row>
    <row r="9101" spans="1:7" x14ac:dyDescent="0.25">
      <c r="A9101" t="s">
        <v>8</v>
      </c>
      <c r="B9101" s="1" t="str">
        <f>"3A07JW01"</f>
        <v>3A07JW01</v>
      </c>
      <c r="C9101" t="s">
        <v>4922</v>
      </c>
      <c r="D9101" s="1" t="str">
        <f t="shared" si="248"/>
        <v>PRG-1032574</v>
      </c>
      <c r="E9101" t="s">
        <v>4921</v>
      </c>
      <c r="F9101" t="s">
        <v>5</v>
      </c>
      <c r="G9101" t="str">
        <f>""</f>
        <v/>
      </c>
    </row>
    <row r="9102" spans="1:7" x14ac:dyDescent="0.25">
      <c r="A9102" t="s">
        <v>8</v>
      </c>
      <c r="B9102" s="1" t="str">
        <f>"3A07JW02"</f>
        <v>3A07JW02</v>
      </c>
      <c r="C9102" t="s">
        <v>4922</v>
      </c>
      <c r="D9102" s="1" t="str">
        <f t="shared" si="248"/>
        <v>PRG-1032574</v>
      </c>
      <c r="E9102" t="s">
        <v>4921</v>
      </c>
      <c r="F9102" t="s">
        <v>5</v>
      </c>
      <c r="G9102" t="str">
        <f>""</f>
        <v/>
      </c>
    </row>
    <row r="9103" spans="1:7" x14ac:dyDescent="0.25">
      <c r="A9103" t="s">
        <v>8</v>
      </c>
      <c r="B9103" s="1" t="str">
        <f>"3A07V301"</f>
        <v>3A07V301</v>
      </c>
      <c r="C9103" t="s">
        <v>4922</v>
      </c>
      <c r="D9103" s="1" t="str">
        <f t="shared" si="248"/>
        <v>PRG-1032574</v>
      </c>
      <c r="E9103" t="s">
        <v>4921</v>
      </c>
      <c r="F9103" t="s">
        <v>5</v>
      </c>
      <c r="G9103" t="str">
        <f>""</f>
        <v/>
      </c>
    </row>
    <row r="9104" spans="1:7" x14ac:dyDescent="0.25">
      <c r="A9104" t="s">
        <v>8</v>
      </c>
      <c r="B9104" s="1" t="str">
        <f>"3A07V302"</f>
        <v>3A07V302</v>
      </c>
      <c r="C9104" t="s">
        <v>4922</v>
      </c>
      <c r="D9104" s="1" t="str">
        <f t="shared" si="248"/>
        <v>PRG-1032574</v>
      </c>
      <c r="E9104" t="s">
        <v>4921</v>
      </c>
      <c r="F9104" t="s">
        <v>5</v>
      </c>
      <c r="G9104" t="str">
        <f>""</f>
        <v/>
      </c>
    </row>
    <row r="9105" spans="1:7" x14ac:dyDescent="0.25">
      <c r="A9105" t="s">
        <v>8</v>
      </c>
      <c r="B9105" s="1" t="str">
        <f>"000262376 - RICHS DC-HONEY CAFE(BILLY BEE)"</f>
        <v>000262376 - RICHS DC-HONEY CAFE(BILLY BEE)</v>
      </c>
      <c r="C9105" t="s">
        <v>2313</v>
      </c>
      <c r="D9105" s="1" t="str">
        <f>"PRG-1032637"</f>
        <v>PRG-1032637</v>
      </c>
      <c r="E9105" t="s">
        <v>2314</v>
      </c>
      <c r="F9105" t="s">
        <v>4</v>
      </c>
      <c r="G9105" t="str">
        <f>""</f>
        <v/>
      </c>
    </row>
    <row r="9106" spans="1:7" x14ac:dyDescent="0.25">
      <c r="A9106" t="s">
        <v>8</v>
      </c>
      <c r="B9106" s="1" t="str">
        <f>"000316896 - RICH PRODUCTS BUC-EES"</f>
        <v>000316896 - RICH PRODUCTS BUC-EES</v>
      </c>
      <c r="C9106" t="s">
        <v>3196</v>
      </c>
      <c r="D9106" s="1" t="str">
        <f>"PRG-1032639"</f>
        <v>PRG-1032639</v>
      </c>
      <c r="E9106" t="s">
        <v>2069</v>
      </c>
      <c r="F9106" t="s">
        <v>4</v>
      </c>
      <c r="G9106" t="str">
        <f>""</f>
        <v/>
      </c>
    </row>
    <row r="9107" spans="1:7" x14ac:dyDescent="0.25">
      <c r="A9107" t="s">
        <v>8</v>
      </c>
      <c r="B9107" s="1" t="str">
        <f>"000233120 - "</f>
        <v xml:space="preserve">000233120 - </v>
      </c>
      <c r="D9107" s="1" t="str">
        <f>"PRG-1032648"</f>
        <v>PRG-1032648</v>
      </c>
      <c r="E9107" t="s">
        <v>503</v>
      </c>
      <c r="F9107" t="s">
        <v>4</v>
      </c>
      <c r="G9107" t="str">
        <f>""</f>
        <v/>
      </c>
    </row>
    <row r="9108" spans="1:7" x14ac:dyDescent="0.25">
      <c r="A9108" t="s">
        <v>8</v>
      </c>
      <c r="B9108" s="1" t="str">
        <f>"000277775 - "</f>
        <v xml:space="preserve">000277775 - </v>
      </c>
      <c r="D9108" s="1" t="str">
        <f>"PRG-1032648"</f>
        <v>PRG-1032648</v>
      </c>
      <c r="E9108" t="s">
        <v>503</v>
      </c>
      <c r="F9108" t="s">
        <v>4</v>
      </c>
      <c r="G9108" t="str">
        <f>""</f>
        <v/>
      </c>
    </row>
    <row r="9109" spans="1:7" x14ac:dyDescent="0.25">
      <c r="A9109" t="s">
        <v>8</v>
      </c>
      <c r="B9109" s="1" t="str">
        <f>"2000363022 - "</f>
        <v xml:space="preserve">2000363022 - </v>
      </c>
      <c r="D9109" s="1" t="str">
        <f>"PRG-1032648"</f>
        <v>PRG-1032648</v>
      </c>
      <c r="E9109" t="s">
        <v>503</v>
      </c>
      <c r="F9109" t="s">
        <v>4</v>
      </c>
      <c r="G9109" t="str">
        <f>""</f>
        <v/>
      </c>
    </row>
    <row r="9110" spans="1:7" x14ac:dyDescent="0.25">
      <c r="A9110" t="s">
        <v>8</v>
      </c>
      <c r="B9110" s="1" t="str">
        <f>"000349221 - RICH'S LAMBERT'S"</f>
        <v>000349221 - RICH'S LAMBERT'S</v>
      </c>
      <c r="C9110" t="s">
        <v>3490</v>
      </c>
      <c r="D9110" s="1" t="str">
        <f>"PRG-1032662"</f>
        <v>PRG-1032662</v>
      </c>
      <c r="E9110" t="s">
        <v>3491</v>
      </c>
      <c r="F9110" t="s">
        <v>4</v>
      </c>
      <c r="G9110" t="str">
        <f>""</f>
        <v/>
      </c>
    </row>
    <row r="9111" spans="1:7" x14ac:dyDescent="0.25">
      <c r="A9111" t="s">
        <v>8</v>
      </c>
      <c r="B9111" s="1" t="str">
        <f>"000100931 - CASA DI BERTACCHI-SODEXO"</f>
        <v>000100931 - CASA DI BERTACCHI-SODEXO</v>
      </c>
      <c r="C9111" t="s">
        <v>378</v>
      </c>
      <c r="D9111" s="1" t="str">
        <f t="shared" ref="D9111:D9141" si="249">"PRG-1032667"</f>
        <v>PRG-1032667</v>
      </c>
      <c r="E9111" t="s">
        <v>36</v>
      </c>
      <c r="F9111" t="s">
        <v>4</v>
      </c>
      <c r="G9111" t="str">
        <f>""</f>
        <v/>
      </c>
    </row>
    <row r="9112" spans="1:7" x14ac:dyDescent="0.25">
      <c r="A9112" t="s">
        <v>8</v>
      </c>
      <c r="B9112" s="1" t="str">
        <f>"000123225 - CASA DI BERTACCHI-SODEXO"</f>
        <v>000123225 - CASA DI BERTACCHI-SODEXO</v>
      </c>
      <c r="C9112" t="s">
        <v>378</v>
      </c>
      <c r="D9112" s="1" t="str">
        <f t="shared" si="249"/>
        <v>PRG-1032667</v>
      </c>
      <c r="E9112" t="s">
        <v>36</v>
      </c>
      <c r="F9112" t="s">
        <v>4</v>
      </c>
      <c r="G9112" t="str">
        <f>""</f>
        <v/>
      </c>
    </row>
    <row r="9113" spans="1:7" x14ac:dyDescent="0.25">
      <c r="A9113" t="s">
        <v>8</v>
      </c>
      <c r="B9113" s="1" t="str">
        <f>"000140052 - VOID  CASA DE BERTACCI-SODEXO"</f>
        <v>000140052 - VOID  CASA DE BERTACCI-SODEXO</v>
      </c>
      <c r="C9113" t="s">
        <v>637</v>
      </c>
      <c r="D9113" s="1" t="str">
        <f t="shared" si="249"/>
        <v>PRG-1032667</v>
      </c>
      <c r="E9113" t="s">
        <v>36</v>
      </c>
      <c r="F9113" t="s">
        <v>4</v>
      </c>
      <c r="G9113" t="str">
        <f>""</f>
        <v/>
      </c>
    </row>
    <row r="9114" spans="1:7" x14ac:dyDescent="0.25">
      <c r="A9114" t="s">
        <v>8</v>
      </c>
      <c r="B9114" s="1" t="str">
        <f>"000209078 - CASA DI BERTACCHI-SODEXO"</f>
        <v>000209078 - CASA DI BERTACCHI-SODEXO</v>
      </c>
      <c r="C9114" t="s">
        <v>378</v>
      </c>
      <c r="D9114" s="1" t="str">
        <f t="shared" si="249"/>
        <v>PRG-1032667</v>
      </c>
      <c r="E9114" t="s">
        <v>36</v>
      </c>
      <c r="F9114" t="s">
        <v>4</v>
      </c>
      <c r="G9114" t="str">
        <f>""</f>
        <v/>
      </c>
    </row>
    <row r="9115" spans="1:7" x14ac:dyDescent="0.25">
      <c r="A9115" t="s">
        <v>8</v>
      </c>
      <c r="B9115" s="1" t="str">
        <f>"000209826 - VOID  CASA DE BERTACCI-SODEXO"</f>
        <v>000209826 - VOID  CASA DE BERTACCI-SODEXO</v>
      </c>
      <c r="C9115" t="s">
        <v>637</v>
      </c>
      <c r="D9115" s="1" t="str">
        <f t="shared" si="249"/>
        <v>PRG-1032667</v>
      </c>
      <c r="E9115" t="s">
        <v>36</v>
      </c>
      <c r="F9115" t="s">
        <v>4</v>
      </c>
      <c r="G9115" t="str">
        <f>""</f>
        <v/>
      </c>
    </row>
    <row r="9116" spans="1:7" x14ac:dyDescent="0.25">
      <c r="A9116" t="s">
        <v>8</v>
      </c>
      <c r="B9116" s="1" t="str">
        <f>"000211225 - CASA DI BERTACCHI-SODEXO"</f>
        <v>000211225 - CASA DI BERTACCHI-SODEXO</v>
      </c>
      <c r="C9116" t="s">
        <v>378</v>
      </c>
      <c r="D9116" s="1" t="str">
        <f t="shared" si="249"/>
        <v>PRG-1032667</v>
      </c>
      <c r="E9116" t="s">
        <v>36</v>
      </c>
      <c r="F9116" t="s">
        <v>4</v>
      </c>
      <c r="G9116" t="str">
        <f>""</f>
        <v/>
      </c>
    </row>
    <row r="9117" spans="1:7" x14ac:dyDescent="0.25">
      <c r="A9117" t="s">
        <v>8</v>
      </c>
      <c r="B9117" s="1" t="str">
        <f>"000218348 - CASA DI BERTACCHI-SODEXO"</f>
        <v>000218348 - CASA DI BERTACCHI-SODEXO</v>
      </c>
      <c r="C9117" t="s">
        <v>378</v>
      </c>
      <c r="D9117" s="1" t="str">
        <f t="shared" si="249"/>
        <v>PRG-1032667</v>
      </c>
      <c r="E9117" t="s">
        <v>36</v>
      </c>
      <c r="F9117" t="s">
        <v>4</v>
      </c>
      <c r="G9117" t="str">
        <f>""</f>
        <v/>
      </c>
    </row>
    <row r="9118" spans="1:7" x14ac:dyDescent="0.25">
      <c r="A9118" t="s">
        <v>8</v>
      </c>
      <c r="B9118" s="1" t="str">
        <f>"000220825 - CASA DI BERTACCHI-SODEXO"</f>
        <v>000220825 - CASA DI BERTACCHI-SODEXO</v>
      </c>
      <c r="C9118" t="s">
        <v>378</v>
      </c>
      <c r="D9118" s="1" t="str">
        <f t="shared" si="249"/>
        <v>PRG-1032667</v>
      </c>
      <c r="E9118" t="s">
        <v>36</v>
      </c>
      <c r="F9118" t="s">
        <v>4</v>
      </c>
      <c r="G9118" t="str">
        <f>""</f>
        <v/>
      </c>
    </row>
    <row r="9119" spans="1:7" x14ac:dyDescent="0.25">
      <c r="A9119" t="s">
        <v>8</v>
      </c>
      <c r="B9119" s="1" t="str">
        <f>"000232339 - CASA DI BERTACCHI-SODEXO"</f>
        <v>000232339 - CASA DI BERTACCHI-SODEXO</v>
      </c>
      <c r="C9119" t="s">
        <v>378</v>
      </c>
      <c r="D9119" s="1" t="str">
        <f t="shared" si="249"/>
        <v>PRG-1032667</v>
      </c>
      <c r="E9119" t="s">
        <v>36</v>
      </c>
      <c r="F9119" t="s">
        <v>4</v>
      </c>
      <c r="G9119" t="str">
        <f>""</f>
        <v/>
      </c>
    </row>
    <row r="9120" spans="1:7" x14ac:dyDescent="0.25">
      <c r="A9120" t="s">
        <v>8</v>
      </c>
      <c r="B9120" s="1" t="str">
        <f>"000232352 - CASA DI BERTACCHI-SODEXO"</f>
        <v>000232352 - CASA DI BERTACCHI-SODEXO</v>
      </c>
      <c r="C9120" t="s">
        <v>378</v>
      </c>
      <c r="D9120" s="1" t="str">
        <f t="shared" si="249"/>
        <v>PRG-1032667</v>
      </c>
      <c r="E9120" t="s">
        <v>36</v>
      </c>
      <c r="F9120" t="s">
        <v>4</v>
      </c>
      <c r="G9120" t="str">
        <f>""</f>
        <v/>
      </c>
    </row>
    <row r="9121" spans="1:7" x14ac:dyDescent="0.25">
      <c r="A9121" t="s">
        <v>8</v>
      </c>
      <c r="B9121" s="1" t="str">
        <f>"000237945 - VOID  CASA DE BERTACCI-SODEXO"</f>
        <v>000237945 - VOID  CASA DE BERTACCI-SODEXO</v>
      </c>
      <c r="C9121" t="s">
        <v>637</v>
      </c>
      <c r="D9121" s="1" t="str">
        <f t="shared" si="249"/>
        <v>PRG-1032667</v>
      </c>
      <c r="E9121" t="s">
        <v>36</v>
      </c>
      <c r="F9121" t="s">
        <v>4</v>
      </c>
      <c r="G9121" t="str">
        <f>""</f>
        <v/>
      </c>
    </row>
    <row r="9122" spans="1:7" x14ac:dyDescent="0.25">
      <c r="A9122" t="s">
        <v>8</v>
      </c>
      <c r="B9122" s="1" t="str">
        <f>"000239519 - CASA DI BERTACCHI-SODEXO"</f>
        <v>000239519 - CASA DI BERTACCHI-SODEXO</v>
      </c>
      <c r="C9122" t="s">
        <v>378</v>
      </c>
      <c r="D9122" s="1" t="str">
        <f t="shared" si="249"/>
        <v>PRG-1032667</v>
      </c>
      <c r="E9122" t="s">
        <v>36</v>
      </c>
      <c r="F9122" t="s">
        <v>4</v>
      </c>
      <c r="G9122" t="str">
        <f>""</f>
        <v/>
      </c>
    </row>
    <row r="9123" spans="1:7" x14ac:dyDescent="0.25">
      <c r="A9123" t="s">
        <v>8</v>
      </c>
      <c r="B9123" s="1" t="str">
        <f>"000239683 - VOID  CASA DE BERTACCI-SODEXO"</f>
        <v>000239683 - VOID  CASA DE BERTACCI-SODEXO</v>
      </c>
      <c r="C9123" t="s">
        <v>637</v>
      </c>
      <c r="D9123" s="1" t="str">
        <f t="shared" si="249"/>
        <v>PRG-1032667</v>
      </c>
      <c r="E9123" t="s">
        <v>36</v>
      </c>
      <c r="F9123" t="s">
        <v>4</v>
      </c>
      <c r="G9123" t="str">
        <f>""</f>
        <v/>
      </c>
    </row>
    <row r="9124" spans="1:7" x14ac:dyDescent="0.25">
      <c r="A9124" t="s">
        <v>8</v>
      </c>
      <c r="B9124" s="1" t="str">
        <f>"000241460 - CASA DI BERTACCHI-SODEXO"</f>
        <v>000241460 - CASA DI BERTACCHI-SODEXO</v>
      </c>
      <c r="C9124" t="s">
        <v>378</v>
      </c>
      <c r="D9124" s="1" t="str">
        <f t="shared" si="249"/>
        <v>PRG-1032667</v>
      </c>
      <c r="E9124" t="s">
        <v>36</v>
      </c>
      <c r="F9124" t="s">
        <v>4</v>
      </c>
      <c r="G9124" t="str">
        <f>""</f>
        <v/>
      </c>
    </row>
    <row r="9125" spans="1:7" x14ac:dyDescent="0.25">
      <c r="A9125" t="s">
        <v>8</v>
      </c>
      <c r="B9125" s="1" t="str">
        <f>"000245295 - CASA DI BERTACCHI-SODEXO"</f>
        <v>000245295 - CASA DI BERTACCHI-SODEXO</v>
      </c>
      <c r="C9125" t="s">
        <v>378</v>
      </c>
      <c r="D9125" s="1" t="str">
        <f t="shared" si="249"/>
        <v>PRG-1032667</v>
      </c>
      <c r="E9125" t="s">
        <v>36</v>
      </c>
      <c r="F9125" t="s">
        <v>4</v>
      </c>
      <c r="G9125" t="str">
        <f>""</f>
        <v/>
      </c>
    </row>
    <row r="9126" spans="1:7" x14ac:dyDescent="0.25">
      <c r="A9126" t="s">
        <v>8</v>
      </c>
      <c r="B9126" s="1" t="str">
        <f>"000246467 - CASA DI BERTACCHI-SODEXO"</f>
        <v>000246467 - CASA DI BERTACCHI-SODEXO</v>
      </c>
      <c r="C9126" t="s">
        <v>378</v>
      </c>
      <c r="D9126" s="1" t="str">
        <f t="shared" si="249"/>
        <v>PRG-1032667</v>
      </c>
      <c r="E9126" t="s">
        <v>36</v>
      </c>
      <c r="F9126" t="s">
        <v>4</v>
      </c>
      <c r="G9126" t="str">
        <f>""</f>
        <v/>
      </c>
    </row>
    <row r="9127" spans="1:7" x14ac:dyDescent="0.25">
      <c r="A9127" t="s">
        <v>8</v>
      </c>
      <c r="B9127" s="1" t="str">
        <f>"000247379 - CASA DI BERTACCHI-SODEXO"</f>
        <v>000247379 - CASA DI BERTACCHI-SODEXO</v>
      </c>
      <c r="C9127" t="s">
        <v>378</v>
      </c>
      <c r="D9127" s="1" t="str">
        <f t="shared" si="249"/>
        <v>PRG-1032667</v>
      </c>
      <c r="E9127" t="s">
        <v>36</v>
      </c>
      <c r="F9127" t="s">
        <v>4</v>
      </c>
      <c r="G9127" t="str">
        <f>""</f>
        <v/>
      </c>
    </row>
    <row r="9128" spans="1:7" x14ac:dyDescent="0.25">
      <c r="A9128" t="s">
        <v>8</v>
      </c>
      <c r="B9128" s="1" t="str">
        <f>"000247452 - CASA DI BERTACCHI-SODEXO"</f>
        <v>000247452 - CASA DI BERTACCHI-SODEXO</v>
      </c>
      <c r="C9128" t="s">
        <v>378</v>
      </c>
      <c r="D9128" s="1" t="str">
        <f t="shared" si="249"/>
        <v>PRG-1032667</v>
      </c>
      <c r="E9128" t="s">
        <v>36</v>
      </c>
      <c r="F9128" t="s">
        <v>4</v>
      </c>
      <c r="G9128" t="str">
        <f>""</f>
        <v/>
      </c>
    </row>
    <row r="9129" spans="1:7" x14ac:dyDescent="0.25">
      <c r="A9129" t="s">
        <v>8</v>
      </c>
      <c r="B9129" s="1" t="str">
        <f>"000249154 - VOID  CASA DE BERTACCI-SODEXO"</f>
        <v>000249154 - VOID  CASA DE BERTACCI-SODEXO</v>
      </c>
      <c r="C9129" t="s">
        <v>637</v>
      </c>
      <c r="D9129" s="1" t="str">
        <f t="shared" si="249"/>
        <v>PRG-1032667</v>
      </c>
      <c r="E9129" t="s">
        <v>36</v>
      </c>
      <c r="F9129" t="s">
        <v>4</v>
      </c>
      <c r="G9129" t="str">
        <f>""</f>
        <v/>
      </c>
    </row>
    <row r="9130" spans="1:7" x14ac:dyDescent="0.25">
      <c r="A9130" t="s">
        <v>8</v>
      </c>
      <c r="B9130" s="1" t="str">
        <f>"000256745 - VOID  CASA DE BERTACCI-SODEXO"</f>
        <v>000256745 - VOID  CASA DE BERTACCI-SODEXO</v>
      </c>
      <c r="C9130" t="s">
        <v>637</v>
      </c>
      <c r="D9130" s="1" t="str">
        <f t="shared" si="249"/>
        <v>PRG-1032667</v>
      </c>
      <c r="E9130" t="s">
        <v>36</v>
      </c>
      <c r="F9130" t="s">
        <v>4</v>
      </c>
      <c r="G9130" t="str">
        <f>""</f>
        <v/>
      </c>
    </row>
    <row r="9131" spans="1:7" x14ac:dyDescent="0.25">
      <c r="A9131" t="s">
        <v>8</v>
      </c>
      <c r="B9131" s="1" t="str">
        <f>"000266542 - VOID  CASA DE BERTACCI-SODEXO"</f>
        <v>000266542 - VOID  CASA DE BERTACCI-SODEXO</v>
      </c>
      <c r="C9131" t="s">
        <v>637</v>
      </c>
      <c r="D9131" s="1" t="str">
        <f t="shared" si="249"/>
        <v>PRG-1032667</v>
      </c>
      <c r="E9131" t="s">
        <v>36</v>
      </c>
      <c r="F9131" t="s">
        <v>4</v>
      </c>
      <c r="G9131" t="str">
        <f>""</f>
        <v/>
      </c>
    </row>
    <row r="9132" spans="1:7" x14ac:dyDescent="0.25">
      <c r="A9132" t="s">
        <v>8</v>
      </c>
      <c r="B9132" s="1" t="str">
        <f>"000270865 - CASA DI BERTACCHI-SODEXO"</f>
        <v>000270865 - CASA DI BERTACCHI-SODEXO</v>
      </c>
      <c r="C9132" t="s">
        <v>378</v>
      </c>
      <c r="D9132" s="1" t="str">
        <f t="shared" si="249"/>
        <v>PRG-1032667</v>
      </c>
      <c r="E9132" t="s">
        <v>36</v>
      </c>
      <c r="F9132" t="s">
        <v>4</v>
      </c>
      <c r="G9132" t="str">
        <f>""</f>
        <v/>
      </c>
    </row>
    <row r="9133" spans="1:7" x14ac:dyDescent="0.25">
      <c r="A9133" t="s">
        <v>8</v>
      </c>
      <c r="B9133" s="1" t="str">
        <f>"000278736 - CASA DI BERTACCHI-SODEXO"</f>
        <v>000278736 - CASA DI BERTACCHI-SODEXO</v>
      </c>
      <c r="C9133" t="s">
        <v>378</v>
      </c>
      <c r="D9133" s="1" t="str">
        <f t="shared" si="249"/>
        <v>PRG-1032667</v>
      </c>
      <c r="E9133" t="s">
        <v>36</v>
      </c>
      <c r="F9133" t="s">
        <v>4</v>
      </c>
      <c r="G9133" t="str">
        <f>""</f>
        <v/>
      </c>
    </row>
    <row r="9134" spans="1:7" x14ac:dyDescent="0.25">
      <c r="A9134" t="s">
        <v>8</v>
      </c>
      <c r="B9134" s="1" t="str">
        <f>"000282479 - CASA DI BERTACCHI-SODEXO"</f>
        <v>000282479 - CASA DI BERTACCHI-SODEXO</v>
      </c>
      <c r="C9134" t="s">
        <v>378</v>
      </c>
      <c r="D9134" s="1" t="str">
        <f t="shared" si="249"/>
        <v>PRG-1032667</v>
      </c>
      <c r="E9134" t="s">
        <v>36</v>
      </c>
      <c r="F9134" t="s">
        <v>4</v>
      </c>
      <c r="G9134" t="str">
        <f>""</f>
        <v/>
      </c>
    </row>
    <row r="9135" spans="1:7" x14ac:dyDescent="0.25">
      <c r="A9135" t="s">
        <v>8</v>
      </c>
      <c r="B9135" s="1" t="str">
        <f>"000291212 - CASA DI BERTACCHI-SODEXO"</f>
        <v>000291212 - CASA DI BERTACCHI-SODEXO</v>
      </c>
      <c r="C9135" t="s">
        <v>378</v>
      </c>
      <c r="D9135" s="1" t="str">
        <f t="shared" si="249"/>
        <v>PRG-1032667</v>
      </c>
      <c r="E9135" t="s">
        <v>36</v>
      </c>
      <c r="F9135" t="s">
        <v>4</v>
      </c>
      <c r="G9135" t="str">
        <f>""</f>
        <v/>
      </c>
    </row>
    <row r="9136" spans="1:7" x14ac:dyDescent="0.25">
      <c r="A9136" t="s">
        <v>8</v>
      </c>
      <c r="B9136" s="1" t="str">
        <f>"000301216 - VOID  CASA DE BERTACCI-SODEXO"</f>
        <v>000301216 - VOID  CASA DE BERTACCI-SODEXO</v>
      </c>
      <c r="C9136" t="s">
        <v>637</v>
      </c>
      <c r="D9136" s="1" t="str">
        <f t="shared" si="249"/>
        <v>PRG-1032667</v>
      </c>
      <c r="E9136" t="s">
        <v>36</v>
      </c>
      <c r="F9136" t="s">
        <v>4</v>
      </c>
      <c r="G9136" t="str">
        <f>""</f>
        <v/>
      </c>
    </row>
    <row r="9137" spans="1:7" x14ac:dyDescent="0.25">
      <c r="A9137" t="s">
        <v>8</v>
      </c>
      <c r="B9137" s="1" t="str">
        <f>"000309558 - VOID  CASA DE BERTACCI-SODEXO"</f>
        <v>000309558 - VOID  CASA DE BERTACCI-SODEXO</v>
      </c>
      <c r="C9137" t="s">
        <v>637</v>
      </c>
      <c r="D9137" s="1" t="str">
        <f t="shared" si="249"/>
        <v>PRG-1032667</v>
      </c>
      <c r="E9137" t="s">
        <v>36</v>
      </c>
      <c r="F9137" t="s">
        <v>4</v>
      </c>
      <c r="G9137" t="str">
        <f>""</f>
        <v/>
      </c>
    </row>
    <row r="9138" spans="1:7" x14ac:dyDescent="0.25">
      <c r="A9138" t="s">
        <v>8</v>
      </c>
      <c r="B9138" s="1" t="str">
        <f>"000313855 - CASA DI BERTACCHI-SODEXO"</f>
        <v>000313855 - CASA DI BERTACCHI-SODEXO</v>
      </c>
      <c r="C9138" t="s">
        <v>378</v>
      </c>
      <c r="D9138" s="1" t="str">
        <f t="shared" si="249"/>
        <v>PRG-1032667</v>
      </c>
      <c r="E9138" t="s">
        <v>36</v>
      </c>
      <c r="F9138" t="s">
        <v>4</v>
      </c>
      <c r="G9138" t="str">
        <f>""</f>
        <v/>
      </c>
    </row>
    <row r="9139" spans="1:7" x14ac:dyDescent="0.25">
      <c r="A9139" t="s">
        <v>8</v>
      </c>
      <c r="B9139" s="1" t="str">
        <f>"000340996 - VOID  CASA DE BERTACCI-SODEXO"</f>
        <v>000340996 - VOID  CASA DE BERTACCI-SODEXO</v>
      </c>
      <c r="C9139" t="s">
        <v>637</v>
      </c>
      <c r="D9139" s="1" t="str">
        <f t="shared" si="249"/>
        <v>PRG-1032667</v>
      </c>
      <c r="E9139" t="s">
        <v>36</v>
      </c>
      <c r="F9139" t="s">
        <v>4</v>
      </c>
      <c r="G9139" t="str">
        <f>""</f>
        <v/>
      </c>
    </row>
    <row r="9140" spans="1:7" x14ac:dyDescent="0.25">
      <c r="A9140" t="s">
        <v>8</v>
      </c>
      <c r="B9140" s="1" t="str">
        <f>"000346616 - CASA DI BERTACCHI-SODEXO"</f>
        <v>000346616 - CASA DI BERTACCHI-SODEXO</v>
      </c>
      <c r="C9140" t="s">
        <v>378</v>
      </c>
      <c r="D9140" s="1" t="str">
        <f t="shared" si="249"/>
        <v>PRG-1032667</v>
      </c>
      <c r="E9140" t="s">
        <v>36</v>
      </c>
      <c r="F9140" t="s">
        <v>4</v>
      </c>
      <c r="G9140" t="str">
        <f>""</f>
        <v/>
      </c>
    </row>
    <row r="9141" spans="1:7" x14ac:dyDescent="0.25">
      <c r="A9141" t="s">
        <v>8</v>
      </c>
      <c r="B9141" s="1" t="str">
        <f>"000370459 - VOID  CASA DE BERTACCI-SODEXO"</f>
        <v>000370459 - VOID  CASA DE BERTACCI-SODEXO</v>
      </c>
      <c r="C9141" t="s">
        <v>637</v>
      </c>
      <c r="D9141" s="1" t="str">
        <f t="shared" si="249"/>
        <v>PRG-1032667</v>
      </c>
      <c r="E9141" t="s">
        <v>36</v>
      </c>
      <c r="F9141" t="s">
        <v>4</v>
      </c>
      <c r="G9141" t="str">
        <f>""</f>
        <v/>
      </c>
    </row>
    <row r="9142" spans="1:7" x14ac:dyDescent="0.25">
      <c r="A9142" t="s">
        <v>8</v>
      </c>
      <c r="B9142" s="1" t="str">
        <f>"2000433185 - RICH'S-STEAK 44"</f>
        <v>2000433185 - RICH'S-STEAK 44</v>
      </c>
      <c r="C9142" t="s">
        <v>2701</v>
      </c>
      <c r="D9142" s="1" t="str">
        <f>"PRG-1032670"</f>
        <v>PRG-1032670</v>
      </c>
      <c r="E9142" t="s">
        <v>2702</v>
      </c>
      <c r="F9142" t="s">
        <v>4</v>
      </c>
      <c r="G9142" t="str">
        <f>""</f>
        <v/>
      </c>
    </row>
    <row r="9143" spans="1:7" x14ac:dyDescent="0.25">
      <c r="A9143" t="s">
        <v>8</v>
      </c>
      <c r="B9143" s="1" t="str">
        <f>"2180F403"</f>
        <v>2180F403</v>
      </c>
      <c r="C9143" t="s">
        <v>4205</v>
      </c>
      <c r="D9143" s="1" t="str">
        <f t="shared" ref="D9143:D9148" si="250">"PRG-1032682"</f>
        <v>PRG-1032682</v>
      </c>
      <c r="E9143" t="s">
        <v>4206</v>
      </c>
      <c r="F9143" t="s">
        <v>5</v>
      </c>
      <c r="G9143" t="str">
        <f>""</f>
        <v/>
      </c>
    </row>
    <row r="9144" spans="1:7" x14ac:dyDescent="0.25">
      <c r="A9144" t="s">
        <v>8</v>
      </c>
      <c r="B9144" s="1" t="str">
        <f>"6026CY13"</f>
        <v>6026CY13</v>
      </c>
      <c r="C9144" t="s">
        <v>5045</v>
      </c>
      <c r="D9144" s="1" t="str">
        <f t="shared" si="250"/>
        <v>PRG-1032682</v>
      </c>
      <c r="E9144" t="s">
        <v>4206</v>
      </c>
      <c r="F9144" t="s">
        <v>5</v>
      </c>
      <c r="G9144" t="str">
        <f>""</f>
        <v/>
      </c>
    </row>
    <row r="9145" spans="1:7" x14ac:dyDescent="0.25">
      <c r="A9145" t="s">
        <v>8</v>
      </c>
      <c r="B9145" s="1" t="str">
        <f>"6026DJ06"</f>
        <v>6026DJ06</v>
      </c>
      <c r="C9145" t="s">
        <v>5050</v>
      </c>
      <c r="D9145" s="1" t="str">
        <f t="shared" si="250"/>
        <v>PRG-1032682</v>
      </c>
      <c r="E9145" t="s">
        <v>4206</v>
      </c>
      <c r="F9145" t="s">
        <v>5</v>
      </c>
      <c r="G9145" t="str">
        <f>""</f>
        <v/>
      </c>
    </row>
    <row r="9146" spans="1:7" x14ac:dyDescent="0.25">
      <c r="A9146" t="s">
        <v>8</v>
      </c>
      <c r="B9146" s="1" t="str">
        <f>"6026JL70"</f>
        <v>6026JL70</v>
      </c>
      <c r="C9146" t="s">
        <v>5087</v>
      </c>
      <c r="D9146" s="1" t="str">
        <f t="shared" si="250"/>
        <v>PRG-1032682</v>
      </c>
      <c r="E9146" t="s">
        <v>4206</v>
      </c>
      <c r="F9146" t="s">
        <v>5</v>
      </c>
      <c r="G9146" t="str">
        <f>""</f>
        <v/>
      </c>
    </row>
    <row r="9147" spans="1:7" x14ac:dyDescent="0.25">
      <c r="A9147" t="s">
        <v>8</v>
      </c>
      <c r="B9147" s="1" t="str">
        <f>"6026S406"</f>
        <v>6026S406</v>
      </c>
      <c r="C9147" t="s">
        <v>5137</v>
      </c>
      <c r="D9147" s="1" t="str">
        <f t="shared" si="250"/>
        <v>PRG-1032682</v>
      </c>
      <c r="E9147" t="s">
        <v>4206</v>
      </c>
      <c r="F9147" t="s">
        <v>5</v>
      </c>
      <c r="G9147" t="str">
        <f>""</f>
        <v/>
      </c>
    </row>
    <row r="9148" spans="1:7" x14ac:dyDescent="0.25">
      <c r="A9148" t="s">
        <v>8</v>
      </c>
      <c r="B9148" s="1" t="str">
        <f>"S1Z050C0"</f>
        <v>S1Z050C0</v>
      </c>
      <c r="C9148" t="s">
        <v>5337</v>
      </c>
      <c r="D9148" s="1" t="str">
        <f t="shared" si="250"/>
        <v>PRG-1032682</v>
      </c>
      <c r="E9148" t="s">
        <v>4206</v>
      </c>
      <c r="F9148" t="s">
        <v>5</v>
      </c>
      <c r="G9148" t="str">
        <f>""</f>
        <v/>
      </c>
    </row>
    <row r="9149" spans="1:7" x14ac:dyDescent="0.25">
      <c r="A9149" t="s">
        <v>8</v>
      </c>
      <c r="B9149" s="1" t="str">
        <f>"000237805 - ROCK &amp; BREWS RICHS"</f>
        <v>000237805 - ROCK &amp; BREWS RICHS</v>
      </c>
      <c r="C9149" t="s">
        <v>1870</v>
      </c>
      <c r="D9149" s="1" t="str">
        <f>"PRG-1032689"</f>
        <v>PRG-1032689</v>
      </c>
      <c r="E9149" t="s">
        <v>1871</v>
      </c>
      <c r="F9149" t="s">
        <v>4</v>
      </c>
      <c r="G9149" t="str">
        <f>""</f>
        <v/>
      </c>
    </row>
    <row r="9150" spans="1:7" x14ac:dyDescent="0.25">
      <c r="A9150" t="s">
        <v>8</v>
      </c>
      <c r="B9150" s="1" t="str">
        <f>"000325400 - "</f>
        <v xml:space="preserve">000325400 - </v>
      </c>
      <c r="D9150" s="1" t="str">
        <f>"PRG-1032689"</f>
        <v>PRG-1032689</v>
      </c>
      <c r="E9150" t="s">
        <v>1871</v>
      </c>
      <c r="F9150" t="s">
        <v>4</v>
      </c>
      <c r="G9150" t="str">
        <f>""</f>
        <v/>
      </c>
    </row>
    <row r="9151" spans="1:7" x14ac:dyDescent="0.25">
      <c r="A9151" t="s">
        <v>8</v>
      </c>
      <c r="B9151" s="1" t="str">
        <f>"000307354 - "</f>
        <v xml:space="preserve">000307354 - </v>
      </c>
      <c r="D9151" s="1" t="str">
        <f>"PRG-1032736"</f>
        <v>PRG-1032736</v>
      </c>
      <c r="E9151" t="s">
        <v>3067</v>
      </c>
      <c r="F9151" t="s">
        <v>4</v>
      </c>
      <c r="G9151" t="str">
        <f>""</f>
        <v/>
      </c>
    </row>
    <row r="9152" spans="1:7" x14ac:dyDescent="0.25">
      <c r="A9152" t="s">
        <v>8</v>
      </c>
      <c r="B9152" s="1" t="str">
        <f>"000325987 - CHERRY HILL PARK RICH'S"</f>
        <v>000325987 - CHERRY HILL PARK RICH'S</v>
      </c>
      <c r="C9152" t="s">
        <v>3294</v>
      </c>
      <c r="D9152" s="1" t="str">
        <f>"PRG-1032770"</f>
        <v>PRG-1032770</v>
      </c>
      <c r="E9152" t="s">
        <v>3295</v>
      </c>
      <c r="F9152" t="s">
        <v>4</v>
      </c>
      <c r="G9152" t="str">
        <f>""</f>
        <v/>
      </c>
    </row>
    <row r="9153" spans="1:7" x14ac:dyDescent="0.25">
      <c r="A9153" t="s">
        <v>8</v>
      </c>
      <c r="B9153" s="1" t="str">
        <f>"000344091 - CHERRY HILL PARK RICH'S"</f>
        <v>000344091 - CHERRY HILL PARK RICH'S</v>
      </c>
      <c r="C9153" t="s">
        <v>3294</v>
      </c>
      <c r="D9153" s="1" t="str">
        <f>"PRG-1032770"</f>
        <v>PRG-1032770</v>
      </c>
      <c r="E9153" t="s">
        <v>3295</v>
      </c>
      <c r="F9153" t="s">
        <v>4</v>
      </c>
      <c r="G9153" t="str">
        <f>""</f>
        <v/>
      </c>
    </row>
    <row r="9154" spans="1:7" x14ac:dyDescent="0.25">
      <c r="A9154" t="s">
        <v>8</v>
      </c>
      <c r="B9154" s="1" t="str">
        <f>"000001573 - RICH FOODS-SUBWAY"</f>
        <v>000001573 - RICH FOODS-SUBWAY</v>
      </c>
      <c r="C9154" t="s">
        <v>90</v>
      </c>
      <c r="D9154" s="1" t="str">
        <f t="shared" ref="D9154:D9159" si="251">"PRG-1032800"</f>
        <v>PRG-1032800</v>
      </c>
      <c r="E9154" t="s">
        <v>91</v>
      </c>
      <c r="F9154" t="s">
        <v>4</v>
      </c>
      <c r="G9154" t="str">
        <f>""</f>
        <v/>
      </c>
    </row>
    <row r="9155" spans="1:7" x14ac:dyDescent="0.25">
      <c r="A9155" t="s">
        <v>8</v>
      </c>
      <c r="B9155" s="1" t="str">
        <f>"000148978 - "</f>
        <v xml:space="preserve">000148978 - </v>
      </c>
      <c r="D9155" s="1" t="str">
        <f t="shared" si="251"/>
        <v>PRG-1032800</v>
      </c>
      <c r="E9155" t="s">
        <v>91</v>
      </c>
      <c r="F9155" t="s">
        <v>4</v>
      </c>
      <c r="G9155" t="str">
        <f>""</f>
        <v/>
      </c>
    </row>
    <row r="9156" spans="1:7" x14ac:dyDescent="0.25">
      <c r="A9156" t="s">
        <v>8</v>
      </c>
      <c r="B9156" s="1" t="str">
        <f>"000160799 - "</f>
        <v xml:space="preserve">000160799 - </v>
      </c>
      <c r="D9156" s="1" t="str">
        <f t="shared" si="251"/>
        <v>PRG-1032800</v>
      </c>
      <c r="E9156" t="s">
        <v>91</v>
      </c>
      <c r="F9156" t="s">
        <v>4</v>
      </c>
      <c r="G9156" t="str">
        <f>""</f>
        <v/>
      </c>
    </row>
    <row r="9157" spans="1:7" x14ac:dyDescent="0.25">
      <c r="A9157" t="s">
        <v>8</v>
      </c>
      <c r="B9157" s="1" t="str">
        <f>"000177186 - RICH PRODUCTS SUBWAY"</f>
        <v>000177186 - RICH PRODUCTS SUBWAY</v>
      </c>
      <c r="C9157" t="s">
        <v>1123</v>
      </c>
      <c r="D9157" s="1" t="str">
        <f t="shared" si="251"/>
        <v>PRG-1032800</v>
      </c>
      <c r="E9157" t="s">
        <v>91</v>
      </c>
      <c r="F9157" t="s">
        <v>4</v>
      </c>
      <c r="G9157" t="str">
        <f>""</f>
        <v/>
      </c>
    </row>
    <row r="9158" spans="1:7" x14ac:dyDescent="0.25">
      <c r="A9158" t="s">
        <v>8</v>
      </c>
      <c r="B9158" s="1" t="str">
        <f>"000278977 - RICHS SUBWAY"</f>
        <v>000278977 - RICHS SUBWAY</v>
      </c>
      <c r="C9158" t="s">
        <v>1878</v>
      </c>
      <c r="D9158" s="1" t="str">
        <f t="shared" si="251"/>
        <v>PRG-1032800</v>
      </c>
      <c r="E9158" t="s">
        <v>91</v>
      </c>
      <c r="F9158" t="s">
        <v>4</v>
      </c>
      <c r="G9158" t="str">
        <f>""</f>
        <v/>
      </c>
    </row>
    <row r="9159" spans="1:7" x14ac:dyDescent="0.25">
      <c r="A9159" t="s">
        <v>8</v>
      </c>
      <c r="B9159" s="1" t="str">
        <f>"2000432076 - RICH FOODS-SUBWAY"</f>
        <v>2000432076 - RICH FOODS-SUBWAY</v>
      </c>
      <c r="C9159" t="s">
        <v>90</v>
      </c>
      <c r="D9159" s="1" t="str">
        <f t="shared" si="251"/>
        <v>PRG-1032800</v>
      </c>
      <c r="E9159" t="s">
        <v>91</v>
      </c>
      <c r="F9159" t="s">
        <v>4</v>
      </c>
      <c r="G9159" t="str">
        <f>""</f>
        <v/>
      </c>
    </row>
    <row r="9160" spans="1:7" x14ac:dyDescent="0.25">
      <c r="A9160" t="s">
        <v>8</v>
      </c>
      <c r="B9160" s="1" t="str">
        <f>"000046873 - RICH FOODS NCORE-WHITSONS"</f>
        <v>000046873 - RICH FOODS NCORE-WHITSONS</v>
      </c>
      <c r="C9160" t="s">
        <v>626</v>
      </c>
      <c r="D9160" s="1" t="str">
        <f>"PRG-1032815"</f>
        <v>PRG-1032815</v>
      </c>
      <c r="E9160" t="s">
        <v>627</v>
      </c>
      <c r="F9160" t="s">
        <v>4</v>
      </c>
      <c r="G9160" t="str">
        <f>""</f>
        <v/>
      </c>
    </row>
    <row r="9161" spans="1:7" x14ac:dyDescent="0.25">
      <c r="A9161" t="s">
        <v>8</v>
      </c>
      <c r="B9161" s="1" t="str">
        <f>"000063296 - RICHS-WHITSONS"</f>
        <v>000063296 - RICHS-WHITSONS</v>
      </c>
      <c r="C9161" t="s">
        <v>709</v>
      </c>
      <c r="D9161" s="1" t="str">
        <f>"PRG-1032815"</f>
        <v>PRG-1032815</v>
      </c>
      <c r="E9161" t="s">
        <v>627</v>
      </c>
      <c r="F9161" t="s">
        <v>4</v>
      </c>
      <c r="G9161" t="str">
        <f>""</f>
        <v/>
      </c>
    </row>
    <row r="9162" spans="1:7" x14ac:dyDescent="0.25">
      <c r="A9162" t="s">
        <v>8</v>
      </c>
      <c r="B9162" s="1" t="str">
        <f>"000282795 - RICHS-WHITSONS"</f>
        <v>000282795 - RICHS-WHITSONS</v>
      </c>
      <c r="C9162" t="s">
        <v>709</v>
      </c>
      <c r="D9162" s="1" t="str">
        <f>"PRG-1032815"</f>
        <v>PRG-1032815</v>
      </c>
      <c r="E9162" t="s">
        <v>627</v>
      </c>
      <c r="F9162" t="s">
        <v>4</v>
      </c>
      <c r="G9162" t="str">
        <f>""</f>
        <v/>
      </c>
    </row>
    <row r="9163" spans="1:7" x14ac:dyDescent="0.25">
      <c r="A9163" t="s">
        <v>8</v>
      </c>
      <c r="B9163" s="1" t="str">
        <f>"000283225 - RICHS-WHITSONS"</f>
        <v>000283225 - RICHS-WHITSONS</v>
      </c>
      <c r="C9163" t="s">
        <v>709</v>
      </c>
      <c r="D9163" s="1" t="str">
        <f>"PRG-1032815"</f>
        <v>PRG-1032815</v>
      </c>
      <c r="E9163" t="s">
        <v>627</v>
      </c>
      <c r="F9163" t="s">
        <v>4</v>
      </c>
      <c r="G9163" t="str">
        <f>""</f>
        <v/>
      </c>
    </row>
    <row r="9164" spans="1:7" x14ac:dyDescent="0.25">
      <c r="A9164" t="s">
        <v>8</v>
      </c>
      <c r="B9164" s="1" t="str">
        <f>"000276979 - "</f>
        <v xml:space="preserve">000276979 - </v>
      </c>
      <c r="D9164" s="1" t="str">
        <f>"PRG-1032833"</f>
        <v>PRG-1032833</v>
      </c>
      <c r="E9164" t="s">
        <v>2588</v>
      </c>
      <c r="F9164" t="s">
        <v>4</v>
      </c>
      <c r="G9164" t="str">
        <f>""</f>
        <v/>
      </c>
    </row>
    <row r="9165" spans="1:7" x14ac:dyDescent="0.25">
      <c r="A9165" t="s">
        <v>8</v>
      </c>
      <c r="B9165" s="1" t="str">
        <f>"000276671 - "</f>
        <v xml:space="preserve">000276671 - </v>
      </c>
      <c r="D9165" s="1" t="str">
        <f>"PRG-1032834"</f>
        <v>PRG-1032834</v>
      </c>
      <c r="E9165" t="s">
        <v>2582</v>
      </c>
      <c r="F9165" t="s">
        <v>4</v>
      </c>
      <c r="G9165" t="str">
        <f>""</f>
        <v/>
      </c>
    </row>
    <row r="9166" spans="1:7" x14ac:dyDescent="0.25">
      <c r="A9166" t="s">
        <v>8</v>
      </c>
      <c r="B9166" s="1" t="str">
        <f>"2099B701"</f>
        <v>2099B701</v>
      </c>
      <c r="C9166" t="s">
        <v>4105</v>
      </c>
      <c r="D9166" s="1" t="str">
        <f t="shared" ref="D9166:D9173" si="252">"PRG-1032860"</f>
        <v>PRG-1032860</v>
      </c>
      <c r="E9166" t="s">
        <v>4106</v>
      </c>
      <c r="F9166" t="s">
        <v>5</v>
      </c>
      <c r="G9166" t="str">
        <f>""</f>
        <v/>
      </c>
    </row>
    <row r="9167" spans="1:7" x14ac:dyDescent="0.25">
      <c r="A9167" t="s">
        <v>8</v>
      </c>
      <c r="B9167" s="1" t="str">
        <f>"2220L523"</f>
        <v>2220L523</v>
      </c>
      <c r="C9167" t="s">
        <v>4287</v>
      </c>
      <c r="D9167" s="1" t="str">
        <f t="shared" si="252"/>
        <v>PRG-1032860</v>
      </c>
      <c r="E9167" t="s">
        <v>4106</v>
      </c>
      <c r="F9167" t="s">
        <v>5</v>
      </c>
      <c r="G9167" t="str">
        <f>""</f>
        <v/>
      </c>
    </row>
    <row r="9168" spans="1:7" x14ac:dyDescent="0.25">
      <c r="A9168" t="s">
        <v>8</v>
      </c>
      <c r="B9168" s="1" t="str">
        <f>"3126B046"</f>
        <v>3126B046</v>
      </c>
      <c r="C9168" t="s">
        <v>4624</v>
      </c>
      <c r="D9168" s="1" t="str">
        <f t="shared" si="252"/>
        <v>PRG-1032860</v>
      </c>
      <c r="E9168" t="s">
        <v>4106</v>
      </c>
      <c r="F9168" t="s">
        <v>5</v>
      </c>
      <c r="G9168" t="str">
        <f>""</f>
        <v/>
      </c>
    </row>
    <row r="9169" spans="1:7" x14ac:dyDescent="0.25">
      <c r="A9169" t="s">
        <v>8</v>
      </c>
      <c r="B9169" s="1" t="str">
        <f>"31506986"</f>
        <v>31506986</v>
      </c>
      <c r="C9169" t="s">
        <v>4660</v>
      </c>
      <c r="D9169" s="1" t="str">
        <f t="shared" si="252"/>
        <v>PRG-1032860</v>
      </c>
      <c r="E9169" t="s">
        <v>4106</v>
      </c>
      <c r="F9169" t="s">
        <v>5</v>
      </c>
      <c r="G9169" t="str">
        <f>""</f>
        <v/>
      </c>
    </row>
    <row r="9170" spans="1:7" x14ac:dyDescent="0.25">
      <c r="A9170" t="s">
        <v>8</v>
      </c>
      <c r="B9170" s="1" t="str">
        <f>"S3W008G0"</f>
        <v>S3W008G0</v>
      </c>
      <c r="C9170" t="s">
        <v>5686</v>
      </c>
      <c r="D9170" s="1" t="str">
        <f t="shared" si="252"/>
        <v>PRG-1032860</v>
      </c>
      <c r="E9170" t="s">
        <v>4106</v>
      </c>
      <c r="F9170" t="s">
        <v>5</v>
      </c>
      <c r="G9170" t="str">
        <f>""</f>
        <v/>
      </c>
    </row>
    <row r="9171" spans="1:7" x14ac:dyDescent="0.25">
      <c r="A9171" t="s">
        <v>8</v>
      </c>
      <c r="B9171" s="1" t="str">
        <f>"S4I00G70"</f>
        <v>S4I00G70</v>
      </c>
      <c r="C9171" t="s">
        <v>5726</v>
      </c>
      <c r="D9171" s="1" t="str">
        <f t="shared" si="252"/>
        <v>PRG-1032860</v>
      </c>
      <c r="E9171" t="s">
        <v>4106</v>
      </c>
      <c r="F9171" t="s">
        <v>5</v>
      </c>
      <c r="G9171" t="str">
        <f>""</f>
        <v/>
      </c>
    </row>
    <row r="9172" spans="1:7" x14ac:dyDescent="0.25">
      <c r="A9172" t="s">
        <v>8</v>
      </c>
      <c r="B9172" s="1" t="str">
        <f>"S6I00S00"</f>
        <v>S6I00S00</v>
      </c>
      <c r="C9172" t="s">
        <v>6085</v>
      </c>
      <c r="D9172" s="1" t="str">
        <f t="shared" si="252"/>
        <v>PRG-1032860</v>
      </c>
      <c r="E9172" t="s">
        <v>4106</v>
      </c>
      <c r="F9172" t="s">
        <v>5</v>
      </c>
      <c r="G9172" t="str">
        <f>""</f>
        <v/>
      </c>
    </row>
    <row r="9173" spans="1:7" x14ac:dyDescent="0.25">
      <c r="A9173" t="s">
        <v>8</v>
      </c>
      <c r="B9173" s="1" t="str">
        <f>"S8S00FQ0"</f>
        <v>S8S00FQ0</v>
      </c>
      <c r="C9173" t="s">
        <v>6275</v>
      </c>
      <c r="D9173" s="1" t="str">
        <f t="shared" si="252"/>
        <v>PRG-1032860</v>
      </c>
      <c r="E9173" t="s">
        <v>4106</v>
      </c>
      <c r="F9173" t="s">
        <v>5</v>
      </c>
      <c r="G9173" t="str">
        <f>""</f>
        <v/>
      </c>
    </row>
    <row r="9174" spans="1:7" x14ac:dyDescent="0.25">
      <c r="A9174" t="s">
        <v>8</v>
      </c>
      <c r="B9174" s="1" t="str">
        <f>"000252930 - "</f>
        <v xml:space="preserve">000252930 - </v>
      </c>
      <c r="D9174" s="1" t="str">
        <f>"PRG-1032904"</f>
        <v>PRG-1032904</v>
      </c>
      <c r="E9174" t="s">
        <v>2141</v>
      </c>
      <c r="F9174" t="s">
        <v>4</v>
      </c>
      <c r="G9174" t="str">
        <f>""</f>
        <v/>
      </c>
    </row>
    <row r="9175" spans="1:7" x14ac:dyDescent="0.25">
      <c r="A9175" t="s">
        <v>8</v>
      </c>
      <c r="B9175" s="1" t="str">
        <f>"000000532 - RICHS-GRAND CANYON"</f>
        <v>000000532 - RICHS-GRAND CANYON</v>
      </c>
      <c r="C9175" t="s">
        <v>57</v>
      </c>
      <c r="D9175" s="1" t="str">
        <f>"PRG-1032908"</f>
        <v>PRG-1032908</v>
      </c>
      <c r="E9175" t="s">
        <v>58</v>
      </c>
      <c r="F9175" t="s">
        <v>4</v>
      </c>
      <c r="G9175" t="str">
        <f>""</f>
        <v/>
      </c>
    </row>
    <row r="9176" spans="1:7" x14ac:dyDescent="0.25">
      <c r="A9176" t="s">
        <v>8</v>
      </c>
      <c r="B9176" s="1" t="str">
        <f>"2000362489 - RICHS-GRAND CANYON"</f>
        <v>2000362489 - RICHS-GRAND CANYON</v>
      </c>
      <c r="C9176" t="s">
        <v>57</v>
      </c>
      <c r="D9176" s="1" t="str">
        <f>"PRG-1032908"</f>
        <v>PRG-1032908</v>
      </c>
      <c r="E9176" t="s">
        <v>58</v>
      </c>
      <c r="F9176" t="s">
        <v>4</v>
      </c>
      <c r="G9176" t="str">
        <f>""</f>
        <v/>
      </c>
    </row>
    <row r="9177" spans="1:7" x14ac:dyDescent="0.25">
      <c r="A9177" t="s">
        <v>8</v>
      </c>
      <c r="B9177" s="1" t="str">
        <f>"000331479 - "</f>
        <v xml:space="preserve">000331479 - </v>
      </c>
      <c r="D9177" s="1" t="str">
        <f>"PRG-1032919"</f>
        <v>PRG-1032919</v>
      </c>
      <c r="E9177" t="s">
        <v>3346</v>
      </c>
      <c r="F9177" t="s">
        <v>4</v>
      </c>
      <c r="G9177" t="str">
        <f>""</f>
        <v/>
      </c>
    </row>
    <row r="9178" spans="1:7" x14ac:dyDescent="0.25">
      <c r="A9178" t="s">
        <v>8</v>
      </c>
      <c r="B9178" s="1" t="str">
        <f>"000059408 - RICHS PRODUCTS JIMMYS FAMOUS"</f>
        <v>000059408 - RICHS PRODUCTS JIMMYS FAMOUS</v>
      </c>
      <c r="C9178" t="s">
        <v>695</v>
      </c>
      <c r="D9178" s="1" t="str">
        <f>"PRG-1032932"</f>
        <v>PRG-1032932</v>
      </c>
      <c r="E9178" t="s">
        <v>696</v>
      </c>
      <c r="F9178" t="s">
        <v>4</v>
      </c>
      <c r="G9178" t="str">
        <f>""</f>
        <v/>
      </c>
    </row>
    <row r="9179" spans="1:7" x14ac:dyDescent="0.25">
      <c r="A9179" t="s">
        <v>8</v>
      </c>
      <c r="B9179" s="1" t="str">
        <f>"000242339 - RICH PRODUCT-RUTGERS"</f>
        <v>000242339 - RICH PRODUCT-RUTGERS</v>
      </c>
      <c r="C9179" t="s">
        <v>1940</v>
      </c>
      <c r="D9179" s="1" t="str">
        <f>"PRG-1033157"</f>
        <v>PRG-1033157</v>
      </c>
      <c r="E9179" t="s">
        <v>1941</v>
      </c>
      <c r="F9179" t="s">
        <v>4</v>
      </c>
      <c r="G9179" t="str">
        <f>""</f>
        <v/>
      </c>
    </row>
    <row r="9180" spans="1:7" x14ac:dyDescent="0.25">
      <c r="A9180" t="s">
        <v>8</v>
      </c>
      <c r="B9180" s="1" t="str">
        <f>"000123135 - RICH FOODS NON RETAIL-COLDSTNE"</f>
        <v>000123135 - RICH FOODS NON RETAIL-COLDSTNE</v>
      </c>
      <c r="C9180" t="s">
        <v>903</v>
      </c>
      <c r="D9180" s="1" t="str">
        <f t="shared" ref="D9180:D9188" si="253">"PRG-1033219"</f>
        <v>PRG-1033219</v>
      </c>
      <c r="E9180" t="s">
        <v>69</v>
      </c>
      <c r="F9180" t="s">
        <v>4</v>
      </c>
      <c r="G9180" t="str">
        <f>""</f>
        <v/>
      </c>
    </row>
    <row r="9181" spans="1:7" x14ac:dyDescent="0.25">
      <c r="A9181" t="s">
        <v>8</v>
      </c>
      <c r="B9181" s="1" t="str">
        <f>"000266154 - RICH FOODS NON RETAIL-COLDSTNE"</f>
        <v>000266154 - RICH FOODS NON RETAIL-COLDSTNE</v>
      </c>
      <c r="C9181" t="s">
        <v>903</v>
      </c>
      <c r="D9181" s="1" t="str">
        <f t="shared" si="253"/>
        <v>PRG-1033219</v>
      </c>
      <c r="E9181" t="s">
        <v>69</v>
      </c>
      <c r="F9181" t="s">
        <v>4</v>
      </c>
      <c r="G9181" t="str">
        <f>""</f>
        <v/>
      </c>
    </row>
    <row r="9182" spans="1:7" x14ac:dyDescent="0.25">
      <c r="A9182" t="s">
        <v>8</v>
      </c>
      <c r="B9182" s="1" t="str">
        <f>"000320531 - RICH FOOD BETTERCREME-COLDSTNE"</f>
        <v>000320531 - RICH FOOD BETTERCREME-COLDSTNE</v>
      </c>
      <c r="C9182" t="s">
        <v>906</v>
      </c>
      <c r="D9182" s="1" t="str">
        <f t="shared" si="253"/>
        <v>PRG-1033219</v>
      </c>
      <c r="E9182" t="s">
        <v>69</v>
      </c>
      <c r="F9182" t="s">
        <v>4</v>
      </c>
      <c r="G9182" t="str">
        <f>""</f>
        <v/>
      </c>
    </row>
    <row r="9183" spans="1:7" x14ac:dyDescent="0.25">
      <c r="A9183" t="s">
        <v>8</v>
      </c>
      <c r="B9183" s="1" t="str">
        <f>"000351940 - RICH FOODS NON RETAIL-COLDSTNE"</f>
        <v>000351940 - RICH FOODS NON RETAIL-COLDSTNE</v>
      </c>
      <c r="C9183" t="s">
        <v>903</v>
      </c>
      <c r="D9183" s="1" t="str">
        <f t="shared" si="253"/>
        <v>PRG-1033219</v>
      </c>
      <c r="E9183" t="s">
        <v>69</v>
      </c>
      <c r="F9183" t="s">
        <v>4</v>
      </c>
      <c r="G9183" t="str">
        <f>""</f>
        <v/>
      </c>
    </row>
    <row r="9184" spans="1:7" x14ac:dyDescent="0.25">
      <c r="A9184" t="s">
        <v>8</v>
      </c>
      <c r="B9184" s="1" t="str">
        <f>"000353641 - RICH FOOD BETTERCREME-COLDSTNE"</f>
        <v>000353641 - RICH FOOD BETTERCREME-COLDSTNE</v>
      </c>
      <c r="C9184" t="s">
        <v>906</v>
      </c>
      <c r="D9184" s="1" t="str">
        <f t="shared" si="253"/>
        <v>PRG-1033219</v>
      </c>
      <c r="E9184" t="s">
        <v>69</v>
      </c>
      <c r="F9184" t="s">
        <v>4</v>
      </c>
      <c r="G9184" t="str">
        <f>""</f>
        <v/>
      </c>
    </row>
    <row r="9185" spans="1:7" x14ac:dyDescent="0.25">
      <c r="A9185" t="s">
        <v>8</v>
      </c>
      <c r="B9185" s="1" t="str">
        <f>"000367451 - RICH FOODS NON RETAIL-COLDSTNE"</f>
        <v>000367451 - RICH FOODS NON RETAIL-COLDSTNE</v>
      </c>
      <c r="C9185" t="s">
        <v>903</v>
      </c>
      <c r="D9185" s="1" t="str">
        <f t="shared" si="253"/>
        <v>PRG-1033219</v>
      </c>
      <c r="E9185" t="s">
        <v>69</v>
      </c>
      <c r="F9185" t="s">
        <v>4</v>
      </c>
      <c r="G9185" t="str">
        <f>""</f>
        <v/>
      </c>
    </row>
    <row r="9186" spans="1:7" x14ac:dyDescent="0.25">
      <c r="A9186" t="s">
        <v>8</v>
      </c>
      <c r="B9186" s="1" t="str">
        <f>"000369006 - RICH FOOD BETTERCREME-COLDSTNE"</f>
        <v>000369006 - RICH FOOD BETTERCREME-COLDSTNE</v>
      </c>
      <c r="C9186" t="s">
        <v>906</v>
      </c>
      <c r="D9186" s="1" t="str">
        <f t="shared" si="253"/>
        <v>PRG-1033219</v>
      </c>
      <c r="E9186" t="s">
        <v>69</v>
      </c>
      <c r="F9186" t="s">
        <v>4</v>
      </c>
      <c r="G9186" t="str">
        <f>""</f>
        <v/>
      </c>
    </row>
    <row r="9187" spans="1:7" x14ac:dyDescent="0.25">
      <c r="A9187" t="s">
        <v>8</v>
      </c>
      <c r="B9187" s="1" t="str">
        <f>"2000361008 - RICH FOODS NONRTL-COLD STONE"</f>
        <v>2000361008 - RICH FOODS NONRTL-COLD STONE</v>
      </c>
      <c r="C9187" t="s">
        <v>842</v>
      </c>
      <c r="D9187" s="1" t="str">
        <f t="shared" si="253"/>
        <v>PRG-1033219</v>
      </c>
      <c r="E9187" t="s">
        <v>69</v>
      </c>
      <c r="F9187" t="s">
        <v>4</v>
      </c>
      <c r="G9187" t="str">
        <f>""</f>
        <v/>
      </c>
    </row>
    <row r="9188" spans="1:7" x14ac:dyDescent="0.25">
      <c r="A9188" t="s">
        <v>8</v>
      </c>
      <c r="B9188" s="1" t="str">
        <f>"2000365724 - RICH FOODS (BETTERCREME)-COLD STONE"</f>
        <v>2000365724 - RICH FOODS (BETTERCREME)-COLD STONE</v>
      </c>
      <c r="C9188" t="s">
        <v>4045</v>
      </c>
      <c r="D9188" s="1" t="str">
        <f t="shared" si="253"/>
        <v>PRG-1033219</v>
      </c>
      <c r="E9188" t="s">
        <v>69</v>
      </c>
      <c r="F9188" t="s">
        <v>4</v>
      </c>
      <c r="G9188" t="str">
        <f>""</f>
        <v/>
      </c>
    </row>
    <row r="9189" spans="1:7" x14ac:dyDescent="0.25">
      <c r="A9189" t="s">
        <v>8</v>
      </c>
      <c r="B9189" s="1" t="str">
        <f>"000208802 - RICH DC INDIGO ROAD"</f>
        <v>000208802 - RICH DC INDIGO ROAD</v>
      </c>
      <c r="C9189" t="s">
        <v>1408</v>
      </c>
      <c r="D9189" s="1" t="str">
        <f>"PRG-1033238"</f>
        <v>PRG-1033238</v>
      </c>
      <c r="E9189" t="s">
        <v>1409</v>
      </c>
      <c r="F9189" t="s">
        <v>4</v>
      </c>
      <c r="G9189" t="str">
        <f>""</f>
        <v/>
      </c>
    </row>
    <row r="9190" spans="1:7" x14ac:dyDescent="0.25">
      <c r="A9190" t="s">
        <v>8</v>
      </c>
      <c r="B9190" s="1" t="str">
        <f>"000318212 - RICHS FOODS HINZES BBQ"</f>
        <v>000318212 - RICHS FOODS HINZES BBQ</v>
      </c>
      <c r="C9190" t="s">
        <v>3212</v>
      </c>
      <c r="D9190" s="1" t="str">
        <f>"PRG-1033244"</f>
        <v>PRG-1033244</v>
      </c>
      <c r="E9190" t="s">
        <v>3213</v>
      </c>
      <c r="F9190" t="s">
        <v>4</v>
      </c>
      <c r="G9190" t="str">
        <f>""</f>
        <v/>
      </c>
    </row>
    <row r="9191" spans="1:7" x14ac:dyDescent="0.25">
      <c r="A9191" t="s">
        <v>8</v>
      </c>
      <c r="B9191" s="1" t="str">
        <f>"000279458 - "</f>
        <v xml:space="preserve">000279458 - </v>
      </c>
      <c r="D9191" s="1" t="str">
        <f>"PRG-1033258"</f>
        <v>PRG-1033258</v>
      </c>
      <c r="E9191" t="s">
        <v>2623</v>
      </c>
      <c r="F9191" t="s">
        <v>4</v>
      </c>
      <c r="G9191" t="str">
        <f>""</f>
        <v/>
      </c>
    </row>
    <row r="9192" spans="1:7" x14ac:dyDescent="0.25">
      <c r="A9192" t="s">
        <v>8</v>
      </c>
      <c r="B9192" s="1" t="str">
        <f>"000248802 - HUBERS  RICH'S"</f>
        <v>000248802 - HUBERS  RICH'S</v>
      </c>
      <c r="C9192" t="s">
        <v>1521</v>
      </c>
      <c r="D9192" s="1" t="str">
        <f>"PRG-1033279"</f>
        <v>PRG-1033279</v>
      </c>
      <c r="E9192" t="s">
        <v>2051</v>
      </c>
      <c r="F9192" t="s">
        <v>4</v>
      </c>
      <c r="G9192" t="str">
        <f>""</f>
        <v/>
      </c>
    </row>
    <row r="9193" spans="1:7" x14ac:dyDescent="0.25">
      <c r="A9193" t="s">
        <v>8</v>
      </c>
      <c r="B9193" s="1" t="str">
        <f>"000328075 - PENN QUARTER RICH PRODUCTS"</f>
        <v>000328075 - PENN QUARTER RICH PRODUCTS</v>
      </c>
      <c r="C9193" t="s">
        <v>3311</v>
      </c>
      <c r="D9193" s="1" t="str">
        <f>"PRG-1033297"</f>
        <v>PRG-1033297</v>
      </c>
      <c r="E9193" t="s">
        <v>3312</v>
      </c>
      <c r="F9193" t="s">
        <v>4</v>
      </c>
      <c r="G9193" t="str">
        <f>""</f>
        <v/>
      </c>
    </row>
    <row r="9194" spans="1:7" x14ac:dyDescent="0.25">
      <c r="A9194" t="s">
        <v>8</v>
      </c>
      <c r="B9194" s="1" t="str">
        <f>"2000369532 - RICH'S-PENNY HILL SUB'S"</f>
        <v>2000369532 - RICH'S-PENNY HILL SUB'S</v>
      </c>
      <c r="C9194" t="s">
        <v>26</v>
      </c>
      <c r="D9194" s="1" t="str">
        <f>"PRG-1033330"</f>
        <v>PRG-1033330</v>
      </c>
      <c r="E9194" t="s">
        <v>4051</v>
      </c>
      <c r="F9194" t="s">
        <v>4</v>
      </c>
      <c r="G9194" t="str">
        <f>""</f>
        <v/>
      </c>
    </row>
    <row r="9195" spans="1:7" x14ac:dyDescent="0.25">
      <c r="A9195" t="s">
        <v>8</v>
      </c>
      <c r="B9195" s="1" t="str">
        <f>"2000383787 - RICH'S-PENNY HILL DELI &amp; SUBS"</f>
        <v>2000383787 - RICH'S-PENNY HILL DELI &amp; SUBS</v>
      </c>
      <c r="C9195" t="s">
        <v>4061</v>
      </c>
      <c r="D9195" s="1" t="str">
        <f>"PRG-1033330"</f>
        <v>PRG-1033330</v>
      </c>
      <c r="E9195" t="s">
        <v>4051</v>
      </c>
      <c r="F9195" t="s">
        <v>4</v>
      </c>
      <c r="G9195" t="str">
        <f>""</f>
        <v/>
      </c>
    </row>
    <row r="9196" spans="1:7" x14ac:dyDescent="0.25">
      <c r="A9196" t="s">
        <v>8</v>
      </c>
      <c r="B9196" s="1" t="str">
        <f>"2000369531 - RICH'S-LAND RUN GRILL"</f>
        <v>2000369531 - RICH'S-LAND RUN GRILL</v>
      </c>
      <c r="C9196" t="s">
        <v>4049</v>
      </c>
      <c r="D9196" s="1" t="str">
        <f>"PRG-1033332"</f>
        <v>PRG-1033332</v>
      </c>
      <c r="E9196" t="s">
        <v>4050</v>
      </c>
      <c r="F9196" t="s">
        <v>4</v>
      </c>
      <c r="G9196" t="str">
        <f>""</f>
        <v/>
      </c>
    </row>
    <row r="9197" spans="1:7" x14ac:dyDescent="0.25">
      <c r="A9197" t="s">
        <v>8</v>
      </c>
      <c r="B9197" s="1" t="str">
        <f>"2000383789 - RICH'S-LAND RUN GRILL"</f>
        <v>2000383789 - RICH'S-LAND RUN GRILL</v>
      </c>
      <c r="C9197" t="s">
        <v>4049</v>
      </c>
      <c r="D9197" s="1" t="str">
        <f>"PRG-1033332"</f>
        <v>PRG-1033332</v>
      </c>
      <c r="E9197" t="s">
        <v>4050</v>
      </c>
      <c r="F9197" t="s">
        <v>4</v>
      </c>
      <c r="G9197" t="str">
        <f>""</f>
        <v/>
      </c>
    </row>
    <row r="9198" spans="1:7" x14ac:dyDescent="0.25">
      <c r="A9198" t="s">
        <v>8</v>
      </c>
      <c r="B9198" s="1" t="str">
        <f>"S6J044N0"</f>
        <v>S6J044N0</v>
      </c>
      <c r="C9198" t="s">
        <v>4050</v>
      </c>
      <c r="D9198" s="1" t="str">
        <f>"PRG-1033332"</f>
        <v>PRG-1033332</v>
      </c>
      <c r="E9198" t="s">
        <v>4050</v>
      </c>
      <c r="F9198" t="s">
        <v>5</v>
      </c>
      <c r="G9198" t="str">
        <f>""</f>
        <v/>
      </c>
    </row>
    <row r="9199" spans="1:7" x14ac:dyDescent="0.25">
      <c r="A9199" t="s">
        <v>8</v>
      </c>
      <c r="B9199" s="1" t="str">
        <f>"000225110 - RICHS BETHPAGE CAMP GROUND"</f>
        <v>000225110 - RICHS BETHPAGE CAMP GROUND</v>
      </c>
      <c r="C9199" t="s">
        <v>1668</v>
      </c>
      <c r="D9199" s="1" t="str">
        <f>"PRG-1033342"</f>
        <v>PRG-1033342</v>
      </c>
      <c r="E9199" t="s">
        <v>1669</v>
      </c>
      <c r="F9199" t="s">
        <v>4</v>
      </c>
      <c r="G9199" t="str">
        <f>""</f>
        <v/>
      </c>
    </row>
    <row r="9200" spans="1:7" x14ac:dyDescent="0.25">
      <c r="A9200" t="s">
        <v>8</v>
      </c>
      <c r="B9200" s="1" t="str">
        <f>"000239803 - RICHS BETHPAGE CAMP GROUND"</f>
        <v>000239803 - RICHS BETHPAGE CAMP GROUND</v>
      </c>
      <c r="C9200" t="s">
        <v>1668</v>
      </c>
      <c r="D9200" s="1" t="str">
        <f>"PRG-1033342"</f>
        <v>PRG-1033342</v>
      </c>
      <c r="E9200" t="s">
        <v>1669</v>
      </c>
      <c r="F9200" t="s">
        <v>4</v>
      </c>
      <c r="G9200" t="str">
        <f>""</f>
        <v/>
      </c>
    </row>
    <row r="9201" spans="1:7" x14ac:dyDescent="0.25">
      <c r="A9201" t="s">
        <v>8</v>
      </c>
      <c r="B9201" s="1" t="str">
        <f>"000279206 - MUG N MUFFIN RICH'S"</f>
        <v>000279206 - MUG N MUFFIN RICH'S</v>
      </c>
      <c r="C9201" t="s">
        <v>2616</v>
      </c>
      <c r="D9201" s="1" t="str">
        <f>"PRG-1033345"</f>
        <v>PRG-1033345</v>
      </c>
      <c r="E9201" t="s">
        <v>2617</v>
      </c>
      <c r="F9201" t="s">
        <v>4</v>
      </c>
      <c r="G9201" t="str">
        <f>""</f>
        <v/>
      </c>
    </row>
    <row r="9202" spans="1:7" x14ac:dyDescent="0.25">
      <c r="A9202" t="s">
        <v>8</v>
      </c>
      <c r="B9202" s="1" t="str">
        <f>"000329580 - "</f>
        <v xml:space="preserve">000329580 - </v>
      </c>
      <c r="D9202" s="1" t="str">
        <f>"PRG-1033358"</f>
        <v>PRG-1033358</v>
      </c>
      <c r="E9202" t="s">
        <v>3335</v>
      </c>
      <c r="F9202" t="s">
        <v>4</v>
      </c>
      <c r="G9202" t="str">
        <f>""</f>
        <v/>
      </c>
    </row>
    <row r="9203" spans="1:7" x14ac:dyDescent="0.25">
      <c r="A9203" t="s">
        <v>8</v>
      </c>
      <c r="B9203" s="1" t="str">
        <f>"000341396 - "</f>
        <v xml:space="preserve">000341396 - </v>
      </c>
      <c r="D9203" s="1" t="str">
        <f>"PRG-1033367"</f>
        <v>PRG-1033367</v>
      </c>
      <c r="E9203" t="s">
        <v>3438</v>
      </c>
      <c r="F9203" t="s">
        <v>4</v>
      </c>
      <c r="G9203" t="str">
        <f>""</f>
        <v/>
      </c>
    </row>
    <row r="9204" spans="1:7" x14ac:dyDescent="0.25">
      <c r="A9204" t="s">
        <v>8</v>
      </c>
      <c r="B9204" s="1" t="str">
        <f>"000249328 - RICHS ROC OFF INV"</f>
        <v>000249328 - RICHS ROC OFF INV</v>
      </c>
      <c r="C9204" t="s">
        <v>1932</v>
      </c>
      <c r="D9204" s="1" t="str">
        <f>"PRG-1033392"</f>
        <v>PRG-1033392</v>
      </c>
      <c r="E9204" t="s">
        <v>2065</v>
      </c>
      <c r="F9204" t="s">
        <v>4</v>
      </c>
      <c r="G9204" t="str">
        <f>""</f>
        <v/>
      </c>
    </row>
    <row r="9205" spans="1:7" x14ac:dyDescent="0.25">
      <c r="A9205" t="s">
        <v>8</v>
      </c>
      <c r="B9205" s="1" t="str">
        <f>"000333457 - "</f>
        <v xml:space="preserve">000333457 - </v>
      </c>
      <c r="D9205" s="1" t="str">
        <f>"PRG-1033433"</f>
        <v>PRG-1033433</v>
      </c>
      <c r="E9205" t="s">
        <v>3370</v>
      </c>
      <c r="F9205" t="s">
        <v>4</v>
      </c>
      <c r="G9205" t="str">
        <f>""</f>
        <v/>
      </c>
    </row>
    <row r="9206" spans="1:7" x14ac:dyDescent="0.25">
      <c r="A9206" t="s">
        <v>8</v>
      </c>
      <c r="B9206" s="1" t="str">
        <f>"000341822 - "</f>
        <v xml:space="preserve">000341822 - </v>
      </c>
      <c r="D9206" s="1" t="str">
        <f>"PRG-1033433"</f>
        <v>PRG-1033433</v>
      </c>
      <c r="E9206" t="s">
        <v>3370</v>
      </c>
      <c r="F9206" t="s">
        <v>4</v>
      </c>
      <c r="G9206" t="str">
        <f>""</f>
        <v/>
      </c>
    </row>
    <row r="9207" spans="1:7" x14ac:dyDescent="0.25">
      <c r="A9207" t="s">
        <v>8</v>
      </c>
      <c r="B9207" s="1" t="str">
        <f>"2000368812 - RICH-THE PANTRY"</f>
        <v>2000368812 - RICH-THE PANTRY</v>
      </c>
      <c r="C9207" t="s">
        <v>56</v>
      </c>
      <c r="D9207" s="1" t="str">
        <f>"PRG-1033438"</f>
        <v>PRG-1033438</v>
      </c>
      <c r="E9207" t="s">
        <v>4047</v>
      </c>
      <c r="F9207" t="s">
        <v>4</v>
      </c>
      <c r="G9207" t="str">
        <f>""</f>
        <v/>
      </c>
    </row>
    <row r="9208" spans="1:7" x14ac:dyDescent="0.25">
      <c r="A9208" t="s">
        <v>8</v>
      </c>
      <c r="B9208" s="1" t="str">
        <f>"000318841 - RICH PRODUCTS BUC-EES"</f>
        <v>000318841 - RICH PRODUCTS BUC-EES</v>
      </c>
      <c r="C9208" t="s">
        <v>3196</v>
      </c>
      <c r="D9208" s="1" t="str">
        <f>"PRG-1033481"</f>
        <v>PRG-1033481</v>
      </c>
      <c r="E9208" t="s">
        <v>2069</v>
      </c>
      <c r="F9208" t="s">
        <v>4</v>
      </c>
      <c r="G9208" t="str">
        <f>""</f>
        <v/>
      </c>
    </row>
    <row r="9209" spans="1:7" x14ac:dyDescent="0.25">
      <c r="A9209" t="s">
        <v>8</v>
      </c>
      <c r="B9209" s="1" t="str">
        <f>"000335217 - RICHS CANTON BOATHOUSE"</f>
        <v>000335217 - RICHS CANTON BOATHOUSE</v>
      </c>
      <c r="C9209" t="s">
        <v>3392</v>
      </c>
      <c r="D9209" s="1" t="str">
        <f>"PRG-1033517"</f>
        <v>PRG-1033517</v>
      </c>
      <c r="E9209" t="s">
        <v>3393</v>
      </c>
      <c r="F9209" t="s">
        <v>4</v>
      </c>
      <c r="G9209" t="str">
        <f>""</f>
        <v/>
      </c>
    </row>
    <row r="9210" spans="1:7" x14ac:dyDescent="0.25">
      <c r="A9210" t="s">
        <v>8</v>
      </c>
      <c r="B9210" s="1" t="str">
        <f>"000344089 - BOATHOUSE RICH'S"</f>
        <v>000344089 - BOATHOUSE RICH'S</v>
      </c>
      <c r="C9210" t="s">
        <v>3449</v>
      </c>
      <c r="D9210" s="1" t="str">
        <f>"PRG-1033517"</f>
        <v>PRG-1033517</v>
      </c>
      <c r="E9210" t="s">
        <v>3393</v>
      </c>
      <c r="F9210" t="s">
        <v>4</v>
      </c>
      <c r="G9210" t="str">
        <f>""</f>
        <v/>
      </c>
    </row>
    <row r="9211" spans="1:7" x14ac:dyDescent="0.25">
      <c r="A9211" t="s">
        <v>8</v>
      </c>
      <c r="B9211" s="1" t="str">
        <f>"000329157 - "</f>
        <v xml:space="preserve">000329157 - </v>
      </c>
      <c r="D9211" s="1" t="str">
        <f>"PRG-1033521"</f>
        <v>PRG-1033521</v>
      </c>
      <c r="E9211" t="s">
        <v>3332</v>
      </c>
      <c r="F9211" t="s">
        <v>4</v>
      </c>
      <c r="G9211" t="str">
        <f>""</f>
        <v/>
      </c>
    </row>
    <row r="9212" spans="1:7" x14ac:dyDescent="0.25">
      <c r="A9212" t="s">
        <v>8</v>
      </c>
      <c r="B9212" s="1" t="str">
        <f>"000323786 - RICH FOODS KOLACHE FACTORY ALW"</f>
        <v>000323786 - RICH FOODS KOLACHE FACTORY ALW</v>
      </c>
      <c r="C9212" t="s">
        <v>3272</v>
      </c>
      <c r="D9212" s="1" t="str">
        <f>"PRG-1033541"</f>
        <v>PRG-1033541</v>
      </c>
      <c r="E9212" t="s">
        <v>3273</v>
      </c>
      <c r="F9212" t="s">
        <v>4</v>
      </c>
      <c r="G9212" t="str">
        <f>""</f>
        <v/>
      </c>
    </row>
    <row r="9213" spans="1:7" x14ac:dyDescent="0.25">
      <c r="A9213" t="s">
        <v>8</v>
      </c>
      <c r="B9213" s="1" t="str">
        <f>"1054A702"</f>
        <v>1054A702</v>
      </c>
      <c r="C9213" t="s">
        <v>3773</v>
      </c>
      <c r="D9213" s="1" t="str">
        <f>"PRG-1033561"</f>
        <v>PRG-1033561</v>
      </c>
      <c r="E9213" t="s">
        <v>3774</v>
      </c>
      <c r="F9213" t="s">
        <v>5</v>
      </c>
      <c r="G9213" t="str">
        <f>""</f>
        <v/>
      </c>
    </row>
    <row r="9214" spans="1:7" x14ac:dyDescent="0.25">
      <c r="A9214" t="s">
        <v>8</v>
      </c>
      <c r="B9214" s="1" t="str">
        <f>"000279592 - "</f>
        <v xml:space="preserve">000279592 - </v>
      </c>
      <c r="D9214" s="1" t="str">
        <f>"PRG-1033564"</f>
        <v>PRG-1033564</v>
      </c>
      <c r="E9214" t="s">
        <v>2629</v>
      </c>
      <c r="F9214" t="s">
        <v>4</v>
      </c>
      <c r="G9214" t="str">
        <f>""</f>
        <v/>
      </c>
    </row>
    <row r="9215" spans="1:7" x14ac:dyDescent="0.25">
      <c r="A9215" t="s">
        <v>8</v>
      </c>
      <c r="B9215" s="1" t="str">
        <f>"000372686 - "</f>
        <v xml:space="preserve">000372686 - </v>
      </c>
      <c r="D9215" s="1" t="str">
        <f>"PRG-1033602"</f>
        <v>PRG-1033602</v>
      </c>
      <c r="E9215" t="s">
        <v>3631</v>
      </c>
      <c r="F9215" t="s">
        <v>4</v>
      </c>
      <c r="G9215" t="str">
        <f>""</f>
        <v/>
      </c>
    </row>
    <row r="9216" spans="1:7" x14ac:dyDescent="0.25">
      <c r="A9216" t="s">
        <v>8</v>
      </c>
      <c r="B9216" s="1" t="str">
        <f>"000376438 - "</f>
        <v xml:space="preserve">000376438 - </v>
      </c>
      <c r="D9216" s="1" t="str">
        <f>"PRG-1033602"</f>
        <v>PRG-1033602</v>
      </c>
      <c r="E9216" t="s">
        <v>3631</v>
      </c>
      <c r="F9216" t="s">
        <v>4</v>
      </c>
      <c r="G9216" t="str">
        <f>""</f>
        <v/>
      </c>
    </row>
    <row r="9217" spans="1:7" x14ac:dyDescent="0.25">
      <c r="A9217" t="s">
        <v>8</v>
      </c>
      <c r="B9217" s="1" t="str">
        <f>"S3W00FB0"</f>
        <v>S3W00FB0</v>
      </c>
      <c r="C9217" t="s">
        <v>5687</v>
      </c>
      <c r="D9217" s="1" t="str">
        <f>"PRG-1033611"</f>
        <v>PRG-1033611</v>
      </c>
      <c r="E9217" t="s">
        <v>5688</v>
      </c>
      <c r="F9217" t="s">
        <v>5</v>
      </c>
      <c r="G9217" t="str">
        <f>""</f>
        <v/>
      </c>
    </row>
    <row r="9218" spans="1:7" x14ac:dyDescent="0.25">
      <c r="A9218" t="s">
        <v>8</v>
      </c>
      <c r="B9218" s="1" t="str">
        <f>"000067153 - RICH 100912 DOUGH"</f>
        <v>000067153 - RICH 100912 DOUGH</v>
      </c>
      <c r="C9218" t="s">
        <v>720</v>
      </c>
      <c r="D9218" s="1" t="str">
        <f t="shared" ref="D9218:D9249" si="254">"PRG-1033623"</f>
        <v>PRG-1033623</v>
      </c>
      <c r="E9218" t="s">
        <v>721</v>
      </c>
      <c r="F9218" t="s">
        <v>4</v>
      </c>
      <c r="G9218" t="str">
        <f>""</f>
        <v/>
      </c>
    </row>
    <row r="9219" spans="1:7" x14ac:dyDescent="0.25">
      <c r="A9219" t="s">
        <v>8</v>
      </c>
      <c r="B9219" s="1" t="str">
        <f>"000067270 - RICH 100912 DOUGH"</f>
        <v>000067270 - RICH 100912 DOUGH</v>
      </c>
      <c r="C9219" t="s">
        <v>720</v>
      </c>
      <c r="D9219" s="1" t="str">
        <f t="shared" si="254"/>
        <v>PRG-1033623</v>
      </c>
      <c r="E9219" t="s">
        <v>721</v>
      </c>
      <c r="F9219" t="s">
        <v>4</v>
      </c>
      <c r="G9219" t="str">
        <f>""</f>
        <v/>
      </c>
    </row>
    <row r="9220" spans="1:7" x14ac:dyDescent="0.25">
      <c r="A9220" t="s">
        <v>8</v>
      </c>
      <c r="B9220" s="1" t="str">
        <f>"000067348 - RICH 100912 DOUGH"</f>
        <v>000067348 - RICH 100912 DOUGH</v>
      </c>
      <c r="C9220" t="s">
        <v>720</v>
      </c>
      <c r="D9220" s="1" t="str">
        <f t="shared" si="254"/>
        <v>PRG-1033623</v>
      </c>
      <c r="E9220" t="s">
        <v>721</v>
      </c>
      <c r="F9220" t="s">
        <v>4</v>
      </c>
      <c r="G9220" t="str">
        <f>""</f>
        <v/>
      </c>
    </row>
    <row r="9221" spans="1:7" x14ac:dyDescent="0.25">
      <c r="A9221" t="s">
        <v>8</v>
      </c>
      <c r="B9221" s="1" t="str">
        <f>"000068125 - RICH 100912 DOUGH"</f>
        <v>000068125 - RICH 100912 DOUGH</v>
      </c>
      <c r="C9221" t="s">
        <v>720</v>
      </c>
      <c r="D9221" s="1" t="str">
        <f t="shared" si="254"/>
        <v>PRG-1033623</v>
      </c>
      <c r="E9221" t="s">
        <v>721</v>
      </c>
      <c r="F9221" t="s">
        <v>4</v>
      </c>
      <c r="G9221" t="str">
        <f>""</f>
        <v/>
      </c>
    </row>
    <row r="9222" spans="1:7" x14ac:dyDescent="0.25">
      <c r="A9222" t="s">
        <v>8</v>
      </c>
      <c r="B9222" s="1" t="str">
        <f>"000127753 - USDA RICH PRODUCTS 100912"</f>
        <v>000127753 - USDA RICH PRODUCTS 100912</v>
      </c>
      <c r="C9222" t="s">
        <v>922</v>
      </c>
      <c r="D9222" s="1" t="str">
        <f t="shared" si="254"/>
        <v>PRG-1033623</v>
      </c>
      <c r="E9222" t="s">
        <v>721</v>
      </c>
      <c r="F9222" t="s">
        <v>4</v>
      </c>
      <c r="G9222" t="str">
        <f>""</f>
        <v/>
      </c>
    </row>
    <row r="9223" spans="1:7" x14ac:dyDescent="0.25">
      <c r="A9223" t="s">
        <v>8</v>
      </c>
      <c r="B9223" s="1" t="str">
        <f>"000146921 - RICHS - WAKE B077"</f>
        <v>000146921 - RICHS - WAKE B077</v>
      </c>
      <c r="C9223" t="s">
        <v>1002</v>
      </c>
      <c r="D9223" s="1" t="str">
        <f t="shared" si="254"/>
        <v>PRG-1033623</v>
      </c>
      <c r="E9223" t="s">
        <v>721</v>
      </c>
      <c r="F9223" t="s">
        <v>4</v>
      </c>
      <c r="G9223" t="str">
        <f>""</f>
        <v/>
      </c>
    </row>
    <row r="9224" spans="1:7" x14ac:dyDescent="0.25">
      <c r="A9224" t="s">
        <v>8</v>
      </c>
      <c r="B9224" s="1" t="str">
        <f>"000194891 - "</f>
        <v xml:space="preserve">000194891 - </v>
      </c>
      <c r="D9224" s="1" t="str">
        <f t="shared" si="254"/>
        <v>PRG-1033623</v>
      </c>
      <c r="E9224" t="s">
        <v>721</v>
      </c>
      <c r="F9224" t="s">
        <v>4</v>
      </c>
      <c r="G9224" t="str">
        <f>""</f>
        <v/>
      </c>
    </row>
    <row r="9225" spans="1:7" x14ac:dyDescent="0.25">
      <c r="A9225" t="s">
        <v>8</v>
      </c>
      <c r="B9225" s="1" t="str">
        <f>"000229763 - USDA-B198R RICH'S FLOUR"</f>
        <v>000229763 - USDA-B198R RICH'S FLOUR</v>
      </c>
      <c r="C9225" t="s">
        <v>1740</v>
      </c>
      <c r="D9225" s="1" t="str">
        <f t="shared" si="254"/>
        <v>PRG-1033623</v>
      </c>
      <c r="E9225" t="s">
        <v>721</v>
      </c>
      <c r="F9225" t="s">
        <v>4</v>
      </c>
      <c r="G9225" t="str">
        <f>""</f>
        <v/>
      </c>
    </row>
    <row r="9226" spans="1:7" x14ac:dyDescent="0.25">
      <c r="A9226" t="s">
        <v>8</v>
      </c>
      <c r="B9226" s="1" t="str">
        <f>"000231153 - USDA 100912 RICH PRODUCTS - IL"</f>
        <v>000231153 - USDA 100912 RICH PRODUCTS - IL</v>
      </c>
      <c r="C9226" t="s">
        <v>1213</v>
      </c>
      <c r="D9226" s="1" t="str">
        <f t="shared" si="254"/>
        <v>PRG-1033623</v>
      </c>
      <c r="E9226" t="s">
        <v>721</v>
      </c>
      <c r="F9226" t="s">
        <v>4</v>
      </c>
      <c r="G9226" t="str">
        <f>""</f>
        <v/>
      </c>
    </row>
    <row r="9227" spans="1:7" x14ac:dyDescent="0.25">
      <c r="A9227" t="s">
        <v>8</v>
      </c>
      <c r="B9227" s="1" t="str">
        <f>"000238555 - RICH PRODUCTS B198"</f>
        <v>000238555 - RICH PRODUCTS B198</v>
      </c>
      <c r="C9227" t="s">
        <v>1582</v>
      </c>
      <c r="D9227" s="1" t="str">
        <f t="shared" si="254"/>
        <v>PRG-1033623</v>
      </c>
      <c r="E9227" t="s">
        <v>721</v>
      </c>
      <c r="F9227" t="s">
        <v>4</v>
      </c>
      <c r="G9227" t="str">
        <f>""</f>
        <v/>
      </c>
    </row>
    <row r="9228" spans="1:7" x14ac:dyDescent="0.25">
      <c r="A9228" t="s">
        <v>8</v>
      </c>
      <c r="B9228" s="1" t="str">
        <f>"000240489 - RICH PRODUCTS B198"</f>
        <v>000240489 - RICH PRODUCTS B198</v>
      </c>
      <c r="C9228" t="s">
        <v>1582</v>
      </c>
      <c r="D9228" s="1" t="str">
        <f t="shared" si="254"/>
        <v>PRG-1033623</v>
      </c>
      <c r="E9228" t="s">
        <v>721</v>
      </c>
      <c r="F9228" t="s">
        <v>4</v>
      </c>
      <c r="G9228" t="str">
        <f>""</f>
        <v/>
      </c>
    </row>
    <row r="9229" spans="1:7" x14ac:dyDescent="0.25">
      <c r="A9229" t="s">
        <v>8</v>
      </c>
      <c r="B9229" s="1" t="str">
        <f>"000241688 - USDA 100912 RICH PRODUCTS"</f>
        <v>000241688 - USDA 100912 RICH PRODUCTS</v>
      </c>
      <c r="C9229" t="s">
        <v>1660</v>
      </c>
      <c r="D9229" s="1" t="str">
        <f t="shared" si="254"/>
        <v>PRG-1033623</v>
      </c>
      <c r="E9229" t="s">
        <v>721</v>
      </c>
      <c r="F9229" t="s">
        <v>4</v>
      </c>
      <c r="G9229" t="str">
        <f>""</f>
        <v/>
      </c>
    </row>
    <row r="9230" spans="1:7" x14ac:dyDescent="0.25">
      <c r="A9230" t="s">
        <v>8</v>
      </c>
      <c r="B9230" s="1" t="str">
        <f>"000244581 - USDA-RICH'S ARAMARK-NJ-100912"</f>
        <v>000244581 - USDA-RICH'S ARAMARK-NJ-100912</v>
      </c>
      <c r="C9230" t="s">
        <v>1982</v>
      </c>
      <c r="D9230" s="1" t="str">
        <f t="shared" si="254"/>
        <v>PRG-1033623</v>
      </c>
      <c r="E9230" t="s">
        <v>721</v>
      </c>
      <c r="F9230" t="s">
        <v>4</v>
      </c>
      <c r="G9230" t="str">
        <f>""</f>
        <v/>
      </c>
    </row>
    <row r="9231" spans="1:7" x14ac:dyDescent="0.25">
      <c r="A9231" t="s">
        <v>8</v>
      </c>
      <c r="B9231" s="1" t="str">
        <f>"000244582 - USDA-RICH'S ARAMARK-NY-100912"</f>
        <v>000244582 - USDA-RICH'S ARAMARK-NY-100912</v>
      </c>
      <c r="C9231" t="s">
        <v>1983</v>
      </c>
      <c r="D9231" s="1" t="str">
        <f t="shared" si="254"/>
        <v>PRG-1033623</v>
      </c>
      <c r="E9231" t="s">
        <v>721</v>
      </c>
      <c r="F9231" t="s">
        <v>4</v>
      </c>
      <c r="G9231" t="str">
        <f>""</f>
        <v/>
      </c>
    </row>
    <row r="9232" spans="1:7" x14ac:dyDescent="0.25">
      <c r="A9232" t="s">
        <v>8</v>
      </c>
      <c r="B9232" s="1" t="str">
        <f>"000246529 - RICH PRODUCTS B198"</f>
        <v>000246529 - RICH PRODUCTS B198</v>
      </c>
      <c r="C9232" t="s">
        <v>1582</v>
      </c>
      <c r="D9232" s="1" t="str">
        <f t="shared" si="254"/>
        <v>PRG-1033623</v>
      </c>
      <c r="E9232" t="s">
        <v>721</v>
      </c>
      <c r="F9232" t="s">
        <v>4</v>
      </c>
      <c r="G9232" t="str">
        <f>""</f>
        <v/>
      </c>
    </row>
    <row r="9233" spans="1:7" x14ac:dyDescent="0.25">
      <c r="A9233" t="s">
        <v>8</v>
      </c>
      <c r="B9233" s="1" t="str">
        <f>"000251277 - USDA-RICH'S ARAMARK-NJ-100912"</f>
        <v>000251277 - USDA-RICH'S ARAMARK-NJ-100912</v>
      </c>
      <c r="C9233" t="s">
        <v>1982</v>
      </c>
      <c r="D9233" s="1" t="str">
        <f t="shared" si="254"/>
        <v>PRG-1033623</v>
      </c>
      <c r="E9233" t="s">
        <v>721</v>
      </c>
      <c r="F9233" t="s">
        <v>4</v>
      </c>
      <c r="G9233" t="str">
        <f>""</f>
        <v/>
      </c>
    </row>
    <row r="9234" spans="1:7" x14ac:dyDescent="0.25">
      <c r="A9234" t="s">
        <v>8</v>
      </c>
      <c r="B9234" s="1" t="str">
        <f>"000251278 - USDA-RICH'S ARAMARK-NY-100912"</f>
        <v>000251278 - USDA-RICH'S ARAMARK-NY-100912</v>
      </c>
      <c r="C9234" t="s">
        <v>1983</v>
      </c>
      <c r="D9234" s="1" t="str">
        <f t="shared" si="254"/>
        <v>PRG-1033623</v>
      </c>
      <c r="E9234" t="s">
        <v>721</v>
      </c>
      <c r="F9234" t="s">
        <v>4</v>
      </c>
      <c r="G9234" t="str">
        <f>""</f>
        <v/>
      </c>
    </row>
    <row r="9235" spans="1:7" x14ac:dyDescent="0.25">
      <c r="A9235" t="s">
        <v>8</v>
      </c>
      <c r="B9235" s="1" t="str">
        <f>"000255055 - RICH PRODUCTS-BAPA B198"</f>
        <v>000255055 - RICH PRODUCTS-BAPA B198</v>
      </c>
      <c r="C9235" t="s">
        <v>2158</v>
      </c>
      <c r="D9235" s="1" t="str">
        <f t="shared" si="254"/>
        <v>PRG-1033623</v>
      </c>
      <c r="E9235" t="s">
        <v>721</v>
      </c>
      <c r="F9235" t="s">
        <v>4</v>
      </c>
      <c r="G9235" t="str">
        <f>""</f>
        <v/>
      </c>
    </row>
    <row r="9236" spans="1:7" x14ac:dyDescent="0.25">
      <c r="A9236" t="s">
        <v>8</v>
      </c>
      <c r="B9236" s="1" t="str">
        <f>"000259253 - USDA RICH'S B198 100912 J010"</f>
        <v>000259253 - USDA RICH'S B198 100912 J010</v>
      </c>
      <c r="C9236" t="s">
        <v>2233</v>
      </c>
      <c r="D9236" s="1" t="str">
        <f t="shared" si="254"/>
        <v>PRG-1033623</v>
      </c>
      <c r="E9236" t="s">
        <v>721</v>
      </c>
      <c r="F9236" t="s">
        <v>4</v>
      </c>
      <c r="G9236" t="str">
        <f>""</f>
        <v/>
      </c>
    </row>
    <row r="9237" spans="1:7" x14ac:dyDescent="0.25">
      <c r="A9237" t="s">
        <v>8</v>
      </c>
      <c r="B9237" s="1" t="str">
        <f>"000259254 - USDA RICH'S B198 100912 J025"</f>
        <v>000259254 - USDA RICH'S B198 100912 J025</v>
      </c>
      <c r="C9237" t="s">
        <v>2234</v>
      </c>
      <c r="D9237" s="1" t="str">
        <f t="shared" si="254"/>
        <v>PRG-1033623</v>
      </c>
      <c r="E9237" t="s">
        <v>721</v>
      </c>
      <c r="F9237" t="s">
        <v>4</v>
      </c>
      <c r="G9237" t="str">
        <f>""</f>
        <v/>
      </c>
    </row>
    <row r="9238" spans="1:7" x14ac:dyDescent="0.25">
      <c r="A9238" t="s">
        <v>8</v>
      </c>
      <c r="B9238" s="1" t="str">
        <f>"000259255 - USDA RICH'S B198 100912 J127"</f>
        <v>000259255 - USDA RICH'S B198 100912 J127</v>
      </c>
      <c r="C9238" t="s">
        <v>2235</v>
      </c>
      <c r="D9238" s="1" t="str">
        <f t="shared" si="254"/>
        <v>PRG-1033623</v>
      </c>
      <c r="E9238" t="s">
        <v>721</v>
      </c>
      <c r="F9238" t="s">
        <v>4</v>
      </c>
      <c r="G9238" t="str">
        <f>""</f>
        <v/>
      </c>
    </row>
    <row r="9239" spans="1:7" x14ac:dyDescent="0.25">
      <c r="A9239" t="s">
        <v>8</v>
      </c>
      <c r="B9239" s="1" t="str">
        <f>"000259256 - USDA RICH'S B198 100912 G041"</f>
        <v>000259256 - USDA RICH'S B198 100912 G041</v>
      </c>
      <c r="C9239" t="s">
        <v>2236</v>
      </c>
      <c r="D9239" s="1" t="str">
        <f t="shared" si="254"/>
        <v>PRG-1033623</v>
      </c>
      <c r="E9239" t="s">
        <v>721</v>
      </c>
      <c r="F9239" t="s">
        <v>4</v>
      </c>
      <c r="G9239" t="str">
        <f>""</f>
        <v/>
      </c>
    </row>
    <row r="9240" spans="1:7" x14ac:dyDescent="0.25">
      <c r="A9240" t="s">
        <v>8</v>
      </c>
      <c r="B9240" s="1" t="str">
        <f>"000259257 - USDA RICH'S B198 100912 G072"</f>
        <v>000259257 - USDA RICH'S B198 100912 G072</v>
      </c>
      <c r="C9240" t="s">
        <v>2237</v>
      </c>
      <c r="D9240" s="1" t="str">
        <f t="shared" si="254"/>
        <v>PRG-1033623</v>
      </c>
      <c r="E9240" t="s">
        <v>721</v>
      </c>
      <c r="F9240" t="s">
        <v>4</v>
      </c>
      <c r="G9240" t="str">
        <f>""</f>
        <v/>
      </c>
    </row>
    <row r="9241" spans="1:7" x14ac:dyDescent="0.25">
      <c r="A9241" t="s">
        <v>8</v>
      </c>
      <c r="B9241" s="1" t="str">
        <f>"000259260 - USDA RICH'S B198 100912 G101"</f>
        <v>000259260 - USDA RICH'S B198 100912 G101</v>
      </c>
      <c r="C9241" t="s">
        <v>2239</v>
      </c>
      <c r="D9241" s="1" t="str">
        <f t="shared" si="254"/>
        <v>PRG-1033623</v>
      </c>
      <c r="E9241" t="s">
        <v>721</v>
      </c>
      <c r="F9241" t="s">
        <v>4</v>
      </c>
      <c r="G9241" t="str">
        <f>""</f>
        <v/>
      </c>
    </row>
    <row r="9242" spans="1:7" x14ac:dyDescent="0.25">
      <c r="A9242" t="s">
        <v>8</v>
      </c>
      <c r="B9242" s="1" t="str">
        <f>"000259261 - USDA RICH'S B198 100912 G114"</f>
        <v>000259261 - USDA RICH'S B198 100912 G114</v>
      </c>
      <c r="C9242" t="s">
        <v>2240</v>
      </c>
      <c r="D9242" s="1" t="str">
        <f t="shared" si="254"/>
        <v>PRG-1033623</v>
      </c>
      <c r="E9242" t="s">
        <v>721</v>
      </c>
      <c r="F9242" t="s">
        <v>4</v>
      </c>
      <c r="G9242" t="str">
        <f>""</f>
        <v/>
      </c>
    </row>
    <row r="9243" spans="1:7" x14ac:dyDescent="0.25">
      <c r="A9243" t="s">
        <v>8</v>
      </c>
      <c r="B9243" s="1" t="str">
        <f>"000259264 - USDA RICH'S B077 G031"</f>
        <v>000259264 - USDA RICH'S B077 G031</v>
      </c>
      <c r="C9243" t="s">
        <v>2241</v>
      </c>
      <c r="D9243" s="1" t="str">
        <f t="shared" si="254"/>
        <v>PRG-1033623</v>
      </c>
      <c r="E9243" t="s">
        <v>721</v>
      </c>
      <c r="F9243" t="s">
        <v>4</v>
      </c>
      <c r="G9243" t="str">
        <f>""</f>
        <v/>
      </c>
    </row>
    <row r="9244" spans="1:7" x14ac:dyDescent="0.25">
      <c r="A9244" t="s">
        <v>8</v>
      </c>
      <c r="B9244" s="1" t="str">
        <f>"000259631 - USDA RICH PRODUCTS  B198"</f>
        <v>000259631 - USDA RICH PRODUCTS  B198</v>
      </c>
      <c r="C9244" t="s">
        <v>2248</v>
      </c>
      <c r="D9244" s="1" t="str">
        <f t="shared" si="254"/>
        <v>PRG-1033623</v>
      </c>
      <c r="E9244" t="s">
        <v>721</v>
      </c>
      <c r="F9244" t="s">
        <v>4</v>
      </c>
      <c r="G9244" t="str">
        <f>""</f>
        <v/>
      </c>
    </row>
    <row r="9245" spans="1:7" x14ac:dyDescent="0.25">
      <c r="A9245" t="s">
        <v>8</v>
      </c>
      <c r="B9245" s="1" t="str">
        <f>"000260610 - USDA RICH'S B198 100912 G210"</f>
        <v>000260610 - USDA RICH'S B198 100912 G210</v>
      </c>
      <c r="C9245" t="s">
        <v>2267</v>
      </c>
      <c r="D9245" s="1" t="str">
        <f t="shared" si="254"/>
        <v>PRG-1033623</v>
      </c>
      <c r="E9245" t="s">
        <v>721</v>
      </c>
      <c r="F9245" t="s">
        <v>4</v>
      </c>
      <c r="G9245" t="str">
        <f>""</f>
        <v/>
      </c>
    </row>
    <row r="9246" spans="1:7" x14ac:dyDescent="0.25">
      <c r="A9246" t="s">
        <v>8</v>
      </c>
      <c r="B9246" s="1" t="str">
        <f>"000260940 - USDA-RICH'S ARAMARK-NY-100912"</f>
        <v>000260940 - USDA-RICH'S ARAMARK-NY-100912</v>
      </c>
      <c r="C9246" t="s">
        <v>1983</v>
      </c>
      <c r="D9246" s="1" t="str">
        <f t="shared" si="254"/>
        <v>PRG-1033623</v>
      </c>
      <c r="E9246" t="s">
        <v>721</v>
      </c>
      <c r="F9246" t="s">
        <v>4</v>
      </c>
      <c r="G9246" t="str">
        <f>""</f>
        <v/>
      </c>
    </row>
    <row r="9247" spans="1:7" x14ac:dyDescent="0.25">
      <c r="A9247" t="s">
        <v>8</v>
      </c>
      <c r="B9247" s="1" t="str">
        <f>"000261437 - USDA RICH'S B198 100912 J012"</f>
        <v>000261437 - USDA RICH'S B198 100912 J012</v>
      </c>
      <c r="C9247" t="s">
        <v>2282</v>
      </c>
      <c r="D9247" s="1" t="str">
        <f t="shared" si="254"/>
        <v>PRG-1033623</v>
      </c>
      <c r="E9247" t="s">
        <v>721</v>
      </c>
      <c r="F9247" t="s">
        <v>4</v>
      </c>
      <c r="G9247" t="str">
        <f>""</f>
        <v/>
      </c>
    </row>
    <row r="9248" spans="1:7" x14ac:dyDescent="0.25">
      <c r="A9248" t="s">
        <v>8</v>
      </c>
      <c r="B9248" s="1" t="str">
        <f>"000261438 - USDA RICH'S B198 100912 G048"</f>
        <v>000261438 - USDA RICH'S B198 100912 G048</v>
      </c>
      <c r="C9248" t="s">
        <v>2283</v>
      </c>
      <c r="D9248" s="1" t="str">
        <f t="shared" si="254"/>
        <v>PRG-1033623</v>
      </c>
      <c r="E9248" t="s">
        <v>721</v>
      </c>
      <c r="F9248" t="s">
        <v>4</v>
      </c>
      <c r="G9248" t="str">
        <f>""</f>
        <v/>
      </c>
    </row>
    <row r="9249" spans="1:7" x14ac:dyDescent="0.25">
      <c r="A9249" t="s">
        <v>8</v>
      </c>
      <c r="B9249" s="1" t="str">
        <f>"000261440 - USDA RICH'S B198 100912 G012"</f>
        <v>000261440 - USDA RICH'S B198 100912 G012</v>
      </c>
      <c r="C9249" t="s">
        <v>2284</v>
      </c>
      <c r="D9249" s="1" t="str">
        <f t="shared" si="254"/>
        <v>PRG-1033623</v>
      </c>
      <c r="E9249" t="s">
        <v>721</v>
      </c>
      <c r="F9249" t="s">
        <v>4</v>
      </c>
      <c r="G9249" t="str">
        <f>""</f>
        <v/>
      </c>
    </row>
    <row r="9250" spans="1:7" x14ac:dyDescent="0.25">
      <c r="A9250" t="s">
        <v>8</v>
      </c>
      <c r="B9250" s="1" t="str">
        <f>"000261441 - USDA RICH'S B198 100912 G033"</f>
        <v>000261441 - USDA RICH'S B198 100912 G033</v>
      </c>
      <c r="C9250" t="s">
        <v>2285</v>
      </c>
      <c r="D9250" s="1" t="str">
        <f t="shared" ref="D9250:D9281" si="255">"PRG-1033623"</f>
        <v>PRG-1033623</v>
      </c>
      <c r="E9250" t="s">
        <v>721</v>
      </c>
      <c r="F9250" t="s">
        <v>4</v>
      </c>
      <c r="G9250" t="str">
        <f>""</f>
        <v/>
      </c>
    </row>
    <row r="9251" spans="1:7" x14ac:dyDescent="0.25">
      <c r="A9251" t="s">
        <v>8</v>
      </c>
      <c r="B9251" s="1" t="str">
        <f>"000261443 - USDA RICH'S B198 100912 J064"</f>
        <v>000261443 - USDA RICH'S B198 100912 J064</v>
      </c>
      <c r="C9251" t="s">
        <v>2286</v>
      </c>
      <c r="D9251" s="1" t="str">
        <f t="shared" si="255"/>
        <v>PRG-1033623</v>
      </c>
      <c r="E9251" t="s">
        <v>721</v>
      </c>
      <c r="F9251" t="s">
        <v>4</v>
      </c>
      <c r="G9251" t="str">
        <f>""</f>
        <v/>
      </c>
    </row>
    <row r="9252" spans="1:7" x14ac:dyDescent="0.25">
      <c r="A9252" t="s">
        <v>8</v>
      </c>
      <c r="B9252" s="1" t="str">
        <f>"000261656 - USDA RICH'S B198 100912 G064"</f>
        <v>000261656 - USDA RICH'S B198 100912 G064</v>
      </c>
      <c r="C9252" t="s">
        <v>2292</v>
      </c>
      <c r="D9252" s="1" t="str">
        <f t="shared" si="255"/>
        <v>PRG-1033623</v>
      </c>
      <c r="E9252" t="s">
        <v>721</v>
      </c>
      <c r="F9252" t="s">
        <v>4</v>
      </c>
      <c r="G9252" t="str">
        <f>""</f>
        <v/>
      </c>
    </row>
    <row r="9253" spans="1:7" x14ac:dyDescent="0.25">
      <c r="A9253" t="s">
        <v>8</v>
      </c>
      <c r="B9253" s="1" t="str">
        <f>"000263348 - RCH-100912-NOI"</f>
        <v>000263348 - RCH-100912-NOI</v>
      </c>
      <c r="C9253" t="s">
        <v>1918</v>
      </c>
      <c r="D9253" s="1" t="str">
        <f t="shared" si="255"/>
        <v>PRG-1033623</v>
      </c>
      <c r="E9253" t="s">
        <v>721</v>
      </c>
      <c r="F9253" t="s">
        <v>4</v>
      </c>
      <c r="G9253" t="str">
        <f>""</f>
        <v/>
      </c>
    </row>
    <row r="9254" spans="1:7" x14ac:dyDescent="0.25">
      <c r="A9254" t="s">
        <v>8</v>
      </c>
      <c r="B9254" s="1" t="str">
        <f>"000263351 - RCH-110244-NOI"</f>
        <v>000263351 - RCH-110244-NOI</v>
      </c>
      <c r="C9254" t="s">
        <v>1919</v>
      </c>
      <c r="D9254" s="1" t="str">
        <f t="shared" si="255"/>
        <v>PRG-1033623</v>
      </c>
      <c r="E9254" t="s">
        <v>721</v>
      </c>
      <c r="F9254" t="s">
        <v>4</v>
      </c>
      <c r="G9254" t="str">
        <f>""</f>
        <v/>
      </c>
    </row>
    <row r="9255" spans="1:7" x14ac:dyDescent="0.25">
      <c r="A9255" t="s">
        <v>8</v>
      </c>
      <c r="B9255" s="1" t="str">
        <f>"000264717 - USDA RICH'S B198 100912 G116"</f>
        <v>000264717 - USDA RICH'S B198 100912 G116</v>
      </c>
      <c r="C9255" t="s">
        <v>2370</v>
      </c>
      <c r="D9255" s="1" t="str">
        <f t="shared" si="255"/>
        <v>PRG-1033623</v>
      </c>
      <c r="E9255" t="s">
        <v>721</v>
      </c>
      <c r="F9255" t="s">
        <v>4</v>
      </c>
      <c r="G9255" t="str">
        <f>""</f>
        <v/>
      </c>
    </row>
    <row r="9256" spans="1:7" x14ac:dyDescent="0.25">
      <c r="A9256" t="s">
        <v>8</v>
      </c>
      <c r="B9256" s="1" t="str">
        <f>"000266583 - USDA RICH'S B198 100912 J035"</f>
        <v>000266583 - USDA RICH'S B198 100912 J035</v>
      </c>
      <c r="C9256" t="s">
        <v>2409</v>
      </c>
      <c r="D9256" s="1" t="str">
        <f t="shared" si="255"/>
        <v>PRG-1033623</v>
      </c>
      <c r="E9256" t="s">
        <v>721</v>
      </c>
      <c r="F9256" t="s">
        <v>4</v>
      </c>
      <c r="G9256" t="str">
        <f>""</f>
        <v/>
      </c>
    </row>
    <row r="9257" spans="1:7" x14ac:dyDescent="0.25">
      <c r="A9257" t="s">
        <v>8</v>
      </c>
      <c r="B9257" s="1" t="str">
        <f>"000266613 - USDA RICH'S B198 100912 J112"</f>
        <v>000266613 - USDA RICH'S B198 100912 J112</v>
      </c>
      <c r="C9257" t="s">
        <v>2412</v>
      </c>
      <c r="D9257" s="1" t="str">
        <f t="shared" si="255"/>
        <v>PRG-1033623</v>
      </c>
      <c r="E9257" t="s">
        <v>721</v>
      </c>
      <c r="F9257" t="s">
        <v>4</v>
      </c>
      <c r="G9257" t="str">
        <f>""</f>
        <v/>
      </c>
    </row>
    <row r="9258" spans="1:7" x14ac:dyDescent="0.25">
      <c r="A9258" t="s">
        <v>8</v>
      </c>
      <c r="B9258" s="1" t="str">
        <f>"000271138 - RICH PRODUCTS 100912 NOI"</f>
        <v>000271138 - RICH PRODUCTS 100912 NOI</v>
      </c>
      <c r="C9258" t="s">
        <v>2481</v>
      </c>
      <c r="D9258" s="1" t="str">
        <f t="shared" si="255"/>
        <v>PRG-1033623</v>
      </c>
      <c r="E9258" t="s">
        <v>721</v>
      </c>
      <c r="F9258" t="s">
        <v>4</v>
      </c>
      <c r="G9258" t="str">
        <f>""</f>
        <v/>
      </c>
    </row>
    <row r="9259" spans="1:7" x14ac:dyDescent="0.25">
      <c r="A9259" t="s">
        <v>8</v>
      </c>
      <c r="B9259" s="1" t="str">
        <f>"000274537 - USDA RICH'S B198 100912 G039"</f>
        <v>000274537 - USDA RICH'S B198 100912 G039</v>
      </c>
      <c r="C9259" t="s">
        <v>2238</v>
      </c>
      <c r="D9259" s="1" t="str">
        <f t="shared" si="255"/>
        <v>PRG-1033623</v>
      </c>
      <c r="E9259" t="s">
        <v>721</v>
      </c>
      <c r="F9259" t="s">
        <v>4</v>
      </c>
      <c r="G9259" t="str">
        <f>""</f>
        <v/>
      </c>
    </row>
    <row r="9260" spans="1:7" x14ac:dyDescent="0.25">
      <c r="A9260" t="s">
        <v>8</v>
      </c>
      <c r="B9260" s="1" t="str">
        <f>"000277166 - USDA RICHS ROCKINGHAM"</f>
        <v>000277166 - USDA RICHS ROCKINGHAM</v>
      </c>
      <c r="C9260" t="s">
        <v>2015</v>
      </c>
      <c r="D9260" s="1" t="str">
        <f t="shared" si="255"/>
        <v>PRG-1033623</v>
      </c>
      <c r="E9260" t="s">
        <v>721</v>
      </c>
      <c r="F9260" t="s">
        <v>4</v>
      </c>
      <c r="G9260" t="str">
        <f>""</f>
        <v/>
      </c>
    </row>
    <row r="9261" spans="1:7" x14ac:dyDescent="0.25">
      <c r="A9261" t="s">
        <v>8</v>
      </c>
      <c r="B9261" s="1" t="str">
        <f>"000286687 - RICH'S   100912 FLOUR BREAD"</f>
        <v>000286687 - RICH'S   100912 FLOUR BREAD</v>
      </c>
      <c r="C9261" t="s">
        <v>2744</v>
      </c>
      <c r="D9261" s="1" t="str">
        <f t="shared" si="255"/>
        <v>PRG-1033623</v>
      </c>
      <c r="E9261" t="s">
        <v>721</v>
      </c>
      <c r="F9261" t="s">
        <v>4</v>
      </c>
      <c r="G9261" t="str">
        <f>""</f>
        <v/>
      </c>
    </row>
    <row r="9262" spans="1:7" x14ac:dyDescent="0.25">
      <c r="A9262" t="s">
        <v>8</v>
      </c>
      <c r="B9262" s="1" t="str">
        <f>"000286689 - RICH'S   110244 MOZZARELLA"</f>
        <v>000286689 - RICH'S   110244 MOZZARELLA</v>
      </c>
      <c r="C9262" t="s">
        <v>2745</v>
      </c>
      <c r="D9262" s="1" t="str">
        <f t="shared" si="255"/>
        <v>PRG-1033623</v>
      </c>
      <c r="E9262" t="s">
        <v>721</v>
      </c>
      <c r="F9262" t="s">
        <v>4</v>
      </c>
      <c r="G9262" t="str">
        <f>""</f>
        <v/>
      </c>
    </row>
    <row r="9263" spans="1:7" x14ac:dyDescent="0.25">
      <c r="A9263" t="s">
        <v>8</v>
      </c>
      <c r="B9263" s="1" t="str">
        <f>"000314295 - "</f>
        <v xml:space="preserve">000314295 - </v>
      </c>
      <c r="D9263" s="1" t="str">
        <f t="shared" si="255"/>
        <v>PRG-1033623</v>
      </c>
      <c r="E9263" t="s">
        <v>721</v>
      </c>
      <c r="F9263" t="s">
        <v>4</v>
      </c>
      <c r="G9263" t="str">
        <f>""</f>
        <v/>
      </c>
    </row>
    <row r="9264" spans="1:7" x14ac:dyDescent="0.25">
      <c r="A9264" t="s">
        <v>8</v>
      </c>
      <c r="B9264" s="1" t="str">
        <f>"000323289 - CPS    RICHS-100912"</f>
        <v>000323289 - CPS    RICHS-100912</v>
      </c>
      <c r="C9264" t="s">
        <v>2929</v>
      </c>
      <c r="D9264" s="1" t="str">
        <f t="shared" si="255"/>
        <v>PRG-1033623</v>
      </c>
      <c r="E9264" t="s">
        <v>721</v>
      </c>
      <c r="F9264" t="s">
        <v>4</v>
      </c>
      <c r="G9264" t="str">
        <f>""</f>
        <v/>
      </c>
    </row>
    <row r="9265" spans="1:7" x14ac:dyDescent="0.25">
      <c r="A9265" t="s">
        <v>8</v>
      </c>
      <c r="B9265" s="1" t="str">
        <f>"000326170 - CPS    RICHS-100912"</f>
        <v>000326170 - CPS    RICHS-100912</v>
      </c>
      <c r="C9265" t="s">
        <v>2929</v>
      </c>
      <c r="D9265" s="1" t="str">
        <f t="shared" si="255"/>
        <v>PRG-1033623</v>
      </c>
      <c r="E9265" t="s">
        <v>721</v>
      </c>
      <c r="F9265" t="s">
        <v>4</v>
      </c>
      <c r="G9265" t="str">
        <f>""</f>
        <v/>
      </c>
    </row>
    <row r="9266" spans="1:7" x14ac:dyDescent="0.25">
      <c r="A9266" t="s">
        <v>8</v>
      </c>
      <c r="B9266" s="1" t="str">
        <f>"000326895 - CPS    RICHS-100912"</f>
        <v>000326895 - CPS    RICHS-100912</v>
      </c>
      <c r="C9266" t="s">
        <v>2929</v>
      </c>
      <c r="D9266" s="1" t="str">
        <f t="shared" si="255"/>
        <v>PRG-1033623</v>
      </c>
      <c r="E9266" t="s">
        <v>721</v>
      </c>
      <c r="F9266" t="s">
        <v>4</v>
      </c>
      <c r="G9266" t="str">
        <f>""</f>
        <v/>
      </c>
    </row>
    <row r="9267" spans="1:7" x14ac:dyDescent="0.25">
      <c r="A9267" t="s">
        <v>8</v>
      </c>
      <c r="B9267" s="1" t="str">
        <f>"000330060 - CPS    RICHS-100912"</f>
        <v>000330060 - CPS    RICHS-100912</v>
      </c>
      <c r="C9267" t="s">
        <v>2929</v>
      </c>
      <c r="D9267" s="1" t="str">
        <f t="shared" si="255"/>
        <v>PRG-1033623</v>
      </c>
      <c r="E9267" t="s">
        <v>721</v>
      </c>
      <c r="F9267" t="s">
        <v>4</v>
      </c>
      <c r="G9267" t="str">
        <f>""</f>
        <v/>
      </c>
    </row>
    <row r="9268" spans="1:7" x14ac:dyDescent="0.25">
      <c r="A9268" t="s">
        <v>8</v>
      </c>
      <c r="B9268" s="1" t="str">
        <f>"000330189 - RICHS - 100912 FLOUR"</f>
        <v>000330189 - RICHS - 100912 FLOUR</v>
      </c>
      <c r="C9268" t="s">
        <v>2568</v>
      </c>
      <c r="D9268" s="1" t="str">
        <f t="shared" si="255"/>
        <v>PRG-1033623</v>
      </c>
      <c r="E9268" t="s">
        <v>721</v>
      </c>
      <c r="F9268" t="s">
        <v>4</v>
      </c>
      <c r="G9268" t="str">
        <f>""</f>
        <v/>
      </c>
    </row>
    <row r="9269" spans="1:7" x14ac:dyDescent="0.25">
      <c r="A9269" t="s">
        <v>8</v>
      </c>
      <c r="B9269" s="1" t="str">
        <f>"000332250 - CPS  RICHS-100912"</f>
        <v>000332250 - CPS  RICHS-100912</v>
      </c>
      <c r="C9269" t="s">
        <v>3356</v>
      </c>
      <c r="D9269" s="1" t="str">
        <f t="shared" si="255"/>
        <v>PRG-1033623</v>
      </c>
      <c r="E9269" t="s">
        <v>721</v>
      </c>
      <c r="F9269" t="s">
        <v>4</v>
      </c>
      <c r="G9269" t="str">
        <f>""</f>
        <v/>
      </c>
    </row>
    <row r="9270" spans="1:7" x14ac:dyDescent="0.25">
      <c r="A9270" t="s">
        <v>8</v>
      </c>
      <c r="B9270" s="1" t="str">
        <f>"000334414 - CPS  RICHS-100912"</f>
        <v>000334414 - CPS  RICHS-100912</v>
      </c>
      <c r="C9270" t="s">
        <v>3356</v>
      </c>
      <c r="D9270" s="1" t="str">
        <f t="shared" si="255"/>
        <v>PRG-1033623</v>
      </c>
      <c r="E9270" t="s">
        <v>721</v>
      </c>
      <c r="F9270" t="s">
        <v>4</v>
      </c>
      <c r="G9270" t="str">
        <f>""</f>
        <v/>
      </c>
    </row>
    <row r="9271" spans="1:7" x14ac:dyDescent="0.25">
      <c r="A9271" t="s">
        <v>8</v>
      </c>
      <c r="B9271" s="1" t="str">
        <f>"000335717 - RICHS - 100912 FLOUR"</f>
        <v>000335717 - RICHS - 100912 FLOUR</v>
      </c>
      <c r="C9271" t="s">
        <v>2568</v>
      </c>
      <c r="D9271" s="1" t="str">
        <f t="shared" si="255"/>
        <v>PRG-1033623</v>
      </c>
      <c r="E9271" t="s">
        <v>721</v>
      </c>
      <c r="F9271" t="s">
        <v>4</v>
      </c>
      <c r="G9271" t="str">
        <f>""</f>
        <v/>
      </c>
    </row>
    <row r="9272" spans="1:7" x14ac:dyDescent="0.25">
      <c r="A9272" t="s">
        <v>8</v>
      </c>
      <c r="B9272" s="1" t="str">
        <f>"000336175 - RICHS - 100912 FLOUR"</f>
        <v>000336175 - RICHS - 100912 FLOUR</v>
      </c>
      <c r="C9272" t="s">
        <v>2568</v>
      </c>
      <c r="D9272" s="1" t="str">
        <f t="shared" si="255"/>
        <v>PRG-1033623</v>
      </c>
      <c r="E9272" t="s">
        <v>721</v>
      </c>
      <c r="F9272" t="s">
        <v>4</v>
      </c>
      <c r="G9272" t="str">
        <f>""</f>
        <v/>
      </c>
    </row>
    <row r="9273" spans="1:7" x14ac:dyDescent="0.25">
      <c r="A9273" t="s">
        <v>8</v>
      </c>
      <c r="B9273" s="1" t="str">
        <f>"000337075 - CPS  RICHS-100912"</f>
        <v>000337075 - CPS  RICHS-100912</v>
      </c>
      <c r="C9273" t="s">
        <v>3356</v>
      </c>
      <c r="D9273" s="1" t="str">
        <f t="shared" si="255"/>
        <v>PRG-1033623</v>
      </c>
      <c r="E9273" t="s">
        <v>721</v>
      </c>
      <c r="F9273" t="s">
        <v>4</v>
      </c>
      <c r="G9273" t="str">
        <f>""</f>
        <v/>
      </c>
    </row>
    <row r="9274" spans="1:7" x14ac:dyDescent="0.25">
      <c r="A9274" t="s">
        <v>8</v>
      </c>
      <c r="B9274" s="1" t="str">
        <f>"000338388 - CPS  RICHS-100912"</f>
        <v>000338388 - CPS  RICHS-100912</v>
      </c>
      <c r="C9274" t="s">
        <v>3356</v>
      </c>
      <c r="D9274" s="1" t="str">
        <f t="shared" si="255"/>
        <v>PRG-1033623</v>
      </c>
      <c r="E9274" t="s">
        <v>721</v>
      </c>
      <c r="F9274" t="s">
        <v>4</v>
      </c>
      <c r="G9274" t="str">
        <f>""</f>
        <v/>
      </c>
    </row>
    <row r="9275" spans="1:7" x14ac:dyDescent="0.25">
      <c r="A9275" t="s">
        <v>8</v>
      </c>
      <c r="B9275" s="1" t="str">
        <f>"000342381 - RICHS - 100912 FLOUR"</f>
        <v>000342381 - RICHS - 100912 FLOUR</v>
      </c>
      <c r="C9275" t="s">
        <v>2568</v>
      </c>
      <c r="D9275" s="1" t="str">
        <f t="shared" si="255"/>
        <v>PRG-1033623</v>
      </c>
      <c r="E9275" t="s">
        <v>721</v>
      </c>
      <c r="F9275" t="s">
        <v>4</v>
      </c>
      <c r="G9275" t="str">
        <f>""</f>
        <v/>
      </c>
    </row>
    <row r="9276" spans="1:7" x14ac:dyDescent="0.25">
      <c r="A9276" t="s">
        <v>8</v>
      </c>
      <c r="B9276" s="1" t="str">
        <f>"000342838 - RICHS - 100912 FLOUR"</f>
        <v>000342838 - RICHS - 100912 FLOUR</v>
      </c>
      <c r="C9276" t="s">
        <v>2568</v>
      </c>
      <c r="D9276" s="1" t="str">
        <f t="shared" si="255"/>
        <v>PRG-1033623</v>
      </c>
      <c r="E9276" t="s">
        <v>721</v>
      </c>
      <c r="F9276" t="s">
        <v>4</v>
      </c>
      <c r="G9276" t="str">
        <f>""</f>
        <v/>
      </c>
    </row>
    <row r="9277" spans="1:7" x14ac:dyDescent="0.25">
      <c r="A9277" t="s">
        <v>8</v>
      </c>
      <c r="B9277" s="1" t="str">
        <f>"000345543 - CPS  RICHS-100912"</f>
        <v>000345543 - CPS  RICHS-100912</v>
      </c>
      <c r="C9277" t="s">
        <v>3356</v>
      </c>
      <c r="D9277" s="1" t="str">
        <f t="shared" si="255"/>
        <v>PRG-1033623</v>
      </c>
      <c r="E9277" t="s">
        <v>721</v>
      </c>
      <c r="F9277" t="s">
        <v>4</v>
      </c>
      <c r="G9277" t="str">
        <f>""</f>
        <v/>
      </c>
    </row>
    <row r="9278" spans="1:7" x14ac:dyDescent="0.25">
      <c r="A9278" t="s">
        <v>8</v>
      </c>
      <c r="B9278" s="1" t="str">
        <f>"000346757 - RICHS - 100912 FLOUR"</f>
        <v>000346757 - RICHS - 100912 FLOUR</v>
      </c>
      <c r="C9278" t="s">
        <v>2568</v>
      </c>
      <c r="D9278" s="1" t="str">
        <f t="shared" si="255"/>
        <v>PRG-1033623</v>
      </c>
      <c r="E9278" t="s">
        <v>721</v>
      </c>
      <c r="F9278" t="s">
        <v>4</v>
      </c>
      <c r="G9278" t="str">
        <f>""</f>
        <v/>
      </c>
    </row>
    <row r="9279" spans="1:7" x14ac:dyDescent="0.25">
      <c r="A9279" t="s">
        <v>8</v>
      </c>
      <c r="B9279" s="1" t="str">
        <f>"000347405 - CPS  RICHS-100912"</f>
        <v>000347405 - CPS  RICHS-100912</v>
      </c>
      <c r="C9279" t="s">
        <v>3356</v>
      </c>
      <c r="D9279" s="1" t="str">
        <f t="shared" si="255"/>
        <v>PRG-1033623</v>
      </c>
      <c r="E9279" t="s">
        <v>721</v>
      </c>
      <c r="F9279" t="s">
        <v>4</v>
      </c>
      <c r="G9279" t="str">
        <f>""</f>
        <v/>
      </c>
    </row>
    <row r="9280" spans="1:7" x14ac:dyDescent="0.25">
      <c r="A9280" t="s">
        <v>8</v>
      </c>
      <c r="B9280" s="1" t="str">
        <f>"000350503 - CPS  RICHS-100912"</f>
        <v>000350503 - CPS  RICHS-100912</v>
      </c>
      <c r="C9280" t="s">
        <v>3356</v>
      </c>
      <c r="D9280" s="1" t="str">
        <f t="shared" si="255"/>
        <v>PRG-1033623</v>
      </c>
      <c r="E9280" t="s">
        <v>721</v>
      </c>
      <c r="F9280" t="s">
        <v>4</v>
      </c>
      <c r="G9280" t="str">
        <f>""</f>
        <v/>
      </c>
    </row>
    <row r="9281" spans="1:7" x14ac:dyDescent="0.25">
      <c r="A9281" t="s">
        <v>8</v>
      </c>
      <c r="B9281" s="1" t="str">
        <f>"000351906 - RICHS - 100912 FLOUR"</f>
        <v>000351906 - RICHS - 100912 FLOUR</v>
      </c>
      <c r="C9281" t="s">
        <v>2568</v>
      </c>
      <c r="D9281" s="1" t="str">
        <f t="shared" si="255"/>
        <v>PRG-1033623</v>
      </c>
      <c r="E9281" t="s">
        <v>721</v>
      </c>
      <c r="F9281" t="s">
        <v>4</v>
      </c>
      <c r="G9281" t="str">
        <f>""</f>
        <v/>
      </c>
    </row>
    <row r="9282" spans="1:7" x14ac:dyDescent="0.25">
      <c r="A9282" t="s">
        <v>8</v>
      </c>
      <c r="B9282" s="1" t="str">
        <f>"000353028 - CPS  RICHS-100912"</f>
        <v>000353028 - CPS  RICHS-100912</v>
      </c>
      <c r="C9282" t="s">
        <v>3356</v>
      </c>
      <c r="D9282" s="1" t="str">
        <f t="shared" ref="D9282:D9313" si="256">"PRG-1033623"</f>
        <v>PRG-1033623</v>
      </c>
      <c r="E9282" t="s">
        <v>721</v>
      </c>
      <c r="F9282" t="s">
        <v>4</v>
      </c>
      <c r="G9282" t="str">
        <f>""</f>
        <v/>
      </c>
    </row>
    <row r="9283" spans="1:7" x14ac:dyDescent="0.25">
      <c r="A9283" t="s">
        <v>8</v>
      </c>
      <c r="B9283" s="1" t="str">
        <f>"2000383900 - RICH ETX NOI"</f>
        <v>2000383900 - RICH ETX NOI</v>
      </c>
      <c r="C9283" t="s">
        <v>3942</v>
      </c>
      <c r="D9283" s="1" t="str">
        <f t="shared" si="256"/>
        <v>PRG-1033623</v>
      </c>
      <c r="E9283" t="s">
        <v>721</v>
      </c>
      <c r="F9283" t="s">
        <v>4</v>
      </c>
      <c r="G9283" t="str">
        <f>""</f>
        <v/>
      </c>
    </row>
    <row r="9284" spans="1:7" x14ac:dyDescent="0.25">
      <c r="A9284" t="s">
        <v>8</v>
      </c>
      <c r="B9284" s="1" t="str">
        <f>"2000383972 - RICH OK OI"</f>
        <v>2000383972 - RICH OK OI</v>
      </c>
      <c r="C9284" t="s">
        <v>4062</v>
      </c>
      <c r="D9284" s="1" t="str">
        <f t="shared" si="256"/>
        <v>PRG-1033623</v>
      </c>
      <c r="E9284" t="s">
        <v>721</v>
      </c>
      <c r="F9284" t="s">
        <v>4</v>
      </c>
      <c r="G9284" t="str">
        <f>""</f>
        <v/>
      </c>
    </row>
    <row r="9285" spans="1:7" x14ac:dyDescent="0.25">
      <c r="A9285" t="s">
        <v>8</v>
      </c>
      <c r="B9285" s="1" t="str">
        <f>"2000387349 - RICH NTX NOI"</f>
        <v>2000387349 - RICH NTX NOI</v>
      </c>
      <c r="C9285" t="s">
        <v>3897</v>
      </c>
      <c r="D9285" s="1" t="str">
        <f t="shared" si="256"/>
        <v>PRG-1033623</v>
      </c>
      <c r="E9285" t="s">
        <v>721</v>
      </c>
      <c r="F9285" t="s">
        <v>4</v>
      </c>
      <c r="G9285" t="str">
        <f>""</f>
        <v/>
      </c>
    </row>
    <row r="9286" spans="1:7" x14ac:dyDescent="0.25">
      <c r="A9286" t="s">
        <v>8</v>
      </c>
      <c r="B9286" s="1" t="str">
        <f>"S2H00KQA"</f>
        <v>S2H00KQA</v>
      </c>
      <c r="C9286" t="s">
        <v>5498</v>
      </c>
      <c r="D9286" s="1" t="str">
        <f t="shared" si="256"/>
        <v>PRG-1033623</v>
      </c>
      <c r="E9286" t="s">
        <v>721</v>
      </c>
      <c r="F9286" t="s">
        <v>5</v>
      </c>
      <c r="G9286" t="str">
        <f>""</f>
        <v/>
      </c>
    </row>
    <row r="9287" spans="1:7" x14ac:dyDescent="0.25">
      <c r="A9287" t="s">
        <v>8</v>
      </c>
      <c r="B9287" s="1" t="str">
        <f>"S2H00KQF"</f>
        <v>S2H00KQF</v>
      </c>
      <c r="C9287" t="s">
        <v>5502</v>
      </c>
      <c r="D9287" s="1" t="str">
        <f t="shared" si="256"/>
        <v>PRG-1033623</v>
      </c>
      <c r="E9287" t="s">
        <v>721</v>
      </c>
      <c r="F9287" t="s">
        <v>5</v>
      </c>
      <c r="G9287" t="str">
        <f>""</f>
        <v/>
      </c>
    </row>
    <row r="9288" spans="1:7" x14ac:dyDescent="0.25">
      <c r="A9288" t="s">
        <v>8</v>
      </c>
      <c r="B9288" s="1" t="str">
        <f>"S2H00KQG"</f>
        <v>S2H00KQG</v>
      </c>
      <c r="C9288" t="s">
        <v>5503</v>
      </c>
      <c r="D9288" s="1" t="str">
        <f t="shared" si="256"/>
        <v>PRG-1033623</v>
      </c>
      <c r="E9288" t="s">
        <v>721</v>
      </c>
      <c r="F9288" t="s">
        <v>5</v>
      </c>
      <c r="G9288" t="str">
        <f>""</f>
        <v/>
      </c>
    </row>
    <row r="9289" spans="1:7" x14ac:dyDescent="0.25">
      <c r="A9289" t="s">
        <v>8</v>
      </c>
      <c r="B9289" s="1" t="str">
        <f>"S2J01DH0"</f>
        <v>S2J01DH0</v>
      </c>
      <c r="C9289" t="s">
        <v>5546</v>
      </c>
      <c r="D9289" s="1" t="str">
        <f t="shared" si="256"/>
        <v>PRG-1033623</v>
      </c>
      <c r="E9289" t="s">
        <v>721</v>
      </c>
      <c r="F9289" t="s">
        <v>5</v>
      </c>
      <c r="G9289" t="str">
        <f>""</f>
        <v/>
      </c>
    </row>
    <row r="9290" spans="1:7" x14ac:dyDescent="0.25">
      <c r="A9290" t="s">
        <v>8</v>
      </c>
      <c r="B9290" s="1" t="str">
        <f>"S2J01E30"</f>
        <v>S2J01E30</v>
      </c>
      <c r="C9290" t="s">
        <v>5547</v>
      </c>
      <c r="D9290" s="1" t="str">
        <f t="shared" si="256"/>
        <v>PRG-1033623</v>
      </c>
      <c r="E9290" t="s">
        <v>721</v>
      </c>
      <c r="F9290" t="s">
        <v>5</v>
      </c>
      <c r="G9290" t="str">
        <f>""</f>
        <v/>
      </c>
    </row>
    <row r="9291" spans="1:7" x14ac:dyDescent="0.25">
      <c r="A9291" t="s">
        <v>8</v>
      </c>
      <c r="B9291" s="1" t="str">
        <f>"S2J01FW0"</f>
        <v>S2J01FW0</v>
      </c>
      <c r="C9291" t="s">
        <v>5548</v>
      </c>
      <c r="D9291" s="1" t="str">
        <f t="shared" si="256"/>
        <v>PRG-1033623</v>
      </c>
      <c r="E9291" t="s">
        <v>721</v>
      </c>
      <c r="F9291" t="s">
        <v>5</v>
      </c>
      <c r="G9291" t="str">
        <f>""</f>
        <v/>
      </c>
    </row>
    <row r="9292" spans="1:7" x14ac:dyDescent="0.25">
      <c r="A9292" t="s">
        <v>8</v>
      </c>
      <c r="B9292" s="1" t="str">
        <f>"S2J01GB0"</f>
        <v>S2J01GB0</v>
      </c>
      <c r="C9292" t="s">
        <v>5549</v>
      </c>
      <c r="D9292" s="1" t="str">
        <f t="shared" si="256"/>
        <v>PRG-1033623</v>
      </c>
      <c r="E9292" t="s">
        <v>721</v>
      </c>
      <c r="F9292" t="s">
        <v>5</v>
      </c>
      <c r="G9292" t="str">
        <f>""</f>
        <v/>
      </c>
    </row>
    <row r="9293" spans="1:7" x14ac:dyDescent="0.25">
      <c r="A9293" t="s">
        <v>8</v>
      </c>
      <c r="B9293" s="1" t="str">
        <f>"S2J01KO0"</f>
        <v>S2J01KO0</v>
      </c>
      <c r="C9293" t="s">
        <v>5550</v>
      </c>
      <c r="D9293" s="1" t="str">
        <f t="shared" si="256"/>
        <v>PRG-1033623</v>
      </c>
      <c r="E9293" t="s">
        <v>721</v>
      </c>
      <c r="F9293" t="s">
        <v>5</v>
      </c>
      <c r="G9293" t="str">
        <f>""</f>
        <v/>
      </c>
    </row>
    <row r="9294" spans="1:7" x14ac:dyDescent="0.25">
      <c r="A9294" t="s">
        <v>8</v>
      </c>
      <c r="B9294" s="1" t="str">
        <f>"S2J01KO1"</f>
        <v>S2J01KO1</v>
      </c>
      <c r="C9294" t="s">
        <v>5551</v>
      </c>
      <c r="D9294" s="1" t="str">
        <f t="shared" si="256"/>
        <v>PRG-1033623</v>
      </c>
      <c r="E9294" t="s">
        <v>721</v>
      </c>
      <c r="F9294" t="s">
        <v>5</v>
      </c>
      <c r="G9294" t="str">
        <f>""</f>
        <v/>
      </c>
    </row>
    <row r="9295" spans="1:7" x14ac:dyDescent="0.25">
      <c r="A9295" t="s">
        <v>8</v>
      </c>
      <c r="B9295" s="1" t="str">
        <f>"S3V00JW5"</f>
        <v>S3V00JW5</v>
      </c>
      <c r="C9295" t="s">
        <v>5651</v>
      </c>
      <c r="D9295" s="1" t="str">
        <f t="shared" si="256"/>
        <v>PRG-1033623</v>
      </c>
      <c r="E9295" t="s">
        <v>721</v>
      </c>
      <c r="F9295" t="s">
        <v>5</v>
      </c>
      <c r="G9295" t="str">
        <f>""</f>
        <v/>
      </c>
    </row>
    <row r="9296" spans="1:7" x14ac:dyDescent="0.25">
      <c r="A9296" t="s">
        <v>8</v>
      </c>
      <c r="B9296" s="1" t="str">
        <f>"S3V00JWD"</f>
        <v>S3V00JWD</v>
      </c>
      <c r="C9296" t="s">
        <v>5658</v>
      </c>
      <c r="D9296" s="1" t="str">
        <f t="shared" si="256"/>
        <v>PRG-1033623</v>
      </c>
      <c r="E9296" t="s">
        <v>721</v>
      </c>
      <c r="F9296" t="s">
        <v>5</v>
      </c>
      <c r="G9296" t="str">
        <f>""</f>
        <v/>
      </c>
    </row>
    <row r="9297" spans="1:7" x14ac:dyDescent="0.25">
      <c r="A9297" t="s">
        <v>8</v>
      </c>
      <c r="B9297" s="1" t="str">
        <f>"S3V00JWG"</f>
        <v>S3V00JWG</v>
      </c>
      <c r="C9297" t="s">
        <v>5660</v>
      </c>
      <c r="D9297" s="1" t="str">
        <f t="shared" si="256"/>
        <v>PRG-1033623</v>
      </c>
      <c r="E9297" t="s">
        <v>721</v>
      </c>
      <c r="F9297" t="s">
        <v>5</v>
      </c>
      <c r="G9297" t="str">
        <f>""</f>
        <v/>
      </c>
    </row>
    <row r="9298" spans="1:7" x14ac:dyDescent="0.25">
      <c r="A9298" t="s">
        <v>8</v>
      </c>
      <c r="B9298" s="1" t="str">
        <f>"S3V00JWH"</f>
        <v>S3V00JWH</v>
      </c>
      <c r="C9298" t="s">
        <v>5661</v>
      </c>
      <c r="D9298" s="1" t="str">
        <f t="shared" si="256"/>
        <v>PRG-1033623</v>
      </c>
      <c r="E9298" t="s">
        <v>721</v>
      </c>
      <c r="F9298" t="s">
        <v>5</v>
      </c>
      <c r="G9298" t="str">
        <f>""</f>
        <v/>
      </c>
    </row>
    <row r="9299" spans="1:7" x14ac:dyDescent="0.25">
      <c r="A9299" t="s">
        <v>8</v>
      </c>
      <c r="B9299" s="1" t="str">
        <f>"S3V00JWI"</f>
        <v>S3V00JWI</v>
      </c>
      <c r="C9299" t="s">
        <v>5662</v>
      </c>
      <c r="D9299" s="1" t="str">
        <f t="shared" si="256"/>
        <v>PRG-1033623</v>
      </c>
      <c r="E9299" t="s">
        <v>721</v>
      </c>
      <c r="F9299" t="s">
        <v>5</v>
      </c>
      <c r="G9299" t="str">
        <f>""</f>
        <v/>
      </c>
    </row>
    <row r="9300" spans="1:7" x14ac:dyDescent="0.25">
      <c r="A9300" t="s">
        <v>8</v>
      </c>
      <c r="B9300" s="1" t="str">
        <f>"S3V00JWL"</f>
        <v>S3V00JWL</v>
      </c>
      <c r="C9300" t="s">
        <v>5664</v>
      </c>
      <c r="D9300" s="1" t="str">
        <f t="shared" si="256"/>
        <v>PRG-1033623</v>
      </c>
      <c r="E9300" t="s">
        <v>721</v>
      </c>
      <c r="F9300" t="s">
        <v>5</v>
      </c>
      <c r="G9300" t="str">
        <f>""</f>
        <v/>
      </c>
    </row>
    <row r="9301" spans="1:7" x14ac:dyDescent="0.25">
      <c r="A9301" t="s">
        <v>8</v>
      </c>
      <c r="B9301" s="1" t="str">
        <f>"S3V00JWM"</f>
        <v>S3V00JWM</v>
      </c>
      <c r="C9301" t="s">
        <v>5665</v>
      </c>
      <c r="D9301" s="1" t="str">
        <f t="shared" si="256"/>
        <v>PRG-1033623</v>
      </c>
      <c r="E9301" t="s">
        <v>721</v>
      </c>
      <c r="F9301" t="s">
        <v>5</v>
      </c>
      <c r="G9301" t="str">
        <f>""</f>
        <v/>
      </c>
    </row>
    <row r="9302" spans="1:7" x14ac:dyDescent="0.25">
      <c r="A9302" t="s">
        <v>8</v>
      </c>
      <c r="B9302" s="1" t="str">
        <f>"S3V00JWN"</f>
        <v>S3V00JWN</v>
      </c>
      <c r="C9302" t="s">
        <v>5666</v>
      </c>
      <c r="D9302" s="1" t="str">
        <f t="shared" si="256"/>
        <v>PRG-1033623</v>
      </c>
      <c r="E9302" t="s">
        <v>721</v>
      </c>
      <c r="F9302" t="s">
        <v>5</v>
      </c>
      <c r="G9302" t="str">
        <f>""</f>
        <v/>
      </c>
    </row>
    <row r="9303" spans="1:7" x14ac:dyDescent="0.25">
      <c r="A9303" t="s">
        <v>8</v>
      </c>
      <c r="B9303" s="1" t="str">
        <f>"S3V00JWO"</f>
        <v>S3V00JWO</v>
      </c>
      <c r="C9303" t="s">
        <v>5667</v>
      </c>
      <c r="D9303" s="1" t="str">
        <f t="shared" si="256"/>
        <v>PRG-1033623</v>
      </c>
      <c r="E9303" t="s">
        <v>721</v>
      </c>
      <c r="F9303" t="s">
        <v>5</v>
      </c>
      <c r="G9303" t="str">
        <f>""</f>
        <v/>
      </c>
    </row>
    <row r="9304" spans="1:7" x14ac:dyDescent="0.25">
      <c r="A9304" t="s">
        <v>8</v>
      </c>
      <c r="B9304" s="1" t="str">
        <f>"S3V00JWP"</f>
        <v>S3V00JWP</v>
      </c>
      <c r="C9304" t="s">
        <v>5668</v>
      </c>
      <c r="D9304" s="1" t="str">
        <f t="shared" si="256"/>
        <v>PRG-1033623</v>
      </c>
      <c r="E9304" t="s">
        <v>721</v>
      </c>
      <c r="F9304" t="s">
        <v>5</v>
      </c>
      <c r="G9304" t="str">
        <f>""</f>
        <v/>
      </c>
    </row>
    <row r="9305" spans="1:7" x14ac:dyDescent="0.25">
      <c r="A9305" t="s">
        <v>8</v>
      </c>
      <c r="B9305" s="1" t="str">
        <f>"S3V00JWR"</f>
        <v>S3V00JWR</v>
      </c>
      <c r="C9305" t="s">
        <v>5669</v>
      </c>
      <c r="D9305" s="1" t="str">
        <f t="shared" si="256"/>
        <v>PRG-1033623</v>
      </c>
      <c r="E9305" t="s">
        <v>721</v>
      </c>
      <c r="F9305" t="s">
        <v>5</v>
      </c>
      <c r="G9305" t="str">
        <f>""</f>
        <v/>
      </c>
    </row>
    <row r="9306" spans="1:7" x14ac:dyDescent="0.25">
      <c r="A9306" t="s">
        <v>8</v>
      </c>
      <c r="B9306" s="1" t="str">
        <f>"S3V00JWS"</f>
        <v>S3V00JWS</v>
      </c>
      <c r="C9306" t="s">
        <v>5670</v>
      </c>
      <c r="D9306" s="1" t="str">
        <f t="shared" si="256"/>
        <v>PRG-1033623</v>
      </c>
      <c r="E9306" t="s">
        <v>721</v>
      </c>
      <c r="F9306" t="s">
        <v>5</v>
      </c>
      <c r="G9306" t="str">
        <f>""</f>
        <v/>
      </c>
    </row>
    <row r="9307" spans="1:7" x14ac:dyDescent="0.25">
      <c r="A9307" t="s">
        <v>8</v>
      </c>
      <c r="B9307" s="1" t="str">
        <f>"S3V00JWT"</f>
        <v>S3V00JWT</v>
      </c>
      <c r="C9307" t="s">
        <v>5671</v>
      </c>
      <c r="D9307" s="1" t="str">
        <f t="shared" si="256"/>
        <v>PRG-1033623</v>
      </c>
      <c r="E9307" t="s">
        <v>721</v>
      </c>
      <c r="F9307" t="s">
        <v>5</v>
      </c>
      <c r="G9307" t="str">
        <f>""</f>
        <v/>
      </c>
    </row>
    <row r="9308" spans="1:7" x14ac:dyDescent="0.25">
      <c r="A9308" t="s">
        <v>8</v>
      </c>
      <c r="B9308" s="1" t="str">
        <f>"S4V00K50"</f>
        <v>S4V00K50</v>
      </c>
      <c r="C9308" t="s">
        <v>5757</v>
      </c>
      <c r="D9308" s="1" t="str">
        <f t="shared" si="256"/>
        <v>PRG-1033623</v>
      </c>
      <c r="E9308" t="s">
        <v>721</v>
      </c>
      <c r="F9308" t="s">
        <v>5</v>
      </c>
      <c r="G9308" t="str">
        <f>""</f>
        <v/>
      </c>
    </row>
    <row r="9309" spans="1:7" x14ac:dyDescent="0.25">
      <c r="A9309" t="s">
        <v>8</v>
      </c>
      <c r="B9309" s="1" t="str">
        <f>"S4V00LI2"</f>
        <v>S4V00LI2</v>
      </c>
      <c r="C9309" t="s">
        <v>5552</v>
      </c>
      <c r="D9309" s="1" t="str">
        <f t="shared" si="256"/>
        <v>PRG-1033623</v>
      </c>
      <c r="E9309" t="s">
        <v>721</v>
      </c>
      <c r="F9309" t="s">
        <v>5</v>
      </c>
      <c r="G9309" t="str">
        <f>""</f>
        <v/>
      </c>
    </row>
    <row r="9310" spans="1:7" x14ac:dyDescent="0.25">
      <c r="A9310" t="s">
        <v>8</v>
      </c>
      <c r="B9310" s="1" t="str">
        <f>"S4V00LI3"</f>
        <v>S4V00LI3</v>
      </c>
      <c r="C9310" t="s">
        <v>5759</v>
      </c>
      <c r="D9310" s="1" t="str">
        <f t="shared" si="256"/>
        <v>PRG-1033623</v>
      </c>
      <c r="E9310" t="s">
        <v>721</v>
      </c>
      <c r="F9310" t="s">
        <v>5</v>
      </c>
      <c r="G9310" t="str">
        <f>""</f>
        <v/>
      </c>
    </row>
    <row r="9311" spans="1:7" x14ac:dyDescent="0.25">
      <c r="A9311" t="s">
        <v>8</v>
      </c>
      <c r="B9311" s="1" t="str">
        <f>"S4V00LI4"</f>
        <v>S4V00LI4</v>
      </c>
      <c r="C9311" t="s">
        <v>5559</v>
      </c>
      <c r="D9311" s="1" t="str">
        <f t="shared" si="256"/>
        <v>PRG-1033623</v>
      </c>
      <c r="E9311" t="s">
        <v>721</v>
      </c>
      <c r="F9311" t="s">
        <v>5</v>
      </c>
      <c r="G9311" t="str">
        <f>""</f>
        <v/>
      </c>
    </row>
    <row r="9312" spans="1:7" x14ac:dyDescent="0.25">
      <c r="A9312" t="s">
        <v>8</v>
      </c>
      <c r="B9312" s="1" t="str">
        <f>"S4V00LI7"</f>
        <v>S4V00LI7</v>
      </c>
      <c r="C9312" t="s">
        <v>5762</v>
      </c>
      <c r="D9312" s="1" t="str">
        <f t="shared" si="256"/>
        <v>PRG-1033623</v>
      </c>
      <c r="E9312" t="s">
        <v>721</v>
      </c>
      <c r="F9312" t="s">
        <v>5</v>
      </c>
      <c r="G9312" t="str">
        <f>""</f>
        <v/>
      </c>
    </row>
    <row r="9313" spans="1:7" x14ac:dyDescent="0.25">
      <c r="A9313" t="s">
        <v>8</v>
      </c>
      <c r="B9313" s="1" t="str">
        <f>"S4V00LIB"</f>
        <v>S4V00LIB</v>
      </c>
      <c r="C9313" t="s">
        <v>5765</v>
      </c>
      <c r="D9313" s="1" t="str">
        <f t="shared" si="256"/>
        <v>PRG-1033623</v>
      </c>
      <c r="E9313" t="s">
        <v>721</v>
      </c>
      <c r="F9313" t="s">
        <v>5</v>
      </c>
      <c r="G9313" t="str">
        <f>""</f>
        <v/>
      </c>
    </row>
    <row r="9314" spans="1:7" x14ac:dyDescent="0.25">
      <c r="A9314" t="s">
        <v>8</v>
      </c>
      <c r="B9314" s="1" t="str">
        <f>"S4V00LIC"</f>
        <v>S4V00LIC</v>
      </c>
      <c r="C9314" t="s">
        <v>5766</v>
      </c>
      <c r="D9314" s="1" t="str">
        <f t="shared" ref="D9314:D9350" si="257">"PRG-1033623"</f>
        <v>PRG-1033623</v>
      </c>
      <c r="E9314" t="s">
        <v>721</v>
      </c>
      <c r="F9314" t="s">
        <v>5</v>
      </c>
      <c r="G9314" t="str">
        <f>""</f>
        <v/>
      </c>
    </row>
    <row r="9315" spans="1:7" x14ac:dyDescent="0.25">
      <c r="A9315" t="s">
        <v>8</v>
      </c>
      <c r="B9315" s="1" t="str">
        <f>"S4V00LID"</f>
        <v>S4V00LID</v>
      </c>
      <c r="C9315" t="s">
        <v>5767</v>
      </c>
      <c r="D9315" s="1" t="str">
        <f t="shared" si="257"/>
        <v>PRG-1033623</v>
      </c>
      <c r="E9315" t="s">
        <v>721</v>
      </c>
      <c r="F9315" t="s">
        <v>5</v>
      </c>
      <c r="G9315" t="str">
        <f>""</f>
        <v/>
      </c>
    </row>
    <row r="9316" spans="1:7" x14ac:dyDescent="0.25">
      <c r="A9316" t="s">
        <v>8</v>
      </c>
      <c r="B9316" s="1" t="str">
        <f>"S4V00LIG"</f>
        <v>S4V00LIG</v>
      </c>
      <c r="C9316" t="s">
        <v>5557</v>
      </c>
      <c r="D9316" s="1" t="str">
        <f t="shared" si="257"/>
        <v>PRG-1033623</v>
      </c>
      <c r="E9316" t="s">
        <v>721</v>
      </c>
      <c r="F9316" t="s">
        <v>5</v>
      </c>
      <c r="G9316" t="str">
        <f>""</f>
        <v/>
      </c>
    </row>
    <row r="9317" spans="1:7" x14ac:dyDescent="0.25">
      <c r="A9317" t="s">
        <v>8</v>
      </c>
      <c r="B9317" s="1" t="str">
        <f>"S4V00LIK"</f>
        <v>S4V00LIK</v>
      </c>
      <c r="C9317" t="s">
        <v>5771</v>
      </c>
      <c r="D9317" s="1" t="str">
        <f t="shared" si="257"/>
        <v>PRG-1033623</v>
      </c>
      <c r="E9317" t="s">
        <v>721</v>
      </c>
      <c r="F9317" t="s">
        <v>5</v>
      </c>
      <c r="G9317" t="str">
        <f>""</f>
        <v/>
      </c>
    </row>
    <row r="9318" spans="1:7" x14ac:dyDescent="0.25">
      <c r="A9318" t="s">
        <v>8</v>
      </c>
      <c r="B9318" s="1" t="str">
        <f>"S4V00LIL"</f>
        <v>S4V00LIL</v>
      </c>
      <c r="C9318" t="s">
        <v>5556</v>
      </c>
      <c r="D9318" s="1" t="str">
        <f t="shared" si="257"/>
        <v>PRG-1033623</v>
      </c>
      <c r="E9318" t="s">
        <v>721</v>
      </c>
      <c r="F9318" t="s">
        <v>5</v>
      </c>
      <c r="G9318" t="str">
        <f>""</f>
        <v/>
      </c>
    </row>
    <row r="9319" spans="1:7" x14ac:dyDescent="0.25">
      <c r="A9319" t="s">
        <v>8</v>
      </c>
      <c r="B9319" s="1" t="str">
        <f>"S4V00LIO"</f>
        <v>S4V00LIO</v>
      </c>
      <c r="C9319" t="s">
        <v>5565</v>
      </c>
      <c r="D9319" s="1" t="str">
        <f t="shared" si="257"/>
        <v>PRG-1033623</v>
      </c>
      <c r="E9319" t="s">
        <v>721</v>
      </c>
      <c r="F9319" t="s">
        <v>5</v>
      </c>
      <c r="G9319" t="str">
        <f>""</f>
        <v/>
      </c>
    </row>
    <row r="9320" spans="1:7" x14ac:dyDescent="0.25">
      <c r="A9320" t="s">
        <v>8</v>
      </c>
      <c r="B9320" s="1" t="str">
        <f>"S4V00LIT"</f>
        <v>S4V00LIT</v>
      </c>
      <c r="C9320" t="s">
        <v>5777</v>
      </c>
      <c r="D9320" s="1" t="str">
        <f t="shared" si="257"/>
        <v>PRG-1033623</v>
      </c>
      <c r="E9320" t="s">
        <v>721</v>
      </c>
      <c r="F9320" t="s">
        <v>5</v>
      </c>
      <c r="G9320" t="str">
        <f>""</f>
        <v/>
      </c>
    </row>
    <row r="9321" spans="1:7" x14ac:dyDescent="0.25">
      <c r="A9321" t="s">
        <v>8</v>
      </c>
      <c r="B9321" s="1" t="str">
        <f>"S4V00LIU"</f>
        <v>S4V00LIU</v>
      </c>
      <c r="C9321" t="s">
        <v>5778</v>
      </c>
      <c r="D9321" s="1" t="str">
        <f t="shared" si="257"/>
        <v>PRG-1033623</v>
      </c>
      <c r="E9321" t="s">
        <v>721</v>
      </c>
      <c r="F9321" t="s">
        <v>5</v>
      </c>
      <c r="G9321" t="str">
        <f>""</f>
        <v/>
      </c>
    </row>
    <row r="9322" spans="1:7" x14ac:dyDescent="0.25">
      <c r="A9322" t="s">
        <v>8</v>
      </c>
      <c r="B9322" s="1" t="str">
        <f>"S5I036Q1"</f>
        <v>S5I036Q1</v>
      </c>
      <c r="C9322" t="s">
        <v>5885</v>
      </c>
      <c r="D9322" s="1" t="str">
        <f t="shared" si="257"/>
        <v>PRG-1033623</v>
      </c>
      <c r="E9322" t="s">
        <v>721</v>
      </c>
      <c r="F9322" t="s">
        <v>5</v>
      </c>
      <c r="G9322" t="str">
        <f>""</f>
        <v/>
      </c>
    </row>
    <row r="9323" spans="1:7" x14ac:dyDescent="0.25">
      <c r="A9323" t="s">
        <v>8</v>
      </c>
      <c r="B9323" s="1" t="str">
        <f>"S5Z01NN1"</f>
        <v>S5Z01NN1</v>
      </c>
      <c r="C9323" t="s">
        <v>5968</v>
      </c>
      <c r="D9323" s="1" t="str">
        <f t="shared" si="257"/>
        <v>PRG-1033623</v>
      </c>
      <c r="E9323" t="s">
        <v>721</v>
      </c>
      <c r="F9323" t="s">
        <v>5</v>
      </c>
      <c r="G9323" t="str">
        <f>""</f>
        <v/>
      </c>
    </row>
    <row r="9324" spans="1:7" x14ac:dyDescent="0.25">
      <c r="A9324" t="s">
        <v>8</v>
      </c>
      <c r="B9324" s="1" t="str">
        <f>"S5Z01NN4"</f>
        <v>S5Z01NN4</v>
      </c>
      <c r="C9324" t="s">
        <v>5971</v>
      </c>
      <c r="D9324" s="1" t="str">
        <f t="shared" si="257"/>
        <v>PRG-1033623</v>
      </c>
      <c r="E9324" t="s">
        <v>721</v>
      </c>
      <c r="F9324" t="s">
        <v>5</v>
      </c>
      <c r="G9324" t="str">
        <f>""</f>
        <v/>
      </c>
    </row>
    <row r="9325" spans="1:7" x14ac:dyDescent="0.25">
      <c r="A9325" t="s">
        <v>8</v>
      </c>
      <c r="B9325" s="1" t="str">
        <f>"S5Z01NN5"</f>
        <v>S5Z01NN5</v>
      </c>
      <c r="C9325" t="s">
        <v>5972</v>
      </c>
      <c r="D9325" s="1" t="str">
        <f t="shared" si="257"/>
        <v>PRG-1033623</v>
      </c>
      <c r="E9325" t="s">
        <v>721</v>
      </c>
      <c r="F9325" t="s">
        <v>5</v>
      </c>
      <c r="G9325" t="str">
        <f>""</f>
        <v/>
      </c>
    </row>
    <row r="9326" spans="1:7" x14ac:dyDescent="0.25">
      <c r="A9326" t="s">
        <v>8</v>
      </c>
      <c r="B9326" s="1" t="str">
        <f>"S6J04AJ4"</f>
        <v>S6J04AJ4</v>
      </c>
      <c r="C9326" t="s">
        <v>6131</v>
      </c>
      <c r="D9326" s="1" t="str">
        <f t="shared" si="257"/>
        <v>PRG-1033623</v>
      </c>
      <c r="E9326" t="s">
        <v>721</v>
      </c>
      <c r="F9326" t="s">
        <v>5</v>
      </c>
      <c r="G9326" t="str">
        <f>""</f>
        <v/>
      </c>
    </row>
    <row r="9327" spans="1:7" x14ac:dyDescent="0.25">
      <c r="A9327" t="s">
        <v>8</v>
      </c>
      <c r="B9327" s="1" t="str">
        <f>"S6J04AJ7"</f>
        <v>S6J04AJ7</v>
      </c>
      <c r="C9327" t="s">
        <v>6134</v>
      </c>
      <c r="D9327" s="1" t="str">
        <f t="shared" si="257"/>
        <v>PRG-1033623</v>
      </c>
      <c r="E9327" t="s">
        <v>721</v>
      </c>
      <c r="F9327" t="s">
        <v>5</v>
      </c>
      <c r="G9327" t="str">
        <f>""</f>
        <v/>
      </c>
    </row>
    <row r="9328" spans="1:7" x14ac:dyDescent="0.25">
      <c r="A9328" t="s">
        <v>8</v>
      </c>
      <c r="B9328" s="1" t="str">
        <f>"S6J04AJ8"</f>
        <v>S6J04AJ8</v>
      </c>
      <c r="C9328" t="s">
        <v>6135</v>
      </c>
      <c r="D9328" s="1" t="str">
        <f t="shared" si="257"/>
        <v>PRG-1033623</v>
      </c>
      <c r="E9328" t="s">
        <v>721</v>
      </c>
      <c r="F9328" t="s">
        <v>5</v>
      </c>
      <c r="G9328" t="str">
        <f>""</f>
        <v/>
      </c>
    </row>
    <row r="9329" spans="1:7" x14ac:dyDescent="0.25">
      <c r="A9329" t="s">
        <v>8</v>
      </c>
      <c r="B9329" s="1" t="str">
        <f>"S6J04AJA"</f>
        <v>S6J04AJA</v>
      </c>
      <c r="C9329" t="s">
        <v>6137</v>
      </c>
      <c r="D9329" s="1" t="str">
        <f t="shared" si="257"/>
        <v>PRG-1033623</v>
      </c>
      <c r="E9329" t="s">
        <v>721</v>
      </c>
      <c r="F9329" t="s">
        <v>5</v>
      </c>
      <c r="G9329" t="str">
        <f>""</f>
        <v/>
      </c>
    </row>
    <row r="9330" spans="1:7" x14ac:dyDescent="0.25">
      <c r="A9330" t="s">
        <v>8</v>
      </c>
      <c r="B9330" s="1" t="str">
        <f>"S6J04AJB"</f>
        <v>S6J04AJB</v>
      </c>
      <c r="C9330" t="s">
        <v>6138</v>
      </c>
      <c r="D9330" s="1" t="str">
        <f t="shared" si="257"/>
        <v>PRG-1033623</v>
      </c>
      <c r="E9330" t="s">
        <v>721</v>
      </c>
      <c r="F9330" t="s">
        <v>5</v>
      </c>
      <c r="G9330" t="str">
        <f>""</f>
        <v/>
      </c>
    </row>
    <row r="9331" spans="1:7" x14ac:dyDescent="0.25">
      <c r="A9331" t="s">
        <v>8</v>
      </c>
      <c r="B9331" s="1" t="str">
        <f>"S6J04AJC"</f>
        <v>S6J04AJC</v>
      </c>
      <c r="C9331" t="s">
        <v>6139</v>
      </c>
      <c r="D9331" s="1" t="str">
        <f t="shared" si="257"/>
        <v>PRG-1033623</v>
      </c>
      <c r="E9331" t="s">
        <v>721</v>
      </c>
      <c r="F9331" t="s">
        <v>5</v>
      </c>
      <c r="G9331" t="str">
        <f>""</f>
        <v/>
      </c>
    </row>
    <row r="9332" spans="1:7" x14ac:dyDescent="0.25">
      <c r="A9332" t="s">
        <v>8</v>
      </c>
      <c r="B9332" s="1" t="str">
        <f>"S6J04CK0"</f>
        <v>S6J04CK0</v>
      </c>
      <c r="C9332" t="s">
        <v>6145</v>
      </c>
      <c r="D9332" s="1" t="str">
        <f t="shared" si="257"/>
        <v>PRG-1033623</v>
      </c>
      <c r="E9332" t="s">
        <v>721</v>
      </c>
      <c r="F9332" t="s">
        <v>5</v>
      </c>
      <c r="G9332" t="str">
        <f>""</f>
        <v/>
      </c>
    </row>
    <row r="9333" spans="1:7" x14ac:dyDescent="0.25">
      <c r="A9333" t="s">
        <v>8</v>
      </c>
      <c r="B9333" s="1" t="str">
        <f>"S6J04XE0"</f>
        <v>S6J04XE0</v>
      </c>
      <c r="C9333" t="s">
        <v>6151</v>
      </c>
      <c r="D9333" s="1" t="str">
        <f t="shared" si="257"/>
        <v>PRG-1033623</v>
      </c>
      <c r="E9333" t="s">
        <v>721</v>
      </c>
      <c r="F9333" t="s">
        <v>5</v>
      </c>
      <c r="G9333" t="str">
        <f>""</f>
        <v/>
      </c>
    </row>
    <row r="9334" spans="1:7" x14ac:dyDescent="0.25">
      <c r="A9334" t="s">
        <v>8</v>
      </c>
      <c r="B9334" s="1" t="str">
        <f>"S6J058E0"</f>
        <v>S6J058E0</v>
      </c>
      <c r="C9334" t="s">
        <v>6154</v>
      </c>
      <c r="D9334" s="1" t="str">
        <f t="shared" si="257"/>
        <v>PRG-1033623</v>
      </c>
      <c r="E9334" t="s">
        <v>721</v>
      </c>
      <c r="F9334" t="s">
        <v>5</v>
      </c>
      <c r="G9334" t="str">
        <f>""</f>
        <v/>
      </c>
    </row>
    <row r="9335" spans="1:7" x14ac:dyDescent="0.25">
      <c r="A9335" t="s">
        <v>8</v>
      </c>
      <c r="B9335" s="1" t="str">
        <f>"S6J05NX0"</f>
        <v>S6J05NX0</v>
      </c>
      <c r="C9335" t="s">
        <v>6158</v>
      </c>
      <c r="D9335" s="1" t="str">
        <f t="shared" si="257"/>
        <v>PRG-1033623</v>
      </c>
      <c r="E9335" t="s">
        <v>721</v>
      </c>
      <c r="F9335" t="s">
        <v>5</v>
      </c>
      <c r="G9335" t="str">
        <f>""</f>
        <v/>
      </c>
    </row>
    <row r="9336" spans="1:7" x14ac:dyDescent="0.25">
      <c r="A9336" t="s">
        <v>8</v>
      </c>
      <c r="B9336" s="1" t="str">
        <f>"S6J05OD0"</f>
        <v>S6J05OD0</v>
      </c>
      <c r="C9336" t="s">
        <v>6159</v>
      </c>
      <c r="D9336" s="1" t="str">
        <f t="shared" si="257"/>
        <v>PRG-1033623</v>
      </c>
      <c r="E9336" t="s">
        <v>721</v>
      </c>
      <c r="F9336" t="s">
        <v>5</v>
      </c>
      <c r="G9336" t="str">
        <f>""</f>
        <v/>
      </c>
    </row>
    <row r="9337" spans="1:7" x14ac:dyDescent="0.25">
      <c r="A9337" t="s">
        <v>8</v>
      </c>
      <c r="B9337" s="1" t="str">
        <f>"S6J05PI0"</f>
        <v>S6J05PI0</v>
      </c>
      <c r="C9337" t="s">
        <v>6160</v>
      </c>
      <c r="D9337" s="1" t="str">
        <f t="shared" si="257"/>
        <v>PRG-1033623</v>
      </c>
      <c r="E9337" t="s">
        <v>721</v>
      </c>
      <c r="F9337" t="s">
        <v>5</v>
      </c>
      <c r="G9337" t="str">
        <f>""</f>
        <v/>
      </c>
    </row>
    <row r="9338" spans="1:7" x14ac:dyDescent="0.25">
      <c r="A9338" t="s">
        <v>8</v>
      </c>
      <c r="B9338" s="1" t="str">
        <f>"S6J05PY0"</f>
        <v>S6J05PY0</v>
      </c>
      <c r="C9338" t="s">
        <v>6161</v>
      </c>
      <c r="D9338" s="1" t="str">
        <f t="shared" si="257"/>
        <v>PRG-1033623</v>
      </c>
      <c r="E9338" t="s">
        <v>721</v>
      </c>
      <c r="F9338" t="s">
        <v>5</v>
      </c>
      <c r="G9338" t="str">
        <f>""</f>
        <v/>
      </c>
    </row>
    <row r="9339" spans="1:7" x14ac:dyDescent="0.25">
      <c r="A9339" t="s">
        <v>8</v>
      </c>
      <c r="B9339" s="1" t="str">
        <f>"S6J05QE0"</f>
        <v>S6J05QE0</v>
      </c>
      <c r="C9339" t="s">
        <v>6162</v>
      </c>
      <c r="D9339" s="1" t="str">
        <f t="shared" si="257"/>
        <v>PRG-1033623</v>
      </c>
      <c r="E9339" t="s">
        <v>721</v>
      </c>
      <c r="F9339" t="s">
        <v>5</v>
      </c>
      <c r="G9339" t="str">
        <f>""</f>
        <v/>
      </c>
    </row>
    <row r="9340" spans="1:7" x14ac:dyDescent="0.25">
      <c r="A9340" t="s">
        <v>8</v>
      </c>
      <c r="B9340" s="1" t="str">
        <f>"S6J05RA0"</f>
        <v>S6J05RA0</v>
      </c>
      <c r="C9340" t="s">
        <v>6163</v>
      </c>
      <c r="D9340" s="1" t="str">
        <f t="shared" si="257"/>
        <v>PRG-1033623</v>
      </c>
      <c r="E9340" t="s">
        <v>721</v>
      </c>
      <c r="F9340" t="s">
        <v>5</v>
      </c>
      <c r="G9340" t="str">
        <f>""</f>
        <v/>
      </c>
    </row>
    <row r="9341" spans="1:7" x14ac:dyDescent="0.25">
      <c r="A9341" t="s">
        <v>8</v>
      </c>
      <c r="B9341" s="1" t="str">
        <f>"S6J05RQ0"</f>
        <v>S6J05RQ0</v>
      </c>
      <c r="C9341" t="s">
        <v>6164</v>
      </c>
      <c r="D9341" s="1" t="str">
        <f t="shared" si="257"/>
        <v>PRG-1033623</v>
      </c>
      <c r="E9341" t="s">
        <v>721</v>
      </c>
      <c r="F9341" t="s">
        <v>5</v>
      </c>
      <c r="G9341" t="str">
        <f>""</f>
        <v/>
      </c>
    </row>
    <row r="9342" spans="1:7" x14ac:dyDescent="0.25">
      <c r="A9342" t="s">
        <v>8</v>
      </c>
      <c r="B9342" s="1" t="str">
        <f>"S6J05SB0"</f>
        <v>S6J05SB0</v>
      </c>
      <c r="C9342" t="s">
        <v>6165</v>
      </c>
      <c r="D9342" s="1" t="str">
        <f t="shared" si="257"/>
        <v>PRG-1033623</v>
      </c>
      <c r="E9342" t="s">
        <v>721</v>
      </c>
      <c r="F9342" t="s">
        <v>5</v>
      </c>
      <c r="G9342" t="str">
        <f>""</f>
        <v/>
      </c>
    </row>
    <row r="9343" spans="1:7" x14ac:dyDescent="0.25">
      <c r="A9343" t="s">
        <v>8</v>
      </c>
      <c r="B9343" s="1" t="str">
        <f>"S8E00R08"</f>
        <v>S8E00R08</v>
      </c>
      <c r="C9343" t="s">
        <v>6229</v>
      </c>
      <c r="D9343" s="1" t="str">
        <f t="shared" si="257"/>
        <v>PRG-1033623</v>
      </c>
      <c r="E9343" t="s">
        <v>721</v>
      </c>
      <c r="F9343" t="s">
        <v>5</v>
      </c>
      <c r="G9343" t="str">
        <f>""</f>
        <v/>
      </c>
    </row>
    <row r="9344" spans="1:7" x14ac:dyDescent="0.25">
      <c r="A9344" t="s">
        <v>8</v>
      </c>
      <c r="B9344" s="1" t="str">
        <f>"S8E00R09"</f>
        <v>S8E00R09</v>
      </c>
      <c r="C9344" t="s">
        <v>6230</v>
      </c>
      <c r="D9344" s="1" t="str">
        <f t="shared" si="257"/>
        <v>PRG-1033623</v>
      </c>
      <c r="E9344" t="s">
        <v>721</v>
      </c>
      <c r="F9344" t="s">
        <v>5</v>
      </c>
      <c r="G9344" t="str">
        <f>""</f>
        <v/>
      </c>
    </row>
    <row r="9345" spans="1:7" x14ac:dyDescent="0.25">
      <c r="A9345" t="s">
        <v>8</v>
      </c>
      <c r="B9345" s="1" t="str">
        <f>"S9B00WN0"</f>
        <v>S9B00WN0</v>
      </c>
      <c r="C9345" t="s">
        <v>6301</v>
      </c>
      <c r="D9345" s="1" t="str">
        <f t="shared" si="257"/>
        <v>PRG-1033623</v>
      </c>
      <c r="E9345" t="s">
        <v>721</v>
      </c>
      <c r="F9345" t="s">
        <v>5</v>
      </c>
      <c r="G9345" t="str">
        <f>""</f>
        <v/>
      </c>
    </row>
    <row r="9346" spans="1:7" x14ac:dyDescent="0.25">
      <c r="A9346" t="s">
        <v>8</v>
      </c>
      <c r="B9346" s="1" t="str">
        <f>"T4V00108"</f>
        <v>T4V00108</v>
      </c>
      <c r="C9346" t="s">
        <v>6435</v>
      </c>
      <c r="D9346" s="1" t="str">
        <f t="shared" si="257"/>
        <v>PRG-1033623</v>
      </c>
      <c r="E9346" t="s">
        <v>721</v>
      </c>
      <c r="F9346" t="s">
        <v>5</v>
      </c>
      <c r="G9346" t="str">
        <f>""</f>
        <v/>
      </c>
    </row>
    <row r="9347" spans="1:7" x14ac:dyDescent="0.25">
      <c r="A9347" t="s">
        <v>8</v>
      </c>
      <c r="B9347" s="1" t="str">
        <f>"T4V0013M"</f>
        <v>T4V0013M</v>
      </c>
      <c r="C9347" t="s">
        <v>6436</v>
      </c>
      <c r="D9347" s="1" t="str">
        <f t="shared" si="257"/>
        <v>PRG-1033623</v>
      </c>
      <c r="E9347" t="s">
        <v>721</v>
      </c>
      <c r="F9347" t="s">
        <v>5</v>
      </c>
      <c r="G9347" t="str">
        <f>""</f>
        <v/>
      </c>
    </row>
    <row r="9348" spans="1:7" x14ac:dyDescent="0.25">
      <c r="A9348" t="s">
        <v>8</v>
      </c>
      <c r="B9348" s="1" t="str">
        <f>"T4V0014P"</f>
        <v>T4V0014P</v>
      </c>
      <c r="C9348" t="s">
        <v>6438</v>
      </c>
      <c r="D9348" s="1" t="str">
        <f t="shared" si="257"/>
        <v>PRG-1033623</v>
      </c>
      <c r="E9348" t="s">
        <v>721</v>
      </c>
      <c r="F9348" t="s">
        <v>5</v>
      </c>
      <c r="G9348" t="str">
        <f>""</f>
        <v/>
      </c>
    </row>
    <row r="9349" spans="1:7" x14ac:dyDescent="0.25">
      <c r="A9349" t="s">
        <v>8</v>
      </c>
      <c r="B9349" s="1" t="str">
        <f>"T4V00165"</f>
        <v>T4V00165</v>
      </c>
      <c r="C9349" t="s">
        <v>6446</v>
      </c>
      <c r="D9349" s="1" t="str">
        <f t="shared" si="257"/>
        <v>PRG-1033623</v>
      </c>
      <c r="E9349" t="s">
        <v>721</v>
      </c>
      <c r="F9349" t="s">
        <v>5</v>
      </c>
      <c r="G9349" t="str">
        <f>""</f>
        <v/>
      </c>
    </row>
    <row r="9350" spans="1:7" x14ac:dyDescent="0.25">
      <c r="A9350" t="s">
        <v>8</v>
      </c>
      <c r="B9350" s="1" t="str">
        <f>"T4V00168"</f>
        <v>T4V00168</v>
      </c>
      <c r="C9350" t="s">
        <v>6447</v>
      </c>
      <c r="D9350" s="1" t="str">
        <f t="shared" si="257"/>
        <v>PRG-1033623</v>
      </c>
      <c r="E9350" t="s">
        <v>721</v>
      </c>
      <c r="F9350" t="s">
        <v>5</v>
      </c>
      <c r="G9350" t="str">
        <f>""</f>
        <v/>
      </c>
    </row>
    <row r="9351" spans="1:7" x14ac:dyDescent="0.25">
      <c r="A9351" t="s">
        <v>8</v>
      </c>
      <c r="B9351" s="1" t="str">
        <f>"000226204 - RICHS VB FIELDHSE 1033624001"</f>
        <v>000226204 - RICHS VB FIELDHSE 1033624001</v>
      </c>
      <c r="C9351" t="s">
        <v>1684</v>
      </c>
      <c r="D9351" s="1" t="str">
        <f>"PRG-1033624"</f>
        <v>PRG-1033624</v>
      </c>
      <c r="E9351" t="s">
        <v>1685</v>
      </c>
      <c r="F9351" t="s">
        <v>4</v>
      </c>
      <c r="G9351" t="str">
        <f>""</f>
        <v/>
      </c>
    </row>
    <row r="9352" spans="1:7" x14ac:dyDescent="0.25">
      <c r="A9352" t="s">
        <v>8</v>
      </c>
      <c r="B9352" s="1" t="str">
        <f>"2000384153 - RICH-JEFFCO"</f>
        <v>2000384153 - RICH-JEFFCO</v>
      </c>
      <c r="C9352" t="s">
        <v>65</v>
      </c>
      <c r="D9352" s="1" t="str">
        <f>"PRG-1033628"</f>
        <v>PRG-1033628</v>
      </c>
      <c r="E9352" t="s">
        <v>4063</v>
      </c>
      <c r="F9352" t="s">
        <v>4</v>
      </c>
      <c r="G9352" t="str">
        <f>""</f>
        <v/>
      </c>
    </row>
    <row r="9353" spans="1:7" x14ac:dyDescent="0.25">
      <c r="A9353" t="s">
        <v>8</v>
      </c>
      <c r="B9353" s="1" t="str">
        <f>"000000234 - RICH-BLANKET SCHOOLS"</f>
        <v>000000234 - RICH-BLANKET SCHOOLS</v>
      </c>
      <c r="C9353" t="s">
        <v>24</v>
      </c>
      <c r="D9353" s="1" t="str">
        <f t="shared" ref="D9353:D9384" si="258">"PRG-1033634"</f>
        <v>PRG-1033634</v>
      </c>
      <c r="E9353" t="s">
        <v>25</v>
      </c>
      <c r="F9353" t="s">
        <v>4</v>
      </c>
      <c r="G9353" t="str">
        <f>""</f>
        <v/>
      </c>
    </row>
    <row r="9354" spans="1:7" x14ac:dyDescent="0.25">
      <c r="A9354" t="s">
        <v>8</v>
      </c>
      <c r="B9354" s="1" t="str">
        <f>"000000464 - RICHS-ALL SCHOOLS DENVER"</f>
        <v>000000464 - RICHS-ALL SCHOOLS DENVER</v>
      </c>
      <c r="C9354" t="s">
        <v>44</v>
      </c>
      <c r="D9354" s="1" t="str">
        <f t="shared" si="258"/>
        <v>PRG-1033634</v>
      </c>
      <c r="E9354" t="s">
        <v>25</v>
      </c>
      <c r="F9354" t="s">
        <v>4</v>
      </c>
      <c r="G9354" t="str">
        <f>""</f>
        <v/>
      </c>
    </row>
    <row r="9355" spans="1:7" x14ac:dyDescent="0.25">
      <c r="A9355" t="s">
        <v>8</v>
      </c>
      <c r="B9355" s="1" t="str">
        <f>"000000697 - RICH FOODS-SCHOOL BLANKET"</f>
        <v>000000697 - RICH FOODS-SCHOOL BLANKET</v>
      </c>
      <c r="C9355" t="s">
        <v>64</v>
      </c>
      <c r="D9355" s="1" t="str">
        <f t="shared" si="258"/>
        <v>PRG-1033634</v>
      </c>
      <c r="E9355" t="s">
        <v>25</v>
      </c>
      <c r="F9355" t="s">
        <v>4</v>
      </c>
      <c r="G9355" t="str">
        <f>""</f>
        <v/>
      </c>
    </row>
    <row r="9356" spans="1:7" x14ac:dyDescent="0.25">
      <c r="A9356" t="s">
        <v>8</v>
      </c>
      <c r="B9356" s="1" t="str">
        <f>"000000786 - RICH'S-JEROME SD"</f>
        <v>000000786 - RICH'S-JEROME SD</v>
      </c>
      <c r="C9356" t="s">
        <v>70</v>
      </c>
      <c r="D9356" s="1" t="str">
        <f t="shared" si="258"/>
        <v>PRG-1033634</v>
      </c>
      <c r="E9356" t="s">
        <v>25</v>
      </c>
      <c r="F9356" t="s">
        <v>4</v>
      </c>
      <c r="G9356" t="str">
        <f>""</f>
        <v/>
      </c>
    </row>
    <row r="9357" spans="1:7" x14ac:dyDescent="0.25">
      <c r="A9357" t="s">
        <v>8</v>
      </c>
      <c r="B9357" s="1" t="str">
        <f>"000062643 - RICH SBCUSD FRZN"</f>
        <v>000062643 - RICH SBCUSD FRZN</v>
      </c>
      <c r="C9357" t="s">
        <v>708</v>
      </c>
      <c r="D9357" s="1" t="str">
        <f t="shared" si="258"/>
        <v>PRG-1033634</v>
      </c>
      <c r="E9357" t="s">
        <v>25</v>
      </c>
      <c r="F9357" t="s">
        <v>4</v>
      </c>
      <c r="G9357" t="str">
        <f>""</f>
        <v/>
      </c>
    </row>
    <row r="9358" spans="1:7" x14ac:dyDescent="0.25">
      <c r="A9358" t="s">
        <v>8</v>
      </c>
      <c r="B9358" s="1" t="str">
        <f>"000065654 - RICH PROD K12 BLANKET"</f>
        <v>000065654 - RICH PROD K12 BLANKET</v>
      </c>
      <c r="C9358" t="s">
        <v>712</v>
      </c>
      <c r="D9358" s="1" t="str">
        <f t="shared" si="258"/>
        <v>PRG-1033634</v>
      </c>
      <c r="E9358" t="s">
        <v>25</v>
      </c>
      <c r="F9358" t="s">
        <v>4</v>
      </c>
      <c r="G9358" t="str">
        <f>""</f>
        <v/>
      </c>
    </row>
    <row r="9359" spans="1:7" x14ac:dyDescent="0.25">
      <c r="A9359" t="s">
        <v>8</v>
      </c>
      <c r="B9359" s="1" t="str">
        <f>"000079927 - RICH PROD K12 BLANKET"</f>
        <v>000079927 - RICH PROD K12 BLANKET</v>
      </c>
      <c r="C9359" t="s">
        <v>712</v>
      </c>
      <c r="D9359" s="1" t="str">
        <f t="shared" si="258"/>
        <v>PRG-1033634</v>
      </c>
      <c r="E9359" t="s">
        <v>25</v>
      </c>
      <c r="F9359" t="s">
        <v>4</v>
      </c>
      <c r="G9359" t="str">
        <f>""</f>
        <v/>
      </c>
    </row>
    <row r="9360" spans="1:7" x14ac:dyDescent="0.25">
      <c r="A9360" t="s">
        <v>8</v>
      </c>
      <c r="B9360" s="1" t="str">
        <f>"000125855 - BLNK:RICH FDS BLANKET SCHOOL"</f>
        <v>000125855 - BLNK:RICH FDS BLANKET SCHOOL</v>
      </c>
      <c r="C9360" t="s">
        <v>913</v>
      </c>
      <c r="D9360" s="1" t="str">
        <f t="shared" si="258"/>
        <v>PRG-1033634</v>
      </c>
      <c r="E9360" t="s">
        <v>25</v>
      </c>
      <c r="F9360" t="s">
        <v>4</v>
      </c>
      <c r="G9360" t="str">
        <f>""</f>
        <v/>
      </c>
    </row>
    <row r="9361" spans="1:7" x14ac:dyDescent="0.25">
      <c r="A9361" t="s">
        <v>8</v>
      </c>
      <c r="B9361" s="1" t="str">
        <f>"000129083 - RICH FOODS NCORE-CENTERPLATE"</f>
        <v>000129083 - RICH FOODS NCORE-CENTERPLATE</v>
      </c>
      <c r="C9361" t="s">
        <v>512</v>
      </c>
      <c r="D9361" s="1" t="str">
        <f t="shared" si="258"/>
        <v>PRG-1033634</v>
      </c>
      <c r="E9361" t="s">
        <v>25</v>
      </c>
      <c r="F9361" t="s">
        <v>4</v>
      </c>
      <c r="G9361" t="str">
        <f>""</f>
        <v/>
      </c>
    </row>
    <row r="9362" spans="1:7" x14ac:dyDescent="0.25">
      <c r="A9362" t="s">
        <v>8</v>
      </c>
      <c r="B9362" s="1" t="str">
        <f>"000142331 - RICH PRODUCTS(06) - SCHL BLNKT"</f>
        <v>000142331 - RICH PRODUCTS(06) - SCHL BLNKT</v>
      </c>
      <c r="C9362" t="s">
        <v>989</v>
      </c>
      <c r="D9362" s="1" t="str">
        <f t="shared" si="258"/>
        <v>PRG-1033634</v>
      </c>
      <c r="E9362" t="s">
        <v>25</v>
      </c>
      <c r="F9362" t="s">
        <v>4</v>
      </c>
      <c r="G9362" t="str">
        <f>""</f>
        <v/>
      </c>
    </row>
    <row r="9363" spans="1:7" x14ac:dyDescent="0.25">
      <c r="A9363" t="s">
        <v>8</v>
      </c>
      <c r="B9363" s="1" t="str">
        <f>"000147853 - "</f>
        <v xml:space="preserve">000147853 - </v>
      </c>
      <c r="D9363" s="1" t="str">
        <f t="shared" si="258"/>
        <v>PRG-1033634</v>
      </c>
      <c r="E9363" t="s">
        <v>25</v>
      </c>
      <c r="F9363" t="s">
        <v>4</v>
      </c>
      <c r="G9363" t="str">
        <f>""</f>
        <v/>
      </c>
    </row>
    <row r="9364" spans="1:7" x14ac:dyDescent="0.25">
      <c r="A9364" t="s">
        <v>8</v>
      </c>
      <c r="B9364" s="1" t="str">
        <f>"000166650 - "</f>
        <v xml:space="preserve">000166650 - </v>
      </c>
      <c r="D9364" s="1" t="str">
        <f t="shared" si="258"/>
        <v>PRG-1033634</v>
      </c>
      <c r="E9364" t="s">
        <v>25</v>
      </c>
      <c r="F9364" t="s">
        <v>4</v>
      </c>
      <c r="G9364" t="str">
        <f>""</f>
        <v/>
      </c>
    </row>
    <row r="9365" spans="1:7" x14ac:dyDescent="0.25">
      <c r="A9365" t="s">
        <v>8</v>
      </c>
      <c r="B9365" s="1" t="str">
        <f>"000170918 - "</f>
        <v xml:space="preserve">000170918 - </v>
      </c>
      <c r="D9365" s="1" t="str">
        <f t="shared" si="258"/>
        <v>PRG-1033634</v>
      </c>
      <c r="E9365" t="s">
        <v>25</v>
      </c>
      <c r="F9365" t="s">
        <v>4</v>
      </c>
      <c r="G9365" t="str">
        <f>""</f>
        <v/>
      </c>
    </row>
    <row r="9366" spans="1:7" x14ac:dyDescent="0.25">
      <c r="A9366" t="s">
        <v>8</v>
      </c>
      <c r="B9366" s="1" t="str">
        <f>"000204325 - BL-2016-07822 SCHL BLNKT-RICHS"</f>
        <v>000204325 - BL-2016-07822 SCHL BLNKT-RICHS</v>
      </c>
      <c r="C9366" t="s">
        <v>1348</v>
      </c>
      <c r="D9366" s="1" t="str">
        <f t="shared" si="258"/>
        <v>PRG-1033634</v>
      </c>
      <c r="E9366" t="s">
        <v>25</v>
      </c>
      <c r="F9366" t="s">
        <v>4</v>
      </c>
      <c r="G9366" t="str">
        <f>""</f>
        <v/>
      </c>
    </row>
    <row r="9367" spans="1:7" x14ac:dyDescent="0.25">
      <c r="A9367" t="s">
        <v>8</v>
      </c>
      <c r="B9367" s="1" t="str">
        <f>"000216500 - NAT'L BLANKET SCHOOLS RICH"</f>
        <v>000216500 - NAT'L BLANKET SCHOOLS RICH</v>
      </c>
      <c r="C9367" t="s">
        <v>1140</v>
      </c>
      <c r="D9367" s="1" t="str">
        <f t="shared" si="258"/>
        <v>PRG-1033634</v>
      </c>
      <c r="E9367" t="s">
        <v>25</v>
      </c>
      <c r="F9367" t="s">
        <v>4</v>
      </c>
      <c r="G9367" t="str">
        <f>""</f>
        <v/>
      </c>
    </row>
    <row r="9368" spans="1:7" x14ac:dyDescent="0.25">
      <c r="A9368" t="s">
        <v>8</v>
      </c>
      <c r="B9368" s="1" t="str">
        <f>"000225268 - RICHS VA SCHOOLS BL201607822"</f>
        <v>000225268 - RICHS VA SCHOOLS BL201607822</v>
      </c>
      <c r="C9368" t="s">
        <v>1674</v>
      </c>
      <c r="D9368" s="1" t="str">
        <f t="shared" si="258"/>
        <v>PRG-1033634</v>
      </c>
      <c r="E9368" t="s">
        <v>25</v>
      </c>
      <c r="F9368" t="s">
        <v>4</v>
      </c>
      <c r="G9368" t="str">
        <f>""</f>
        <v/>
      </c>
    </row>
    <row r="9369" spans="1:7" x14ac:dyDescent="0.25">
      <c r="A9369" t="s">
        <v>8</v>
      </c>
      <c r="B9369" s="1" t="str">
        <f>"000226531 - RICHS CHESTER SCHLS 201607927"</f>
        <v>000226531 - RICHS CHESTER SCHLS 201607927</v>
      </c>
      <c r="C9369" t="s">
        <v>1696</v>
      </c>
      <c r="D9369" s="1" t="str">
        <f t="shared" si="258"/>
        <v>PRG-1033634</v>
      </c>
      <c r="E9369" t="s">
        <v>25</v>
      </c>
      <c r="F9369" t="s">
        <v>4</v>
      </c>
      <c r="G9369" t="str">
        <f>""</f>
        <v/>
      </c>
    </row>
    <row r="9370" spans="1:7" x14ac:dyDescent="0.25">
      <c r="A9370" t="s">
        <v>8</v>
      </c>
      <c r="B9370" s="1" t="str">
        <f>"000227949 - RICHS GLOUC SCHLS 201608592"</f>
        <v>000227949 - RICHS GLOUC SCHLS 201608592</v>
      </c>
      <c r="C9370" t="s">
        <v>1717</v>
      </c>
      <c r="D9370" s="1" t="str">
        <f t="shared" si="258"/>
        <v>PRG-1033634</v>
      </c>
      <c r="E9370" t="s">
        <v>25</v>
      </c>
      <c r="F9370" t="s">
        <v>4</v>
      </c>
      <c r="G9370" t="str">
        <f>""</f>
        <v/>
      </c>
    </row>
    <row r="9371" spans="1:7" x14ac:dyDescent="0.25">
      <c r="A9371" t="s">
        <v>8</v>
      </c>
      <c r="B9371" s="1" t="str">
        <f>"000231339 - RICH PROD.   MEC SCHOOLS"</f>
        <v>000231339 - RICH PROD.   MEC SCHOOLS</v>
      </c>
      <c r="C9371" t="s">
        <v>1770</v>
      </c>
      <c r="D9371" s="1" t="str">
        <f t="shared" si="258"/>
        <v>PRG-1033634</v>
      </c>
      <c r="E9371" t="s">
        <v>25</v>
      </c>
      <c r="F9371" t="s">
        <v>4</v>
      </c>
      <c r="G9371" t="str">
        <f>""</f>
        <v/>
      </c>
    </row>
    <row r="9372" spans="1:7" x14ac:dyDescent="0.25">
      <c r="A9372" t="s">
        <v>8</v>
      </c>
      <c r="B9372" s="1" t="str">
        <f>"000231728 - LA COOP  RICH PRODUCTS"</f>
        <v>000231728 - LA COOP  RICH PRODUCTS</v>
      </c>
      <c r="C9372" t="s">
        <v>1664</v>
      </c>
      <c r="D9372" s="1" t="str">
        <f t="shared" si="258"/>
        <v>PRG-1033634</v>
      </c>
      <c r="E9372" t="s">
        <v>25</v>
      </c>
      <c r="F9372" t="s">
        <v>4</v>
      </c>
      <c r="G9372" t="str">
        <f>""</f>
        <v/>
      </c>
    </row>
    <row r="9373" spans="1:7" x14ac:dyDescent="0.25">
      <c r="A9373" t="s">
        <v>8</v>
      </c>
      <c r="B9373" s="1" t="str">
        <f>"000233173 - RICH PROD.   APC SCHOOLS"</f>
        <v>000233173 - RICH PROD.   APC SCHOOLS</v>
      </c>
      <c r="C9373" t="s">
        <v>1799</v>
      </c>
      <c r="D9373" s="1" t="str">
        <f t="shared" si="258"/>
        <v>PRG-1033634</v>
      </c>
      <c r="E9373" t="s">
        <v>25</v>
      </c>
      <c r="F9373" t="s">
        <v>4</v>
      </c>
      <c r="G9373" t="str">
        <f>""</f>
        <v/>
      </c>
    </row>
    <row r="9374" spans="1:7" x14ac:dyDescent="0.25">
      <c r="A9374" t="s">
        <v>8</v>
      </c>
      <c r="B9374" s="1" t="str">
        <f>"000235598 - RICH PROD.   COLUMBUS SCHLS"</f>
        <v>000235598 - RICH PROD.   COLUMBUS SCHLS</v>
      </c>
      <c r="C9374" t="s">
        <v>1843</v>
      </c>
      <c r="D9374" s="1" t="str">
        <f t="shared" si="258"/>
        <v>PRG-1033634</v>
      </c>
      <c r="E9374" t="s">
        <v>25</v>
      </c>
      <c r="F9374" t="s">
        <v>4</v>
      </c>
      <c r="G9374" t="str">
        <f>""</f>
        <v/>
      </c>
    </row>
    <row r="9375" spans="1:7" x14ac:dyDescent="0.25">
      <c r="A9375" t="s">
        <v>8</v>
      </c>
      <c r="B9375" s="1" t="str">
        <f>"000237425 - BLNKTSCHL  RICHS"</f>
        <v>000237425 - BLNKTSCHL  RICHS</v>
      </c>
      <c r="C9375" t="s">
        <v>1869</v>
      </c>
      <c r="D9375" s="1" t="str">
        <f t="shared" si="258"/>
        <v>PRG-1033634</v>
      </c>
      <c r="E9375" t="s">
        <v>25</v>
      </c>
      <c r="F9375" t="s">
        <v>4</v>
      </c>
      <c r="G9375" t="str">
        <f>""</f>
        <v/>
      </c>
    </row>
    <row r="9376" spans="1:7" x14ac:dyDescent="0.25">
      <c r="A9376" t="s">
        <v>8</v>
      </c>
      <c r="B9376" s="1" t="str">
        <f>"000240634 - RICHS K-12 SCHOOL  2016-7822"</f>
        <v>000240634 - RICHS K-12 SCHOOL  2016-7822</v>
      </c>
      <c r="C9376" t="s">
        <v>1910</v>
      </c>
      <c r="D9376" s="1" t="str">
        <f t="shared" si="258"/>
        <v>PRG-1033634</v>
      </c>
      <c r="E9376" t="s">
        <v>25</v>
      </c>
      <c r="F9376" t="s">
        <v>4</v>
      </c>
      <c r="G9376" t="str">
        <f>""</f>
        <v/>
      </c>
    </row>
    <row r="9377" spans="1:7" x14ac:dyDescent="0.25">
      <c r="A9377" t="s">
        <v>8</v>
      </c>
      <c r="B9377" s="1" t="str">
        <f>"000248051 - RICH'S  JCPS"</f>
        <v>000248051 - RICH'S  JCPS</v>
      </c>
      <c r="C9377" t="s">
        <v>1512</v>
      </c>
      <c r="D9377" s="1" t="str">
        <f t="shared" si="258"/>
        <v>PRG-1033634</v>
      </c>
      <c r="E9377" t="s">
        <v>25</v>
      </c>
      <c r="F9377" t="s">
        <v>4</v>
      </c>
      <c r="G9377" t="str">
        <f>""</f>
        <v/>
      </c>
    </row>
    <row r="9378" spans="1:7" x14ac:dyDescent="0.25">
      <c r="A9378" t="s">
        <v>8</v>
      </c>
      <c r="B9378" s="1" t="str">
        <f>"000250856 - RICH PRODUCTS DCMO"</f>
        <v>000250856 - RICH PRODUCTS DCMO</v>
      </c>
      <c r="C9378" t="s">
        <v>2104</v>
      </c>
      <c r="D9378" s="1" t="str">
        <f t="shared" si="258"/>
        <v>PRG-1033634</v>
      </c>
      <c r="E9378" t="s">
        <v>25</v>
      </c>
      <c r="F9378" t="s">
        <v>4</v>
      </c>
      <c r="G9378" t="str">
        <f>""</f>
        <v/>
      </c>
    </row>
    <row r="9379" spans="1:7" x14ac:dyDescent="0.25">
      <c r="A9379" t="s">
        <v>8</v>
      </c>
      <c r="B9379" s="1" t="str">
        <f>"000251185 - "</f>
        <v xml:space="preserve">000251185 - </v>
      </c>
      <c r="D9379" s="1" t="str">
        <f t="shared" si="258"/>
        <v>PRG-1033634</v>
      </c>
      <c r="E9379" t="s">
        <v>25</v>
      </c>
      <c r="F9379" t="s">
        <v>4</v>
      </c>
      <c r="G9379" t="str">
        <f>""</f>
        <v/>
      </c>
    </row>
    <row r="9380" spans="1:7" x14ac:dyDescent="0.25">
      <c r="A9380" t="s">
        <v>8</v>
      </c>
      <c r="B9380" s="1" t="str">
        <f>"000252946 - RICH PRODUCTS K-12 BLANKET"</f>
        <v>000252946 - RICH PRODUCTS K-12 BLANKET</v>
      </c>
      <c r="C9380" t="s">
        <v>1712</v>
      </c>
      <c r="D9380" s="1" t="str">
        <f t="shared" si="258"/>
        <v>PRG-1033634</v>
      </c>
      <c r="E9380" t="s">
        <v>25</v>
      </c>
      <c r="F9380" t="s">
        <v>4</v>
      </c>
      <c r="G9380" t="str">
        <f>""</f>
        <v/>
      </c>
    </row>
    <row r="9381" spans="1:7" x14ac:dyDescent="0.25">
      <c r="A9381" t="s">
        <v>8</v>
      </c>
      <c r="B9381" s="1" t="str">
        <f>"000255382 - RICH PROD-BAPA   MEC SCHOOLS"</f>
        <v>000255382 - RICH PROD-BAPA   MEC SCHOOLS</v>
      </c>
      <c r="C9381" t="s">
        <v>2167</v>
      </c>
      <c r="D9381" s="1" t="str">
        <f t="shared" si="258"/>
        <v>PRG-1033634</v>
      </c>
      <c r="E9381" t="s">
        <v>25</v>
      </c>
      <c r="F9381" t="s">
        <v>4</v>
      </c>
      <c r="G9381" t="str">
        <f>""</f>
        <v/>
      </c>
    </row>
    <row r="9382" spans="1:7" x14ac:dyDescent="0.25">
      <c r="A9382" t="s">
        <v>8</v>
      </c>
      <c r="B9382" s="1" t="str">
        <f>"000255383 - RICH PROD-BAPA   APC SCHOOLS"</f>
        <v>000255383 - RICH PROD-BAPA   APC SCHOOLS</v>
      </c>
      <c r="C9382" t="s">
        <v>2168</v>
      </c>
      <c r="D9382" s="1" t="str">
        <f t="shared" si="258"/>
        <v>PRG-1033634</v>
      </c>
      <c r="E9382" t="s">
        <v>25</v>
      </c>
      <c r="F9382" t="s">
        <v>4</v>
      </c>
      <c r="G9382" t="str">
        <f>""</f>
        <v/>
      </c>
    </row>
    <row r="9383" spans="1:7" x14ac:dyDescent="0.25">
      <c r="A9383" t="s">
        <v>8</v>
      </c>
      <c r="B9383" s="1" t="str">
        <f>"000255385 - RICH PROD-BAPA  COLUMBUS SCHL"</f>
        <v>000255385 - RICH PROD-BAPA  COLUMBUS SCHL</v>
      </c>
      <c r="C9383" t="s">
        <v>2169</v>
      </c>
      <c r="D9383" s="1" t="str">
        <f t="shared" si="258"/>
        <v>PRG-1033634</v>
      </c>
      <c r="E9383" t="s">
        <v>25</v>
      </c>
      <c r="F9383" t="s">
        <v>4</v>
      </c>
      <c r="G9383" t="str">
        <f>""</f>
        <v/>
      </c>
    </row>
    <row r="9384" spans="1:7" x14ac:dyDescent="0.25">
      <c r="A9384" t="s">
        <v>8</v>
      </c>
      <c r="B9384" s="1" t="str">
        <f>"000257008 - RICHS PROD. OGD 7 1 16-6 30 17"</f>
        <v>000257008 - RICHS PROD. OGD 7 1 16-6 30 17</v>
      </c>
      <c r="C9384" t="s">
        <v>2202</v>
      </c>
      <c r="D9384" s="1" t="str">
        <f t="shared" si="258"/>
        <v>PRG-1033634</v>
      </c>
      <c r="E9384" t="s">
        <v>25</v>
      </c>
      <c r="F9384" t="s">
        <v>4</v>
      </c>
      <c r="G9384" t="str">
        <f>""</f>
        <v/>
      </c>
    </row>
    <row r="9385" spans="1:7" x14ac:dyDescent="0.25">
      <c r="A9385" t="s">
        <v>8</v>
      </c>
      <c r="B9385" s="1" t="str">
        <f>"000258769 - RICHS SCHOOL BLANKET"</f>
        <v>000258769 - RICHS SCHOOL BLANKET</v>
      </c>
      <c r="C9385" t="s">
        <v>1711</v>
      </c>
      <c r="D9385" s="1" t="str">
        <f t="shared" ref="D9385:D9416" si="259">"PRG-1033634"</f>
        <v>PRG-1033634</v>
      </c>
      <c r="E9385" t="s">
        <v>25</v>
      </c>
      <c r="F9385" t="s">
        <v>4</v>
      </c>
      <c r="G9385" t="str">
        <f>""</f>
        <v/>
      </c>
    </row>
    <row r="9386" spans="1:7" x14ac:dyDescent="0.25">
      <c r="A9386" t="s">
        <v>8</v>
      </c>
      <c r="B9386" s="1" t="str">
        <f>"000258848 - RICH'S BLANKET-SCHOOL DEL."</f>
        <v>000258848 - RICH'S BLANKET-SCHOOL DEL.</v>
      </c>
      <c r="C9386" t="s">
        <v>1917</v>
      </c>
      <c r="D9386" s="1" t="str">
        <f t="shared" si="259"/>
        <v>PRG-1033634</v>
      </c>
      <c r="E9386" t="s">
        <v>25</v>
      </c>
      <c r="F9386" t="s">
        <v>4</v>
      </c>
      <c r="G9386" t="str">
        <f>""</f>
        <v/>
      </c>
    </row>
    <row r="9387" spans="1:7" x14ac:dyDescent="0.25">
      <c r="A9387" t="s">
        <v>8</v>
      </c>
      <c r="B9387" s="1" t="str">
        <f>"000261466 - RICH'S-COUNTRY RDS. DELIVERED"</f>
        <v>000261466 - RICH'S-COUNTRY RDS. DELIVERED</v>
      </c>
      <c r="C9387" t="s">
        <v>2287</v>
      </c>
      <c r="D9387" s="1" t="str">
        <f t="shared" si="259"/>
        <v>PRG-1033634</v>
      </c>
      <c r="E9387" t="s">
        <v>25</v>
      </c>
      <c r="F9387" t="s">
        <v>4</v>
      </c>
      <c r="G9387" t="str">
        <f>""</f>
        <v/>
      </c>
    </row>
    <row r="9388" spans="1:7" x14ac:dyDescent="0.25">
      <c r="A9388" t="s">
        <v>8</v>
      </c>
      <c r="B9388" s="1" t="str">
        <f>"000264675 - RICH CC-OGS"</f>
        <v>000264675 - RICH CC-OGS</v>
      </c>
      <c r="C9388" t="s">
        <v>2026</v>
      </c>
      <c r="D9388" s="1" t="str">
        <f t="shared" si="259"/>
        <v>PRG-1033634</v>
      </c>
      <c r="E9388" t="s">
        <v>25</v>
      </c>
      <c r="F9388" t="s">
        <v>4</v>
      </c>
      <c r="G9388" t="str">
        <f>""</f>
        <v/>
      </c>
    </row>
    <row r="9389" spans="1:7" x14ac:dyDescent="0.25">
      <c r="A9389" t="s">
        <v>8</v>
      </c>
      <c r="B9389" s="1" t="str">
        <f>"000264695 - RICHS CC-K-12"</f>
        <v>000264695 - RICHS CC-K-12</v>
      </c>
      <c r="C9389" t="s">
        <v>2032</v>
      </c>
      <c r="D9389" s="1" t="str">
        <f t="shared" si="259"/>
        <v>PRG-1033634</v>
      </c>
      <c r="E9389" t="s">
        <v>25</v>
      </c>
      <c r="F9389" t="s">
        <v>4</v>
      </c>
      <c r="G9389" t="str">
        <f>""</f>
        <v/>
      </c>
    </row>
    <row r="9390" spans="1:7" x14ac:dyDescent="0.25">
      <c r="A9390" t="s">
        <v>8</v>
      </c>
      <c r="B9390" s="1" t="str">
        <f>"000264721 - RICH'S-AMHERST DEL. (OVRD)"</f>
        <v>000264721 - RICH'S-AMHERST DEL. (OVRD)</v>
      </c>
      <c r="C9390" t="s">
        <v>2371</v>
      </c>
      <c r="D9390" s="1" t="str">
        <f t="shared" si="259"/>
        <v>PRG-1033634</v>
      </c>
      <c r="E9390" t="s">
        <v>25</v>
      </c>
      <c r="F9390" t="s">
        <v>4</v>
      </c>
      <c r="G9390" t="str">
        <f>""</f>
        <v/>
      </c>
    </row>
    <row r="9391" spans="1:7" x14ac:dyDescent="0.25">
      <c r="A9391" t="s">
        <v>8</v>
      </c>
      <c r="B9391" s="1" t="str">
        <f>"000265109 - RICH'S-FREDERICK DEL."</f>
        <v>000265109 - RICH'S-FREDERICK DEL.</v>
      </c>
      <c r="C9391" t="s">
        <v>1970</v>
      </c>
      <c r="D9391" s="1" t="str">
        <f t="shared" si="259"/>
        <v>PRG-1033634</v>
      </c>
      <c r="E9391" t="s">
        <v>25</v>
      </c>
      <c r="F9391" t="s">
        <v>4</v>
      </c>
      <c r="G9391" t="str">
        <f>""</f>
        <v/>
      </c>
    </row>
    <row r="9392" spans="1:7" x14ac:dyDescent="0.25">
      <c r="A9392" t="s">
        <v>8</v>
      </c>
      <c r="B9392" s="1" t="str">
        <f>"000265136 - RICH'S-CHARLOTTESVILLE DEL."</f>
        <v>000265136 - RICH'S-CHARLOTTESVILLE DEL.</v>
      </c>
      <c r="C9392" t="s">
        <v>1969</v>
      </c>
      <c r="D9392" s="1" t="str">
        <f t="shared" si="259"/>
        <v>PRG-1033634</v>
      </c>
      <c r="E9392" t="s">
        <v>25</v>
      </c>
      <c r="F9392" t="s">
        <v>4</v>
      </c>
      <c r="G9392" t="str">
        <f>""</f>
        <v/>
      </c>
    </row>
    <row r="9393" spans="1:7" x14ac:dyDescent="0.25">
      <c r="A9393" t="s">
        <v>8</v>
      </c>
      <c r="B9393" s="1" t="str">
        <f>"000266052 - RICH PRODUTS NORTHAMPTON"</f>
        <v>000266052 - RICH PRODUTS NORTHAMPTON</v>
      </c>
      <c r="C9393" t="s">
        <v>2391</v>
      </c>
      <c r="D9393" s="1" t="str">
        <f t="shared" si="259"/>
        <v>PRG-1033634</v>
      </c>
      <c r="E9393" t="s">
        <v>25</v>
      </c>
      <c r="F9393" t="s">
        <v>4</v>
      </c>
      <c r="G9393" t="str">
        <f>""</f>
        <v/>
      </c>
    </row>
    <row r="9394" spans="1:7" x14ac:dyDescent="0.25">
      <c r="A9394" t="s">
        <v>8</v>
      </c>
      <c r="B9394" s="1" t="str">
        <f>"000267858 - RICHS-MH COOP"</f>
        <v>000267858 - RICHS-MH COOP</v>
      </c>
      <c r="C9394" t="s">
        <v>2424</v>
      </c>
      <c r="D9394" s="1" t="str">
        <f t="shared" si="259"/>
        <v>PRG-1033634</v>
      </c>
      <c r="E9394" t="s">
        <v>25</v>
      </c>
      <c r="F9394" t="s">
        <v>4</v>
      </c>
      <c r="G9394" t="str">
        <f>""</f>
        <v/>
      </c>
    </row>
    <row r="9395" spans="1:7" x14ac:dyDescent="0.25">
      <c r="A9395" t="s">
        <v>8</v>
      </c>
      <c r="B9395" s="1" t="str">
        <f>"000269012 - RICH PRODUCTS - FT LE BEOUF"</f>
        <v>000269012 - RICH PRODUCTS - FT LE BEOUF</v>
      </c>
      <c r="C9395" t="s">
        <v>2411</v>
      </c>
      <c r="D9395" s="1" t="str">
        <f t="shared" si="259"/>
        <v>PRG-1033634</v>
      </c>
      <c r="E9395" t="s">
        <v>25</v>
      </c>
      <c r="F9395" t="s">
        <v>4</v>
      </c>
      <c r="G9395" t="str">
        <f>""</f>
        <v/>
      </c>
    </row>
    <row r="9396" spans="1:7" x14ac:dyDescent="0.25">
      <c r="A9396" t="s">
        <v>8</v>
      </c>
      <c r="B9396" s="1" t="str">
        <f>"000270740 - RICH PRODUCT   BCIU"</f>
        <v>000270740 - RICH PRODUCT   BCIU</v>
      </c>
      <c r="C9396" t="s">
        <v>1741</v>
      </c>
      <c r="D9396" s="1" t="str">
        <f t="shared" si="259"/>
        <v>PRG-1033634</v>
      </c>
      <c r="E9396" t="s">
        <v>25</v>
      </c>
      <c r="F9396" t="s">
        <v>4</v>
      </c>
      <c r="G9396" t="str">
        <f>""</f>
        <v/>
      </c>
    </row>
    <row r="9397" spans="1:7" x14ac:dyDescent="0.25">
      <c r="A9397" t="s">
        <v>8</v>
      </c>
      <c r="B9397" s="1" t="str">
        <f>"000271685 - RICH'S-GRAFTON DEL."</f>
        <v>000271685 - RICH'S-GRAFTON DEL.</v>
      </c>
      <c r="C9397" t="s">
        <v>2492</v>
      </c>
      <c r="D9397" s="1" t="str">
        <f t="shared" si="259"/>
        <v>PRG-1033634</v>
      </c>
      <c r="E9397" t="s">
        <v>25</v>
      </c>
      <c r="F9397" t="s">
        <v>4</v>
      </c>
      <c r="G9397" t="str">
        <f>""</f>
        <v/>
      </c>
    </row>
    <row r="9398" spans="1:7" x14ac:dyDescent="0.25">
      <c r="A9398" t="s">
        <v>8</v>
      </c>
      <c r="B9398" s="1" t="str">
        <f>"000271823 - RICH SCHOOL BLANKET"</f>
        <v>000271823 - RICH SCHOOL BLANKET</v>
      </c>
      <c r="C9398" t="s">
        <v>1139</v>
      </c>
      <c r="D9398" s="1" t="str">
        <f t="shared" si="259"/>
        <v>PRG-1033634</v>
      </c>
      <c r="E9398" t="s">
        <v>25</v>
      </c>
      <c r="F9398" t="s">
        <v>4</v>
      </c>
      <c r="G9398" t="str">
        <f>""</f>
        <v/>
      </c>
    </row>
    <row r="9399" spans="1:7" x14ac:dyDescent="0.25">
      <c r="A9399" t="s">
        <v>8</v>
      </c>
      <c r="B9399" s="1" t="str">
        <f>"000272540 - RICHS CC-K-12"</f>
        <v>000272540 - RICHS CC-K-12</v>
      </c>
      <c r="C9399" t="s">
        <v>2032</v>
      </c>
      <c r="D9399" s="1" t="str">
        <f t="shared" si="259"/>
        <v>PRG-1033634</v>
      </c>
      <c r="E9399" t="s">
        <v>25</v>
      </c>
      <c r="F9399" t="s">
        <v>4</v>
      </c>
      <c r="G9399" t="str">
        <f>""</f>
        <v/>
      </c>
    </row>
    <row r="9400" spans="1:7" x14ac:dyDescent="0.25">
      <c r="A9400" t="s">
        <v>8</v>
      </c>
      <c r="B9400" s="1" t="str">
        <f>"000284182 - "</f>
        <v xml:space="preserve">000284182 - </v>
      </c>
      <c r="D9400" s="1" t="str">
        <f t="shared" si="259"/>
        <v>PRG-1033634</v>
      </c>
      <c r="E9400" t="s">
        <v>25</v>
      </c>
      <c r="F9400" t="s">
        <v>4</v>
      </c>
      <c r="G9400" t="str">
        <f>""</f>
        <v/>
      </c>
    </row>
    <row r="9401" spans="1:7" x14ac:dyDescent="0.25">
      <c r="A9401" t="s">
        <v>8</v>
      </c>
      <c r="B9401" s="1" t="str">
        <f>"000284198 - RICH PROD NAT'L SCHOOL BLNKT"</f>
        <v>000284198 - RICH PROD NAT'L SCHOOL BLNKT</v>
      </c>
      <c r="C9401" t="s">
        <v>2703</v>
      </c>
      <c r="D9401" s="1" t="str">
        <f t="shared" si="259"/>
        <v>PRG-1033634</v>
      </c>
      <c r="E9401" t="s">
        <v>25</v>
      </c>
      <c r="F9401" t="s">
        <v>4</v>
      </c>
      <c r="G9401" t="str">
        <f>""</f>
        <v/>
      </c>
    </row>
    <row r="9402" spans="1:7" x14ac:dyDescent="0.25">
      <c r="A9402" t="s">
        <v>8</v>
      </c>
      <c r="B9402" s="1" t="str">
        <f>"000284241 - "</f>
        <v xml:space="preserve">000284241 - </v>
      </c>
      <c r="D9402" s="1" t="str">
        <f t="shared" si="259"/>
        <v>PRG-1033634</v>
      </c>
      <c r="E9402" t="s">
        <v>25</v>
      </c>
      <c r="F9402" t="s">
        <v>4</v>
      </c>
      <c r="G9402" t="str">
        <f>""</f>
        <v/>
      </c>
    </row>
    <row r="9403" spans="1:7" x14ac:dyDescent="0.25">
      <c r="A9403" t="s">
        <v>8</v>
      </c>
      <c r="B9403" s="1" t="str">
        <f>"000301671 - RICH K12 BLANKET"</f>
        <v>000301671 - RICH K12 BLANKET</v>
      </c>
      <c r="C9403" t="s">
        <v>2985</v>
      </c>
      <c r="D9403" s="1" t="str">
        <f t="shared" si="259"/>
        <v>PRG-1033634</v>
      </c>
      <c r="E9403" t="s">
        <v>25</v>
      </c>
      <c r="F9403" t="s">
        <v>4</v>
      </c>
      <c r="G9403" t="str">
        <f>""</f>
        <v/>
      </c>
    </row>
    <row r="9404" spans="1:7" x14ac:dyDescent="0.25">
      <c r="A9404" t="s">
        <v>8</v>
      </c>
      <c r="B9404" s="1" t="str">
        <f>"000309013 - RICH MONROE WI FY 16 17"</f>
        <v>000309013 - RICH MONROE WI FY 16 17</v>
      </c>
      <c r="C9404" t="s">
        <v>3092</v>
      </c>
      <c r="D9404" s="1" t="str">
        <f t="shared" si="259"/>
        <v>PRG-1033634</v>
      </c>
      <c r="E9404" t="s">
        <v>25</v>
      </c>
      <c r="F9404" t="s">
        <v>4</v>
      </c>
      <c r="G9404" t="str">
        <f>""</f>
        <v/>
      </c>
    </row>
    <row r="9405" spans="1:7" x14ac:dyDescent="0.25">
      <c r="A9405" t="s">
        <v>8</v>
      </c>
      <c r="B9405" s="1" t="str">
        <f>"000313043 - RICH PROD YUBA CITY SCHLS BLNK"</f>
        <v>000313043 - RICH PROD YUBA CITY SCHLS BLNK</v>
      </c>
      <c r="C9405" t="s">
        <v>3134</v>
      </c>
      <c r="D9405" s="1" t="str">
        <f t="shared" si="259"/>
        <v>PRG-1033634</v>
      </c>
      <c r="E9405" t="s">
        <v>25</v>
      </c>
      <c r="F9405" t="s">
        <v>4</v>
      </c>
      <c r="G9405" t="str">
        <f>""</f>
        <v/>
      </c>
    </row>
    <row r="9406" spans="1:7" x14ac:dyDescent="0.25">
      <c r="A9406" t="s">
        <v>8</v>
      </c>
      <c r="B9406" s="1" t="str">
        <f>"000313046 - RICH PROD CHICO USD  BLNKT"</f>
        <v>000313046 - RICH PROD CHICO USD  BLNKT</v>
      </c>
      <c r="C9406" t="s">
        <v>3135</v>
      </c>
      <c r="D9406" s="1" t="str">
        <f t="shared" si="259"/>
        <v>PRG-1033634</v>
      </c>
      <c r="E9406" t="s">
        <v>25</v>
      </c>
      <c r="F9406" t="s">
        <v>4</v>
      </c>
      <c r="G9406" t="str">
        <f>""</f>
        <v/>
      </c>
    </row>
    <row r="9407" spans="1:7" x14ac:dyDescent="0.25">
      <c r="A9407" t="s">
        <v>8</v>
      </c>
      <c r="B9407" s="1" t="str">
        <f>"000313052 - RICH PROD LAKE TAHOE USD BLNKT"</f>
        <v>000313052 - RICH PROD LAKE TAHOE USD BLNKT</v>
      </c>
      <c r="C9407" t="s">
        <v>3136</v>
      </c>
      <c r="D9407" s="1" t="str">
        <f t="shared" si="259"/>
        <v>PRG-1033634</v>
      </c>
      <c r="E9407" t="s">
        <v>25</v>
      </c>
      <c r="F9407" t="s">
        <v>4</v>
      </c>
      <c r="G9407" t="str">
        <f>""</f>
        <v/>
      </c>
    </row>
    <row r="9408" spans="1:7" x14ac:dyDescent="0.25">
      <c r="A9408" t="s">
        <v>8</v>
      </c>
      <c r="B9408" s="1" t="str">
        <f>"000313073 - RICH PROD LASSEN UHSD BLNKT"</f>
        <v>000313073 - RICH PROD LASSEN UHSD BLNKT</v>
      </c>
      <c r="C9408" t="s">
        <v>3137</v>
      </c>
      <c r="D9408" s="1" t="str">
        <f t="shared" si="259"/>
        <v>PRG-1033634</v>
      </c>
      <c r="E9408" t="s">
        <v>25</v>
      </c>
      <c r="F9408" t="s">
        <v>4</v>
      </c>
      <c r="G9408" t="str">
        <f>""</f>
        <v/>
      </c>
    </row>
    <row r="9409" spans="1:7" x14ac:dyDescent="0.25">
      <c r="A9409" t="s">
        <v>8</v>
      </c>
      <c r="B9409" s="1" t="str">
        <f>"000313098 - RICH PROD LYON CO. SCHOOLS BLN"</f>
        <v>000313098 - RICH PROD LYON CO. SCHOOLS BLN</v>
      </c>
      <c r="C9409" t="s">
        <v>3139</v>
      </c>
      <c r="D9409" s="1" t="str">
        <f t="shared" si="259"/>
        <v>PRG-1033634</v>
      </c>
      <c r="E9409" t="s">
        <v>25</v>
      </c>
      <c r="F9409" t="s">
        <v>4</v>
      </c>
      <c r="G9409" t="str">
        <f>""</f>
        <v/>
      </c>
    </row>
    <row r="9410" spans="1:7" x14ac:dyDescent="0.25">
      <c r="A9410" t="s">
        <v>8</v>
      </c>
      <c r="B9410" s="1" t="str">
        <f>"000313106 - RICH PROD DEL NORTE USD BLNKT"</f>
        <v>000313106 - RICH PROD DEL NORTE USD BLNKT</v>
      </c>
      <c r="C9410" t="s">
        <v>3140</v>
      </c>
      <c r="D9410" s="1" t="str">
        <f t="shared" si="259"/>
        <v>PRG-1033634</v>
      </c>
      <c r="E9410" t="s">
        <v>25</v>
      </c>
      <c r="F9410" t="s">
        <v>4</v>
      </c>
      <c r="G9410" t="str">
        <f>""</f>
        <v/>
      </c>
    </row>
    <row r="9411" spans="1:7" x14ac:dyDescent="0.25">
      <c r="A9411" t="s">
        <v>8</v>
      </c>
      <c r="B9411" s="1" t="str">
        <f>"000313115 - RICH PROD EL DORADO UHSD BLNKT"</f>
        <v>000313115 - RICH PROD EL DORADO UHSD BLNKT</v>
      </c>
      <c r="C9411" t="s">
        <v>3141</v>
      </c>
      <c r="D9411" s="1" t="str">
        <f t="shared" si="259"/>
        <v>PRG-1033634</v>
      </c>
      <c r="E9411" t="s">
        <v>25</v>
      </c>
      <c r="F9411" t="s">
        <v>4</v>
      </c>
      <c r="G9411" t="str">
        <f>""</f>
        <v/>
      </c>
    </row>
    <row r="9412" spans="1:7" x14ac:dyDescent="0.25">
      <c r="A9412" t="s">
        <v>8</v>
      </c>
      <c r="B9412" s="1" t="str">
        <f>"000313189 - RICH PROD ELK GROVE USD BLNKT"</f>
        <v>000313189 - RICH PROD ELK GROVE USD BLNKT</v>
      </c>
      <c r="C9412" t="s">
        <v>3142</v>
      </c>
      <c r="D9412" s="1" t="str">
        <f t="shared" si="259"/>
        <v>PRG-1033634</v>
      </c>
      <c r="E9412" t="s">
        <v>25</v>
      </c>
      <c r="F9412" t="s">
        <v>4</v>
      </c>
      <c r="G9412" t="str">
        <f>""</f>
        <v/>
      </c>
    </row>
    <row r="9413" spans="1:7" x14ac:dyDescent="0.25">
      <c r="A9413" t="s">
        <v>8</v>
      </c>
      <c r="B9413" s="1" t="str">
        <f>"000313196 - RICH PROD ROSEVILLE CITY BLNKT"</f>
        <v>000313196 - RICH PROD ROSEVILLE CITY BLNKT</v>
      </c>
      <c r="C9413" t="s">
        <v>3143</v>
      </c>
      <c r="D9413" s="1" t="str">
        <f t="shared" si="259"/>
        <v>PRG-1033634</v>
      </c>
      <c r="E9413" t="s">
        <v>25</v>
      </c>
      <c r="F9413" t="s">
        <v>4</v>
      </c>
      <c r="G9413" t="str">
        <f>""</f>
        <v/>
      </c>
    </row>
    <row r="9414" spans="1:7" x14ac:dyDescent="0.25">
      <c r="A9414" t="s">
        <v>8</v>
      </c>
      <c r="B9414" s="1" t="str">
        <f>"000313197 - RICH PROD MCKINLEYVILLE BLNKT"</f>
        <v>000313197 - RICH PROD MCKINLEYVILLE BLNKT</v>
      </c>
      <c r="C9414" t="s">
        <v>3144</v>
      </c>
      <c r="D9414" s="1" t="str">
        <f t="shared" si="259"/>
        <v>PRG-1033634</v>
      </c>
      <c r="E9414" t="s">
        <v>25</v>
      </c>
      <c r="F9414" t="s">
        <v>4</v>
      </c>
      <c r="G9414" t="str">
        <f>""</f>
        <v/>
      </c>
    </row>
    <row r="9415" spans="1:7" x14ac:dyDescent="0.25">
      <c r="A9415" t="s">
        <v>8</v>
      </c>
      <c r="B9415" s="1" t="str">
        <f>"000313200 - RICH PROD SAC CITY SCHLS BLNKT"</f>
        <v>000313200 - RICH PROD SAC CITY SCHLS BLNKT</v>
      </c>
      <c r="C9415" t="s">
        <v>3145</v>
      </c>
      <c r="D9415" s="1" t="str">
        <f t="shared" si="259"/>
        <v>PRG-1033634</v>
      </c>
      <c r="E9415" t="s">
        <v>25</v>
      </c>
      <c r="F9415" t="s">
        <v>4</v>
      </c>
      <c r="G9415" t="str">
        <f>""</f>
        <v/>
      </c>
    </row>
    <row r="9416" spans="1:7" x14ac:dyDescent="0.25">
      <c r="A9416" t="s">
        <v>8</v>
      </c>
      <c r="B9416" s="1" t="str">
        <f>"000313976 - 16-17 RICH'S BLNKT"</f>
        <v>000313976 - 16-17 RICH'S BLNKT</v>
      </c>
      <c r="C9416" t="s">
        <v>3150</v>
      </c>
      <c r="D9416" s="1" t="str">
        <f t="shared" si="259"/>
        <v>PRG-1033634</v>
      </c>
      <c r="E9416" t="s">
        <v>25</v>
      </c>
      <c r="F9416" t="s">
        <v>4</v>
      </c>
      <c r="G9416" t="str">
        <f>""</f>
        <v/>
      </c>
    </row>
    <row r="9417" spans="1:7" x14ac:dyDescent="0.25">
      <c r="A9417" t="s">
        <v>8</v>
      </c>
      <c r="B9417" s="1" t="str">
        <f>"000323559 - RICHS VICTORIA ISD"</f>
        <v>000323559 - RICHS VICTORIA ISD</v>
      </c>
      <c r="C9417" t="s">
        <v>3270</v>
      </c>
      <c r="D9417" s="1" t="str">
        <f t="shared" ref="D9417:D9448" si="260">"PRG-1033634"</f>
        <v>PRG-1033634</v>
      </c>
      <c r="E9417" t="s">
        <v>25</v>
      </c>
      <c r="F9417" t="s">
        <v>4</v>
      </c>
      <c r="G9417" t="str">
        <f>""</f>
        <v/>
      </c>
    </row>
    <row r="9418" spans="1:7" x14ac:dyDescent="0.25">
      <c r="A9418" t="s">
        <v>8</v>
      </c>
      <c r="B9418" s="1" t="str">
        <f>"000334217 - "</f>
        <v xml:space="preserve">000334217 - </v>
      </c>
      <c r="D9418" s="1" t="str">
        <f t="shared" si="260"/>
        <v>PRG-1033634</v>
      </c>
      <c r="E9418" t="s">
        <v>25</v>
      </c>
      <c r="F9418" t="s">
        <v>4</v>
      </c>
      <c r="G9418" t="str">
        <f>""</f>
        <v/>
      </c>
    </row>
    <row r="9419" spans="1:7" x14ac:dyDescent="0.25">
      <c r="A9419" t="s">
        <v>8</v>
      </c>
      <c r="B9419" s="1" t="str">
        <f>"000341446 - "</f>
        <v xml:space="preserve">000341446 - </v>
      </c>
      <c r="D9419" s="1" t="str">
        <f t="shared" si="260"/>
        <v>PRG-1033634</v>
      </c>
      <c r="E9419" t="s">
        <v>25</v>
      </c>
      <c r="F9419" t="s">
        <v>4</v>
      </c>
      <c r="G9419" t="str">
        <f>""</f>
        <v/>
      </c>
    </row>
    <row r="9420" spans="1:7" x14ac:dyDescent="0.25">
      <c r="A9420" t="s">
        <v>8</v>
      </c>
      <c r="B9420" s="1" t="str">
        <f>"000345996 - RICH PRODUCTS ALL SCHOOLS"</f>
        <v>000345996 - RICH PRODUCTS ALL SCHOOLS</v>
      </c>
      <c r="C9420" t="s">
        <v>3209</v>
      </c>
      <c r="D9420" s="1" t="str">
        <f t="shared" si="260"/>
        <v>PRG-1033634</v>
      </c>
      <c r="E9420" t="s">
        <v>25</v>
      </c>
      <c r="F9420" t="s">
        <v>4</v>
      </c>
      <c r="G9420" t="str">
        <f>""</f>
        <v/>
      </c>
    </row>
    <row r="9421" spans="1:7" x14ac:dyDescent="0.25">
      <c r="A9421" t="s">
        <v>8</v>
      </c>
      <c r="B9421" s="1" t="str">
        <f>"000366477 - RICH FOODS K-12 NP BLANKET"</f>
        <v>000366477 - RICH FOODS K-12 NP BLANKET</v>
      </c>
      <c r="C9421" t="s">
        <v>3609</v>
      </c>
      <c r="D9421" s="1" t="str">
        <f t="shared" si="260"/>
        <v>PRG-1033634</v>
      </c>
      <c r="E9421" t="s">
        <v>25</v>
      </c>
      <c r="F9421" t="s">
        <v>4</v>
      </c>
      <c r="G9421" t="str">
        <f>""</f>
        <v/>
      </c>
    </row>
    <row r="9422" spans="1:7" x14ac:dyDescent="0.25">
      <c r="A9422" t="s">
        <v>8</v>
      </c>
      <c r="B9422" s="1" t="str">
        <f>"0248B110"</f>
        <v>0248B110</v>
      </c>
      <c r="C9422" t="s">
        <v>3756</v>
      </c>
      <c r="D9422" s="1" t="str">
        <f t="shared" si="260"/>
        <v>PRG-1033634</v>
      </c>
      <c r="E9422" t="s">
        <v>25</v>
      </c>
      <c r="F9422" t="s">
        <v>5</v>
      </c>
      <c r="G9422" t="str">
        <f>""</f>
        <v/>
      </c>
    </row>
    <row r="9423" spans="1:7" x14ac:dyDescent="0.25">
      <c r="A9423" t="s">
        <v>8</v>
      </c>
      <c r="B9423" s="1" t="str">
        <f>"1054C414"</f>
        <v>1054C414</v>
      </c>
      <c r="C9423" t="s">
        <v>3789</v>
      </c>
      <c r="D9423" s="1" t="str">
        <f t="shared" si="260"/>
        <v>PRG-1033634</v>
      </c>
      <c r="E9423" t="s">
        <v>25</v>
      </c>
      <c r="F9423" t="s">
        <v>5</v>
      </c>
      <c r="G9423" t="str">
        <f>""</f>
        <v/>
      </c>
    </row>
    <row r="9424" spans="1:7" x14ac:dyDescent="0.25">
      <c r="A9424" t="s">
        <v>8</v>
      </c>
      <c r="B9424" s="1" t="str">
        <f>"2000351812 - RICH'S PRODUCTS-K-12 SCHOOL BLANKET"</f>
        <v>2000351812 - RICH'S PRODUCTS-K-12 SCHOOL BLANKET</v>
      </c>
      <c r="C9424" t="s">
        <v>4002</v>
      </c>
      <c r="D9424" s="1" t="str">
        <f t="shared" si="260"/>
        <v>PRG-1033634</v>
      </c>
      <c r="E9424" t="s">
        <v>25</v>
      </c>
      <c r="F9424" t="s">
        <v>4</v>
      </c>
      <c r="G9424" t="str">
        <f>""</f>
        <v/>
      </c>
    </row>
    <row r="9425" spans="1:7" x14ac:dyDescent="0.25">
      <c r="A9425" t="s">
        <v>8</v>
      </c>
      <c r="B9425" s="1" t="str">
        <f>"2000354967 - RICH-BLANKET SCHOOLS"</f>
        <v>2000354967 - RICH-BLANKET SCHOOLS</v>
      </c>
      <c r="C9425" t="s">
        <v>24</v>
      </c>
      <c r="D9425" s="1" t="str">
        <f t="shared" si="260"/>
        <v>PRG-1033634</v>
      </c>
      <c r="E9425" t="s">
        <v>25</v>
      </c>
      <c r="F9425" t="s">
        <v>4</v>
      </c>
      <c r="G9425" t="str">
        <f>""</f>
        <v/>
      </c>
    </row>
    <row r="9426" spans="1:7" x14ac:dyDescent="0.25">
      <c r="A9426" t="s">
        <v>8</v>
      </c>
      <c r="B9426" s="1" t="str">
        <f>"2000362695 - RICH'S-NATIONAL SCHBLNKT"</f>
        <v>2000362695 - RICH'S-NATIONAL SCHBLNKT</v>
      </c>
      <c r="C9426" t="s">
        <v>4043</v>
      </c>
      <c r="D9426" s="1" t="str">
        <f t="shared" si="260"/>
        <v>PRG-1033634</v>
      </c>
      <c r="E9426" t="s">
        <v>25</v>
      </c>
      <c r="F9426" t="s">
        <v>4</v>
      </c>
      <c r="G9426" t="str">
        <f>""</f>
        <v/>
      </c>
    </row>
    <row r="9427" spans="1:7" x14ac:dyDescent="0.25">
      <c r="A9427" t="s">
        <v>8</v>
      </c>
      <c r="B9427" s="1" t="str">
        <f>"2000365102 - RICHS-ALL SCHOOLS DENVER"</f>
        <v>2000365102 - RICHS-ALL SCHOOLS DENVER</v>
      </c>
      <c r="C9427" t="s">
        <v>44</v>
      </c>
      <c r="D9427" s="1" t="str">
        <f t="shared" si="260"/>
        <v>PRG-1033634</v>
      </c>
      <c r="E9427" t="s">
        <v>25</v>
      </c>
      <c r="F9427" t="s">
        <v>4</v>
      </c>
      <c r="G9427" t="str">
        <f>""</f>
        <v/>
      </c>
    </row>
    <row r="9428" spans="1:7" x14ac:dyDescent="0.25">
      <c r="A9428" t="s">
        <v>8</v>
      </c>
      <c r="B9428" s="1" t="str">
        <f>"2000392433 - RICHS FOODS-NAMPA SCHOOL"</f>
        <v>2000392433 - RICHS FOODS-NAMPA SCHOOL</v>
      </c>
      <c r="C9428" t="s">
        <v>4067</v>
      </c>
      <c r="D9428" s="1" t="str">
        <f t="shared" si="260"/>
        <v>PRG-1033634</v>
      </c>
      <c r="E9428" t="s">
        <v>25</v>
      </c>
      <c r="F9428" t="s">
        <v>4</v>
      </c>
      <c r="G9428" t="str">
        <f>""</f>
        <v/>
      </c>
    </row>
    <row r="9429" spans="1:7" x14ac:dyDescent="0.25">
      <c r="A9429" t="s">
        <v>8</v>
      </c>
      <c r="B9429" s="1" t="str">
        <f>"2000394697 - RICH'S-TVC CO-OP"</f>
        <v>2000394697 - RICH'S-TVC CO-OP</v>
      </c>
      <c r="C9429" t="s">
        <v>42</v>
      </c>
      <c r="D9429" s="1" t="str">
        <f t="shared" si="260"/>
        <v>PRG-1033634</v>
      </c>
      <c r="E9429" t="s">
        <v>25</v>
      </c>
      <c r="F9429" t="s">
        <v>4</v>
      </c>
      <c r="G9429" t="str">
        <f>""</f>
        <v/>
      </c>
    </row>
    <row r="9430" spans="1:7" x14ac:dyDescent="0.25">
      <c r="A9430" t="s">
        <v>8</v>
      </c>
      <c r="B9430" s="1" t="str">
        <f>"2000396912 - RICH'S-JEROME SD"</f>
        <v>2000396912 - RICH'S-JEROME SD</v>
      </c>
      <c r="C9430" t="s">
        <v>70</v>
      </c>
      <c r="D9430" s="1" t="str">
        <f t="shared" si="260"/>
        <v>PRG-1033634</v>
      </c>
      <c r="E9430" t="s">
        <v>25</v>
      </c>
      <c r="F9430" t="s">
        <v>4</v>
      </c>
      <c r="G9430" t="str">
        <f>""</f>
        <v/>
      </c>
    </row>
    <row r="9431" spans="1:7" x14ac:dyDescent="0.25">
      <c r="A9431" t="s">
        <v>8</v>
      </c>
      <c r="B9431" s="1" t="str">
        <f>"2000404831 - RICH FOODS-SCHOOL BLANKET"</f>
        <v>2000404831 - RICH FOODS-SCHOOL BLANKET</v>
      </c>
      <c r="C9431" t="s">
        <v>64</v>
      </c>
      <c r="D9431" s="1" t="str">
        <f t="shared" si="260"/>
        <v>PRG-1033634</v>
      </c>
      <c r="E9431" t="s">
        <v>25</v>
      </c>
      <c r="F9431" t="s">
        <v>4</v>
      </c>
      <c r="G9431" t="str">
        <f>""</f>
        <v/>
      </c>
    </row>
    <row r="9432" spans="1:7" x14ac:dyDescent="0.25">
      <c r="A9432" t="s">
        <v>8</v>
      </c>
      <c r="B9432" s="1" t="str">
        <f>"2000444313 - RICH'S-TEMPLE HIGH SCHOOLS"</f>
        <v>2000444313 - RICH'S-TEMPLE HIGH SCHOOLS</v>
      </c>
      <c r="C9432" t="s">
        <v>4080</v>
      </c>
      <c r="D9432" s="1" t="str">
        <f t="shared" si="260"/>
        <v>PRG-1033634</v>
      </c>
      <c r="E9432" t="s">
        <v>25</v>
      </c>
      <c r="F9432" t="s">
        <v>4</v>
      </c>
      <c r="G9432" t="str">
        <f>""</f>
        <v/>
      </c>
    </row>
    <row r="9433" spans="1:7" x14ac:dyDescent="0.25">
      <c r="A9433" t="s">
        <v>8</v>
      </c>
      <c r="B9433" s="1" t="str">
        <f>"21100535"</f>
        <v>21100535</v>
      </c>
      <c r="C9433" t="s">
        <v>4111</v>
      </c>
      <c r="D9433" s="1" t="str">
        <f t="shared" si="260"/>
        <v>PRG-1033634</v>
      </c>
      <c r="E9433" t="s">
        <v>25</v>
      </c>
      <c r="F9433" t="s">
        <v>5</v>
      </c>
      <c r="G9433" t="str">
        <f>""</f>
        <v/>
      </c>
    </row>
    <row r="9434" spans="1:7" x14ac:dyDescent="0.25">
      <c r="A9434" t="s">
        <v>8</v>
      </c>
      <c r="B9434" s="1" t="str">
        <f>"21100536"</f>
        <v>21100536</v>
      </c>
      <c r="C9434" t="s">
        <v>4112</v>
      </c>
      <c r="D9434" s="1" t="str">
        <f t="shared" si="260"/>
        <v>PRG-1033634</v>
      </c>
      <c r="E9434" t="s">
        <v>25</v>
      </c>
      <c r="F9434" t="s">
        <v>5</v>
      </c>
      <c r="G9434" t="str">
        <f>""</f>
        <v/>
      </c>
    </row>
    <row r="9435" spans="1:7" x14ac:dyDescent="0.25">
      <c r="A9435" t="s">
        <v>8</v>
      </c>
      <c r="B9435" s="1" t="str">
        <f>"2110M687"</f>
        <v>2110M687</v>
      </c>
      <c r="C9435" t="s">
        <v>4129</v>
      </c>
      <c r="D9435" s="1" t="str">
        <f t="shared" si="260"/>
        <v>PRG-1033634</v>
      </c>
      <c r="E9435" t="s">
        <v>25</v>
      </c>
      <c r="F9435" t="s">
        <v>5</v>
      </c>
      <c r="G9435" t="str">
        <f>""</f>
        <v/>
      </c>
    </row>
    <row r="9436" spans="1:7" x14ac:dyDescent="0.25">
      <c r="A9436" t="s">
        <v>8</v>
      </c>
      <c r="B9436" s="1" t="str">
        <f>"21400107"</f>
        <v>21400107</v>
      </c>
      <c r="C9436" t="s">
        <v>4154</v>
      </c>
      <c r="D9436" s="1" t="str">
        <f t="shared" si="260"/>
        <v>PRG-1033634</v>
      </c>
      <c r="E9436" t="s">
        <v>25</v>
      </c>
      <c r="F9436" t="s">
        <v>5</v>
      </c>
      <c r="G9436" t="str">
        <f>""</f>
        <v/>
      </c>
    </row>
    <row r="9437" spans="1:7" x14ac:dyDescent="0.25">
      <c r="A9437" t="s">
        <v>8</v>
      </c>
      <c r="B9437" s="1" t="str">
        <f>"21404225"</f>
        <v>21404225</v>
      </c>
      <c r="C9437" t="s">
        <v>4161</v>
      </c>
      <c r="D9437" s="1" t="str">
        <f t="shared" si="260"/>
        <v>PRG-1033634</v>
      </c>
      <c r="E9437" t="s">
        <v>25</v>
      </c>
      <c r="F9437" t="s">
        <v>5</v>
      </c>
      <c r="G9437" t="str">
        <f>""</f>
        <v/>
      </c>
    </row>
    <row r="9438" spans="1:7" x14ac:dyDescent="0.25">
      <c r="A9438" t="s">
        <v>8</v>
      </c>
      <c r="B9438" s="1" t="str">
        <f>"2140B570"</f>
        <v>2140B570</v>
      </c>
      <c r="C9438" t="s">
        <v>4167</v>
      </c>
      <c r="D9438" s="1" t="str">
        <f t="shared" si="260"/>
        <v>PRG-1033634</v>
      </c>
      <c r="E9438" t="s">
        <v>25</v>
      </c>
      <c r="F9438" t="s">
        <v>5</v>
      </c>
      <c r="G9438" t="str">
        <f>""</f>
        <v/>
      </c>
    </row>
    <row r="9439" spans="1:7" x14ac:dyDescent="0.25">
      <c r="A9439" t="s">
        <v>8</v>
      </c>
      <c r="B9439" s="1" t="str">
        <f>"2140D054"</f>
        <v>2140D054</v>
      </c>
      <c r="C9439" t="s">
        <v>4171</v>
      </c>
      <c r="D9439" s="1" t="str">
        <f t="shared" si="260"/>
        <v>PRG-1033634</v>
      </c>
      <c r="E9439" t="s">
        <v>25</v>
      </c>
      <c r="F9439" t="s">
        <v>5</v>
      </c>
      <c r="G9439" t="str">
        <f>""</f>
        <v/>
      </c>
    </row>
    <row r="9440" spans="1:7" x14ac:dyDescent="0.25">
      <c r="A9440" t="s">
        <v>8</v>
      </c>
      <c r="B9440" s="1" t="str">
        <f>"2140D112"</f>
        <v>2140D112</v>
      </c>
      <c r="C9440" t="s">
        <v>4172</v>
      </c>
      <c r="D9440" s="1" t="str">
        <f t="shared" si="260"/>
        <v>PRG-1033634</v>
      </c>
      <c r="E9440" t="s">
        <v>25</v>
      </c>
      <c r="F9440" t="s">
        <v>5</v>
      </c>
      <c r="G9440" t="str">
        <f>""</f>
        <v/>
      </c>
    </row>
    <row r="9441" spans="1:7" x14ac:dyDescent="0.25">
      <c r="A9441" t="s">
        <v>8</v>
      </c>
      <c r="B9441" s="1" t="str">
        <f>"2165A477"</f>
        <v>2165A477</v>
      </c>
      <c r="C9441" t="s">
        <v>4184</v>
      </c>
      <c r="D9441" s="1" t="str">
        <f t="shared" si="260"/>
        <v>PRG-1033634</v>
      </c>
      <c r="E9441" t="s">
        <v>25</v>
      </c>
      <c r="F9441" t="s">
        <v>5</v>
      </c>
      <c r="G9441" t="str">
        <f>""</f>
        <v/>
      </c>
    </row>
    <row r="9442" spans="1:7" x14ac:dyDescent="0.25">
      <c r="A9442" t="s">
        <v>8</v>
      </c>
      <c r="B9442" s="1" t="str">
        <f>"2220K189"</f>
        <v>2220K189</v>
      </c>
      <c r="C9442" t="s">
        <v>4284</v>
      </c>
      <c r="D9442" s="1" t="str">
        <f t="shared" si="260"/>
        <v>PRG-1033634</v>
      </c>
      <c r="E9442" t="s">
        <v>25</v>
      </c>
      <c r="F9442" t="s">
        <v>5</v>
      </c>
      <c r="G9442" t="str">
        <f>""</f>
        <v/>
      </c>
    </row>
    <row r="9443" spans="1:7" x14ac:dyDescent="0.25">
      <c r="A9443" t="s">
        <v>8</v>
      </c>
      <c r="B9443" s="1" t="str">
        <f>"22306140"</f>
        <v>22306140</v>
      </c>
      <c r="C9443" t="s">
        <v>4303</v>
      </c>
      <c r="D9443" s="1" t="str">
        <f t="shared" si="260"/>
        <v>PRG-1033634</v>
      </c>
      <c r="E9443" t="s">
        <v>25</v>
      </c>
      <c r="F9443" t="s">
        <v>5</v>
      </c>
      <c r="G9443" t="str">
        <f>""</f>
        <v/>
      </c>
    </row>
    <row r="9444" spans="1:7" x14ac:dyDescent="0.25">
      <c r="A9444" t="s">
        <v>8</v>
      </c>
      <c r="B9444" s="1" t="str">
        <f>"22501325"</f>
        <v>22501325</v>
      </c>
      <c r="C9444" t="s">
        <v>4337</v>
      </c>
      <c r="D9444" s="1" t="str">
        <f t="shared" si="260"/>
        <v>PRG-1033634</v>
      </c>
      <c r="E9444" t="s">
        <v>25</v>
      </c>
      <c r="F9444" t="s">
        <v>5</v>
      </c>
      <c r="G9444" t="str">
        <f>""</f>
        <v/>
      </c>
    </row>
    <row r="9445" spans="1:7" x14ac:dyDescent="0.25">
      <c r="A9445" t="s">
        <v>8</v>
      </c>
      <c r="B9445" s="1" t="str">
        <f>"22505318"</f>
        <v>22505318</v>
      </c>
      <c r="C9445" t="s">
        <v>4359</v>
      </c>
      <c r="D9445" s="1" t="str">
        <f t="shared" si="260"/>
        <v>PRG-1033634</v>
      </c>
      <c r="E9445" t="s">
        <v>25</v>
      </c>
      <c r="F9445" t="s">
        <v>5</v>
      </c>
      <c r="G9445" t="str">
        <f>""</f>
        <v/>
      </c>
    </row>
    <row r="9446" spans="1:7" x14ac:dyDescent="0.25">
      <c r="A9446" t="s">
        <v>8</v>
      </c>
      <c r="B9446" s="1" t="str">
        <f>"22604478"</f>
        <v>22604478</v>
      </c>
      <c r="C9446" t="s">
        <v>4422</v>
      </c>
      <c r="D9446" s="1" t="str">
        <f t="shared" si="260"/>
        <v>PRG-1033634</v>
      </c>
      <c r="E9446" t="s">
        <v>25</v>
      </c>
      <c r="F9446" t="s">
        <v>5</v>
      </c>
      <c r="G9446" t="str">
        <f>""</f>
        <v/>
      </c>
    </row>
    <row r="9447" spans="1:7" x14ac:dyDescent="0.25">
      <c r="A9447" t="s">
        <v>8</v>
      </c>
      <c r="B9447" s="1" t="str">
        <f>"22605577"</f>
        <v>22605577</v>
      </c>
      <c r="C9447" t="s">
        <v>4436</v>
      </c>
      <c r="D9447" s="1" t="str">
        <f t="shared" si="260"/>
        <v>PRG-1033634</v>
      </c>
      <c r="E9447" t="s">
        <v>25</v>
      </c>
      <c r="F9447" t="s">
        <v>5</v>
      </c>
      <c r="G9447" t="str">
        <f>""</f>
        <v/>
      </c>
    </row>
    <row r="9448" spans="1:7" x14ac:dyDescent="0.25">
      <c r="A9448" t="s">
        <v>8</v>
      </c>
      <c r="B9448" s="1" t="str">
        <f>"22606404"</f>
        <v>22606404</v>
      </c>
      <c r="C9448" t="s">
        <v>4440</v>
      </c>
      <c r="D9448" s="1" t="str">
        <f t="shared" si="260"/>
        <v>PRG-1033634</v>
      </c>
      <c r="E9448" t="s">
        <v>25</v>
      </c>
      <c r="F9448" t="s">
        <v>5</v>
      </c>
      <c r="G9448" t="str">
        <f>""</f>
        <v/>
      </c>
    </row>
    <row r="9449" spans="1:7" x14ac:dyDescent="0.25">
      <c r="A9449" t="s">
        <v>8</v>
      </c>
      <c r="B9449" s="1" t="str">
        <f>"22606513"</f>
        <v>22606513</v>
      </c>
      <c r="C9449" t="s">
        <v>4441</v>
      </c>
      <c r="D9449" s="1" t="str">
        <f t="shared" ref="D9449:D9480" si="261">"PRG-1033634"</f>
        <v>PRG-1033634</v>
      </c>
      <c r="E9449" t="s">
        <v>25</v>
      </c>
      <c r="F9449" t="s">
        <v>5</v>
      </c>
      <c r="G9449" t="str">
        <f>""</f>
        <v/>
      </c>
    </row>
    <row r="9450" spans="1:7" x14ac:dyDescent="0.25">
      <c r="A9450" t="s">
        <v>8</v>
      </c>
      <c r="B9450" s="1" t="str">
        <f>"23455509"</f>
        <v>23455509</v>
      </c>
      <c r="C9450" t="s">
        <v>4497</v>
      </c>
      <c r="D9450" s="1" t="str">
        <f t="shared" si="261"/>
        <v>PRG-1033634</v>
      </c>
      <c r="E9450" t="s">
        <v>25</v>
      </c>
      <c r="F9450" t="s">
        <v>5</v>
      </c>
      <c r="G9450" t="str">
        <f>""</f>
        <v/>
      </c>
    </row>
    <row r="9451" spans="1:7" x14ac:dyDescent="0.25">
      <c r="A9451" t="s">
        <v>8</v>
      </c>
      <c r="B9451" s="1" t="str">
        <f>"23504946"</f>
        <v>23504946</v>
      </c>
      <c r="C9451" t="s">
        <v>4512</v>
      </c>
      <c r="D9451" s="1" t="str">
        <f t="shared" si="261"/>
        <v>PRG-1033634</v>
      </c>
      <c r="E9451" t="s">
        <v>25</v>
      </c>
      <c r="F9451" t="s">
        <v>5</v>
      </c>
      <c r="G9451" t="str">
        <f>""</f>
        <v/>
      </c>
    </row>
    <row r="9452" spans="1:7" x14ac:dyDescent="0.25">
      <c r="A9452" t="s">
        <v>8</v>
      </c>
      <c r="B9452" s="1" t="str">
        <f>"2350H182"</f>
        <v>2350H182</v>
      </c>
      <c r="C9452" t="s">
        <v>4536</v>
      </c>
      <c r="D9452" s="1" t="str">
        <f t="shared" si="261"/>
        <v>PRG-1033634</v>
      </c>
      <c r="E9452" t="s">
        <v>25</v>
      </c>
      <c r="F9452" t="s">
        <v>5</v>
      </c>
      <c r="G9452" t="str">
        <f>""</f>
        <v/>
      </c>
    </row>
    <row r="9453" spans="1:7" x14ac:dyDescent="0.25">
      <c r="A9453" t="s">
        <v>8</v>
      </c>
      <c r="B9453" s="1" t="str">
        <f>"2370A244"</f>
        <v>2370A244</v>
      </c>
      <c r="C9453" t="s">
        <v>4542</v>
      </c>
      <c r="D9453" s="1" t="str">
        <f t="shared" si="261"/>
        <v>PRG-1033634</v>
      </c>
      <c r="E9453" t="s">
        <v>25</v>
      </c>
      <c r="F9453" t="s">
        <v>5</v>
      </c>
      <c r="G9453" t="str">
        <f>""</f>
        <v/>
      </c>
    </row>
    <row r="9454" spans="1:7" x14ac:dyDescent="0.25">
      <c r="A9454" t="s">
        <v>8</v>
      </c>
      <c r="B9454" s="1" t="str">
        <f>"2370A691"</f>
        <v>2370A691</v>
      </c>
      <c r="C9454" t="s">
        <v>4544</v>
      </c>
      <c r="D9454" s="1" t="str">
        <f t="shared" si="261"/>
        <v>PRG-1033634</v>
      </c>
      <c r="E9454" t="s">
        <v>25</v>
      </c>
      <c r="F9454" t="s">
        <v>5</v>
      </c>
      <c r="G9454" t="str">
        <f>""</f>
        <v/>
      </c>
    </row>
    <row r="9455" spans="1:7" x14ac:dyDescent="0.25">
      <c r="A9455" t="s">
        <v>8</v>
      </c>
      <c r="B9455" s="1" t="str">
        <f>"2370A967"</f>
        <v>2370A967</v>
      </c>
      <c r="C9455" t="s">
        <v>4546</v>
      </c>
      <c r="D9455" s="1" t="str">
        <f t="shared" si="261"/>
        <v>PRG-1033634</v>
      </c>
      <c r="E9455" t="s">
        <v>25</v>
      </c>
      <c r="F9455" t="s">
        <v>5</v>
      </c>
      <c r="G9455" t="str">
        <f>""</f>
        <v/>
      </c>
    </row>
    <row r="9456" spans="1:7" x14ac:dyDescent="0.25">
      <c r="A9456" t="s">
        <v>8</v>
      </c>
      <c r="B9456" s="1" t="str">
        <f>"2370B633"</f>
        <v>2370B633</v>
      </c>
      <c r="C9456" t="s">
        <v>4550</v>
      </c>
      <c r="D9456" s="1" t="str">
        <f t="shared" si="261"/>
        <v>PRG-1033634</v>
      </c>
      <c r="E9456" t="s">
        <v>25</v>
      </c>
      <c r="F9456" t="s">
        <v>5</v>
      </c>
      <c r="G9456" t="str">
        <f>""</f>
        <v/>
      </c>
    </row>
    <row r="9457" spans="1:7" x14ac:dyDescent="0.25">
      <c r="A9457" t="s">
        <v>8</v>
      </c>
      <c r="B9457" s="1" t="str">
        <f>"2370C416"</f>
        <v>2370C416</v>
      </c>
      <c r="C9457" t="s">
        <v>4553</v>
      </c>
      <c r="D9457" s="1" t="str">
        <f t="shared" si="261"/>
        <v>PRG-1033634</v>
      </c>
      <c r="E9457" t="s">
        <v>25</v>
      </c>
      <c r="F9457" t="s">
        <v>5</v>
      </c>
      <c r="G9457" t="str">
        <f>""</f>
        <v/>
      </c>
    </row>
    <row r="9458" spans="1:7" x14ac:dyDescent="0.25">
      <c r="A9458" t="s">
        <v>8</v>
      </c>
      <c r="B9458" s="1" t="str">
        <f>"2370D954"</f>
        <v>2370D954</v>
      </c>
      <c r="C9458" t="s">
        <v>4559</v>
      </c>
      <c r="D9458" s="1" t="str">
        <f t="shared" si="261"/>
        <v>PRG-1033634</v>
      </c>
      <c r="E9458" t="s">
        <v>25</v>
      </c>
      <c r="F9458" t="s">
        <v>5</v>
      </c>
      <c r="G9458" t="str">
        <f>""</f>
        <v/>
      </c>
    </row>
    <row r="9459" spans="1:7" x14ac:dyDescent="0.25">
      <c r="A9459" t="s">
        <v>8</v>
      </c>
      <c r="B9459" s="1" t="str">
        <f>"2370G110"</f>
        <v>2370G110</v>
      </c>
      <c r="C9459" t="s">
        <v>4564</v>
      </c>
      <c r="D9459" s="1" t="str">
        <f t="shared" si="261"/>
        <v>PRG-1033634</v>
      </c>
      <c r="E9459" t="s">
        <v>25</v>
      </c>
      <c r="F9459" t="s">
        <v>5</v>
      </c>
      <c r="G9459" t="str">
        <f>""</f>
        <v/>
      </c>
    </row>
    <row r="9460" spans="1:7" x14ac:dyDescent="0.25">
      <c r="A9460" t="s">
        <v>8</v>
      </c>
      <c r="B9460" s="1" t="str">
        <f>"2370H406"</f>
        <v>2370H406</v>
      </c>
      <c r="C9460" t="s">
        <v>4569</v>
      </c>
      <c r="D9460" s="1" t="str">
        <f t="shared" si="261"/>
        <v>PRG-1033634</v>
      </c>
      <c r="E9460" t="s">
        <v>25</v>
      </c>
      <c r="F9460" t="s">
        <v>5</v>
      </c>
      <c r="G9460" t="str">
        <f>""</f>
        <v/>
      </c>
    </row>
    <row r="9461" spans="1:7" x14ac:dyDescent="0.25">
      <c r="A9461" t="s">
        <v>8</v>
      </c>
      <c r="B9461" s="1" t="str">
        <f>"3147B207"</f>
        <v>3147B207</v>
      </c>
      <c r="C9461" t="s">
        <v>4653</v>
      </c>
      <c r="D9461" s="1" t="str">
        <f t="shared" si="261"/>
        <v>PRG-1033634</v>
      </c>
      <c r="E9461" t="s">
        <v>25</v>
      </c>
      <c r="F9461" t="s">
        <v>5</v>
      </c>
      <c r="G9461" t="str">
        <f>""</f>
        <v/>
      </c>
    </row>
    <row r="9462" spans="1:7" x14ac:dyDescent="0.25">
      <c r="A9462" t="s">
        <v>8</v>
      </c>
      <c r="B9462" s="1" t="str">
        <f>"3170BT51"</f>
        <v>3170BT51</v>
      </c>
      <c r="C9462" t="s">
        <v>4707</v>
      </c>
      <c r="D9462" s="1" t="str">
        <f t="shared" si="261"/>
        <v>PRG-1033634</v>
      </c>
      <c r="E9462" t="s">
        <v>25</v>
      </c>
      <c r="F9462" t="s">
        <v>5</v>
      </c>
      <c r="G9462" t="str">
        <f>""</f>
        <v/>
      </c>
    </row>
    <row r="9463" spans="1:7" x14ac:dyDescent="0.25">
      <c r="A9463" t="s">
        <v>8</v>
      </c>
      <c r="B9463" s="1" t="str">
        <f>"3170BZ67"</f>
        <v>3170BZ67</v>
      </c>
      <c r="C9463" t="s">
        <v>4709</v>
      </c>
      <c r="D9463" s="1" t="str">
        <f t="shared" si="261"/>
        <v>PRG-1033634</v>
      </c>
      <c r="E9463" t="s">
        <v>25</v>
      </c>
      <c r="F9463" t="s">
        <v>5</v>
      </c>
      <c r="G9463" t="str">
        <f>""</f>
        <v/>
      </c>
    </row>
    <row r="9464" spans="1:7" x14ac:dyDescent="0.25">
      <c r="A9464" t="s">
        <v>8</v>
      </c>
      <c r="B9464" s="1" t="str">
        <f>"3170EQ38"</f>
        <v>3170EQ38</v>
      </c>
      <c r="C9464" t="s">
        <v>4723</v>
      </c>
      <c r="D9464" s="1" t="str">
        <f t="shared" si="261"/>
        <v>PRG-1033634</v>
      </c>
      <c r="E9464" t="s">
        <v>25</v>
      </c>
      <c r="F9464" t="s">
        <v>5</v>
      </c>
      <c r="G9464" t="str">
        <f>""</f>
        <v/>
      </c>
    </row>
    <row r="9465" spans="1:7" x14ac:dyDescent="0.25">
      <c r="A9465" t="s">
        <v>8</v>
      </c>
      <c r="B9465" s="1" t="str">
        <f>"3170G836"</f>
        <v>3170G836</v>
      </c>
      <c r="C9465" t="s">
        <v>4731</v>
      </c>
      <c r="D9465" s="1" t="str">
        <f t="shared" si="261"/>
        <v>PRG-1033634</v>
      </c>
      <c r="E9465" t="s">
        <v>25</v>
      </c>
      <c r="F9465" t="s">
        <v>5</v>
      </c>
      <c r="G9465" t="str">
        <f>""</f>
        <v/>
      </c>
    </row>
    <row r="9466" spans="1:7" x14ac:dyDescent="0.25">
      <c r="A9466" t="s">
        <v>8</v>
      </c>
      <c r="B9466" s="1" t="str">
        <f>"3170H209"</f>
        <v>3170H209</v>
      </c>
      <c r="C9466" t="s">
        <v>4734</v>
      </c>
      <c r="D9466" s="1" t="str">
        <f t="shared" si="261"/>
        <v>PRG-1033634</v>
      </c>
      <c r="E9466" t="s">
        <v>25</v>
      </c>
      <c r="F9466" t="s">
        <v>5</v>
      </c>
      <c r="G9466" t="str">
        <f>""</f>
        <v/>
      </c>
    </row>
    <row r="9467" spans="1:7" x14ac:dyDescent="0.25">
      <c r="A9467" t="s">
        <v>8</v>
      </c>
      <c r="B9467" s="1" t="str">
        <f>"3170J043"</f>
        <v>3170J043</v>
      </c>
      <c r="C9467" t="s">
        <v>4739</v>
      </c>
      <c r="D9467" s="1" t="str">
        <f t="shared" si="261"/>
        <v>PRG-1033634</v>
      </c>
      <c r="E9467" t="s">
        <v>25</v>
      </c>
      <c r="F9467" t="s">
        <v>5</v>
      </c>
      <c r="G9467" t="str">
        <f>""</f>
        <v/>
      </c>
    </row>
    <row r="9468" spans="1:7" x14ac:dyDescent="0.25">
      <c r="A9468" t="s">
        <v>8</v>
      </c>
      <c r="B9468" s="1" t="str">
        <f>"3170K102"</f>
        <v>3170K102</v>
      </c>
      <c r="C9468" t="s">
        <v>4744</v>
      </c>
      <c r="D9468" s="1" t="str">
        <f t="shared" si="261"/>
        <v>PRG-1033634</v>
      </c>
      <c r="E9468" t="s">
        <v>25</v>
      </c>
      <c r="F9468" t="s">
        <v>5</v>
      </c>
      <c r="G9468" t="str">
        <f>""</f>
        <v/>
      </c>
    </row>
    <row r="9469" spans="1:7" x14ac:dyDescent="0.25">
      <c r="A9469" t="s">
        <v>8</v>
      </c>
      <c r="B9469" s="1" t="str">
        <f>"3170K946"</f>
        <v>3170K946</v>
      </c>
      <c r="C9469" t="s">
        <v>4750</v>
      </c>
      <c r="D9469" s="1" t="str">
        <f t="shared" si="261"/>
        <v>PRG-1033634</v>
      </c>
      <c r="E9469" t="s">
        <v>25</v>
      </c>
      <c r="F9469" t="s">
        <v>5</v>
      </c>
      <c r="G9469" t="str">
        <f>""</f>
        <v/>
      </c>
    </row>
    <row r="9470" spans="1:7" x14ac:dyDescent="0.25">
      <c r="A9470" t="s">
        <v>8</v>
      </c>
      <c r="B9470" s="1" t="str">
        <f>"3170L119"</f>
        <v>3170L119</v>
      </c>
      <c r="C9470" t="s">
        <v>4752</v>
      </c>
      <c r="D9470" s="1" t="str">
        <f t="shared" si="261"/>
        <v>PRG-1033634</v>
      </c>
      <c r="E9470" t="s">
        <v>25</v>
      </c>
      <c r="F9470" t="s">
        <v>5</v>
      </c>
      <c r="G9470" t="str">
        <f>""</f>
        <v/>
      </c>
    </row>
    <row r="9471" spans="1:7" x14ac:dyDescent="0.25">
      <c r="A9471" t="s">
        <v>8</v>
      </c>
      <c r="B9471" s="1" t="str">
        <f>"3170S845"</f>
        <v>3170S845</v>
      </c>
      <c r="C9471" t="s">
        <v>4768</v>
      </c>
      <c r="D9471" s="1" t="str">
        <f t="shared" si="261"/>
        <v>PRG-1033634</v>
      </c>
      <c r="E9471" t="s">
        <v>25</v>
      </c>
      <c r="F9471" t="s">
        <v>5</v>
      </c>
      <c r="G9471" t="str">
        <f>""</f>
        <v/>
      </c>
    </row>
    <row r="9472" spans="1:7" x14ac:dyDescent="0.25">
      <c r="A9472" t="s">
        <v>8</v>
      </c>
      <c r="B9472" s="1" t="str">
        <f>"3170T209"</f>
        <v>3170T209</v>
      </c>
      <c r="C9472" t="s">
        <v>4769</v>
      </c>
      <c r="D9472" s="1" t="str">
        <f t="shared" si="261"/>
        <v>PRG-1033634</v>
      </c>
      <c r="E9472" t="s">
        <v>25</v>
      </c>
      <c r="F9472" t="s">
        <v>5</v>
      </c>
      <c r="G9472" t="str">
        <f>""</f>
        <v/>
      </c>
    </row>
    <row r="9473" spans="1:7" x14ac:dyDescent="0.25">
      <c r="A9473" t="s">
        <v>8</v>
      </c>
      <c r="B9473" s="1" t="str">
        <f>"3170V675"</f>
        <v>3170V675</v>
      </c>
      <c r="C9473" t="s">
        <v>4780</v>
      </c>
      <c r="D9473" s="1" t="str">
        <f t="shared" si="261"/>
        <v>PRG-1033634</v>
      </c>
      <c r="E9473" t="s">
        <v>25</v>
      </c>
      <c r="F9473" t="s">
        <v>5</v>
      </c>
      <c r="G9473" t="str">
        <f>""</f>
        <v/>
      </c>
    </row>
    <row r="9474" spans="1:7" x14ac:dyDescent="0.25">
      <c r="A9474" t="s">
        <v>8</v>
      </c>
      <c r="B9474" s="1" t="str">
        <f>"3170W044"</f>
        <v>3170W044</v>
      </c>
      <c r="C9474" t="s">
        <v>4784</v>
      </c>
      <c r="D9474" s="1" t="str">
        <f t="shared" si="261"/>
        <v>PRG-1033634</v>
      </c>
      <c r="E9474" t="s">
        <v>25</v>
      </c>
      <c r="F9474" t="s">
        <v>5</v>
      </c>
      <c r="G9474" t="str">
        <f>""</f>
        <v/>
      </c>
    </row>
    <row r="9475" spans="1:7" x14ac:dyDescent="0.25">
      <c r="A9475" t="s">
        <v>8</v>
      </c>
      <c r="B9475" s="1" t="str">
        <f>"3170W313"</f>
        <v>3170W313</v>
      </c>
      <c r="C9475" t="s">
        <v>4786</v>
      </c>
      <c r="D9475" s="1" t="str">
        <f t="shared" si="261"/>
        <v>PRG-1033634</v>
      </c>
      <c r="E9475" t="s">
        <v>25</v>
      </c>
      <c r="F9475" t="s">
        <v>5</v>
      </c>
      <c r="G9475" t="str">
        <f>""</f>
        <v/>
      </c>
    </row>
    <row r="9476" spans="1:7" x14ac:dyDescent="0.25">
      <c r="A9476" t="s">
        <v>8</v>
      </c>
      <c r="B9476" s="1" t="str">
        <f>"32106827"</f>
        <v>32106827</v>
      </c>
      <c r="C9476" t="s">
        <v>4804</v>
      </c>
      <c r="D9476" s="1" t="str">
        <f t="shared" si="261"/>
        <v>PRG-1033634</v>
      </c>
      <c r="E9476" t="s">
        <v>25</v>
      </c>
      <c r="F9476" t="s">
        <v>5</v>
      </c>
      <c r="G9476" t="str">
        <f>""</f>
        <v/>
      </c>
    </row>
    <row r="9477" spans="1:7" x14ac:dyDescent="0.25">
      <c r="A9477" t="s">
        <v>8</v>
      </c>
      <c r="B9477" s="1" t="str">
        <f>"3220C729"</f>
        <v>3220C729</v>
      </c>
      <c r="C9477" t="s">
        <v>4823</v>
      </c>
      <c r="D9477" s="1" t="str">
        <f t="shared" si="261"/>
        <v>PRG-1033634</v>
      </c>
      <c r="E9477" t="s">
        <v>25</v>
      </c>
      <c r="F9477" t="s">
        <v>5</v>
      </c>
      <c r="G9477" t="str">
        <f>""</f>
        <v/>
      </c>
    </row>
    <row r="9478" spans="1:7" x14ac:dyDescent="0.25">
      <c r="A9478" t="s">
        <v>8</v>
      </c>
      <c r="B9478" s="1" t="str">
        <f>"3220E524"</f>
        <v>3220E524</v>
      </c>
      <c r="C9478" t="s">
        <v>4829</v>
      </c>
      <c r="D9478" s="1" t="str">
        <f t="shared" si="261"/>
        <v>PRG-1033634</v>
      </c>
      <c r="E9478" t="s">
        <v>25</v>
      </c>
      <c r="F9478" t="s">
        <v>5</v>
      </c>
      <c r="G9478" t="str">
        <f>""</f>
        <v/>
      </c>
    </row>
    <row r="9479" spans="1:7" x14ac:dyDescent="0.25">
      <c r="A9479" t="s">
        <v>8</v>
      </c>
      <c r="B9479" s="1" t="str">
        <f>"32301406"</f>
        <v>32301406</v>
      </c>
      <c r="C9479" t="s">
        <v>4834</v>
      </c>
      <c r="D9479" s="1" t="str">
        <f t="shared" si="261"/>
        <v>PRG-1033634</v>
      </c>
      <c r="E9479" t="s">
        <v>25</v>
      </c>
      <c r="F9479" t="s">
        <v>5</v>
      </c>
      <c r="G9479" t="str">
        <f>""</f>
        <v/>
      </c>
    </row>
    <row r="9480" spans="1:7" x14ac:dyDescent="0.25">
      <c r="A9480" t="s">
        <v>8</v>
      </c>
      <c r="B9480" s="1" t="str">
        <f>"32301878"</f>
        <v>32301878</v>
      </c>
      <c r="C9480" t="s">
        <v>4842</v>
      </c>
      <c r="D9480" s="1" t="str">
        <f t="shared" si="261"/>
        <v>PRG-1033634</v>
      </c>
      <c r="E9480" t="s">
        <v>25</v>
      </c>
      <c r="F9480" t="s">
        <v>5</v>
      </c>
      <c r="G9480" t="str">
        <f>""</f>
        <v/>
      </c>
    </row>
    <row r="9481" spans="1:7" x14ac:dyDescent="0.25">
      <c r="A9481" t="s">
        <v>8</v>
      </c>
      <c r="B9481" s="1" t="str">
        <f>"32302068"</f>
        <v>32302068</v>
      </c>
      <c r="C9481" t="s">
        <v>4846</v>
      </c>
      <c r="D9481" s="1" t="str">
        <f t="shared" ref="D9481:D9512" si="262">"PRG-1033634"</f>
        <v>PRG-1033634</v>
      </c>
      <c r="E9481" t="s">
        <v>25</v>
      </c>
      <c r="F9481" t="s">
        <v>5</v>
      </c>
      <c r="G9481" t="str">
        <f>""</f>
        <v/>
      </c>
    </row>
    <row r="9482" spans="1:7" x14ac:dyDescent="0.25">
      <c r="A9482" t="s">
        <v>8</v>
      </c>
      <c r="B9482" s="1" t="str">
        <f>"32302441"</f>
        <v>32302441</v>
      </c>
      <c r="C9482" t="s">
        <v>4853</v>
      </c>
      <c r="D9482" s="1" t="str">
        <f t="shared" si="262"/>
        <v>PRG-1033634</v>
      </c>
      <c r="E9482" t="s">
        <v>25</v>
      </c>
      <c r="F9482" t="s">
        <v>5</v>
      </c>
      <c r="G9482" t="str">
        <f>""</f>
        <v/>
      </c>
    </row>
    <row r="9483" spans="1:7" x14ac:dyDescent="0.25">
      <c r="A9483" t="s">
        <v>8</v>
      </c>
      <c r="B9483" s="1" t="str">
        <f>"32304687"</f>
        <v>32304687</v>
      </c>
      <c r="C9483" t="s">
        <v>4872</v>
      </c>
      <c r="D9483" s="1" t="str">
        <f t="shared" si="262"/>
        <v>PRG-1033634</v>
      </c>
      <c r="E9483" t="s">
        <v>25</v>
      </c>
      <c r="F9483" t="s">
        <v>5</v>
      </c>
      <c r="G9483" t="str">
        <f>""</f>
        <v/>
      </c>
    </row>
    <row r="9484" spans="1:7" x14ac:dyDescent="0.25">
      <c r="A9484" t="s">
        <v>8</v>
      </c>
      <c r="B9484" s="1" t="str">
        <f>"3230A684"</f>
        <v>3230A684</v>
      </c>
      <c r="C9484" t="s">
        <v>4896</v>
      </c>
      <c r="D9484" s="1" t="str">
        <f t="shared" si="262"/>
        <v>PRG-1033634</v>
      </c>
      <c r="E9484" t="s">
        <v>25</v>
      </c>
      <c r="F9484" t="s">
        <v>5</v>
      </c>
      <c r="G9484" t="str">
        <f>""</f>
        <v/>
      </c>
    </row>
    <row r="9485" spans="1:7" x14ac:dyDescent="0.25">
      <c r="A9485" t="s">
        <v>8</v>
      </c>
      <c r="B9485" s="1" t="str">
        <f>"3230E100"</f>
        <v>3230E100</v>
      </c>
      <c r="C9485" t="s">
        <v>4901</v>
      </c>
      <c r="D9485" s="1" t="str">
        <f t="shared" si="262"/>
        <v>PRG-1033634</v>
      </c>
      <c r="E9485" t="s">
        <v>25</v>
      </c>
      <c r="F9485" t="s">
        <v>5</v>
      </c>
      <c r="G9485" t="str">
        <f>""</f>
        <v/>
      </c>
    </row>
    <row r="9486" spans="1:7" x14ac:dyDescent="0.25">
      <c r="A9486" t="s">
        <v>8</v>
      </c>
      <c r="B9486" s="1" t="str">
        <f>"4120C630"</f>
        <v>4120C630</v>
      </c>
      <c r="C9486" t="s">
        <v>4984</v>
      </c>
      <c r="D9486" s="1" t="str">
        <f t="shared" si="262"/>
        <v>PRG-1033634</v>
      </c>
      <c r="E9486" t="s">
        <v>25</v>
      </c>
      <c r="F9486" t="s">
        <v>5</v>
      </c>
      <c r="G9486" t="str">
        <f>""</f>
        <v/>
      </c>
    </row>
    <row r="9487" spans="1:7" x14ac:dyDescent="0.25">
      <c r="A9487" t="s">
        <v>8</v>
      </c>
      <c r="B9487" s="1" t="str">
        <f>"4146B396"</f>
        <v>4146B396</v>
      </c>
      <c r="C9487" t="s">
        <v>4999</v>
      </c>
      <c r="D9487" s="1" t="str">
        <f t="shared" si="262"/>
        <v>PRG-1033634</v>
      </c>
      <c r="E9487" t="s">
        <v>25</v>
      </c>
      <c r="F9487" t="s">
        <v>5</v>
      </c>
      <c r="G9487" t="str">
        <f>""</f>
        <v/>
      </c>
    </row>
    <row r="9488" spans="1:7" x14ac:dyDescent="0.25">
      <c r="A9488" t="s">
        <v>8</v>
      </c>
      <c r="B9488" s="1" t="str">
        <f>"S3D00AL0"</f>
        <v>S3D00AL0</v>
      </c>
      <c r="C9488" t="s">
        <v>5589</v>
      </c>
      <c r="D9488" s="1" t="str">
        <f t="shared" si="262"/>
        <v>PRG-1033634</v>
      </c>
      <c r="E9488" t="s">
        <v>25</v>
      </c>
      <c r="F9488" t="s">
        <v>5</v>
      </c>
      <c r="G9488" t="str">
        <f>""</f>
        <v/>
      </c>
    </row>
    <row r="9489" spans="1:7" x14ac:dyDescent="0.25">
      <c r="A9489" t="s">
        <v>8</v>
      </c>
      <c r="B9489" s="1" t="str">
        <f>"S3D00FU0"</f>
        <v>S3D00FU0</v>
      </c>
      <c r="C9489" t="s">
        <v>5590</v>
      </c>
      <c r="D9489" s="1" t="str">
        <f t="shared" si="262"/>
        <v>PRG-1033634</v>
      </c>
      <c r="E9489" t="s">
        <v>25</v>
      </c>
      <c r="F9489" t="s">
        <v>5</v>
      </c>
      <c r="G9489" t="str">
        <f>""</f>
        <v/>
      </c>
    </row>
    <row r="9490" spans="1:7" x14ac:dyDescent="0.25">
      <c r="A9490" t="s">
        <v>8</v>
      </c>
      <c r="B9490" s="1" t="str">
        <f>"S3E00130"</f>
        <v>S3E00130</v>
      </c>
      <c r="C9490" t="s">
        <v>5592</v>
      </c>
      <c r="D9490" s="1" t="str">
        <f t="shared" si="262"/>
        <v>PRG-1033634</v>
      </c>
      <c r="E9490" t="s">
        <v>25</v>
      </c>
      <c r="F9490" t="s">
        <v>5</v>
      </c>
      <c r="G9490" t="str">
        <f>""</f>
        <v/>
      </c>
    </row>
    <row r="9491" spans="1:7" x14ac:dyDescent="0.25">
      <c r="A9491" t="s">
        <v>8</v>
      </c>
      <c r="B9491" s="1" t="str">
        <f>"S4C00L20"</f>
        <v>S4C00L20</v>
      </c>
      <c r="C9491" t="s">
        <v>5700</v>
      </c>
      <c r="D9491" s="1" t="str">
        <f t="shared" si="262"/>
        <v>PRG-1033634</v>
      </c>
      <c r="E9491" t="s">
        <v>25</v>
      </c>
      <c r="F9491" t="s">
        <v>5</v>
      </c>
      <c r="G9491" t="str">
        <f>""</f>
        <v/>
      </c>
    </row>
    <row r="9492" spans="1:7" x14ac:dyDescent="0.25">
      <c r="A9492" t="s">
        <v>8</v>
      </c>
      <c r="B9492" s="1" t="str">
        <f>"S4C00L21"</f>
        <v>S4C00L21</v>
      </c>
      <c r="C9492" t="s">
        <v>5700</v>
      </c>
      <c r="D9492" s="1" t="str">
        <f t="shared" si="262"/>
        <v>PRG-1033634</v>
      </c>
      <c r="E9492" t="s">
        <v>25</v>
      </c>
      <c r="F9492" t="s">
        <v>5</v>
      </c>
      <c r="G9492" t="str">
        <f>""</f>
        <v/>
      </c>
    </row>
    <row r="9493" spans="1:7" x14ac:dyDescent="0.25">
      <c r="A9493" t="s">
        <v>8</v>
      </c>
      <c r="B9493" s="1" t="str">
        <f>"S4I009V0"</f>
        <v>S4I009V0</v>
      </c>
      <c r="C9493" t="s">
        <v>5725</v>
      </c>
      <c r="D9493" s="1" t="str">
        <f t="shared" si="262"/>
        <v>PRG-1033634</v>
      </c>
      <c r="E9493" t="s">
        <v>25</v>
      </c>
      <c r="F9493" t="s">
        <v>5</v>
      </c>
      <c r="G9493" t="str">
        <f>""</f>
        <v/>
      </c>
    </row>
    <row r="9494" spans="1:7" x14ac:dyDescent="0.25">
      <c r="A9494" t="s">
        <v>8</v>
      </c>
      <c r="B9494" s="1" t="str">
        <f>"S5D03NE0"</f>
        <v>S5D03NE0</v>
      </c>
      <c r="C9494" t="s">
        <v>5802</v>
      </c>
      <c r="D9494" s="1" t="str">
        <f t="shared" si="262"/>
        <v>PRG-1033634</v>
      </c>
      <c r="E9494" t="s">
        <v>25</v>
      </c>
      <c r="F9494" t="s">
        <v>5</v>
      </c>
      <c r="G9494" t="str">
        <f>""</f>
        <v/>
      </c>
    </row>
    <row r="9495" spans="1:7" x14ac:dyDescent="0.25">
      <c r="A9495" t="s">
        <v>8</v>
      </c>
      <c r="B9495" s="1" t="str">
        <f>"S5I00960"</f>
        <v>S5I00960</v>
      </c>
      <c r="C9495" t="s">
        <v>5322</v>
      </c>
      <c r="D9495" s="1" t="str">
        <f t="shared" si="262"/>
        <v>PRG-1033634</v>
      </c>
      <c r="E9495" t="s">
        <v>25</v>
      </c>
      <c r="F9495" t="s">
        <v>5</v>
      </c>
      <c r="G9495" t="str">
        <f>""</f>
        <v/>
      </c>
    </row>
    <row r="9496" spans="1:7" x14ac:dyDescent="0.25">
      <c r="A9496" t="s">
        <v>8</v>
      </c>
      <c r="B9496" s="1" t="str">
        <f>"S5I00J10"</f>
        <v>S5I00J10</v>
      </c>
      <c r="C9496" t="s">
        <v>5841</v>
      </c>
      <c r="D9496" s="1" t="str">
        <f t="shared" si="262"/>
        <v>PRG-1033634</v>
      </c>
      <c r="E9496" t="s">
        <v>25</v>
      </c>
      <c r="F9496" t="s">
        <v>5</v>
      </c>
      <c r="G9496" t="str">
        <f>""</f>
        <v/>
      </c>
    </row>
    <row r="9497" spans="1:7" x14ac:dyDescent="0.25">
      <c r="A9497" t="s">
        <v>8</v>
      </c>
      <c r="B9497" s="1" t="str">
        <f>"S5I00N90"</f>
        <v>S5I00N90</v>
      </c>
      <c r="C9497" t="s">
        <v>5842</v>
      </c>
      <c r="D9497" s="1" t="str">
        <f t="shared" si="262"/>
        <v>PRG-1033634</v>
      </c>
      <c r="E9497" t="s">
        <v>25</v>
      </c>
      <c r="F9497" t="s">
        <v>5</v>
      </c>
      <c r="G9497" t="str">
        <f>""</f>
        <v/>
      </c>
    </row>
    <row r="9498" spans="1:7" x14ac:dyDescent="0.25">
      <c r="A9498" t="s">
        <v>8</v>
      </c>
      <c r="B9498" s="1" t="str">
        <f>"S5I014Y0"</f>
        <v>S5I014Y0</v>
      </c>
      <c r="C9498" t="s">
        <v>5854</v>
      </c>
      <c r="D9498" s="1" t="str">
        <f t="shared" si="262"/>
        <v>PRG-1033634</v>
      </c>
      <c r="E9498" t="s">
        <v>25</v>
      </c>
      <c r="F9498" t="s">
        <v>5</v>
      </c>
      <c r="G9498" t="str">
        <f>""</f>
        <v/>
      </c>
    </row>
    <row r="9499" spans="1:7" x14ac:dyDescent="0.25">
      <c r="A9499" t="s">
        <v>8</v>
      </c>
      <c r="B9499" s="1" t="str">
        <f>"S5I019B0"</f>
        <v>S5I019B0</v>
      </c>
      <c r="C9499" t="s">
        <v>5859</v>
      </c>
      <c r="D9499" s="1" t="str">
        <f t="shared" si="262"/>
        <v>PRG-1033634</v>
      </c>
      <c r="E9499" t="s">
        <v>25</v>
      </c>
      <c r="F9499" t="s">
        <v>5</v>
      </c>
      <c r="G9499" t="str">
        <f>""</f>
        <v/>
      </c>
    </row>
    <row r="9500" spans="1:7" x14ac:dyDescent="0.25">
      <c r="A9500" t="s">
        <v>8</v>
      </c>
      <c r="B9500" s="1" t="str">
        <f>"S5I01FC0"</f>
        <v>S5I01FC0</v>
      </c>
      <c r="C9500" t="s">
        <v>5864</v>
      </c>
      <c r="D9500" s="1" t="str">
        <f t="shared" si="262"/>
        <v>PRG-1033634</v>
      </c>
      <c r="E9500" t="s">
        <v>25</v>
      </c>
      <c r="F9500" t="s">
        <v>5</v>
      </c>
      <c r="G9500" t="str">
        <f>""</f>
        <v/>
      </c>
    </row>
    <row r="9501" spans="1:7" x14ac:dyDescent="0.25">
      <c r="A9501" t="s">
        <v>8</v>
      </c>
      <c r="B9501" s="1" t="str">
        <f>"S5I01J30"</f>
        <v>S5I01J30</v>
      </c>
      <c r="C9501" t="s">
        <v>5867</v>
      </c>
      <c r="D9501" s="1" t="str">
        <f t="shared" si="262"/>
        <v>PRG-1033634</v>
      </c>
      <c r="E9501" t="s">
        <v>25</v>
      </c>
      <c r="F9501" t="s">
        <v>5</v>
      </c>
      <c r="G9501" t="str">
        <f>""</f>
        <v/>
      </c>
    </row>
    <row r="9502" spans="1:7" x14ac:dyDescent="0.25">
      <c r="A9502" t="s">
        <v>8</v>
      </c>
      <c r="B9502" s="1" t="str">
        <f>"S5I01L80"</f>
        <v>S5I01L80</v>
      </c>
      <c r="C9502" t="s">
        <v>5868</v>
      </c>
      <c r="D9502" s="1" t="str">
        <f t="shared" si="262"/>
        <v>PRG-1033634</v>
      </c>
      <c r="E9502" t="s">
        <v>25</v>
      </c>
      <c r="F9502" t="s">
        <v>5</v>
      </c>
      <c r="G9502" t="str">
        <f>""</f>
        <v/>
      </c>
    </row>
    <row r="9503" spans="1:7" x14ac:dyDescent="0.25">
      <c r="A9503" t="s">
        <v>8</v>
      </c>
      <c r="B9503" s="1" t="str">
        <f>"S5I01TO0"</f>
        <v>S5I01TO0</v>
      </c>
      <c r="C9503" t="s">
        <v>5873</v>
      </c>
      <c r="D9503" s="1" t="str">
        <f t="shared" si="262"/>
        <v>PRG-1033634</v>
      </c>
      <c r="E9503" t="s">
        <v>25</v>
      </c>
      <c r="F9503" t="s">
        <v>5</v>
      </c>
      <c r="G9503" t="str">
        <f>""</f>
        <v/>
      </c>
    </row>
    <row r="9504" spans="1:7" x14ac:dyDescent="0.25">
      <c r="A9504" t="s">
        <v>8</v>
      </c>
      <c r="B9504" s="1" t="str">
        <f>"S5I01YX0"</f>
        <v>S5I01YX0</v>
      </c>
      <c r="C9504" t="s">
        <v>5874</v>
      </c>
      <c r="D9504" s="1" t="str">
        <f t="shared" si="262"/>
        <v>PRG-1033634</v>
      </c>
      <c r="E9504" t="s">
        <v>25</v>
      </c>
      <c r="F9504" t="s">
        <v>5</v>
      </c>
      <c r="G9504" t="str">
        <f>""</f>
        <v/>
      </c>
    </row>
    <row r="9505" spans="1:7" x14ac:dyDescent="0.25">
      <c r="A9505" t="s">
        <v>8</v>
      </c>
      <c r="B9505" s="1" t="str">
        <f>"S5I031L0"</f>
        <v>S5I031L0</v>
      </c>
      <c r="C9505" t="s">
        <v>5883</v>
      </c>
      <c r="D9505" s="1" t="str">
        <f t="shared" si="262"/>
        <v>PRG-1033634</v>
      </c>
      <c r="E9505" t="s">
        <v>25</v>
      </c>
      <c r="F9505" t="s">
        <v>5</v>
      </c>
      <c r="G9505" t="str">
        <f>""</f>
        <v/>
      </c>
    </row>
    <row r="9506" spans="1:7" x14ac:dyDescent="0.25">
      <c r="A9506" t="s">
        <v>8</v>
      </c>
      <c r="B9506" s="1" t="str">
        <f>"S5Y00DL0"</f>
        <v>S5Y00DL0</v>
      </c>
      <c r="C9506" t="s">
        <v>5937</v>
      </c>
      <c r="D9506" s="1" t="str">
        <f t="shared" si="262"/>
        <v>PRG-1033634</v>
      </c>
      <c r="E9506" t="s">
        <v>25</v>
      </c>
      <c r="F9506" t="s">
        <v>5</v>
      </c>
      <c r="G9506" t="str">
        <f>""</f>
        <v/>
      </c>
    </row>
    <row r="9507" spans="1:7" x14ac:dyDescent="0.25">
      <c r="A9507" t="s">
        <v>8</v>
      </c>
      <c r="B9507" s="1" t="str">
        <f>"S5Z00OT0"</f>
        <v>S5Z00OT0</v>
      </c>
      <c r="C9507" t="s">
        <v>5952</v>
      </c>
      <c r="D9507" s="1" t="str">
        <f t="shared" si="262"/>
        <v>PRG-1033634</v>
      </c>
      <c r="E9507" t="s">
        <v>25</v>
      </c>
      <c r="F9507" t="s">
        <v>5</v>
      </c>
      <c r="G9507" t="str">
        <f>""</f>
        <v/>
      </c>
    </row>
    <row r="9508" spans="1:7" x14ac:dyDescent="0.25">
      <c r="A9508" t="s">
        <v>8</v>
      </c>
      <c r="B9508" s="1" t="str">
        <f>"S5Z01O80"</f>
        <v>S5Z01O80</v>
      </c>
      <c r="C9508" t="s">
        <v>5976</v>
      </c>
      <c r="D9508" s="1" t="str">
        <f t="shared" si="262"/>
        <v>PRG-1033634</v>
      </c>
      <c r="E9508" t="s">
        <v>25</v>
      </c>
      <c r="F9508" t="s">
        <v>5</v>
      </c>
      <c r="G9508" t="str">
        <f>""</f>
        <v/>
      </c>
    </row>
    <row r="9509" spans="1:7" x14ac:dyDescent="0.25">
      <c r="A9509" t="s">
        <v>8</v>
      </c>
      <c r="B9509" s="1" t="str">
        <f>"S6D00BP0"</f>
        <v>S6D00BP0</v>
      </c>
      <c r="C9509" t="s">
        <v>6030</v>
      </c>
      <c r="D9509" s="1" t="str">
        <f t="shared" si="262"/>
        <v>PRG-1033634</v>
      </c>
      <c r="E9509" t="s">
        <v>25</v>
      </c>
      <c r="F9509" t="s">
        <v>5</v>
      </c>
      <c r="G9509" t="str">
        <f>""</f>
        <v/>
      </c>
    </row>
    <row r="9510" spans="1:7" x14ac:dyDescent="0.25">
      <c r="A9510" t="s">
        <v>8</v>
      </c>
      <c r="B9510" s="1" t="str">
        <f>"S6F00740"</f>
        <v>S6F00740</v>
      </c>
      <c r="C9510" t="s">
        <v>6041</v>
      </c>
      <c r="D9510" s="1" t="str">
        <f t="shared" si="262"/>
        <v>PRG-1033634</v>
      </c>
      <c r="E9510" t="s">
        <v>25</v>
      </c>
      <c r="F9510" t="s">
        <v>5</v>
      </c>
      <c r="G9510" t="str">
        <f>""</f>
        <v/>
      </c>
    </row>
    <row r="9511" spans="1:7" x14ac:dyDescent="0.25">
      <c r="A9511" t="s">
        <v>8</v>
      </c>
      <c r="B9511" s="1" t="str">
        <f>"S6G00IQ0"</f>
        <v>S6G00IQ0</v>
      </c>
      <c r="C9511" t="s">
        <v>6069</v>
      </c>
      <c r="D9511" s="1" t="str">
        <f t="shared" si="262"/>
        <v>PRG-1033634</v>
      </c>
      <c r="E9511" t="s">
        <v>25</v>
      </c>
      <c r="F9511" t="s">
        <v>5</v>
      </c>
      <c r="G9511" t="str">
        <f>""</f>
        <v/>
      </c>
    </row>
    <row r="9512" spans="1:7" x14ac:dyDescent="0.25">
      <c r="A9512" t="s">
        <v>8</v>
      </c>
      <c r="B9512" s="1" t="str">
        <f>"S6I016U0"</f>
        <v>S6I016U0</v>
      </c>
      <c r="C9512" t="s">
        <v>6090</v>
      </c>
      <c r="D9512" s="1" t="str">
        <f t="shared" si="262"/>
        <v>PRG-1033634</v>
      </c>
      <c r="E9512" t="s">
        <v>25</v>
      </c>
      <c r="F9512" t="s">
        <v>5</v>
      </c>
      <c r="G9512" t="str">
        <f>""</f>
        <v/>
      </c>
    </row>
    <row r="9513" spans="1:7" x14ac:dyDescent="0.25">
      <c r="A9513" t="s">
        <v>8</v>
      </c>
      <c r="B9513" s="1" t="str">
        <f>"S6J01IO0"</f>
        <v>S6J01IO0</v>
      </c>
      <c r="C9513" t="s">
        <v>6113</v>
      </c>
      <c r="D9513" s="1" t="str">
        <f t="shared" ref="D9513:D9535" si="263">"PRG-1033634"</f>
        <v>PRG-1033634</v>
      </c>
      <c r="E9513" t="s">
        <v>25</v>
      </c>
      <c r="F9513" t="s">
        <v>5</v>
      </c>
      <c r="G9513" t="str">
        <f>""</f>
        <v/>
      </c>
    </row>
    <row r="9514" spans="1:7" x14ac:dyDescent="0.25">
      <c r="A9514" t="s">
        <v>8</v>
      </c>
      <c r="B9514" s="1" t="str">
        <f>"S6J024B0"</f>
        <v>S6J024B0</v>
      </c>
      <c r="C9514" t="s">
        <v>6120</v>
      </c>
      <c r="D9514" s="1" t="str">
        <f t="shared" si="263"/>
        <v>PRG-1033634</v>
      </c>
      <c r="E9514" t="s">
        <v>25</v>
      </c>
      <c r="F9514" t="s">
        <v>5</v>
      </c>
      <c r="G9514" t="str">
        <f>""</f>
        <v/>
      </c>
    </row>
    <row r="9515" spans="1:7" x14ac:dyDescent="0.25">
      <c r="A9515" t="s">
        <v>8</v>
      </c>
      <c r="B9515" s="1" t="str">
        <f>"S6J033R0"</f>
        <v>S6J033R0</v>
      </c>
      <c r="C9515" t="s">
        <v>6125</v>
      </c>
      <c r="D9515" s="1" t="str">
        <f t="shared" si="263"/>
        <v>PRG-1033634</v>
      </c>
      <c r="E9515" t="s">
        <v>25</v>
      </c>
      <c r="F9515" t="s">
        <v>5</v>
      </c>
      <c r="G9515" t="str">
        <f>""</f>
        <v/>
      </c>
    </row>
    <row r="9516" spans="1:7" x14ac:dyDescent="0.25">
      <c r="A9516" t="s">
        <v>8</v>
      </c>
      <c r="B9516" s="1" t="str">
        <f>"S6J04PU0"</f>
        <v>S6J04PU0</v>
      </c>
      <c r="C9516" t="s">
        <v>6148</v>
      </c>
      <c r="D9516" s="1" t="str">
        <f t="shared" si="263"/>
        <v>PRG-1033634</v>
      </c>
      <c r="E9516" t="s">
        <v>25</v>
      </c>
      <c r="F9516" t="s">
        <v>5</v>
      </c>
      <c r="G9516" t="str">
        <f>""</f>
        <v/>
      </c>
    </row>
    <row r="9517" spans="1:7" x14ac:dyDescent="0.25">
      <c r="A9517" t="s">
        <v>8</v>
      </c>
      <c r="B9517" s="1" t="str">
        <f>"S6J04U00"</f>
        <v>S6J04U00</v>
      </c>
      <c r="C9517" t="s">
        <v>6150</v>
      </c>
      <c r="D9517" s="1" t="str">
        <f t="shared" si="263"/>
        <v>PRG-1033634</v>
      </c>
      <c r="E9517" t="s">
        <v>25</v>
      </c>
      <c r="F9517" t="s">
        <v>5</v>
      </c>
      <c r="G9517" t="str">
        <f>""</f>
        <v/>
      </c>
    </row>
    <row r="9518" spans="1:7" x14ac:dyDescent="0.25">
      <c r="A9518" t="s">
        <v>8</v>
      </c>
      <c r="B9518" s="1" t="str">
        <f>"S6J04Y00"</f>
        <v>S6J04Y00</v>
      </c>
      <c r="C9518" t="s">
        <v>6152</v>
      </c>
      <c r="D9518" s="1" t="str">
        <f t="shared" si="263"/>
        <v>PRG-1033634</v>
      </c>
      <c r="E9518" t="s">
        <v>25</v>
      </c>
      <c r="F9518" t="s">
        <v>5</v>
      </c>
      <c r="G9518" t="str">
        <f>""</f>
        <v/>
      </c>
    </row>
    <row r="9519" spans="1:7" x14ac:dyDescent="0.25">
      <c r="A9519" t="s">
        <v>8</v>
      </c>
      <c r="B9519" s="1" t="str">
        <f>"S6J05230"</f>
        <v>S6J05230</v>
      </c>
      <c r="C9519" t="s">
        <v>6153</v>
      </c>
      <c r="D9519" s="1" t="str">
        <f t="shared" si="263"/>
        <v>PRG-1033634</v>
      </c>
      <c r="E9519" t="s">
        <v>25</v>
      </c>
      <c r="F9519" t="s">
        <v>5</v>
      </c>
      <c r="G9519" t="str">
        <f>""</f>
        <v/>
      </c>
    </row>
    <row r="9520" spans="1:7" x14ac:dyDescent="0.25">
      <c r="A9520" t="s">
        <v>8</v>
      </c>
      <c r="B9520" s="1" t="str">
        <f>"S6J058I0"</f>
        <v>S6J058I0</v>
      </c>
      <c r="C9520" t="s">
        <v>6155</v>
      </c>
      <c r="D9520" s="1" t="str">
        <f t="shared" si="263"/>
        <v>PRG-1033634</v>
      </c>
      <c r="E9520" t="s">
        <v>25</v>
      </c>
      <c r="F9520" t="s">
        <v>5</v>
      </c>
      <c r="G9520" t="str">
        <f>""</f>
        <v/>
      </c>
    </row>
    <row r="9521" spans="1:7" x14ac:dyDescent="0.25">
      <c r="A9521" t="s">
        <v>8</v>
      </c>
      <c r="B9521" s="1" t="str">
        <f>"S6J05A00"</f>
        <v>S6J05A00</v>
      </c>
      <c r="C9521" t="s">
        <v>6156</v>
      </c>
      <c r="D9521" s="1" t="str">
        <f t="shared" si="263"/>
        <v>PRG-1033634</v>
      </c>
      <c r="E9521" t="s">
        <v>25</v>
      </c>
      <c r="F9521" t="s">
        <v>5</v>
      </c>
      <c r="G9521" t="str">
        <f>""</f>
        <v/>
      </c>
    </row>
    <row r="9522" spans="1:7" x14ac:dyDescent="0.25">
      <c r="A9522" t="s">
        <v>8</v>
      </c>
      <c r="B9522" s="1" t="str">
        <f>"S6J05N70"</f>
        <v>S6J05N70</v>
      </c>
      <c r="C9522" t="s">
        <v>6157</v>
      </c>
      <c r="D9522" s="1" t="str">
        <f t="shared" si="263"/>
        <v>PRG-1033634</v>
      </c>
      <c r="E9522" t="s">
        <v>25</v>
      </c>
      <c r="F9522" t="s">
        <v>5</v>
      </c>
      <c r="G9522" t="str">
        <f>""</f>
        <v/>
      </c>
    </row>
    <row r="9523" spans="1:7" x14ac:dyDescent="0.25">
      <c r="A9523" t="s">
        <v>8</v>
      </c>
      <c r="B9523" s="1" t="str">
        <f>"S6J07P30"</f>
        <v>S6J07P30</v>
      </c>
      <c r="C9523" t="s">
        <v>6175</v>
      </c>
      <c r="D9523" s="1" t="str">
        <f t="shared" si="263"/>
        <v>PRG-1033634</v>
      </c>
      <c r="E9523" t="s">
        <v>25</v>
      </c>
      <c r="F9523" t="s">
        <v>5</v>
      </c>
      <c r="G9523" t="str">
        <f>""</f>
        <v/>
      </c>
    </row>
    <row r="9524" spans="1:7" x14ac:dyDescent="0.25">
      <c r="A9524" t="s">
        <v>8</v>
      </c>
      <c r="B9524" s="1" t="str">
        <f>"S6J08PB0"</f>
        <v>S6J08PB0</v>
      </c>
      <c r="C9524" t="s">
        <v>6177</v>
      </c>
      <c r="D9524" s="1" t="str">
        <f t="shared" si="263"/>
        <v>PRG-1033634</v>
      </c>
      <c r="E9524" t="s">
        <v>25</v>
      </c>
      <c r="F9524" t="s">
        <v>5</v>
      </c>
      <c r="G9524" t="str">
        <f>""</f>
        <v/>
      </c>
    </row>
    <row r="9525" spans="1:7" x14ac:dyDescent="0.25">
      <c r="A9525" t="s">
        <v>8</v>
      </c>
      <c r="B9525" s="1" t="str">
        <f>"S6J09NE0"</f>
        <v>S6J09NE0</v>
      </c>
      <c r="C9525" t="s">
        <v>6181</v>
      </c>
      <c r="D9525" s="1" t="str">
        <f t="shared" si="263"/>
        <v>PRG-1033634</v>
      </c>
      <c r="E9525" t="s">
        <v>25</v>
      </c>
      <c r="F9525" t="s">
        <v>5</v>
      </c>
      <c r="G9525" t="str">
        <f>""</f>
        <v/>
      </c>
    </row>
    <row r="9526" spans="1:7" x14ac:dyDescent="0.25">
      <c r="A9526" t="s">
        <v>8</v>
      </c>
      <c r="B9526" s="1" t="str">
        <f>"S6J09SZ0"</f>
        <v>S6J09SZ0</v>
      </c>
      <c r="C9526" t="s">
        <v>6182</v>
      </c>
      <c r="D9526" s="1" t="str">
        <f t="shared" si="263"/>
        <v>PRG-1033634</v>
      </c>
      <c r="E9526" t="s">
        <v>25</v>
      </c>
      <c r="F9526" t="s">
        <v>5</v>
      </c>
      <c r="G9526" t="str">
        <f>""</f>
        <v/>
      </c>
    </row>
    <row r="9527" spans="1:7" x14ac:dyDescent="0.25">
      <c r="A9527" t="s">
        <v>8</v>
      </c>
      <c r="B9527" s="1" t="str">
        <f>"S8N00E80"</f>
        <v>S8N00E80</v>
      </c>
      <c r="C9527" t="s">
        <v>6255</v>
      </c>
      <c r="D9527" s="1" t="str">
        <f t="shared" si="263"/>
        <v>PRG-1033634</v>
      </c>
      <c r="E9527" t="s">
        <v>25</v>
      </c>
      <c r="F9527" t="s">
        <v>5</v>
      </c>
      <c r="G9527" t="str">
        <f>""</f>
        <v/>
      </c>
    </row>
    <row r="9528" spans="1:7" x14ac:dyDescent="0.25">
      <c r="A9528" t="s">
        <v>8</v>
      </c>
      <c r="B9528" s="1" t="str">
        <f>"S8S00A90"</f>
        <v>S8S00A90</v>
      </c>
      <c r="C9528" t="s">
        <v>6274</v>
      </c>
      <c r="D9528" s="1" t="str">
        <f t="shared" si="263"/>
        <v>PRG-1033634</v>
      </c>
      <c r="E9528" t="s">
        <v>25</v>
      </c>
      <c r="F9528" t="s">
        <v>5</v>
      </c>
      <c r="G9528" t="str">
        <f>""</f>
        <v/>
      </c>
    </row>
    <row r="9529" spans="1:7" x14ac:dyDescent="0.25">
      <c r="A9529" t="s">
        <v>8</v>
      </c>
      <c r="B9529" s="1" t="str">
        <f>"S8S00NI0"</f>
        <v>S8S00NI0</v>
      </c>
      <c r="C9529" t="s">
        <v>6276</v>
      </c>
      <c r="D9529" s="1" t="str">
        <f t="shared" si="263"/>
        <v>PRG-1033634</v>
      </c>
      <c r="E9529" t="s">
        <v>25</v>
      </c>
      <c r="F9529" t="s">
        <v>5</v>
      </c>
      <c r="G9529" t="str">
        <f>""</f>
        <v/>
      </c>
    </row>
    <row r="9530" spans="1:7" x14ac:dyDescent="0.25">
      <c r="A9530" t="s">
        <v>8</v>
      </c>
      <c r="B9530" s="1" t="str">
        <f>"S8U00O80"</f>
        <v>S8U00O80</v>
      </c>
      <c r="C9530" t="s">
        <v>6283</v>
      </c>
      <c r="D9530" s="1" t="str">
        <f t="shared" si="263"/>
        <v>PRG-1033634</v>
      </c>
      <c r="E9530" t="s">
        <v>25</v>
      </c>
      <c r="F9530" t="s">
        <v>5</v>
      </c>
      <c r="G9530" t="str">
        <f>""</f>
        <v/>
      </c>
    </row>
    <row r="9531" spans="1:7" x14ac:dyDescent="0.25">
      <c r="A9531" t="s">
        <v>8</v>
      </c>
      <c r="B9531" s="1" t="str">
        <f>"S8U00RE0"</f>
        <v>S8U00RE0</v>
      </c>
      <c r="C9531" t="s">
        <v>6284</v>
      </c>
      <c r="D9531" s="1" t="str">
        <f t="shared" si="263"/>
        <v>PRG-1033634</v>
      </c>
      <c r="E9531" t="s">
        <v>25</v>
      </c>
      <c r="F9531" t="s">
        <v>5</v>
      </c>
      <c r="G9531" t="str">
        <f>""</f>
        <v/>
      </c>
    </row>
    <row r="9532" spans="1:7" x14ac:dyDescent="0.25">
      <c r="A9532" t="s">
        <v>8</v>
      </c>
      <c r="B9532" s="1" t="str">
        <f>"S8U00U80"</f>
        <v>S8U00U80</v>
      </c>
      <c r="C9532" t="s">
        <v>6285</v>
      </c>
      <c r="D9532" s="1" t="str">
        <f t="shared" si="263"/>
        <v>PRG-1033634</v>
      </c>
      <c r="E9532" t="s">
        <v>25</v>
      </c>
      <c r="F9532" t="s">
        <v>5</v>
      </c>
      <c r="G9532" t="str">
        <f>""</f>
        <v/>
      </c>
    </row>
    <row r="9533" spans="1:7" x14ac:dyDescent="0.25">
      <c r="A9533" t="s">
        <v>8</v>
      </c>
      <c r="B9533" s="1" t="str">
        <f>"S8U017E0"</f>
        <v>S8U017E0</v>
      </c>
      <c r="C9533" t="s">
        <v>6288</v>
      </c>
      <c r="D9533" s="1" t="str">
        <f t="shared" si="263"/>
        <v>PRG-1033634</v>
      </c>
      <c r="E9533" t="s">
        <v>25</v>
      </c>
      <c r="F9533" t="s">
        <v>5</v>
      </c>
      <c r="G9533" t="str">
        <f>""</f>
        <v/>
      </c>
    </row>
    <row r="9534" spans="1:7" x14ac:dyDescent="0.25">
      <c r="A9534" t="s">
        <v>8</v>
      </c>
      <c r="B9534" s="1" t="str">
        <f>"T4C00012"</f>
        <v>T4C00012</v>
      </c>
      <c r="C9534" t="s">
        <v>4984</v>
      </c>
      <c r="D9534" s="1" t="str">
        <f t="shared" si="263"/>
        <v>PRG-1033634</v>
      </c>
      <c r="E9534" t="s">
        <v>25</v>
      </c>
      <c r="F9534" t="s">
        <v>5</v>
      </c>
      <c r="G9534" t="str">
        <f>""</f>
        <v/>
      </c>
    </row>
    <row r="9535" spans="1:7" x14ac:dyDescent="0.25">
      <c r="A9535" t="s">
        <v>8</v>
      </c>
      <c r="B9535" s="1" t="str">
        <f>"T4C0002C"</f>
        <v>T4C0002C</v>
      </c>
      <c r="C9535" t="s">
        <v>4987</v>
      </c>
      <c r="D9535" s="1" t="str">
        <f t="shared" si="263"/>
        <v>PRG-1033634</v>
      </c>
      <c r="E9535" t="s">
        <v>25</v>
      </c>
      <c r="F9535" t="s">
        <v>5</v>
      </c>
      <c r="G9535" t="str">
        <f>""</f>
        <v/>
      </c>
    </row>
    <row r="9536" spans="1:7" x14ac:dyDescent="0.25">
      <c r="A9536" t="s">
        <v>8</v>
      </c>
      <c r="B9536" s="1" t="str">
        <f>"000311013 - RICH BETTERCREME CORE BB-CLDST"</f>
        <v>000311013 - RICH BETTERCREME CORE BB-CLDST</v>
      </c>
      <c r="C9536" t="s">
        <v>106</v>
      </c>
      <c r="D9536" s="1" t="str">
        <f>"PRG-1033733"</f>
        <v>PRG-1033733</v>
      </c>
      <c r="E9536" t="s">
        <v>3113</v>
      </c>
      <c r="F9536" t="s">
        <v>4</v>
      </c>
      <c r="G9536" t="str">
        <f>""</f>
        <v/>
      </c>
    </row>
    <row r="9537" spans="1:7" x14ac:dyDescent="0.25">
      <c r="A9537" t="s">
        <v>8</v>
      </c>
      <c r="B9537" s="1" t="str">
        <f>"000002005 - RICH BETTERCREME CORE BB-CLDST"</f>
        <v>000002005 - RICH BETTERCREME CORE BB-CLDST</v>
      </c>
      <c r="C9537" t="s">
        <v>106</v>
      </c>
      <c r="D9537" s="1" t="str">
        <f t="shared" ref="D9537:D9574" si="264">"PRG-1033734"</f>
        <v>PRG-1033734</v>
      </c>
      <c r="E9537" t="s">
        <v>69</v>
      </c>
      <c r="F9537" t="s">
        <v>4</v>
      </c>
      <c r="G9537" t="str">
        <f>""</f>
        <v/>
      </c>
    </row>
    <row r="9538" spans="1:7" x14ac:dyDescent="0.25">
      <c r="A9538" t="s">
        <v>8</v>
      </c>
      <c r="B9538" s="1" t="str">
        <f>"000125940 - RICH BETTERCREME NCORE-COLDSTN"</f>
        <v>000125940 - RICH BETTERCREME NCORE-COLDSTN</v>
      </c>
      <c r="C9538" t="s">
        <v>914</v>
      </c>
      <c r="D9538" s="1" t="str">
        <f t="shared" si="264"/>
        <v>PRG-1033734</v>
      </c>
      <c r="E9538" t="s">
        <v>69</v>
      </c>
      <c r="F9538" t="s">
        <v>4</v>
      </c>
      <c r="G9538" t="str">
        <f>""</f>
        <v/>
      </c>
    </row>
    <row r="9539" spans="1:7" x14ac:dyDescent="0.25">
      <c r="A9539" t="s">
        <v>8</v>
      </c>
      <c r="B9539" s="1" t="str">
        <f>"000125942 - RICH BETTERCREME CORE BB-CLDST"</f>
        <v>000125942 - RICH BETTERCREME CORE BB-CLDST</v>
      </c>
      <c r="C9539" t="s">
        <v>106</v>
      </c>
      <c r="D9539" s="1" t="str">
        <f t="shared" si="264"/>
        <v>PRG-1033734</v>
      </c>
      <c r="E9539" t="s">
        <v>69</v>
      </c>
      <c r="F9539" t="s">
        <v>4</v>
      </c>
      <c r="G9539" t="str">
        <f>""</f>
        <v/>
      </c>
    </row>
    <row r="9540" spans="1:7" x14ac:dyDescent="0.25">
      <c r="A9540" t="s">
        <v>8</v>
      </c>
      <c r="B9540" s="1" t="str">
        <f>"000129989 - RICH BETTERCREME CORE BB-CLDST"</f>
        <v>000129989 - RICH BETTERCREME CORE BB-CLDST</v>
      </c>
      <c r="C9540" t="s">
        <v>106</v>
      </c>
      <c r="D9540" s="1" t="str">
        <f t="shared" si="264"/>
        <v>PRG-1033734</v>
      </c>
      <c r="E9540" t="s">
        <v>69</v>
      </c>
      <c r="F9540" t="s">
        <v>4</v>
      </c>
      <c r="G9540" t="str">
        <f>""</f>
        <v/>
      </c>
    </row>
    <row r="9541" spans="1:7" x14ac:dyDescent="0.25">
      <c r="A9541" t="s">
        <v>8</v>
      </c>
      <c r="B9541" s="1" t="str">
        <f>"000226816 - BB COLDSTONE FOB RICHS"</f>
        <v>000226816 - BB COLDSTONE FOB RICHS</v>
      </c>
      <c r="C9541" t="s">
        <v>1361</v>
      </c>
      <c r="D9541" s="1" t="str">
        <f t="shared" si="264"/>
        <v>PRG-1033734</v>
      </c>
      <c r="E9541" t="s">
        <v>69</v>
      </c>
      <c r="F9541" t="s">
        <v>4</v>
      </c>
      <c r="G9541" t="str">
        <f>""</f>
        <v/>
      </c>
    </row>
    <row r="9542" spans="1:7" x14ac:dyDescent="0.25">
      <c r="A9542" t="s">
        <v>8</v>
      </c>
      <c r="B9542" s="1" t="str">
        <f>"000230218 - BB COLDSTONE FOB RICHS"</f>
        <v>000230218 - BB COLDSTONE FOB RICHS</v>
      </c>
      <c r="C9542" t="s">
        <v>1361</v>
      </c>
      <c r="D9542" s="1" t="str">
        <f t="shared" si="264"/>
        <v>PRG-1033734</v>
      </c>
      <c r="E9542" t="s">
        <v>69</v>
      </c>
      <c r="F9542" t="s">
        <v>4</v>
      </c>
      <c r="G9542" t="str">
        <f>""</f>
        <v/>
      </c>
    </row>
    <row r="9543" spans="1:7" x14ac:dyDescent="0.25">
      <c r="A9543" t="s">
        <v>8</v>
      </c>
      <c r="B9543" s="1" t="str">
        <f>"000230959 - BB COLDSTONE CR FOB RICHS BETT"</f>
        <v>000230959 - BB COLDSTONE CR FOB RICHS BETT</v>
      </c>
      <c r="C9543" t="s">
        <v>1761</v>
      </c>
      <c r="D9543" s="1" t="str">
        <f t="shared" si="264"/>
        <v>PRG-1033734</v>
      </c>
      <c r="E9543" t="s">
        <v>69</v>
      </c>
      <c r="F9543" t="s">
        <v>4</v>
      </c>
      <c r="G9543" t="str">
        <f>""</f>
        <v/>
      </c>
    </row>
    <row r="9544" spans="1:7" x14ac:dyDescent="0.25">
      <c r="A9544" t="s">
        <v>8</v>
      </c>
      <c r="B9544" s="1" t="str">
        <f>"000230960 - BB COLDSTONE NC FOB RICHS BETT"</f>
        <v>000230960 - BB COLDSTONE NC FOB RICHS BETT</v>
      </c>
      <c r="C9544" t="s">
        <v>1762</v>
      </c>
      <c r="D9544" s="1" t="str">
        <f t="shared" si="264"/>
        <v>PRG-1033734</v>
      </c>
      <c r="E9544" t="s">
        <v>69</v>
      </c>
      <c r="F9544" t="s">
        <v>4</v>
      </c>
      <c r="G9544" t="str">
        <f>""</f>
        <v/>
      </c>
    </row>
    <row r="9545" spans="1:7" x14ac:dyDescent="0.25">
      <c r="A9545" t="s">
        <v>8</v>
      </c>
      <c r="B9545" s="1" t="str">
        <f>"000236668 - RICH BETTERCREME CORE BB-CLDST"</f>
        <v>000236668 - RICH BETTERCREME CORE BB-CLDST</v>
      </c>
      <c r="C9545" t="s">
        <v>106</v>
      </c>
      <c r="D9545" s="1" t="str">
        <f t="shared" si="264"/>
        <v>PRG-1033734</v>
      </c>
      <c r="E9545" t="s">
        <v>69</v>
      </c>
      <c r="F9545" t="s">
        <v>4</v>
      </c>
      <c r="G9545" t="str">
        <f>""</f>
        <v/>
      </c>
    </row>
    <row r="9546" spans="1:7" x14ac:dyDescent="0.25">
      <c r="A9546" t="s">
        <v>8</v>
      </c>
      <c r="B9546" s="1" t="str">
        <f>"000236892 - RICH FOODS NON RETAIL-COLDSTNE"</f>
        <v>000236892 - RICH FOODS NON RETAIL-COLDSTNE</v>
      </c>
      <c r="C9546" t="s">
        <v>903</v>
      </c>
      <c r="D9546" s="1" t="str">
        <f t="shared" si="264"/>
        <v>PRG-1033734</v>
      </c>
      <c r="E9546" t="s">
        <v>69</v>
      </c>
      <c r="F9546" t="s">
        <v>4</v>
      </c>
      <c r="G9546" t="str">
        <f>""</f>
        <v/>
      </c>
    </row>
    <row r="9547" spans="1:7" x14ac:dyDescent="0.25">
      <c r="A9547" t="s">
        <v>8</v>
      </c>
      <c r="B9547" s="1" t="str">
        <f>"000240140 - RICH BETTERCREME NCORE-COLDSTN"</f>
        <v>000240140 - RICH BETTERCREME NCORE-COLDSTN</v>
      </c>
      <c r="C9547" t="s">
        <v>914</v>
      </c>
      <c r="D9547" s="1" t="str">
        <f t="shared" si="264"/>
        <v>PRG-1033734</v>
      </c>
      <c r="E9547" t="s">
        <v>69</v>
      </c>
      <c r="F9547" t="s">
        <v>4</v>
      </c>
      <c r="G9547" t="str">
        <f>""</f>
        <v/>
      </c>
    </row>
    <row r="9548" spans="1:7" x14ac:dyDescent="0.25">
      <c r="A9548" t="s">
        <v>8</v>
      </c>
      <c r="B9548" s="1" t="str">
        <f>"000240142 - RICH BETTERCREME CORE BB-CLDST"</f>
        <v>000240142 - RICH BETTERCREME CORE BB-CLDST</v>
      </c>
      <c r="C9548" t="s">
        <v>106</v>
      </c>
      <c r="D9548" s="1" t="str">
        <f t="shared" si="264"/>
        <v>PRG-1033734</v>
      </c>
      <c r="E9548" t="s">
        <v>69</v>
      </c>
      <c r="F9548" t="s">
        <v>4</v>
      </c>
      <c r="G9548" t="str">
        <f>""</f>
        <v/>
      </c>
    </row>
    <row r="9549" spans="1:7" x14ac:dyDescent="0.25">
      <c r="A9549" t="s">
        <v>8</v>
      </c>
      <c r="B9549" s="1" t="str">
        <f>"000244340 - RICH BETTERCREME NCORE-CLDSTNE"</f>
        <v>000244340 - RICH BETTERCREME NCORE-CLDSTNE</v>
      </c>
      <c r="C9549" t="s">
        <v>107</v>
      </c>
      <c r="D9549" s="1" t="str">
        <f t="shared" si="264"/>
        <v>PRG-1033734</v>
      </c>
      <c r="E9549" t="s">
        <v>69</v>
      </c>
      <c r="F9549" t="s">
        <v>4</v>
      </c>
      <c r="G9549" t="str">
        <f>""</f>
        <v/>
      </c>
    </row>
    <row r="9550" spans="1:7" x14ac:dyDescent="0.25">
      <c r="A9550" t="s">
        <v>8</v>
      </c>
      <c r="B9550" s="1" t="str">
        <f>"000270538 - RICH BETTERCREME NCORE-COLDSTN"</f>
        <v>000270538 - RICH BETTERCREME NCORE-COLDSTN</v>
      </c>
      <c r="C9550" t="s">
        <v>914</v>
      </c>
      <c r="D9550" s="1" t="str">
        <f t="shared" si="264"/>
        <v>PRG-1033734</v>
      </c>
      <c r="E9550" t="s">
        <v>69</v>
      </c>
      <c r="F9550" t="s">
        <v>4</v>
      </c>
      <c r="G9550" t="str">
        <f>""</f>
        <v/>
      </c>
    </row>
    <row r="9551" spans="1:7" x14ac:dyDescent="0.25">
      <c r="A9551" t="s">
        <v>8</v>
      </c>
      <c r="B9551" s="1" t="str">
        <f>"000276580 - RICH BETTERCREME NCORE-CLDSTNE"</f>
        <v>000276580 - RICH BETTERCREME NCORE-CLDSTNE</v>
      </c>
      <c r="C9551" t="s">
        <v>107</v>
      </c>
      <c r="D9551" s="1" t="str">
        <f t="shared" si="264"/>
        <v>PRG-1033734</v>
      </c>
      <c r="E9551" t="s">
        <v>69</v>
      </c>
      <c r="F9551" t="s">
        <v>4</v>
      </c>
      <c r="G9551" t="str">
        <f>""</f>
        <v/>
      </c>
    </row>
    <row r="9552" spans="1:7" x14ac:dyDescent="0.25">
      <c r="A9552" t="s">
        <v>8</v>
      </c>
      <c r="B9552" s="1" t="str">
        <f>"000301665 - RICH FOODS NON RETAIL-COLDSTNE"</f>
        <v>000301665 - RICH FOODS NON RETAIL-COLDSTNE</v>
      </c>
      <c r="C9552" t="s">
        <v>903</v>
      </c>
      <c r="D9552" s="1" t="str">
        <f t="shared" si="264"/>
        <v>PRG-1033734</v>
      </c>
      <c r="E9552" t="s">
        <v>69</v>
      </c>
      <c r="F9552" t="s">
        <v>4</v>
      </c>
      <c r="G9552" t="str">
        <f>""</f>
        <v/>
      </c>
    </row>
    <row r="9553" spans="1:7" x14ac:dyDescent="0.25">
      <c r="A9553" t="s">
        <v>8</v>
      </c>
      <c r="B9553" s="1" t="str">
        <f>"000304934 - RICH FDS NONRTL NCORE-COLDSTNE"</f>
        <v>000304934 - RICH FDS NONRTL NCORE-COLDSTNE</v>
      </c>
      <c r="C9553" t="s">
        <v>1079</v>
      </c>
      <c r="D9553" s="1" t="str">
        <f t="shared" si="264"/>
        <v>PRG-1033734</v>
      </c>
      <c r="E9553" t="s">
        <v>69</v>
      </c>
      <c r="F9553" t="s">
        <v>4</v>
      </c>
      <c r="G9553" t="str">
        <f>""</f>
        <v/>
      </c>
    </row>
    <row r="9554" spans="1:7" x14ac:dyDescent="0.25">
      <c r="A9554" t="s">
        <v>8</v>
      </c>
      <c r="B9554" s="1" t="str">
        <f>"000305444 - RICH BETTERCREME NCORE-COLDSTN"</f>
        <v>000305444 - RICH BETTERCREME NCORE-COLDSTN</v>
      </c>
      <c r="C9554" t="s">
        <v>914</v>
      </c>
      <c r="D9554" s="1" t="str">
        <f t="shared" si="264"/>
        <v>PRG-1033734</v>
      </c>
      <c r="E9554" t="s">
        <v>69</v>
      </c>
      <c r="F9554" t="s">
        <v>4</v>
      </c>
      <c r="G9554" t="str">
        <f>""</f>
        <v/>
      </c>
    </row>
    <row r="9555" spans="1:7" x14ac:dyDescent="0.25">
      <c r="A9555" t="s">
        <v>8</v>
      </c>
      <c r="B9555" s="1" t="str">
        <f>"000305446 - RICH BETTERCREME CORE BB-CLDST"</f>
        <v>000305446 - RICH BETTERCREME CORE BB-CLDST</v>
      </c>
      <c r="C9555" t="s">
        <v>106</v>
      </c>
      <c r="D9555" s="1" t="str">
        <f t="shared" si="264"/>
        <v>PRG-1033734</v>
      </c>
      <c r="E9555" t="s">
        <v>69</v>
      </c>
      <c r="F9555" t="s">
        <v>4</v>
      </c>
      <c r="G9555" t="str">
        <f>""</f>
        <v/>
      </c>
    </row>
    <row r="9556" spans="1:7" x14ac:dyDescent="0.25">
      <c r="A9556" t="s">
        <v>8</v>
      </c>
      <c r="B9556" s="1" t="str">
        <f>"000311014 - RICH BETTERCREME NCORE-CLDSTNE"</f>
        <v>000311014 - RICH BETTERCREME NCORE-CLDSTNE</v>
      </c>
      <c r="C9556" t="s">
        <v>107</v>
      </c>
      <c r="D9556" s="1" t="str">
        <f t="shared" si="264"/>
        <v>PRG-1033734</v>
      </c>
      <c r="E9556" t="s">
        <v>69</v>
      </c>
      <c r="F9556" t="s">
        <v>4</v>
      </c>
      <c r="G9556" t="str">
        <f>""</f>
        <v/>
      </c>
    </row>
    <row r="9557" spans="1:7" x14ac:dyDescent="0.25">
      <c r="A9557" t="s">
        <v>8</v>
      </c>
      <c r="B9557" s="1" t="str">
        <f>"000318789 - RICH FOODS NON RETAIL-COLDSTNE"</f>
        <v>000318789 - RICH FOODS NON RETAIL-COLDSTNE</v>
      </c>
      <c r="C9557" t="s">
        <v>903</v>
      </c>
      <c r="D9557" s="1" t="str">
        <f t="shared" si="264"/>
        <v>PRG-1033734</v>
      </c>
      <c r="E9557" t="s">
        <v>69</v>
      </c>
      <c r="F9557" t="s">
        <v>4</v>
      </c>
      <c r="G9557" t="str">
        <f>""</f>
        <v/>
      </c>
    </row>
    <row r="9558" spans="1:7" x14ac:dyDescent="0.25">
      <c r="A9558" t="s">
        <v>8</v>
      </c>
      <c r="B9558" s="1" t="str">
        <f>"000323406 - RICH FDS NONRTL NCORE-COLDSTNE"</f>
        <v>000323406 - RICH FDS NONRTL NCORE-COLDSTNE</v>
      </c>
      <c r="C9558" t="s">
        <v>1079</v>
      </c>
      <c r="D9558" s="1" t="str">
        <f t="shared" si="264"/>
        <v>PRG-1033734</v>
      </c>
      <c r="E9558" t="s">
        <v>69</v>
      </c>
      <c r="F9558" t="s">
        <v>4</v>
      </c>
      <c r="G9558" t="str">
        <f>""</f>
        <v/>
      </c>
    </row>
    <row r="9559" spans="1:7" x14ac:dyDescent="0.25">
      <c r="A9559" t="s">
        <v>8</v>
      </c>
      <c r="B9559" s="1" t="str">
        <f>"000324152 - RICH BETTERCREME NCORE-COLDSTN"</f>
        <v>000324152 - RICH BETTERCREME NCORE-COLDSTN</v>
      </c>
      <c r="C9559" t="s">
        <v>914</v>
      </c>
      <c r="D9559" s="1" t="str">
        <f t="shared" si="264"/>
        <v>PRG-1033734</v>
      </c>
      <c r="E9559" t="s">
        <v>69</v>
      </c>
      <c r="F9559" t="s">
        <v>4</v>
      </c>
      <c r="G9559" t="str">
        <f>""</f>
        <v/>
      </c>
    </row>
    <row r="9560" spans="1:7" x14ac:dyDescent="0.25">
      <c r="A9560" t="s">
        <v>8</v>
      </c>
      <c r="B9560" s="1" t="str">
        <f>"000324154 - RICH BETTERCREME CORE BB-CLDST"</f>
        <v>000324154 - RICH BETTERCREME CORE BB-CLDST</v>
      </c>
      <c r="C9560" t="s">
        <v>106</v>
      </c>
      <c r="D9560" s="1" t="str">
        <f t="shared" si="264"/>
        <v>PRG-1033734</v>
      </c>
      <c r="E9560" t="s">
        <v>69</v>
      </c>
      <c r="F9560" t="s">
        <v>4</v>
      </c>
      <c r="G9560" t="str">
        <f>""</f>
        <v/>
      </c>
    </row>
    <row r="9561" spans="1:7" x14ac:dyDescent="0.25">
      <c r="A9561" t="s">
        <v>8</v>
      </c>
      <c r="B9561" s="1" t="str">
        <f>"000331940 - RICH BETTERCREME CORE BB-CLDST"</f>
        <v>000331940 - RICH BETTERCREME CORE BB-CLDST</v>
      </c>
      <c r="C9561" t="s">
        <v>106</v>
      </c>
      <c r="D9561" s="1" t="str">
        <f t="shared" si="264"/>
        <v>PRG-1033734</v>
      </c>
      <c r="E9561" t="s">
        <v>69</v>
      </c>
      <c r="F9561" t="s">
        <v>4</v>
      </c>
      <c r="G9561" t="str">
        <f>""</f>
        <v/>
      </c>
    </row>
    <row r="9562" spans="1:7" x14ac:dyDescent="0.25">
      <c r="A9562" t="s">
        <v>8</v>
      </c>
      <c r="B9562" s="1" t="str">
        <f>"000331941 - RICH BETTERCREME NCORE-CLDSTNE"</f>
        <v>000331941 - RICH BETTERCREME NCORE-CLDSTNE</v>
      </c>
      <c r="C9562" t="s">
        <v>107</v>
      </c>
      <c r="D9562" s="1" t="str">
        <f t="shared" si="264"/>
        <v>PRG-1033734</v>
      </c>
      <c r="E9562" t="s">
        <v>69</v>
      </c>
      <c r="F9562" t="s">
        <v>4</v>
      </c>
      <c r="G9562" t="str">
        <f>""</f>
        <v/>
      </c>
    </row>
    <row r="9563" spans="1:7" x14ac:dyDescent="0.25">
      <c r="A9563" t="s">
        <v>8</v>
      </c>
      <c r="B9563" s="1" t="str">
        <f>"000356330 - RICH FDS NONRTL NCORE-COLDSTNE"</f>
        <v>000356330 - RICH FDS NONRTL NCORE-COLDSTNE</v>
      </c>
      <c r="C9563" t="s">
        <v>1079</v>
      </c>
      <c r="D9563" s="1" t="str">
        <f t="shared" si="264"/>
        <v>PRG-1033734</v>
      </c>
      <c r="E9563" t="s">
        <v>69</v>
      </c>
      <c r="F9563" t="s">
        <v>4</v>
      </c>
      <c r="G9563" t="str">
        <f>""</f>
        <v/>
      </c>
    </row>
    <row r="9564" spans="1:7" x14ac:dyDescent="0.25">
      <c r="A9564" t="s">
        <v>8</v>
      </c>
      <c r="B9564" s="1" t="str">
        <f>"000357164 - RICH BETTERCREME NCORE-COLDSTN"</f>
        <v>000357164 - RICH BETTERCREME NCORE-COLDSTN</v>
      </c>
      <c r="C9564" t="s">
        <v>914</v>
      </c>
      <c r="D9564" s="1" t="str">
        <f t="shared" si="264"/>
        <v>PRG-1033734</v>
      </c>
      <c r="E9564" t="s">
        <v>69</v>
      </c>
      <c r="F9564" t="s">
        <v>4</v>
      </c>
      <c r="G9564" t="str">
        <f>""</f>
        <v/>
      </c>
    </row>
    <row r="9565" spans="1:7" x14ac:dyDescent="0.25">
      <c r="A9565" t="s">
        <v>8</v>
      </c>
      <c r="B9565" s="1" t="str">
        <f>"000357166 - RICH BETTERCREME CORE BB-CLDST"</f>
        <v>000357166 - RICH BETTERCREME CORE BB-CLDST</v>
      </c>
      <c r="C9565" t="s">
        <v>106</v>
      </c>
      <c r="D9565" s="1" t="str">
        <f t="shared" si="264"/>
        <v>PRG-1033734</v>
      </c>
      <c r="E9565" t="s">
        <v>69</v>
      </c>
      <c r="F9565" t="s">
        <v>4</v>
      </c>
      <c r="G9565" t="str">
        <f>""</f>
        <v/>
      </c>
    </row>
    <row r="9566" spans="1:7" x14ac:dyDescent="0.25">
      <c r="A9566" t="s">
        <v>8</v>
      </c>
      <c r="B9566" s="1" t="str">
        <f>"000363591 - RICH BETTERCREME CORE BB-CLDST"</f>
        <v>000363591 - RICH BETTERCREME CORE BB-CLDST</v>
      </c>
      <c r="C9566" t="s">
        <v>106</v>
      </c>
      <c r="D9566" s="1" t="str">
        <f t="shared" si="264"/>
        <v>PRG-1033734</v>
      </c>
      <c r="E9566" t="s">
        <v>69</v>
      </c>
      <c r="F9566" t="s">
        <v>4</v>
      </c>
      <c r="G9566" t="str">
        <f>""</f>
        <v/>
      </c>
    </row>
    <row r="9567" spans="1:7" x14ac:dyDescent="0.25">
      <c r="A9567" t="s">
        <v>8</v>
      </c>
      <c r="B9567" s="1" t="str">
        <f>"000363592 - RICH BETTERCREME NCORE-CLDSTNE"</f>
        <v>000363592 - RICH BETTERCREME NCORE-CLDSTNE</v>
      </c>
      <c r="C9567" t="s">
        <v>107</v>
      </c>
      <c r="D9567" s="1" t="str">
        <f t="shared" si="264"/>
        <v>PRG-1033734</v>
      </c>
      <c r="E9567" t="s">
        <v>69</v>
      </c>
      <c r="F9567" t="s">
        <v>4</v>
      </c>
      <c r="G9567" t="str">
        <f>""</f>
        <v/>
      </c>
    </row>
    <row r="9568" spans="1:7" x14ac:dyDescent="0.25">
      <c r="A9568" t="s">
        <v>8</v>
      </c>
      <c r="B9568" s="1" t="str">
        <f>"000371323 - RICH FDS NONRTL NCORE-COLDSTNE"</f>
        <v>000371323 - RICH FDS NONRTL NCORE-COLDSTNE</v>
      </c>
      <c r="C9568" t="s">
        <v>1079</v>
      </c>
      <c r="D9568" s="1" t="str">
        <f t="shared" si="264"/>
        <v>PRG-1033734</v>
      </c>
      <c r="E9568" t="s">
        <v>69</v>
      </c>
      <c r="F9568" t="s">
        <v>4</v>
      </c>
      <c r="G9568" t="str">
        <f>""</f>
        <v/>
      </c>
    </row>
    <row r="9569" spans="1:7" x14ac:dyDescent="0.25">
      <c r="A9569" t="s">
        <v>8</v>
      </c>
      <c r="B9569" s="1" t="str">
        <f>"000371958 - RICH BETTERCREME NCORE-COLDSTN"</f>
        <v>000371958 - RICH BETTERCREME NCORE-COLDSTN</v>
      </c>
      <c r="C9569" t="s">
        <v>914</v>
      </c>
      <c r="D9569" s="1" t="str">
        <f t="shared" si="264"/>
        <v>PRG-1033734</v>
      </c>
      <c r="E9569" t="s">
        <v>69</v>
      </c>
      <c r="F9569" t="s">
        <v>4</v>
      </c>
      <c r="G9569" t="str">
        <f>""</f>
        <v/>
      </c>
    </row>
    <row r="9570" spans="1:7" x14ac:dyDescent="0.25">
      <c r="A9570" t="s">
        <v>8</v>
      </c>
      <c r="B9570" s="1" t="str">
        <f>"000371960 - RICH BETTERCREME CORE BB-CLDST"</f>
        <v>000371960 - RICH BETTERCREME CORE BB-CLDST</v>
      </c>
      <c r="C9570" t="s">
        <v>106</v>
      </c>
      <c r="D9570" s="1" t="str">
        <f t="shared" si="264"/>
        <v>PRG-1033734</v>
      </c>
      <c r="E9570" t="s">
        <v>69</v>
      </c>
      <c r="F9570" t="s">
        <v>4</v>
      </c>
      <c r="G9570" t="str">
        <f>""</f>
        <v/>
      </c>
    </row>
    <row r="9571" spans="1:7" x14ac:dyDescent="0.25">
      <c r="A9571" t="s">
        <v>8</v>
      </c>
      <c r="B9571" s="1" t="str">
        <f>"000378502 - RICH BETTERCREME CORE BB-CLDST"</f>
        <v>000378502 - RICH BETTERCREME CORE BB-CLDST</v>
      </c>
      <c r="C9571" t="s">
        <v>106</v>
      </c>
      <c r="D9571" s="1" t="str">
        <f t="shared" si="264"/>
        <v>PRG-1033734</v>
      </c>
      <c r="E9571" t="s">
        <v>69</v>
      </c>
      <c r="F9571" t="s">
        <v>4</v>
      </c>
      <c r="G9571" t="str">
        <f>""</f>
        <v/>
      </c>
    </row>
    <row r="9572" spans="1:7" x14ac:dyDescent="0.25">
      <c r="A9572" t="s">
        <v>8</v>
      </c>
      <c r="B9572" s="1" t="str">
        <f>"000378503 - RICH BETTERCREME NCORE-CLDSTNE"</f>
        <v>000378503 - RICH BETTERCREME NCORE-CLDSTNE</v>
      </c>
      <c r="C9572" t="s">
        <v>107</v>
      </c>
      <c r="D9572" s="1" t="str">
        <f t="shared" si="264"/>
        <v>PRG-1033734</v>
      </c>
      <c r="E9572" t="s">
        <v>69</v>
      </c>
      <c r="F9572" t="s">
        <v>4</v>
      </c>
      <c r="G9572" t="str">
        <f>""</f>
        <v/>
      </c>
    </row>
    <row r="9573" spans="1:7" x14ac:dyDescent="0.25">
      <c r="A9573" t="s">
        <v>8</v>
      </c>
      <c r="B9573" s="1" t="str">
        <f>"2000377177 - RICH FOODS (BETTERCREME)-COLD STONE"</f>
        <v>2000377177 - RICH FOODS (BETTERCREME)-COLD STONE</v>
      </c>
      <c r="C9573" t="s">
        <v>4045</v>
      </c>
      <c r="D9573" s="1" t="str">
        <f t="shared" si="264"/>
        <v>PRG-1033734</v>
      </c>
      <c r="E9573" t="s">
        <v>69</v>
      </c>
      <c r="F9573" t="s">
        <v>4</v>
      </c>
      <c r="G9573" t="str">
        <f>""</f>
        <v/>
      </c>
    </row>
    <row r="9574" spans="1:7" x14ac:dyDescent="0.25">
      <c r="A9574" t="s">
        <v>8</v>
      </c>
      <c r="B9574" s="1" t="str">
        <f>"2000381588 - &amp;MP RICH FOODS NONRTL-COLD STONE"</f>
        <v>2000381588 - &amp;MP RICH FOODS NONRTL-COLD STONE</v>
      </c>
      <c r="C9574" t="s">
        <v>4058</v>
      </c>
      <c r="D9574" s="1" t="str">
        <f t="shared" si="264"/>
        <v>PRG-1033734</v>
      </c>
      <c r="E9574" t="s">
        <v>69</v>
      </c>
      <c r="F9574" t="s">
        <v>4</v>
      </c>
      <c r="G9574" t="str">
        <f>""</f>
        <v/>
      </c>
    </row>
    <row r="9575" spans="1:7" x14ac:dyDescent="0.25">
      <c r="A9575" t="s">
        <v>8</v>
      </c>
      <c r="B9575" s="1" t="str">
        <f>"000332635 - "</f>
        <v xml:space="preserve">000332635 - </v>
      </c>
      <c r="D9575" s="1" t="str">
        <f>"PRG-1033740"</f>
        <v>PRG-1033740</v>
      </c>
      <c r="E9575" t="s">
        <v>3357</v>
      </c>
      <c r="F9575" t="s">
        <v>4</v>
      </c>
      <c r="G9575" t="str">
        <f>""</f>
        <v/>
      </c>
    </row>
    <row r="9576" spans="1:7" x14ac:dyDescent="0.25">
      <c r="A9576" t="s">
        <v>8</v>
      </c>
      <c r="B9576" s="1" t="str">
        <f>"000321383 - RICH PIZZA DOUGH STEAK 48"</f>
        <v>000321383 - RICH PIZZA DOUGH STEAK 48</v>
      </c>
      <c r="C9576" t="s">
        <v>3244</v>
      </c>
      <c r="D9576" s="1" t="str">
        <f>"PRG-1033750"</f>
        <v>PRG-1033750</v>
      </c>
      <c r="E9576" t="s">
        <v>3245</v>
      </c>
      <c r="F9576" t="s">
        <v>4</v>
      </c>
      <c r="G9576" t="str">
        <f>""</f>
        <v/>
      </c>
    </row>
    <row r="9577" spans="1:7" x14ac:dyDescent="0.25">
      <c r="A9577" t="s">
        <v>8</v>
      </c>
      <c r="B9577" s="1" t="str">
        <f>"000151062 - "</f>
        <v xml:space="preserve">000151062 - </v>
      </c>
      <c r="D9577" s="1" t="str">
        <f>"PRG-1033769"</f>
        <v>PRG-1033769</v>
      </c>
      <c r="E9577" t="s">
        <v>1013</v>
      </c>
      <c r="F9577" t="s">
        <v>4</v>
      </c>
      <c r="G9577" t="str">
        <f>""</f>
        <v/>
      </c>
    </row>
    <row r="9578" spans="1:7" x14ac:dyDescent="0.25">
      <c r="A9578" t="s">
        <v>8</v>
      </c>
      <c r="B9578" s="1" t="str">
        <f>"000310647 - "</f>
        <v xml:space="preserve">000310647 - </v>
      </c>
      <c r="D9578" s="1" t="str">
        <f>"PRG-1033769"</f>
        <v>PRG-1033769</v>
      </c>
      <c r="E9578" t="s">
        <v>1013</v>
      </c>
      <c r="F9578" t="s">
        <v>4</v>
      </c>
      <c r="G9578" t="str">
        <f>""</f>
        <v/>
      </c>
    </row>
    <row r="9579" spans="1:7" x14ac:dyDescent="0.25">
      <c r="A9579" t="s">
        <v>8</v>
      </c>
      <c r="B9579" s="1" t="str">
        <f>"2000381569 - RICH PRODUCTS CORP-HALF FAST SUBS"</f>
        <v>2000381569 - RICH PRODUCTS CORP-HALF FAST SUBS</v>
      </c>
      <c r="C9579" t="s">
        <v>4056</v>
      </c>
      <c r="D9579" s="1" t="str">
        <f>"PRG-1033779"</f>
        <v>PRG-1033779</v>
      </c>
      <c r="E9579" t="s">
        <v>4057</v>
      </c>
      <c r="F9579" t="s">
        <v>4</v>
      </c>
      <c r="G9579" t="str">
        <f>""</f>
        <v/>
      </c>
    </row>
    <row r="9580" spans="1:7" x14ac:dyDescent="0.25">
      <c r="A9580" t="s">
        <v>8</v>
      </c>
      <c r="B9580" s="1" t="str">
        <f>"S2I00Q60"</f>
        <v>S2I00Q60</v>
      </c>
      <c r="C9580" t="s">
        <v>5524</v>
      </c>
      <c r="D9580" s="1" t="str">
        <f>"PRG-1033795"</f>
        <v>PRG-1033795</v>
      </c>
      <c r="E9580" t="s">
        <v>5525</v>
      </c>
      <c r="F9580" t="s">
        <v>5</v>
      </c>
      <c r="G9580" t="str">
        <f>""</f>
        <v/>
      </c>
    </row>
    <row r="9581" spans="1:7" x14ac:dyDescent="0.25">
      <c r="A9581" t="s">
        <v>8</v>
      </c>
      <c r="B9581" s="1" t="str">
        <f>"000228036 - RICH FOOD BETTERCREME-COLDSTNE"</f>
        <v>000228036 - RICH FOOD BETTERCREME-COLDSTNE</v>
      </c>
      <c r="C9581" t="s">
        <v>906</v>
      </c>
      <c r="D9581" s="1" t="str">
        <f>"PRG-1033816"</f>
        <v>PRG-1033816</v>
      </c>
      <c r="E9581" t="s">
        <v>1720</v>
      </c>
      <c r="F9581" t="s">
        <v>4</v>
      </c>
      <c r="G9581" t="str">
        <f>""</f>
        <v/>
      </c>
    </row>
    <row r="9582" spans="1:7" x14ac:dyDescent="0.25">
      <c r="A9582" t="s">
        <v>8</v>
      </c>
      <c r="B9582" s="1" t="str">
        <f>"000004219 - RICH FDS NCORE BB-MAIN ARAMARK"</f>
        <v>000004219 - RICH FDS NCORE BB-MAIN ARAMARK</v>
      </c>
      <c r="C9582" t="s">
        <v>194</v>
      </c>
      <c r="D9582" s="1" t="str">
        <f t="shared" ref="D9582:D9645" si="265">"PRG-1033843"</f>
        <v>PRG-1033843</v>
      </c>
      <c r="E9582" t="s">
        <v>195</v>
      </c>
      <c r="F9582" t="s">
        <v>4</v>
      </c>
      <c r="G9582" t="str">
        <f>""</f>
        <v/>
      </c>
    </row>
    <row r="9583" spans="1:7" x14ac:dyDescent="0.25">
      <c r="A9583" t="s">
        <v>8</v>
      </c>
      <c r="B9583" s="1" t="str">
        <f>"000004220 - RICH FDS CORE BB-MAIN ARAMARK"</f>
        <v>000004220 - RICH FDS CORE BB-MAIN ARAMARK</v>
      </c>
      <c r="C9583" t="s">
        <v>196</v>
      </c>
      <c r="D9583" s="1" t="str">
        <f t="shared" si="265"/>
        <v>PRG-1033843</v>
      </c>
      <c r="E9583" t="s">
        <v>195</v>
      </c>
      <c r="F9583" t="s">
        <v>4</v>
      </c>
      <c r="G9583" t="str">
        <f>""</f>
        <v/>
      </c>
    </row>
    <row r="9584" spans="1:7" x14ac:dyDescent="0.25">
      <c r="A9584" t="s">
        <v>8</v>
      </c>
      <c r="B9584" s="1" t="str">
        <f>"000005235 - RICH FOODS NONCORE BB ARAMARK"</f>
        <v>000005235 - RICH FOODS NONCORE BB ARAMARK</v>
      </c>
      <c r="C9584" t="s">
        <v>216</v>
      </c>
      <c r="D9584" s="1" t="str">
        <f t="shared" si="265"/>
        <v>PRG-1033843</v>
      </c>
      <c r="E9584" t="s">
        <v>195</v>
      </c>
      <c r="F9584" t="s">
        <v>4</v>
      </c>
      <c r="G9584" t="str">
        <f>""</f>
        <v/>
      </c>
    </row>
    <row r="9585" spans="1:7" x14ac:dyDescent="0.25">
      <c r="A9585" t="s">
        <v>8</v>
      </c>
      <c r="B9585" s="1" t="str">
        <f>"000005479 - RICH FOODS NONCORE BB ARAMARK"</f>
        <v>000005479 - RICH FOODS NONCORE BB ARAMARK</v>
      </c>
      <c r="C9585" t="s">
        <v>216</v>
      </c>
      <c r="D9585" s="1" t="str">
        <f t="shared" si="265"/>
        <v>PRG-1033843</v>
      </c>
      <c r="E9585" t="s">
        <v>195</v>
      </c>
      <c r="F9585" t="s">
        <v>4</v>
      </c>
      <c r="G9585" t="str">
        <f>""</f>
        <v/>
      </c>
    </row>
    <row r="9586" spans="1:7" x14ac:dyDescent="0.25">
      <c r="A9586" t="s">
        <v>8</v>
      </c>
      <c r="B9586" s="1" t="str">
        <f>"000005480 - RICH FOODS CORE BB ARAMARK"</f>
        <v>000005480 - RICH FOODS CORE BB ARAMARK</v>
      </c>
      <c r="C9586" t="s">
        <v>221</v>
      </c>
      <c r="D9586" s="1" t="str">
        <f t="shared" si="265"/>
        <v>PRG-1033843</v>
      </c>
      <c r="E9586" t="s">
        <v>195</v>
      </c>
      <c r="F9586" t="s">
        <v>4</v>
      </c>
      <c r="G9586" t="str">
        <f>""</f>
        <v/>
      </c>
    </row>
    <row r="9587" spans="1:7" x14ac:dyDescent="0.25">
      <c r="A9587" t="s">
        <v>8</v>
      </c>
      <c r="B9587" s="1" t="str">
        <f>"000007807 - RICH FOODS NONCORE BB ARAMARK"</f>
        <v>000007807 - RICH FOODS NONCORE BB ARAMARK</v>
      </c>
      <c r="C9587" t="s">
        <v>216</v>
      </c>
      <c r="D9587" s="1" t="str">
        <f t="shared" si="265"/>
        <v>PRG-1033843</v>
      </c>
      <c r="E9587" t="s">
        <v>195</v>
      </c>
      <c r="F9587" t="s">
        <v>4</v>
      </c>
      <c r="G9587" t="str">
        <f>""</f>
        <v/>
      </c>
    </row>
    <row r="9588" spans="1:7" x14ac:dyDescent="0.25">
      <c r="A9588" t="s">
        <v>8</v>
      </c>
      <c r="B9588" s="1" t="str">
        <f>"000007869 - RICH FDS NCORE BB-MAIN ARAMARK"</f>
        <v>000007869 - RICH FDS NCORE BB-MAIN ARAMARK</v>
      </c>
      <c r="C9588" t="s">
        <v>194</v>
      </c>
      <c r="D9588" s="1" t="str">
        <f t="shared" si="265"/>
        <v>PRG-1033843</v>
      </c>
      <c r="E9588" t="s">
        <v>195</v>
      </c>
      <c r="F9588" t="s">
        <v>4</v>
      </c>
      <c r="G9588" t="str">
        <f>""</f>
        <v/>
      </c>
    </row>
    <row r="9589" spans="1:7" x14ac:dyDescent="0.25">
      <c r="A9589" t="s">
        <v>8</v>
      </c>
      <c r="B9589" s="1" t="str">
        <f>"000007870 - RICH FDS CORE BB-MAIN ARAMARK"</f>
        <v>000007870 - RICH FDS CORE BB-MAIN ARAMARK</v>
      </c>
      <c r="C9589" t="s">
        <v>196</v>
      </c>
      <c r="D9589" s="1" t="str">
        <f t="shared" si="265"/>
        <v>PRG-1033843</v>
      </c>
      <c r="E9589" t="s">
        <v>195</v>
      </c>
      <c r="F9589" t="s">
        <v>4</v>
      </c>
      <c r="G9589" t="str">
        <f>""</f>
        <v/>
      </c>
    </row>
    <row r="9590" spans="1:7" x14ac:dyDescent="0.25">
      <c r="A9590" t="s">
        <v>8</v>
      </c>
      <c r="B9590" s="1" t="str">
        <f>"000007871 - RICH FDS NCORE BB-SSS ARAMARK"</f>
        <v>000007871 - RICH FDS NCORE BB-SSS ARAMARK</v>
      </c>
      <c r="C9590" t="s">
        <v>272</v>
      </c>
      <c r="D9590" s="1" t="str">
        <f t="shared" si="265"/>
        <v>PRG-1033843</v>
      </c>
      <c r="E9590" t="s">
        <v>195</v>
      </c>
      <c r="F9590" t="s">
        <v>4</v>
      </c>
      <c r="G9590" t="str">
        <f>""</f>
        <v/>
      </c>
    </row>
    <row r="9591" spans="1:7" x14ac:dyDescent="0.25">
      <c r="A9591" t="s">
        <v>8</v>
      </c>
      <c r="B9591" s="1" t="str">
        <f>"000008230 - RICH FOODS CORE BB ARAMARK"</f>
        <v>000008230 - RICH FOODS CORE BB ARAMARK</v>
      </c>
      <c r="C9591" t="s">
        <v>221</v>
      </c>
      <c r="D9591" s="1" t="str">
        <f t="shared" si="265"/>
        <v>PRG-1033843</v>
      </c>
      <c r="E9591" t="s">
        <v>195</v>
      </c>
      <c r="F9591" t="s">
        <v>4</v>
      </c>
      <c r="G9591" t="str">
        <f>""</f>
        <v/>
      </c>
    </row>
    <row r="9592" spans="1:7" x14ac:dyDescent="0.25">
      <c r="A9592" t="s">
        <v>8</v>
      </c>
      <c r="B9592" s="1" t="str">
        <f>"000009496 - RICH FOODS NONCORE BB ARAMARK"</f>
        <v>000009496 - RICH FOODS NONCORE BB ARAMARK</v>
      </c>
      <c r="C9592" t="s">
        <v>216</v>
      </c>
      <c r="D9592" s="1" t="str">
        <f t="shared" si="265"/>
        <v>PRG-1033843</v>
      </c>
      <c r="E9592" t="s">
        <v>195</v>
      </c>
      <c r="F9592" t="s">
        <v>4</v>
      </c>
      <c r="G9592" t="str">
        <f>""</f>
        <v/>
      </c>
    </row>
    <row r="9593" spans="1:7" x14ac:dyDescent="0.25">
      <c r="A9593" t="s">
        <v>8</v>
      </c>
      <c r="B9593" s="1" t="str">
        <f>"000009497 - RICH FOODS CORE BB ARAMARK"</f>
        <v>000009497 - RICH FOODS CORE BB ARAMARK</v>
      </c>
      <c r="C9593" t="s">
        <v>221</v>
      </c>
      <c r="D9593" s="1" t="str">
        <f t="shared" si="265"/>
        <v>PRG-1033843</v>
      </c>
      <c r="E9593" t="s">
        <v>195</v>
      </c>
      <c r="F9593" t="s">
        <v>4</v>
      </c>
      <c r="G9593" t="str">
        <f>""</f>
        <v/>
      </c>
    </row>
    <row r="9594" spans="1:7" x14ac:dyDescent="0.25">
      <c r="A9594" t="s">
        <v>8</v>
      </c>
      <c r="B9594" s="1" t="str">
        <f>"000009501 - RICH FOODS CORE BB ARAMARK"</f>
        <v>000009501 - RICH FOODS CORE BB ARAMARK</v>
      </c>
      <c r="C9594" t="s">
        <v>221</v>
      </c>
      <c r="D9594" s="1" t="str">
        <f t="shared" si="265"/>
        <v>PRG-1033843</v>
      </c>
      <c r="E9594" t="s">
        <v>195</v>
      </c>
      <c r="F9594" t="s">
        <v>4</v>
      </c>
      <c r="G9594" t="str">
        <f>""</f>
        <v/>
      </c>
    </row>
    <row r="9595" spans="1:7" x14ac:dyDescent="0.25">
      <c r="A9595" t="s">
        <v>8</v>
      </c>
      <c r="B9595" s="1" t="str">
        <f>"000010621 - RICH FOODS CORE BB ARAMARK"</f>
        <v>000010621 - RICH FOODS CORE BB ARAMARK</v>
      </c>
      <c r="C9595" t="s">
        <v>221</v>
      </c>
      <c r="D9595" s="1" t="str">
        <f t="shared" si="265"/>
        <v>PRG-1033843</v>
      </c>
      <c r="E9595" t="s">
        <v>195</v>
      </c>
      <c r="F9595" t="s">
        <v>4</v>
      </c>
      <c r="G9595" t="str">
        <f>""</f>
        <v/>
      </c>
    </row>
    <row r="9596" spans="1:7" x14ac:dyDescent="0.25">
      <c r="A9596" t="s">
        <v>8</v>
      </c>
      <c r="B9596" s="1" t="str">
        <f>"000010626 - RICH FOODS CORE BB ARAMARK"</f>
        <v>000010626 - RICH FOODS CORE BB ARAMARK</v>
      </c>
      <c r="C9596" t="s">
        <v>221</v>
      </c>
      <c r="D9596" s="1" t="str">
        <f t="shared" si="265"/>
        <v>PRG-1033843</v>
      </c>
      <c r="E9596" t="s">
        <v>195</v>
      </c>
      <c r="F9596" t="s">
        <v>4</v>
      </c>
      <c r="G9596" t="str">
        <f>""</f>
        <v/>
      </c>
    </row>
    <row r="9597" spans="1:7" x14ac:dyDescent="0.25">
      <c r="A9597" t="s">
        <v>8</v>
      </c>
      <c r="B9597" s="1" t="str">
        <f>"000049044 - RICH FDS NCORE BB-MAIN ARAMARK"</f>
        <v>000049044 - RICH FDS NCORE BB-MAIN ARAMARK</v>
      </c>
      <c r="C9597" t="s">
        <v>194</v>
      </c>
      <c r="D9597" s="1" t="str">
        <f t="shared" si="265"/>
        <v>PRG-1033843</v>
      </c>
      <c r="E9597" t="s">
        <v>195</v>
      </c>
      <c r="F9597" t="s">
        <v>4</v>
      </c>
      <c r="G9597" t="str">
        <f>""</f>
        <v/>
      </c>
    </row>
    <row r="9598" spans="1:7" x14ac:dyDescent="0.25">
      <c r="A9598" t="s">
        <v>8</v>
      </c>
      <c r="B9598" s="1" t="str">
        <f>"000049045 - RICH FDS CORE BB-MAIN ARAMARK"</f>
        <v>000049045 - RICH FDS CORE BB-MAIN ARAMARK</v>
      </c>
      <c r="C9598" t="s">
        <v>196</v>
      </c>
      <c r="D9598" s="1" t="str">
        <f t="shared" si="265"/>
        <v>PRG-1033843</v>
      </c>
      <c r="E9598" t="s">
        <v>195</v>
      </c>
      <c r="F9598" t="s">
        <v>4</v>
      </c>
      <c r="G9598" t="str">
        <f>""</f>
        <v/>
      </c>
    </row>
    <row r="9599" spans="1:7" x14ac:dyDescent="0.25">
      <c r="A9599" t="s">
        <v>8</v>
      </c>
      <c r="B9599" s="1" t="str">
        <f>"000049048 - RICHS FDS NCORE BB-SSS ARAMARK"</f>
        <v>000049048 - RICHS FDS NCORE BB-SSS ARAMARK</v>
      </c>
      <c r="C9599" t="s">
        <v>558</v>
      </c>
      <c r="D9599" s="1" t="str">
        <f t="shared" si="265"/>
        <v>PRG-1033843</v>
      </c>
      <c r="E9599" t="s">
        <v>195</v>
      </c>
      <c r="F9599" t="s">
        <v>4</v>
      </c>
      <c r="G9599" t="str">
        <f>""</f>
        <v/>
      </c>
    </row>
    <row r="9600" spans="1:7" x14ac:dyDescent="0.25">
      <c r="A9600" t="s">
        <v>8</v>
      </c>
      <c r="B9600" s="1" t="str">
        <f>"000049144 - RICH FDS NCORE BB MAIN ARAMARK"</f>
        <v>000049144 - RICH FDS NCORE BB MAIN ARAMARK</v>
      </c>
      <c r="C9600" t="s">
        <v>639</v>
      </c>
      <c r="D9600" s="1" t="str">
        <f t="shared" si="265"/>
        <v>PRG-1033843</v>
      </c>
      <c r="E9600" t="s">
        <v>195</v>
      </c>
      <c r="F9600" t="s">
        <v>4</v>
      </c>
      <c r="G9600" t="str">
        <f>""</f>
        <v/>
      </c>
    </row>
    <row r="9601" spans="1:7" x14ac:dyDescent="0.25">
      <c r="A9601" t="s">
        <v>8</v>
      </c>
      <c r="B9601" s="1" t="str">
        <f>"000049145 - RICH FDS CORE BB MAIN ARAMARK"</f>
        <v>000049145 - RICH FDS CORE BB MAIN ARAMARK</v>
      </c>
      <c r="C9601" t="s">
        <v>640</v>
      </c>
      <c r="D9601" s="1" t="str">
        <f t="shared" si="265"/>
        <v>PRG-1033843</v>
      </c>
      <c r="E9601" t="s">
        <v>195</v>
      </c>
      <c r="F9601" t="s">
        <v>4</v>
      </c>
      <c r="G9601" t="str">
        <f>""</f>
        <v/>
      </c>
    </row>
    <row r="9602" spans="1:7" x14ac:dyDescent="0.25">
      <c r="A9602" t="s">
        <v>8</v>
      </c>
      <c r="B9602" s="1" t="str">
        <f>"000049147 - RICH FDS CC MAIN ARA EX-SSS"</f>
        <v>000049147 - RICH FDS CC MAIN ARA EX-SSS</v>
      </c>
      <c r="C9602" t="s">
        <v>641</v>
      </c>
      <c r="D9602" s="1" t="str">
        <f t="shared" si="265"/>
        <v>PRG-1033843</v>
      </c>
      <c r="E9602" t="s">
        <v>195</v>
      </c>
      <c r="F9602" t="s">
        <v>4</v>
      </c>
      <c r="G9602" t="str">
        <f>""</f>
        <v/>
      </c>
    </row>
    <row r="9603" spans="1:7" x14ac:dyDescent="0.25">
      <c r="A9603" t="s">
        <v>8</v>
      </c>
      <c r="B9603" s="1" t="str">
        <f>"000052343 - RICH FDS NCORE BB-MAIN ARAMARK"</f>
        <v>000052343 - RICH FDS NCORE BB-MAIN ARAMARK</v>
      </c>
      <c r="C9603" t="s">
        <v>194</v>
      </c>
      <c r="D9603" s="1" t="str">
        <f t="shared" si="265"/>
        <v>PRG-1033843</v>
      </c>
      <c r="E9603" t="s">
        <v>195</v>
      </c>
      <c r="F9603" t="s">
        <v>4</v>
      </c>
      <c r="G9603" t="str">
        <f>""</f>
        <v/>
      </c>
    </row>
    <row r="9604" spans="1:7" x14ac:dyDescent="0.25">
      <c r="A9604" t="s">
        <v>8</v>
      </c>
      <c r="B9604" s="1" t="str">
        <f>"000052344 - RICH FDS CORE BB-MAIN ARAMARK"</f>
        <v>000052344 - RICH FDS CORE BB-MAIN ARAMARK</v>
      </c>
      <c r="C9604" t="s">
        <v>196</v>
      </c>
      <c r="D9604" s="1" t="str">
        <f t="shared" si="265"/>
        <v>PRG-1033843</v>
      </c>
      <c r="E9604" t="s">
        <v>195</v>
      </c>
      <c r="F9604" t="s">
        <v>4</v>
      </c>
      <c r="G9604" t="str">
        <f>""</f>
        <v/>
      </c>
    </row>
    <row r="9605" spans="1:7" x14ac:dyDescent="0.25">
      <c r="A9605" t="s">
        <v>8</v>
      </c>
      <c r="B9605" s="1" t="str">
        <f>"000052345 - RICH FDS NCORE BB-SSS ARAMARK"</f>
        <v>000052345 - RICH FDS NCORE BB-SSS ARAMARK</v>
      </c>
      <c r="C9605" t="s">
        <v>272</v>
      </c>
      <c r="D9605" s="1" t="str">
        <f t="shared" si="265"/>
        <v>PRG-1033843</v>
      </c>
      <c r="E9605" t="s">
        <v>195</v>
      </c>
      <c r="F9605" t="s">
        <v>4</v>
      </c>
      <c r="G9605" t="str">
        <f>""</f>
        <v/>
      </c>
    </row>
    <row r="9606" spans="1:7" x14ac:dyDescent="0.25">
      <c r="A9606" t="s">
        <v>8</v>
      </c>
      <c r="B9606" s="1" t="str">
        <f>"000052461 - RICH FOODS CORE BB ARAMARK"</f>
        <v>000052461 - RICH FOODS CORE BB ARAMARK</v>
      </c>
      <c r="C9606" t="s">
        <v>221</v>
      </c>
      <c r="D9606" s="1" t="str">
        <f t="shared" si="265"/>
        <v>PRG-1033843</v>
      </c>
      <c r="E9606" t="s">
        <v>195</v>
      </c>
      <c r="F9606" t="s">
        <v>4</v>
      </c>
      <c r="G9606" t="str">
        <f>""</f>
        <v/>
      </c>
    </row>
    <row r="9607" spans="1:7" x14ac:dyDescent="0.25">
      <c r="A9607" t="s">
        <v>8</v>
      </c>
      <c r="B9607" s="1" t="str">
        <f>"000061225 - RICH FDS NCORE BB-MAIN ARAMARK"</f>
        <v>000061225 - RICH FDS NCORE BB-MAIN ARAMARK</v>
      </c>
      <c r="C9607" t="s">
        <v>194</v>
      </c>
      <c r="D9607" s="1" t="str">
        <f t="shared" si="265"/>
        <v>PRG-1033843</v>
      </c>
      <c r="E9607" t="s">
        <v>195</v>
      </c>
      <c r="F9607" t="s">
        <v>4</v>
      </c>
      <c r="G9607" t="str">
        <f>""</f>
        <v/>
      </c>
    </row>
    <row r="9608" spans="1:7" x14ac:dyDescent="0.25">
      <c r="A9608" t="s">
        <v>8</v>
      </c>
      <c r="B9608" s="1" t="str">
        <f>"000065286 - RICH FDS NCORE BB-MAIN ARAMARK"</f>
        <v>000065286 - RICH FDS NCORE BB-MAIN ARAMARK</v>
      </c>
      <c r="C9608" t="s">
        <v>194</v>
      </c>
      <c r="D9608" s="1" t="str">
        <f t="shared" si="265"/>
        <v>PRG-1033843</v>
      </c>
      <c r="E9608" t="s">
        <v>195</v>
      </c>
      <c r="F9608" t="s">
        <v>4</v>
      </c>
      <c r="G9608" t="str">
        <f>""</f>
        <v/>
      </c>
    </row>
    <row r="9609" spans="1:7" x14ac:dyDescent="0.25">
      <c r="A9609" t="s">
        <v>8</v>
      </c>
      <c r="B9609" s="1" t="str">
        <f>"000065287 - RICH FDS CORE BB-MAIN ARAMARK"</f>
        <v>000065287 - RICH FDS CORE BB-MAIN ARAMARK</v>
      </c>
      <c r="C9609" t="s">
        <v>196</v>
      </c>
      <c r="D9609" s="1" t="str">
        <f t="shared" si="265"/>
        <v>PRG-1033843</v>
      </c>
      <c r="E9609" t="s">
        <v>195</v>
      </c>
      <c r="F9609" t="s">
        <v>4</v>
      </c>
      <c r="G9609" t="str">
        <f>""</f>
        <v/>
      </c>
    </row>
    <row r="9610" spans="1:7" x14ac:dyDescent="0.25">
      <c r="A9610" t="s">
        <v>8</v>
      </c>
      <c r="B9610" s="1" t="str">
        <f>"000065348 - RICH FDS CORE BB-MAIN ARAMARK"</f>
        <v>000065348 - RICH FDS CORE BB-MAIN ARAMARK</v>
      </c>
      <c r="C9610" t="s">
        <v>196</v>
      </c>
      <c r="D9610" s="1" t="str">
        <f t="shared" si="265"/>
        <v>PRG-1033843</v>
      </c>
      <c r="E9610" t="s">
        <v>195</v>
      </c>
      <c r="F9610" t="s">
        <v>4</v>
      </c>
      <c r="G9610" t="str">
        <f>""</f>
        <v/>
      </c>
    </row>
    <row r="9611" spans="1:7" x14ac:dyDescent="0.25">
      <c r="A9611" t="s">
        <v>8</v>
      </c>
      <c r="B9611" s="1" t="str">
        <f>"000065349 - RICH FDS NCORE BB-MAIN ARAMARK"</f>
        <v>000065349 - RICH FDS NCORE BB-MAIN ARAMARK</v>
      </c>
      <c r="C9611" t="s">
        <v>194</v>
      </c>
      <c r="D9611" s="1" t="str">
        <f t="shared" si="265"/>
        <v>PRG-1033843</v>
      </c>
      <c r="E9611" t="s">
        <v>195</v>
      </c>
      <c r="F9611" t="s">
        <v>4</v>
      </c>
      <c r="G9611" t="str">
        <f>""</f>
        <v/>
      </c>
    </row>
    <row r="9612" spans="1:7" x14ac:dyDescent="0.25">
      <c r="A9612" t="s">
        <v>8</v>
      </c>
      <c r="B9612" s="1" t="str">
        <f>"000066884 - RETRO BB RICH FDS CORE BB-MAIN"</f>
        <v>000066884 - RETRO BB RICH FDS CORE BB-MAIN</v>
      </c>
      <c r="C9612" t="s">
        <v>718</v>
      </c>
      <c r="D9612" s="1" t="str">
        <f t="shared" si="265"/>
        <v>PRG-1033843</v>
      </c>
      <c r="E9612" t="s">
        <v>195</v>
      </c>
      <c r="F9612" t="s">
        <v>4</v>
      </c>
      <c r="G9612" t="str">
        <f>""</f>
        <v/>
      </c>
    </row>
    <row r="9613" spans="1:7" x14ac:dyDescent="0.25">
      <c r="A9613" t="s">
        <v>8</v>
      </c>
      <c r="B9613" s="1" t="str">
        <f>"000122784 - RICH FDS NCORE BB-MAIN ARAMARK"</f>
        <v>000122784 - RICH FDS NCORE BB-MAIN ARAMARK</v>
      </c>
      <c r="C9613" t="s">
        <v>194</v>
      </c>
      <c r="D9613" s="1" t="str">
        <f t="shared" si="265"/>
        <v>PRG-1033843</v>
      </c>
      <c r="E9613" t="s">
        <v>195</v>
      </c>
      <c r="F9613" t="s">
        <v>4</v>
      </c>
      <c r="G9613" t="str">
        <f>""</f>
        <v/>
      </c>
    </row>
    <row r="9614" spans="1:7" x14ac:dyDescent="0.25">
      <c r="A9614" t="s">
        <v>8</v>
      </c>
      <c r="B9614" s="1" t="str">
        <f>"000122785 - RICH FDS CORE BB-MAIN ARAMARK"</f>
        <v>000122785 - RICH FDS CORE BB-MAIN ARAMARK</v>
      </c>
      <c r="C9614" t="s">
        <v>196</v>
      </c>
      <c r="D9614" s="1" t="str">
        <f t="shared" si="265"/>
        <v>PRG-1033843</v>
      </c>
      <c r="E9614" t="s">
        <v>195</v>
      </c>
      <c r="F9614" t="s">
        <v>4</v>
      </c>
      <c r="G9614" t="str">
        <f>""</f>
        <v/>
      </c>
    </row>
    <row r="9615" spans="1:7" x14ac:dyDescent="0.25">
      <c r="A9615" t="s">
        <v>8</v>
      </c>
      <c r="B9615" s="1" t="str">
        <f>"000123061 - RICH ARAMARK (NCORE) BB"</f>
        <v>000123061 - RICH ARAMARK (NCORE) BB</v>
      </c>
      <c r="C9615" t="s">
        <v>901</v>
      </c>
      <c r="D9615" s="1" t="str">
        <f t="shared" si="265"/>
        <v>PRG-1033843</v>
      </c>
      <c r="E9615" t="s">
        <v>195</v>
      </c>
      <c r="F9615" t="s">
        <v>4</v>
      </c>
      <c r="G9615" t="str">
        <f>""</f>
        <v/>
      </c>
    </row>
    <row r="9616" spans="1:7" x14ac:dyDescent="0.25">
      <c r="A9616" t="s">
        <v>8</v>
      </c>
      <c r="B9616" s="1" t="str">
        <f>"000123063 - RICH ARAMARK (CORE) BB"</f>
        <v>000123063 - RICH ARAMARK (CORE) BB</v>
      </c>
      <c r="C9616" t="s">
        <v>902</v>
      </c>
      <c r="D9616" s="1" t="str">
        <f t="shared" si="265"/>
        <v>PRG-1033843</v>
      </c>
      <c r="E9616" t="s">
        <v>195</v>
      </c>
      <c r="F9616" t="s">
        <v>4</v>
      </c>
      <c r="G9616" t="str">
        <f>""</f>
        <v/>
      </c>
    </row>
    <row r="9617" spans="1:7" x14ac:dyDescent="0.25">
      <c r="A9617" t="s">
        <v>8</v>
      </c>
      <c r="B9617" s="1" t="str">
        <f>"000125310 - RICH FDS NCORE BB-MAIN ARAMARK"</f>
        <v>000125310 - RICH FDS NCORE BB-MAIN ARAMARK</v>
      </c>
      <c r="C9617" t="s">
        <v>194</v>
      </c>
      <c r="D9617" s="1" t="str">
        <f t="shared" si="265"/>
        <v>PRG-1033843</v>
      </c>
      <c r="E9617" t="s">
        <v>195</v>
      </c>
      <c r="F9617" t="s">
        <v>4</v>
      </c>
      <c r="G9617" t="str">
        <f>""</f>
        <v/>
      </c>
    </row>
    <row r="9618" spans="1:7" x14ac:dyDescent="0.25">
      <c r="A9618" t="s">
        <v>8</v>
      </c>
      <c r="B9618" s="1" t="str">
        <f>"000125311 - RICH FDS CORE BB-MAIN ARAMARK"</f>
        <v>000125311 - RICH FDS CORE BB-MAIN ARAMARK</v>
      </c>
      <c r="C9618" t="s">
        <v>196</v>
      </c>
      <c r="D9618" s="1" t="str">
        <f t="shared" si="265"/>
        <v>PRG-1033843</v>
      </c>
      <c r="E9618" t="s">
        <v>195</v>
      </c>
      <c r="F9618" t="s">
        <v>4</v>
      </c>
      <c r="G9618" t="str">
        <f>""</f>
        <v/>
      </c>
    </row>
    <row r="9619" spans="1:7" x14ac:dyDescent="0.25">
      <c r="A9619" t="s">
        <v>8</v>
      </c>
      <c r="B9619" s="1" t="str">
        <f>"000128226 - RICHS CORE BB ARA EXCL SSS"</f>
        <v>000128226 - RICHS CORE BB ARA EXCL SSS</v>
      </c>
      <c r="C9619" t="s">
        <v>928</v>
      </c>
      <c r="D9619" s="1" t="str">
        <f t="shared" si="265"/>
        <v>PRG-1033843</v>
      </c>
      <c r="E9619" t="s">
        <v>195</v>
      </c>
      <c r="F9619" t="s">
        <v>4</v>
      </c>
      <c r="G9619" t="str">
        <f>""</f>
        <v/>
      </c>
    </row>
    <row r="9620" spans="1:7" x14ac:dyDescent="0.25">
      <c r="A9620" t="s">
        <v>8</v>
      </c>
      <c r="B9620" s="1" t="str">
        <f>"000128408 - RICH FDS NCORE BB-MAIN ARAMARK"</f>
        <v>000128408 - RICH FDS NCORE BB-MAIN ARAMARK</v>
      </c>
      <c r="C9620" t="s">
        <v>194</v>
      </c>
      <c r="D9620" s="1" t="str">
        <f t="shared" si="265"/>
        <v>PRG-1033843</v>
      </c>
      <c r="E9620" t="s">
        <v>195</v>
      </c>
      <c r="F9620" t="s">
        <v>4</v>
      </c>
      <c r="G9620" t="str">
        <f>""</f>
        <v/>
      </c>
    </row>
    <row r="9621" spans="1:7" x14ac:dyDescent="0.25">
      <c r="A9621" t="s">
        <v>8</v>
      </c>
      <c r="B9621" s="1" t="str">
        <f>"000128409 - RICH FDS CORE BB-MAIN ARAMARK"</f>
        <v>000128409 - RICH FDS CORE BB-MAIN ARAMARK</v>
      </c>
      <c r="C9621" t="s">
        <v>196</v>
      </c>
      <c r="D9621" s="1" t="str">
        <f t="shared" si="265"/>
        <v>PRG-1033843</v>
      </c>
      <c r="E9621" t="s">
        <v>195</v>
      </c>
      <c r="F9621" t="s">
        <v>4</v>
      </c>
      <c r="G9621" t="str">
        <f>""</f>
        <v/>
      </c>
    </row>
    <row r="9622" spans="1:7" x14ac:dyDescent="0.25">
      <c r="A9622" t="s">
        <v>8</v>
      </c>
      <c r="B9622" s="1" t="str">
        <f>"000128410 - RICH FDS NCORE BB-SSS ARAMARK"</f>
        <v>000128410 - RICH FDS NCORE BB-SSS ARAMARK</v>
      </c>
      <c r="C9622" t="s">
        <v>272</v>
      </c>
      <c r="D9622" s="1" t="str">
        <f t="shared" si="265"/>
        <v>PRG-1033843</v>
      </c>
      <c r="E9622" t="s">
        <v>195</v>
      </c>
      <c r="F9622" t="s">
        <v>4</v>
      </c>
      <c r="G9622" t="str">
        <f>""</f>
        <v/>
      </c>
    </row>
    <row r="9623" spans="1:7" x14ac:dyDescent="0.25">
      <c r="A9623" t="s">
        <v>8</v>
      </c>
      <c r="B9623" s="1" t="str">
        <f>"000129729 - RICHS PIZZA DOUGH BB-SODEXO"</f>
        <v>000129729 - RICHS PIZZA DOUGH BB-SODEXO</v>
      </c>
      <c r="C9623" t="s">
        <v>582</v>
      </c>
      <c r="D9623" s="1" t="str">
        <f t="shared" si="265"/>
        <v>PRG-1033843</v>
      </c>
      <c r="E9623" t="s">
        <v>195</v>
      </c>
      <c r="F9623" t="s">
        <v>4</v>
      </c>
      <c r="G9623" t="str">
        <f>""</f>
        <v/>
      </c>
    </row>
    <row r="9624" spans="1:7" x14ac:dyDescent="0.25">
      <c r="A9624" t="s">
        <v>8</v>
      </c>
      <c r="B9624" s="1" t="str">
        <f>"000129730 - RICH FDS NCORE BB ARA MAIN"</f>
        <v>000129730 - RICH FDS NCORE BB ARA MAIN</v>
      </c>
      <c r="C9624" t="s">
        <v>933</v>
      </c>
      <c r="D9624" s="1" t="str">
        <f t="shared" si="265"/>
        <v>PRG-1033843</v>
      </c>
      <c r="E9624" t="s">
        <v>195</v>
      </c>
      <c r="F9624" t="s">
        <v>4</v>
      </c>
      <c r="G9624" t="str">
        <f>""</f>
        <v/>
      </c>
    </row>
    <row r="9625" spans="1:7" x14ac:dyDescent="0.25">
      <c r="A9625" t="s">
        <v>8</v>
      </c>
      <c r="B9625" s="1" t="str">
        <f>"000144569 - RICH FDS NCORE BB-MAIN ARAMARK"</f>
        <v>000144569 - RICH FDS NCORE BB-MAIN ARAMARK</v>
      </c>
      <c r="C9625" t="s">
        <v>194</v>
      </c>
      <c r="D9625" s="1" t="str">
        <f t="shared" si="265"/>
        <v>PRG-1033843</v>
      </c>
      <c r="E9625" t="s">
        <v>195</v>
      </c>
      <c r="F9625" t="s">
        <v>4</v>
      </c>
      <c r="G9625" t="str">
        <f>""</f>
        <v/>
      </c>
    </row>
    <row r="9626" spans="1:7" x14ac:dyDescent="0.25">
      <c r="A9626" t="s">
        <v>8</v>
      </c>
      <c r="B9626" s="1" t="str">
        <f>"000144570 - RICH FDS CORE BB-MAIN ARAMARK"</f>
        <v>000144570 - RICH FDS CORE BB-MAIN ARAMARK</v>
      </c>
      <c r="C9626" t="s">
        <v>196</v>
      </c>
      <c r="D9626" s="1" t="str">
        <f t="shared" si="265"/>
        <v>PRG-1033843</v>
      </c>
      <c r="E9626" t="s">
        <v>195</v>
      </c>
      <c r="F9626" t="s">
        <v>4</v>
      </c>
      <c r="G9626" t="str">
        <f>""</f>
        <v/>
      </c>
    </row>
    <row r="9627" spans="1:7" x14ac:dyDescent="0.25">
      <c r="A9627" t="s">
        <v>8</v>
      </c>
      <c r="B9627" s="1" t="str">
        <f>"000144733 - RICH FDS-ARAMARK CORE RETRO"</f>
        <v>000144733 - RICH FDS-ARAMARK CORE RETRO</v>
      </c>
      <c r="C9627" t="s">
        <v>995</v>
      </c>
      <c r="D9627" s="1" t="str">
        <f t="shared" si="265"/>
        <v>PRG-1033843</v>
      </c>
      <c r="E9627" t="s">
        <v>195</v>
      </c>
      <c r="F9627" t="s">
        <v>4</v>
      </c>
      <c r="G9627" t="str">
        <f>""</f>
        <v/>
      </c>
    </row>
    <row r="9628" spans="1:7" x14ac:dyDescent="0.25">
      <c r="A9628" t="s">
        <v>8</v>
      </c>
      <c r="B9628" s="1" t="str">
        <f>"000144734 - RICH FDS-ARAMARK NON CORE RETR"</f>
        <v>000144734 - RICH FDS-ARAMARK NON CORE RETR</v>
      </c>
      <c r="C9628" t="s">
        <v>996</v>
      </c>
      <c r="D9628" s="1" t="str">
        <f t="shared" si="265"/>
        <v>PRG-1033843</v>
      </c>
      <c r="E9628" t="s">
        <v>195</v>
      </c>
      <c r="F9628" t="s">
        <v>4</v>
      </c>
      <c r="G9628" t="str">
        <f>""</f>
        <v/>
      </c>
    </row>
    <row r="9629" spans="1:7" x14ac:dyDescent="0.25">
      <c r="A9629" t="s">
        <v>8</v>
      </c>
      <c r="B9629" s="1" t="str">
        <f>"000146295 - RICH FDS NCORE BB-MAIN ARAMARK"</f>
        <v>000146295 - RICH FDS NCORE BB-MAIN ARAMARK</v>
      </c>
      <c r="C9629" t="s">
        <v>194</v>
      </c>
      <c r="D9629" s="1" t="str">
        <f t="shared" si="265"/>
        <v>PRG-1033843</v>
      </c>
      <c r="E9629" t="s">
        <v>195</v>
      </c>
      <c r="F9629" t="s">
        <v>4</v>
      </c>
      <c r="G9629" t="str">
        <f>""</f>
        <v/>
      </c>
    </row>
    <row r="9630" spans="1:7" x14ac:dyDescent="0.25">
      <c r="A9630" t="s">
        <v>8</v>
      </c>
      <c r="B9630" s="1" t="str">
        <f>"000146296 - RICH FDS CORE BB-MAIN ARAMARK"</f>
        <v>000146296 - RICH FDS CORE BB-MAIN ARAMARK</v>
      </c>
      <c r="C9630" t="s">
        <v>196</v>
      </c>
      <c r="D9630" s="1" t="str">
        <f t="shared" si="265"/>
        <v>PRG-1033843</v>
      </c>
      <c r="E9630" t="s">
        <v>195</v>
      </c>
      <c r="F9630" t="s">
        <v>4</v>
      </c>
      <c r="G9630" t="str">
        <f>""</f>
        <v/>
      </c>
    </row>
    <row r="9631" spans="1:7" x14ac:dyDescent="0.25">
      <c r="A9631" t="s">
        <v>8</v>
      </c>
      <c r="B9631" s="1" t="str">
        <f>"000149300 - RICH FDS NCORE BB-MAIN ARAMARK"</f>
        <v>000149300 - RICH FDS NCORE BB-MAIN ARAMARK</v>
      </c>
      <c r="C9631" t="s">
        <v>194</v>
      </c>
      <c r="D9631" s="1" t="str">
        <f t="shared" si="265"/>
        <v>PRG-1033843</v>
      </c>
      <c r="E9631" t="s">
        <v>195</v>
      </c>
      <c r="F9631" t="s">
        <v>4</v>
      </c>
      <c r="G9631" t="str">
        <f>""</f>
        <v/>
      </c>
    </row>
    <row r="9632" spans="1:7" x14ac:dyDescent="0.25">
      <c r="A9632" t="s">
        <v>8</v>
      </c>
      <c r="B9632" s="1" t="str">
        <f>"000149301 - RICH FDS CORE BB-MAIN ARAMARK"</f>
        <v>000149301 - RICH FDS CORE BB-MAIN ARAMARK</v>
      </c>
      <c r="C9632" t="s">
        <v>196</v>
      </c>
      <c r="D9632" s="1" t="str">
        <f t="shared" si="265"/>
        <v>PRG-1033843</v>
      </c>
      <c r="E9632" t="s">
        <v>195</v>
      </c>
      <c r="F9632" t="s">
        <v>4</v>
      </c>
      <c r="G9632" t="str">
        <f>""</f>
        <v/>
      </c>
    </row>
    <row r="9633" spans="1:7" x14ac:dyDescent="0.25">
      <c r="A9633" t="s">
        <v>8</v>
      </c>
      <c r="B9633" s="1" t="str">
        <f>"000150593 - RICH'S FDS-MAIN ARAMARK EX-SSS"</f>
        <v>000150593 - RICH'S FDS-MAIN ARAMARK EX-SSS</v>
      </c>
      <c r="C9633" t="s">
        <v>540</v>
      </c>
      <c r="D9633" s="1" t="str">
        <f t="shared" si="265"/>
        <v>PRG-1033843</v>
      </c>
      <c r="E9633" t="s">
        <v>195</v>
      </c>
      <c r="F9633" t="s">
        <v>4</v>
      </c>
      <c r="G9633" t="str">
        <f>""</f>
        <v/>
      </c>
    </row>
    <row r="9634" spans="1:7" x14ac:dyDescent="0.25">
      <c r="A9634" t="s">
        <v>8</v>
      </c>
      <c r="B9634" s="1" t="str">
        <f>"000153510 - RICH FDS-MAIN ARAMARK EX-SSS"</f>
        <v>000153510 - RICH FDS-MAIN ARAMARK EX-SSS</v>
      </c>
      <c r="C9634" t="s">
        <v>556</v>
      </c>
      <c r="D9634" s="1" t="str">
        <f t="shared" si="265"/>
        <v>PRG-1033843</v>
      </c>
      <c r="E9634" t="s">
        <v>195</v>
      </c>
      <c r="F9634" t="s">
        <v>4</v>
      </c>
      <c r="G9634" t="str">
        <f>""</f>
        <v/>
      </c>
    </row>
    <row r="9635" spans="1:7" x14ac:dyDescent="0.25">
      <c r="A9635" t="s">
        <v>8</v>
      </c>
      <c r="B9635" s="1" t="str">
        <f>"000167060 - RICH FDS NCORE BB-MAIN ARAMARK"</f>
        <v>000167060 - RICH FDS NCORE BB-MAIN ARAMARK</v>
      </c>
      <c r="C9635" t="s">
        <v>194</v>
      </c>
      <c r="D9635" s="1" t="str">
        <f t="shared" si="265"/>
        <v>PRG-1033843</v>
      </c>
      <c r="E9635" t="s">
        <v>195</v>
      </c>
      <c r="F9635" t="s">
        <v>4</v>
      </c>
      <c r="G9635" t="str">
        <f>""</f>
        <v/>
      </c>
    </row>
    <row r="9636" spans="1:7" x14ac:dyDescent="0.25">
      <c r="A9636" t="s">
        <v>8</v>
      </c>
      <c r="B9636" s="1" t="str">
        <f>"000167061 - RICH FDS CORE BB-MAIN ARAMARK"</f>
        <v>000167061 - RICH FDS CORE BB-MAIN ARAMARK</v>
      </c>
      <c r="C9636" t="s">
        <v>196</v>
      </c>
      <c r="D9636" s="1" t="str">
        <f t="shared" si="265"/>
        <v>PRG-1033843</v>
      </c>
      <c r="E9636" t="s">
        <v>195</v>
      </c>
      <c r="F9636" t="s">
        <v>4</v>
      </c>
      <c r="G9636" t="str">
        <f>""</f>
        <v/>
      </c>
    </row>
    <row r="9637" spans="1:7" x14ac:dyDescent="0.25">
      <c r="A9637" t="s">
        <v>8</v>
      </c>
      <c r="B9637" s="1" t="str">
        <f>"000169049 - "</f>
        <v xml:space="preserve">000169049 - </v>
      </c>
      <c r="D9637" s="1" t="str">
        <f t="shared" si="265"/>
        <v>PRG-1033843</v>
      </c>
      <c r="E9637" t="s">
        <v>195</v>
      </c>
      <c r="F9637" t="s">
        <v>4</v>
      </c>
      <c r="G9637" t="str">
        <f>""</f>
        <v/>
      </c>
    </row>
    <row r="9638" spans="1:7" x14ac:dyDescent="0.25">
      <c r="A9638" t="s">
        <v>8</v>
      </c>
      <c r="B9638" s="1" t="str">
        <f>"000170996 - RICH FDS NCORE BB-MAIN ARAMARK"</f>
        <v>000170996 - RICH FDS NCORE BB-MAIN ARAMARK</v>
      </c>
      <c r="C9638" t="s">
        <v>194</v>
      </c>
      <c r="D9638" s="1" t="str">
        <f t="shared" si="265"/>
        <v>PRG-1033843</v>
      </c>
      <c r="E9638" t="s">
        <v>195</v>
      </c>
      <c r="F9638" t="s">
        <v>4</v>
      </c>
      <c r="G9638" t="str">
        <f>""</f>
        <v/>
      </c>
    </row>
    <row r="9639" spans="1:7" x14ac:dyDescent="0.25">
      <c r="A9639" t="s">
        <v>8</v>
      </c>
      <c r="B9639" s="1" t="str">
        <f>"000170997 - RICH FDS CORE BB-MAIN ARAMARK"</f>
        <v>000170997 - RICH FDS CORE BB-MAIN ARAMARK</v>
      </c>
      <c r="C9639" t="s">
        <v>196</v>
      </c>
      <c r="D9639" s="1" t="str">
        <f t="shared" si="265"/>
        <v>PRG-1033843</v>
      </c>
      <c r="E9639" t="s">
        <v>195</v>
      </c>
      <c r="F9639" t="s">
        <v>4</v>
      </c>
      <c r="G9639" t="str">
        <f>""</f>
        <v/>
      </c>
    </row>
    <row r="9640" spans="1:7" x14ac:dyDescent="0.25">
      <c r="A9640" t="s">
        <v>8</v>
      </c>
      <c r="B9640" s="1" t="str">
        <f>"000209851 - RICHS NCORE BB ARAMARK EX SSS"</f>
        <v>000209851 - RICHS NCORE BB ARAMARK EX SSS</v>
      </c>
      <c r="C9640" t="s">
        <v>1426</v>
      </c>
      <c r="D9640" s="1" t="str">
        <f t="shared" si="265"/>
        <v>PRG-1033843</v>
      </c>
      <c r="E9640" t="s">
        <v>195</v>
      </c>
      <c r="F9640" t="s">
        <v>4</v>
      </c>
      <c r="G9640" t="str">
        <f>""</f>
        <v/>
      </c>
    </row>
    <row r="9641" spans="1:7" x14ac:dyDescent="0.25">
      <c r="A9641" t="s">
        <v>8</v>
      </c>
      <c r="B9641" s="1" t="str">
        <f>"000212393 - RICH FDS NCORE BB-MAIN ARAMARK"</f>
        <v>000212393 - RICH FDS NCORE BB-MAIN ARAMARK</v>
      </c>
      <c r="C9641" t="s">
        <v>194</v>
      </c>
      <c r="D9641" s="1" t="str">
        <f t="shared" si="265"/>
        <v>PRG-1033843</v>
      </c>
      <c r="E9641" t="s">
        <v>195</v>
      </c>
      <c r="F9641" t="s">
        <v>4</v>
      </c>
      <c r="G9641" t="str">
        <f>""</f>
        <v/>
      </c>
    </row>
    <row r="9642" spans="1:7" x14ac:dyDescent="0.25">
      <c r="A9642" t="s">
        <v>8</v>
      </c>
      <c r="B9642" s="1" t="str">
        <f>"000212394 - RICH FDS CORE BB-MAIN ARAMARK"</f>
        <v>000212394 - RICH FDS CORE BB-MAIN ARAMARK</v>
      </c>
      <c r="C9642" t="s">
        <v>196</v>
      </c>
      <c r="D9642" s="1" t="str">
        <f t="shared" si="265"/>
        <v>PRG-1033843</v>
      </c>
      <c r="E9642" t="s">
        <v>195</v>
      </c>
      <c r="F9642" t="s">
        <v>4</v>
      </c>
      <c r="G9642" t="str">
        <f>""</f>
        <v/>
      </c>
    </row>
    <row r="9643" spans="1:7" x14ac:dyDescent="0.25">
      <c r="A9643" t="s">
        <v>8</v>
      </c>
      <c r="B9643" s="1" t="str">
        <f>"000214938 - RICH FDS NCORE BB-MAIN ARAMARK"</f>
        <v>000214938 - RICH FDS NCORE BB-MAIN ARAMARK</v>
      </c>
      <c r="C9643" t="s">
        <v>194</v>
      </c>
      <c r="D9643" s="1" t="str">
        <f t="shared" si="265"/>
        <v>PRG-1033843</v>
      </c>
      <c r="E9643" t="s">
        <v>195</v>
      </c>
      <c r="F9643" t="s">
        <v>4</v>
      </c>
      <c r="G9643" t="str">
        <f>""</f>
        <v/>
      </c>
    </row>
    <row r="9644" spans="1:7" x14ac:dyDescent="0.25">
      <c r="A9644" t="s">
        <v>8</v>
      </c>
      <c r="B9644" s="1" t="str">
        <f>"000214939 - RICH FDS CORE BB-MAIN ARAMARK"</f>
        <v>000214939 - RICH FDS CORE BB-MAIN ARAMARK</v>
      </c>
      <c r="C9644" t="s">
        <v>196</v>
      </c>
      <c r="D9644" s="1" t="str">
        <f t="shared" si="265"/>
        <v>PRG-1033843</v>
      </c>
      <c r="E9644" t="s">
        <v>195</v>
      </c>
      <c r="F9644" t="s">
        <v>4</v>
      </c>
      <c r="G9644" t="str">
        <f>""</f>
        <v/>
      </c>
    </row>
    <row r="9645" spans="1:7" x14ac:dyDescent="0.25">
      <c r="A9645" t="s">
        <v>8</v>
      </c>
      <c r="B9645" s="1" t="str">
        <f>"000214962 - RICH FDS NCORE BB-MAIN ARAMARK"</f>
        <v>000214962 - RICH FDS NCORE BB-MAIN ARAMARK</v>
      </c>
      <c r="C9645" t="s">
        <v>194</v>
      </c>
      <c r="D9645" s="1" t="str">
        <f t="shared" si="265"/>
        <v>PRG-1033843</v>
      </c>
      <c r="E9645" t="s">
        <v>195</v>
      </c>
      <c r="F9645" t="s">
        <v>4</v>
      </c>
      <c r="G9645" t="str">
        <f>""</f>
        <v/>
      </c>
    </row>
    <row r="9646" spans="1:7" x14ac:dyDescent="0.25">
      <c r="A9646" t="s">
        <v>8</v>
      </c>
      <c r="B9646" s="1" t="str">
        <f>"000214963 - RICH FDS CORE BB-MAIN ARAMARK"</f>
        <v>000214963 - RICH FDS CORE BB-MAIN ARAMARK</v>
      </c>
      <c r="C9646" t="s">
        <v>196</v>
      </c>
      <c r="D9646" s="1" t="str">
        <f t="shared" ref="D9646:D9709" si="266">"PRG-1033843"</f>
        <v>PRG-1033843</v>
      </c>
      <c r="E9646" t="s">
        <v>195</v>
      </c>
      <c r="F9646" t="s">
        <v>4</v>
      </c>
      <c r="G9646" t="str">
        <f>""</f>
        <v/>
      </c>
    </row>
    <row r="9647" spans="1:7" x14ac:dyDescent="0.25">
      <c r="A9647" t="s">
        <v>8</v>
      </c>
      <c r="B9647" s="1" t="str">
        <f>"000218702 - RICH FDS NCORE BB-MAIN ARAMARK"</f>
        <v>000218702 - RICH FDS NCORE BB-MAIN ARAMARK</v>
      </c>
      <c r="C9647" t="s">
        <v>194</v>
      </c>
      <c r="D9647" s="1" t="str">
        <f t="shared" si="266"/>
        <v>PRG-1033843</v>
      </c>
      <c r="E9647" t="s">
        <v>195</v>
      </c>
      <c r="F9647" t="s">
        <v>4</v>
      </c>
      <c r="G9647" t="str">
        <f>""</f>
        <v/>
      </c>
    </row>
    <row r="9648" spans="1:7" x14ac:dyDescent="0.25">
      <c r="A9648" t="s">
        <v>8</v>
      </c>
      <c r="B9648" s="1" t="str">
        <f>"000218703 - RICH FDS CORE BB-MAIN ARAMARK"</f>
        <v>000218703 - RICH FDS CORE BB-MAIN ARAMARK</v>
      </c>
      <c r="C9648" t="s">
        <v>196</v>
      </c>
      <c r="D9648" s="1" t="str">
        <f t="shared" si="266"/>
        <v>PRG-1033843</v>
      </c>
      <c r="E9648" t="s">
        <v>195</v>
      </c>
      <c r="F9648" t="s">
        <v>4</v>
      </c>
      <c r="G9648" t="str">
        <f>""</f>
        <v/>
      </c>
    </row>
    <row r="9649" spans="1:7" x14ac:dyDescent="0.25">
      <c r="A9649" t="s">
        <v>8</v>
      </c>
      <c r="B9649" s="1" t="str">
        <f>"000226162 - RICH FDS NCORE BB-MAIN ARAMARK"</f>
        <v>000226162 - RICH FDS NCORE BB-MAIN ARAMARK</v>
      </c>
      <c r="C9649" t="s">
        <v>194</v>
      </c>
      <c r="D9649" s="1" t="str">
        <f t="shared" si="266"/>
        <v>PRG-1033843</v>
      </c>
      <c r="E9649" t="s">
        <v>195</v>
      </c>
      <c r="F9649" t="s">
        <v>4</v>
      </c>
      <c r="G9649" t="str">
        <f>""</f>
        <v/>
      </c>
    </row>
    <row r="9650" spans="1:7" x14ac:dyDescent="0.25">
      <c r="A9650" t="s">
        <v>8</v>
      </c>
      <c r="B9650" s="1" t="str">
        <f>"000226163 - RICH FDS CORE BB-MAIN ARAMARK"</f>
        <v>000226163 - RICH FDS CORE BB-MAIN ARAMARK</v>
      </c>
      <c r="C9650" t="s">
        <v>196</v>
      </c>
      <c r="D9650" s="1" t="str">
        <f t="shared" si="266"/>
        <v>PRG-1033843</v>
      </c>
      <c r="E9650" t="s">
        <v>195</v>
      </c>
      <c r="F9650" t="s">
        <v>4</v>
      </c>
      <c r="G9650" t="str">
        <f>""</f>
        <v/>
      </c>
    </row>
    <row r="9651" spans="1:7" x14ac:dyDescent="0.25">
      <c r="A9651" t="s">
        <v>8</v>
      </c>
      <c r="B9651" s="1" t="str">
        <f>"000226246 - RICH FDS CORE BB ARAMARK"</f>
        <v>000226246 - RICH FDS CORE BB ARAMARK</v>
      </c>
      <c r="C9651" t="s">
        <v>1689</v>
      </c>
      <c r="D9651" s="1" t="str">
        <f t="shared" si="266"/>
        <v>PRG-1033843</v>
      </c>
      <c r="E9651" t="s">
        <v>195</v>
      </c>
      <c r="F9651" t="s">
        <v>4</v>
      </c>
      <c r="G9651" t="str">
        <f>""</f>
        <v/>
      </c>
    </row>
    <row r="9652" spans="1:7" x14ac:dyDescent="0.25">
      <c r="A9652" t="s">
        <v>8</v>
      </c>
      <c r="B9652" s="1" t="str">
        <f>"000226247 - RICH FDS NCORE BB ARAMARK"</f>
        <v>000226247 - RICH FDS NCORE BB ARAMARK</v>
      </c>
      <c r="C9652" t="s">
        <v>1690</v>
      </c>
      <c r="D9652" s="1" t="str">
        <f t="shared" si="266"/>
        <v>PRG-1033843</v>
      </c>
      <c r="E9652" t="s">
        <v>195</v>
      </c>
      <c r="F9652" t="s">
        <v>4</v>
      </c>
      <c r="G9652" t="str">
        <f>""</f>
        <v/>
      </c>
    </row>
    <row r="9653" spans="1:7" x14ac:dyDescent="0.25">
      <c r="A9653" t="s">
        <v>8</v>
      </c>
      <c r="B9653" s="1" t="str">
        <f>"000226453 - RICH FDS NCORE BB-MAIN ARAMARK"</f>
        <v>000226453 - RICH FDS NCORE BB-MAIN ARAMARK</v>
      </c>
      <c r="C9653" t="s">
        <v>194</v>
      </c>
      <c r="D9653" s="1" t="str">
        <f t="shared" si="266"/>
        <v>PRG-1033843</v>
      </c>
      <c r="E9653" t="s">
        <v>195</v>
      </c>
      <c r="F9653" t="s">
        <v>4</v>
      </c>
      <c r="G9653" t="str">
        <f>""</f>
        <v/>
      </c>
    </row>
    <row r="9654" spans="1:7" x14ac:dyDescent="0.25">
      <c r="A9654" t="s">
        <v>8</v>
      </c>
      <c r="B9654" s="1" t="str">
        <f>"000226454 - RICH FDS CORE BB-MAIN ARAMARK"</f>
        <v>000226454 - RICH FDS CORE BB-MAIN ARAMARK</v>
      </c>
      <c r="C9654" t="s">
        <v>196</v>
      </c>
      <c r="D9654" s="1" t="str">
        <f t="shared" si="266"/>
        <v>PRG-1033843</v>
      </c>
      <c r="E9654" t="s">
        <v>195</v>
      </c>
      <c r="F9654" t="s">
        <v>4</v>
      </c>
      <c r="G9654" t="str">
        <f>""</f>
        <v/>
      </c>
    </row>
    <row r="9655" spans="1:7" x14ac:dyDescent="0.25">
      <c r="A9655" t="s">
        <v>8</v>
      </c>
      <c r="B9655" s="1" t="str">
        <f>"000229400 - RICH FDS NCORE BB-MAIN ARAMARK"</f>
        <v>000229400 - RICH FDS NCORE BB-MAIN ARAMARK</v>
      </c>
      <c r="C9655" t="s">
        <v>194</v>
      </c>
      <c r="D9655" s="1" t="str">
        <f t="shared" si="266"/>
        <v>PRG-1033843</v>
      </c>
      <c r="E9655" t="s">
        <v>195</v>
      </c>
      <c r="F9655" t="s">
        <v>4</v>
      </c>
      <c r="G9655" t="str">
        <f>""</f>
        <v/>
      </c>
    </row>
    <row r="9656" spans="1:7" x14ac:dyDescent="0.25">
      <c r="A9656" t="s">
        <v>8</v>
      </c>
      <c r="B9656" s="1" t="str">
        <f>"000229401 - RICH FDS CORE BB-MAIN ARAMARK"</f>
        <v>000229401 - RICH FDS CORE BB-MAIN ARAMARK</v>
      </c>
      <c r="C9656" t="s">
        <v>196</v>
      </c>
      <c r="D9656" s="1" t="str">
        <f t="shared" si="266"/>
        <v>PRG-1033843</v>
      </c>
      <c r="E9656" t="s">
        <v>195</v>
      </c>
      <c r="F9656" t="s">
        <v>4</v>
      </c>
      <c r="G9656" t="str">
        <f>""</f>
        <v/>
      </c>
    </row>
    <row r="9657" spans="1:7" x14ac:dyDescent="0.25">
      <c r="A9657" t="s">
        <v>8</v>
      </c>
      <c r="B9657" s="1" t="str">
        <f>"000229588 - RICH FDS NCORE BB-MAIN ARAMARK"</f>
        <v>000229588 - RICH FDS NCORE BB-MAIN ARAMARK</v>
      </c>
      <c r="C9657" t="s">
        <v>194</v>
      </c>
      <c r="D9657" s="1" t="str">
        <f t="shared" si="266"/>
        <v>PRG-1033843</v>
      </c>
      <c r="E9657" t="s">
        <v>195</v>
      </c>
      <c r="F9657" t="s">
        <v>4</v>
      </c>
      <c r="G9657" t="str">
        <f>""</f>
        <v/>
      </c>
    </row>
    <row r="9658" spans="1:7" x14ac:dyDescent="0.25">
      <c r="A9658" t="s">
        <v>8</v>
      </c>
      <c r="B9658" s="1" t="str">
        <f>"000229589 - RICH FDS CORE BB-MAIN ARAMARK"</f>
        <v>000229589 - RICH FDS CORE BB-MAIN ARAMARK</v>
      </c>
      <c r="C9658" t="s">
        <v>196</v>
      </c>
      <c r="D9658" s="1" t="str">
        <f t="shared" si="266"/>
        <v>PRG-1033843</v>
      </c>
      <c r="E9658" t="s">
        <v>195</v>
      </c>
      <c r="F9658" t="s">
        <v>4</v>
      </c>
      <c r="G9658" t="str">
        <f>""</f>
        <v/>
      </c>
    </row>
    <row r="9659" spans="1:7" x14ac:dyDescent="0.25">
      <c r="A9659" t="s">
        <v>8</v>
      </c>
      <c r="B9659" s="1" t="str">
        <f>"000229627 - RICH FDS-NCBB ARAMARK RETRO F8"</f>
        <v>000229627 - RICH FDS-NCBB ARAMARK RETRO F8</v>
      </c>
      <c r="C9659" t="s">
        <v>1738</v>
      </c>
      <c r="D9659" s="1" t="str">
        <f t="shared" si="266"/>
        <v>PRG-1033843</v>
      </c>
      <c r="E9659" t="s">
        <v>195</v>
      </c>
      <c r="F9659" t="s">
        <v>4</v>
      </c>
      <c r="G9659" t="str">
        <f>""</f>
        <v/>
      </c>
    </row>
    <row r="9660" spans="1:7" x14ac:dyDescent="0.25">
      <c r="A9660" t="s">
        <v>8</v>
      </c>
      <c r="B9660" s="1" t="str">
        <f>"000229629 - RICH FDS-CORE BB ARAMARK MN F8"</f>
        <v>000229629 - RICH FDS-CORE BB ARAMARK MN F8</v>
      </c>
      <c r="C9660" t="s">
        <v>1739</v>
      </c>
      <c r="D9660" s="1" t="str">
        <f t="shared" si="266"/>
        <v>PRG-1033843</v>
      </c>
      <c r="E9660" t="s">
        <v>195</v>
      </c>
      <c r="F9660" t="s">
        <v>4</v>
      </c>
      <c r="G9660" t="str">
        <f>""</f>
        <v/>
      </c>
    </row>
    <row r="9661" spans="1:7" x14ac:dyDescent="0.25">
      <c r="A9661" t="s">
        <v>8</v>
      </c>
      <c r="B9661" s="1" t="str">
        <f>"000229759 - RICH FDS NCORE BB MAIN ARAMARK"</f>
        <v>000229759 - RICH FDS NCORE BB MAIN ARAMARK</v>
      </c>
      <c r="C9661" t="s">
        <v>639</v>
      </c>
      <c r="D9661" s="1" t="str">
        <f t="shared" si="266"/>
        <v>PRG-1033843</v>
      </c>
      <c r="E9661" t="s">
        <v>195</v>
      </c>
      <c r="F9661" t="s">
        <v>4</v>
      </c>
      <c r="G9661" t="str">
        <f>""</f>
        <v/>
      </c>
    </row>
    <row r="9662" spans="1:7" x14ac:dyDescent="0.25">
      <c r="A9662" t="s">
        <v>8</v>
      </c>
      <c r="B9662" s="1" t="str">
        <f>"000229760 - RICH FDS CORE BB MAIN ARAMARK"</f>
        <v>000229760 - RICH FDS CORE BB MAIN ARAMARK</v>
      </c>
      <c r="C9662" t="s">
        <v>640</v>
      </c>
      <c r="D9662" s="1" t="str">
        <f t="shared" si="266"/>
        <v>PRG-1033843</v>
      </c>
      <c r="E9662" t="s">
        <v>195</v>
      </c>
      <c r="F9662" t="s">
        <v>4</v>
      </c>
      <c r="G9662" t="str">
        <f>""</f>
        <v/>
      </c>
    </row>
    <row r="9663" spans="1:7" x14ac:dyDescent="0.25">
      <c r="A9663" t="s">
        <v>8</v>
      </c>
      <c r="B9663" s="1" t="str">
        <f>"000230042 - BB ARA FOB NC RICHS"</f>
        <v>000230042 - BB ARA FOB NC RICHS</v>
      </c>
      <c r="C9663" t="s">
        <v>1670</v>
      </c>
      <c r="D9663" s="1" t="str">
        <f t="shared" si="266"/>
        <v>PRG-1033843</v>
      </c>
      <c r="E9663" t="s">
        <v>195</v>
      </c>
      <c r="F9663" t="s">
        <v>4</v>
      </c>
      <c r="G9663" t="str">
        <f>""</f>
        <v/>
      </c>
    </row>
    <row r="9664" spans="1:7" x14ac:dyDescent="0.25">
      <c r="A9664" t="s">
        <v>8</v>
      </c>
      <c r="B9664" s="1" t="str">
        <f>"000230043 - BB ARA EX SSS FOB RICHS"</f>
        <v>000230043 - BB ARA EX SSS FOB RICHS</v>
      </c>
      <c r="C9664" t="s">
        <v>1743</v>
      </c>
      <c r="D9664" s="1" t="str">
        <f t="shared" si="266"/>
        <v>PRG-1033843</v>
      </c>
      <c r="E9664" t="s">
        <v>195</v>
      </c>
      <c r="F9664" t="s">
        <v>4</v>
      </c>
      <c r="G9664" t="str">
        <f>""</f>
        <v/>
      </c>
    </row>
    <row r="9665" spans="1:7" x14ac:dyDescent="0.25">
      <c r="A9665" t="s">
        <v>8</v>
      </c>
      <c r="B9665" s="1" t="str">
        <f>"000230049 - BB ARA FOB NC RICHS"</f>
        <v>000230049 - BB ARA FOB NC RICHS</v>
      </c>
      <c r="C9665" t="s">
        <v>1670</v>
      </c>
      <c r="D9665" s="1" t="str">
        <f t="shared" si="266"/>
        <v>PRG-1033843</v>
      </c>
      <c r="E9665" t="s">
        <v>195</v>
      </c>
      <c r="F9665" t="s">
        <v>4</v>
      </c>
      <c r="G9665" t="str">
        <f>""</f>
        <v/>
      </c>
    </row>
    <row r="9666" spans="1:7" x14ac:dyDescent="0.25">
      <c r="A9666" t="s">
        <v>8</v>
      </c>
      <c r="B9666" s="1" t="str">
        <f>"000230314 - BB ARA MAIN FOB RICHS"</f>
        <v>000230314 - BB ARA MAIN FOB RICHS</v>
      </c>
      <c r="C9666" t="s">
        <v>1374</v>
      </c>
      <c r="D9666" s="1" t="str">
        <f t="shared" si="266"/>
        <v>PRG-1033843</v>
      </c>
      <c r="E9666" t="s">
        <v>195</v>
      </c>
      <c r="F9666" t="s">
        <v>4</v>
      </c>
      <c r="G9666" t="str">
        <f>""</f>
        <v/>
      </c>
    </row>
    <row r="9667" spans="1:7" x14ac:dyDescent="0.25">
      <c r="A9667" t="s">
        <v>8</v>
      </c>
      <c r="B9667" s="1" t="str">
        <f>"000230633 - RICH'S FDS-MAIN ARAMARK EX-SSS"</f>
        <v>000230633 - RICH'S FDS-MAIN ARAMARK EX-SSS</v>
      </c>
      <c r="C9667" t="s">
        <v>540</v>
      </c>
      <c r="D9667" s="1" t="str">
        <f t="shared" si="266"/>
        <v>PRG-1033843</v>
      </c>
      <c r="E9667" t="s">
        <v>195</v>
      </c>
      <c r="F9667" t="s">
        <v>4</v>
      </c>
      <c r="G9667" t="str">
        <f>""</f>
        <v/>
      </c>
    </row>
    <row r="9668" spans="1:7" x14ac:dyDescent="0.25">
      <c r="A9668" t="s">
        <v>8</v>
      </c>
      <c r="B9668" s="1" t="str">
        <f>"000233607 - RICH FDS-MAIN ARAMARK EX-SSS"</f>
        <v>000233607 - RICH FDS-MAIN ARAMARK EX-SSS</v>
      </c>
      <c r="C9668" t="s">
        <v>556</v>
      </c>
      <c r="D9668" s="1" t="str">
        <f t="shared" si="266"/>
        <v>PRG-1033843</v>
      </c>
      <c r="E9668" t="s">
        <v>195</v>
      </c>
      <c r="F9668" t="s">
        <v>4</v>
      </c>
      <c r="G9668" t="str">
        <f>""</f>
        <v/>
      </c>
    </row>
    <row r="9669" spans="1:7" x14ac:dyDescent="0.25">
      <c r="A9669" t="s">
        <v>8</v>
      </c>
      <c r="B9669" s="1" t="str">
        <f>"000234452 - BB ARA DPM FOB RICHS"</f>
        <v>000234452 - BB ARA DPM FOB RICHS</v>
      </c>
      <c r="C9669" t="s">
        <v>1824</v>
      </c>
      <c r="D9669" s="1" t="str">
        <f t="shared" si="266"/>
        <v>PRG-1033843</v>
      </c>
      <c r="E9669" t="s">
        <v>195</v>
      </c>
      <c r="F9669" t="s">
        <v>4</v>
      </c>
      <c r="G9669" t="str">
        <f>""</f>
        <v/>
      </c>
    </row>
    <row r="9670" spans="1:7" x14ac:dyDescent="0.25">
      <c r="A9670" t="s">
        <v>8</v>
      </c>
      <c r="B9670" s="1" t="str">
        <f>"000234453 - BB ARA DPM NC RICHS"</f>
        <v>000234453 - BB ARA DPM NC RICHS</v>
      </c>
      <c r="C9670" t="s">
        <v>1825</v>
      </c>
      <c r="D9670" s="1" t="str">
        <f t="shared" si="266"/>
        <v>PRG-1033843</v>
      </c>
      <c r="E9670" t="s">
        <v>195</v>
      </c>
      <c r="F9670" t="s">
        <v>4</v>
      </c>
      <c r="G9670" t="str">
        <f>""</f>
        <v/>
      </c>
    </row>
    <row r="9671" spans="1:7" x14ac:dyDescent="0.25">
      <c r="A9671" t="s">
        <v>8</v>
      </c>
      <c r="B9671" s="1" t="str">
        <f>"000234469 - RICH FDS NCORE BB-MAIN ARAMARK"</f>
        <v>000234469 - RICH FDS NCORE BB-MAIN ARAMARK</v>
      </c>
      <c r="C9671" t="s">
        <v>194</v>
      </c>
      <c r="D9671" s="1" t="str">
        <f t="shared" si="266"/>
        <v>PRG-1033843</v>
      </c>
      <c r="E9671" t="s">
        <v>195</v>
      </c>
      <c r="F9671" t="s">
        <v>4</v>
      </c>
      <c r="G9671" t="str">
        <f>""</f>
        <v/>
      </c>
    </row>
    <row r="9672" spans="1:7" x14ac:dyDescent="0.25">
      <c r="A9672" t="s">
        <v>8</v>
      </c>
      <c r="B9672" s="1" t="str">
        <f>"000234470 - RICH FDS CORE BB-MAIN ARAMARK"</f>
        <v>000234470 - RICH FDS CORE BB-MAIN ARAMARK</v>
      </c>
      <c r="C9672" t="s">
        <v>196</v>
      </c>
      <c r="D9672" s="1" t="str">
        <f t="shared" si="266"/>
        <v>PRG-1033843</v>
      </c>
      <c r="E9672" t="s">
        <v>195</v>
      </c>
      <c r="F9672" t="s">
        <v>4</v>
      </c>
      <c r="G9672" t="str">
        <f>""</f>
        <v/>
      </c>
    </row>
    <row r="9673" spans="1:7" x14ac:dyDescent="0.25">
      <c r="A9673" t="s">
        <v>8</v>
      </c>
      <c r="B9673" s="1" t="str">
        <f>"000236327 - RICH FDS NCORE BB-MAIN ARAMARK"</f>
        <v>000236327 - RICH FDS NCORE BB-MAIN ARAMARK</v>
      </c>
      <c r="C9673" t="s">
        <v>194</v>
      </c>
      <c r="D9673" s="1" t="str">
        <f t="shared" si="266"/>
        <v>PRG-1033843</v>
      </c>
      <c r="E9673" t="s">
        <v>195</v>
      </c>
      <c r="F9673" t="s">
        <v>4</v>
      </c>
      <c r="G9673" t="str">
        <f>""</f>
        <v/>
      </c>
    </row>
    <row r="9674" spans="1:7" x14ac:dyDescent="0.25">
      <c r="A9674" t="s">
        <v>8</v>
      </c>
      <c r="B9674" s="1" t="str">
        <f>"000236328 - RICH FDS CORE BB-MAIN ARAMARK"</f>
        <v>000236328 - RICH FDS CORE BB-MAIN ARAMARK</v>
      </c>
      <c r="C9674" t="s">
        <v>196</v>
      </c>
      <c r="D9674" s="1" t="str">
        <f t="shared" si="266"/>
        <v>PRG-1033843</v>
      </c>
      <c r="E9674" t="s">
        <v>195</v>
      </c>
      <c r="F9674" t="s">
        <v>4</v>
      </c>
      <c r="G9674" t="str">
        <f>""</f>
        <v/>
      </c>
    </row>
    <row r="9675" spans="1:7" x14ac:dyDescent="0.25">
      <c r="A9675" t="s">
        <v>8</v>
      </c>
      <c r="B9675" s="1" t="str">
        <f>"000238529 - RICH ARAMARK BB ONLY"</f>
        <v>000238529 - RICH ARAMARK BB ONLY</v>
      </c>
      <c r="C9675" t="s">
        <v>1883</v>
      </c>
      <c r="D9675" s="1" t="str">
        <f t="shared" si="266"/>
        <v>PRG-1033843</v>
      </c>
      <c r="E9675" t="s">
        <v>195</v>
      </c>
      <c r="F9675" t="s">
        <v>4</v>
      </c>
      <c r="G9675" t="str">
        <f>""</f>
        <v/>
      </c>
    </row>
    <row r="9676" spans="1:7" x14ac:dyDescent="0.25">
      <c r="A9676" t="s">
        <v>8</v>
      </c>
      <c r="B9676" s="1" t="str">
        <f>"000239324 - RICH FDS NCORE BB-MAIN ARAMARK"</f>
        <v>000239324 - RICH FDS NCORE BB-MAIN ARAMARK</v>
      </c>
      <c r="C9676" t="s">
        <v>194</v>
      </c>
      <c r="D9676" s="1" t="str">
        <f t="shared" si="266"/>
        <v>PRG-1033843</v>
      </c>
      <c r="E9676" t="s">
        <v>195</v>
      </c>
      <c r="F9676" t="s">
        <v>4</v>
      </c>
      <c r="G9676" t="str">
        <f>""</f>
        <v/>
      </c>
    </row>
    <row r="9677" spans="1:7" x14ac:dyDescent="0.25">
      <c r="A9677" t="s">
        <v>8</v>
      </c>
      <c r="B9677" s="1" t="str">
        <f>"000239325 - RICH FDS CORE BB-MAIN ARAMARK"</f>
        <v>000239325 - RICH FDS CORE BB-MAIN ARAMARK</v>
      </c>
      <c r="C9677" t="s">
        <v>196</v>
      </c>
      <c r="D9677" s="1" t="str">
        <f t="shared" si="266"/>
        <v>PRG-1033843</v>
      </c>
      <c r="E9677" t="s">
        <v>195</v>
      </c>
      <c r="F9677" t="s">
        <v>4</v>
      </c>
      <c r="G9677" t="str">
        <f>""</f>
        <v/>
      </c>
    </row>
    <row r="9678" spans="1:7" x14ac:dyDescent="0.25">
      <c r="A9678" t="s">
        <v>8</v>
      </c>
      <c r="B9678" s="1" t="str">
        <f>"000239363 - ARAMARK RICH FOODS BB RICH PRO"</f>
        <v>000239363 - ARAMARK RICH FOODS BB RICH PRO</v>
      </c>
      <c r="C9678" t="s">
        <v>1896</v>
      </c>
      <c r="D9678" s="1" t="str">
        <f t="shared" si="266"/>
        <v>PRG-1033843</v>
      </c>
      <c r="E9678" t="s">
        <v>195</v>
      </c>
      <c r="F9678" t="s">
        <v>4</v>
      </c>
      <c r="G9678" t="str">
        <f>""</f>
        <v/>
      </c>
    </row>
    <row r="9679" spans="1:7" x14ac:dyDescent="0.25">
      <c r="A9679" t="s">
        <v>8</v>
      </c>
      <c r="B9679" s="1" t="str">
        <f>"000239385 - ARAMARK  RICH FOODS BB"</f>
        <v>000239385 - ARAMARK  RICH FOODS BB</v>
      </c>
      <c r="C9679" t="s">
        <v>1898</v>
      </c>
      <c r="D9679" s="1" t="str">
        <f t="shared" si="266"/>
        <v>PRG-1033843</v>
      </c>
      <c r="E9679" t="s">
        <v>195</v>
      </c>
      <c r="F9679" t="s">
        <v>4</v>
      </c>
      <c r="G9679" t="str">
        <f>""</f>
        <v/>
      </c>
    </row>
    <row r="9680" spans="1:7" x14ac:dyDescent="0.25">
      <c r="A9680" t="s">
        <v>8</v>
      </c>
      <c r="B9680" s="1" t="str">
        <f>"000239386 - ARAMARK  RICH FOODS BB"</f>
        <v>000239386 - ARAMARK  RICH FOODS BB</v>
      </c>
      <c r="C9680" t="s">
        <v>1898</v>
      </c>
      <c r="D9680" s="1" t="str">
        <f t="shared" si="266"/>
        <v>PRG-1033843</v>
      </c>
      <c r="E9680" t="s">
        <v>195</v>
      </c>
      <c r="F9680" t="s">
        <v>4</v>
      </c>
      <c r="G9680" t="str">
        <f>""</f>
        <v/>
      </c>
    </row>
    <row r="9681" spans="1:7" x14ac:dyDescent="0.25">
      <c r="A9681" t="s">
        <v>8</v>
      </c>
      <c r="B9681" s="1" t="str">
        <f>"000240302 - RICH FDS NCORE BB-MAIN ARAMARK"</f>
        <v>000240302 - RICH FDS NCORE BB-MAIN ARAMARK</v>
      </c>
      <c r="C9681" t="s">
        <v>194</v>
      </c>
      <c r="D9681" s="1" t="str">
        <f t="shared" si="266"/>
        <v>PRG-1033843</v>
      </c>
      <c r="E9681" t="s">
        <v>195</v>
      </c>
      <c r="F9681" t="s">
        <v>4</v>
      </c>
      <c r="G9681" t="str">
        <f>""</f>
        <v/>
      </c>
    </row>
    <row r="9682" spans="1:7" x14ac:dyDescent="0.25">
      <c r="A9682" t="s">
        <v>8</v>
      </c>
      <c r="B9682" s="1" t="str">
        <f>"000240303 - RICH FDS CORE BB-MAIN ARAMARK"</f>
        <v>000240303 - RICH FDS CORE BB-MAIN ARAMARK</v>
      </c>
      <c r="C9682" t="s">
        <v>196</v>
      </c>
      <c r="D9682" s="1" t="str">
        <f t="shared" si="266"/>
        <v>PRG-1033843</v>
      </c>
      <c r="E9682" t="s">
        <v>195</v>
      </c>
      <c r="F9682" t="s">
        <v>4</v>
      </c>
      <c r="G9682" t="str">
        <f>""</f>
        <v/>
      </c>
    </row>
    <row r="9683" spans="1:7" x14ac:dyDescent="0.25">
      <c r="A9683" t="s">
        <v>8</v>
      </c>
      <c r="B9683" s="1" t="str">
        <f>"000240340 - RICH FDS CORE BB-MAIN ARAMARK"</f>
        <v>000240340 - RICH FDS CORE BB-MAIN ARAMARK</v>
      </c>
      <c r="C9683" t="s">
        <v>196</v>
      </c>
      <c r="D9683" s="1" t="str">
        <f t="shared" si="266"/>
        <v>PRG-1033843</v>
      </c>
      <c r="E9683" t="s">
        <v>195</v>
      </c>
      <c r="F9683" t="s">
        <v>4</v>
      </c>
      <c r="G9683" t="str">
        <f>""</f>
        <v/>
      </c>
    </row>
    <row r="9684" spans="1:7" x14ac:dyDescent="0.25">
      <c r="A9684" t="s">
        <v>8</v>
      </c>
      <c r="B9684" s="1" t="str">
        <f>"000240436 - RICH FDS NCORE BB-MAIN ARAMARK"</f>
        <v>000240436 - RICH FDS NCORE BB-MAIN ARAMARK</v>
      </c>
      <c r="C9684" t="s">
        <v>194</v>
      </c>
      <c r="D9684" s="1" t="str">
        <f t="shared" si="266"/>
        <v>PRG-1033843</v>
      </c>
      <c r="E9684" t="s">
        <v>195</v>
      </c>
      <c r="F9684" t="s">
        <v>4</v>
      </c>
      <c r="G9684" t="str">
        <f>""</f>
        <v/>
      </c>
    </row>
    <row r="9685" spans="1:7" x14ac:dyDescent="0.25">
      <c r="A9685" t="s">
        <v>8</v>
      </c>
      <c r="B9685" s="1" t="str">
        <f>"000240437 - RICH FDS CORE BB-MAIN ARAMARK"</f>
        <v>000240437 - RICH FDS CORE BB-MAIN ARAMARK</v>
      </c>
      <c r="C9685" t="s">
        <v>196</v>
      </c>
      <c r="D9685" s="1" t="str">
        <f t="shared" si="266"/>
        <v>PRG-1033843</v>
      </c>
      <c r="E9685" t="s">
        <v>195</v>
      </c>
      <c r="F9685" t="s">
        <v>4</v>
      </c>
      <c r="G9685" t="str">
        <f>""</f>
        <v/>
      </c>
    </row>
    <row r="9686" spans="1:7" x14ac:dyDescent="0.25">
      <c r="A9686" t="s">
        <v>8</v>
      </c>
      <c r="B9686" s="1" t="str">
        <f>"000240718 - Z RICH NCORE BB-MAIN ARAMARK"</f>
        <v>000240718 - Z RICH NCORE BB-MAIN ARAMARK</v>
      </c>
      <c r="C9686" t="s">
        <v>1911</v>
      </c>
      <c r="D9686" s="1" t="str">
        <f t="shared" si="266"/>
        <v>PRG-1033843</v>
      </c>
      <c r="E9686" t="s">
        <v>195</v>
      </c>
      <c r="F9686" t="s">
        <v>4</v>
      </c>
      <c r="G9686" t="str">
        <f>""</f>
        <v/>
      </c>
    </row>
    <row r="9687" spans="1:7" x14ac:dyDescent="0.25">
      <c r="A9687" t="s">
        <v>8</v>
      </c>
      <c r="B9687" s="1" t="str">
        <f>"000240719 - Z RICH CORE BB-MAIN ARAMARK"</f>
        <v>000240719 - Z RICH CORE BB-MAIN ARAMARK</v>
      </c>
      <c r="C9687" t="s">
        <v>1912</v>
      </c>
      <c r="D9687" s="1" t="str">
        <f t="shared" si="266"/>
        <v>PRG-1033843</v>
      </c>
      <c r="E9687" t="s">
        <v>195</v>
      </c>
      <c r="F9687" t="s">
        <v>4</v>
      </c>
      <c r="G9687" t="str">
        <f>""</f>
        <v/>
      </c>
    </row>
    <row r="9688" spans="1:7" x14ac:dyDescent="0.25">
      <c r="A9688" t="s">
        <v>8</v>
      </c>
      <c r="B9688" s="1" t="str">
        <f>"000240727 - Z RICH NCORE BB-MAIN ARAMARK"</f>
        <v>000240727 - Z RICH NCORE BB-MAIN ARAMARK</v>
      </c>
      <c r="C9688" t="s">
        <v>1911</v>
      </c>
      <c r="D9688" s="1" t="str">
        <f t="shared" si="266"/>
        <v>PRG-1033843</v>
      </c>
      <c r="E9688" t="s">
        <v>195</v>
      </c>
      <c r="F9688" t="s">
        <v>4</v>
      </c>
      <c r="G9688" t="str">
        <f>""</f>
        <v/>
      </c>
    </row>
    <row r="9689" spans="1:7" x14ac:dyDescent="0.25">
      <c r="A9689" t="s">
        <v>8</v>
      </c>
      <c r="B9689" s="1" t="str">
        <f>"000242254 - RICH FDS NCORE BB-MAIN ARAMARK"</f>
        <v>000242254 - RICH FDS NCORE BB-MAIN ARAMARK</v>
      </c>
      <c r="C9689" t="s">
        <v>194</v>
      </c>
      <c r="D9689" s="1" t="str">
        <f t="shared" si="266"/>
        <v>PRG-1033843</v>
      </c>
      <c r="E9689" t="s">
        <v>195</v>
      </c>
      <c r="F9689" t="s">
        <v>4</v>
      </c>
      <c r="G9689" t="str">
        <f>""</f>
        <v/>
      </c>
    </row>
    <row r="9690" spans="1:7" x14ac:dyDescent="0.25">
      <c r="A9690" t="s">
        <v>8</v>
      </c>
      <c r="B9690" s="1" t="str">
        <f>"000242255 - RICH FDS CORE BB-MAIN ARAMARK"</f>
        <v>000242255 - RICH FDS CORE BB-MAIN ARAMARK</v>
      </c>
      <c r="C9690" t="s">
        <v>196</v>
      </c>
      <c r="D9690" s="1" t="str">
        <f t="shared" si="266"/>
        <v>PRG-1033843</v>
      </c>
      <c r="E9690" t="s">
        <v>195</v>
      </c>
      <c r="F9690" t="s">
        <v>4</v>
      </c>
      <c r="G9690" t="str">
        <f>""</f>
        <v/>
      </c>
    </row>
    <row r="9691" spans="1:7" x14ac:dyDescent="0.25">
      <c r="A9691" t="s">
        <v>8</v>
      </c>
      <c r="B9691" s="1" t="str">
        <f>"000242340 - RICH FDS CORE BB-MAIN ARAMARK"</f>
        <v>000242340 - RICH FDS CORE BB-MAIN ARAMARK</v>
      </c>
      <c r="C9691" t="s">
        <v>196</v>
      </c>
      <c r="D9691" s="1" t="str">
        <f t="shared" si="266"/>
        <v>PRG-1033843</v>
      </c>
      <c r="E9691" t="s">
        <v>195</v>
      </c>
      <c r="F9691" t="s">
        <v>4</v>
      </c>
      <c r="G9691" t="str">
        <f>""</f>
        <v/>
      </c>
    </row>
    <row r="9692" spans="1:7" x14ac:dyDescent="0.25">
      <c r="A9692" t="s">
        <v>8</v>
      </c>
      <c r="B9692" s="1" t="str">
        <f>"000242341 - RICH FDS NCORE BB-MAIN ARAMARK"</f>
        <v>000242341 - RICH FDS NCORE BB-MAIN ARAMARK</v>
      </c>
      <c r="C9692" t="s">
        <v>194</v>
      </c>
      <c r="D9692" s="1" t="str">
        <f t="shared" si="266"/>
        <v>PRG-1033843</v>
      </c>
      <c r="E9692" t="s">
        <v>195</v>
      </c>
      <c r="F9692" t="s">
        <v>4</v>
      </c>
      <c r="G9692" t="str">
        <f>""</f>
        <v/>
      </c>
    </row>
    <row r="9693" spans="1:7" x14ac:dyDescent="0.25">
      <c r="A9693" t="s">
        <v>8</v>
      </c>
      <c r="B9693" s="1" t="str">
        <f>"000243405 - RICH FDS NCORE BB-MAIN ARAMARK"</f>
        <v>000243405 - RICH FDS NCORE BB-MAIN ARAMARK</v>
      </c>
      <c r="C9693" t="s">
        <v>194</v>
      </c>
      <c r="D9693" s="1" t="str">
        <f t="shared" si="266"/>
        <v>PRG-1033843</v>
      </c>
      <c r="E9693" t="s">
        <v>195</v>
      </c>
      <c r="F9693" t="s">
        <v>4</v>
      </c>
      <c r="G9693" t="str">
        <f>""</f>
        <v/>
      </c>
    </row>
    <row r="9694" spans="1:7" x14ac:dyDescent="0.25">
      <c r="A9694" t="s">
        <v>8</v>
      </c>
      <c r="B9694" s="1" t="str">
        <f>"000243406 - RICH FDS CORE BB-MAIN ARAMARK"</f>
        <v>000243406 - RICH FDS CORE BB-MAIN ARAMARK</v>
      </c>
      <c r="C9694" t="s">
        <v>196</v>
      </c>
      <c r="D9694" s="1" t="str">
        <f t="shared" si="266"/>
        <v>PRG-1033843</v>
      </c>
      <c r="E9694" t="s">
        <v>195</v>
      </c>
      <c r="F9694" t="s">
        <v>4</v>
      </c>
      <c r="G9694" t="str">
        <f>""</f>
        <v/>
      </c>
    </row>
    <row r="9695" spans="1:7" x14ac:dyDescent="0.25">
      <c r="A9695" t="s">
        <v>8</v>
      </c>
      <c r="B9695" s="1" t="str">
        <f>"000243407 - RICH FDS NCORE BB-SSS ARAMARK"</f>
        <v>000243407 - RICH FDS NCORE BB-SSS ARAMARK</v>
      </c>
      <c r="C9695" t="s">
        <v>272</v>
      </c>
      <c r="D9695" s="1" t="str">
        <f t="shared" si="266"/>
        <v>PRG-1033843</v>
      </c>
      <c r="E9695" t="s">
        <v>195</v>
      </c>
      <c r="F9695" t="s">
        <v>4</v>
      </c>
      <c r="G9695" t="str">
        <f>""</f>
        <v/>
      </c>
    </row>
    <row r="9696" spans="1:7" x14ac:dyDescent="0.25">
      <c r="A9696" t="s">
        <v>8</v>
      </c>
      <c r="B9696" s="1" t="str">
        <f>"000244583 - RICH FDS NCORE BB-MAIN ARAMARK"</f>
        <v>000244583 - RICH FDS NCORE BB-MAIN ARAMARK</v>
      </c>
      <c r="C9696" t="s">
        <v>194</v>
      </c>
      <c r="D9696" s="1" t="str">
        <f t="shared" si="266"/>
        <v>PRG-1033843</v>
      </c>
      <c r="E9696" t="s">
        <v>195</v>
      </c>
      <c r="F9696" t="s">
        <v>4</v>
      </c>
      <c r="G9696" t="str">
        <f>""</f>
        <v/>
      </c>
    </row>
    <row r="9697" spans="1:7" x14ac:dyDescent="0.25">
      <c r="A9697" t="s">
        <v>8</v>
      </c>
      <c r="B9697" s="1" t="str">
        <f>"000244584 - RICH FDS CORE BB-MAIN ARAMARK"</f>
        <v>000244584 - RICH FDS CORE BB-MAIN ARAMARK</v>
      </c>
      <c r="C9697" t="s">
        <v>196</v>
      </c>
      <c r="D9697" s="1" t="str">
        <f t="shared" si="266"/>
        <v>PRG-1033843</v>
      </c>
      <c r="E9697" t="s">
        <v>195</v>
      </c>
      <c r="F9697" t="s">
        <v>4</v>
      </c>
      <c r="G9697" t="str">
        <f>""</f>
        <v/>
      </c>
    </row>
    <row r="9698" spans="1:7" x14ac:dyDescent="0.25">
      <c r="A9698" t="s">
        <v>8</v>
      </c>
      <c r="B9698" s="1" t="str">
        <f>"000244621 - RICH FDS NCORE BB-MAIN ARAMARK"</f>
        <v>000244621 - RICH FDS NCORE BB-MAIN ARAMARK</v>
      </c>
      <c r="C9698" t="s">
        <v>194</v>
      </c>
      <c r="D9698" s="1" t="str">
        <f t="shared" si="266"/>
        <v>PRG-1033843</v>
      </c>
      <c r="E9698" t="s">
        <v>195</v>
      </c>
      <c r="F9698" t="s">
        <v>4</v>
      </c>
      <c r="G9698" t="str">
        <f>""</f>
        <v/>
      </c>
    </row>
    <row r="9699" spans="1:7" x14ac:dyDescent="0.25">
      <c r="A9699" t="s">
        <v>8</v>
      </c>
      <c r="B9699" s="1" t="str">
        <f>"000244711 - ARAMARK RICH FOODS RICH PRODUC"</f>
        <v>000244711 - ARAMARK RICH FOODS RICH PRODUC</v>
      </c>
      <c r="C9699" t="s">
        <v>1987</v>
      </c>
      <c r="D9699" s="1" t="str">
        <f t="shared" si="266"/>
        <v>PRG-1033843</v>
      </c>
      <c r="E9699" t="s">
        <v>195</v>
      </c>
      <c r="F9699" t="s">
        <v>4</v>
      </c>
      <c r="G9699" t="str">
        <f>""</f>
        <v/>
      </c>
    </row>
    <row r="9700" spans="1:7" x14ac:dyDescent="0.25">
      <c r="A9700" t="s">
        <v>8</v>
      </c>
      <c r="B9700" s="1" t="str">
        <f>"000244714 - RICH PROD EUREKA"</f>
        <v>000244714 - RICH PROD EUREKA</v>
      </c>
      <c r="C9700" t="s">
        <v>1988</v>
      </c>
      <c r="D9700" s="1" t="str">
        <f t="shared" si="266"/>
        <v>PRG-1033843</v>
      </c>
      <c r="E9700" t="s">
        <v>195</v>
      </c>
      <c r="F9700" t="s">
        <v>4</v>
      </c>
      <c r="G9700" t="str">
        <f>""</f>
        <v/>
      </c>
    </row>
    <row r="9701" spans="1:7" x14ac:dyDescent="0.25">
      <c r="A9701" t="s">
        <v>8</v>
      </c>
      <c r="B9701" s="1" t="str">
        <f>"000248867 - RICH FDS NCORE BB-MAIN ARAMARK"</f>
        <v>000248867 - RICH FDS NCORE BB-MAIN ARAMARK</v>
      </c>
      <c r="C9701" t="s">
        <v>194</v>
      </c>
      <c r="D9701" s="1" t="str">
        <f t="shared" si="266"/>
        <v>PRG-1033843</v>
      </c>
      <c r="E9701" t="s">
        <v>195</v>
      </c>
      <c r="F9701" t="s">
        <v>4</v>
      </c>
      <c r="G9701" t="str">
        <f>""</f>
        <v/>
      </c>
    </row>
    <row r="9702" spans="1:7" x14ac:dyDescent="0.25">
      <c r="A9702" t="s">
        <v>8</v>
      </c>
      <c r="B9702" s="1" t="str">
        <f>"000248868 - RICH FDS CORE BB-MAIN ARAMARK"</f>
        <v>000248868 - RICH FDS CORE BB-MAIN ARAMARK</v>
      </c>
      <c r="C9702" t="s">
        <v>196</v>
      </c>
      <c r="D9702" s="1" t="str">
        <f t="shared" si="266"/>
        <v>PRG-1033843</v>
      </c>
      <c r="E9702" t="s">
        <v>195</v>
      </c>
      <c r="F9702" t="s">
        <v>4</v>
      </c>
      <c r="G9702" t="str">
        <f>""</f>
        <v/>
      </c>
    </row>
    <row r="9703" spans="1:7" x14ac:dyDescent="0.25">
      <c r="A9703" t="s">
        <v>8</v>
      </c>
      <c r="B9703" s="1" t="str">
        <f>"000249785 - RICH FDS NCORE BB-MAIN ARAMARK"</f>
        <v>000249785 - RICH FDS NCORE BB-MAIN ARAMARK</v>
      </c>
      <c r="C9703" t="s">
        <v>194</v>
      </c>
      <c r="D9703" s="1" t="str">
        <f t="shared" si="266"/>
        <v>PRG-1033843</v>
      </c>
      <c r="E9703" t="s">
        <v>195</v>
      </c>
      <c r="F9703" t="s">
        <v>4</v>
      </c>
      <c r="G9703" t="str">
        <f>""</f>
        <v/>
      </c>
    </row>
    <row r="9704" spans="1:7" x14ac:dyDescent="0.25">
      <c r="A9704" t="s">
        <v>8</v>
      </c>
      <c r="B9704" s="1" t="str">
        <f>"000249786 - RICH FDS CORE BB-MAIN ARAMARK"</f>
        <v>000249786 - RICH FDS CORE BB-MAIN ARAMARK</v>
      </c>
      <c r="C9704" t="s">
        <v>196</v>
      </c>
      <c r="D9704" s="1" t="str">
        <f t="shared" si="266"/>
        <v>PRG-1033843</v>
      </c>
      <c r="E9704" t="s">
        <v>195</v>
      </c>
      <c r="F9704" t="s">
        <v>4</v>
      </c>
      <c r="G9704" t="str">
        <f>""</f>
        <v/>
      </c>
    </row>
    <row r="9705" spans="1:7" x14ac:dyDescent="0.25">
      <c r="A9705" t="s">
        <v>8</v>
      </c>
      <c r="B9705" s="1" t="str">
        <f>"000253461 - RICH FDS NCORE BB-MAIN ARAMARK"</f>
        <v>000253461 - RICH FDS NCORE BB-MAIN ARAMARK</v>
      </c>
      <c r="C9705" t="s">
        <v>194</v>
      </c>
      <c r="D9705" s="1" t="str">
        <f t="shared" si="266"/>
        <v>PRG-1033843</v>
      </c>
      <c r="E9705" t="s">
        <v>195</v>
      </c>
      <c r="F9705" t="s">
        <v>4</v>
      </c>
      <c r="G9705" t="str">
        <f>""</f>
        <v/>
      </c>
    </row>
    <row r="9706" spans="1:7" x14ac:dyDescent="0.25">
      <c r="A9706" t="s">
        <v>8</v>
      </c>
      <c r="B9706" s="1" t="str">
        <f>"000253462 - RICH FDS CORE BB-MAIN ARAMARK"</f>
        <v>000253462 - RICH FDS CORE BB-MAIN ARAMARK</v>
      </c>
      <c r="C9706" t="s">
        <v>196</v>
      </c>
      <c r="D9706" s="1" t="str">
        <f t="shared" si="266"/>
        <v>PRG-1033843</v>
      </c>
      <c r="E9706" t="s">
        <v>195</v>
      </c>
      <c r="F9706" t="s">
        <v>4</v>
      </c>
      <c r="G9706" t="str">
        <f>""</f>
        <v/>
      </c>
    </row>
    <row r="9707" spans="1:7" x14ac:dyDescent="0.25">
      <c r="A9707" t="s">
        <v>8</v>
      </c>
      <c r="B9707" s="1" t="str">
        <f>"000256977 - RICH FDS NCORE BB-MAIN ARAMARK"</f>
        <v>000256977 - RICH FDS NCORE BB-MAIN ARAMARK</v>
      </c>
      <c r="C9707" t="s">
        <v>194</v>
      </c>
      <c r="D9707" s="1" t="str">
        <f t="shared" si="266"/>
        <v>PRG-1033843</v>
      </c>
      <c r="E9707" t="s">
        <v>195</v>
      </c>
      <c r="F9707" t="s">
        <v>4</v>
      </c>
      <c r="G9707" t="str">
        <f>""</f>
        <v/>
      </c>
    </row>
    <row r="9708" spans="1:7" x14ac:dyDescent="0.25">
      <c r="A9708" t="s">
        <v>8</v>
      </c>
      <c r="B9708" s="1" t="str">
        <f>"000257353 - RICH FDS CORE BB-MAIN ARAMARK"</f>
        <v>000257353 - RICH FDS CORE BB-MAIN ARAMARK</v>
      </c>
      <c r="C9708" t="s">
        <v>196</v>
      </c>
      <c r="D9708" s="1" t="str">
        <f t="shared" si="266"/>
        <v>PRG-1033843</v>
      </c>
      <c r="E9708" t="s">
        <v>195</v>
      </c>
      <c r="F9708" t="s">
        <v>4</v>
      </c>
      <c r="G9708" t="str">
        <f>""</f>
        <v/>
      </c>
    </row>
    <row r="9709" spans="1:7" x14ac:dyDescent="0.25">
      <c r="A9709" t="s">
        <v>8</v>
      </c>
      <c r="B9709" s="1" t="str">
        <f>"000260816 - RICH FDS CORE BB-MAIN ARAMARK"</f>
        <v>000260816 - RICH FDS CORE BB-MAIN ARAMARK</v>
      </c>
      <c r="C9709" t="s">
        <v>196</v>
      </c>
      <c r="D9709" s="1" t="str">
        <f t="shared" si="266"/>
        <v>PRG-1033843</v>
      </c>
      <c r="E9709" t="s">
        <v>195</v>
      </c>
      <c r="F9709" t="s">
        <v>4</v>
      </c>
      <c r="G9709" t="str">
        <f>""</f>
        <v/>
      </c>
    </row>
    <row r="9710" spans="1:7" x14ac:dyDescent="0.25">
      <c r="A9710" t="s">
        <v>8</v>
      </c>
      <c r="B9710" s="1" t="str">
        <f>"000261529 - RICH FDS NCORE BB-MAIN ARAMARK"</f>
        <v>000261529 - RICH FDS NCORE BB-MAIN ARAMARK</v>
      </c>
      <c r="C9710" t="s">
        <v>194</v>
      </c>
      <c r="D9710" s="1" t="str">
        <f t="shared" ref="D9710:D9773" si="267">"PRG-1033843"</f>
        <v>PRG-1033843</v>
      </c>
      <c r="E9710" t="s">
        <v>195</v>
      </c>
      <c r="F9710" t="s">
        <v>4</v>
      </c>
      <c r="G9710" t="str">
        <f>""</f>
        <v/>
      </c>
    </row>
    <row r="9711" spans="1:7" x14ac:dyDescent="0.25">
      <c r="A9711" t="s">
        <v>8</v>
      </c>
      <c r="B9711" s="1" t="str">
        <f>"000261530 - RICH FDS CORE BB-MAIN ARAMARK"</f>
        <v>000261530 - RICH FDS CORE BB-MAIN ARAMARK</v>
      </c>
      <c r="C9711" t="s">
        <v>196</v>
      </c>
      <c r="D9711" s="1" t="str">
        <f t="shared" si="267"/>
        <v>PRG-1033843</v>
      </c>
      <c r="E9711" t="s">
        <v>195</v>
      </c>
      <c r="F9711" t="s">
        <v>4</v>
      </c>
      <c r="G9711" t="str">
        <f>""</f>
        <v/>
      </c>
    </row>
    <row r="9712" spans="1:7" x14ac:dyDescent="0.25">
      <c r="A9712" t="s">
        <v>8</v>
      </c>
      <c r="B9712" s="1" t="str">
        <f>"000261908 - RICH FDS NCORE BB-MAIN ARAMARK"</f>
        <v>000261908 - RICH FDS NCORE BB-MAIN ARAMARK</v>
      </c>
      <c r="C9712" t="s">
        <v>194</v>
      </c>
      <c r="D9712" s="1" t="str">
        <f t="shared" si="267"/>
        <v>PRG-1033843</v>
      </c>
      <c r="E9712" t="s">
        <v>195</v>
      </c>
      <c r="F9712" t="s">
        <v>4</v>
      </c>
      <c r="G9712" t="str">
        <f>""</f>
        <v/>
      </c>
    </row>
    <row r="9713" spans="1:7" x14ac:dyDescent="0.25">
      <c r="A9713" t="s">
        <v>8</v>
      </c>
      <c r="B9713" s="1" t="str">
        <f>"000261909 - RICHS SWEET DOUGH-SODEXO"</f>
        <v>000261909 - RICHS SWEET DOUGH-SODEXO</v>
      </c>
      <c r="C9713" t="s">
        <v>137</v>
      </c>
      <c r="D9713" s="1" t="str">
        <f t="shared" si="267"/>
        <v>PRG-1033843</v>
      </c>
      <c r="E9713" t="s">
        <v>195</v>
      </c>
      <c r="F9713" t="s">
        <v>4</v>
      </c>
      <c r="G9713" t="str">
        <f>""</f>
        <v/>
      </c>
    </row>
    <row r="9714" spans="1:7" x14ac:dyDescent="0.25">
      <c r="A9714" t="s">
        <v>8</v>
      </c>
      <c r="B9714" s="1" t="str">
        <f>"000261910 - RICH FDS NCORE BB-SSS ARAMARK"</f>
        <v>000261910 - RICH FDS NCORE BB-SSS ARAMARK</v>
      </c>
      <c r="C9714" t="s">
        <v>272</v>
      </c>
      <c r="D9714" s="1" t="str">
        <f t="shared" si="267"/>
        <v>PRG-1033843</v>
      </c>
      <c r="E9714" t="s">
        <v>195</v>
      </c>
      <c r="F9714" t="s">
        <v>4</v>
      </c>
      <c r="G9714" t="str">
        <f>""</f>
        <v/>
      </c>
    </row>
    <row r="9715" spans="1:7" x14ac:dyDescent="0.25">
      <c r="A9715" t="s">
        <v>8</v>
      </c>
      <c r="B9715" s="1" t="str">
        <f>"000261912 - RICH FDS NCORE BB-MAIN ARAMARK"</f>
        <v>000261912 - RICH FDS NCORE BB-MAIN ARAMARK</v>
      </c>
      <c r="C9715" t="s">
        <v>194</v>
      </c>
      <c r="D9715" s="1" t="str">
        <f t="shared" si="267"/>
        <v>PRG-1033843</v>
      </c>
      <c r="E9715" t="s">
        <v>195</v>
      </c>
      <c r="F9715" t="s">
        <v>4</v>
      </c>
      <c r="G9715" t="str">
        <f>""</f>
        <v/>
      </c>
    </row>
    <row r="9716" spans="1:7" x14ac:dyDescent="0.25">
      <c r="A9716" t="s">
        <v>8</v>
      </c>
      <c r="B9716" s="1" t="str">
        <f>"000261913 - RICH FDS CORE BB-MAIN ARAMARK"</f>
        <v>000261913 - RICH FDS CORE BB-MAIN ARAMARK</v>
      </c>
      <c r="C9716" t="s">
        <v>196</v>
      </c>
      <c r="D9716" s="1" t="str">
        <f t="shared" si="267"/>
        <v>PRG-1033843</v>
      </c>
      <c r="E9716" t="s">
        <v>195</v>
      </c>
      <c r="F9716" t="s">
        <v>4</v>
      </c>
      <c r="G9716" t="str">
        <f>""</f>
        <v/>
      </c>
    </row>
    <row r="9717" spans="1:7" x14ac:dyDescent="0.25">
      <c r="A9717" t="s">
        <v>8</v>
      </c>
      <c r="B9717" s="1" t="str">
        <f>"000261968 - RETRO RICH CORE BB-ARA MAIN"</f>
        <v>000261968 - RETRO RICH CORE BB-ARA MAIN</v>
      </c>
      <c r="C9717" t="s">
        <v>2301</v>
      </c>
      <c r="D9717" s="1" t="str">
        <f t="shared" si="267"/>
        <v>PRG-1033843</v>
      </c>
      <c r="E9717" t="s">
        <v>195</v>
      </c>
      <c r="F9717" t="s">
        <v>4</v>
      </c>
      <c r="G9717" t="str">
        <f>""</f>
        <v/>
      </c>
    </row>
    <row r="9718" spans="1:7" x14ac:dyDescent="0.25">
      <c r="A9718" t="s">
        <v>8</v>
      </c>
      <c r="B9718" s="1" t="str">
        <f>"000261969 - RETRO RICH NCORE BB-ARA MAIN"</f>
        <v>000261969 - RETRO RICH NCORE BB-ARA MAIN</v>
      </c>
      <c r="C9718" t="s">
        <v>2302</v>
      </c>
      <c r="D9718" s="1" t="str">
        <f t="shared" si="267"/>
        <v>PRG-1033843</v>
      </c>
      <c r="E9718" t="s">
        <v>195</v>
      </c>
      <c r="F9718" t="s">
        <v>4</v>
      </c>
      <c r="G9718" t="str">
        <f>""</f>
        <v/>
      </c>
    </row>
    <row r="9719" spans="1:7" x14ac:dyDescent="0.25">
      <c r="A9719" t="s">
        <v>8</v>
      </c>
      <c r="B9719" s="1" t="str">
        <f>"000265388 - RICH FDS NCORE BB-MAIN ARAMARK"</f>
        <v>000265388 - RICH FDS NCORE BB-MAIN ARAMARK</v>
      </c>
      <c r="C9719" t="s">
        <v>194</v>
      </c>
      <c r="D9719" s="1" t="str">
        <f t="shared" si="267"/>
        <v>PRG-1033843</v>
      </c>
      <c r="E9719" t="s">
        <v>195</v>
      </c>
      <c r="F9719" t="s">
        <v>4</v>
      </c>
      <c r="G9719" t="str">
        <f>""</f>
        <v/>
      </c>
    </row>
    <row r="9720" spans="1:7" x14ac:dyDescent="0.25">
      <c r="A9720" t="s">
        <v>8</v>
      </c>
      <c r="B9720" s="1" t="str">
        <f>"000265389 - RICH FDS CORE BB-MAIN ARAMARK"</f>
        <v>000265389 - RICH FDS CORE BB-MAIN ARAMARK</v>
      </c>
      <c r="C9720" t="s">
        <v>196</v>
      </c>
      <c r="D9720" s="1" t="str">
        <f t="shared" si="267"/>
        <v>PRG-1033843</v>
      </c>
      <c r="E9720" t="s">
        <v>195</v>
      </c>
      <c r="F9720" t="s">
        <v>4</v>
      </c>
      <c r="G9720" t="str">
        <f>""</f>
        <v/>
      </c>
    </row>
    <row r="9721" spans="1:7" x14ac:dyDescent="0.25">
      <c r="A9721" t="s">
        <v>8</v>
      </c>
      <c r="B9721" s="1" t="str">
        <f>"000265462 - RICH FDS NCORE BB-MAIN ARAMARK"</f>
        <v>000265462 - RICH FDS NCORE BB-MAIN ARAMARK</v>
      </c>
      <c r="C9721" t="s">
        <v>194</v>
      </c>
      <c r="D9721" s="1" t="str">
        <f t="shared" si="267"/>
        <v>PRG-1033843</v>
      </c>
      <c r="E9721" t="s">
        <v>195</v>
      </c>
      <c r="F9721" t="s">
        <v>4</v>
      </c>
      <c r="G9721" t="str">
        <f>""</f>
        <v/>
      </c>
    </row>
    <row r="9722" spans="1:7" x14ac:dyDescent="0.25">
      <c r="A9722" t="s">
        <v>8</v>
      </c>
      <c r="B9722" s="1" t="str">
        <f>"000265463 - RICH FDS CORE BB-MAIN ARAMARK"</f>
        <v>000265463 - RICH FDS CORE BB-MAIN ARAMARK</v>
      </c>
      <c r="C9722" t="s">
        <v>196</v>
      </c>
      <c r="D9722" s="1" t="str">
        <f t="shared" si="267"/>
        <v>PRG-1033843</v>
      </c>
      <c r="E9722" t="s">
        <v>195</v>
      </c>
      <c r="F9722" t="s">
        <v>4</v>
      </c>
      <c r="G9722" t="str">
        <f>""</f>
        <v/>
      </c>
    </row>
    <row r="9723" spans="1:7" x14ac:dyDescent="0.25">
      <c r="A9723" t="s">
        <v>8</v>
      </c>
      <c r="B9723" s="1" t="str">
        <f>"000265464 - RICH FDS NCORE BB-SSS ARAMARK"</f>
        <v>000265464 - RICH FDS NCORE BB-SSS ARAMARK</v>
      </c>
      <c r="C9723" t="s">
        <v>272</v>
      </c>
      <c r="D9723" s="1" t="str">
        <f t="shared" si="267"/>
        <v>PRG-1033843</v>
      </c>
      <c r="E9723" t="s">
        <v>195</v>
      </c>
      <c r="F9723" t="s">
        <v>4</v>
      </c>
      <c r="G9723" t="str">
        <f>""</f>
        <v/>
      </c>
    </row>
    <row r="9724" spans="1:7" x14ac:dyDescent="0.25">
      <c r="A9724" t="s">
        <v>8</v>
      </c>
      <c r="B9724" s="1" t="str">
        <f>"000266067 - RICH FDS NCORE BB-MAIN ARAMARK"</f>
        <v>000266067 - RICH FDS NCORE BB-MAIN ARAMARK</v>
      </c>
      <c r="C9724" t="s">
        <v>194</v>
      </c>
      <c r="D9724" s="1" t="str">
        <f t="shared" si="267"/>
        <v>PRG-1033843</v>
      </c>
      <c r="E9724" t="s">
        <v>195</v>
      </c>
      <c r="F9724" t="s">
        <v>4</v>
      </c>
      <c r="G9724" t="str">
        <f>""</f>
        <v/>
      </c>
    </row>
    <row r="9725" spans="1:7" x14ac:dyDescent="0.25">
      <c r="A9725" t="s">
        <v>8</v>
      </c>
      <c r="B9725" s="1" t="str">
        <f>"000266068 - RICH FDS CORE BB-MAIN ARAMARK"</f>
        <v>000266068 - RICH FDS CORE BB-MAIN ARAMARK</v>
      </c>
      <c r="C9725" t="s">
        <v>196</v>
      </c>
      <c r="D9725" s="1" t="str">
        <f t="shared" si="267"/>
        <v>PRG-1033843</v>
      </c>
      <c r="E9725" t="s">
        <v>195</v>
      </c>
      <c r="F9725" t="s">
        <v>4</v>
      </c>
      <c r="G9725" t="str">
        <f>""</f>
        <v/>
      </c>
    </row>
    <row r="9726" spans="1:7" x14ac:dyDescent="0.25">
      <c r="A9726" t="s">
        <v>8</v>
      </c>
      <c r="B9726" s="1" t="str">
        <f>"000266188 - RICH FDS NCORE BB-MAIN ARAMARK"</f>
        <v>000266188 - RICH FDS NCORE BB-MAIN ARAMARK</v>
      </c>
      <c r="C9726" t="s">
        <v>194</v>
      </c>
      <c r="D9726" s="1" t="str">
        <f t="shared" si="267"/>
        <v>PRG-1033843</v>
      </c>
      <c r="E9726" t="s">
        <v>195</v>
      </c>
      <c r="F9726" t="s">
        <v>4</v>
      </c>
      <c r="G9726" t="str">
        <f>""</f>
        <v/>
      </c>
    </row>
    <row r="9727" spans="1:7" x14ac:dyDescent="0.25">
      <c r="A9727" t="s">
        <v>8</v>
      </c>
      <c r="B9727" s="1" t="str">
        <f>"000266189 - RICH FDS CORE BB-MAIN ARAMARK"</f>
        <v>000266189 - RICH FDS CORE BB-MAIN ARAMARK</v>
      </c>
      <c r="C9727" t="s">
        <v>196</v>
      </c>
      <c r="D9727" s="1" t="str">
        <f t="shared" si="267"/>
        <v>PRG-1033843</v>
      </c>
      <c r="E9727" t="s">
        <v>195</v>
      </c>
      <c r="F9727" t="s">
        <v>4</v>
      </c>
      <c r="G9727" t="str">
        <f>""</f>
        <v/>
      </c>
    </row>
    <row r="9728" spans="1:7" x14ac:dyDescent="0.25">
      <c r="A9728" t="s">
        <v>8</v>
      </c>
      <c r="B9728" s="1" t="str">
        <f>"000266209 - ARA-RICH FDS NC BB RETRO"</f>
        <v>000266209 - ARA-RICH FDS NC BB RETRO</v>
      </c>
      <c r="C9728" t="s">
        <v>2395</v>
      </c>
      <c r="D9728" s="1" t="str">
        <f t="shared" si="267"/>
        <v>PRG-1033843</v>
      </c>
      <c r="E9728" t="s">
        <v>195</v>
      </c>
      <c r="F9728" t="s">
        <v>4</v>
      </c>
      <c r="G9728" t="str">
        <f>""</f>
        <v/>
      </c>
    </row>
    <row r="9729" spans="1:7" x14ac:dyDescent="0.25">
      <c r="A9729" t="s">
        <v>8</v>
      </c>
      <c r="B9729" s="1" t="str">
        <f>"000266210 - ARA-RICH FDS CORE BB RETRO"</f>
        <v>000266210 - ARA-RICH FDS CORE BB RETRO</v>
      </c>
      <c r="C9729" t="s">
        <v>2396</v>
      </c>
      <c r="D9729" s="1" t="str">
        <f t="shared" si="267"/>
        <v>PRG-1033843</v>
      </c>
      <c r="E9729" t="s">
        <v>195</v>
      </c>
      <c r="F9729" t="s">
        <v>4</v>
      </c>
      <c r="G9729" t="str">
        <f>""</f>
        <v/>
      </c>
    </row>
    <row r="9730" spans="1:7" x14ac:dyDescent="0.25">
      <c r="A9730" t="s">
        <v>8</v>
      </c>
      <c r="B9730" s="1" t="str">
        <f>"000266634 - RICH FDS CORE BB-MAIN ARAMARK"</f>
        <v>000266634 - RICH FDS CORE BB-MAIN ARAMARK</v>
      </c>
      <c r="C9730" t="s">
        <v>196</v>
      </c>
      <c r="D9730" s="1" t="str">
        <f t="shared" si="267"/>
        <v>PRG-1033843</v>
      </c>
      <c r="E9730" t="s">
        <v>195</v>
      </c>
      <c r="F9730" t="s">
        <v>4</v>
      </c>
      <c r="G9730" t="str">
        <f>""</f>
        <v/>
      </c>
    </row>
    <row r="9731" spans="1:7" x14ac:dyDescent="0.25">
      <c r="A9731" t="s">
        <v>8</v>
      </c>
      <c r="B9731" s="1" t="str">
        <f>"000266636 - RICH FDS NCORE BB-MAIN ARAMARK"</f>
        <v>000266636 - RICH FDS NCORE BB-MAIN ARAMARK</v>
      </c>
      <c r="C9731" t="s">
        <v>194</v>
      </c>
      <c r="D9731" s="1" t="str">
        <f t="shared" si="267"/>
        <v>PRG-1033843</v>
      </c>
      <c r="E9731" t="s">
        <v>195</v>
      </c>
      <c r="F9731" t="s">
        <v>4</v>
      </c>
      <c r="G9731" t="str">
        <f>""</f>
        <v/>
      </c>
    </row>
    <row r="9732" spans="1:7" x14ac:dyDescent="0.25">
      <c r="A9732" t="s">
        <v>8</v>
      </c>
      <c r="B9732" s="1" t="str">
        <f>"000267128 - RICH FDS CORE BB-MAIN ARAMARK"</f>
        <v>000267128 - RICH FDS CORE BB-MAIN ARAMARK</v>
      </c>
      <c r="C9732" t="s">
        <v>196</v>
      </c>
      <c r="D9732" s="1" t="str">
        <f t="shared" si="267"/>
        <v>PRG-1033843</v>
      </c>
      <c r="E9732" t="s">
        <v>195</v>
      </c>
      <c r="F9732" t="s">
        <v>4</v>
      </c>
      <c r="G9732" t="str">
        <f>""</f>
        <v/>
      </c>
    </row>
    <row r="9733" spans="1:7" x14ac:dyDescent="0.25">
      <c r="A9733" t="s">
        <v>8</v>
      </c>
      <c r="B9733" s="1" t="str">
        <f>"000267527 - RICH FOOD BETTERCREME-COLDSTNE"</f>
        <v>000267527 - RICH FOOD BETTERCREME-COLDSTNE</v>
      </c>
      <c r="C9733" t="s">
        <v>906</v>
      </c>
      <c r="D9733" s="1" t="str">
        <f t="shared" si="267"/>
        <v>PRG-1033843</v>
      </c>
      <c r="E9733" t="s">
        <v>195</v>
      </c>
      <c r="F9733" t="s">
        <v>4</v>
      </c>
      <c r="G9733" t="str">
        <f>""</f>
        <v/>
      </c>
    </row>
    <row r="9734" spans="1:7" x14ac:dyDescent="0.25">
      <c r="A9734" t="s">
        <v>8</v>
      </c>
      <c r="B9734" s="1" t="str">
        <f>"000267528 - RICH FDS CORE BB-MAIN ARAMARK"</f>
        <v>000267528 - RICH FDS CORE BB-MAIN ARAMARK</v>
      </c>
      <c r="C9734" t="s">
        <v>196</v>
      </c>
      <c r="D9734" s="1" t="str">
        <f t="shared" si="267"/>
        <v>PRG-1033843</v>
      </c>
      <c r="E9734" t="s">
        <v>195</v>
      </c>
      <c r="F9734" t="s">
        <v>4</v>
      </c>
      <c r="G9734" t="str">
        <f>""</f>
        <v/>
      </c>
    </row>
    <row r="9735" spans="1:7" x14ac:dyDescent="0.25">
      <c r="A9735" t="s">
        <v>8</v>
      </c>
      <c r="B9735" s="1" t="str">
        <f>"000267735 - RICH FDS NCORE BB-MAIN ARAMARK"</f>
        <v>000267735 - RICH FDS NCORE BB-MAIN ARAMARK</v>
      </c>
      <c r="C9735" t="s">
        <v>194</v>
      </c>
      <c r="D9735" s="1" t="str">
        <f t="shared" si="267"/>
        <v>PRG-1033843</v>
      </c>
      <c r="E9735" t="s">
        <v>195</v>
      </c>
      <c r="F9735" t="s">
        <v>4</v>
      </c>
      <c r="G9735" t="str">
        <f>""</f>
        <v/>
      </c>
    </row>
    <row r="9736" spans="1:7" x14ac:dyDescent="0.25">
      <c r="A9736" t="s">
        <v>8</v>
      </c>
      <c r="B9736" s="1" t="str">
        <f>"000267736 - RICH FDS CORE BB-MAIN ARAMARK"</f>
        <v>000267736 - RICH FDS CORE BB-MAIN ARAMARK</v>
      </c>
      <c r="C9736" t="s">
        <v>196</v>
      </c>
      <c r="D9736" s="1" t="str">
        <f t="shared" si="267"/>
        <v>PRG-1033843</v>
      </c>
      <c r="E9736" t="s">
        <v>195</v>
      </c>
      <c r="F9736" t="s">
        <v>4</v>
      </c>
      <c r="G9736" t="str">
        <f>""</f>
        <v/>
      </c>
    </row>
    <row r="9737" spans="1:7" x14ac:dyDescent="0.25">
      <c r="A9737" t="s">
        <v>8</v>
      </c>
      <c r="B9737" s="1" t="str">
        <f>"000267757 - RICH FDS NCORE BB-MAIN ARAMARK"</f>
        <v>000267757 - RICH FDS NCORE BB-MAIN ARAMARK</v>
      </c>
      <c r="C9737" t="s">
        <v>194</v>
      </c>
      <c r="D9737" s="1" t="str">
        <f t="shared" si="267"/>
        <v>PRG-1033843</v>
      </c>
      <c r="E9737" t="s">
        <v>195</v>
      </c>
      <c r="F9737" t="s">
        <v>4</v>
      </c>
      <c r="G9737" t="str">
        <f>""</f>
        <v/>
      </c>
    </row>
    <row r="9738" spans="1:7" x14ac:dyDescent="0.25">
      <c r="A9738" t="s">
        <v>8</v>
      </c>
      <c r="B9738" s="1" t="str">
        <f>"000267758 - RICH FDS CORE BB-MAIN ARAMARK"</f>
        <v>000267758 - RICH FDS CORE BB-MAIN ARAMARK</v>
      </c>
      <c r="C9738" t="s">
        <v>196</v>
      </c>
      <c r="D9738" s="1" t="str">
        <f t="shared" si="267"/>
        <v>PRG-1033843</v>
      </c>
      <c r="E9738" t="s">
        <v>195</v>
      </c>
      <c r="F9738" t="s">
        <v>4</v>
      </c>
      <c r="G9738" t="str">
        <f>""</f>
        <v/>
      </c>
    </row>
    <row r="9739" spans="1:7" x14ac:dyDescent="0.25">
      <c r="A9739" t="s">
        <v>8</v>
      </c>
      <c r="B9739" s="1" t="str">
        <f>"000269254 - RICH FDS NCORE BB-MAIN ARAMARK"</f>
        <v>000269254 - RICH FDS NCORE BB-MAIN ARAMARK</v>
      </c>
      <c r="C9739" t="s">
        <v>194</v>
      </c>
      <c r="D9739" s="1" t="str">
        <f t="shared" si="267"/>
        <v>PRG-1033843</v>
      </c>
      <c r="E9739" t="s">
        <v>195</v>
      </c>
      <c r="F9739" t="s">
        <v>4</v>
      </c>
      <c r="G9739" t="str">
        <f>""</f>
        <v/>
      </c>
    </row>
    <row r="9740" spans="1:7" x14ac:dyDescent="0.25">
      <c r="A9740" t="s">
        <v>8</v>
      </c>
      <c r="B9740" s="1" t="str">
        <f>"000269255 - RICH FDS CORE BB-MAIN ARAMARK"</f>
        <v>000269255 - RICH FDS CORE BB-MAIN ARAMARK</v>
      </c>
      <c r="C9740" t="s">
        <v>196</v>
      </c>
      <c r="D9740" s="1" t="str">
        <f t="shared" si="267"/>
        <v>PRG-1033843</v>
      </c>
      <c r="E9740" t="s">
        <v>195</v>
      </c>
      <c r="F9740" t="s">
        <v>4</v>
      </c>
      <c r="G9740" t="str">
        <f>""</f>
        <v/>
      </c>
    </row>
    <row r="9741" spans="1:7" x14ac:dyDescent="0.25">
      <c r="A9741" t="s">
        <v>8</v>
      </c>
      <c r="B9741" s="1" t="str">
        <f>"000269602 - RICH FDS NCORE BB-MAIN ARAMARK"</f>
        <v>000269602 - RICH FDS NCORE BB-MAIN ARAMARK</v>
      </c>
      <c r="C9741" t="s">
        <v>194</v>
      </c>
      <c r="D9741" s="1" t="str">
        <f t="shared" si="267"/>
        <v>PRG-1033843</v>
      </c>
      <c r="E9741" t="s">
        <v>195</v>
      </c>
      <c r="F9741" t="s">
        <v>4</v>
      </c>
      <c r="G9741" t="str">
        <f>""</f>
        <v/>
      </c>
    </row>
    <row r="9742" spans="1:7" x14ac:dyDescent="0.25">
      <c r="A9742" t="s">
        <v>8</v>
      </c>
      <c r="B9742" s="1" t="str">
        <f>"000269603 - RICH FDS CORE BB-MAIN ARAMARK"</f>
        <v>000269603 - RICH FDS CORE BB-MAIN ARAMARK</v>
      </c>
      <c r="C9742" t="s">
        <v>196</v>
      </c>
      <c r="D9742" s="1" t="str">
        <f t="shared" si="267"/>
        <v>PRG-1033843</v>
      </c>
      <c r="E9742" t="s">
        <v>195</v>
      </c>
      <c r="F9742" t="s">
        <v>4</v>
      </c>
      <c r="G9742" t="str">
        <f>""</f>
        <v/>
      </c>
    </row>
    <row r="9743" spans="1:7" x14ac:dyDescent="0.25">
      <c r="A9743" t="s">
        <v>8</v>
      </c>
      <c r="B9743" s="1" t="str">
        <f>"000271051 - RICH FDS NCORE BB-MAIN ARAMARK"</f>
        <v>000271051 - RICH FDS NCORE BB-MAIN ARAMARK</v>
      </c>
      <c r="C9743" t="s">
        <v>194</v>
      </c>
      <c r="D9743" s="1" t="str">
        <f t="shared" si="267"/>
        <v>PRG-1033843</v>
      </c>
      <c r="E9743" t="s">
        <v>195</v>
      </c>
      <c r="F9743" t="s">
        <v>4</v>
      </c>
      <c r="G9743" t="str">
        <f>""</f>
        <v/>
      </c>
    </row>
    <row r="9744" spans="1:7" x14ac:dyDescent="0.25">
      <c r="A9744" t="s">
        <v>8</v>
      </c>
      <c r="B9744" s="1" t="str">
        <f>"000271052 - RICH FDS CORE BB-MAIN ARAMARK"</f>
        <v>000271052 - RICH FDS CORE BB-MAIN ARAMARK</v>
      </c>
      <c r="C9744" t="s">
        <v>196</v>
      </c>
      <c r="D9744" s="1" t="str">
        <f t="shared" si="267"/>
        <v>PRG-1033843</v>
      </c>
      <c r="E9744" t="s">
        <v>195</v>
      </c>
      <c r="F9744" t="s">
        <v>4</v>
      </c>
      <c r="G9744" t="str">
        <f>""</f>
        <v/>
      </c>
    </row>
    <row r="9745" spans="1:7" x14ac:dyDescent="0.25">
      <c r="A9745" t="s">
        <v>8</v>
      </c>
      <c r="B9745" s="1" t="str">
        <f>"000271053 - RICH FDS NCORE BB-SSS ARAMARK"</f>
        <v>000271053 - RICH FDS NCORE BB-SSS ARAMARK</v>
      </c>
      <c r="C9745" t="s">
        <v>272</v>
      </c>
      <c r="D9745" s="1" t="str">
        <f t="shared" si="267"/>
        <v>PRG-1033843</v>
      </c>
      <c r="E9745" t="s">
        <v>195</v>
      </c>
      <c r="F9745" t="s">
        <v>4</v>
      </c>
      <c r="G9745" t="str">
        <f>""</f>
        <v/>
      </c>
    </row>
    <row r="9746" spans="1:7" x14ac:dyDescent="0.25">
      <c r="A9746" t="s">
        <v>8</v>
      </c>
      <c r="B9746" s="1" t="str">
        <f>"000271328 - RICH FDS NCORE BB-MAIN ARAMARK"</f>
        <v>000271328 - RICH FDS NCORE BB-MAIN ARAMARK</v>
      </c>
      <c r="C9746" t="s">
        <v>194</v>
      </c>
      <c r="D9746" s="1" t="str">
        <f t="shared" si="267"/>
        <v>PRG-1033843</v>
      </c>
      <c r="E9746" t="s">
        <v>195</v>
      </c>
      <c r="F9746" t="s">
        <v>4</v>
      </c>
      <c r="G9746" t="str">
        <f>""</f>
        <v/>
      </c>
    </row>
    <row r="9747" spans="1:7" x14ac:dyDescent="0.25">
      <c r="A9747" t="s">
        <v>8</v>
      </c>
      <c r="B9747" s="1" t="str">
        <f>"000271329 - RICH FDS CORE BB-MAIN ARAMARK"</f>
        <v>000271329 - RICH FDS CORE BB-MAIN ARAMARK</v>
      </c>
      <c r="C9747" t="s">
        <v>196</v>
      </c>
      <c r="D9747" s="1" t="str">
        <f t="shared" si="267"/>
        <v>PRG-1033843</v>
      </c>
      <c r="E9747" t="s">
        <v>195</v>
      </c>
      <c r="F9747" t="s">
        <v>4</v>
      </c>
      <c r="G9747" t="str">
        <f>""</f>
        <v/>
      </c>
    </row>
    <row r="9748" spans="1:7" x14ac:dyDescent="0.25">
      <c r="A9748" t="s">
        <v>8</v>
      </c>
      <c r="B9748" s="1" t="str">
        <f>"000271330 - RICH FDS NCORE BB-SSS ARAMARK"</f>
        <v>000271330 - RICH FDS NCORE BB-SSS ARAMARK</v>
      </c>
      <c r="C9748" t="s">
        <v>272</v>
      </c>
      <c r="D9748" s="1" t="str">
        <f t="shared" si="267"/>
        <v>PRG-1033843</v>
      </c>
      <c r="E9748" t="s">
        <v>195</v>
      </c>
      <c r="F9748" t="s">
        <v>4</v>
      </c>
      <c r="G9748" t="str">
        <f>""</f>
        <v/>
      </c>
    </row>
    <row r="9749" spans="1:7" x14ac:dyDescent="0.25">
      <c r="A9749" t="s">
        <v>8</v>
      </c>
      <c r="B9749" s="1" t="str">
        <f>"000273197 - RICH FDS NCORE BB-MAIN ARAMARK"</f>
        <v>000273197 - RICH FDS NCORE BB-MAIN ARAMARK</v>
      </c>
      <c r="C9749" t="s">
        <v>194</v>
      </c>
      <c r="D9749" s="1" t="str">
        <f t="shared" si="267"/>
        <v>PRG-1033843</v>
      </c>
      <c r="E9749" t="s">
        <v>195</v>
      </c>
      <c r="F9749" t="s">
        <v>4</v>
      </c>
      <c r="G9749" t="str">
        <f>""</f>
        <v/>
      </c>
    </row>
    <row r="9750" spans="1:7" x14ac:dyDescent="0.25">
      <c r="A9750" t="s">
        <v>8</v>
      </c>
      <c r="B9750" s="1" t="str">
        <f>"000273198 - RICH FDS CORE BB-MAIN ARAMARK"</f>
        <v>000273198 - RICH FDS CORE BB-MAIN ARAMARK</v>
      </c>
      <c r="C9750" t="s">
        <v>196</v>
      </c>
      <c r="D9750" s="1" t="str">
        <f t="shared" si="267"/>
        <v>PRG-1033843</v>
      </c>
      <c r="E9750" t="s">
        <v>195</v>
      </c>
      <c r="F9750" t="s">
        <v>4</v>
      </c>
      <c r="G9750" t="str">
        <f>""</f>
        <v/>
      </c>
    </row>
    <row r="9751" spans="1:7" x14ac:dyDescent="0.25">
      <c r="A9751" t="s">
        <v>8</v>
      </c>
      <c r="B9751" s="1" t="str">
        <f>"000274089 - RICH FDS NCORE BB-MAIN ARAMARK"</f>
        <v>000274089 - RICH FDS NCORE BB-MAIN ARAMARK</v>
      </c>
      <c r="C9751" t="s">
        <v>194</v>
      </c>
      <c r="D9751" s="1" t="str">
        <f t="shared" si="267"/>
        <v>PRG-1033843</v>
      </c>
      <c r="E9751" t="s">
        <v>195</v>
      </c>
      <c r="F9751" t="s">
        <v>4</v>
      </c>
      <c r="G9751" t="str">
        <f>""</f>
        <v/>
      </c>
    </row>
    <row r="9752" spans="1:7" x14ac:dyDescent="0.25">
      <c r="A9752" t="s">
        <v>8</v>
      </c>
      <c r="B9752" s="1" t="str">
        <f>"000274090 - RICH FDS CORE BB-MAIN ARAMARK"</f>
        <v>000274090 - RICH FDS CORE BB-MAIN ARAMARK</v>
      </c>
      <c r="C9752" t="s">
        <v>196</v>
      </c>
      <c r="D9752" s="1" t="str">
        <f t="shared" si="267"/>
        <v>PRG-1033843</v>
      </c>
      <c r="E9752" t="s">
        <v>195</v>
      </c>
      <c r="F9752" t="s">
        <v>4</v>
      </c>
      <c r="G9752" t="str">
        <f>""</f>
        <v/>
      </c>
    </row>
    <row r="9753" spans="1:7" x14ac:dyDescent="0.25">
      <c r="A9753" t="s">
        <v>8</v>
      </c>
      <c r="B9753" s="1" t="str">
        <f>"000274304 - RICH CORE BB(RETRO)- ARAMARK"</f>
        <v>000274304 - RICH CORE BB(RETRO)- ARAMARK</v>
      </c>
      <c r="C9753" t="s">
        <v>2538</v>
      </c>
      <c r="D9753" s="1" t="str">
        <f t="shared" si="267"/>
        <v>PRG-1033843</v>
      </c>
      <c r="E9753" t="s">
        <v>195</v>
      </c>
      <c r="F9753" t="s">
        <v>4</v>
      </c>
      <c r="G9753" t="str">
        <f>""</f>
        <v/>
      </c>
    </row>
    <row r="9754" spans="1:7" x14ac:dyDescent="0.25">
      <c r="A9754" t="s">
        <v>8</v>
      </c>
      <c r="B9754" s="1" t="str">
        <f>"000274305 - RICH NCORE BB (RETRO)- ARAMARK"</f>
        <v>000274305 - RICH NCORE BB (RETRO)- ARAMARK</v>
      </c>
      <c r="C9754" t="s">
        <v>2539</v>
      </c>
      <c r="D9754" s="1" t="str">
        <f t="shared" si="267"/>
        <v>PRG-1033843</v>
      </c>
      <c r="E9754" t="s">
        <v>195</v>
      </c>
      <c r="F9754" t="s">
        <v>4</v>
      </c>
      <c r="G9754" t="str">
        <f>""</f>
        <v/>
      </c>
    </row>
    <row r="9755" spans="1:7" x14ac:dyDescent="0.25">
      <c r="A9755" t="s">
        <v>8</v>
      </c>
      <c r="B9755" s="1" t="str">
        <f>"000291878 - RICH FDS CORE BB-MAIN ARAMARK"</f>
        <v>000291878 - RICH FDS CORE BB-MAIN ARAMARK</v>
      </c>
      <c r="C9755" t="s">
        <v>196</v>
      </c>
      <c r="D9755" s="1" t="str">
        <f t="shared" si="267"/>
        <v>PRG-1033843</v>
      </c>
      <c r="E9755" t="s">
        <v>195</v>
      </c>
      <c r="F9755" t="s">
        <v>4</v>
      </c>
      <c r="G9755" t="str">
        <f>""</f>
        <v/>
      </c>
    </row>
    <row r="9756" spans="1:7" x14ac:dyDescent="0.25">
      <c r="A9756" t="s">
        <v>8</v>
      </c>
      <c r="B9756" s="1" t="str">
        <f>"000295636 - RICH FDS NCORE BB-MAIN ARAMARK"</f>
        <v>000295636 - RICH FDS NCORE BB-MAIN ARAMARK</v>
      </c>
      <c r="C9756" t="s">
        <v>194</v>
      </c>
      <c r="D9756" s="1" t="str">
        <f t="shared" si="267"/>
        <v>PRG-1033843</v>
      </c>
      <c r="E9756" t="s">
        <v>195</v>
      </c>
      <c r="F9756" t="s">
        <v>4</v>
      </c>
      <c r="G9756" t="str">
        <f>""</f>
        <v/>
      </c>
    </row>
    <row r="9757" spans="1:7" x14ac:dyDescent="0.25">
      <c r="A9757" t="s">
        <v>8</v>
      </c>
      <c r="B9757" s="1" t="str">
        <f>"000295637 - RICH FDS CORE BB-MAIN ARAMARK"</f>
        <v>000295637 - RICH FDS CORE BB-MAIN ARAMARK</v>
      </c>
      <c r="C9757" t="s">
        <v>196</v>
      </c>
      <c r="D9757" s="1" t="str">
        <f t="shared" si="267"/>
        <v>PRG-1033843</v>
      </c>
      <c r="E9757" t="s">
        <v>195</v>
      </c>
      <c r="F9757" t="s">
        <v>4</v>
      </c>
      <c r="G9757" t="str">
        <f>""</f>
        <v/>
      </c>
    </row>
    <row r="9758" spans="1:7" x14ac:dyDescent="0.25">
      <c r="A9758" t="s">
        <v>8</v>
      </c>
      <c r="B9758" s="1" t="str">
        <f>"000295996 - ARAMARK (BB) RICH FDS MAIN"</f>
        <v>000295996 - ARAMARK (BB) RICH FDS MAIN</v>
      </c>
      <c r="C9758" t="s">
        <v>2906</v>
      </c>
      <c r="D9758" s="1" t="str">
        <f t="shared" si="267"/>
        <v>PRG-1033843</v>
      </c>
      <c r="E9758" t="s">
        <v>195</v>
      </c>
      <c r="F9758" t="s">
        <v>4</v>
      </c>
      <c r="G9758" t="str">
        <f>""</f>
        <v/>
      </c>
    </row>
    <row r="9759" spans="1:7" x14ac:dyDescent="0.25">
      <c r="A9759" t="s">
        <v>8</v>
      </c>
      <c r="B9759" s="1" t="str">
        <f>"000295999 - ARAMARK(NCORE BB)RICH FDS MAIN"</f>
        <v>000295999 - ARAMARK(NCORE BB)RICH FDS MAIN</v>
      </c>
      <c r="C9759" t="s">
        <v>2907</v>
      </c>
      <c r="D9759" s="1" t="str">
        <f t="shared" si="267"/>
        <v>PRG-1033843</v>
      </c>
      <c r="E9759" t="s">
        <v>195</v>
      </c>
      <c r="F9759" t="s">
        <v>4</v>
      </c>
      <c r="G9759" t="str">
        <f>""</f>
        <v/>
      </c>
    </row>
    <row r="9760" spans="1:7" x14ac:dyDescent="0.25">
      <c r="A9760" t="s">
        <v>8</v>
      </c>
      <c r="B9760" s="1" t="str">
        <f>"000304650 - RICH FDS CORE BB-MAIN ARAMARK"</f>
        <v>000304650 - RICH FDS CORE BB-MAIN ARAMARK</v>
      </c>
      <c r="C9760" t="s">
        <v>196</v>
      </c>
      <c r="D9760" s="1" t="str">
        <f t="shared" si="267"/>
        <v>PRG-1033843</v>
      </c>
      <c r="E9760" t="s">
        <v>195</v>
      </c>
      <c r="F9760" t="s">
        <v>4</v>
      </c>
      <c r="G9760" t="str">
        <f>""</f>
        <v/>
      </c>
    </row>
    <row r="9761" spans="1:7" x14ac:dyDescent="0.25">
      <c r="A9761" t="s">
        <v>8</v>
      </c>
      <c r="B9761" s="1" t="str">
        <f>"000306483 - RICH FDS NCORE BB-MAIN ARAMARK"</f>
        <v>000306483 - RICH FDS NCORE BB-MAIN ARAMARK</v>
      </c>
      <c r="C9761" t="s">
        <v>194</v>
      </c>
      <c r="D9761" s="1" t="str">
        <f t="shared" si="267"/>
        <v>PRG-1033843</v>
      </c>
      <c r="E9761" t="s">
        <v>195</v>
      </c>
      <c r="F9761" t="s">
        <v>4</v>
      </c>
      <c r="G9761" t="str">
        <f>""</f>
        <v/>
      </c>
    </row>
    <row r="9762" spans="1:7" x14ac:dyDescent="0.25">
      <c r="A9762" t="s">
        <v>8</v>
      </c>
      <c r="B9762" s="1" t="str">
        <f>"000306484 - RICH FDS CORE BB-MAIN ARAMARK"</f>
        <v>000306484 - RICH FDS CORE BB-MAIN ARAMARK</v>
      </c>
      <c r="C9762" t="s">
        <v>196</v>
      </c>
      <c r="D9762" s="1" t="str">
        <f t="shared" si="267"/>
        <v>PRG-1033843</v>
      </c>
      <c r="E9762" t="s">
        <v>195</v>
      </c>
      <c r="F9762" t="s">
        <v>4</v>
      </c>
      <c r="G9762" t="str">
        <f>""</f>
        <v/>
      </c>
    </row>
    <row r="9763" spans="1:7" x14ac:dyDescent="0.25">
      <c r="A9763" t="s">
        <v>8</v>
      </c>
      <c r="B9763" s="1" t="str">
        <f>"000308079 - RICH FDS CBB ARAMARK  302445"</f>
        <v>000308079 - RICH FDS CBB ARAMARK  302445</v>
      </c>
      <c r="C9763" t="s">
        <v>3078</v>
      </c>
      <c r="D9763" s="1" t="str">
        <f t="shared" si="267"/>
        <v>PRG-1033843</v>
      </c>
      <c r="E9763" t="s">
        <v>195</v>
      </c>
      <c r="F9763" t="s">
        <v>4</v>
      </c>
      <c r="G9763" t="str">
        <f>""</f>
        <v/>
      </c>
    </row>
    <row r="9764" spans="1:7" x14ac:dyDescent="0.25">
      <c r="A9764" t="s">
        <v>8</v>
      </c>
      <c r="B9764" s="1" t="str">
        <f>"000308892 - RICH FDS NCORE BB-MAIN ARAMARK"</f>
        <v>000308892 - RICH FDS NCORE BB-MAIN ARAMARK</v>
      </c>
      <c r="C9764" t="s">
        <v>194</v>
      </c>
      <c r="D9764" s="1" t="str">
        <f t="shared" si="267"/>
        <v>PRG-1033843</v>
      </c>
      <c r="E9764" t="s">
        <v>195</v>
      </c>
      <c r="F9764" t="s">
        <v>4</v>
      </c>
      <c r="G9764" t="str">
        <f>""</f>
        <v/>
      </c>
    </row>
    <row r="9765" spans="1:7" x14ac:dyDescent="0.25">
      <c r="A9765" t="s">
        <v>8</v>
      </c>
      <c r="B9765" s="1" t="str">
        <f>"000308893 - RICH FDS CORE BB-MAIN ARAMARK"</f>
        <v>000308893 - RICH FDS CORE BB-MAIN ARAMARK</v>
      </c>
      <c r="C9765" t="s">
        <v>196</v>
      </c>
      <c r="D9765" s="1" t="str">
        <f t="shared" si="267"/>
        <v>PRG-1033843</v>
      </c>
      <c r="E9765" t="s">
        <v>195</v>
      </c>
      <c r="F9765" t="s">
        <v>4</v>
      </c>
      <c r="G9765" t="str">
        <f>""</f>
        <v/>
      </c>
    </row>
    <row r="9766" spans="1:7" x14ac:dyDescent="0.25">
      <c r="A9766" t="s">
        <v>8</v>
      </c>
      <c r="B9766" s="1" t="str">
        <f>"000308894 - RICH FDS NCORE BB-SSS ARAMARK"</f>
        <v>000308894 - RICH FDS NCORE BB-SSS ARAMARK</v>
      </c>
      <c r="C9766" t="s">
        <v>272</v>
      </c>
      <c r="D9766" s="1" t="str">
        <f t="shared" si="267"/>
        <v>PRG-1033843</v>
      </c>
      <c r="E9766" t="s">
        <v>195</v>
      </c>
      <c r="F9766" t="s">
        <v>4</v>
      </c>
      <c r="G9766" t="str">
        <f>""</f>
        <v/>
      </c>
    </row>
    <row r="9767" spans="1:7" x14ac:dyDescent="0.25">
      <c r="A9767" t="s">
        <v>8</v>
      </c>
      <c r="B9767" s="1" t="str">
        <f>"000308895 - RICH FDS CORE BB-SSS ARAMARK"</f>
        <v>000308895 - RICH FDS CORE BB-SSS ARAMARK</v>
      </c>
      <c r="C9767" t="s">
        <v>1464</v>
      </c>
      <c r="D9767" s="1" t="str">
        <f t="shared" si="267"/>
        <v>PRG-1033843</v>
      </c>
      <c r="E9767" t="s">
        <v>195</v>
      </c>
      <c r="F9767" t="s">
        <v>4</v>
      </c>
      <c r="G9767" t="str">
        <f>""</f>
        <v/>
      </c>
    </row>
    <row r="9768" spans="1:7" x14ac:dyDescent="0.25">
      <c r="A9768" t="s">
        <v>8</v>
      </c>
      <c r="B9768" s="1" t="str">
        <f>"000309145 - RICH ARAMARK NON CORE BB"</f>
        <v>000309145 - RICH ARAMARK NON CORE BB</v>
      </c>
      <c r="C9768" t="s">
        <v>3093</v>
      </c>
      <c r="D9768" s="1" t="str">
        <f t="shared" si="267"/>
        <v>PRG-1033843</v>
      </c>
      <c r="E9768" t="s">
        <v>195</v>
      </c>
      <c r="F9768" t="s">
        <v>4</v>
      </c>
      <c r="G9768" t="str">
        <f>""</f>
        <v/>
      </c>
    </row>
    <row r="9769" spans="1:7" x14ac:dyDescent="0.25">
      <c r="A9769" t="s">
        <v>8</v>
      </c>
      <c r="B9769" s="1" t="str">
        <f>"000310626 - RICH FDS NCORE BB-MAIN ARAMARK"</f>
        <v>000310626 - RICH FDS NCORE BB-MAIN ARAMARK</v>
      </c>
      <c r="C9769" t="s">
        <v>194</v>
      </c>
      <c r="D9769" s="1" t="str">
        <f t="shared" si="267"/>
        <v>PRG-1033843</v>
      </c>
      <c r="E9769" t="s">
        <v>195</v>
      </c>
      <c r="F9769" t="s">
        <v>4</v>
      </c>
      <c r="G9769" t="str">
        <f>""</f>
        <v/>
      </c>
    </row>
    <row r="9770" spans="1:7" x14ac:dyDescent="0.25">
      <c r="A9770" t="s">
        <v>8</v>
      </c>
      <c r="B9770" s="1" t="str">
        <f>"000310627 - RICH FDS CORE BB-MAIN ARAMARK"</f>
        <v>000310627 - RICH FDS CORE BB-MAIN ARAMARK</v>
      </c>
      <c r="C9770" t="s">
        <v>196</v>
      </c>
      <c r="D9770" s="1" t="str">
        <f t="shared" si="267"/>
        <v>PRG-1033843</v>
      </c>
      <c r="E9770" t="s">
        <v>195</v>
      </c>
      <c r="F9770" t="s">
        <v>4</v>
      </c>
      <c r="G9770" t="str">
        <f>""</f>
        <v/>
      </c>
    </row>
    <row r="9771" spans="1:7" x14ac:dyDescent="0.25">
      <c r="A9771" t="s">
        <v>8</v>
      </c>
      <c r="B9771" s="1" t="str">
        <f>"000316514 - RICH FDS NCORE BB-MAIN ARAMARK"</f>
        <v>000316514 - RICH FDS NCORE BB-MAIN ARAMARK</v>
      </c>
      <c r="C9771" t="s">
        <v>194</v>
      </c>
      <c r="D9771" s="1" t="str">
        <f t="shared" si="267"/>
        <v>PRG-1033843</v>
      </c>
      <c r="E9771" t="s">
        <v>195</v>
      </c>
      <c r="F9771" t="s">
        <v>4</v>
      </c>
      <c r="G9771" t="str">
        <f>""</f>
        <v/>
      </c>
    </row>
    <row r="9772" spans="1:7" x14ac:dyDescent="0.25">
      <c r="A9772" t="s">
        <v>8</v>
      </c>
      <c r="B9772" s="1" t="str">
        <f>"000316517 - RICH FDS CORE BB-MAIN ARAMARK"</f>
        <v>000316517 - RICH FDS CORE BB-MAIN ARAMARK</v>
      </c>
      <c r="C9772" t="s">
        <v>196</v>
      </c>
      <c r="D9772" s="1" t="str">
        <f t="shared" si="267"/>
        <v>PRG-1033843</v>
      </c>
      <c r="E9772" t="s">
        <v>195</v>
      </c>
      <c r="F9772" t="s">
        <v>4</v>
      </c>
      <c r="G9772" t="str">
        <f>""</f>
        <v/>
      </c>
    </row>
    <row r="9773" spans="1:7" x14ac:dyDescent="0.25">
      <c r="A9773" t="s">
        <v>8</v>
      </c>
      <c r="B9773" s="1" t="str">
        <f>"000316535 - RICH FDS NCORE BB-MAIN ARAMARK"</f>
        <v>000316535 - RICH FDS NCORE BB-MAIN ARAMARK</v>
      </c>
      <c r="C9773" t="s">
        <v>194</v>
      </c>
      <c r="D9773" s="1" t="str">
        <f t="shared" si="267"/>
        <v>PRG-1033843</v>
      </c>
      <c r="E9773" t="s">
        <v>195</v>
      </c>
      <c r="F9773" t="s">
        <v>4</v>
      </c>
      <c r="G9773" t="str">
        <f>""</f>
        <v/>
      </c>
    </row>
    <row r="9774" spans="1:7" x14ac:dyDescent="0.25">
      <c r="A9774" t="s">
        <v>8</v>
      </c>
      <c r="B9774" s="1" t="str">
        <f>"000319692 - RICH FDS NCORE BB-MAIN ARAMARK"</f>
        <v>000319692 - RICH FDS NCORE BB-MAIN ARAMARK</v>
      </c>
      <c r="C9774" t="s">
        <v>194</v>
      </c>
      <c r="D9774" s="1" t="str">
        <f t="shared" ref="D9774:D9806" si="268">"PRG-1033843"</f>
        <v>PRG-1033843</v>
      </c>
      <c r="E9774" t="s">
        <v>195</v>
      </c>
      <c r="F9774" t="s">
        <v>4</v>
      </c>
      <c r="G9774" t="str">
        <f>""</f>
        <v/>
      </c>
    </row>
    <row r="9775" spans="1:7" x14ac:dyDescent="0.25">
      <c r="A9775" t="s">
        <v>8</v>
      </c>
      <c r="B9775" s="1" t="str">
        <f>"000319693 - RICH FDS CORE BB-MAIN ARAMARK"</f>
        <v>000319693 - RICH FDS CORE BB-MAIN ARAMARK</v>
      </c>
      <c r="C9775" t="s">
        <v>196</v>
      </c>
      <c r="D9775" s="1" t="str">
        <f t="shared" si="268"/>
        <v>PRG-1033843</v>
      </c>
      <c r="E9775" t="s">
        <v>195</v>
      </c>
      <c r="F9775" t="s">
        <v>4</v>
      </c>
      <c r="G9775" t="str">
        <f>""</f>
        <v/>
      </c>
    </row>
    <row r="9776" spans="1:7" x14ac:dyDescent="0.25">
      <c r="A9776" t="s">
        <v>8</v>
      </c>
      <c r="B9776" s="1" t="str">
        <f>"000319699 - RICHS FDS NCORE BB-SSS ARAMARK"</f>
        <v>000319699 - RICHS FDS NCORE BB-SSS ARAMARK</v>
      </c>
      <c r="C9776" t="s">
        <v>558</v>
      </c>
      <c r="D9776" s="1" t="str">
        <f t="shared" si="268"/>
        <v>PRG-1033843</v>
      </c>
      <c r="E9776" t="s">
        <v>195</v>
      </c>
      <c r="F9776" t="s">
        <v>4</v>
      </c>
      <c r="G9776" t="str">
        <f>""</f>
        <v/>
      </c>
    </row>
    <row r="9777" spans="1:7" x14ac:dyDescent="0.25">
      <c r="A9777" t="s">
        <v>8</v>
      </c>
      <c r="B9777" s="1" t="str">
        <f>"000321587 - RICH FDS CORE BB-MAIN ARAMARK"</f>
        <v>000321587 - RICH FDS CORE BB-MAIN ARAMARK</v>
      </c>
      <c r="C9777" t="s">
        <v>196</v>
      </c>
      <c r="D9777" s="1" t="str">
        <f t="shared" si="268"/>
        <v>PRG-1033843</v>
      </c>
      <c r="E9777" t="s">
        <v>195</v>
      </c>
      <c r="F9777" t="s">
        <v>4</v>
      </c>
      <c r="G9777" t="str">
        <f>""</f>
        <v/>
      </c>
    </row>
    <row r="9778" spans="1:7" x14ac:dyDescent="0.25">
      <c r="A9778" t="s">
        <v>8</v>
      </c>
      <c r="B9778" s="1" t="str">
        <f>"000323130 - RICH FDS NCORE BB-MAIN ARAMARK"</f>
        <v>000323130 - RICH FDS NCORE BB-MAIN ARAMARK</v>
      </c>
      <c r="C9778" t="s">
        <v>194</v>
      </c>
      <c r="D9778" s="1" t="str">
        <f t="shared" si="268"/>
        <v>PRG-1033843</v>
      </c>
      <c r="E9778" t="s">
        <v>195</v>
      </c>
      <c r="F9778" t="s">
        <v>4</v>
      </c>
      <c r="G9778" t="str">
        <f>""</f>
        <v/>
      </c>
    </row>
    <row r="9779" spans="1:7" x14ac:dyDescent="0.25">
      <c r="A9779" t="s">
        <v>8</v>
      </c>
      <c r="B9779" s="1" t="str">
        <f>"000323131 - RICH FDS CORE BB-MAIN ARAMARK"</f>
        <v>000323131 - RICH FDS CORE BB-MAIN ARAMARK</v>
      </c>
      <c r="C9779" t="s">
        <v>196</v>
      </c>
      <c r="D9779" s="1" t="str">
        <f t="shared" si="268"/>
        <v>PRG-1033843</v>
      </c>
      <c r="E9779" t="s">
        <v>195</v>
      </c>
      <c r="F9779" t="s">
        <v>4</v>
      </c>
      <c r="G9779" t="str">
        <f>""</f>
        <v/>
      </c>
    </row>
    <row r="9780" spans="1:7" x14ac:dyDescent="0.25">
      <c r="A9780" t="s">
        <v>8</v>
      </c>
      <c r="B9780" s="1" t="str">
        <f>"000324804 - RICH FDS NCORE BB-MAIN ARAMARK"</f>
        <v>000324804 - RICH FDS NCORE BB-MAIN ARAMARK</v>
      </c>
      <c r="C9780" t="s">
        <v>194</v>
      </c>
      <c r="D9780" s="1" t="str">
        <f t="shared" si="268"/>
        <v>PRG-1033843</v>
      </c>
      <c r="E9780" t="s">
        <v>195</v>
      </c>
      <c r="F9780" t="s">
        <v>4</v>
      </c>
      <c r="G9780" t="str">
        <f>""</f>
        <v/>
      </c>
    </row>
    <row r="9781" spans="1:7" x14ac:dyDescent="0.25">
      <c r="A9781" t="s">
        <v>8</v>
      </c>
      <c r="B9781" s="1" t="str">
        <f>"000324805 - RICH FDS CORE BB-MAIN ARAMARK"</f>
        <v>000324805 - RICH FDS CORE BB-MAIN ARAMARK</v>
      </c>
      <c r="C9781" t="s">
        <v>196</v>
      </c>
      <c r="D9781" s="1" t="str">
        <f t="shared" si="268"/>
        <v>PRG-1033843</v>
      </c>
      <c r="E9781" t="s">
        <v>195</v>
      </c>
      <c r="F9781" t="s">
        <v>4</v>
      </c>
      <c r="G9781" t="str">
        <f>""</f>
        <v/>
      </c>
    </row>
    <row r="9782" spans="1:7" x14ac:dyDescent="0.25">
      <c r="A9782" t="s">
        <v>8</v>
      </c>
      <c r="B9782" s="1" t="str">
        <f>"000324806 - RICH FDS NCORE BB-SSS ARAMARK"</f>
        <v>000324806 - RICH FDS NCORE BB-SSS ARAMARK</v>
      </c>
      <c r="C9782" t="s">
        <v>272</v>
      </c>
      <c r="D9782" s="1" t="str">
        <f t="shared" si="268"/>
        <v>PRG-1033843</v>
      </c>
      <c r="E9782" t="s">
        <v>195</v>
      </c>
      <c r="F9782" t="s">
        <v>4</v>
      </c>
      <c r="G9782" t="str">
        <f>""</f>
        <v/>
      </c>
    </row>
    <row r="9783" spans="1:7" x14ac:dyDescent="0.25">
      <c r="A9783" t="s">
        <v>8</v>
      </c>
      <c r="B9783" s="1" t="str">
        <f>"000324807 - RICH FDS CORE BB-SSS ARAMARK"</f>
        <v>000324807 - RICH FDS CORE BB-SSS ARAMARK</v>
      </c>
      <c r="C9783" t="s">
        <v>1464</v>
      </c>
      <c r="D9783" s="1" t="str">
        <f t="shared" si="268"/>
        <v>PRG-1033843</v>
      </c>
      <c r="E9783" t="s">
        <v>195</v>
      </c>
      <c r="F9783" t="s">
        <v>4</v>
      </c>
      <c r="G9783" t="str">
        <f>""</f>
        <v/>
      </c>
    </row>
    <row r="9784" spans="1:7" x14ac:dyDescent="0.25">
      <c r="A9784" t="s">
        <v>8</v>
      </c>
      <c r="B9784" s="1" t="str">
        <f>"000328980 - RICH FDS NCORE BB-MAIN ARAMARK"</f>
        <v>000328980 - RICH FDS NCORE BB-MAIN ARAMARK</v>
      </c>
      <c r="C9784" t="s">
        <v>194</v>
      </c>
      <c r="D9784" s="1" t="str">
        <f t="shared" si="268"/>
        <v>PRG-1033843</v>
      </c>
      <c r="E9784" t="s">
        <v>195</v>
      </c>
      <c r="F9784" t="s">
        <v>4</v>
      </c>
      <c r="G9784" t="str">
        <f>""</f>
        <v/>
      </c>
    </row>
    <row r="9785" spans="1:7" x14ac:dyDescent="0.25">
      <c r="A9785" t="s">
        <v>8</v>
      </c>
      <c r="B9785" s="1" t="str">
        <f>"000328981 - RICH FDS CORE BB-MAIN ARAMARK"</f>
        <v>000328981 - RICH FDS CORE BB-MAIN ARAMARK</v>
      </c>
      <c r="C9785" t="s">
        <v>196</v>
      </c>
      <c r="D9785" s="1" t="str">
        <f t="shared" si="268"/>
        <v>PRG-1033843</v>
      </c>
      <c r="E9785" t="s">
        <v>195</v>
      </c>
      <c r="F9785" t="s">
        <v>4</v>
      </c>
      <c r="G9785" t="str">
        <f>""</f>
        <v/>
      </c>
    </row>
    <row r="9786" spans="1:7" x14ac:dyDescent="0.25">
      <c r="A9786" t="s">
        <v>8</v>
      </c>
      <c r="B9786" s="1" t="str">
        <f>"000329827 - RICH FDS NCORE BB-MAIN ARAMARK"</f>
        <v>000329827 - RICH FDS NCORE BB-MAIN ARAMARK</v>
      </c>
      <c r="C9786" t="s">
        <v>194</v>
      </c>
      <c r="D9786" s="1" t="str">
        <f t="shared" si="268"/>
        <v>PRG-1033843</v>
      </c>
      <c r="E9786" t="s">
        <v>195</v>
      </c>
      <c r="F9786" t="s">
        <v>4</v>
      </c>
      <c r="G9786" t="str">
        <f>""</f>
        <v/>
      </c>
    </row>
    <row r="9787" spans="1:7" x14ac:dyDescent="0.25">
      <c r="A9787" t="s">
        <v>8</v>
      </c>
      <c r="B9787" s="1" t="str">
        <f>"000329828 - RICH FDS CORE BB-MAIN ARAMARK"</f>
        <v>000329828 - RICH FDS CORE BB-MAIN ARAMARK</v>
      </c>
      <c r="C9787" t="s">
        <v>196</v>
      </c>
      <c r="D9787" s="1" t="str">
        <f t="shared" si="268"/>
        <v>PRG-1033843</v>
      </c>
      <c r="E9787" t="s">
        <v>195</v>
      </c>
      <c r="F9787" t="s">
        <v>4</v>
      </c>
      <c r="G9787" t="str">
        <f>""</f>
        <v/>
      </c>
    </row>
    <row r="9788" spans="1:7" x14ac:dyDescent="0.25">
      <c r="A9788" t="s">
        <v>8</v>
      </c>
      <c r="B9788" s="1" t="str">
        <f>"000334619 - RICH FDS NCORE BB-MAIN ARAMARK"</f>
        <v>000334619 - RICH FDS NCORE BB-MAIN ARAMARK</v>
      </c>
      <c r="C9788" t="s">
        <v>194</v>
      </c>
      <c r="D9788" s="1" t="str">
        <f t="shared" si="268"/>
        <v>PRG-1033843</v>
      </c>
      <c r="E9788" t="s">
        <v>195</v>
      </c>
      <c r="F9788" t="s">
        <v>4</v>
      </c>
      <c r="G9788" t="str">
        <f>""</f>
        <v/>
      </c>
    </row>
    <row r="9789" spans="1:7" x14ac:dyDescent="0.25">
      <c r="A9789" t="s">
        <v>8</v>
      </c>
      <c r="B9789" s="1" t="str">
        <f>"000335540 - ARAMARK RICHS NCORE BB-CC DPM"</f>
        <v>000335540 - ARAMARK RICHS NCORE BB-CC DPM</v>
      </c>
      <c r="C9789" t="s">
        <v>3398</v>
      </c>
      <c r="D9789" s="1" t="str">
        <f t="shared" si="268"/>
        <v>PRG-1033843</v>
      </c>
      <c r="E9789" t="s">
        <v>195</v>
      </c>
      <c r="F9789" t="s">
        <v>4</v>
      </c>
      <c r="G9789" t="str">
        <f>""</f>
        <v/>
      </c>
    </row>
    <row r="9790" spans="1:7" x14ac:dyDescent="0.25">
      <c r="A9790" t="s">
        <v>8</v>
      </c>
      <c r="B9790" s="1" t="str">
        <f>"000335541 - ARAMARK RICHS-CORE BB-CCDPM"</f>
        <v>000335541 - ARAMARK RICHS-CORE BB-CCDPM</v>
      </c>
      <c r="C9790" t="s">
        <v>3399</v>
      </c>
      <c r="D9790" s="1" t="str">
        <f t="shared" si="268"/>
        <v>PRG-1033843</v>
      </c>
      <c r="E9790" t="s">
        <v>195</v>
      </c>
      <c r="F9790" t="s">
        <v>4</v>
      </c>
      <c r="G9790" t="str">
        <f>""</f>
        <v/>
      </c>
    </row>
    <row r="9791" spans="1:7" x14ac:dyDescent="0.25">
      <c r="A9791" t="s">
        <v>8</v>
      </c>
      <c r="B9791" s="1" t="str">
        <f>"000341955 - RICH FDS NCORE BB-MAIN ARAMARK"</f>
        <v>000341955 - RICH FDS NCORE BB-MAIN ARAMARK</v>
      </c>
      <c r="C9791" t="s">
        <v>194</v>
      </c>
      <c r="D9791" s="1" t="str">
        <f t="shared" si="268"/>
        <v>PRG-1033843</v>
      </c>
      <c r="E9791" t="s">
        <v>195</v>
      </c>
      <c r="F9791" t="s">
        <v>4</v>
      </c>
      <c r="G9791" t="str">
        <f>""</f>
        <v/>
      </c>
    </row>
    <row r="9792" spans="1:7" x14ac:dyDescent="0.25">
      <c r="A9792" t="s">
        <v>8</v>
      </c>
      <c r="B9792" s="1" t="str">
        <f>"000342912 - "</f>
        <v xml:space="preserve">000342912 - </v>
      </c>
      <c r="D9792" s="1" t="str">
        <f t="shared" si="268"/>
        <v>PRG-1033843</v>
      </c>
      <c r="E9792" t="s">
        <v>195</v>
      </c>
      <c r="F9792" t="s">
        <v>4</v>
      </c>
      <c r="G9792" t="str">
        <f>""</f>
        <v/>
      </c>
    </row>
    <row r="9793" spans="1:7" x14ac:dyDescent="0.25">
      <c r="A9793" t="s">
        <v>8</v>
      </c>
      <c r="B9793" s="1" t="str">
        <f>"000347680 - RICH FDS NCORE BB-MAIN ARAMARK"</f>
        <v>000347680 - RICH FDS NCORE BB-MAIN ARAMARK</v>
      </c>
      <c r="C9793" t="s">
        <v>194</v>
      </c>
      <c r="D9793" s="1" t="str">
        <f t="shared" si="268"/>
        <v>PRG-1033843</v>
      </c>
      <c r="E9793" t="s">
        <v>195</v>
      </c>
      <c r="F9793" t="s">
        <v>4</v>
      </c>
      <c r="G9793" t="str">
        <f>""</f>
        <v/>
      </c>
    </row>
    <row r="9794" spans="1:7" x14ac:dyDescent="0.25">
      <c r="A9794" t="s">
        <v>8</v>
      </c>
      <c r="B9794" s="1" t="str">
        <f>"000347681 - RICH FDS CORE BB-MAIN ARAMARK"</f>
        <v>000347681 - RICH FDS CORE BB-MAIN ARAMARK</v>
      </c>
      <c r="C9794" t="s">
        <v>196</v>
      </c>
      <c r="D9794" s="1" t="str">
        <f t="shared" si="268"/>
        <v>PRG-1033843</v>
      </c>
      <c r="E9794" t="s">
        <v>195</v>
      </c>
      <c r="F9794" t="s">
        <v>4</v>
      </c>
      <c r="G9794" t="str">
        <f>""</f>
        <v/>
      </c>
    </row>
    <row r="9795" spans="1:7" x14ac:dyDescent="0.25">
      <c r="A9795" t="s">
        <v>8</v>
      </c>
      <c r="B9795" s="1" t="str">
        <f>"000355981 - RICH FDS NCORE BB-MAIN ARAMARK"</f>
        <v>000355981 - RICH FDS NCORE BB-MAIN ARAMARK</v>
      </c>
      <c r="C9795" t="s">
        <v>194</v>
      </c>
      <c r="D9795" s="1" t="str">
        <f t="shared" si="268"/>
        <v>PRG-1033843</v>
      </c>
      <c r="E9795" t="s">
        <v>195</v>
      </c>
      <c r="F9795" t="s">
        <v>4</v>
      </c>
      <c r="G9795" t="str">
        <f>""</f>
        <v/>
      </c>
    </row>
    <row r="9796" spans="1:7" x14ac:dyDescent="0.25">
      <c r="A9796" t="s">
        <v>8</v>
      </c>
      <c r="B9796" s="1" t="str">
        <f>"000355982 - RICH FDS CORE BB-MAIN ARAMARK"</f>
        <v>000355982 - RICH FDS CORE BB-MAIN ARAMARK</v>
      </c>
      <c r="C9796" t="s">
        <v>196</v>
      </c>
      <c r="D9796" s="1" t="str">
        <f t="shared" si="268"/>
        <v>PRG-1033843</v>
      </c>
      <c r="E9796" t="s">
        <v>195</v>
      </c>
      <c r="F9796" t="s">
        <v>4</v>
      </c>
      <c r="G9796" t="str">
        <f>""</f>
        <v/>
      </c>
    </row>
    <row r="9797" spans="1:7" x14ac:dyDescent="0.25">
      <c r="A9797" t="s">
        <v>8</v>
      </c>
      <c r="B9797" s="1" t="str">
        <f>"000360987 - RICHS CORE BB ARA EXCL SSS"</f>
        <v>000360987 - RICHS CORE BB ARA EXCL SSS</v>
      </c>
      <c r="C9797" t="s">
        <v>928</v>
      </c>
      <c r="D9797" s="1" t="str">
        <f t="shared" si="268"/>
        <v>PRG-1033843</v>
      </c>
      <c r="E9797" t="s">
        <v>195</v>
      </c>
      <c r="F9797" t="s">
        <v>4</v>
      </c>
      <c r="G9797" t="str">
        <f>""</f>
        <v/>
      </c>
    </row>
    <row r="9798" spans="1:7" x14ac:dyDescent="0.25">
      <c r="A9798" t="s">
        <v>8</v>
      </c>
      <c r="B9798" s="1" t="str">
        <f>"000361117 - RICH FDS NCORE BB-MAIN ARAMARK"</f>
        <v>000361117 - RICH FDS NCORE BB-MAIN ARAMARK</v>
      </c>
      <c r="C9798" t="s">
        <v>194</v>
      </c>
      <c r="D9798" s="1" t="str">
        <f t="shared" si="268"/>
        <v>PRG-1033843</v>
      </c>
      <c r="E9798" t="s">
        <v>195</v>
      </c>
      <c r="F9798" t="s">
        <v>4</v>
      </c>
      <c r="G9798" t="str">
        <f>""</f>
        <v/>
      </c>
    </row>
    <row r="9799" spans="1:7" x14ac:dyDescent="0.25">
      <c r="A9799" t="s">
        <v>8</v>
      </c>
      <c r="B9799" s="1" t="str">
        <f>"000361118 - RICH FDS CORE BB-MAIN ARAMARK"</f>
        <v>000361118 - RICH FDS CORE BB-MAIN ARAMARK</v>
      </c>
      <c r="C9799" t="s">
        <v>196</v>
      </c>
      <c r="D9799" s="1" t="str">
        <f t="shared" si="268"/>
        <v>PRG-1033843</v>
      </c>
      <c r="E9799" t="s">
        <v>195</v>
      </c>
      <c r="F9799" t="s">
        <v>4</v>
      </c>
      <c r="G9799" t="str">
        <f>""</f>
        <v/>
      </c>
    </row>
    <row r="9800" spans="1:7" x14ac:dyDescent="0.25">
      <c r="A9800" t="s">
        <v>8</v>
      </c>
      <c r="B9800" s="1" t="str">
        <f>"000363192 - RICH FDS CORE BB ARA MAIN"</f>
        <v>000363192 - RICH FDS CORE BB ARA MAIN</v>
      </c>
      <c r="C9800" t="s">
        <v>1009</v>
      </c>
      <c r="D9800" s="1" t="str">
        <f t="shared" si="268"/>
        <v>PRG-1033843</v>
      </c>
      <c r="E9800" t="s">
        <v>195</v>
      </c>
      <c r="F9800" t="s">
        <v>4</v>
      </c>
      <c r="G9800" t="str">
        <f>""</f>
        <v/>
      </c>
    </row>
    <row r="9801" spans="1:7" x14ac:dyDescent="0.25">
      <c r="A9801" t="s">
        <v>8</v>
      </c>
      <c r="B9801" s="1" t="str">
        <f>"000363195 - RICH FDS NCORE BB ARA MAIN"</f>
        <v>000363195 - RICH FDS NCORE BB ARA MAIN</v>
      </c>
      <c r="C9801" t="s">
        <v>933</v>
      </c>
      <c r="D9801" s="1" t="str">
        <f t="shared" si="268"/>
        <v>PRG-1033843</v>
      </c>
      <c r="E9801" t="s">
        <v>195</v>
      </c>
      <c r="F9801" t="s">
        <v>4</v>
      </c>
      <c r="G9801" t="str">
        <f>""</f>
        <v/>
      </c>
    </row>
    <row r="9802" spans="1:7" x14ac:dyDescent="0.25">
      <c r="A9802" t="s">
        <v>8</v>
      </c>
      <c r="B9802" s="1" t="str">
        <f>"2000378802 - RICH FOODS VARIETY MAIN-ARAMARK"</f>
        <v>2000378802 - RICH FOODS VARIETY MAIN-ARAMARK</v>
      </c>
      <c r="C9802" t="s">
        <v>4031</v>
      </c>
      <c r="D9802" s="1" t="str">
        <f t="shared" si="268"/>
        <v>PRG-1033843</v>
      </c>
      <c r="E9802" t="s">
        <v>195</v>
      </c>
      <c r="F9802" t="s">
        <v>4</v>
      </c>
      <c r="G9802" t="str">
        <f>""</f>
        <v/>
      </c>
    </row>
    <row r="9803" spans="1:7" x14ac:dyDescent="0.25">
      <c r="A9803" t="s">
        <v>8</v>
      </c>
      <c r="B9803" s="1" t="str">
        <f>"2000396607 - "</f>
        <v xml:space="preserve">2000396607 - </v>
      </c>
      <c r="D9803" s="1" t="str">
        <f t="shared" si="268"/>
        <v>PRG-1033843</v>
      </c>
      <c r="E9803" t="s">
        <v>195</v>
      </c>
      <c r="F9803" t="s">
        <v>4</v>
      </c>
      <c r="G9803" t="str">
        <f>""</f>
        <v/>
      </c>
    </row>
    <row r="9804" spans="1:7" x14ac:dyDescent="0.25">
      <c r="A9804" t="s">
        <v>8</v>
      </c>
      <c r="B9804" s="1" t="str">
        <f>"2000396875 - RICH FOODS VARIETY MAIN-ARAMARK"</f>
        <v>2000396875 - RICH FOODS VARIETY MAIN-ARAMARK</v>
      </c>
      <c r="C9804" t="s">
        <v>4031</v>
      </c>
      <c r="D9804" s="1" t="str">
        <f t="shared" si="268"/>
        <v>PRG-1033843</v>
      </c>
      <c r="E9804" t="s">
        <v>195</v>
      </c>
      <c r="F9804" t="s">
        <v>4</v>
      </c>
      <c r="G9804" t="str">
        <f>""</f>
        <v/>
      </c>
    </row>
    <row r="9805" spans="1:7" x14ac:dyDescent="0.25">
      <c r="A9805" t="s">
        <v>8</v>
      </c>
      <c r="B9805" s="1" t="str">
        <f>"2000396990 - "</f>
        <v xml:space="preserve">2000396990 - </v>
      </c>
      <c r="D9805" s="1" t="str">
        <f t="shared" si="268"/>
        <v>PRG-1033843</v>
      </c>
      <c r="E9805" t="s">
        <v>195</v>
      </c>
      <c r="F9805" t="s">
        <v>4</v>
      </c>
      <c r="G9805" t="str">
        <f>""</f>
        <v/>
      </c>
    </row>
    <row r="9806" spans="1:7" x14ac:dyDescent="0.25">
      <c r="A9806" t="s">
        <v>8</v>
      </c>
      <c r="B9806" s="1" t="str">
        <f>"2000429779 - RICH FOODS VARIETY MAIN-ARAMARK"</f>
        <v>2000429779 - RICH FOODS VARIETY MAIN-ARAMARK</v>
      </c>
      <c r="C9806" t="s">
        <v>4031</v>
      </c>
      <c r="D9806" s="1" t="str">
        <f t="shared" si="268"/>
        <v>PRG-1033843</v>
      </c>
      <c r="E9806" t="s">
        <v>195</v>
      </c>
      <c r="F9806" t="s">
        <v>4</v>
      </c>
      <c r="G9806" t="str">
        <f>""</f>
        <v/>
      </c>
    </row>
    <row r="9807" spans="1:7" x14ac:dyDescent="0.25">
      <c r="A9807" t="s">
        <v>8</v>
      </c>
      <c r="B9807" s="1" t="str">
        <f>"000212192 - RICH FDS(CORE W BB)-AVI"</f>
        <v>000212192 - RICH FDS(CORE W BB)-AVI</v>
      </c>
      <c r="C9807" t="s">
        <v>1462</v>
      </c>
      <c r="D9807" s="1" t="str">
        <f t="shared" ref="D9807:D9838" si="269">"PRG-1033844"</f>
        <v>PRG-1033844</v>
      </c>
      <c r="E9807" t="s">
        <v>215</v>
      </c>
      <c r="F9807" t="s">
        <v>4</v>
      </c>
      <c r="G9807" t="str">
        <f>""</f>
        <v/>
      </c>
    </row>
    <row r="9808" spans="1:7" x14ac:dyDescent="0.25">
      <c r="A9808" t="s">
        <v>8</v>
      </c>
      <c r="B9808" s="1" t="str">
        <f>"000227578 - RICH FDS(NONC)-AVI"</f>
        <v>000227578 - RICH FDS(NONC)-AVI</v>
      </c>
      <c r="C9808" t="s">
        <v>1286</v>
      </c>
      <c r="D9808" s="1" t="str">
        <f t="shared" si="269"/>
        <v>PRG-1033844</v>
      </c>
      <c r="E9808" t="s">
        <v>215</v>
      </c>
      <c r="F9808" t="s">
        <v>4</v>
      </c>
      <c r="G9808" t="str">
        <f>""</f>
        <v/>
      </c>
    </row>
    <row r="9809" spans="1:7" x14ac:dyDescent="0.25">
      <c r="A9809" t="s">
        <v>8</v>
      </c>
      <c r="B9809" s="1" t="str">
        <f>"000227579 - RICH FDS(CORE W BB)-AVI"</f>
        <v>000227579 - RICH FDS(CORE W BB)-AVI</v>
      </c>
      <c r="C9809" t="s">
        <v>1462</v>
      </c>
      <c r="D9809" s="1" t="str">
        <f t="shared" si="269"/>
        <v>PRG-1033844</v>
      </c>
      <c r="E9809" t="s">
        <v>215</v>
      </c>
      <c r="F9809" t="s">
        <v>4</v>
      </c>
      <c r="G9809" t="str">
        <f>""</f>
        <v/>
      </c>
    </row>
    <row r="9810" spans="1:7" x14ac:dyDescent="0.25">
      <c r="A9810" t="s">
        <v>8</v>
      </c>
      <c r="B9810" s="1" t="str">
        <f>"000237881 - RICH FDS(NONC)-AVI"</f>
        <v>000237881 - RICH FDS(NONC)-AVI</v>
      </c>
      <c r="C9810" t="s">
        <v>1286</v>
      </c>
      <c r="D9810" s="1" t="str">
        <f t="shared" si="269"/>
        <v>PRG-1033844</v>
      </c>
      <c r="E9810" t="s">
        <v>215</v>
      </c>
      <c r="F9810" t="s">
        <v>4</v>
      </c>
      <c r="G9810" t="str">
        <f>""</f>
        <v/>
      </c>
    </row>
    <row r="9811" spans="1:7" x14ac:dyDescent="0.25">
      <c r="A9811" t="s">
        <v>8</v>
      </c>
      <c r="B9811" s="1" t="str">
        <f>"000237882 - RICH FDS(CORE W BB)-AVI"</f>
        <v>000237882 - RICH FDS(CORE W BB)-AVI</v>
      </c>
      <c r="C9811" t="s">
        <v>1462</v>
      </c>
      <c r="D9811" s="1" t="str">
        <f t="shared" si="269"/>
        <v>PRG-1033844</v>
      </c>
      <c r="E9811" t="s">
        <v>215</v>
      </c>
      <c r="F9811" t="s">
        <v>4</v>
      </c>
      <c r="G9811" t="str">
        <f>""</f>
        <v/>
      </c>
    </row>
    <row r="9812" spans="1:7" x14ac:dyDescent="0.25">
      <c r="A9812" t="s">
        <v>8</v>
      </c>
      <c r="B9812" s="1" t="str">
        <f>"000240861 - RICH FDS(NONC)-AVI"</f>
        <v>000240861 - RICH FDS(NONC)-AVI</v>
      </c>
      <c r="C9812" t="s">
        <v>1286</v>
      </c>
      <c r="D9812" s="1" t="str">
        <f t="shared" si="269"/>
        <v>PRG-1033844</v>
      </c>
      <c r="E9812" t="s">
        <v>215</v>
      </c>
      <c r="F9812" t="s">
        <v>4</v>
      </c>
      <c r="G9812" t="str">
        <f>""</f>
        <v/>
      </c>
    </row>
    <row r="9813" spans="1:7" x14ac:dyDescent="0.25">
      <c r="A9813" t="s">
        <v>8</v>
      </c>
      <c r="B9813" s="1" t="str">
        <f>"000240862 - RICH FDS(CORE W BB)-AVI"</f>
        <v>000240862 - RICH FDS(CORE W BB)-AVI</v>
      </c>
      <c r="C9813" t="s">
        <v>1462</v>
      </c>
      <c r="D9813" s="1" t="str">
        <f t="shared" si="269"/>
        <v>PRG-1033844</v>
      </c>
      <c r="E9813" t="s">
        <v>215</v>
      </c>
      <c r="F9813" t="s">
        <v>4</v>
      </c>
      <c r="G9813" t="str">
        <f>""</f>
        <v/>
      </c>
    </row>
    <row r="9814" spans="1:7" x14ac:dyDescent="0.25">
      <c r="A9814" t="s">
        <v>8</v>
      </c>
      <c r="B9814" s="1" t="str">
        <f>"000241885 - RICH FDS(NONC)-AVI"</f>
        <v>000241885 - RICH FDS(NONC)-AVI</v>
      </c>
      <c r="C9814" t="s">
        <v>1286</v>
      </c>
      <c r="D9814" s="1" t="str">
        <f t="shared" si="269"/>
        <v>PRG-1033844</v>
      </c>
      <c r="E9814" t="s">
        <v>215</v>
      </c>
      <c r="F9814" t="s">
        <v>4</v>
      </c>
      <c r="G9814" t="str">
        <f>""</f>
        <v/>
      </c>
    </row>
    <row r="9815" spans="1:7" x14ac:dyDescent="0.25">
      <c r="A9815" t="s">
        <v>8</v>
      </c>
      <c r="B9815" s="1" t="str">
        <f>"000241886 - RICH FDS(CORE W BB)-AVI"</f>
        <v>000241886 - RICH FDS(CORE W BB)-AVI</v>
      </c>
      <c r="C9815" t="s">
        <v>1462</v>
      </c>
      <c r="D9815" s="1" t="str">
        <f t="shared" si="269"/>
        <v>PRG-1033844</v>
      </c>
      <c r="E9815" t="s">
        <v>215</v>
      </c>
      <c r="F9815" t="s">
        <v>4</v>
      </c>
      <c r="G9815" t="str">
        <f>""</f>
        <v/>
      </c>
    </row>
    <row r="9816" spans="1:7" x14ac:dyDescent="0.25">
      <c r="A9816" t="s">
        <v>8</v>
      </c>
      <c r="B9816" s="1" t="str">
        <f>"000242647 - RICH FDS(NONC)-AVI"</f>
        <v>000242647 - RICH FDS(NONC)-AVI</v>
      </c>
      <c r="C9816" t="s">
        <v>1286</v>
      </c>
      <c r="D9816" s="1" t="str">
        <f t="shared" si="269"/>
        <v>PRG-1033844</v>
      </c>
      <c r="E9816" t="s">
        <v>215</v>
      </c>
      <c r="F9816" t="s">
        <v>4</v>
      </c>
      <c r="G9816" t="str">
        <f>""</f>
        <v/>
      </c>
    </row>
    <row r="9817" spans="1:7" x14ac:dyDescent="0.25">
      <c r="A9817" t="s">
        <v>8</v>
      </c>
      <c r="B9817" s="1" t="str">
        <f>"000242648 - RICH FDS(CORE W BB)-AVI"</f>
        <v>000242648 - RICH FDS(CORE W BB)-AVI</v>
      </c>
      <c r="C9817" t="s">
        <v>1462</v>
      </c>
      <c r="D9817" s="1" t="str">
        <f t="shared" si="269"/>
        <v>PRG-1033844</v>
      </c>
      <c r="E9817" t="s">
        <v>215</v>
      </c>
      <c r="F9817" t="s">
        <v>4</v>
      </c>
      <c r="G9817" t="str">
        <f>""</f>
        <v/>
      </c>
    </row>
    <row r="9818" spans="1:7" x14ac:dyDescent="0.25">
      <c r="A9818" t="s">
        <v>8</v>
      </c>
      <c r="B9818" s="1" t="str">
        <f>"000246561 - RICH FDS(NONC)-AVI"</f>
        <v>000246561 - RICH FDS(NONC)-AVI</v>
      </c>
      <c r="C9818" t="s">
        <v>1286</v>
      </c>
      <c r="D9818" s="1" t="str">
        <f t="shared" si="269"/>
        <v>PRG-1033844</v>
      </c>
      <c r="E9818" t="s">
        <v>215</v>
      </c>
      <c r="F9818" t="s">
        <v>4</v>
      </c>
      <c r="G9818" t="str">
        <f>""</f>
        <v/>
      </c>
    </row>
    <row r="9819" spans="1:7" x14ac:dyDescent="0.25">
      <c r="A9819" t="s">
        <v>8</v>
      </c>
      <c r="B9819" s="1" t="str">
        <f>"000246562 - RICH FDS(CORE W BB)-AVI"</f>
        <v>000246562 - RICH FDS(CORE W BB)-AVI</v>
      </c>
      <c r="C9819" t="s">
        <v>1462</v>
      </c>
      <c r="D9819" s="1" t="str">
        <f t="shared" si="269"/>
        <v>PRG-1033844</v>
      </c>
      <c r="E9819" t="s">
        <v>215</v>
      </c>
      <c r="F9819" t="s">
        <v>4</v>
      </c>
      <c r="G9819" t="str">
        <f>""</f>
        <v/>
      </c>
    </row>
    <row r="9820" spans="1:7" x14ac:dyDescent="0.25">
      <c r="A9820" t="s">
        <v>8</v>
      </c>
      <c r="B9820" s="1" t="str">
        <f>"000246703 - RICH FDS(NONC)-AVI"</f>
        <v>000246703 - RICH FDS(NONC)-AVI</v>
      </c>
      <c r="C9820" t="s">
        <v>1286</v>
      </c>
      <c r="D9820" s="1" t="str">
        <f t="shared" si="269"/>
        <v>PRG-1033844</v>
      </c>
      <c r="E9820" t="s">
        <v>215</v>
      </c>
      <c r="F9820" t="s">
        <v>4</v>
      </c>
      <c r="G9820" t="str">
        <f>""</f>
        <v/>
      </c>
    </row>
    <row r="9821" spans="1:7" x14ac:dyDescent="0.25">
      <c r="A9821" t="s">
        <v>8</v>
      </c>
      <c r="B9821" s="1" t="str">
        <f>"000246704 - RICH FDS(CORE W BB)-AVI"</f>
        <v>000246704 - RICH FDS(CORE W BB)-AVI</v>
      </c>
      <c r="C9821" t="s">
        <v>1462</v>
      </c>
      <c r="D9821" s="1" t="str">
        <f t="shared" si="269"/>
        <v>PRG-1033844</v>
      </c>
      <c r="E9821" t="s">
        <v>215</v>
      </c>
      <c r="F9821" t="s">
        <v>4</v>
      </c>
      <c r="G9821" t="str">
        <f>""</f>
        <v/>
      </c>
    </row>
    <row r="9822" spans="1:7" x14ac:dyDescent="0.25">
      <c r="A9822" t="s">
        <v>8</v>
      </c>
      <c r="B9822" s="1" t="str">
        <f>"000258802 - RICH FDS(NONC)-AVI"</f>
        <v>000258802 - RICH FDS(NONC)-AVI</v>
      </c>
      <c r="C9822" t="s">
        <v>1286</v>
      </c>
      <c r="D9822" s="1" t="str">
        <f t="shared" si="269"/>
        <v>PRG-1033844</v>
      </c>
      <c r="E9822" t="s">
        <v>215</v>
      </c>
      <c r="F9822" t="s">
        <v>4</v>
      </c>
      <c r="G9822" t="str">
        <f>""</f>
        <v/>
      </c>
    </row>
    <row r="9823" spans="1:7" x14ac:dyDescent="0.25">
      <c r="A9823" t="s">
        <v>8</v>
      </c>
      <c r="B9823" s="1" t="str">
        <f>"000258803 - RICH FDS(CORE W BB)-AVI"</f>
        <v>000258803 - RICH FDS(CORE W BB)-AVI</v>
      </c>
      <c r="C9823" t="s">
        <v>1462</v>
      </c>
      <c r="D9823" s="1" t="str">
        <f t="shared" si="269"/>
        <v>PRG-1033844</v>
      </c>
      <c r="E9823" t="s">
        <v>215</v>
      </c>
      <c r="F9823" t="s">
        <v>4</v>
      </c>
      <c r="G9823" t="str">
        <f>""</f>
        <v/>
      </c>
    </row>
    <row r="9824" spans="1:7" x14ac:dyDescent="0.25">
      <c r="A9824" t="s">
        <v>8</v>
      </c>
      <c r="B9824" s="1" t="str">
        <f>"000262423 - RICH FDS(CORE W BB)-AVI"</f>
        <v>000262423 - RICH FDS(CORE W BB)-AVI</v>
      </c>
      <c r="C9824" t="s">
        <v>1462</v>
      </c>
      <c r="D9824" s="1" t="str">
        <f t="shared" si="269"/>
        <v>PRG-1033844</v>
      </c>
      <c r="E9824" t="s">
        <v>215</v>
      </c>
      <c r="F9824" t="s">
        <v>4</v>
      </c>
      <c r="G9824" t="str">
        <f>""</f>
        <v/>
      </c>
    </row>
    <row r="9825" spans="1:7" x14ac:dyDescent="0.25">
      <c r="A9825" t="s">
        <v>8</v>
      </c>
      <c r="B9825" s="1" t="str">
        <f>"000265018 - RICH FDS(CORE W BB)-AVI"</f>
        <v>000265018 - RICH FDS(CORE W BB)-AVI</v>
      </c>
      <c r="C9825" t="s">
        <v>1462</v>
      </c>
      <c r="D9825" s="1" t="str">
        <f t="shared" si="269"/>
        <v>PRG-1033844</v>
      </c>
      <c r="E9825" t="s">
        <v>215</v>
      </c>
      <c r="F9825" t="s">
        <v>4</v>
      </c>
      <c r="G9825" t="str">
        <f>""</f>
        <v/>
      </c>
    </row>
    <row r="9826" spans="1:7" x14ac:dyDescent="0.25">
      <c r="A9826" t="s">
        <v>8</v>
      </c>
      <c r="B9826" s="1" t="str">
        <f>"000266811 - RICH FDS(NONC)-AVI"</f>
        <v>000266811 - RICH FDS(NONC)-AVI</v>
      </c>
      <c r="C9826" t="s">
        <v>1286</v>
      </c>
      <c r="D9826" s="1" t="str">
        <f t="shared" si="269"/>
        <v>PRG-1033844</v>
      </c>
      <c r="E9826" t="s">
        <v>215</v>
      </c>
      <c r="F9826" t="s">
        <v>4</v>
      </c>
      <c r="G9826" t="str">
        <f>""</f>
        <v/>
      </c>
    </row>
    <row r="9827" spans="1:7" x14ac:dyDescent="0.25">
      <c r="A9827" t="s">
        <v>8</v>
      </c>
      <c r="B9827" s="1" t="str">
        <f>"000266812 - RICH FDS(CORE W BB)-AVI"</f>
        <v>000266812 - RICH FDS(CORE W BB)-AVI</v>
      </c>
      <c r="C9827" t="s">
        <v>1462</v>
      </c>
      <c r="D9827" s="1" t="str">
        <f t="shared" si="269"/>
        <v>PRG-1033844</v>
      </c>
      <c r="E9827" t="s">
        <v>215</v>
      </c>
      <c r="F9827" t="s">
        <v>4</v>
      </c>
      <c r="G9827" t="str">
        <f>""</f>
        <v/>
      </c>
    </row>
    <row r="9828" spans="1:7" x14ac:dyDescent="0.25">
      <c r="A9828" t="s">
        <v>8</v>
      </c>
      <c r="B9828" s="1" t="str">
        <f>"000267802 - RICH FDS(NONC)-AVI"</f>
        <v>000267802 - RICH FDS(NONC)-AVI</v>
      </c>
      <c r="C9828" t="s">
        <v>1286</v>
      </c>
      <c r="D9828" s="1" t="str">
        <f t="shared" si="269"/>
        <v>PRG-1033844</v>
      </c>
      <c r="E9828" t="s">
        <v>215</v>
      </c>
      <c r="F9828" t="s">
        <v>4</v>
      </c>
      <c r="G9828" t="str">
        <f>""</f>
        <v/>
      </c>
    </row>
    <row r="9829" spans="1:7" x14ac:dyDescent="0.25">
      <c r="A9829" t="s">
        <v>8</v>
      </c>
      <c r="B9829" s="1" t="str">
        <f>"000271259 - RICH FDS(NONC)-AVI"</f>
        <v>000271259 - RICH FDS(NONC)-AVI</v>
      </c>
      <c r="C9829" t="s">
        <v>1286</v>
      </c>
      <c r="D9829" s="1" t="str">
        <f t="shared" si="269"/>
        <v>PRG-1033844</v>
      </c>
      <c r="E9829" t="s">
        <v>215</v>
      </c>
      <c r="F9829" t="s">
        <v>4</v>
      </c>
      <c r="G9829" t="str">
        <f>""</f>
        <v/>
      </c>
    </row>
    <row r="9830" spans="1:7" x14ac:dyDescent="0.25">
      <c r="A9830" t="s">
        <v>8</v>
      </c>
      <c r="B9830" s="1" t="str">
        <f>"000271260 - RICH FDS(CORE W BB)-AVI"</f>
        <v>000271260 - RICH FDS(CORE W BB)-AVI</v>
      </c>
      <c r="C9830" t="s">
        <v>1462</v>
      </c>
      <c r="D9830" s="1" t="str">
        <f t="shared" si="269"/>
        <v>PRG-1033844</v>
      </c>
      <c r="E9830" t="s">
        <v>215</v>
      </c>
      <c r="F9830" t="s">
        <v>4</v>
      </c>
      <c r="G9830" t="str">
        <f>""</f>
        <v/>
      </c>
    </row>
    <row r="9831" spans="1:7" x14ac:dyDescent="0.25">
      <c r="A9831" t="s">
        <v>8</v>
      </c>
      <c r="B9831" s="1" t="str">
        <f>"000276569 - RICH FDS(NONC)-AVI"</f>
        <v>000276569 - RICH FDS(NONC)-AVI</v>
      </c>
      <c r="C9831" t="s">
        <v>1286</v>
      </c>
      <c r="D9831" s="1" t="str">
        <f t="shared" si="269"/>
        <v>PRG-1033844</v>
      </c>
      <c r="E9831" t="s">
        <v>215</v>
      </c>
      <c r="F9831" t="s">
        <v>4</v>
      </c>
      <c r="G9831" t="str">
        <f>""</f>
        <v/>
      </c>
    </row>
    <row r="9832" spans="1:7" x14ac:dyDescent="0.25">
      <c r="A9832" t="s">
        <v>8</v>
      </c>
      <c r="B9832" s="1" t="str">
        <f>"000276570 - RICH FDS(CORE W BB)-AVI"</f>
        <v>000276570 - RICH FDS(CORE W BB)-AVI</v>
      </c>
      <c r="C9832" t="s">
        <v>1462</v>
      </c>
      <c r="D9832" s="1" t="str">
        <f t="shared" si="269"/>
        <v>PRG-1033844</v>
      </c>
      <c r="E9832" t="s">
        <v>215</v>
      </c>
      <c r="F9832" t="s">
        <v>4</v>
      </c>
      <c r="G9832" t="str">
        <f>""</f>
        <v/>
      </c>
    </row>
    <row r="9833" spans="1:7" x14ac:dyDescent="0.25">
      <c r="A9833" t="s">
        <v>8</v>
      </c>
      <c r="B9833" s="1" t="str">
        <f>"000312890 - RICH FDS(CORE W BB)-AVI"</f>
        <v>000312890 - RICH FDS(CORE W BB)-AVI</v>
      </c>
      <c r="C9833" t="s">
        <v>1462</v>
      </c>
      <c r="D9833" s="1" t="str">
        <f t="shared" si="269"/>
        <v>PRG-1033844</v>
      </c>
      <c r="E9833" t="s">
        <v>215</v>
      </c>
      <c r="F9833" t="s">
        <v>4</v>
      </c>
      <c r="G9833" t="str">
        <f>""</f>
        <v/>
      </c>
    </row>
    <row r="9834" spans="1:7" x14ac:dyDescent="0.25">
      <c r="A9834" t="s">
        <v>8</v>
      </c>
      <c r="B9834" s="1" t="str">
        <f>"000319652 - RICH FDS(NONC)-AVI"</f>
        <v>000319652 - RICH FDS(NONC)-AVI</v>
      </c>
      <c r="C9834" t="s">
        <v>1286</v>
      </c>
      <c r="D9834" s="1" t="str">
        <f t="shared" si="269"/>
        <v>PRG-1033844</v>
      </c>
      <c r="E9834" t="s">
        <v>215</v>
      </c>
      <c r="F9834" t="s">
        <v>4</v>
      </c>
      <c r="G9834" t="str">
        <f>""</f>
        <v/>
      </c>
    </row>
    <row r="9835" spans="1:7" x14ac:dyDescent="0.25">
      <c r="A9835" t="s">
        <v>8</v>
      </c>
      <c r="B9835" s="1" t="str">
        <f>"000319653 - RICH FDS(CORE W BB)-AVI"</f>
        <v>000319653 - RICH FDS(CORE W BB)-AVI</v>
      </c>
      <c r="C9835" t="s">
        <v>1462</v>
      </c>
      <c r="D9835" s="1" t="str">
        <f t="shared" si="269"/>
        <v>PRG-1033844</v>
      </c>
      <c r="E9835" t="s">
        <v>215</v>
      </c>
      <c r="F9835" t="s">
        <v>4</v>
      </c>
      <c r="G9835" t="str">
        <f>""</f>
        <v/>
      </c>
    </row>
    <row r="9836" spans="1:7" x14ac:dyDescent="0.25">
      <c r="A9836" t="s">
        <v>8</v>
      </c>
      <c r="B9836" s="1" t="str">
        <f>"000333777 - "</f>
        <v xml:space="preserve">000333777 - </v>
      </c>
      <c r="D9836" s="1" t="str">
        <f t="shared" si="269"/>
        <v>PRG-1033844</v>
      </c>
      <c r="E9836" t="s">
        <v>215</v>
      </c>
      <c r="F9836" t="s">
        <v>4</v>
      </c>
      <c r="G9836" t="str">
        <f>""</f>
        <v/>
      </c>
    </row>
    <row r="9837" spans="1:7" x14ac:dyDescent="0.25">
      <c r="A9837" t="s">
        <v>8</v>
      </c>
      <c r="B9837" s="1" t="str">
        <f>"000333778 - "</f>
        <v xml:space="preserve">000333778 - </v>
      </c>
      <c r="D9837" s="1" t="str">
        <f t="shared" si="269"/>
        <v>PRG-1033844</v>
      </c>
      <c r="E9837" t="s">
        <v>215</v>
      </c>
      <c r="F9837" t="s">
        <v>4</v>
      </c>
      <c r="G9837" t="str">
        <f>""</f>
        <v/>
      </c>
    </row>
    <row r="9838" spans="1:7" x14ac:dyDescent="0.25">
      <c r="A9838" t="s">
        <v>8</v>
      </c>
      <c r="B9838" s="1" t="str">
        <f>"000343865 - RICH FDS(CORE W BB)-AVI"</f>
        <v>000343865 - RICH FDS(CORE W BB)-AVI</v>
      </c>
      <c r="C9838" t="s">
        <v>1462</v>
      </c>
      <c r="D9838" s="1" t="str">
        <f t="shared" si="269"/>
        <v>PRG-1033844</v>
      </c>
      <c r="E9838" t="s">
        <v>215</v>
      </c>
      <c r="F9838" t="s">
        <v>4</v>
      </c>
      <c r="G9838" t="str">
        <f>""</f>
        <v/>
      </c>
    </row>
    <row r="9839" spans="1:7" x14ac:dyDescent="0.25">
      <c r="A9839" t="s">
        <v>8</v>
      </c>
      <c r="B9839" s="1" t="str">
        <f>"2000383620 - RICHS-XANTERRA GRAND CANYON"</f>
        <v>2000383620 - RICHS-XANTERRA GRAND CANYON</v>
      </c>
      <c r="C9839" t="s">
        <v>4060</v>
      </c>
      <c r="D9839" s="1" t="str">
        <f>"PRG-1033855"</f>
        <v>PRG-1033855</v>
      </c>
      <c r="E9839" t="s">
        <v>2473</v>
      </c>
      <c r="F9839" t="s">
        <v>4</v>
      </c>
      <c r="G9839" t="str">
        <f>""</f>
        <v/>
      </c>
    </row>
    <row r="9840" spans="1:7" x14ac:dyDescent="0.25">
      <c r="A9840" t="s">
        <v>8</v>
      </c>
      <c r="B9840" s="1" t="str">
        <f>"2000434913 - RICHS-XANTERRA GRAND CANYON"</f>
        <v>2000434913 - RICHS-XANTERRA GRAND CANYON</v>
      </c>
      <c r="C9840" t="s">
        <v>4060</v>
      </c>
      <c r="D9840" s="1" t="str">
        <f>"PRG-1033855"</f>
        <v>PRG-1033855</v>
      </c>
      <c r="E9840" t="s">
        <v>2473</v>
      </c>
      <c r="F9840" t="s">
        <v>4</v>
      </c>
      <c r="G9840" t="str">
        <f>""</f>
        <v/>
      </c>
    </row>
    <row r="9841" spans="1:7" x14ac:dyDescent="0.25">
      <c r="A9841" t="s">
        <v>8</v>
      </c>
      <c r="B9841" s="1" t="str">
        <f>"2000382912 - "</f>
        <v xml:space="preserve">2000382912 - </v>
      </c>
      <c r="D9841" s="1" t="str">
        <f>"PRG-1033859"</f>
        <v>PRG-1033859</v>
      </c>
      <c r="E9841" t="s">
        <v>4059</v>
      </c>
      <c r="F9841" t="s">
        <v>4</v>
      </c>
      <c r="G9841" t="str">
        <f>""</f>
        <v/>
      </c>
    </row>
    <row r="9842" spans="1:7" x14ac:dyDescent="0.25">
      <c r="A9842" t="s">
        <v>8</v>
      </c>
      <c r="B9842" s="1" t="str">
        <f>"195222 - "</f>
        <v xml:space="preserve">195222 - </v>
      </c>
      <c r="D9842" s="1" t="str">
        <f>"PRG-1033942"</f>
        <v>PRG-1033942</v>
      </c>
      <c r="E9842" t="s">
        <v>3825</v>
      </c>
      <c r="F9842" t="s">
        <v>4</v>
      </c>
      <c r="G9842" t="str">
        <f>""</f>
        <v/>
      </c>
    </row>
    <row r="9843" spans="1:7" x14ac:dyDescent="0.25">
      <c r="A9843" t="s">
        <v>8</v>
      </c>
      <c r="B9843" s="1" t="str">
        <f>"000009708 - "</f>
        <v xml:space="preserve">000009708 - </v>
      </c>
      <c r="D9843" s="1" t="str">
        <f>"PRG-1033945"</f>
        <v>PRG-1033945</v>
      </c>
      <c r="E9843" t="s">
        <v>298</v>
      </c>
      <c r="F9843" t="s">
        <v>4</v>
      </c>
      <c r="G9843" t="str">
        <f>""</f>
        <v/>
      </c>
    </row>
    <row r="9844" spans="1:7" x14ac:dyDescent="0.25">
      <c r="A9844" t="s">
        <v>8</v>
      </c>
      <c r="B9844" s="1" t="str">
        <f>"000322738 - RICH FOODS-PAPPAS"</f>
        <v>000322738 - RICH FOODS-PAPPAS</v>
      </c>
      <c r="C9844" t="s">
        <v>3261</v>
      </c>
      <c r="D9844" s="1" t="str">
        <f>"PRG-1033984"</f>
        <v>PRG-1033984</v>
      </c>
      <c r="E9844" t="s">
        <v>3262</v>
      </c>
      <c r="F9844" t="s">
        <v>4</v>
      </c>
      <c r="G9844" t="str">
        <f>""</f>
        <v/>
      </c>
    </row>
    <row r="9845" spans="1:7" x14ac:dyDescent="0.25">
      <c r="A9845" t="s">
        <v>8</v>
      </c>
      <c r="B9845" s="1" t="str">
        <f>"000376300 - "</f>
        <v xml:space="preserve">000376300 - </v>
      </c>
      <c r="D9845" s="1" t="str">
        <f>"PRG-1033989"</f>
        <v>PRG-1033989</v>
      </c>
      <c r="E9845" t="s">
        <v>3642</v>
      </c>
      <c r="F9845" t="s">
        <v>4</v>
      </c>
      <c r="G9845" t="str">
        <f>""</f>
        <v/>
      </c>
    </row>
    <row r="9846" spans="1:7" x14ac:dyDescent="0.25">
      <c r="A9846" t="s">
        <v>8</v>
      </c>
      <c r="B9846" s="1" t="str">
        <f>"000376408 - "</f>
        <v xml:space="preserve">000376408 - </v>
      </c>
      <c r="D9846" s="1" t="str">
        <f>"PRG-1033989"</f>
        <v>PRG-1033989</v>
      </c>
      <c r="E9846" t="s">
        <v>3642</v>
      </c>
      <c r="F9846" t="s">
        <v>4</v>
      </c>
      <c r="G9846" t="str">
        <f>""</f>
        <v/>
      </c>
    </row>
    <row r="9847" spans="1:7" x14ac:dyDescent="0.25">
      <c r="A9847" t="s">
        <v>8</v>
      </c>
      <c r="B9847" s="1" t="str">
        <f>"000298441 - RICH PROD MT VIEW COOP"</f>
        <v>000298441 - RICH PROD MT VIEW COOP</v>
      </c>
      <c r="C9847" t="s">
        <v>2937</v>
      </c>
      <c r="D9847" s="1" t="str">
        <f>"PRG-1033990"</f>
        <v>PRG-1033990</v>
      </c>
      <c r="E9847" t="s">
        <v>2938</v>
      </c>
      <c r="F9847" t="s">
        <v>4</v>
      </c>
      <c r="G9847" t="str">
        <f>""</f>
        <v/>
      </c>
    </row>
    <row r="9848" spans="1:7" x14ac:dyDescent="0.25">
      <c r="A9848" t="s">
        <v>8</v>
      </c>
      <c r="B9848" s="1" t="str">
        <f>"000313081 - RICH PROD MT VIEW COOP BLNKT"</f>
        <v>000313081 - RICH PROD MT VIEW COOP BLNKT</v>
      </c>
      <c r="C9848" t="s">
        <v>3138</v>
      </c>
      <c r="D9848" s="1" t="str">
        <f>"PRG-1033990"</f>
        <v>PRG-1033990</v>
      </c>
      <c r="E9848" t="s">
        <v>2938</v>
      </c>
      <c r="F9848" t="s">
        <v>4</v>
      </c>
      <c r="G9848" t="str">
        <f>""</f>
        <v/>
      </c>
    </row>
    <row r="9849" spans="1:7" x14ac:dyDescent="0.25">
      <c r="A9849" t="s">
        <v>8</v>
      </c>
      <c r="B9849" s="1" t="str">
        <f>"000305460 - RICH PRODUCTS  LODI USD"</f>
        <v>000305460 - RICH PRODUCTS  LODI USD</v>
      </c>
      <c r="C9849" t="s">
        <v>2213</v>
      </c>
      <c r="D9849" s="1" t="str">
        <f>"PRG-1034034"</f>
        <v>PRG-1034034</v>
      </c>
      <c r="E9849" t="s">
        <v>3032</v>
      </c>
      <c r="F9849" t="s">
        <v>4</v>
      </c>
      <c r="G9849" t="str">
        <f>""</f>
        <v/>
      </c>
    </row>
    <row r="9850" spans="1:7" x14ac:dyDescent="0.25">
      <c r="A9850" t="s">
        <v>8</v>
      </c>
      <c r="B9850" s="1" t="str">
        <f>"2000379549 - "</f>
        <v xml:space="preserve">2000379549 - </v>
      </c>
      <c r="D9850" s="1" t="str">
        <f>"PRG-1034048"</f>
        <v>PRG-1034048</v>
      </c>
      <c r="E9850" t="s">
        <v>4055</v>
      </c>
      <c r="F9850" t="s">
        <v>4</v>
      </c>
      <c r="G9850" t="str">
        <f>""</f>
        <v/>
      </c>
    </row>
    <row r="9851" spans="1:7" x14ac:dyDescent="0.25">
      <c r="A9851" t="s">
        <v>8</v>
      </c>
      <c r="B9851" s="1" t="str">
        <f>"000284095 - "</f>
        <v xml:space="preserve">000284095 - </v>
      </c>
      <c r="D9851" s="1" t="str">
        <f>"PRG-1034052"</f>
        <v>PRG-1034052</v>
      </c>
      <c r="E9851" t="s">
        <v>2700</v>
      </c>
      <c r="F9851" t="s">
        <v>4</v>
      </c>
      <c r="G9851" t="str">
        <f>""</f>
        <v/>
      </c>
    </row>
    <row r="9852" spans="1:7" x14ac:dyDescent="0.25">
      <c r="A9852" t="s">
        <v>8</v>
      </c>
      <c r="B9852" s="1" t="str">
        <f>"000324229 - RICH PRODUCTS KLEIN ISD"</f>
        <v>000324229 - RICH PRODUCTS KLEIN ISD</v>
      </c>
      <c r="C9852" t="s">
        <v>3280</v>
      </c>
      <c r="D9852" s="1" t="str">
        <f>"PRG-1034054"</f>
        <v>PRG-1034054</v>
      </c>
      <c r="E9852" t="s">
        <v>3281</v>
      </c>
      <c r="F9852" t="s">
        <v>4</v>
      </c>
      <c r="G9852" t="str">
        <f>""</f>
        <v/>
      </c>
    </row>
    <row r="9853" spans="1:7" x14ac:dyDescent="0.25">
      <c r="A9853" t="s">
        <v>8</v>
      </c>
      <c r="B9853" s="1" t="str">
        <f>"2000357356 - "</f>
        <v xml:space="preserve">2000357356 - </v>
      </c>
      <c r="D9853" s="1" t="str">
        <f>"PRG-1034056"</f>
        <v>PRG-1034056</v>
      </c>
      <c r="E9853" t="s">
        <v>4042</v>
      </c>
      <c r="F9853" t="s">
        <v>4</v>
      </c>
      <c r="G9853" t="str">
        <f>""</f>
        <v/>
      </c>
    </row>
    <row r="9854" spans="1:7" x14ac:dyDescent="0.25">
      <c r="A9854" t="s">
        <v>8</v>
      </c>
      <c r="B9854" s="1" t="str">
        <f>"2000365505 - "</f>
        <v xml:space="preserve">2000365505 - </v>
      </c>
      <c r="D9854" s="1" t="str">
        <f>"PRG-1034057"</f>
        <v>PRG-1034057</v>
      </c>
      <c r="E9854" t="s">
        <v>4044</v>
      </c>
      <c r="F9854" t="s">
        <v>4</v>
      </c>
      <c r="G9854" t="str">
        <f>""</f>
        <v/>
      </c>
    </row>
    <row r="9855" spans="1:7" x14ac:dyDescent="0.25">
      <c r="A9855" t="s">
        <v>8</v>
      </c>
      <c r="B9855" s="1" t="str">
        <f>"000374683 - "</f>
        <v xml:space="preserve">000374683 - </v>
      </c>
      <c r="D9855" s="1" t="str">
        <f>"PRG-1034067"</f>
        <v>PRG-1034067</v>
      </c>
      <c r="E9855" t="s">
        <v>3639</v>
      </c>
      <c r="F9855" t="s">
        <v>4</v>
      </c>
      <c r="G9855" t="str">
        <f>""</f>
        <v/>
      </c>
    </row>
    <row r="9856" spans="1:7" x14ac:dyDescent="0.25">
      <c r="A9856" t="s">
        <v>8</v>
      </c>
      <c r="B9856" s="1" t="str">
        <f>"000333422 - "</f>
        <v xml:space="preserve">000333422 - </v>
      </c>
      <c r="D9856" s="1" t="str">
        <f>"PRG-1034074"</f>
        <v>PRG-1034074</v>
      </c>
      <c r="E9856" t="s">
        <v>3368</v>
      </c>
      <c r="F9856" t="s">
        <v>4</v>
      </c>
      <c r="G9856" t="str">
        <f>""</f>
        <v/>
      </c>
    </row>
    <row r="9857" spans="1:7" x14ac:dyDescent="0.25">
      <c r="A9857" t="s">
        <v>8</v>
      </c>
      <c r="B9857" s="1" t="str">
        <f>"000333676 - "</f>
        <v xml:space="preserve">000333676 - </v>
      </c>
      <c r="D9857" s="1" t="str">
        <f>"PRG-1034082"</f>
        <v>PRG-1034082</v>
      </c>
      <c r="E9857" t="s">
        <v>3373</v>
      </c>
      <c r="F9857" t="s">
        <v>4</v>
      </c>
      <c r="G9857" t="str">
        <f>""</f>
        <v/>
      </c>
    </row>
    <row r="9858" spans="1:7" x14ac:dyDescent="0.25">
      <c r="A9858" t="s">
        <v>8</v>
      </c>
      <c r="B9858" s="1" t="str">
        <f>"000283431 - "</f>
        <v xml:space="preserve">000283431 - </v>
      </c>
      <c r="D9858" s="1" t="str">
        <f>"PRG-1034085"</f>
        <v>PRG-1034085</v>
      </c>
      <c r="E9858" t="s">
        <v>2685</v>
      </c>
      <c r="F9858" t="s">
        <v>4</v>
      </c>
      <c r="G9858" t="str">
        <f>""</f>
        <v/>
      </c>
    </row>
    <row r="9859" spans="1:7" x14ac:dyDescent="0.25">
      <c r="A9859" t="s">
        <v>8</v>
      </c>
      <c r="B9859" s="1" t="str">
        <f>"S9D016C0"</f>
        <v>S9D016C0</v>
      </c>
      <c r="C9859" t="s">
        <v>6360</v>
      </c>
      <c r="D9859" s="1" t="str">
        <f>"PRG-1034118"</f>
        <v>PRG-1034118</v>
      </c>
      <c r="E9859" t="s">
        <v>6361</v>
      </c>
      <c r="F9859" t="s">
        <v>5</v>
      </c>
      <c r="G9859" t="str">
        <f>""</f>
        <v/>
      </c>
    </row>
    <row r="9860" spans="1:7" x14ac:dyDescent="0.25">
      <c r="A9860" t="s">
        <v>8</v>
      </c>
      <c r="B9860" s="1" t="str">
        <f>"000336270 - RICH FOODS KOLACHE FACTORY ALW"</f>
        <v>000336270 - RICH FOODS KOLACHE FACTORY ALW</v>
      </c>
      <c r="C9860" t="s">
        <v>3272</v>
      </c>
      <c r="D9860" s="1" t="str">
        <f>"PRG-1034124"</f>
        <v>PRG-1034124</v>
      </c>
      <c r="E9860" t="s">
        <v>3406</v>
      </c>
      <c r="F9860" t="s">
        <v>4</v>
      </c>
      <c r="G9860" t="str">
        <f>""</f>
        <v/>
      </c>
    </row>
    <row r="9861" spans="1:7" x14ac:dyDescent="0.25">
      <c r="A9861" t="s">
        <v>8</v>
      </c>
      <c r="B9861" s="1" t="str">
        <f>"000316292 - RICHS REGION 1"</f>
        <v>000316292 - RICHS REGION 1</v>
      </c>
      <c r="C9861" t="s">
        <v>3184</v>
      </c>
      <c r="D9861" s="1" t="str">
        <f>"PRG-1034139"</f>
        <v>PRG-1034139</v>
      </c>
      <c r="E9861" t="s">
        <v>3185</v>
      </c>
      <c r="F9861" t="s">
        <v>4</v>
      </c>
      <c r="G9861" t="str">
        <f>""</f>
        <v/>
      </c>
    </row>
    <row r="9862" spans="1:7" x14ac:dyDescent="0.25">
      <c r="A9862" t="s">
        <v>8</v>
      </c>
      <c r="B9862" s="1" t="str">
        <f>"000361347 - RICH PROD VON HANSONS"</f>
        <v>000361347 - RICH PROD VON HANSONS</v>
      </c>
      <c r="C9862" t="s">
        <v>3584</v>
      </c>
      <c r="D9862" s="1" t="str">
        <f>"PRG-1034141"</f>
        <v>PRG-1034141</v>
      </c>
      <c r="E9862" t="s">
        <v>604</v>
      </c>
      <c r="F9862" t="s">
        <v>4</v>
      </c>
      <c r="G9862" t="str">
        <f>""</f>
        <v/>
      </c>
    </row>
    <row r="9863" spans="1:7" x14ac:dyDescent="0.25">
      <c r="A9863" t="s">
        <v>8</v>
      </c>
      <c r="B9863" s="1" t="str">
        <f>"000337159 - "</f>
        <v xml:space="preserve">000337159 - </v>
      </c>
      <c r="D9863" s="1" t="str">
        <f>"PRG-1034145"</f>
        <v>PRG-1034145</v>
      </c>
      <c r="E9863" t="s">
        <v>3414</v>
      </c>
      <c r="F9863" t="s">
        <v>4</v>
      </c>
      <c r="G9863" t="str">
        <f>""</f>
        <v/>
      </c>
    </row>
    <row r="9864" spans="1:7" x14ac:dyDescent="0.25">
      <c r="A9864" t="s">
        <v>8</v>
      </c>
      <c r="B9864" s="1" t="str">
        <f>"000166640 - "</f>
        <v xml:space="preserve">000166640 - </v>
      </c>
      <c r="D9864" s="1" t="str">
        <f>"PRG-1034148"</f>
        <v>PRG-1034148</v>
      </c>
      <c r="E9864" t="s">
        <v>1077</v>
      </c>
      <c r="F9864" t="s">
        <v>4</v>
      </c>
      <c r="G9864" t="str">
        <f>""</f>
        <v/>
      </c>
    </row>
    <row r="9865" spans="1:7" x14ac:dyDescent="0.25">
      <c r="A9865" t="s">
        <v>8</v>
      </c>
      <c r="B9865" s="1" t="str">
        <f>"000000397 - RICH-WEST ADA SCHOOL"</f>
        <v>000000397 - RICH-WEST ADA SCHOOL</v>
      </c>
      <c r="C9865" t="s">
        <v>37</v>
      </c>
      <c r="D9865" s="1" t="str">
        <f>"PRG-1034154"</f>
        <v>PRG-1034154</v>
      </c>
      <c r="E9865" t="s">
        <v>38</v>
      </c>
      <c r="F9865" t="s">
        <v>4</v>
      </c>
      <c r="G9865" t="str">
        <f>""</f>
        <v/>
      </c>
    </row>
    <row r="9866" spans="1:7" x14ac:dyDescent="0.25">
      <c r="A9866" t="s">
        <v>8</v>
      </c>
      <c r="B9866" s="1" t="str">
        <f>"2000388301 - RICH-WEST ADA SCHOOL"</f>
        <v>2000388301 - RICH-WEST ADA SCHOOL</v>
      </c>
      <c r="C9866" t="s">
        <v>37</v>
      </c>
      <c r="D9866" s="1" t="str">
        <f>"PRG-1034154"</f>
        <v>PRG-1034154</v>
      </c>
      <c r="E9866" t="s">
        <v>38</v>
      </c>
      <c r="F9866" t="s">
        <v>4</v>
      </c>
      <c r="G9866" t="str">
        <f>""</f>
        <v/>
      </c>
    </row>
    <row r="9867" spans="1:7" x14ac:dyDescent="0.25">
      <c r="A9867" t="s">
        <v>8</v>
      </c>
      <c r="B9867" s="1" t="str">
        <f>"000333232 - "</f>
        <v xml:space="preserve">000333232 - </v>
      </c>
      <c r="D9867" s="1" t="str">
        <f>"PRG-1034157"</f>
        <v>PRG-1034157</v>
      </c>
      <c r="E9867" t="s">
        <v>3365</v>
      </c>
      <c r="F9867" t="s">
        <v>4</v>
      </c>
      <c r="G9867" t="str">
        <f>""</f>
        <v/>
      </c>
    </row>
    <row r="9868" spans="1:7" x14ac:dyDescent="0.25">
      <c r="A9868" t="s">
        <v>8</v>
      </c>
      <c r="B9868" s="1" t="str">
        <f>"000010194 - RICHS DESOTO PARISH SCHOOLS"</f>
        <v>000010194 - RICHS DESOTO PARISH SCHOOLS</v>
      </c>
      <c r="C9868" t="s">
        <v>308</v>
      </c>
      <c r="D9868" s="1" t="str">
        <f>"PRG-1034158"</f>
        <v>PRG-1034158</v>
      </c>
      <c r="E9868" t="s">
        <v>309</v>
      </c>
      <c r="F9868" t="s">
        <v>4</v>
      </c>
      <c r="G9868" t="str">
        <f>""</f>
        <v/>
      </c>
    </row>
    <row r="9869" spans="1:7" x14ac:dyDescent="0.25">
      <c r="A9869" t="s">
        <v>8</v>
      </c>
      <c r="B9869" s="1" t="str">
        <f>"2000383541 - RICH'S-DESOTO PARISH"</f>
        <v>2000383541 - RICH'S-DESOTO PARISH</v>
      </c>
      <c r="C9869" t="s">
        <v>4035</v>
      </c>
      <c r="D9869" s="1" t="str">
        <f>"PRG-1034158"</f>
        <v>PRG-1034158</v>
      </c>
      <c r="E9869" t="s">
        <v>309</v>
      </c>
      <c r="F9869" t="s">
        <v>4</v>
      </c>
      <c r="G9869" t="str">
        <f>""</f>
        <v/>
      </c>
    </row>
    <row r="9870" spans="1:7" x14ac:dyDescent="0.25">
      <c r="A9870" t="s">
        <v>8</v>
      </c>
      <c r="B9870" s="1" t="str">
        <f>"000010751 - "</f>
        <v xml:space="preserve">000010751 - </v>
      </c>
      <c r="D9870" s="1" t="str">
        <f>"PRG-1034164"</f>
        <v>PRG-1034164</v>
      </c>
      <c r="E9870" t="s">
        <v>314</v>
      </c>
      <c r="F9870" t="s">
        <v>4</v>
      </c>
      <c r="G9870" t="str">
        <f>""</f>
        <v/>
      </c>
    </row>
    <row r="9871" spans="1:7" x14ac:dyDescent="0.25">
      <c r="A9871" t="s">
        <v>8</v>
      </c>
      <c r="B9871" s="1" t="str">
        <f>"2000387359 - "</f>
        <v xml:space="preserve">2000387359 - </v>
      </c>
      <c r="D9871" s="1" t="str">
        <f>"PRG-1034172"</f>
        <v>PRG-1034172</v>
      </c>
      <c r="E9871" t="s">
        <v>4064</v>
      </c>
      <c r="F9871" t="s">
        <v>4</v>
      </c>
      <c r="G9871" t="str">
        <f>""</f>
        <v/>
      </c>
    </row>
    <row r="9872" spans="1:7" x14ac:dyDescent="0.25">
      <c r="A9872" t="s">
        <v>8</v>
      </c>
      <c r="B9872" s="1" t="str">
        <f>"000012928 - "</f>
        <v xml:space="preserve">000012928 - </v>
      </c>
      <c r="D9872" s="1" t="str">
        <f>"PRG-1034179"</f>
        <v>PRG-1034179</v>
      </c>
      <c r="E9872" t="s">
        <v>339</v>
      </c>
      <c r="F9872" t="s">
        <v>4</v>
      </c>
      <c r="G9872" t="str">
        <f>""</f>
        <v/>
      </c>
    </row>
    <row r="9873" spans="1:7" x14ac:dyDescent="0.25">
      <c r="A9873" t="s">
        <v>8</v>
      </c>
      <c r="B9873" s="1" t="str">
        <f>"000288049 - "</f>
        <v xml:space="preserve">000288049 - </v>
      </c>
      <c r="D9873" s="1" t="str">
        <f>"PRG-1034179"</f>
        <v>PRG-1034179</v>
      </c>
      <c r="E9873" t="s">
        <v>339</v>
      </c>
      <c r="F9873" t="s">
        <v>4</v>
      </c>
      <c r="G9873" t="str">
        <f>""</f>
        <v/>
      </c>
    </row>
    <row r="9874" spans="1:7" x14ac:dyDescent="0.25">
      <c r="A9874" t="s">
        <v>8</v>
      </c>
      <c r="B9874" s="1" t="str">
        <f>"000239637 - RICH FOODS-SKY ZONE"</f>
        <v>000239637 - RICH FOODS-SKY ZONE</v>
      </c>
      <c r="C9874" t="s">
        <v>630</v>
      </c>
      <c r="D9874" s="1" t="str">
        <f t="shared" ref="D9874:D9890" si="270">"PRG-1034183"</f>
        <v>PRG-1034183</v>
      </c>
      <c r="E9874" t="s">
        <v>631</v>
      </c>
      <c r="F9874" t="s">
        <v>4</v>
      </c>
      <c r="G9874" t="str">
        <f>""</f>
        <v/>
      </c>
    </row>
    <row r="9875" spans="1:7" x14ac:dyDescent="0.25">
      <c r="A9875" t="s">
        <v>8</v>
      </c>
      <c r="B9875" s="1" t="str">
        <f>"000249582 - RICH'S SKY ZONE  #1034183"</f>
        <v>000249582 - RICH'S SKY ZONE  #1034183</v>
      </c>
      <c r="C9875" t="s">
        <v>2070</v>
      </c>
      <c r="D9875" s="1" t="str">
        <f t="shared" si="270"/>
        <v>PRG-1034183</v>
      </c>
      <c r="E9875" t="s">
        <v>631</v>
      </c>
      <c r="F9875" t="s">
        <v>4</v>
      </c>
      <c r="G9875" t="str">
        <f>""</f>
        <v/>
      </c>
    </row>
    <row r="9876" spans="1:7" x14ac:dyDescent="0.25">
      <c r="A9876" t="s">
        <v>8</v>
      </c>
      <c r="B9876" s="1" t="str">
        <f>"000254893 - RICH FOODS-SKY ZONE"</f>
        <v>000254893 - RICH FOODS-SKY ZONE</v>
      </c>
      <c r="C9876" t="s">
        <v>630</v>
      </c>
      <c r="D9876" s="1" t="str">
        <f t="shared" si="270"/>
        <v>PRG-1034183</v>
      </c>
      <c r="E9876" t="s">
        <v>631</v>
      </c>
      <c r="F9876" t="s">
        <v>4</v>
      </c>
      <c r="G9876" t="str">
        <f>""</f>
        <v/>
      </c>
    </row>
    <row r="9877" spans="1:7" x14ac:dyDescent="0.25">
      <c r="A9877" t="s">
        <v>8</v>
      </c>
      <c r="B9877" s="1" t="str">
        <f>"000259249 - RICH FOODS-SKY ZONE"</f>
        <v>000259249 - RICH FOODS-SKY ZONE</v>
      </c>
      <c r="C9877" t="s">
        <v>630</v>
      </c>
      <c r="D9877" s="1" t="str">
        <f t="shared" si="270"/>
        <v>PRG-1034183</v>
      </c>
      <c r="E9877" t="s">
        <v>631</v>
      </c>
      <c r="F9877" t="s">
        <v>4</v>
      </c>
      <c r="G9877" t="str">
        <f>""</f>
        <v/>
      </c>
    </row>
    <row r="9878" spans="1:7" x14ac:dyDescent="0.25">
      <c r="A9878" t="s">
        <v>8</v>
      </c>
      <c r="B9878" s="1" t="str">
        <f>"000260511 - RICH FOODS-SKY ZONE"</f>
        <v>000260511 - RICH FOODS-SKY ZONE</v>
      </c>
      <c r="C9878" t="s">
        <v>630</v>
      </c>
      <c r="D9878" s="1" t="str">
        <f t="shared" si="270"/>
        <v>PRG-1034183</v>
      </c>
      <c r="E9878" t="s">
        <v>631</v>
      </c>
      <c r="F9878" t="s">
        <v>4</v>
      </c>
      <c r="G9878" t="str">
        <f>""</f>
        <v/>
      </c>
    </row>
    <row r="9879" spans="1:7" x14ac:dyDescent="0.25">
      <c r="A9879" t="s">
        <v>8</v>
      </c>
      <c r="B9879" s="1" t="str">
        <f>"000274510 - RICH FOODS-SKY ZONE"</f>
        <v>000274510 - RICH FOODS-SKY ZONE</v>
      </c>
      <c r="C9879" t="s">
        <v>630</v>
      </c>
      <c r="D9879" s="1" t="str">
        <f t="shared" si="270"/>
        <v>PRG-1034183</v>
      </c>
      <c r="E9879" t="s">
        <v>631</v>
      </c>
      <c r="F9879" t="s">
        <v>4</v>
      </c>
      <c r="G9879" t="str">
        <f>""</f>
        <v/>
      </c>
    </row>
    <row r="9880" spans="1:7" x14ac:dyDescent="0.25">
      <c r="A9880" t="s">
        <v>8</v>
      </c>
      <c r="B9880" s="1" t="str">
        <f>"000279002 - RICH FOODS-SKY ZONE"</f>
        <v>000279002 - RICH FOODS-SKY ZONE</v>
      </c>
      <c r="C9880" t="s">
        <v>630</v>
      </c>
      <c r="D9880" s="1" t="str">
        <f t="shared" si="270"/>
        <v>PRG-1034183</v>
      </c>
      <c r="E9880" t="s">
        <v>631</v>
      </c>
      <c r="F9880" t="s">
        <v>4</v>
      </c>
      <c r="G9880" t="str">
        <f>""</f>
        <v/>
      </c>
    </row>
    <row r="9881" spans="1:7" x14ac:dyDescent="0.25">
      <c r="A9881" t="s">
        <v>8</v>
      </c>
      <c r="B9881" s="1" t="str">
        <f>"000279408 - RICH FOODS-SKY ZONE"</f>
        <v>000279408 - RICH FOODS-SKY ZONE</v>
      </c>
      <c r="C9881" t="s">
        <v>630</v>
      </c>
      <c r="D9881" s="1" t="str">
        <f t="shared" si="270"/>
        <v>PRG-1034183</v>
      </c>
      <c r="E9881" t="s">
        <v>631</v>
      </c>
      <c r="F9881" t="s">
        <v>4</v>
      </c>
      <c r="G9881" t="str">
        <f>""</f>
        <v/>
      </c>
    </row>
    <row r="9882" spans="1:7" x14ac:dyDescent="0.25">
      <c r="A9882" t="s">
        <v>8</v>
      </c>
      <c r="B9882" s="1" t="str">
        <f>"000281755 - RICH FOODS-SKY ZONE"</f>
        <v>000281755 - RICH FOODS-SKY ZONE</v>
      </c>
      <c r="C9882" t="s">
        <v>630</v>
      </c>
      <c r="D9882" s="1" t="str">
        <f t="shared" si="270"/>
        <v>PRG-1034183</v>
      </c>
      <c r="E9882" t="s">
        <v>631</v>
      </c>
      <c r="F9882" t="s">
        <v>4</v>
      </c>
      <c r="G9882" t="str">
        <f>""</f>
        <v/>
      </c>
    </row>
    <row r="9883" spans="1:7" x14ac:dyDescent="0.25">
      <c r="A9883" t="s">
        <v>8</v>
      </c>
      <c r="B9883" s="1" t="str">
        <f>"000283388 - RICH FOODS-SKY ZONE"</f>
        <v>000283388 - RICH FOODS-SKY ZONE</v>
      </c>
      <c r="C9883" t="s">
        <v>630</v>
      </c>
      <c r="D9883" s="1" t="str">
        <f t="shared" si="270"/>
        <v>PRG-1034183</v>
      </c>
      <c r="E9883" t="s">
        <v>631</v>
      </c>
      <c r="F9883" t="s">
        <v>4</v>
      </c>
      <c r="G9883" t="str">
        <f>""</f>
        <v/>
      </c>
    </row>
    <row r="9884" spans="1:7" x14ac:dyDescent="0.25">
      <c r="A9884" t="s">
        <v>8</v>
      </c>
      <c r="B9884" s="1" t="str">
        <f>"000284120 - RICH FOODS-SKY ZONE"</f>
        <v>000284120 - RICH FOODS-SKY ZONE</v>
      </c>
      <c r="C9884" t="s">
        <v>630</v>
      </c>
      <c r="D9884" s="1" t="str">
        <f t="shared" si="270"/>
        <v>PRG-1034183</v>
      </c>
      <c r="E9884" t="s">
        <v>631</v>
      </c>
      <c r="F9884" t="s">
        <v>4</v>
      </c>
      <c r="G9884" t="str">
        <f>""</f>
        <v/>
      </c>
    </row>
    <row r="9885" spans="1:7" x14ac:dyDescent="0.25">
      <c r="A9885" t="s">
        <v>8</v>
      </c>
      <c r="B9885" s="1" t="str">
        <f>"000287646 - RICH FOODS-SKY ZONE"</f>
        <v>000287646 - RICH FOODS-SKY ZONE</v>
      </c>
      <c r="C9885" t="s">
        <v>630</v>
      </c>
      <c r="D9885" s="1" t="str">
        <f t="shared" si="270"/>
        <v>PRG-1034183</v>
      </c>
      <c r="E9885" t="s">
        <v>631</v>
      </c>
      <c r="F9885" t="s">
        <v>4</v>
      </c>
      <c r="G9885" t="str">
        <f>""</f>
        <v/>
      </c>
    </row>
    <row r="9886" spans="1:7" x14ac:dyDescent="0.25">
      <c r="A9886" t="s">
        <v>8</v>
      </c>
      <c r="B9886" s="1" t="str">
        <f>"000290175 - RICH FOODS-SKY ZONE"</f>
        <v>000290175 - RICH FOODS-SKY ZONE</v>
      </c>
      <c r="C9886" t="s">
        <v>630</v>
      </c>
      <c r="D9886" s="1" t="str">
        <f t="shared" si="270"/>
        <v>PRG-1034183</v>
      </c>
      <c r="E9886" t="s">
        <v>631</v>
      </c>
      <c r="F9886" t="s">
        <v>4</v>
      </c>
      <c r="G9886" t="str">
        <f>""</f>
        <v/>
      </c>
    </row>
    <row r="9887" spans="1:7" x14ac:dyDescent="0.25">
      <c r="A9887" t="s">
        <v>8</v>
      </c>
      <c r="B9887" s="1" t="str">
        <f>"000329399 - RICH'S SKY ZONE B B"</f>
        <v>000329399 - RICH'S SKY ZONE B B</v>
      </c>
      <c r="C9887" t="s">
        <v>3334</v>
      </c>
      <c r="D9887" s="1" t="str">
        <f t="shared" si="270"/>
        <v>PRG-1034183</v>
      </c>
      <c r="E9887" t="s">
        <v>631</v>
      </c>
      <c r="F9887" t="s">
        <v>4</v>
      </c>
      <c r="G9887" t="str">
        <f>""</f>
        <v/>
      </c>
    </row>
    <row r="9888" spans="1:7" x14ac:dyDescent="0.25">
      <c r="A9888" t="s">
        <v>8</v>
      </c>
      <c r="B9888" s="1" t="str">
        <f>"000339970 - RICH'S SKY ZONE"</f>
        <v>000339970 - RICH'S SKY ZONE</v>
      </c>
      <c r="C9888" t="s">
        <v>3435</v>
      </c>
      <c r="D9888" s="1" t="str">
        <f t="shared" si="270"/>
        <v>PRG-1034183</v>
      </c>
      <c r="E9888" t="s">
        <v>631</v>
      </c>
      <c r="F9888" t="s">
        <v>4</v>
      </c>
      <c r="G9888" t="str">
        <f>""</f>
        <v/>
      </c>
    </row>
    <row r="9889" spans="1:7" x14ac:dyDescent="0.25">
      <c r="A9889" t="s">
        <v>8</v>
      </c>
      <c r="B9889" s="1" t="str">
        <f>"000393707 - RICH FOODS-SKY ZONE"</f>
        <v>000393707 - RICH FOODS-SKY ZONE</v>
      </c>
      <c r="C9889" t="s">
        <v>630</v>
      </c>
      <c r="D9889" s="1" t="str">
        <f t="shared" si="270"/>
        <v>PRG-1034183</v>
      </c>
      <c r="E9889" t="s">
        <v>631</v>
      </c>
      <c r="F9889" t="s">
        <v>4</v>
      </c>
      <c r="G9889" t="str">
        <f>""</f>
        <v/>
      </c>
    </row>
    <row r="9890" spans="1:7" x14ac:dyDescent="0.25">
      <c r="A9890" t="s">
        <v>8</v>
      </c>
      <c r="B9890" s="1" t="str">
        <f>"000400564 - RICH FOODS-SKY ZONE"</f>
        <v>000400564 - RICH FOODS-SKY ZONE</v>
      </c>
      <c r="C9890" t="s">
        <v>630</v>
      </c>
      <c r="D9890" s="1" t="str">
        <f t="shared" si="270"/>
        <v>PRG-1034183</v>
      </c>
      <c r="E9890" t="s">
        <v>631</v>
      </c>
      <c r="F9890" t="s">
        <v>4</v>
      </c>
      <c r="G9890" t="str">
        <f>""</f>
        <v/>
      </c>
    </row>
    <row r="9891" spans="1:7" x14ac:dyDescent="0.25">
      <c r="A9891" t="s">
        <v>8</v>
      </c>
      <c r="B9891" s="1" t="str">
        <f>"000122786 - RICH FDS NCORE BB-SSS ARAMARK"</f>
        <v>000122786 - RICH FDS NCORE BB-SSS ARAMARK</v>
      </c>
      <c r="C9891" t="s">
        <v>272</v>
      </c>
      <c r="D9891" s="1" t="str">
        <f t="shared" ref="D9891:D9910" si="271">"PRG-1034189"</f>
        <v>PRG-1034189</v>
      </c>
      <c r="E9891" t="s">
        <v>368</v>
      </c>
      <c r="F9891" t="s">
        <v>4</v>
      </c>
      <c r="G9891" t="str">
        <f>""</f>
        <v/>
      </c>
    </row>
    <row r="9892" spans="1:7" x14ac:dyDescent="0.25">
      <c r="A9892" t="s">
        <v>8</v>
      </c>
      <c r="B9892" s="1" t="str">
        <f>"000144336 - RICHS - PENDER B198"</f>
        <v>000144336 - RICHS - PENDER B198</v>
      </c>
      <c r="C9892" t="s">
        <v>827</v>
      </c>
      <c r="D9892" s="1" t="str">
        <f t="shared" si="271"/>
        <v>PRG-1034189</v>
      </c>
      <c r="E9892" t="s">
        <v>368</v>
      </c>
      <c r="F9892" t="s">
        <v>4</v>
      </c>
      <c r="G9892" t="str">
        <f>""</f>
        <v/>
      </c>
    </row>
    <row r="9893" spans="1:7" x14ac:dyDescent="0.25">
      <c r="A9893" t="s">
        <v>8</v>
      </c>
      <c r="B9893" s="1" t="str">
        <f>"000144571 - RICH FDS NCORE BB-SSS ARAMARK"</f>
        <v>000144571 - RICH FDS NCORE BB-SSS ARAMARK</v>
      </c>
      <c r="C9893" t="s">
        <v>272</v>
      </c>
      <c r="D9893" s="1" t="str">
        <f t="shared" si="271"/>
        <v>PRG-1034189</v>
      </c>
      <c r="E9893" t="s">
        <v>368</v>
      </c>
      <c r="F9893" t="s">
        <v>4</v>
      </c>
      <c r="G9893" t="str">
        <f>""</f>
        <v/>
      </c>
    </row>
    <row r="9894" spans="1:7" x14ac:dyDescent="0.25">
      <c r="A9894" t="s">
        <v>8</v>
      </c>
      <c r="B9894" s="1" t="str">
        <f>"000212395 - RICH FDS NCORE BB-SSS ARAMARK"</f>
        <v>000212395 - RICH FDS NCORE BB-SSS ARAMARK</v>
      </c>
      <c r="C9894" t="s">
        <v>272</v>
      </c>
      <c r="D9894" s="1" t="str">
        <f t="shared" si="271"/>
        <v>PRG-1034189</v>
      </c>
      <c r="E9894" t="s">
        <v>368</v>
      </c>
      <c r="F9894" t="s">
        <v>4</v>
      </c>
      <c r="G9894" t="str">
        <f>""</f>
        <v/>
      </c>
    </row>
    <row r="9895" spans="1:7" x14ac:dyDescent="0.25">
      <c r="A9895" t="s">
        <v>8</v>
      </c>
      <c r="B9895" s="1" t="str">
        <f>"000212396 - RICH FDS CORE BB-SSS ARAMARK"</f>
        <v>000212396 - RICH FDS CORE BB-SSS ARAMARK</v>
      </c>
      <c r="C9895" t="s">
        <v>1464</v>
      </c>
      <c r="D9895" s="1" t="str">
        <f t="shared" si="271"/>
        <v>PRG-1034189</v>
      </c>
      <c r="E9895" t="s">
        <v>368</v>
      </c>
      <c r="F9895" t="s">
        <v>4</v>
      </c>
      <c r="G9895" t="str">
        <f>""</f>
        <v/>
      </c>
    </row>
    <row r="9896" spans="1:7" x14ac:dyDescent="0.25">
      <c r="A9896" t="s">
        <v>8</v>
      </c>
      <c r="B9896" s="1" t="str">
        <f>"000240438 - RICH FDS NCORE BB-SSS ARAMARK"</f>
        <v>000240438 - RICH FDS NCORE BB-SSS ARAMARK</v>
      </c>
      <c r="C9896" t="s">
        <v>272</v>
      </c>
      <c r="D9896" s="1" t="str">
        <f t="shared" si="271"/>
        <v>PRG-1034189</v>
      </c>
      <c r="E9896" t="s">
        <v>368</v>
      </c>
      <c r="F9896" t="s">
        <v>4</v>
      </c>
      <c r="G9896" t="str">
        <f>""</f>
        <v/>
      </c>
    </row>
    <row r="9897" spans="1:7" x14ac:dyDescent="0.25">
      <c r="A9897" t="s">
        <v>8</v>
      </c>
      <c r="B9897" s="1" t="str">
        <f>"000244585 - RICH PROD ALL CUSTOMERS"</f>
        <v>000244585 - RICH PROD ALL CUSTOMERS</v>
      </c>
      <c r="C9897" t="s">
        <v>1984</v>
      </c>
      <c r="D9897" s="1" t="str">
        <f t="shared" si="271"/>
        <v>PRG-1034189</v>
      </c>
      <c r="E9897" t="s">
        <v>368</v>
      </c>
      <c r="F9897" t="s">
        <v>4</v>
      </c>
      <c r="G9897" t="str">
        <f>""</f>
        <v/>
      </c>
    </row>
    <row r="9898" spans="1:7" x14ac:dyDescent="0.25">
      <c r="A9898" t="s">
        <v>8</v>
      </c>
      <c r="B9898" s="1" t="str">
        <f>"000253463 - RICH FDS NCORE BB-SSS ARAMARK"</f>
        <v>000253463 - RICH FDS NCORE BB-SSS ARAMARK</v>
      </c>
      <c r="C9898" t="s">
        <v>272</v>
      </c>
      <c r="D9898" s="1" t="str">
        <f t="shared" si="271"/>
        <v>PRG-1034189</v>
      </c>
      <c r="E9898" t="s">
        <v>368</v>
      </c>
      <c r="F9898" t="s">
        <v>4</v>
      </c>
      <c r="G9898" t="str">
        <f>""</f>
        <v/>
      </c>
    </row>
    <row r="9899" spans="1:7" x14ac:dyDescent="0.25">
      <c r="A9899" t="s">
        <v>8</v>
      </c>
      <c r="B9899" s="1" t="str">
        <f>"000261531 - RICH FDS NCORE BB-SSS ARAMARK"</f>
        <v>000261531 - RICH FDS NCORE BB-SSS ARAMARK</v>
      </c>
      <c r="C9899" t="s">
        <v>272</v>
      </c>
      <c r="D9899" s="1" t="str">
        <f t="shared" si="271"/>
        <v>PRG-1034189</v>
      </c>
      <c r="E9899" t="s">
        <v>368</v>
      </c>
      <c r="F9899" t="s">
        <v>4</v>
      </c>
      <c r="G9899" t="str">
        <f>""</f>
        <v/>
      </c>
    </row>
    <row r="9900" spans="1:7" x14ac:dyDescent="0.25">
      <c r="A9900" t="s">
        <v>8</v>
      </c>
      <c r="B9900" s="1" t="str">
        <f>"000261532 - RICH FDS CORE BB-SSS ARAMARK"</f>
        <v>000261532 - RICH FDS CORE BB-SSS ARAMARK</v>
      </c>
      <c r="C9900" t="s">
        <v>1464</v>
      </c>
      <c r="D9900" s="1" t="str">
        <f t="shared" si="271"/>
        <v>PRG-1034189</v>
      </c>
      <c r="E9900" t="s">
        <v>368</v>
      </c>
      <c r="F9900" t="s">
        <v>4</v>
      </c>
      <c r="G9900" t="str">
        <f>""</f>
        <v/>
      </c>
    </row>
    <row r="9901" spans="1:7" x14ac:dyDescent="0.25">
      <c r="A9901" t="s">
        <v>8</v>
      </c>
      <c r="B9901" s="1" t="str">
        <f>"000261911 - RICH FDS CORE BB-SSS ARAMARK"</f>
        <v>000261911 - RICH FDS CORE BB-SSS ARAMARK</v>
      </c>
      <c r="C9901" t="s">
        <v>1464</v>
      </c>
      <c r="D9901" s="1" t="str">
        <f t="shared" si="271"/>
        <v>PRG-1034189</v>
      </c>
      <c r="E9901" t="s">
        <v>368</v>
      </c>
      <c r="F9901" t="s">
        <v>4</v>
      </c>
      <c r="G9901" t="str">
        <f>""</f>
        <v/>
      </c>
    </row>
    <row r="9902" spans="1:7" x14ac:dyDescent="0.25">
      <c r="A9902" t="s">
        <v>8</v>
      </c>
      <c r="B9902" s="1" t="str">
        <f>"000266190 - RICH FDS NCORE BB-SSS ARAMARK"</f>
        <v>000266190 - RICH FDS NCORE BB-SSS ARAMARK</v>
      </c>
      <c r="C9902" t="s">
        <v>272</v>
      </c>
      <c r="D9902" s="1" t="str">
        <f t="shared" si="271"/>
        <v>PRG-1034189</v>
      </c>
      <c r="E9902" t="s">
        <v>368</v>
      </c>
      <c r="F9902" t="s">
        <v>4</v>
      </c>
      <c r="G9902" t="str">
        <f>""</f>
        <v/>
      </c>
    </row>
    <row r="9903" spans="1:7" x14ac:dyDescent="0.25">
      <c r="A9903" t="s">
        <v>8</v>
      </c>
      <c r="B9903" s="1" t="str">
        <f>"000269256 - RICH FDS NCORE BB-SSS ARAMARK"</f>
        <v>000269256 - RICH FDS NCORE BB-SSS ARAMARK</v>
      </c>
      <c r="C9903" t="s">
        <v>272</v>
      </c>
      <c r="D9903" s="1" t="str">
        <f t="shared" si="271"/>
        <v>PRG-1034189</v>
      </c>
      <c r="E9903" t="s">
        <v>368</v>
      </c>
      <c r="F9903" t="s">
        <v>4</v>
      </c>
      <c r="G9903" t="str">
        <f>""</f>
        <v/>
      </c>
    </row>
    <row r="9904" spans="1:7" x14ac:dyDescent="0.25">
      <c r="A9904" t="s">
        <v>8</v>
      </c>
      <c r="B9904" s="1" t="str">
        <f>"000271054 - RICH FDS CORE BB-SSS ARAMARK"</f>
        <v>000271054 - RICH FDS CORE BB-SSS ARAMARK</v>
      </c>
      <c r="C9904" t="s">
        <v>1464</v>
      </c>
      <c r="D9904" s="1" t="str">
        <f t="shared" si="271"/>
        <v>PRG-1034189</v>
      </c>
      <c r="E9904" t="s">
        <v>368</v>
      </c>
      <c r="F9904" t="s">
        <v>4</v>
      </c>
      <c r="G9904" t="str">
        <f>""</f>
        <v/>
      </c>
    </row>
    <row r="9905" spans="1:7" x14ac:dyDescent="0.25">
      <c r="A9905" t="s">
        <v>8</v>
      </c>
      <c r="B9905" s="1" t="str">
        <f>"000274091 - RICH FDS NCORE BB-SSS ARAMARK"</f>
        <v>000274091 - RICH FDS NCORE BB-SSS ARAMARK</v>
      </c>
      <c r="C9905" t="s">
        <v>272</v>
      </c>
      <c r="D9905" s="1" t="str">
        <f t="shared" si="271"/>
        <v>PRG-1034189</v>
      </c>
      <c r="E9905" t="s">
        <v>368</v>
      </c>
      <c r="F9905" t="s">
        <v>4</v>
      </c>
      <c r="G9905" t="str">
        <f>""</f>
        <v/>
      </c>
    </row>
    <row r="9906" spans="1:7" x14ac:dyDescent="0.25">
      <c r="A9906" t="s">
        <v>8</v>
      </c>
      <c r="B9906" s="1" t="str">
        <f>"000306485 - RICH FDS NCORE BB-SSS ARAMARK"</f>
        <v>000306485 - RICH FDS NCORE BB-SSS ARAMARK</v>
      </c>
      <c r="C9906" t="s">
        <v>272</v>
      </c>
      <c r="D9906" s="1" t="str">
        <f t="shared" si="271"/>
        <v>PRG-1034189</v>
      </c>
      <c r="E9906" t="s">
        <v>368</v>
      </c>
      <c r="F9906" t="s">
        <v>4</v>
      </c>
      <c r="G9906" t="str">
        <f>""</f>
        <v/>
      </c>
    </row>
    <row r="9907" spans="1:7" x14ac:dyDescent="0.25">
      <c r="A9907" t="s">
        <v>8</v>
      </c>
      <c r="B9907" s="1" t="str">
        <f>"000316537 - RICH FDS NCORE BB-SSS ARAMARK"</f>
        <v>000316537 - RICH FDS NCORE BB-SSS ARAMARK</v>
      </c>
      <c r="C9907" t="s">
        <v>272</v>
      </c>
      <c r="D9907" s="1" t="str">
        <f t="shared" si="271"/>
        <v>PRG-1034189</v>
      </c>
      <c r="E9907" t="s">
        <v>368</v>
      </c>
      <c r="F9907" t="s">
        <v>4</v>
      </c>
      <c r="G9907" t="str">
        <f>""</f>
        <v/>
      </c>
    </row>
    <row r="9908" spans="1:7" x14ac:dyDescent="0.25">
      <c r="A9908" t="s">
        <v>8</v>
      </c>
      <c r="B9908" s="1" t="str">
        <f>"000328982 - RICH FDS NCORE BB-SSS ARAMARK"</f>
        <v>000328982 - RICH FDS NCORE BB-SSS ARAMARK</v>
      </c>
      <c r="C9908" t="s">
        <v>272</v>
      </c>
      <c r="D9908" s="1" t="str">
        <f t="shared" si="271"/>
        <v>PRG-1034189</v>
      </c>
      <c r="E9908" t="s">
        <v>368</v>
      </c>
      <c r="F9908" t="s">
        <v>4</v>
      </c>
      <c r="G9908" t="str">
        <f>""</f>
        <v/>
      </c>
    </row>
    <row r="9909" spans="1:7" x14ac:dyDescent="0.25">
      <c r="A9909" t="s">
        <v>8</v>
      </c>
      <c r="B9909" s="1" t="str">
        <f>"000328983 - RICH FDS CORE BB-SSS ARAMARK"</f>
        <v>000328983 - RICH FDS CORE BB-SSS ARAMARK</v>
      </c>
      <c r="C9909" t="s">
        <v>1464</v>
      </c>
      <c r="D9909" s="1" t="str">
        <f t="shared" si="271"/>
        <v>PRG-1034189</v>
      </c>
      <c r="E9909" t="s">
        <v>368</v>
      </c>
      <c r="F9909" t="s">
        <v>4</v>
      </c>
      <c r="G9909" t="str">
        <f>""</f>
        <v/>
      </c>
    </row>
    <row r="9910" spans="1:7" x14ac:dyDescent="0.25">
      <c r="A9910" t="s">
        <v>8</v>
      </c>
      <c r="B9910" s="1" t="str">
        <f>"2000378805 - RICH FOODS VARIETY-ARAMARK SSS"</f>
        <v>2000378805 - RICH FOODS VARIETY-ARAMARK SSS</v>
      </c>
      <c r="C9910" t="s">
        <v>3989</v>
      </c>
      <c r="D9910" s="1" t="str">
        <f t="shared" si="271"/>
        <v>PRG-1034189</v>
      </c>
      <c r="E9910" t="s">
        <v>368</v>
      </c>
      <c r="F9910" t="s">
        <v>4</v>
      </c>
      <c r="G9910" t="str">
        <f>""</f>
        <v/>
      </c>
    </row>
    <row r="9911" spans="1:7" x14ac:dyDescent="0.25">
      <c r="A9911" t="s">
        <v>8</v>
      </c>
      <c r="B9911" s="1" t="str">
        <f>"S5Y00M10"</f>
        <v>S5Y00M10</v>
      </c>
      <c r="C9911" t="s">
        <v>5939</v>
      </c>
      <c r="D9911" s="1" t="str">
        <f>"PRG-1034271"</f>
        <v>PRG-1034271</v>
      </c>
      <c r="E9911" t="s">
        <v>5940</v>
      </c>
      <c r="F9911" t="s">
        <v>5</v>
      </c>
      <c r="G9911" t="str">
        <f>""</f>
        <v/>
      </c>
    </row>
    <row r="9912" spans="1:7" x14ac:dyDescent="0.25">
      <c r="A9912" t="s">
        <v>8</v>
      </c>
      <c r="B9912" s="1" t="str">
        <f>"2000374225 - "</f>
        <v xml:space="preserve">2000374225 - </v>
      </c>
      <c r="D9912" s="1" t="str">
        <f>"PRG-1034344"</f>
        <v>PRG-1034344</v>
      </c>
      <c r="E9912" t="s">
        <v>4053</v>
      </c>
      <c r="F9912" t="s">
        <v>4</v>
      </c>
      <c r="G9912" t="str">
        <f>""</f>
        <v/>
      </c>
    </row>
    <row r="9913" spans="1:7" x14ac:dyDescent="0.25">
      <c r="A9913" t="s">
        <v>8</v>
      </c>
      <c r="B9913" s="1" t="str">
        <f>"000002298 - RICH FOODS-TAHER"</f>
        <v>000002298 - RICH FOODS-TAHER</v>
      </c>
      <c r="C9913" t="s">
        <v>114</v>
      </c>
      <c r="D9913" s="1" t="str">
        <f t="shared" ref="D9913:D9922" si="272">"PRG-1034380"</f>
        <v>PRG-1034380</v>
      </c>
      <c r="E9913" t="s">
        <v>115</v>
      </c>
      <c r="F9913" t="s">
        <v>4</v>
      </c>
      <c r="G9913" t="str">
        <f>""</f>
        <v/>
      </c>
    </row>
    <row r="9914" spans="1:7" x14ac:dyDescent="0.25">
      <c r="A9914" t="s">
        <v>8</v>
      </c>
      <c r="B9914" s="1" t="str">
        <f>"000246385 - RICH TAHER"</f>
        <v>000246385 - RICH TAHER</v>
      </c>
      <c r="C9914" t="s">
        <v>1701</v>
      </c>
      <c r="D9914" s="1" t="str">
        <f t="shared" si="272"/>
        <v>PRG-1034380</v>
      </c>
      <c r="E9914" t="s">
        <v>115</v>
      </c>
      <c r="F9914" t="s">
        <v>4</v>
      </c>
      <c r="G9914" t="str">
        <f>""</f>
        <v/>
      </c>
    </row>
    <row r="9915" spans="1:7" x14ac:dyDescent="0.25">
      <c r="A9915" t="s">
        <v>8</v>
      </c>
      <c r="B9915" s="1" t="str">
        <f>"000308834 - RICH FOODS  TAHER"</f>
        <v>000308834 - RICH FOODS  TAHER</v>
      </c>
      <c r="C9915" t="s">
        <v>3091</v>
      </c>
      <c r="D9915" s="1" t="str">
        <f t="shared" si="272"/>
        <v>PRG-1034380</v>
      </c>
      <c r="E9915" t="s">
        <v>115</v>
      </c>
      <c r="F9915" t="s">
        <v>4</v>
      </c>
      <c r="G9915" t="str">
        <f>""</f>
        <v/>
      </c>
    </row>
    <row r="9916" spans="1:7" x14ac:dyDescent="0.25">
      <c r="A9916" t="s">
        <v>8</v>
      </c>
      <c r="B9916" s="1" t="str">
        <f>"000315972 - TAHER RICH FOODS"</f>
        <v>000315972 - TAHER RICH FOODS</v>
      </c>
      <c r="C9916" t="s">
        <v>3180</v>
      </c>
      <c r="D9916" s="1" t="str">
        <f t="shared" si="272"/>
        <v>PRG-1034380</v>
      </c>
      <c r="E9916" t="s">
        <v>115</v>
      </c>
      <c r="F9916" t="s">
        <v>4</v>
      </c>
      <c r="G9916" t="str">
        <f>""</f>
        <v/>
      </c>
    </row>
    <row r="9917" spans="1:7" x14ac:dyDescent="0.25">
      <c r="A9917" t="s">
        <v>8</v>
      </c>
      <c r="B9917" s="1" t="str">
        <f>"000331590 - RICH FDS TAHER SPIN"</f>
        <v>000331590 - RICH FDS TAHER SPIN</v>
      </c>
      <c r="C9917" t="s">
        <v>3347</v>
      </c>
      <c r="D9917" s="1" t="str">
        <f t="shared" si="272"/>
        <v>PRG-1034380</v>
      </c>
      <c r="E9917" t="s">
        <v>115</v>
      </c>
      <c r="F9917" t="s">
        <v>4</v>
      </c>
      <c r="G9917" t="str">
        <f>""</f>
        <v/>
      </c>
    </row>
    <row r="9918" spans="1:7" x14ac:dyDescent="0.25">
      <c r="A9918" t="s">
        <v>8</v>
      </c>
      <c r="B9918" s="1" t="str">
        <f>"000333609 - RICHS-TAHER"</f>
        <v>000333609 - RICHS-TAHER</v>
      </c>
      <c r="C9918" t="s">
        <v>3371</v>
      </c>
      <c r="D9918" s="1" t="str">
        <f t="shared" si="272"/>
        <v>PRG-1034380</v>
      </c>
      <c r="E9918" t="s">
        <v>115</v>
      </c>
      <c r="F9918" t="s">
        <v>4</v>
      </c>
      <c r="G9918" t="str">
        <f>""</f>
        <v/>
      </c>
    </row>
    <row r="9919" spans="1:7" x14ac:dyDescent="0.25">
      <c r="A9919" t="s">
        <v>8</v>
      </c>
      <c r="B9919" s="1" t="str">
        <f>"000340049 - "</f>
        <v xml:space="preserve">000340049 - </v>
      </c>
      <c r="D9919" s="1" t="str">
        <f t="shared" si="272"/>
        <v>PRG-1034380</v>
      </c>
      <c r="E9919" t="s">
        <v>115</v>
      </c>
      <c r="F9919" t="s">
        <v>4</v>
      </c>
      <c r="G9919" t="str">
        <f>""</f>
        <v/>
      </c>
    </row>
    <row r="9920" spans="1:7" x14ac:dyDescent="0.25">
      <c r="A9920" t="s">
        <v>8</v>
      </c>
      <c r="B9920" s="1" t="str">
        <f>"000362443 - RICH PRODUCTS TAHER"</f>
        <v>000362443 - RICH PRODUCTS TAHER</v>
      </c>
      <c r="C9920" t="s">
        <v>3500</v>
      </c>
      <c r="D9920" s="1" t="str">
        <f t="shared" si="272"/>
        <v>PRG-1034380</v>
      </c>
      <c r="E9920" t="s">
        <v>115</v>
      </c>
      <c r="F9920" t="s">
        <v>4</v>
      </c>
      <c r="G9920" t="str">
        <f>""</f>
        <v/>
      </c>
    </row>
    <row r="9921" spans="1:7" x14ac:dyDescent="0.25">
      <c r="A9921" t="s">
        <v>8</v>
      </c>
      <c r="B9921" s="1" t="str">
        <f>"000367183 - RICHS TAHER"</f>
        <v>000367183 - RICHS TAHER</v>
      </c>
      <c r="C9921" t="s">
        <v>3610</v>
      </c>
      <c r="D9921" s="1" t="str">
        <f t="shared" si="272"/>
        <v>PRG-1034380</v>
      </c>
      <c r="E9921" t="s">
        <v>115</v>
      </c>
      <c r="F9921" t="s">
        <v>4</v>
      </c>
      <c r="G9921" t="str">
        <f>""</f>
        <v/>
      </c>
    </row>
    <row r="9922" spans="1:7" x14ac:dyDescent="0.25">
      <c r="A9922" t="s">
        <v>8</v>
      </c>
      <c r="B9922" s="1" t="str">
        <f>"2000443088 - RICH FOODS-TAHER"</f>
        <v>2000443088 - RICH FOODS-TAHER</v>
      </c>
      <c r="C9922" t="s">
        <v>114</v>
      </c>
      <c r="D9922" s="1" t="str">
        <f t="shared" si="272"/>
        <v>PRG-1034380</v>
      </c>
      <c r="E9922" t="s">
        <v>115</v>
      </c>
      <c r="F9922" t="s">
        <v>4</v>
      </c>
      <c r="G9922" t="str">
        <f>""</f>
        <v/>
      </c>
    </row>
    <row r="9923" spans="1:7" x14ac:dyDescent="0.25">
      <c r="A9923" t="s">
        <v>8</v>
      </c>
      <c r="B9923" s="1" t="str">
        <f>"000257691 - "</f>
        <v xml:space="preserve">000257691 - </v>
      </c>
      <c r="D9923" s="1" t="str">
        <f>"PRG-1034391"</f>
        <v>PRG-1034391</v>
      </c>
      <c r="E9923" t="s">
        <v>2210</v>
      </c>
      <c r="F9923" t="s">
        <v>4</v>
      </c>
      <c r="G9923" t="str">
        <f>""</f>
        <v/>
      </c>
    </row>
    <row r="9924" spans="1:7" x14ac:dyDescent="0.25">
      <c r="A9924" t="s">
        <v>8</v>
      </c>
      <c r="B9924" s="1" t="str">
        <f>"S6G00KZ0"</f>
        <v>S6G00KZ0</v>
      </c>
      <c r="C9924" t="s">
        <v>6070</v>
      </c>
      <c r="D9924" s="1" t="str">
        <f>"PRG-1034398"</f>
        <v>PRG-1034398</v>
      </c>
      <c r="E9924" t="s">
        <v>6071</v>
      </c>
      <c r="F9924" t="s">
        <v>5</v>
      </c>
      <c r="G9924" t="str">
        <f>""</f>
        <v/>
      </c>
    </row>
    <row r="9925" spans="1:7" x14ac:dyDescent="0.25">
      <c r="A9925" t="s">
        <v>8</v>
      </c>
      <c r="B9925" s="1" t="str">
        <f>"2000369237 - "</f>
        <v xml:space="preserve">2000369237 - </v>
      </c>
      <c r="D9925" s="1" t="str">
        <f>"PRG-1034442"</f>
        <v>PRG-1034442</v>
      </c>
      <c r="E9925" t="s">
        <v>4048</v>
      </c>
      <c r="F9925" t="s">
        <v>4</v>
      </c>
      <c r="G9925" t="str">
        <f>""</f>
        <v/>
      </c>
    </row>
    <row r="9926" spans="1:7" x14ac:dyDescent="0.25">
      <c r="A9926" t="s">
        <v>8</v>
      </c>
      <c r="B9926" s="1" t="str">
        <f>"S4C01CA0"</f>
        <v>S4C01CA0</v>
      </c>
      <c r="C9926" t="s">
        <v>5704</v>
      </c>
      <c r="D9926" s="1" t="str">
        <f>"PRG-1034457"</f>
        <v>PRG-1034457</v>
      </c>
      <c r="E9926" t="s">
        <v>316</v>
      </c>
      <c r="F9926" t="s">
        <v>5</v>
      </c>
      <c r="G9926" t="str">
        <f>""</f>
        <v/>
      </c>
    </row>
    <row r="9927" spans="1:7" x14ac:dyDescent="0.25">
      <c r="A9927" t="s">
        <v>8</v>
      </c>
      <c r="B9927" s="1" t="str">
        <f>"S4O02CH0"</f>
        <v>S4O02CH0</v>
      </c>
      <c r="C9927" t="s">
        <v>5735</v>
      </c>
      <c r="D9927" s="1" t="str">
        <f>"PRG-1034457"</f>
        <v>PRG-1034457</v>
      </c>
      <c r="E9927" t="s">
        <v>316</v>
      </c>
      <c r="F9927" t="s">
        <v>5</v>
      </c>
      <c r="G9927" t="str">
        <f>""</f>
        <v/>
      </c>
    </row>
    <row r="9928" spans="1:7" x14ac:dyDescent="0.25">
      <c r="A9928" t="s">
        <v>8</v>
      </c>
      <c r="B9928" s="1" t="str">
        <f>"000349120 - RICH SKY ZONE"</f>
        <v>000349120 - RICH SKY ZONE</v>
      </c>
      <c r="C9928" t="s">
        <v>3485</v>
      </c>
      <c r="D9928" s="1" t="str">
        <f>"PRG-1034472"</f>
        <v>PRG-1034472</v>
      </c>
      <c r="E9928" t="s">
        <v>3486</v>
      </c>
      <c r="F9928" t="s">
        <v>4</v>
      </c>
      <c r="G9928" t="str">
        <f>""</f>
        <v/>
      </c>
    </row>
    <row r="9929" spans="1:7" x14ac:dyDescent="0.25">
      <c r="A9929" t="s">
        <v>8</v>
      </c>
      <c r="B9929" s="1" t="str">
        <f>"000264779 - RICH'S BAR B CUTIES"</f>
        <v>000264779 - RICH'S BAR B CUTIES</v>
      </c>
      <c r="C9929" t="s">
        <v>2372</v>
      </c>
      <c r="D9929" s="1" t="str">
        <f>"PRG-1034486"</f>
        <v>PRG-1034486</v>
      </c>
      <c r="E9929" t="s">
        <v>2373</v>
      </c>
      <c r="F9929" t="s">
        <v>4</v>
      </c>
      <c r="G9929" t="str">
        <f>""</f>
        <v/>
      </c>
    </row>
    <row r="9930" spans="1:7" x14ac:dyDescent="0.25">
      <c r="A9930" t="s">
        <v>8</v>
      </c>
      <c r="B9930" s="1" t="str">
        <f>"000282618 - RICH'S BAR B CUTIES"</f>
        <v>000282618 - RICH'S BAR B CUTIES</v>
      </c>
      <c r="C9930" t="s">
        <v>2372</v>
      </c>
      <c r="D9930" s="1" t="str">
        <f>"PRG-1034486"</f>
        <v>PRG-1034486</v>
      </c>
      <c r="E9930" t="s">
        <v>2373</v>
      </c>
      <c r="F9930" t="s">
        <v>4</v>
      </c>
      <c r="G9930" t="str">
        <f>""</f>
        <v/>
      </c>
    </row>
    <row r="9931" spans="1:7" x14ac:dyDescent="0.25">
      <c r="A9931" t="s">
        <v>8</v>
      </c>
      <c r="B9931" s="1" t="str">
        <f>"000316380 - RICH'S BAR B CUTIES"</f>
        <v>000316380 - RICH'S BAR B CUTIES</v>
      </c>
      <c r="C9931" t="s">
        <v>2372</v>
      </c>
      <c r="D9931" s="1" t="str">
        <f>"PRG-1034486"</f>
        <v>PRG-1034486</v>
      </c>
      <c r="E9931" t="s">
        <v>2373</v>
      </c>
      <c r="F9931" t="s">
        <v>4</v>
      </c>
      <c r="G9931" t="str">
        <f>""</f>
        <v/>
      </c>
    </row>
    <row r="9932" spans="1:7" x14ac:dyDescent="0.25">
      <c r="A9932" t="s">
        <v>8</v>
      </c>
      <c r="B9932" s="1" t="str">
        <f>"000342696 - RICH PRODUCTS   BAR-B-CUTIE"</f>
        <v>000342696 - RICH PRODUCTS   BAR-B-CUTIE</v>
      </c>
      <c r="C9932" t="s">
        <v>3409</v>
      </c>
      <c r="D9932" s="1" t="str">
        <f>"PRG-1034486"</f>
        <v>PRG-1034486</v>
      </c>
      <c r="E9932" t="s">
        <v>2373</v>
      </c>
      <c r="F9932" t="s">
        <v>4</v>
      </c>
      <c r="G9932" t="str">
        <f>""</f>
        <v/>
      </c>
    </row>
    <row r="9933" spans="1:7" x14ac:dyDescent="0.25">
      <c r="A9933" t="s">
        <v>8</v>
      </c>
      <c r="B9933" s="1" t="str">
        <f>"000306879 - RICH'S HILLSBORO"</f>
        <v>000306879 - RICH'S HILLSBORO</v>
      </c>
      <c r="C9933" t="s">
        <v>3054</v>
      </c>
      <c r="D9933" s="1" t="str">
        <f>"PRG-1034503"</f>
        <v>PRG-1034503</v>
      </c>
      <c r="E9933" t="s">
        <v>3055</v>
      </c>
      <c r="F9933" t="s">
        <v>4</v>
      </c>
      <c r="G9933" t="str">
        <f>""</f>
        <v/>
      </c>
    </row>
    <row r="9934" spans="1:7" x14ac:dyDescent="0.25">
      <c r="A9934" t="s">
        <v>8</v>
      </c>
      <c r="B9934" s="1" t="str">
        <f>"000234471 - RICH FDS NCORE BB-SSS ARAMARK"</f>
        <v>000234471 - RICH FDS NCORE BB-SSS ARAMARK</v>
      </c>
      <c r="C9934" t="s">
        <v>272</v>
      </c>
      <c r="D9934" s="1" t="str">
        <f>"PRG-1034527"</f>
        <v>PRG-1034527</v>
      </c>
      <c r="E9934" t="s">
        <v>1826</v>
      </c>
      <c r="F9934" t="s">
        <v>4</v>
      </c>
      <c r="G9934" t="str">
        <f>""</f>
        <v/>
      </c>
    </row>
    <row r="9935" spans="1:7" x14ac:dyDescent="0.25">
      <c r="A9935" t="s">
        <v>8</v>
      </c>
      <c r="B9935" s="1" t="str">
        <f>"000287964 - "</f>
        <v xml:space="preserve">000287964 - </v>
      </c>
      <c r="D9935" s="1" t="str">
        <f>"PRG-1034661"</f>
        <v>PRG-1034661</v>
      </c>
      <c r="E9935" t="s">
        <v>2774</v>
      </c>
      <c r="F9935" t="s">
        <v>4</v>
      </c>
      <c r="G9935" t="str">
        <f>""</f>
        <v/>
      </c>
    </row>
    <row r="9936" spans="1:7" x14ac:dyDescent="0.25">
      <c r="A9936" t="s">
        <v>8</v>
      </c>
      <c r="B9936" s="1" t="str">
        <f>"S5Z01WI0"</f>
        <v>S5Z01WI0</v>
      </c>
      <c r="C9936" t="s">
        <v>5977</v>
      </c>
      <c r="D9936" s="1" t="str">
        <f>"PRG-1034677"</f>
        <v>PRG-1034677</v>
      </c>
      <c r="E9936" t="s">
        <v>5978</v>
      </c>
      <c r="F9936" t="s">
        <v>5</v>
      </c>
      <c r="G9936" t="str">
        <f>""</f>
        <v/>
      </c>
    </row>
    <row r="9937" spans="1:7" x14ac:dyDescent="0.25">
      <c r="A9937" t="s">
        <v>8</v>
      </c>
      <c r="B9937" s="1" t="str">
        <f>"000005243 - RICHS CASA DI BERTACCHI-SODEXO"</f>
        <v>000005243 - RICHS CASA DI BERTACCHI-SODEXO</v>
      </c>
      <c r="C9937" t="s">
        <v>121</v>
      </c>
      <c r="D9937" s="1" t="str">
        <f t="shared" ref="D9937:D9965" si="273">"PRG-1034718"</f>
        <v>PRG-1034718</v>
      </c>
      <c r="E9937" t="s">
        <v>36</v>
      </c>
      <c r="F9937" t="s">
        <v>4</v>
      </c>
      <c r="G9937" t="str">
        <f>""</f>
        <v/>
      </c>
    </row>
    <row r="9938" spans="1:7" x14ac:dyDescent="0.25">
      <c r="A9938" t="s">
        <v>8</v>
      </c>
      <c r="B9938" s="1" t="str">
        <f>"000009854 - CASA DU BERTACCHI SODEXO"</f>
        <v>000009854 - CASA DU BERTACCHI SODEXO</v>
      </c>
      <c r="C9938" t="s">
        <v>302</v>
      </c>
      <c r="D9938" s="1" t="str">
        <f t="shared" si="273"/>
        <v>PRG-1034718</v>
      </c>
      <c r="E9938" t="s">
        <v>36</v>
      </c>
      <c r="F9938" t="s">
        <v>4</v>
      </c>
      <c r="G9938" t="str">
        <f>""</f>
        <v/>
      </c>
    </row>
    <row r="9939" spans="1:7" x14ac:dyDescent="0.25">
      <c r="A9939" t="s">
        <v>8</v>
      </c>
      <c r="B9939" s="1" t="str">
        <f>"000111030 - CASA DI BERTACCHI-SODEXO"</f>
        <v>000111030 - CASA DI BERTACCHI-SODEXO</v>
      </c>
      <c r="C9939" t="s">
        <v>378</v>
      </c>
      <c r="D9939" s="1" t="str">
        <f t="shared" si="273"/>
        <v>PRG-1034718</v>
      </c>
      <c r="E9939" t="s">
        <v>36</v>
      </c>
      <c r="F9939" t="s">
        <v>4</v>
      </c>
      <c r="G9939" t="str">
        <f>""</f>
        <v/>
      </c>
    </row>
    <row r="9940" spans="1:7" x14ac:dyDescent="0.25">
      <c r="A9940" t="s">
        <v>8</v>
      </c>
      <c r="B9940" s="1" t="str">
        <f>"000132144 - CASA DI BERTACCHI-SODEXO"</f>
        <v>000132144 - CASA DI BERTACCHI-SODEXO</v>
      </c>
      <c r="C9940" t="s">
        <v>378</v>
      </c>
      <c r="D9940" s="1" t="str">
        <f t="shared" si="273"/>
        <v>PRG-1034718</v>
      </c>
      <c r="E9940" t="s">
        <v>36</v>
      </c>
      <c r="F9940" t="s">
        <v>4</v>
      </c>
      <c r="G9940" t="str">
        <f>""</f>
        <v/>
      </c>
    </row>
    <row r="9941" spans="1:7" x14ac:dyDescent="0.25">
      <c r="A9941" t="s">
        <v>8</v>
      </c>
      <c r="B9941" s="1" t="str">
        <f>"000135695 - CASA DI BERTACCHI-SODEXO"</f>
        <v>000135695 - CASA DI BERTACCHI-SODEXO</v>
      </c>
      <c r="C9941" t="s">
        <v>378</v>
      </c>
      <c r="D9941" s="1" t="str">
        <f t="shared" si="273"/>
        <v>PRG-1034718</v>
      </c>
      <c r="E9941" t="s">
        <v>36</v>
      </c>
      <c r="F9941" t="s">
        <v>4</v>
      </c>
      <c r="G9941" t="str">
        <f>""</f>
        <v/>
      </c>
    </row>
    <row r="9942" spans="1:7" x14ac:dyDescent="0.25">
      <c r="A9942" t="s">
        <v>8</v>
      </c>
      <c r="B9942" s="1" t="str">
        <f>"000147424 - RICHS CASA DI BERTACCHI-SODEXO"</f>
        <v>000147424 - RICHS CASA DI BERTACCHI-SODEXO</v>
      </c>
      <c r="C9942" t="s">
        <v>121</v>
      </c>
      <c r="D9942" s="1" t="str">
        <f t="shared" si="273"/>
        <v>PRG-1034718</v>
      </c>
      <c r="E9942" t="s">
        <v>36</v>
      </c>
      <c r="F9942" t="s">
        <v>4</v>
      </c>
      <c r="G9942" t="str">
        <f>""</f>
        <v/>
      </c>
    </row>
    <row r="9943" spans="1:7" x14ac:dyDescent="0.25">
      <c r="A9943" t="s">
        <v>8</v>
      </c>
      <c r="B9943" s="1" t="str">
        <f>"000149423 - CASA DI BERTACCHI-SODEXO"</f>
        <v>000149423 - CASA DI BERTACCHI-SODEXO</v>
      </c>
      <c r="C9943" t="s">
        <v>378</v>
      </c>
      <c r="D9943" s="1" t="str">
        <f t="shared" si="273"/>
        <v>PRG-1034718</v>
      </c>
      <c r="E9943" t="s">
        <v>36</v>
      </c>
      <c r="F9943" t="s">
        <v>4</v>
      </c>
      <c r="G9943" t="str">
        <f>""</f>
        <v/>
      </c>
    </row>
    <row r="9944" spans="1:7" x14ac:dyDescent="0.25">
      <c r="A9944" t="s">
        <v>8</v>
      </c>
      <c r="B9944" s="1" t="str">
        <f>"000152101 - RICHS CASA DI BERTACCHI-SODEXO"</f>
        <v>000152101 - RICHS CASA DI BERTACCHI-SODEXO</v>
      </c>
      <c r="C9944" t="s">
        <v>121</v>
      </c>
      <c r="D9944" s="1" t="str">
        <f t="shared" si="273"/>
        <v>PRG-1034718</v>
      </c>
      <c r="E9944" t="s">
        <v>36</v>
      </c>
      <c r="F9944" t="s">
        <v>4</v>
      </c>
      <c r="G9944" t="str">
        <f>""</f>
        <v/>
      </c>
    </row>
    <row r="9945" spans="1:7" x14ac:dyDescent="0.25">
      <c r="A9945" t="s">
        <v>8</v>
      </c>
      <c r="B9945" s="1" t="str">
        <f>"000168716 - RICHS CASA DI BERTACCHI-SODEXO"</f>
        <v>000168716 - RICHS CASA DI BERTACCHI-SODEXO</v>
      </c>
      <c r="C9945" t="s">
        <v>121</v>
      </c>
      <c r="D9945" s="1" t="str">
        <f t="shared" si="273"/>
        <v>PRG-1034718</v>
      </c>
      <c r="E9945" t="s">
        <v>36</v>
      </c>
      <c r="F9945" t="s">
        <v>4</v>
      </c>
      <c r="G9945" t="str">
        <f>""</f>
        <v/>
      </c>
    </row>
    <row r="9946" spans="1:7" x14ac:dyDescent="0.25">
      <c r="A9946" t="s">
        <v>8</v>
      </c>
      <c r="B9946" s="1" t="str">
        <f>"000216409 - RICHS CASA DI BERTACCHI-SODEXO"</f>
        <v>000216409 - RICHS CASA DI BERTACCHI-SODEXO</v>
      </c>
      <c r="C9946" t="s">
        <v>121</v>
      </c>
      <c r="D9946" s="1" t="str">
        <f t="shared" si="273"/>
        <v>PRG-1034718</v>
      </c>
      <c r="E9946" t="s">
        <v>36</v>
      </c>
      <c r="F9946" t="s">
        <v>4</v>
      </c>
      <c r="G9946" t="str">
        <f>""</f>
        <v/>
      </c>
    </row>
    <row r="9947" spans="1:7" x14ac:dyDescent="0.25">
      <c r="A9947" t="s">
        <v>8</v>
      </c>
      <c r="B9947" s="1" t="str">
        <f>"000226632 - CASA DI BERTACCHI-SODEXO"</f>
        <v>000226632 - CASA DI BERTACCHI-SODEXO</v>
      </c>
      <c r="C9947" t="s">
        <v>378</v>
      </c>
      <c r="D9947" s="1" t="str">
        <f t="shared" si="273"/>
        <v>PRG-1034718</v>
      </c>
      <c r="E9947" t="s">
        <v>36</v>
      </c>
      <c r="F9947" t="s">
        <v>4</v>
      </c>
      <c r="G9947" t="str">
        <f>""</f>
        <v/>
      </c>
    </row>
    <row r="9948" spans="1:7" x14ac:dyDescent="0.25">
      <c r="A9948" t="s">
        <v>8</v>
      </c>
      <c r="B9948" s="1" t="str">
        <f>"000237021 - CASA DI BERTACCHI-SODEXO"</f>
        <v>000237021 - CASA DI BERTACCHI-SODEXO</v>
      </c>
      <c r="C9948" t="s">
        <v>378</v>
      </c>
      <c r="D9948" s="1" t="str">
        <f t="shared" si="273"/>
        <v>PRG-1034718</v>
      </c>
      <c r="E9948" t="s">
        <v>36</v>
      </c>
      <c r="F9948" t="s">
        <v>4</v>
      </c>
      <c r="G9948" t="str">
        <f>""</f>
        <v/>
      </c>
    </row>
    <row r="9949" spans="1:7" x14ac:dyDescent="0.25">
      <c r="A9949" t="s">
        <v>8</v>
      </c>
      <c r="B9949" s="1" t="str">
        <f>"000240965 - RICHS CASA DI BERTACCHI-SODEXO"</f>
        <v>000240965 - RICHS CASA DI BERTACCHI-SODEXO</v>
      </c>
      <c r="C9949" t="s">
        <v>121</v>
      </c>
      <c r="D9949" s="1" t="str">
        <f t="shared" si="273"/>
        <v>PRG-1034718</v>
      </c>
      <c r="E9949" t="s">
        <v>36</v>
      </c>
      <c r="F9949" t="s">
        <v>4</v>
      </c>
      <c r="G9949" t="str">
        <f>""</f>
        <v/>
      </c>
    </row>
    <row r="9950" spans="1:7" x14ac:dyDescent="0.25">
      <c r="A9950" t="s">
        <v>8</v>
      </c>
      <c r="B9950" s="1" t="str">
        <f>"000244259 - RICHS CASA DI BERTACCHI-SODEXO"</f>
        <v>000244259 - RICHS CASA DI BERTACCHI-SODEXO</v>
      </c>
      <c r="C9950" t="s">
        <v>121</v>
      </c>
      <c r="D9950" s="1" t="str">
        <f t="shared" si="273"/>
        <v>PRG-1034718</v>
      </c>
      <c r="E9950" t="s">
        <v>36</v>
      </c>
      <c r="F9950" t="s">
        <v>4</v>
      </c>
      <c r="G9950" t="str">
        <f>""</f>
        <v/>
      </c>
    </row>
    <row r="9951" spans="1:7" x14ac:dyDescent="0.25">
      <c r="A9951" t="s">
        <v>8</v>
      </c>
      <c r="B9951" s="1" t="str">
        <f>"000257442 - RICHS CASA DI BERTACCHI-SODEXO"</f>
        <v>000257442 - RICHS CASA DI BERTACCHI-SODEXO</v>
      </c>
      <c r="C9951" t="s">
        <v>121</v>
      </c>
      <c r="D9951" s="1" t="str">
        <f t="shared" si="273"/>
        <v>PRG-1034718</v>
      </c>
      <c r="E9951" t="s">
        <v>36</v>
      </c>
      <c r="F9951" t="s">
        <v>4</v>
      </c>
      <c r="G9951" t="str">
        <f>""</f>
        <v/>
      </c>
    </row>
    <row r="9952" spans="1:7" x14ac:dyDescent="0.25">
      <c r="A9952" t="s">
        <v>8</v>
      </c>
      <c r="B9952" s="1" t="str">
        <f>"000266902 - RICHS CASA DI BERTACCHI-SODEXO"</f>
        <v>000266902 - RICHS CASA DI BERTACCHI-SODEXO</v>
      </c>
      <c r="C9952" t="s">
        <v>121</v>
      </c>
      <c r="D9952" s="1" t="str">
        <f t="shared" si="273"/>
        <v>PRG-1034718</v>
      </c>
      <c r="E9952" t="s">
        <v>36</v>
      </c>
      <c r="F9952" t="s">
        <v>4</v>
      </c>
      <c r="G9952" t="str">
        <f>""</f>
        <v/>
      </c>
    </row>
    <row r="9953" spans="1:7" x14ac:dyDescent="0.25">
      <c r="A9953" t="s">
        <v>8</v>
      </c>
      <c r="B9953" s="1" t="str">
        <f>"000292474 - RICHS CASA DI BERTACCHI-SODEXO"</f>
        <v>000292474 - RICHS CASA DI BERTACCHI-SODEXO</v>
      </c>
      <c r="C9953" t="s">
        <v>121</v>
      </c>
      <c r="D9953" s="1" t="str">
        <f t="shared" si="273"/>
        <v>PRG-1034718</v>
      </c>
      <c r="E9953" t="s">
        <v>36</v>
      </c>
      <c r="F9953" t="s">
        <v>4</v>
      </c>
      <c r="G9953" t="str">
        <f>""</f>
        <v/>
      </c>
    </row>
    <row r="9954" spans="1:7" x14ac:dyDescent="0.25">
      <c r="A9954" t="s">
        <v>8</v>
      </c>
      <c r="B9954" s="1" t="str">
        <f>"000299901 - CASA DI BERTACCHI-SODEXO"</f>
        <v>000299901 - CASA DI BERTACCHI-SODEXO</v>
      </c>
      <c r="C9954" t="s">
        <v>378</v>
      </c>
      <c r="D9954" s="1" t="str">
        <f t="shared" si="273"/>
        <v>PRG-1034718</v>
      </c>
      <c r="E9954" t="s">
        <v>36</v>
      </c>
      <c r="F9954" t="s">
        <v>4</v>
      </c>
      <c r="G9954" t="str">
        <f>""</f>
        <v/>
      </c>
    </row>
    <row r="9955" spans="1:7" x14ac:dyDescent="0.25">
      <c r="A9955" t="s">
        <v>8</v>
      </c>
      <c r="B9955" s="1" t="str">
        <f>"000312047 - RICHS CASA DI BERTACCHI-SODEXO"</f>
        <v>000312047 - RICHS CASA DI BERTACCHI-SODEXO</v>
      </c>
      <c r="C9955" t="s">
        <v>121</v>
      </c>
      <c r="D9955" s="1" t="str">
        <f t="shared" si="273"/>
        <v>PRG-1034718</v>
      </c>
      <c r="E9955" t="s">
        <v>36</v>
      </c>
      <c r="F9955" t="s">
        <v>4</v>
      </c>
      <c r="G9955" t="str">
        <f>""</f>
        <v/>
      </c>
    </row>
    <row r="9956" spans="1:7" x14ac:dyDescent="0.25">
      <c r="A9956" t="s">
        <v>8</v>
      </c>
      <c r="B9956" s="1" t="str">
        <f>"000313372 - "</f>
        <v xml:space="preserve">000313372 - </v>
      </c>
      <c r="D9956" s="1" t="str">
        <f t="shared" si="273"/>
        <v>PRG-1034718</v>
      </c>
      <c r="E9956" t="s">
        <v>36</v>
      </c>
      <c r="F9956" t="s">
        <v>4</v>
      </c>
      <c r="G9956" t="str">
        <f>""</f>
        <v/>
      </c>
    </row>
    <row r="9957" spans="1:7" x14ac:dyDescent="0.25">
      <c r="A9957" t="s">
        <v>8</v>
      </c>
      <c r="B9957" s="1" t="str">
        <f>"000317105 - CASA DI BERTACCHI-SODEXO"</f>
        <v>000317105 - CASA DI BERTACCHI-SODEXO</v>
      </c>
      <c r="C9957" t="s">
        <v>378</v>
      </c>
      <c r="D9957" s="1" t="str">
        <f t="shared" si="273"/>
        <v>PRG-1034718</v>
      </c>
      <c r="E9957" t="s">
        <v>36</v>
      </c>
      <c r="F9957" t="s">
        <v>4</v>
      </c>
      <c r="G9957" t="str">
        <f>""</f>
        <v/>
      </c>
    </row>
    <row r="9958" spans="1:7" x14ac:dyDescent="0.25">
      <c r="A9958" t="s">
        <v>8</v>
      </c>
      <c r="B9958" s="1" t="str">
        <f>"000320325 - CASA DI BERTACCHI-SODEXO"</f>
        <v>000320325 - CASA DI BERTACCHI-SODEXO</v>
      </c>
      <c r="C9958" t="s">
        <v>378</v>
      </c>
      <c r="D9958" s="1" t="str">
        <f t="shared" si="273"/>
        <v>PRG-1034718</v>
      </c>
      <c r="E9958" t="s">
        <v>36</v>
      </c>
      <c r="F9958" t="s">
        <v>4</v>
      </c>
      <c r="G9958" t="str">
        <f>""</f>
        <v/>
      </c>
    </row>
    <row r="9959" spans="1:7" x14ac:dyDescent="0.25">
      <c r="A9959" t="s">
        <v>8</v>
      </c>
      <c r="B9959" s="1" t="str">
        <f>"000325047 - RICHS CASA DI BERTACCHI-SODEXO"</f>
        <v>000325047 - RICHS CASA DI BERTACCHI-SODEXO</v>
      </c>
      <c r="C9959" t="s">
        <v>121</v>
      </c>
      <c r="D9959" s="1" t="str">
        <f t="shared" si="273"/>
        <v>PRG-1034718</v>
      </c>
      <c r="E9959" t="s">
        <v>36</v>
      </c>
      <c r="F9959" t="s">
        <v>4</v>
      </c>
      <c r="G9959" t="str">
        <f>""</f>
        <v/>
      </c>
    </row>
    <row r="9960" spans="1:7" x14ac:dyDescent="0.25">
      <c r="A9960" t="s">
        <v>8</v>
      </c>
      <c r="B9960" s="1" t="str">
        <f>"000331345 - RICHS CASA DI BERTACCHI-SODEXO"</f>
        <v>000331345 - RICHS CASA DI BERTACCHI-SODEXO</v>
      </c>
      <c r="C9960" t="s">
        <v>121</v>
      </c>
      <c r="D9960" s="1" t="str">
        <f t="shared" si="273"/>
        <v>PRG-1034718</v>
      </c>
      <c r="E9960" t="s">
        <v>36</v>
      </c>
      <c r="F9960" t="s">
        <v>4</v>
      </c>
      <c r="G9960" t="str">
        <f>""</f>
        <v/>
      </c>
    </row>
    <row r="9961" spans="1:7" x14ac:dyDescent="0.25">
      <c r="A9961" t="s">
        <v>8</v>
      </c>
      <c r="B9961" s="1" t="str">
        <f>"000333890 - "</f>
        <v xml:space="preserve">000333890 - </v>
      </c>
      <c r="D9961" s="1" t="str">
        <f t="shared" si="273"/>
        <v>PRG-1034718</v>
      </c>
      <c r="E9961" t="s">
        <v>36</v>
      </c>
      <c r="F9961" t="s">
        <v>4</v>
      </c>
      <c r="G9961" t="str">
        <f>""</f>
        <v/>
      </c>
    </row>
    <row r="9962" spans="1:7" x14ac:dyDescent="0.25">
      <c r="A9962" t="s">
        <v>8</v>
      </c>
      <c r="B9962" s="1" t="str">
        <f>"000342442 - RICHS CASA DI BERTACCHI-SODEXO"</f>
        <v>000342442 - RICHS CASA DI BERTACCHI-SODEXO</v>
      </c>
      <c r="C9962" t="s">
        <v>121</v>
      </c>
      <c r="D9962" s="1" t="str">
        <f t="shared" si="273"/>
        <v>PRG-1034718</v>
      </c>
      <c r="E9962" t="s">
        <v>36</v>
      </c>
      <c r="F9962" t="s">
        <v>4</v>
      </c>
      <c r="G9962" t="str">
        <f>""</f>
        <v/>
      </c>
    </row>
    <row r="9963" spans="1:7" x14ac:dyDescent="0.25">
      <c r="A9963" t="s">
        <v>8</v>
      </c>
      <c r="B9963" s="1" t="str">
        <f>"000344678 - RICHS CASA DI BERTACCHI-SODEXO"</f>
        <v>000344678 - RICHS CASA DI BERTACCHI-SODEXO</v>
      </c>
      <c r="C9963" t="s">
        <v>121</v>
      </c>
      <c r="D9963" s="1" t="str">
        <f t="shared" si="273"/>
        <v>PRG-1034718</v>
      </c>
      <c r="E9963" t="s">
        <v>36</v>
      </c>
      <c r="F9963" t="s">
        <v>4</v>
      </c>
      <c r="G9963" t="str">
        <f>""</f>
        <v/>
      </c>
    </row>
    <row r="9964" spans="1:7" x14ac:dyDescent="0.25">
      <c r="A9964" t="s">
        <v>8</v>
      </c>
      <c r="B9964" s="1" t="str">
        <f>"000374219 - RICHS CASA DI BERTACCHI-SODEXO"</f>
        <v>000374219 - RICHS CASA DI BERTACCHI-SODEXO</v>
      </c>
      <c r="C9964" t="s">
        <v>121</v>
      </c>
      <c r="D9964" s="1" t="str">
        <f t="shared" si="273"/>
        <v>PRG-1034718</v>
      </c>
      <c r="E9964" t="s">
        <v>36</v>
      </c>
      <c r="F9964" t="s">
        <v>4</v>
      </c>
      <c r="G9964" t="str">
        <f>""</f>
        <v/>
      </c>
    </row>
    <row r="9965" spans="1:7" x14ac:dyDescent="0.25">
      <c r="A9965" t="s">
        <v>8</v>
      </c>
      <c r="B9965" s="1" t="str">
        <f>"2000402095 - CASA DI BERTACCHI(RICH PRODUCTS)-AR"</f>
        <v>2000402095 - CASA DI BERTACCHI(RICH PRODUCTS)-AR</v>
      </c>
      <c r="C9965" t="s">
        <v>3893</v>
      </c>
      <c r="D9965" s="1" t="str">
        <f t="shared" si="273"/>
        <v>PRG-1034718</v>
      </c>
      <c r="E9965" t="s">
        <v>36</v>
      </c>
      <c r="F9965" t="s">
        <v>4</v>
      </c>
      <c r="G9965" t="str">
        <f>""</f>
        <v/>
      </c>
    </row>
    <row r="9966" spans="1:7" x14ac:dyDescent="0.25">
      <c r="A9966" t="s">
        <v>8</v>
      </c>
      <c r="B9966" s="1" t="str">
        <f>"000333431 - "</f>
        <v xml:space="preserve">000333431 - </v>
      </c>
      <c r="D9966" s="1" t="str">
        <f>"PRG-1034740"</f>
        <v>PRG-1034740</v>
      </c>
      <c r="E9966" t="s">
        <v>3369</v>
      </c>
      <c r="F9966" t="s">
        <v>4</v>
      </c>
      <c r="G9966" t="str">
        <f>""</f>
        <v/>
      </c>
    </row>
    <row r="9967" spans="1:7" x14ac:dyDescent="0.25">
      <c r="A9967" t="s">
        <v>8</v>
      </c>
      <c r="B9967" s="1" t="str">
        <f>"000332165 - "</f>
        <v xml:space="preserve">000332165 - </v>
      </c>
      <c r="D9967" s="1" t="str">
        <f>"PRG-1034741"</f>
        <v>PRG-1034741</v>
      </c>
      <c r="E9967" t="s">
        <v>3354</v>
      </c>
      <c r="F9967" t="s">
        <v>4</v>
      </c>
      <c r="G9967" t="str">
        <f>""</f>
        <v/>
      </c>
    </row>
    <row r="9968" spans="1:7" x14ac:dyDescent="0.25">
      <c r="A9968" t="s">
        <v>8</v>
      </c>
      <c r="B9968" s="1" t="str">
        <f>"000142495 - RICHS(06) NCCNPA"</f>
        <v>000142495 - RICHS(06) NCCNPA</v>
      </c>
      <c r="C9968" t="s">
        <v>990</v>
      </c>
      <c r="D9968" s="1" t="str">
        <f>"PRG-1034758"</f>
        <v>PRG-1034758</v>
      </c>
      <c r="E9968" t="s">
        <v>991</v>
      </c>
      <c r="F9968" t="s">
        <v>4</v>
      </c>
      <c r="G9968" t="str">
        <f>""</f>
        <v/>
      </c>
    </row>
    <row r="9969" spans="1:7" x14ac:dyDescent="0.25">
      <c r="A9969" t="s">
        <v>8</v>
      </c>
      <c r="B9969" s="1" t="str">
        <f>"000266127 - RICH PRODUCTS-NCCNPA 16 17"</f>
        <v>000266127 - RICH PRODUCTS-NCCNPA 16 17</v>
      </c>
      <c r="C9969" t="s">
        <v>2392</v>
      </c>
      <c r="D9969" s="1" t="str">
        <f>"PRG-1034758"</f>
        <v>PRG-1034758</v>
      </c>
      <c r="E9969" t="s">
        <v>991</v>
      </c>
      <c r="F9969" t="s">
        <v>4</v>
      </c>
      <c r="G9969" t="str">
        <f>""</f>
        <v/>
      </c>
    </row>
    <row r="9970" spans="1:7" x14ac:dyDescent="0.25">
      <c r="A9970" t="s">
        <v>8</v>
      </c>
      <c r="B9970" s="1" t="str">
        <f>"S6B03K60"</f>
        <v>S6B03K60</v>
      </c>
      <c r="C9970" t="s">
        <v>6006</v>
      </c>
      <c r="D9970" s="1" t="str">
        <f>"PRG-1034758"</f>
        <v>PRG-1034758</v>
      </c>
      <c r="E9970" t="s">
        <v>991</v>
      </c>
      <c r="F9970" t="s">
        <v>5</v>
      </c>
      <c r="G9970" t="str">
        <f>""</f>
        <v/>
      </c>
    </row>
    <row r="9971" spans="1:7" x14ac:dyDescent="0.25">
      <c r="A9971" t="s">
        <v>8</v>
      </c>
      <c r="B9971" s="1" t="str">
        <f>"000252803 - SCHL UPC-RICH"</f>
        <v>000252803 - SCHL UPC-RICH</v>
      </c>
      <c r="C9971" t="s">
        <v>2134</v>
      </c>
      <c r="D9971" s="1" t="str">
        <f>"PRG-1034764"</f>
        <v>PRG-1034764</v>
      </c>
      <c r="E9971" t="s">
        <v>2135</v>
      </c>
      <c r="F9971" t="s">
        <v>4</v>
      </c>
      <c r="G9971" t="str">
        <f>""</f>
        <v/>
      </c>
    </row>
    <row r="9972" spans="1:7" x14ac:dyDescent="0.25">
      <c r="A9972" t="s">
        <v>8</v>
      </c>
      <c r="B9972" s="1" t="str">
        <f>"000263545 - RICH PROD-UPC"</f>
        <v>000263545 - RICH PROD-UPC</v>
      </c>
      <c r="C9972" t="s">
        <v>2338</v>
      </c>
      <c r="D9972" s="1" t="str">
        <f>"PRG-1034764"</f>
        <v>PRG-1034764</v>
      </c>
      <c r="E9972" t="s">
        <v>2135</v>
      </c>
      <c r="F9972" t="s">
        <v>4</v>
      </c>
      <c r="G9972" t="str">
        <f>""</f>
        <v/>
      </c>
    </row>
    <row r="9973" spans="1:7" x14ac:dyDescent="0.25">
      <c r="A9973" t="s">
        <v>8</v>
      </c>
      <c r="B9973" s="1" t="str">
        <f>"3170H393"</f>
        <v>3170H393</v>
      </c>
      <c r="C9973" t="s">
        <v>4735</v>
      </c>
      <c r="D9973" s="1" t="str">
        <f>"PRG-1034767"</f>
        <v>PRG-1034767</v>
      </c>
      <c r="E9973" t="s">
        <v>4736</v>
      </c>
      <c r="F9973" t="s">
        <v>5</v>
      </c>
      <c r="G9973" t="str">
        <f>""</f>
        <v/>
      </c>
    </row>
    <row r="9974" spans="1:7" x14ac:dyDescent="0.25">
      <c r="A9974" t="s">
        <v>8</v>
      </c>
      <c r="B9974" s="1" t="str">
        <f>"3170H677"</f>
        <v>3170H677</v>
      </c>
      <c r="C9974" t="s">
        <v>4737</v>
      </c>
      <c r="D9974" s="1" t="str">
        <f>"PRG-1034769"</f>
        <v>PRG-1034769</v>
      </c>
      <c r="E9974" t="s">
        <v>4738</v>
      </c>
      <c r="F9974" t="s">
        <v>5</v>
      </c>
      <c r="G9974" t="str">
        <f>""</f>
        <v/>
      </c>
    </row>
    <row r="9975" spans="1:7" x14ac:dyDescent="0.25">
      <c r="A9975" t="s">
        <v>8</v>
      </c>
      <c r="B9975" s="1" t="str">
        <f>"2000377498 - RICHS-OK CITY PUBLIC SCHOOLS"</f>
        <v>2000377498 - RICHS-OK CITY PUBLIC SCHOOLS</v>
      </c>
      <c r="C9975" t="s">
        <v>33</v>
      </c>
      <c r="D9975" s="1" t="str">
        <f>"PRG-1034773"</f>
        <v>PRG-1034773</v>
      </c>
      <c r="E9975" t="s">
        <v>4054</v>
      </c>
      <c r="F9975" t="s">
        <v>4</v>
      </c>
      <c r="G9975" t="str">
        <f>""</f>
        <v/>
      </c>
    </row>
    <row r="9976" spans="1:7" x14ac:dyDescent="0.25">
      <c r="A9976" t="s">
        <v>8</v>
      </c>
      <c r="B9976" s="1" t="str">
        <f>"000311795 - "</f>
        <v xml:space="preserve">000311795 - </v>
      </c>
      <c r="D9976" s="1" t="str">
        <f>"PRG-1034774"</f>
        <v>PRG-1034774</v>
      </c>
      <c r="E9976" t="s">
        <v>3125</v>
      </c>
      <c r="F9976" t="s">
        <v>4</v>
      </c>
      <c r="G9976" t="str">
        <f>""</f>
        <v/>
      </c>
    </row>
    <row r="9977" spans="1:7" x14ac:dyDescent="0.25">
      <c r="A9977" t="s">
        <v>8</v>
      </c>
      <c r="B9977" s="1" t="str">
        <f>"2000387834 - RICH'S-REGION 8"</f>
        <v>2000387834 - RICH'S-REGION 8</v>
      </c>
      <c r="C9977" t="s">
        <v>39</v>
      </c>
      <c r="D9977" s="1" t="str">
        <f>"PRG-1034780"</f>
        <v>PRG-1034780</v>
      </c>
      <c r="E9977" t="s">
        <v>4065</v>
      </c>
      <c r="F9977" t="s">
        <v>4</v>
      </c>
      <c r="G9977" t="str">
        <f>""</f>
        <v/>
      </c>
    </row>
    <row r="9978" spans="1:7" x14ac:dyDescent="0.25">
      <c r="A9978" t="s">
        <v>8</v>
      </c>
      <c r="B9978" s="1" t="str">
        <f>"000227903 - RICHS VA BEACH SCHL GRP"</f>
        <v>000227903 - RICHS VA BEACH SCHL GRP</v>
      </c>
      <c r="C9978" t="s">
        <v>1715</v>
      </c>
      <c r="D9978" s="1" t="str">
        <f>"PRG-1034782"</f>
        <v>PRG-1034782</v>
      </c>
      <c r="E9978" t="s">
        <v>1716</v>
      </c>
      <c r="F9978" t="s">
        <v>4</v>
      </c>
      <c r="G9978" t="str">
        <f>""</f>
        <v/>
      </c>
    </row>
    <row r="9979" spans="1:7" x14ac:dyDescent="0.25">
      <c r="A9979" t="s">
        <v>8</v>
      </c>
      <c r="B9979" s="1" t="str">
        <f>"000282579 - "</f>
        <v xml:space="preserve">000282579 - </v>
      </c>
      <c r="D9979" s="1" t="str">
        <f>"PRG-1034792"</f>
        <v>PRG-1034792</v>
      </c>
      <c r="E9979" t="s">
        <v>2672</v>
      </c>
      <c r="F9979" t="s">
        <v>4</v>
      </c>
      <c r="G9979" t="str">
        <f>""</f>
        <v/>
      </c>
    </row>
    <row r="9980" spans="1:7" x14ac:dyDescent="0.25">
      <c r="A9980" t="s">
        <v>8</v>
      </c>
      <c r="B9980" s="1" t="str">
        <f>"000276100 - RICH DC-DELTA SONIC"</f>
        <v>000276100 - RICH DC-DELTA SONIC</v>
      </c>
      <c r="C9980" t="s">
        <v>2570</v>
      </c>
      <c r="D9980" s="1" t="str">
        <f>"PRG-1034797"</f>
        <v>PRG-1034797</v>
      </c>
      <c r="E9980" t="s">
        <v>2571</v>
      </c>
      <c r="F9980" t="s">
        <v>4</v>
      </c>
      <c r="G9980" t="str">
        <f>""</f>
        <v/>
      </c>
    </row>
    <row r="9981" spans="1:7" x14ac:dyDescent="0.25">
      <c r="A9981" t="s">
        <v>8</v>
      </c>
      <c r="B9981" s="1" t="str">
        <f>"000282617 - RICH DC-DELTA SONIC"</f>
        <v>000282617 - RICH DC-DELTA SONIC</v>
      </c>
      <c r="C9981" t="s">
        <v>2570</v>
      </c>
      <c r="D9981" s="1" t="str">
        <f>"PRG-1034797"</f>
        <v>PRG-1034797</v>
      </c>
      <c r="E9981" t="s">
        <v>2571</v>
      </c>
      <c r="F9981" t="s">
        <v>4</v>
      </c>
      <c r="G9981" t="str">
        <f>""</f>
        <v/>
      </c>
    </row>
    <row r="9982" spans="1:7" x14ac:dyDescent="0.25">
      <c r="A9982" t="s">
        <v>8</v>
      </c>
      <c r="B9982" s="1" t="str">
        <f>"S6I01DU0"</f>
        <v>S6I01DU0</v>
      </c>
      <c r="C9982" t="s">
        <v>6092</v>
      </c>
      <c r="D9982" s="1" t="str">
        <f>"PRG-1034798"</f>
        <v>PRG-1034798</v>
      </c>
      <c r="E9982" t="s">
        <v>6093</v>
      </c>
      <c r="F9982" t="s">
        <v>5</v>
      </c>
      <c r="G9982" t="str">
        <f>""</f>
        <v/>
      </c>
    </row>
    <row r="9983" spans="1:7" x14ac:dyDescent="0.25">
      <c r="A9983" t="s">
        <v>8</v>
      </c>
      <c r="B9983" s="1" t="str">
        <f>"000272148 - RICHS   WINDSOR SCHOOLS"</f>
        <v>000272148 - RICHS   WINDSOR SCHOOLS</v>
      </c>
      <c r="C9983" t="s">
        <v>2499</v>
      </c>
      <c r="D9983" s="1" t="str">
        <f>"PRG-1034800"</f>
        <v>PRG-1034800</v>
      </c>
      <c r="E9983" t="s">
        <v>2500</v>
      </c>
      <c r="F9983" t="s">
        <v>4</v>
      </c>
      <c r="G9983" t="str">
        <f>""</f>
        <v/>
      </c>
    </row>
    <row r="9984" spans="1:7" x14ac:dyDescent="0.25">
      <c r="A9984" t="s">
        <v>8</v>
      </c>
      <c r="B9984" s="1" t="str">
        <f>"000029258 - "</f>
        <v xml:space="preserve">000029258 - </v>
      </c>
      <c r="D9984" s="1" t="str">
        <f>"PRG-1034819"</f>
        <v>PRG-1034819</v>
      </c>
      <c r="E9984" t="s">
        <v>484</v>
      </c>
      <c r="F9984" t="s">
        <v>4</v>
      </c>
      <c r="G9984" t="str">
        <f>""</f>
        <v/>
      </c>
    </row>
    <row r="9985" spans="1:7" x14ac:dyDescent="0.25">
      <c r="A9985" t="s">
        <v>8</v>
      </c>
      <c r="B9985" s="1" t="str">
        <f>"000283675 - "</f>
        <v xml:space="preserve">000283675 - </v>
      </c>
      <c r="D9985" s="1" t="str">
        <f>"PRG-1034835"</f>
        <v>PRG-1034835</v>
      </c>
      <c r="E9985" t="s">
        <v>2695</v>
      </c>
      <c r="F9985" t="s">
        <v>4</v>
      </c>
      <c r="G9985" t="str">
        <f>""</f>
        <v/>
      </c>
    </row>
    <row r="9986" spans="1:7" x14ac:dyDescent="0.25">
      <c r="A9986" t="s">
        <v>8</v>
      </c>
      <c r="B9986" s="1" t="str">
        <f>"000321317 - RICH PROD TX HHSC 1034840 001"</f>
        <v>000321317 - RICH PROD TX HHSC 1034840 001</v>
      </c>
      <c r="C9986" t="s">
        <v>3243</v>
      </c>
      <c r="D9986" s="1" t="str">
        <f>"PRG-1034840"</f>
        <v>PRG-1034840</v>
      </c>
      <c r="E9986" t="s">
        <v>2870</v>
      </c>
      <c r="F9986" t="s">
        <v>4</v>
      </c>
      <c r="G9986" t="str">
        <f>""</f>
        <v/>
      </c>
    </row>
    <row r="9987" spans="1:7" x14ac:dyDescent="0.25">
      <c r="A9987" t="s">
        <v>8</v>
      </c>
      <c r="B9987" s="1" t="str">
        <f>"000334239 - RICH PROD TX HHSC 529-163278"</f>
        <v>000334239 - RICH PROD TX HHSC 529-163278</v>
      </c>
      <c r="C9987" t="s">
        <v>3380</v>
      </c>
      <c r="D9987" s="1" t="str">
        <f>"PRG-1034840"</f>
        <v>PRG-1034840</v>
      </c>
      <c r="E9987" t="s">
        <v>2870</v>
      </c>
      <c r="F9987" t="s">
        <v>4</v>
      </c>
      <c r="G9987" t="str">
        <f>""</f>
        <v/>
      </c>
    </row>
    <row r="9988" spans="1:7" x14ac:dyDescent="0.25">
      <c r="A9988" t="s">
        <v>8</v>
      </c>
      <c r="B9988" s="1" t="str">
        <f>"2000406531 - RICH'S-MAKUTU ISLAND"</f>
        <v>2000406531 - RICH'S-MAKUTU ISLAND</v>
      </c>
      <c r="C9988" t="s">
        <v>2646</v>
      </c>
      <c r="D9988" s="1" t="str">
        <f>"PRG-1034844"</f>
        <v>PRG-1034844</v>
      </c>
      <c r="E9988" t="s">
        <v>2704</v>
      </c>
      <c r="F9988" t="s">
        <v>4</v>
      </c>
      <c r="G9988" t="str">
        <f>""</f>
        <v/>
      </c>
    </row>
    <row r="9989" spans="1:7" x14ac:dyDescent="0.25">
      <c r="A9989" t="s">
        <v>8</v>
      </c>
      <c r="B9989" s="1" t="str">
        <f>"000277206 - RICH'S LENNY &amp; JOE'S NH"</f>
        <v>000277206 - RICH'S LENNY &amp; JOE'S NH</v>
      </c>
      <c r="C9989" t="s">
        <v>2593</v>
      </c>
      <c r="D9989" s="1" t="str">
        <f>"PRG-1034846"</f>
        <v>PRG-1034846</v>
      </c>
      <c r="E9989" t="s">
        <v>2594</v>
      </c>
      <c r="F9989" t="s">
        <v>4</v>
      </c>
      <c r="G9989" t="str">
        <f>""</f>
        <v/>
      </c>
    </row>
    <row r="9990" spans="1:7" x14ac:dyDescent="0.25">
      <c r="A9990" t="s">
        <v>8</v>
      </c>
      <c r="B9990" s="1" t="str">
        <f>"000311380 - RICH SIERRA HILLS MARKET"</f>
        <v>000311380 - RICH SIERRA HILLS MARKET</v>
      </c>
      <c r="C9990" t="s">
        <v>3119</v>
      </c>
      <c r="D9990" s="1" t="str">
        <f>"PRG-1034868"</f>
        <v>PRG-1034868</v>
      </c>
      <c r="E9990" t="s">
        <v>3120</v>
      </c>
      <c r="F9990" t="s">
        <v>4</v>
      </c>
      <c r="G9990" t="str">
        <f>""</f>
        <v/>
      </c>
    </row>
    <row r="9991" spans="1:7" x14ac:dyDescent="0.25">
      <c r="A9991" t="s">
        <v>8</v>
      </c>
      <c r="B9991" s="1" t="str">
        <f>"S3E001J0"</f>
        <v>S3E001J0</v>
      </c>
      <c r="C9991" t="s">
        <v>5593</v>
      </c>
      <c r="D9991" s="1" t="str">
        <f>"PRG-1034934"</f>
        <v>PRG-1034934</v>
      </c>
      <c r="E9991" t="s">
        <v>5594</v>
      </c>
      <c r="F9991" t="s">
        <v>5</v>
      </c>
      <c r="G9991" t="str">
        <f>""</f>
        <v/>
      </c>
    </row>
    <row r="9992" spans="1:7" x14ac:dyDescent="0.25">
      <c r="A9992" t="s">
        <v>8</v>
      </c>
      <c r="B9992" s="1" t="str">
        <f>"000271306 - RICH MAURY CO. SCHL"</f>
        <v>000271306 - RICH MAURY CO. SCHL</v>
      </c>
      <c r="C9992" t="s">
        <v>1928</v>
      </c>
      <c r="D9992" s="1" t="str">
        <f>"PRG-1034971"</f>
        <v>PRG-1034971</v>
      </c>
      <c r="E9992" t="s">
        <v>2489</v>
      </c>
      <c r="F9992" t="s">
        <v>4</v>
      </c>
      <c r="G9992" t="str">
        <f>""</f>
        <v/>
      </c>
    </row>
    <row r="9993" spans="1:7" x14ac:dyDescent="0.25">
      <c r="A9993" t="s">
        <v>8</v>
      </c>
      <c r="B9993" s="1" t="str">
        <f>"000337882 - "</f>
        <v xml:space="preserve">000337882 - </v>
      </c>
      <c r="D9993" s="1" t="str">
        <f>"PRG-1035004"</f>
        <v>PRG-1035004</v>
      </c>
      <c r="E9993" t="s">
        <v>3423</v>
      </c>
      <c r="F9993" t="s">
        <v>4</v>
      </c>
      <c r="G9993" t="str">
        <f>""</f>
        <v/>
      </c>
    </row>
    <row r="9994" spans="1:7" x14ac:dyDescent="0.25">
      <c r="A9994" t="s">
        <v>8</v>
      </c>
      <c r="B9994" s="1" t="str">
        <f>"000013094 - RICH FOODS-REVOLUTION FOODS"</f>
        <v>000013094 - RICH FOODS-REVOLUTION FOODS</v>
      </c>
      <c r="C9994" t="s">
        <v>340</v>
      </c>
      <c r="D9994" s="1" t="str">
        <f t="shared" ref="D9994:D10003" si="274">"PRG-1035047"</f>
        <v>PRG-1035047</v>
      </c>
      <c r="E9994" t="s">
        <v>341</v>
      </c>
      <c r="F9994" t="s">
        <v>4</v>
      </c>
      <c r="G9994" t="str">
        <f>""</f>
        <v/>
      </c>
    </row>
    <row r="9995" spans="1:7" x14ac:dyDescent="0.25">
      <c r="A9995" t="s">
        <v>8</v>
      </c>
      <c r="B9995" s="1" t="str">
        <f>"000025168 - RICH FOODS-REVOLUTION"</f>
        <v>000025168 - RICH FOODS-REVOLUTION</v>
      </c>
      <c r="C9995" t="s">
        <v>442</v>
      </c>
      <c r="D9995" s="1" t="str">
        <f t="shared" si="274"/>
        <v>PRG-1035047</v>
      </c>
      <c r="E9995" t="s">
        <v>341</v>
      </c>
      <c r="F9995" t="s">
        <v>4</v>
      </c>
      <c r="G9995" t="str">
        <f>""</f>
        <v/>
      </c>
    </row>
    <row r="9996" spans="1:7" x14ac:dyDescent="0.25">
      <c r="A9996" t="s">
        <v>8</v>
      </c>
      <c r="B9996" s="1" t="str">
        <f>"000025671 - RICH FOODS-REVOLUTION"</f>
        <v>000025671 - RICH FOODS-REVOLUTION</v>
      </c>
      <c r="C9996" t="s">
        <v>442</v>
      </c>
      <c r="D9996" s="1" t="str">
        <f t="shared" si="274"/>
        <v>PRG-1035047</v>
      </c>
      <c r="E9996" t="s">
        <v>341</v>
      </c>
      <c r="F9996" t="s">
        <v>4</v>
      </c>
      <c r="G9996" t="str">
        <f>""</f>
        <v/>
      </c>
    </row>
    <row r="9997" spans="1:7" x14ac:dyDescent="0.25">
      <c r="A9997" t="s">
        <v>8</v>
      </c>
      <c r="B9997" s="1" t="str">
        <f>"000270178 - RICH FOODS-REVOLUTION"</f>
        <v>000270178 - RICH FOODS-REVOLUTION</v>
      </c>
      <c r="C9997" t="s">
        <v>442</v>
      </c>
      <c r="D9997" s="1" t="str">
        <f t="shared" si="274"/>
        <v>PRG-1035047</v>
      </c>
      <c r="E9997" t="s">
        <v>341</v>
      </c>
      <c r="F9997" t="s">
        <v>4</v>
      </c>
      <c r="G9997" t="str">
        <f>""</f>
        <v/>
      </c>
    </row>
    <row r="9998" spans="1:7" x14ac:dyDescent="0.25">
      <c r="A9998" t="s">
        <v>8</v>
      </c>
      <c r="B9998" s="1" t="str">
        <f>"000290139 - RICH FOODS-REVOLUTION"</f>
        <v>000290139 - RICH FOODS-REVOLUTION</v>
      </c>
      <c r="C9998" t="s">
        <v>442</v>
      </c>
      <c r="D9998" s="1" t="str">
        <f t="shared" si="274"/>
        <v>PRG-1035047</v>
      </c>
      <c r="E9998" t="s">
        <v>341</v>
      </c>
      <c r="F9998" t="s">
        <v>4</v>
      </c>
      <c r="G9998" t="str">
        <f>""</f>
        <v/>
      </c>
    </row>
    <row r="9999" spans="1:7" x14ac:dyDescent="0.25">
      <c r="A9999" t="s">
        <v>8</v>
      </c>
      <c r="B9999" s="1" t="str">
        <f>"000346533 - RICH PRODUCTS REVOLUTION FOODS"</f>
        <v>000346533 - RICH PRODUCTS REVOLUTION FOODS</v>
      </c>
      <c r="C9999" t="s">
        <v>3472</v>
      </c>
      <c r="D9999" s="1" t="str">
        <f t="shared" si="274"/>
        <v>PRG-1035047</v>
      </c>
      <c r="E9999" t="s">
        <v>341</v>
      </c>
      <c r="F9999" t="s">
        <v>4</v>
      </c>
      <c r="G9999" t="str">
        <f>""</f>
        <v/>
      </c>
    </row>
    <row r="10000" spans="1:7" x14ac:dyDescent="0.25">
      <c r="A10000" t="s">
        <v>8</v>
      </c>
      <c r="B10000" s="1" t="str">
        <f>"000355594 - RICH FOODS-REVOLUTION"</f>
        <v>000355594 - RICH FOODS-REVOLUTION</v>
      </c>
      <c r="C10000" t="s">
        <v>442</v>
      </c>
      <c r="D10000" s="1" t="str">
        <f t="shared" si="274"/>
        <v>PRG-1035047</v>
      </c>
      <c r="E10000" t="s">
        <v>341</v>
      </c>
      <c r="F10000" t="s">
        <v>4</v>
      </c>
      <c r="G10000" t="str">
        <f>""</f>
        <v/>
      </c>
    </row>
    <row r="10001" spans="1:7" x14ac:dyDescent="0.25">
      <c r="A10001" t="s">
        <v>8</v>
      </c>
      <c r="B10001" s="1" t="str">
        <f>"000372975 - RICH FOODS-REVOLUTION"</f>
        <v>000372975 - RICH FOODS-REVOLUTION</v>
      </c>
      <c r="C10001" t="s">
        <v>442</v>
      </c>
      <c r="D10001" s="1" t="str">
        <f t="shared" si="274"/>
        <v>PRG-1035047</v>
      </c>
      <c r="E10001" t="s">
        <v>341</v>
      </c>
      <c r="F10001" t="s">
        <v>4</v>
      </c>
      <c r="G10001" t="str">
        <f>""</f>
        <v/>
      </c>
    </row>
    <row r="10002" spans="1:7" x14ac:dyDescent="0.25">
      <c r="A10002" t="s">
        <v>8</v>
      </c>
      <c r="B10002" s="1" t="str">
        <f>"000403589 - RICH PROD REVOLUTION FOODS"</f>
        <v>000403589 - RICH PROD REVOLUTION FOODS</v>
      </c>
      <c r="C10002" t="s">
        <v>3724</v>
      </c>
      <c r="D10002" s="1" t="str">
        <f t="shared" si="274"/>
        <v>PRG-1035047</v>
      </c>
      <c r="E10002" t="s">
        <v>341</v>
      </c>
      <c r="F10002" t="s">
        <v>4</v>
      </c>
      <c r="G10002" t="str">
        <f>""</f>
        <v/>
      </c>
    </row>
    <row r="10003" spans="1:7" x14ac:dyDescent="0.25">
      <c r="A10003" t="s">
        <v>8</v>
      </c>
      <c r="B10003" s="1" t="str">
        <f>"000405097 - RICH FOODS-REVOLUTION"</f>
        <v>000405097 - RICH FOODS-REVOLUTION</v>
      </c>
      <c r="C10003" t="s">
        <v>442</v>
      </c>
      <c r="D10003" s="1" t="str">
        <f t="shared" si="274"/>
        <v>PRG-1035047</v>
      </c>
      <c r="E10003" t="s">
        <v>341</v>
      </c>
      <c r="F10003" t="s">
        <v>4</v>
      </c>
      <c r="G10003" t="str">
        <f>""</f>
        <v/>
      </c>
    </row>
    <row r="10004" spans="1:7" x14ac:dyDescent="0.25">
      <c r="A10004" t="s">
        <v>8</v>
      </c>
      <c r="B10004" s="1" t="str">
        <f>"000268829 - RICHS PDQ ROLLS"</f>
        <v>000268829 - RICHS PDQ ROLLS</v>
      </c>
      <c r="C10004" t="s">
        <v>2444</v>
      </c>
      <c r="D10004" s="1" t="str">
        <f>"PRG-1035093"</f>
        <v>PRG-1035093</v>
      </c>
      <c r="E10004" t="s">
        <v>2445</v>
      </c>
      <c r="F10004" t="s">
        <v>4</v>
      </c>
      <c r="G10004" t="str">
        <f>""</f>
        <v/>
      </c>
    </row>
    <row r="10005" spans="1:7" x14ac:dyDescent="0.25">
      <c r="A10005" t="s">
        <v>8</v>
      </c>
      <c r="B10005" s="1" t="str">
        <f>"000269610 - BUBBLE CAKE RICHS ICING"</f>
        <v>000269610 - BUBBLE CAKE RICHS ICING</v>
      </c>
      <c r="C10005" t="s">
        <v>2456</v>
      </c>
      <c r="D10005" s="1" t="str">
        <f>"PRG-1035093"</f>
        <v>PRG-1035093</v>
      </c>
      <c r="E10005" t="s">
        <v>2445</v>
      </c>
      <c r="F10005" t="s">
        <v>4</v>
      </c>
      <c r="G10005" t="str">
        <f>""</f>
        <v/>
      </c>
    </row>
    <row r="10006" spans="1:7" x14ac:dyDescent="0.25">
      <c r="A10006" t="s">
        <v>8</v>
      </c>
      <c r="B10006" s="1" t="str">
        <f>"000346145 - RICH PRODUCTS FORSYTH CO"</f>
        <v>000346145 - RICH PRODUCTS FORSYTH CO</v>
      </c>
      <c r="C10006" t="s">
        <v>3468</v>
      </c>
      <c r="D10006" s="1" t="str">
        <f>"PRG-1035125"</f>
        <v>PRG-1035125</v>
      </c>
      <c r="E10006" t="s">
        <v>3469</v>
      </c>
      <c r="F10006" t="s">
        <v>4</v>
      </c>
      <c r="G10006" t="str">
        <f>""</f>
        <v/>
      </c>
    </row>
    <row r="10007" spans="1:7" x14ac:dyDescent="0.25">
      <c r="A10007" t="s">
        <v>8</v>
      </c>
      <c r="B10007" s="1" t="str">
        <f>"S5I01340"</f>
        <v>S5I01340</v>
      </c>
      <c r="C10007" t="s">
        <v>5852</v>
      </c>
      <c r="D10007" s="1" t="str">
        <f>"PRG-1035127"</f>
        <v>PRG-1035127</v>
      </c>
      <c r="E10007" t="s">
        <v>5853</v>
      </c>
      <c r="F10007" t="s">
        <v>5</v>
      </c>
      <c r="G10007" t="str">
        <f>""</f>
        <v/>
      </c>
    </row>
    <row r="10008" spans="1:7" x14ac:dyDescent="0.25">
      <c r="A10008" t="s">
        <v>8</v>
      </c>
      <c r="B10008" s="1" t="str">
        <f>"000332154 - "</f>
        <v xml:space="preserve">000332154 - </v>
      </c>
      <c r="D10008" s="1" t="str">
        <f>"PRG-1035131"</f>
        <v>PRG-1035131</v>
      </c>
      <c r="E10008" t="s">
        <v>3352</v>
      </c>
      <c r="F10008" t="s">
        <v>4</v>
      </c>
      <c r="G10008" t="str">
        <f>""</f>
        <v/>
      </c>
    </row>
    <row r="10009" spans="1:7" x14ac:dyDescent="0.25">
      <c r="A10009" t="s">
        <v>8</v>
      </c>
      <c r="B10009" s="1" t="str">
        <f>"000331748 - "</f>
        <v xml:space="preserve">000331748 - </v>
      </c>
      <c r="D10009" s="1" t="str">
        <f>"PRG-1035132"</f>
        <v>PRG-1035132</v>
      </c>
      <c r="E10009" t="s">
        <v>3348</v>
      </c>
      <c r="F10009" t="s">
        <v>4</v>
      </c>
      <c r="G10009" t="str">
        <f>""</f>
        <v/>
      </c>
    </row>
    <row r="10010" spans="1:7" x14ac:dyDescent="0.25">
      <c r="A10010" t="s">
        <v>8</v>
      </c>
      <c r="B10010" s="1" t="str">
        <f>"000214118 - RICH CC SC PURCHASE ALLIANCE"</f>
        <v>000214118 - RICH CC SC PURCHASE ALLIANCE</v>
      </c>
      <c r="C10010" t="s">
        <v>1104</v>
      </c>
      <c r="D10010" s="1" t="str">
        <f t="shared" ref="D10010:D10021" si="275">"PRG-1035136"</f>
        <v>PRG-1035136</v>
      </c>
      <c r="E10010" t="s">
        <v>1491</v>
      </c>
      <c r="F10010" t="s">
        <v>4</v>
      </c>
      <c r="G10010" t="str">
        <f>""</f>
        <v/>
      </c>
    </row>
    <row r="10011" spans="1:7" x14ac:dyDescent="0.25">
      <c r="A10011" t="s">
        <v>8</v>
      </c>
      <c r="B10011" s="1" t="str">
        <f>"22603796"</f>
        <v>22603796</v>
      </c>
      <c r="C10011" t="s">
        <v>4388</v>
      </c>
      <c r="D10011" s="1" t="str">
        <f t="shared" si="275"/>
        <v>PRG-1035136</v>
      </c>
      <c r="E10011" t="s">
        <v>1491</v>
      </c>
      <c r="F10011" t="s">
        <v>5</v>
      </c>
      <c r="G10011" t="str">
        <f>""</f>
        <v/>
      </c>
    </row>
    <row r="10012" spans="1:7" x14ac:dyDescent="0.25">
      <c r="A10012" t="s">
        <v>8</v>
      </c>
      <c r="B10012" s="1" t="str">
        <f>"22603800"</f>
        <v>22603800</v>
      </c>
      <c r="C10012" t="s">
        <v>4392</v>
      </c>
      <c r="D10012" s="1" t="str">
        <f t="shared" si="275"/>
        <v>PRG-1035136</v>
      </c>
      <c r="E10012" t="s">
        <v>1491</v>
      </c>
      <c r="F10012" t="s">
        <v>5</v>
      </c>
      <c r="G10012" t="str">
        <f>""</f>
        <v/>
      </c>
    </row>
    <row r="10013" spans="1:7" x14ac:dyDescent="0.25">
      <c r="A10013" t="s">
        <v>8</v>
      </c>
      <c r="B10013" s="1" t="str">
        <f>"22603801"</f>
        <v>22603801</v>
      </c>
      <c r="C10013" t="s">
        <v>4393</v>
      </c>
      <c r="D10013" s="1" t="str">
        <f t="shared" si="275"/>
        <v>PRG-1035136</v>
      </c>
      <c r="E10013" t="s">
        <v>1491</v>
      </c>
      <c r="F10013" t="s">
        <v>5</v>
      </c>
      <c r="G10013" t="str">
        <f>""</f>
        <v/>
      </c>
    </row>
    <row r="10014" spans="1:7" x14ac:dyDescent="0.25">
      <c r="A10014" t="s">
        <v>8</v>
      </c>
      <c r="B10014" s="1" t="str">
        <f>"22603803"</f>
        <v>22603803</v>
      </c>
      <c r="C10014" t="s">
        <v>4395</v>
      </c>
      <c r="D10014" s="1" t="str">
        <f t="shared" si="275"/>
        <v>PRG-1035136</v>
      </c>
      <c r="E10014" t="s">
        <v>1491</v>
      </c>
      <c r="F10014" t="s">
        <v>5</v>
      </c>
      <c r="G10014" t="str">
        <f>""</f>
        <v/>
      </c>
    </row>
    <row r="10015" spans="1:7" x14ac:dyDescent="0.25">
      <c r="A10015" t="s">
        <v>8</v>
      </c>
      <c r="B10015" s="1" t="str">
        <f>"22603816"</f>
        <v>22603816</v>
      </c>
      <c r="C10015" t="s">
        <v>4404</v>
      </c>
      <c r="D10015" s="1" t="str">
        <f t="shared" si="275"/>
        <v>PRG-1035136</v>
      </c>
      <c r="E10015" t="s">
        <v>1491</v>
      </c>
      <c r="F10015" t="s">
        <v>5</v>
      </c>
      <c r="G10015" t="str">
        <f>""</f>
        <v/>
      </c>
    </row>
    <row r="10016" spans="1:7" x14ac:dyDescent="0.25">
      <c r="A10016" t="s">
        <v>8</v>
      </c>
      <c r="B10016" s="1" t="str">
        <f>"22603817"</f>
        <v>22603817</v>
      </c>
      <c r="C10016" t="s">
        <v>4405</v>
      </c>
      <c r="D10016" s="1" t="str">
        <f t="shared" si="275"/>
        <v>PRG-1035136</v>
      </c>
      <c r="E10016" t="s">
        <v>1491</v>
      </c>
      <c r="F10016" t="s">
        <v>5</v>
      </c>
      <c r="G10016" t="str">
        <f>""</f>
        <v/>
      </c>
    </row>
    <row r="10017" spans="1:7" x14ac:dyDescent="0.25">
      <c r="A10017" t="s">
        <v>8</v>
      </c>
      <c r="B10017" s="1" t="str">
        <f>"22603819"</f>
        <v>22603819</v>
      </c>
      <c r="C10017" t="s">
        <v>4406</v>
      </c>
      <c r="D10017" s="1" t="str">
        <f t="shared" si="275"/>
        <v>PRG-1035136</v>
      </c>
      <c r="E10017" t="s">
        <v>1491</v>
      </c>
      <c r="F10017" t="s">
        <v>5</v>
      </c>
      <c r="G10017" t="str">
        <f>""</f>
        <v/>
      </c>
    </row>
    <row r="10018" spans="1:7" x14ac:dyDescent="0.25">
      <c r="A10018" t="s">
        <v>8</v>
      </c>
      <c r="B10018" s="1" t="str">
        <f>"22603825"</f>
        <v>22603825</v>
      </c>
      <c r="C10018" t="s">
        <v>4410</v>
      </c>
      <c r="D10018" s="1" t="str">
        <f t="shared" si="275"/>
        <v>PRG-1035136</v>
      </c>
      <c r="E10018" t="s">
        <v>1491</v>
      </c>
      <c r="F10018" t="s">
        <v>5</v>
      </c>
      <c r="G10018" t="str">
        <f>""</f>
        <v/>
      </c>
    </row>
    <row r="10019" spans="1:7" x14ac:dyDescent="0.25">
      <c r="A10019" t="s">
        <v>8</v>
      </c>
      <c r="B10019" s="1" t="str">
        <f>"22603840"</f>
        <v>22603840</v>
      </c>
      <c r="C10019" t="s">
        <v>4418</v>
      </c>
      <c r="D10019" s="1" t="str">
        <f t="shared" si="275"/>
        <v>PRG-1035136</v>
      </c>
      <c r="E10019" t="s">
        <v>1491</v>
      </c>
      <c r="F10019" t="s">
        <v>5</v>
      </c>
      <c r="G10019" t="str">
        <f>""</f>
        <v/>
      </c>
    </row>
    <row r="10020" spans="1:7" x14ac:dyDescent="0.25">
      <c r="A10020" t="s">
        <v>8</v>
      </c>
      <c r="B10020" s="1" t="str">
        <f>"22603843"</f>
        <v>22603843</v>
      </c>
      <c r="C10020" t="s">
        <v>4420</v>
      </c>
      <c r="D10020" s="1" t="str">
        <f t="shared" si="275"/>
        <v>PRG-1035136</v>
      </c>
      <c r="E10020" t="s">
        <v>1491</v>
      </c>
      <c r="F10020" t="s">
        <v>5</v>
      </c>
      <c r="G10020" t="str">
        <f>""</f>
        <v/>
      </c>
    </row>
    <row r="10021" spans="1:7" x14ac:dyDescent="0.25">
      <c r="A10021" t="s">
        <v>8</v>
      </c>
      <c r="B10021" s="1" t="str">
        <f>"2260J030"</f>
        <v>2260J030</v>
      </c>
      <c r="C10021" t="s">
        <v>4474</v>
      </c>
      <c r="D10021" s="1" t="str">
        <f t="shared" si="275"/>
        <v>PRG-1035136</v>
      </c>
      <c r="E10021" t="s">
        <v>1491</v>
      </c>
      <c r="F10021" t="s">
        <v>5</v>
      </c>
      <c r="G10021" t="str">
        <f>""</f>
        <v/>
      </c>
    </row>
    <row r="10022" spans="1:7" x14ac:dyDescent="0.25">
      <c r="A10022" t="s">
        <v>8</v>
      </c>
      <c r="B10022" s="1" t="str">
        <f>"000214551 - RICH CC GRNVLE CNTY SCHL"</f>
        <v>000214551 - RICH CC GRNVLE CNTY SCHL</v>
      </c>
      <c r="C10022" t="s">
        <v>1501</v>
      </c>
      <c r="D10022" s="1" t="str">
        <f>"PRG-1035137"</f>
        <v>PRG-1035137</v>
      </c>
      <c r="E10022" t="s">
        <v>1502</v>
      </c>
      <c r="F10022" t="s">
        <v>4</v>
      </c>
      <c r="G10022" t="str">
        <f>""</f>
        <v/>
      </c>
    </row>
    <row r="10023" spans="1:7" x14ac:dyDescent="0.25">
      <c r="A10023" t="s">
        <v>8</v>
      </c>
      <c r="B10023" s="1" t="str">
        <f>"S2J01TI0"</f>
        <v>S2J01TI0</v>
      </c>
      <c r="C10023" t="s">
        <v>5575</v>
      </c>
      <c r="D10023" s="1" t="str">
        <f>"PRG-1035142"</f>
        <v>PRG-1035142</v>
      </c>
      <c r="E10023" t="s">
        <v>5576</v>
      </c>
      <c r="F10023" t="s">
        <v>5</v>
      </c>
      <c r="G10023" t="str">
        <f>""</f>
        <v/>
      </c>
    </row>
    <row r="10024" spans="1:7" x14ac:dyDescent="0.25">
      <c r="A10024" t="s">
        <v>8</v>
      </c>
      <c r="B10024" s="1" t="str">
        <f>"000001022 - RICH'S-SNAPPY MART"</f>
        <v>000001022 - RICH'S-SNAPPY MART</v>
      </c>
      <c r="C10024" t="s">
        <v>74</v>
      </c>
      <c r="D10024" s="1" t="str">
        <f>"PRG-1035175"</f>
        <v>PRG-1035175</v>
      </c>
      <c r="E10024" t="s">
        <v>75</v>
      </c>
      <c r="F10024" t="s">
        <v>4</v>
      </c>
      <c r="G10024" t="str">
        <f>""</f>
        <v/>
      </c>
    </row>
    <row r="10025" spans="1:7" x14ac:dyDescent="0.25">
      <c r="A10025" t="s">
        <v>8</v>
      </c>
      <c r="B10025" s="1" t="str">
        <f>"000216891 - RICH FOODS-SPAGHETTI WAREHOUSE"</f>
        <v>000216891 - RICH FOODS-SPAGHETTI WAREHOUSE</v>
      </c>
      <c r="C10025" t="s">
        <v>1423</v>
      </c>
      <c r="D10025" s="1" t="str">
        <f>"PRG-1035275"</f>
        <v>PRG-1035275</v>
      </c>
      <c r="E10025" t="s">
        <v>1219</v>
      </c>
      <c r="F10025" t="s">
        <v>4</v>
      </c>
      <c r="G10025" t="str">
        <f>""</f>
        <v/>
      </c>
    </row>
    <row r="10026" spans="1:7" x14ac:dyDescent="0.25">
      <c r="A10026" t="s">
        <v>8</v>
      </c>
      <c r="B10026" s="1" t="str">
        <f>"000245342 - RICH FOODS-SPAGHETTI WAREHOUSE"</f>
        <v>000245342 - RICH FOODS-SPAGHETTI WAREHOUSE</v>
      </c>
      <c r="C10026" t="s">
        <v>1423</v>
      </c>
      <c r="D10026" s="1" t="str">
        <f>"PRG-1035275"</f>
        <v>PRG-1035275</v>
      </c>
      <c r="E10026" t="s">
        <v>1219</v>
      </c>
      <c r="F10026" t="s">
        <v>4</v>
      </c>
      <c r="G10026" t="str">
        <f>""</f>
        <v/>
      </c>
    </row>
    <row r="10027" spans="1:7" x14ac:dyDescent="0.25">
      <c r="A10027" t="s">
        <v>8</v>
      </c>
      <c r="B10027" s="1" t="str">
        <f>"000279156 - RICH FOODS-SPAGHETTI WAREHOUSE"</f>
        <v>000279156 - RICH FOODS-SPAGHETTI WAREHOUSE</v>
      </c>
      <c r="C10027" t="s">
        <v>1423</v>
      </c>
      <c r="D10027" s="1" t="str">
        <f>"PRG-1035275"</f>
        <v>PRG-1035275</v>
      </c>
      <c r="E10027" t="s">
        <v>1219</v>
      </c>
      <c r="F10027" t="s">
        <v>4</v>
      </c>
      <c r="G10027" t="str">
        <f>""</f>
        <v/>
      </c>
    </row>
    <row r="10028" spans="1:7" x14ac:dyDescent="0.25">
      <c r="A10028" t="s">
        <v>8</v>
      </c>
      <c r="B10028" s="1" t="str">
        <f>"000323583 - RICH FOODS-SPAGHETTI WAREHOUSE"</f>
        <v>000323583 - RICH FOODS-SPAGHETTI WAREHOUSE</v>
      </c>
      <c r="C10028" t="s">
        <v>1423</v>
      </c>
      <c r="D10028" s="1" t="str">
        <f>"PRG-1035275"</f>
        <v>PRG-1035275</v>
      </c>
      <c r="E10028" t="s">
        <v>1219</v>
      </c>
      <c r="F10028" t="s">
        <v>4</v>
      </c>
      <c r="G10028" t="str">
        <f>""</f>
        <v/>
      </c>
    </row>
    <row r="10029" spans="1:7" x14ac:dyDescent="0.25">
      <c r="A10029" t="s">
        <v>8</v>
      </c>
      <c r="B10029" s="1" t="str">
        <f>"S5I01CH0"</f>
        <v>S5I01CH0</v>
      </c>
      <c r="C10029" t="s">
        <v>5862</v>
      </c>
      <c r="D10029" s="1" t="str">
        <f>"PRG-1035286"</f>
        <v>PRG-1035286</v>
      </c>
      <c r="E10029" t="s">
        <v>5863</v>
      </c>
      <c r="F10029" t="s">
        <v>5</v>
      </c>
      <c r="G10029" t="str">
        <f>""</f>
        <v/>
      </c>
    </row>
    <row r="10030" spans="1:7" x14ac:dyDescent="0.25">
      <c r="A10030" t="s">
        <v>8</v>
      </c>
      <c r="B10030" s="1" t="str">
        <f>"000001867 - RICH'S (FOB)-SILVER CITY SCHOO"</f>
        <v>000001867 - RICH'S (FOB)-SILVER CITY SCHOO</v>
      </c>
      <c r="C10030" t="s">
        <v>98</v>
      </c>
      <c r="D10030" s="1" t="str">
        <f>"PRG-1035302"</f>
        <v>PRG-1035302</v>
      </c>
      <c r="E10030" t="s">
        <v>99</v>
      </c>
      <c r="F10030" t="s">
        <v>4</v>
      </c>
      <c r="G10030" t="str">
        <f>""</f>
        <v/>
      </c>
    </row>
    <row r="10031" spans="1:7" x14ac:dyDescent="0.25">
      <c r="A10031" t="s">
        <v>8</v>
      </c>
      <c r="B10031" s="1" t="str">
        <f>"000008428 - "</f>
        <v xml:space="preserve">000008428 - </v>
      </c>
      <c r="D10031" s="1" t="str">
        <f>"PRG-1035305"</f>
        <v>PRG-1035305</v>
      </c>
      <c r="E10031" t="s">
        <v>278</v>
      </c>
      <c r="F10031" t="s">
        <v>4</v>
      </c>
      <c r="G10031" t="str">
        <f>""</f>
        <v/>
      </c>
    </row>
    <row r="10032" spans="1:7" x14ac:dyDescent="0.25">
      <c r="A10032" t="s">
        <v>8</v>
      </c>
      <c r="B10032" s="1" t="str">
        <f>"000238912 - JACKSON PUBLIC SCHL RICH'S"</f>
        <v>000238912 - JACKSON PUBLIC SCHL RICH'S</v>
      </c>
      <c r="C10032" t="s">
        <v>1887</v>
      </c>
      <c r="D10032" s="1" t="str">
        <f>"PRG-1035338"</f>
        <v>PRG-1035338</v>
      </c>
      <c r="E10032" t="s">
        <v>1888</v>
      </c>
      <c r="F10032" t="s">
        <v>4</v>
      </c>
      <c r="G10032" t="str">
        <f>""</f>
        <v/>
      </c>
    </row>
    <row r="10033" spans="1:7" x14ac:dyDescent="0.25">
      <c r="A10033" t="s">
        <v>8</v>
      </c>
      <c r="B10033" s="1" t="str">
        <f>"000260523 - "</f>
        <v xml:space="preserve">000260523 - </v>
      </c>
      <c r="D10033" s="1" t="str">
        <f>"PRG-1035368"</f>
        <v>PRG-1035368</v>
      </c>
      <c r="E10033" t="s">
        <v>2266</v>
      </c>
      <c r="F10033" t="s">
        <v>4</v>
      </c>
      <c r="G10033" t="str">
        <f>""</f>
        <v/>
      </c>
    </row>
    <row r="10034" spans="1:7" x14ac:dyDescent="0.25">
      <c r="A10034" t="s">
        <v>8</v>
      </c>
      <c r="B10034" s="1" t="str">
        <f>"000308755 - RICH OREGON WI FY 16 17"</f>
        <v>000308755 - RICH OREGON WI FY 16 17</v>
      </c>
      <c r="C10034" t="s">
        <v>3086</v>
      </c>
      <c r="D10034" s="1" t="str">
        <f>"PRG-1035409"</f>
        <v>PRG-1035409</v>
      </c>
      <c r="E10034" t="s">
        <v>3087</v>
      </c>
      <c r="F10034" t="s">
        <v>4</v>
      </c>
      <c r="G10034" t="str">
        <f>""</f>
        <v/>
      </c>
    </row>
    <row r="10035" spans="1:7" x14ac:dyDescent="0.25">
      <c r="A10035" t="s">
        <v>8</v>
      </c>
      <c r="B10035" s="1" t="str">
        <f>"000011538 - "</f>
        <v xml:space="preserve">000011538 - </v>
      </c>
      <c r="D10035" s="1" t="str">
        <f>"PRG-1035429"</f>
        <v>PRG-1035429</v>
      </c>
      <c r="E10035" t="s">
        <v>326</v>
      </c>
      <c r="F10035" t="s">
        <v>4</v>
      </c>
      <c r="G10035" t="str">
        <f>""</f>
        <v/>
      </c>
    </row>
    <row r="10036" spans="1:7" x14ac:dyDescent="0.25">
      <c r="A10036" t="s">
        <v>8</v>
      </c>
      <c r="B10036" s="1" t="str">
        <f>"000014223 - "</f>
        <v xml:space="preserve">000014223 - </v>
      </c>
      <c r="D10036" s="1" t="str">
        <f t="shared" ref="D10036:D10042" si="276">"PRG-1035434"</f>
        <v>PRG-1035434</v>
      </c>
      <c r="E10036" t="s">
        <v>357</v>
      </c>
      <c r="F10036" t="s">
        <v>4</v>
      </c>
      <c r="G10036" t="str">
        <f>""</f>
        <v/>
      </c>
    </row>
    <row r="10037" spans="1:7" x14ac:dyDescent="0.25">
      <c r="A10037" t="s">
        <v>8</v>
      </c>
      <c r="B10037" s="1" t="str">
        <f>"000286971 - IHOP           JUNE 17"</f>
        <v>000286971 - IHOP           JUNE 17</v>
      </c>
      <c r="C10037" t="s">
        <v>2747</v>
      </c>
      <c r="D10037" s="1" t="str">
        <f t="shared" si="276"/>
        <v>PRG-1035434</v>
      </c>
      <c r="E10037" t="s">
        <v>357</v>
      </c>
      <c r="F10037" t="s">
        <v>4</v>
      </c>
      <c r="G10037" t="str">
        <f>""</f>
        <v/>
      </c>
    </row>
    <row r="10038" spans="1:7" x14ac:dyDescent="0.25">
      <c r="A10038" t="s">
        <v>8</v>
      </c>
      <c r="B10038" s="1" t="str">
        <f>"000289356 - IHOP RICH      JUL 17"</f>
        <v>000289356 - IHOP RICH      JUL 17</v>
      </c>
      <c r="C10038" t="s">
        <v>2791</v>
      </c>
      <c r="D10038" s="1" t="str">
        <f t="shared" si="276"/>
        <v>PRG-1035434</v>
      </c>
      <c r="E10038" t="s">
        <v>357</v>
      </c>
      <c r="F10038" t="s">
        <v>4</v>
      </c>
      <c r="G10038" t="str">
        <f>""</f>
        <v/>
      </c>
    </row>
    <row r="10039" spans="1:7" x14ac:dyDescent="0.25">
      <c r="A10039" t="s">
        <v>8</v>
      </c>
      <c r="B10039" s="1" t="str">
        <f>"000294773 - "</f>
        <v xml:space="preserve">000294773 - </v>
      </c>
      <c r="D10039" s="1" t="str">
        <f t="shared" si="276"/>
        <v>PRG-1035434</v>
      </c>
      <c r="E10039" t="s">
        <v>357</v>
      </c>
      <c r="F10039" t="s">
        <v>4</v>
      </c>
      <c r="G10039" t="str">
        <f>""</f>
        <v/>
      </c>
    </row>
    <row r="10040" spans="1:7" x14ac:dyDescent="0.25">
      <c r="A10040" t="s">
        <v>8</v>
      </c>
      <c r="B10040" s="1" t="str">
        <f>"000329131 - RICH PRODUCTS   IHOP"</f>
        <v>000329131 - RICH PRODUCTS   IHOP</v>
      </c>
      <c r="C10040" t="s">
        <v>3331</v>
      </c>
      <c r="D10040" s="1" t="str">
        <f t="shared" si="276"/>
        <v>PRG-1035434</v>
      </c>
      <c r="E10040" t="s">
        <v>357</v>
      </c>
      <c r="F10040" t="s">
        <v>4</v>
      </c>
      <c r="G10040" t="str">
        <f>""</f>
        <v/>
      </c>
    </row>
    <row r="10041" spans="1:7" x14ac:dyDescent="0.25">
      <c r="A10041" t="s">
        <v>8</v>
      </c>
      <c r="B10041" s="1" t="str">
        <f>"000354842 - RICH PRODUCTS   IHOP"</f>
        <v>000354842 - RICH PRODUCTS   IHOP</v>
      </c>
      <c r="C10041" t="s">
        <v>3331</v>
      </c>
      <c r="D10041" s="1" t="str">
        <f t="shared" si="276"/>
        <v>PRG-1035434</v>
      </c>
      <c r="E10041" t="s">
        <v>357</v>
      </c>
      <c r="F10041" t="s">
        <v>4</v>
      </c>
      <c r="G10041" t="str">
        <f>""</f>
        <v/>
      </c>
    </row>
    <row r="10042" spans="1:7" x14ac:dyDescent="0.25">
      <c r="A10042" t="s">
        <v>8</v>
      </c>
      <c r="B10042" s="1" t="str">
        <f>"000361108 - RICH PRODUCTS   IHOP"</f>
        <v>000361108 - RICH PRODUCTS   IHOP</v>
      </c>
      <c r="C10042" t="s">
        <v>3331</v>
      </c>
      <c r="D10042" s="1" t="str">
        <f t="shared" si="276"/>
        <v>PRG-1035434</v>
      </c>
      <c r="E10042" t="s">
        <v>357</v>
      </c>
      <c r="F10042" t="s">
        <v>4</v>
      </c>
      <c r="G10042" t="str">
        <f>""</f>
        <v/>
      </c>
    </row>
    <row r="10043" spans="1:7" x14ac:dyDescent="0.25">
      <c r="A10043" t="s">
        <v>8</v>
      </c>
      <c r="B10043" s="1" t="str">
        <f>"000007332 - "</f>
        <v xml:space="preserve">000007332 - </v>
      </c>
      <c r="D10043" s="1" t="str">
        <f>"PRG-1035461"</f>
        <v>PRG-1035461</v>
      </c>
      <c r="E10043" t="s">
        <v>259</v>
      </c>
      <c r="F10043" t="s">
        <v>4</v>
      </c>
      <c r="G10043" t="str">
        <f>""</f>
        <v/>
      </c>
    </row>
    <row r="10044" spans="1:7" x14ac:dyDescent="0.25">
      <c r="A10044" t="s">
        <v>8</v>
      </c>
      <c r="B10044" s="1" t="str">
        <f>"000008100 - "</f>
        <v xml:space="preserve">000008100 - </v>
      </c>
      <c r="D10044" s="1" t="str">
        <f>"PRG-1035461"</f>
        <v>PRG-1035461</v>
      </c>
      <c r="E10044" t="s">
        <v>259</v>
      </c>
      <c r="F10044" t="s">
        <v>4</v>
      </c>
      <c r="G10044" t="str">
        <f>""</f>
        <v/>
      </c>
    </row>
    <row r="10045" spans="1:7" x14ac:dyDescent="0.25">
      <c r="A10045" t="s">
        <v>8</v>
      </c>
      <c r="B10045" s="1" t="str">
        <f>"2000404513 - "</f>
        <v xml:space="preserve">2000404513 - </v>
      </c>
      <c r="D10045" s="1" t="str">
        <f>"PRG-1035461"</f>
        <v>PRG-1035461</v>
      </c>
      <c r="E10045" t="s">
        <v>259</v>
      </c>
      <c r="F10045" t="s">
        <v>4</v>
      </c>
      <c r="G10045" t="str">
        <f>""</f>
        <v/>
      </c>
    </row>
    <row r="10046" spans="1:7" x14ac:dyDescent="0.25">
      <c r="A10046" t="s">
        <v>8</v>
      </c>
      <c r="B10046" s="1" t="str">
        <f>"000002794 - RICH FOODS-LA MADELEINE"</f>
        <v>000002794 - RICH FOODS-LA MADELEINE</v>
      </c>
      <c r="C10046" t="s">
        <v>130</v>
      </c>
      <c r="D10046" s="1" t="str">
        <f t="shared" ref="D10046:D10059" si="277">"PRG-1035505"</f>
        <v>PRG-1035505</v>
      </c>
      <c r="E10046" t="s">
        <v>131</v>
      </c>
      <c r="F10046" t="s">
        <v>4</v>
      </c>
      <c r="G10046" t="str">
        <f>""</f>
        <v/>
      </c>
    </row>
    <row r="10047" spans="1:7" x14ac:dyDescent="0.25">
      <c r="A10047" t="s">
        <v>8</v>
      </c>
      <c r="B10047" s="1" t="str">
        <f>"000003490 - "</f>
        <v xml:space="preserve">000003490 - </v>
      </c>
      <c r="D10047" s="1" t="str">
        <f t="shared" si="277"/>
        <v>PRG-1035505</v>
      </c>
      <c r="E10047" t="s">
        <v>131</v>
      </c>
      <c r="F10047" t="s">
        <v>4</v>
      </c>
      <c r="G10047" t="str">
        <f>""</f>
        <v/>
      </c>
    </row>
    <row r="10048" spans="1:7" x14ac:dyDescent="0.25">
      <c r="A10048" t="s">
        <v>8</v>
      </c>
      <c r="B10048" s="1" t="str">
        <f>"000010531 - "</f>
        <v xml:space="preserve">000010531 - </v>
      </c>
      <c r="D10048" s="1" t="str">
        <f t="shared" si="277"/>
        <v>PRG-1035505</v>
      </c>
      <c r="E10048" t="s">
        <v>131</v>
      </c>
      <c r="F10048" t="s">
        <v>4</v>
      </c>
      <c r="G10048" t="str">
        <f>""</f>
        <v/>
      </c>
    </row>
    <row r="10049" spans="1:7" x14ac:dyDescent="0.25">
      <c r="A10049" t="s">
        <v>8</v>
      </c>
      <c r="B10049" s="1" t="str">
        <f>"000012877 - "</f>
        <v xml:space="preserve">000012877 - </v>
      </c>
      <c r="D10049" s="1" t="str">
        <f t="shared" si="277"/>
        <v>PRG-1035505</v>
      </c>
      <c r="E10049" t="s">
        <v>131</v>
      </c>
      <c r="F10049" t="s">
        <v>4</v>
      </c>
      <c r="G10049" t="str">
        <f>""</f>
        <v/>
      </c>
    </row>
    <row r="10050" spans="1:7" x14ac:dyDescent="0.25">
      <c r="A10050" t="s">
        <v>8</v>
      </c>
      <c r="B10050" s="1" t="str">
        <f>"000149260 - RICH FOODS-LA MADELEINE"</f>
        <v>000149260 - RICH FOODS-LA MADELEINE</v>
      </c>
      <c r="C10050" t="s">
        <v>130</v>
      </c>
      <c r="D10050" s="1" t="str">
        <f t="shared" si="277"/>
        <v>PRG-1035505</v>
      </c>
      <c r="E10050" t="s">
        <v>131</v>
      </c>
      <c r="F10050" t="s">
        <v>4</v>
      </c>
      <c r="G10050" t="str">
        <f>""</f>
        <v/>
      </c>
    </row>
    <row r="10051" spans="1:7" x14ac:dyDescent="0.25">
      <c r="A10051" t="s">
        <v>8</v>
      </c>
      <c r="B10051" s="1" t="str">
        <f>"000257835 - RICH FOODS-LA MADELEINE"</f>
        <v>000257835 - RICH FOODS-LA MADELEINE</v>
      </c>
      <c r="C10051" t="s">
        <v>130</v>
      </c>
      <c r="D10051" s="1" t="str">
        <f t="shared" si="277"/>
        <v>PRG-1035505</v>
      </c>
      <c r="E10051" t="s">
        <v>131</v>
      </c>
      <c r="F10051" t="s">
        <v>4</v>
      </c>
      <c r="G10051" t="str">
        <f>""</f>
        <v/>
      </c>
    </row>
    <row r="10052" spans="1:7" x14ac:dyDescent="0.25">
      <c r="A10052" t="s">
        <v>8</v>
      </c>
      <c r="B10052" s="1" t="str">
        <f>"000291531 - "</f>
        <v xml:space="preserve">000291531 - </v>
      </c>
      <c r="D10052" s="1" t="str">
        <f t="shared" si="277"/>
        <v>PRG-1035505</v>
      </c>
      <c r="E10052" t="s">
        <v>131</v>
      </c>
      <c r="F10052" t="s">
        <v>4</v>
      </c>
      <c r="G10052" t="str">
        <f>""</f>
        <v/>
      </c>
    </row>
    <row r="10053" spans="1:7" x14ac:dyDescent="0.25">
      <c r="A10053" t="s">
        <v>8</v>
      </c>
      <c r="B10053" s="1" t="str">
        <f>"000324337 - RICH FOODS-LA MADELEINE"</f>
        <v>000324337 - RICH FOODS-LA MADELEINE</v>
      </c>
      <c r="C10053" t="s">
        <v>130</v>
      </c>
      <c r="D10053" s="1" t="str">
        <f t="shared" si="277"/>
        <v>PRG-1035505</v>
      </c>
      <c r="E10053" t="s">
        <v>131</v>
      </c>
      <c r="F10053" t="s">
        <v>4</v>
      </c>
      <c r="G10053" t="str">
        <f>""</f>
        <v/>
      </c>
    </row>
    <row r="10054" spans="1:7" x14ac:dyDescent="0.25">
      <c r="A10054" t="s">
        <v>8</v>
      </c>
      <c r="B10054" s="1" t="str">
        <f>"000331450 - RICH FOODS-LA MADELEINE"</f>
        <v>000331450 - RICH FOODS-LA MADELEINE</v>
      </c>
      <c r="C10054" t="s">
        <v>130</v>
      </c>
      <c r="D10054" s="1" t="str">
        <f t="shared" si="277"/>
        <v>PRG-1035505</v>
      </c>
      <c r="E10054" t="s">
        <v>131</v>
      </c>
      <c r="F10054" t="s">
        <v>4</v>
      </c>
      <c r="G10054" t="str">
        <f>""</f>
        <v/>
      </c>
    </row>
    <row r="10055" spans="1:7" x14ac:dyDescent="0.25">
      <c r="A10055" t="s">
        <v>8</v>
      </c>
      <c r="B10055" s="1" t="str">
        <f>"000340922 - RICH FOODS-LA MADELEINE"</f>
        <v>000340922 - RICH FOODS-LA MADELEINE</v>
      </c>
      <c r="C10055" t="s">
        <v>130</v>
      </c>
      <c r="D10055" s="1" t="str">
        <f t="shared" si="277"/>
        <v>PRG-1035505</v>
      </c>
      <c r="E10055" t="s">
        <v>131</v>
      </c>
      <c r="F10055" t="s">
        <v>4</v>
      </c>
      <c r="G10055" t="str">
        <f>""</f>
        <v/>
      </c>
    </row>
    <row r="10056" spans="1:7" x14ac:dyDescent="0.25">
      <c r="A10056" t="s">
        <v>8</v>
      </c>
      <c r="B10056" s="1" t="str">
        <f>"000354443 - RICH FOODS-LA MADELEINE"</f>
        <v>000354443 - RICH FOODS-LA MADELEINE</v>
      </c>
      <c r="C10056" t="s">
        <v>130</v>
      </c>
      <c r="D10056" s="1" t="str">
        <f t="shared" si="277"/>
        <v>PRG-1035505</v>
      </c>
      <c r="E10056" t="s">
        <v>131</v>
      </c>
      <c r="F10056" t="s">
        <v>4</v>
      </c>
      <c r="G10056" t="str">
        <f>""</f>
        <v/>
      </c>
    </row>
    <row r="10057" spans="1:7" x14ac:dyDescent="0.25">
      <c r="A10057" t="s">
        <v>8</v>
      </c>
      <c r="B10057" s="1" t="str">
        <f>"2000323280 - RICH FOODS-LA MADELEINE"</f>
        <v>2000323280 - RICH FOODS-LA MADELEINE</v>
      </c>
      <c r="C10057" t="s">
        <v>130</v>
      </c>
      <c r="D10057" s="1" t="str">
        <f t="shared" si="277"/>
        <v>PRG-1035505</v>
      </c>
      <c r="E10057" t="s">
        <v>131</v>
      </c>
      <c r="F10057" t="s">
        <v>4</v>
      </c>
      <c r="G10057" t="str">
        <f>""</f>
        <v/>
      </c>
    </row>
    <row r="10058" spans="1:7" x14ac:dyDescent="0.25">
      <c r="A10058" t="s">
        <v>8</v>
      </c>
      <c r="B10058" s="1" t="str">
        <f>"2000419696 - "</f>
        <v xml:space="preserve">2000419696 - </v>
      </c>
      <c r="D10058" s="1" t="str">
        <f t="shared" si="277"/>
        <v>PRG-1035505</v>
      </c>
      <c r="E10058" t="s">
        <v>131</v>
      </c>
      <c r="F10058" t="s">
        <v>4</v>
      </c>
      <c r="G10058" t="str">
        <f>""</f>
        <v/>
      </c>
    </row>
    <row r="10059" spans="1:7" x14ac:dyDescent="0.25">
      <c r="A10059" t="s">
        <v>8</v>
      </c>
      <c r="B10059" s="1" t="str">
        <f>"365059 - "</f>
        <v xml:space="preserve">365059 - </v>
      </c>
      <c r="D10059" s="1" t="str">
        <f t="shared" si="277"/>
        <v>PRG-1035505</v>
      </c>
      <c r="E10059" t="s">
        <v>131</v>
      </c>
      <c r="F10059" t="s">
        <v>4</v>
      </c>
      <c r="G10059" t="str">
        <f>""</f>
        <v/>
      </c>
    </row>
    <row r="10060" spans="1:7" x14ac:dyDescent="0.25">
      <c r="A10060" t="s">
        <v>8</v>
      </c>
      <c r="B10060" s="1" t="str">
        <f>"000220591 - RICH FOODS- MIMI"</f>
        <v>000220591 - RICH FOODS- MIMI</v>
      </c>
      <c r="C10060" t="s">
        <v>1589</v>
      </c>
      <c r="D10060" s="1" t="str">
        <f t="shared" ref="D10060:D10067" si="278">"PRG-1035506"</f>
        <v>PRG-1035506</v>
      </c>
      <c r="E10060" t="s">
        <v>218</v>
      </c>
      <c r="F10060" t="s">
        <v>4</v>
      </c>
      <c r="G10060" t="str">
        <f>""</f>
        <v/>
      </c>
    </row>
    <row r="10061" spans="1:7" x14ac:dyDescent="0.25">
      <c r="A10061" t="s">
        <v>8</v>
      </c>
      <c r="B10061" s="1" t="str">
        <f>"000262388 - RICH FOODS- MIMI"</f>
        <v>000262388 - RICH FOODS- MIMI</v>
      </c>
      <c r="C10061" t="s">
        <v>281</v>
      </c>
      <c r="D10061" s="1" t="str">
        <f t="shared" si="278"/>
        <v>PRG-1035506</v>
      </c>
      <c r="E10061" t="s">
        <v>218</v>
      </c>
      <c r="F10061" t="s">
        <v>4</v>
      </c>
      <c r="G10061" t="str">
        <f>""</f>
        <v/>
      </c>
    </row>
    <row r="10062" spans="1:7" x14ac:dyDescent="0.25">
      <c r="A10062" t="s">
        <v>8</v>
      </c>
      <c r="B10062" s="1" t="str">
        <f>"000271247 - RICH (CORE)   SODEXO"</f>
        <v>000271247 - RICH (CORE)   SODEXO</v>
      </c>
      <c r="C10062" t="s">
        <v>2488</v>
      </c>
      <c r="D10062" s="1" t="str">
        <f t="shared" si="278"/>
        <v>PRG-1035506</v>
      </c>
      <c r="E10062" t="s">
        <v>218</v>
      </c>
      <c r="F10062" t="s">
        <v>4</v>
      </c>
      <c r="G10062" t="str">
        <f>""</f>
        <v/>
      </c>
    </row>
    <row r="10063" spans="1:7" x14ac:dyDescent="0.25">
      <c r="A10063" t="s">
        <v>8</v>
      </c>
      <c r="B10063" s="1" t="str">
        <f>"000303144 - RICH FOODS- MIMI"</f>
        <v>000303144 - RICH FOODS- MIMI</v>
      </c>
      <c r="C10063" t="s">
        <v>281</v>
      </c>
      <c r="D10063" s="1" t="str">
        <f t="shared" si="278"/>
        <v>PRG-1035506</v>
      </c>
      <c r="E10063" t="s">
        <v>218</v>
      </c>
      <c r="F10063" t="s">
        <v>4</v>
      </c>
      <c r="G10063" t="str">
        <f>""</f>
        <v/>
      </c>
    </row>
    <row r="10064" spans="1:7" x14ac:dyDescent="0.25">
      <c r="A10064" t="s">
        <v>8</v>
      </c>
      <c r="B10064" s="1" t="str">
        <f>"000340923 - RICH FOODS- MIMI"</f>
        <v>000340923 - RICH FOODS- MIMI</v>
      </c>
      <c r="C10064" t="s">
        <v>281</v>
      </c>
      <c r="D10064" s="1" t="str">
        <f t="shared" si="278"/>
        <v>PRG-1035506</v>
      </c>
      <c r="E10064" t="s">
        <v>218</v>
      </c>
      <c r="F10064" t="s">
        <v>4</v>
      </c>
      <c r="G10064" t="str">
        <f>""</f>
        <v/>
      </c>
    </row>
    <row r="10065" spans="1:7" x14ac:dyDescent="0.25">
      <c r="A10065" t="s">
        <v>8</v>
      </c>
      <c r="B10065" s="1" t="str">
        <f>"000382216 - RICH FOODS- MIMI"</f>
        <v>000382216 - RICH FOODS- MIMI</v>
      </c>
      <c r="C10065" t="s">
        <v>281</v>
      </c>
      <c r="D10065" s="1" t="str">
        <f t="shared" si="278"/>
        <v>PRG-1035506</v>
      </c>
      <c r="E10065" t="s">
        <v>218</v>
      </c>
      <c r="F10065" t="s">
        <v>4</v>
      </c>
      <c r="G10065" t="str">
        <f>""</f>
        <v/>
      </c>
    </row>
    <row r="10066" spans="1:7" x14ac:dyDescent="0.25">
      <c r="A10066" t="s">
        <v>8</v>
      </c>
      <c r="B10066" s="1" t="str">
        <f>"2000419695 - RICH FOODS-MIMI'S CAFE"</f>
        <v>2000419695 - RICH FOODS-MIMI'S CAFE</v>
      </c>
      <c r="C10066" t="s">
        <v>4072</v>
      </c>
      <c r="D10066" s="1" t="str">
        <f t="shared" si="278"/>
        <v>PRG-1035506</v>
      </c>
      <c r="E10066" t="s">
        <v>218</v>
      </c>
      <c r="F10066" t="s">
        <v>4</v>
      </c>
      <c r="G10066" t="str">
        <f>""</f>
        <v/>
      </c>
    </row>
    <row r="10067" spans="1:7" x14ac:dyDescent="0.25">
      <c r="A10067" t="s">
        <v>8</v>
      </c>
      <c r="B10067" s="1" t="str">
        <f>"365378 - "</f>
        <v xml:space="preserve">365378 - </v>
      </c>
      <c r="D10067" s="1" t="str">
        <f t="shared" si="278"/>
        <v>PRG-1035506</v>
      </c>
      <c r="E10067" t="s">
        <v>218</v>
      </c>
      <c r="F10067" t="s">
        <v>4</v>
      </c>
      <c r="G10067" t="str">
        <f>""</f>
        <v/>
      </c>
    </row>
    <row r="10068" spans="1:7" x14ac:dyDescent="0.25">
      <c r="A10068" t="s">
        <v>8</v>
      </c>
      <c r="B10068" s="1" t="str">
        <f>"000218103 - CAESARS--RICH PROD"</f>
        <v>000218103 - CAESARS--RICH PROD</v>
      </c>
      <c r="C10068" t="s">
        <v>1202</v>
      </c>
      <c r="D10068" s="1" t="str">
        <f>"PRG-1035564"</f>
        <v>PRG-1035564</v>
      </c>
      <c r="E10068" t="s">
        <v>702</v>
      </c>
      <c r="F10068" t="s">
        <v>4</v>
      </c>
      <c r="G10068" t="str">
        <f>""</f>
        <v/>
      </c>
    </row>
    <row r="10069" spans="1:7" x14ac:dyDescent="0.25">
      <c r="A10069" t="s">
        <v>8</v>
      </c>
      <c r="B10069" s="1" t="str">
        <f>"000260903 - RICH FOODS  HARRAH CAESAR"</f>
        <v>000260903 - RICH FOODS  HARRAH CAESAR</v>
      </c>
      <c r="C10069" t="s">
        <v>1470</v>
      </c>
      <c r="D10069" s="1" t="str">
        <f>"PRG-1035564"</f>
        <v>PRG-1035564</v>
      </c>
      <c r="E10069" t="s">
        <v>702</v>
      </c>
      <c r="F10069" t="s">
        <v>4</v>
      </c>
      <c r="G10069" t="str">
        <f>""</f>
        <v/>
      </c>
    </row>
    <row r="10070" spans="1:7" x14ac:dyDescent="0.25">
      <c r="A10070" t="s">
        <v>8</v>
      </c>
      <c r="B10070" s="1" t="str">
        <f>"000323722 - "</f>
        <v xml:space="preserve">000323722 - </v>
      </c>
      <c r="D10070" s="1" t="str">
        <f>"PRG-1035617"</f>
        <v>PRG-1035617</v>
      </c>
      <c r="E10070" t="s">
        <v>3271</v>
      </c>
      <c r="F10070" t="s">
        <v>4</v>
      </c>
      <c r="G10070" t="str">
        <f>""</f>
        <v/>
      </c>
    </row>
    <row r="10071" spans="1:7" x14ac:dyDescent="0.25">
      <c r="A10071" t="s">
        <v>8</v>
      </c>
      <c r="B10071" s="1" t="str">
        <f>"000331987 - RICH PRODUCTS BUC-EES"</f>
        <v>000331987 - RICH PRODUCTS BUC-EES</v>
      </c>
      <c r="C10071" t="s">
        <v>3196</v>
      </c>
      <c r="D10071" s="1" t="str">
        <f>"PRG-1035619"</f>
        <v>PRG-1035619</v>
      </c>
      <c r="E10071" t="s">
        <v>3351</v>
      </c>
      <c r="F10071" t="s">
        <v>4</v>
      </c>
      <c r="G10071" t="str">
        <f>""</f>
        <v/>
      </c>
    </row>
    <row r="10072" spans="1:7" x14ac:dyDescent="0.25">
      <c r="A10072" t="s">
        <v>8</v>
      </c>
      <c r="B10072" s="1" t="str">
        <f>"000369223 - RICH PRODCUTS TREASURE ISLAND"</f>
        <v>000369223 - RICH PRODCUTS TREASURE ISLAND</v>
      </c>
      <c r="C10072" t="s">
        <v>3003</v>
      </c>
      <c r="D10072" s="1" t="str">
        <f>"PRG-1035622"</f>
        <v>PRG-1035622</v>
      </c>
      <c r="E10072" t="s">
        <v>3004</v>
      </c>
      <c r="F10072" t="s">
        <v>4</v>
      </c>
      <c r="G10072" t="str">
        <f>""</f>
        <v/>
      </c>
    </row>
    <row r="10073" spans="1:7" x14ac:dyDescent="0.25">
      <c r="A10073" t="s">
        <v>8</v>
      </c>
      <c r="B10073" s="1" t="str">
        <f>"000369226 - RICH PRODUCTS D BRIANS DELI"</f>
        <v>000369226 - RICH PRODUCTS D BRIANS DELI</v>
      </c>
      <c r="C10073" t="s">
        <v>3439</v>
      </c>
      <c r="D10073" s="1" t="str">
        <f>"PRG-1035631"</f>
        <v>PRG-1035631</v>
      </c>
      <c r="E10073" t="s">
        <v>3619</v>
      </c>
      <c r="F10073" t="s">
        <v>4</v>
      </c>
      <c r="G10073" t="str">
        <f>""</f>
        <v/>
      </c>
    </row>
    <row r="10074" spans="1:7" x14ac:dyDescent="0.25">
      <c r="A10074" t="s">
        <v>8</v>
      </c>
      <c r="B10074" s="1" t="str">
        <f>"S1Z0NAW0"</f>
        <v>S1Z0NAW0</v>
      </c>
      <c r="C10074" t="s">
        <v>5421</v>
      </c>
      <c r="D10074" s="1" t="str">
        <f>"PRG-1035633"</f>
        <v>PRG-1035633</v>
      </c>
      <c r="E10074" t="s">
        <v>5422</v>
      </c>
      <c r="F10074" t="s">
        <v>5</v>
      </c>
      <c r="G10074" t="str">
        <f>""</f>
        <v/>
      </c>
    </row>
    <row r="10075" spans="1:7" x14ac:dyDescent="0.25">
      <c r="A10075" t="s">
        <v>8</v>
      </c>
      <c r="B10075" s="1" t="str">
        <f>"000234667 - RICHS MOBILE 101"</f>
        <v>000234667 - RICHS MOBILE 101</v>
      </c>
      <c r="C10075" t="s">
        <v>1832</v>
      </c>
      <c r="D10075" s="1" t="str">
        <f>"PRG-1035648"</f>
        <v>PRG-1035648</v>
      </c>
      <c r="E10075" t="s">
        <v>1833</v>
      </c>
      <c r="F10075" t="s">
        <v>4</v>
      </c>
      <c r="G10075" t="str">
        <f>""</f>
        <v/>
      </c>
    </row>
    <row r="10076" spans="1:7" x14ac:dyDescent="0.25">
      <c r="A10076" t="s">
        <v>8</v>
      </c>
      <c r="B10076" s="1" t="str">
        <f>"2350H244"</f>
        <v>2350H244</v>
      </c>
      <c r="C10076" t="s">
        <v>4537</v>
      </c>
      <c r="D10076" s="1" t="str">
        <f>"PRG-1035663"</f>
        <v>PRG-1035663</v>
      </c>
      <c r="E10076" t="s">
        <v>4538</v>
      </c>
      <c r="F10076" t="s">
        <v>5</v>
      </c>
      <c r="G10076" t="str">
        <f>""</f>
        <v/>
      </c>
    </row>
    <row r="10077" spans="1:7" x14ac:dyDescent="0.25">
      <c r="A10077" t="s">
        <v>8</v>
      </c>
      <c r="B10077" s="1" t="str">
        <f>"60291166"</f>
        <v>60291166</v>
      </c>
      <c r="C10077" t="s">
        <v>5223</v>
      </c>
      <c r="D10077" s="1" t="str">
        <f>"PRG-1035687"</f>
        <v>PRG-1035687</v>
      </c>
      <c r="E10077" t="s">
        <v>5224</v>
      </c>
      <c r="F10077" t="s">
        <v>5</v>
      </c>
      <c r="G10077" t="str">
        <f>""</f>
        <v/>
      </c>
    </row>
    <row r="10078" spans="1:7" x14ac:dyDescent="0.25">
      <c r="A10078" t="s">
        <v>8</v>
      </c>
      <c r="B10078" s="1" t="str">
        <f>"000005085 - RICH PRODUCTS-SIZZLER"</f>
        <v>000005085 - RICH PRODUCTS-SIZZLER</v>
      </c>
      <c r="C10078" t="s">
        <v>210</v>
      </c>
      <c r="D10078" s="1" t="str">
        <f t="shared" ref="D10078:D10089" si="279">"PRG-1035691"</f>
        <v>PRG-1035691</v>
      </c>
      <c r="E10078" t="s">
        <v>211</v>
      </c>
      <c r="F10078" t="s">
        <v>4</v>
      </c>
      <c r="G10078" t="str">
        <f>""</f>
        <v/>
      </c>
    </row>
    <row r="10079" spans="1:7" x14ac:dyDescent="0.25">
      <c r="A10079" t="s">
        <v>8</v>
      </c>
      <c r="B10079" s="1" t="str">
        <f>"000072051 - RICH PRODUCTS-SIZZLER"</f>
        <v>000072051 - RICH PRODUCTS-SIZZLER</v>
      </c>
      <c r="C10079" t="s">
        <v>210</v>
      </c>
      <c r="D10079" s="1" t="str">
        <f t="shared" si="279"/>
        <v>PRG-1035691</v>
      </c>
      <c r="E10079" t="s">
        <v>211</v>
      </c>
      <c r="F10079" t="s">
        <v>4</v>
      </c>
      <c r="G10079" t="str">
        <f>""</f>
        <v/>
      </c>
    </row>
    <row r="10080" spans="1:7" x14ac:dyDescent="0.25">
      <c r="A10080" t="s">
        <v>8</v>
      </c>
      <c r="B10080" s="1" t="str">
        <f>"000264179 - RICH PRODUCTS-SIZZLER"</f>
        <v>000264179 - RICH PRODUCTS-SIZZLER</v>
      </c>
      <c r="C10080" t="s">
        <v>210</v>
      </c>
      <c r="D10080" s="1" t="str">
        <f t="shared" si="279"/>
        <v>PRG-1035691</v>
      </c>
      <c r="E10080" t="s">
        <v>211</v>
      </c>
      <c r="F10080" t="s">
        <v>4</v>
      </c>
      <c r="G10080" t="str">
        <f>""</f>
        <v/>
      </c>
    </row>
    <row r="10081" spans="1:7" x14ac:dyDescent="0.25">
      <c r="A10081" t="s">
        <v>8</v>
      </c>
      <c r="B10081" s="1" t="str">
        <f>"000313997 - RICH PRODUCTS-SIZZLER"</f>
        <v>000313997 - RICH PRODUCTS-SIZZLER</v>
      </c>
      <c r="C10081" t="s">
        <v>210</v>
      </c>
      <c r="D10081" s="1" t="str">
        <f t="shared" si="279"/>
        <v>PRG-1035691</v>
      </c>
      <c r="E10081" t="s">
        <v>211</v>
      </c>
      <c r="F10081" t="s">
        <v>4</v>
      </c>
      <c r="G10081" t="str">
        <f>""</f>
        <v/>
      </c>
    </row>
    <row r="10082" spans="1:7" x14ac:dyDescent="0.25">
      <c r="A10082" t="s">
        <v>8</v>
      </c>
      <c r="B10082" s="1" t="str">
        <f>"000314486 - RICH PROD REESE SIZZLER"</f>
        <v>000314486 - RICH PROD REESE SIZZLER</v>
      </c>
      <c r="C10082" t="s">
        <v>3163</v>
      </c>
      <c r="D10082" s="1" t="str">
        <f t="shared" si="279"/>
        <v>PRG-1035691</v>
      </c>
      <c r="E10082" t="s">
        <v>211</v>
      </c>
      <c r="F10082" t="s">
        <v>4</v>
      </c>
      <c r="G10082" t="str">
        <f>""</f>
        <v/>
      </c>
    </row>
    <row r="10083" spans="1:7" x14ac:dyDescent="0.25">
      <c r="A10083" t="s">
        <v>8</v>
      </c>
      <c r="B10083" s="1" t="str">
        <f>"000321762 - "</f>
        <v xml:space="preserve">000321762 - </v>
      </c>
      <c r="D10083" s="1" t="str">
        <f t="shared" si="279"/>
        <v>PRG-1035691</v>
      </c>
      <c r="E10083" t="s">
        <v>211</v>
      </c>
      <c r="F10083" t="s">
        <v>4</v>
      </c>
      <c r="G10083" t="str">
        <f>""</f>
        <v/>
      </c>
    </row>
    <row r="10084" spans="1:7" x14ac:dyDescent="0.25">
      <c r="A10084" t="s">
        <v>8</v>
      </c>
      <c r="B10084" s="1" t="str">
        <f>"000347010 - "</f>
        <v xml:space="preserve">000347010 - </v>
      </c>
      <c r="D10084" s="1" t="str">
        <f t="shared" si="279"/>
        <v>PRG-1035691</v>
      </c>
      <c r="E10084" t="s">
        <v>211</v>
      </c>
      <c r="F10084" t="s">
        <v>4</v>
      </c>
      <c r="G10084" t="str">
        <f>""</f>
        <v/>
      </c>
    </row>
    <row r="10085" spans="1:7" x14ac:dyDescent="0.25">
      <c r="A10085" t="s">
        <v>8</v>
      </c>
      <c r="B10085" s="1" t="str">
        <f>"000352831 - "</f>
        <v xml:space="preserve">000352831 - </v>
      </c>
      <c r="D10085" s="1" t="str">
        <f t="shared" si="279"/>
        <v>PRG-1035691</v>
      </c>
      <c r="E10085" t="s">
        <v>211</v>
      </c>
      <c r="F10085" t="s">
        <v>4</v>
      </c>
      <c r="G10085" t="str">
        <f>""</f>
        <v/>
      </c>
    </row>
    <row r="10086" spans="1:7" x14ac:dyDescent="0.25">
      <c r="A10086" t="s">
        <v>8</v>
      </c>
      <c r="B10086" s="1" t="str">
        <f>"000383770 - RICH PRODUCTS-SIZZLER"</f>
        <v>000383770 - RICH PRODUCTS-SIZZLER</v>
      </c>
      <c r="C10086" t="s">
        <v>210</v>
      </c>
      <c r="D10086" s="1" t="str">
        <f t="shared" si="279"/>
        <v>PRG-1035691</v>
      </c>
      <c r="E10086" t="s">
        <v>211</v>
      </c>
      <c r="F10086" t="s">
        <v>4</v>
      </c>
      <c r="G10086" t="str">
        <f>""</f>
        <v/>
      </c>
    </row>
    <row r="10087" spans="1:7" x14ac:dyDescent="0.25">
      <c r="A10087" t="s">
        <v>8</v>
      </c>
      <c r="B10087" s="1" t="str">
        <f>"2000427970 - RICH FOODS-SIZZLER USA"</f>
        <v>2000427970 - RICH FOODS-SIZZLER USA</v>
      </c>
      <c r="C10087" t="s">
        <v>960</v>
      </c>
      <c r="D10087" s="1" t="str">
        <f t="shared" si="279"/>
        <v>PRG-1035691</v>
      </c>
      <c r="E10087" t="s">
        <v>211</v>
      </c>
      <c r="F10087" t="s">
        <v>4</v>
      </c>
      <c r="G10087" t="str">
        <f>""</f>
        <v/>
      </c>
    </row>
    <row r="10088" spans="1:7" x14ac:dyDescent="0.25">
      <c r="A10088" t="s">
        <v>8</v>
      </c>
      <c r="B10088" s="1" t="str">
        <f>"41184569"</f>
        <v>41184569</v>
      </c>
      <c r="C10088" t="s">
        <v>4969</v>
      </c>
      <c r="D10088" s="1" t="str">
        <f t="shared" si="279"/>
        <v>PRG-1035691</v>
      </c>
      <c r="E10088" t="s">
        <v>211</v>
      </c>
      <c r="F10088" t="s">
        <v>5</v>
      </c>
      <c r="G10088" t="str">
        <f>""</f>
        <v/>
      </c>
    </row>
    <row r="10089" spans="1:7" x14ac:dyDescent="0.25">
      <c r="A10089" t="s">
        <v>8</v>
      </c>
      <c r="B10089" s="1" t="str">
        <f>"S4H002J0"</f>
        <v>S4H002J0</v>
      </c>
      <c r="C10089" t="s">
        <v>5707</v>
      </c>
      <c r="D10089" s="1" t="str">
        <f t="shared" si="279"/>
        <v>PRG-1035691</v>
      </c>
      <c r="E10089" t="s">
        <v>211</v>
      </c>
      <c r="F10089" t="s">
        <v>5</v>
      </c>
      <c r="G10089" t="str">
        <f>""</f>
        <v/>
      </c>
    </row>
    <row r="10090" spans="1:7" x14ac:dyDescent="0.25">
      <c r="A10090" t="s">
        <v>8</v>
      </c>
      <c r="B10090" s="1" t="str">
        <f>"000159097 - RICH NC BB-SONNYS"</f>
        <v>000159097 - RICH NC BB-SONNYS</v>
      </c>
      <c r="C10090" t="s">
        <v>1016</v>
      </c>
      <c r="D10090" s="1" t="str">
        <f t="shared" ref="D10090:D10100" si="280">"PRG-1035708"</f>
        <v>PRG-1035708</v>
      </c>
      <c r="E10090" t="s">
        <v>793</v>
      </c>
      <c r="F10090" t="s">
        <v>4</v>
      </c>
      <c r="G10090" t="str">
        <f>""</f>
        <v/>
      </c>
    </row>
    <row r="10091" spans="1:7" x14ac:dyDescent="0.25">
      <c r="A10091" t="s">
        <v>8</v>
      </c>
      <c r="B10091" s="1" t="str">
        <f>"000159098 - RICH CBB-SONNY'S BBQ"</f>
        <v>000159098 - RICH CBB-SONNY'S BBQ</v>
      </c>
      <c r="C10091" t="s">
        <v>1035</v>
      </c>
      <c r="D10091" s="1" t="str">
        <f t="shared" si="280"/>
        <v>PRG-1035708</v>
      </c>
      <c r="E10091" t="s">
        <v>793</v>
      </c>
      <c r="F10091" t="s">
        <v>4</v>
      </c>
      <c r="G10091" t="str">
        <f>""</f>
        <v/>
      </c>
    </row>
    <row r="10092" spans="1:7" x14ac:dyDescent="0.25">
      <c r="A10092" t="s">
        <v>8</v>
      </c>
      <c r="B10092" s="1" t="str">
        <f>"000164744 - RICH FOODS-SONNYS BBQ"</f>
        <v>000164744 - RICH FOODS-SONNYS BBQ</v>
      </c>
      <c r="C10092" t="s">
        <v>1055</v>
      </c>
      <c r="D10092" s="1" t="str">
        <f t="shared" si="280"/>
        <v>PRG-1035708</v>
      </c>
      <c r="E10092" t="s">
        <v>793</v>
      </c>
      <c r="F10092" t="s">
        <v>4</v>
      </c>
      <c r="G10092" t="str">
        <f>""</f>
        <v/>
      </c>
    </row>
    <row r="10093" spans="1:7" x14ac:dyDescent="0.25">
      <c r="A10093" t="s">
        <v>8</v>
      </c>
      <c r="B10093" s="1" t="str">
        <f>"000275752 - RICH NC BB-SONNYS"</f>
        <v>000275752 - RICH NC BB-SONNYS</v>
      </c>
      <c r="C10093" t="s">
        <v>1016</v>
      </c>
      <c r="D10093" s="1" t="str">
        <f t="shared" si="280"/>
        <v>PRG-1035708</v>
      </c>
      <c r="E10093" t="s">
        <v>793</v>
      </c>
      <c r="F10093" t="s">
        <v>4</v>
      </c>
      <c r="G10093" t="str">
        <f>""</f>
        <v/>
      </c>
    </row>
    <row r="10094" spans="1:7" x14ac:dyDescent="0.25">
      <c r="A10094" t="s">
        <v>8</v>
      </c>
      <c r="B10094" s="1" t="str">
        <f>"000283048 - RICH FOODS-SONNYS BBQ"</f>
        <v>000283048 - RICH FOODS-SONNYS BBQ</v>
      </c>
      <c r="C10094" t="s">
        <v>1055</v>
      </c>
      <c r="D10094" s="1" t="str">
        <f t="shared" si="280"/>
        <v>PRG-1035708</v>
      </c>
      <c r="E10094" t="s">
        <v>793</v>
      </c>
      <c r="F10094" t="s">
        <v>4</v>
      </c>
      <c r="G10094" t="str">
        <f>""</f>
        <v/>
      </c>
    </row>
    <row r="10095" spans="1:7" x14ac:dyDescent="0.25">
      <c r="A10095" t="s">
        <v>8</v>
      </c>
      <c r="B10095" s="1" t="str">
        <f>"000348147 - "</f>
        <v xml:space="preserve">000348147 - </v>
      </c>
      <c r="D10095" s="1" t="str">
        <f t="shared" si="280"/>
        <v>PRG-1035708</v>
      </c>
      <c r="E10095" t="s">
        <v>793</v>
      </c>
      <c r="F10095" t="s">
        <v>4</v>
      </c>
      <c r="G10095" t="str">
        <f>""</f>
        <v/>
      </c>
    </row>
    <row r="10096" spans="1:7" x14ac:dyDescent="0.25">
      <c r="A10096" t="s">
        <v>8</v>
      </c>
      <c r="B10096" s="1" t="str">
        <f>"000348148 - "</f>
        <v xml:space="preserve">000348148 - </v>
      </c>
      <c r="D10096" s="1" t="str">
        <f t="shared" si="280"/>
        <v>PRG-1035708</v>
      </c>
      <c r="E10096" t="s">
        <v>793</v>
      </c>
      <c r="F10096" t="s">
        <v>4</v>
      </c>
      <c r="G10096" t="str">
        <f>""</f>
        <v/>
      </c>
    </row>
    <row r="10097" spans="1:7" x14ac:dyDescent="0.25">
      <c r="A10097" t="s">
        <v>8</v>
      </c>
      <c r="B10097" s="1" t="str">
        <f>"000357286 - RICH NC BB-SONNYS"</f>
        <v>000357286 - RICH NC BB-SONNYS</v>
      </c>
      <c r="C10097" t="s">
        <v>1016</v>
      </c>
      <c r="D10097" s="1" t="str">
        <f t="shared" si="280"/>
        <v>PRG-1035708</v>
      </c>
      <c r="E10097" t="s">
        <v>793</v>
      </c>
      <c r="F10097" t="s">
        <v>4</v>
      </c>
      <c r="G10097" t="str">
        <f>""</f>
        <v/>
      </c>
    </row>
    <row r="10098" spans="1:7" x14ac:dyDescent="0.25">
      <c r="A10098" t="s">
        <v>8</v>
      </c>
      <c r="B10098" s="1" t="str">
        <f>"000357287 - RICH CBB-SONNY'S BBQ"</f>
        <v>000357287 - RICH CBB-SONNY'S BBQ</v>
      </c>
      <c r="C10098" t="s">
        <v>1035</v>
      </c>
      <c r="D10098" s="1" t="str">
        <f t="shared" si="280"/>
        <v>PRG-1035708</v>
      </c>
      <c r="E10098" t="s">
        <v>793</v>
      </c>
      <c r="F10098" t="s">
        <v>4</v>
      </c>
      <c r="G10098" t="str">
        <f>""</f>
        <v/>
      </c>
    </row>
    <row r="10099" spans="1:7" x14ac:dyDescent="0.25">
      <c r="A10099" t="s">
        <v>8</v>
      </c>
      <c r="B10099" s="1" t="str">
        <f>"000365725 - RICH FOODS-SONNYS BBQ"</f>
        <v>000365725 - RICH FOODS-SONNYS BBQ</v>
      </c>
      <c r="C10099" t="s">
        <v>1055</v>
      </c>
      <c r="D10099" s="1" t="str">
        <f t="shared" si="280"/>
        <v>PRG-1035708</v>
      </c>
      <c r="E10099" t="s">
        <v>793</v>
      </c>
      <c r="F10099" t="s">
        <v>4</v>
      </c>
      <c r="G10099" t="str">
        <f>""</f>
        <v/>
      </c>
    </row>
    <row r="10100" spans="1:7" x14ac:dyDescent="0.25">
      <c r="A10100" t="s">
        <v>8</v>
      </c>
      <c r="B10100" s="1" t="str">
        <f>"357022 - "</f>
        <v xml:space="preserve">357022 - </v>
      </c>
      <c r="D10100" s="1" t="str">
        <f t="shared" si="280"/>
        <v>PRG-1035708</v>
      </c>
      <c r="E10100" t="s">
        <v>793</v>
      </c>
      <c r="F10100" t="s">
        <v>4</v>
      </c>
      <c r="G10100" t="str">
        <f>""</f>
        <v/>
      </c>
    </row>
    <row r="10101" spans="1:7" x14ac:dyDescent="0.25">
      <c r="A10101" t="s">
        <v>8</v>
      </c>
      <c r="B10101" s="1" t="str">
        <f>"000128506 - RICH OVATIONS"</f>
        <v>000128506 - RICH OVATIONS</v>
      </c>
      <c r="C10101" t="s">
        <v>785</v>
      </c>
      <c r="D10101" s="1" t="str">
        <f>"PRG-1035710"</f>
        <v>PRG-1035710</v>
      </c>
      <c r="E10101" t="s">
        <v>781</v>
      </c>
      <c r="F10101" t="s">
        <v>4</v>
      </c>
      <c r="G10101" t="str">
        <f>""</f>
        <v/>
      </c>
    </row>
    <row r="10102" spans="1:7" x14ac:dyDescent="0.25">
      <c r="A10102" t="s">
        <v>8</v>
      </c>
      <c r="B10102" s="1" t="str">
        <f>"000005893 - RICH NCBB-HURRICANE GRILL"</f>
        <v>000005893 - RICH NCBB-HURRICANE GRILL</v>
      </c>
      <c r="C10102" t="s">
        <v>232</v>
      </c>
      <c r="D10102" s="1" t="str">
        <f t="shared" ref="D10102:D10113" si="281">"PRG-1035711"</f>
        <v>PRG-1035711</v>
      </c>
      <c r="E10102" t="s">
        <v>233</v>
      </c>
      <c r="F10102" t="s">
        <v>4</v>
      </c>
      <c r="G10102" t="str">
        <f>""</f>
        <v/>
      </c>
    </row>
    <row r="10103" spans="1:7" x14ac:dyDescent="0.25">
      <c r="A10103" t="s">
        <v>8</v>
      </c>
      <c r="B10103" s="1" t="str">
        <f>"000058623 - RICH NCBB-HURRICANE GRILL"</f>
        <v>000058623 - RICH NCBB-HURRICANE GRILL</v>
      </c>
      <c r="C10103" t="s">
        <v>232</v>
      </c>
      <c r="D10103" s="1" t="str">
        <f t="shared" si="281"/>
        <v>PRG-1035711</v>
      </c>
      <c r="E10103" t="s">
        <v>233</v>
      </c>
      <c r="F10103" t="s">
        <v>4</v>
      </c>
      <c r="G10103" t="str">
        <f>""</f>
        <v/>
      </c>
    </row>
    <row r="10104" spans="1:7" x14ac:dyDescent="0.25">
      <c r="A10104" t="s">
        <v>8</v>
      </c>
      <c r="B10104" s="1" t="str">
        <f>"000058625 - RICH CORE BB-HURRICANE GRILL"</f>
        <v>000058625 - RICH CORE BB-HURRICANE GRILL</v>
      </c>
      <c r="C10104" t="s">
        <v>648</v>
      </c>
      <c r="D10104" s="1" t="str">
        <f t="shared" si="281"/>
        <v>PRG-1035711</v>
      </c>
      <c r="E10104" t="s">
        <v>233</v>
      </c>
      <c r="F10104" t="s">
        <v>4</v>
      </c>
      <c r="G10104" t="str">
        <f>""</f>
        <v/>
      </c>
    </row>
    <row r="10105" spans="1:7" x14ac:dyDescent="0.25">
      <c r="A10105" t="s">
        <v>8</v>
      </c>
      <c r="B10105" s="1" t="str">
        <f>"000129403 - RICH NCBB-HURRICANE GRILL"</f>
        <v>000129403 - RICH NCBB-HURRICANE GRILL</v>
      </c>
      <c r="C10105" t="s">
        <v>232</v>
      </c>
      <c r="D10105" s="1" t="str">
        <f t="shared" si="281"/>
        <v>PRG-1035711</v>
      </c>
      <c r="E10105" t="s">
        <v>233</v>
      </c>
      <c r="F10105" t="s">
        <v>4</v>
      </c>
      <c r="G10105" t="str">
        <f>""</f>
        <v/>
      </c>
    </row>
    <row r="10106" spans="1:7" x14ac:dyDescent="0.25">
      <c r="A10106" t="s">
        <v>8</v>
      </c>
      <c r="B10106" s="1" t="str">
        <f>"000159088 - RICH NCBB-HURRICANE GRILL"</f>
        <v>000159088 - RICH NCBB-HURRICANE GRILL</v>
      </c>
      <c r="C10106" t="s">
        <v>232</v>
      </c>
      <c r="D10106" s="1" t="str">
        <f t="shared" si="281"/>
        <v>PRG-1035711</v>
      </c>
      <c r="E10106" t="s">
        <v>233</v>
      </c>
      <c r="F10106" t="s">
        <v>4</v>
      </c>
      <c r="G10106" t="str">
        <f>""</f>
        <v/>
      </c>
    </row>
    <row r="10107" spans="1:7" x14ac:dyDescent="0.25">
      <c r="A10107" t="s">
        <v>8</v>
      </c>
      <c r="B10107" s="1" t="str">
        <f>"000249214 - RICH NCBB-HURRICANE GRILL"</f>
        <v>000249214 - RICH NCBB-HURRICANE GRILL</v>
      </c>
      <c r="C10107" t="s">
        <v>232</v>
      </c>
      <c r="D10107" s="1" t="str">
        <f t="shared" si="281"/>
        <v>PRG-1035711</v>
      </c>
      <c r="E10107" t="s">
        <v>233</v>
      </c>
      <c r="F10107" t="s">
        <v>4</v>
      </c>
      <c r="G10107" t="str">
        <f>""</f>
        <v/>
      </c>
    </row>
    <row r="10108" spans="1:7" x14ac:dyDescent="0.25">
      <c r="A10108" t="s">
        <v>8</v>
      </c>
      <c r="B10108" s="1" t="str">
        <f>"000249217 - RICH CORE BB-HURRICANE GRILL"</f>
        <v>000249217 - RICH CORE BB-HURRICANE GRILL</v>
      </c>
      <c r="C10108" t="s">
        <v>648</v>
      </c>
      <c r="D10108" s="1" t="str">
        <f t="shared" si="281"/>
        <v>PRG-1035711</v>
      </c>
      <c r="E10108" t="s">
        <v>233</v>
      </c>
      <c r="F10108" t="s">
        <v>4</v>
      </c>
      <c r="G10108" t="str">
        <f>""</f>
        <v/>
      </c>
    </row>
    <row r="10109" spans="1:7" x14ac:dyDescent="0.25">
      <c r="A10109" t="s">
        <v>8</v>
      </c>
      <c r="B10109" s="1" t="str">
        <f>"000252494 - "</f>
        <v xml:space="preserve">000252494 - </v>
      </c>
      <c r="D10109" s="1" t="str">
        <f t="shared" si="281"/>
        <v>PRG-1035711</v>
      </c>
      <c r="E10109" t="s">
        <v>233</v>
      </c>
      <c r="F10109" t="s">
        <v>4</v>
      </c>
      <c r="G10109" t="str">
        <f>""</f>
        <v/>
      </c>
    </row>
    <row r="10110" spans="1:7" x14ac:dyDescent="0.25">
      <c r="A10110" t="s">
        <v>8</v>
      </c>
      <c r="B10110" s="1" t="str">
        <f>"000267987 - RICH NCBB-HURRICANE GRILL"</f>
        <v>000267987 - RICH NCBB-HURRICANE GRILL</v>
      </c>
      <c r="C10110" t="s">
        <v>232</v>
      </c>
      <c r="D10110" s="1" t="str">
        <f t="shared" si="281"/>
        <v>PRG-1035711</v>
      </c>
      <c r="E10110" t="s">
        <v>233</v>
      </c>
      <c r="F10110" t="s">
        <v>4</v>
      </c>
      <c r="G10110" t="str">
        <f>""</f>
        <v/>
      </c>
    </row>
    <row r="10111" spans="1:7" x14ac:dyDescent="0.25">
      <c r="A10111" t="s">
        <v>8</v>
      </c>
      <c r="B10111" s="1" t="str">
        <f>"000267989 - RICH CORE BB-HURRICANE GRILL"</f>
        <v>000267989 - RICH CORE BB-HURRICANE GRILL</v>
      </c>
      <c r="C10111" t="s">
        <v>648</v>
      </c>
      <c r="D10111" s="1" t="str">
        <f t="shared" si="281"/>
        <v>PRG-1035711</v>
      </c>
      <c r="E10111" t="s">
        <v>233</v>
      </c>
      <c r="F10111" t="s">
        <v>4</v>
      </c>
      <c r="G10111" t="str">
        <f>""</f>
        <v/>
      </c>
    </row>
    <row r="10112" spans="1:7" x14ac:dyDescent="0.25">
      <c r="A10112" t="s">
        <v>8</v>
      </c>
      <c r="B10112" s="1" t="str">
        <f>"000327461 - RICH NCBB-HURRICANE GRILL"</f>
        <v>000327461 - RICH NCBB-HURRICANE GRILL</v>
      </c>
      <c r="C10112" t="s">
        <v>232</v>
      </c>
      <c r="D10112" s="1" t="str">
        <f t="shared" si="281"/>
        <v>PRG-1035711</v>
      </c>
      <c r="E10112" t="s">
        <v>233</v>
      </c>
      <c r="F10112" t="s">
        <v>4</v>
      </c>
      <c r="G10112" t="str">
        <f>""</f>
        <v/>
      </c>
    </row>
    <row r="10113" spans="1:7" x14ac:dyDescent="0.25">
      <c r="A10113" t="s">
        <v>8</v>
      </c>
      <c r="B10113" s="1" t="str">
        <f>"2000430730 - RICH FOODS-HURRICANE GRILL"</f>
        <v>2000430730 - RICH FOODS-HURRICANE GRILL</v>
      </c>
      <c r="C10113" t="s">
        <v>475</v>
      </c>
      <c r="D10113" s="1" t="str">
        <f t="shared" si="281"/>
        <v>PRG-1035711</v>
      </c>
      <c r="E10113" t="s">
        <v>233</v>
      </c>
      <c r="F10113" t="s">
        <v>4</v>
      </c>
      <c r="G10113" t="str">
        <f>""</f>
        <v/>
      </c>
    </row>
    <row r="10114" spans="1:7" x14ac:dyDescent="0.25">
      <c r="A10114" t="s">
        <v>8</v>
      </c>
      <c r="B10114" s="1" t="str">
        <f>"000004740 - RICH FOODS NCBB-LANDRYS"</f>
        <v>000004740 - RICH FOODS NCBB-LANDRYS</v>
      </c>
      <c r="C10114" t="s">
        <v>201</v>
      </c>
      <c r="D10114" s="1" t="str">
        <f t="shared" ref="D10114:D10143" si="282">"PRG-1035714"</f>
        <v>PRG-1035714</v>
      </c>
      <c r="E10114" t="s">
        <v>199</v>
      </c>
      <c r="F10114" t="s">
        <v>4</v>
      </c>
      <c r="G10114" t="str">
        <f>""</f>
        <v/>
      </c>
    </row>
    <row r="10115" spans="1:7" x14ac:dyDescent="0.25">
      <c r="A10115" t="s">
        <v>8</v>
      </c>
      <c r="B10115" s="1" t="str">
        <f>"000012854 - RICH FOODS NCBB-LANDRYS"</f>
        <v>000012854 - RICH FOODS NCBB-LANDRYS</v>
      </c>
      <c r="C10115" t="s">
        <v>201</v>
      </c>
      <c r="D10115" s="1" t="str">
        <f t="shared" si="282"/>
        <v>PRG-1035714</v>
      </c>
      <c r="E10115" t="s">
        <v>199</v>
      </c>
      <c r="F10115" t="s">
        <v>4</v>
      </c>
      <c r="G10115" t="str">
        <f>""</f>
        <v/>
      </c>
    </row>
    <row r="10116" spans="1:7" x14ac:dyDescent="0.25">
      <c r="A10116" t="s">
        <v>8</v>
      </c>
      <c r="B10116" s="1" t="str">
        <f>"000012855 - RICH FOODS CBB-LANDRYS"</f>
        <v>000012855 - RICH FOODS CBB-LANDRYS</v>
      </c>
      <c r="C10116" t="s">
        <v>198</v>
      </c>
      <c r="D10116" s="1" t="str">
        <f t="shared" si="282"/>
        <v>PRG-1035714</v>
      </c>
      <c r="E10116" t="s">
        <v>199</v>
      </c>
      <c r="F10116" t="s">
        <v>4</v>
      </c>
      <c r="G10116" t="str">
        <f>""</f>
        <v/>
      </c>
    </row>
    <row r="10117" spans="1:7" x14ac:dyDescent="0.25">
      <c r="A10117" t="s">
        <v>8</v>
      </c>
      <c r="B10117" s="1" t="str">
        <f>"000223658 - RICH FOODS NCBB-LANDRYS"</f>
        <v>000223658 - RICH FOODS NCBB-LANDRYS</v>
      </c>
      <c r="C10117" t="s">
        <v>201</v>
      </c>
      <c r="D10117" s="1" t="str">
        <f t="shared" si="282"/>
        <v>PRG-1035714</v>
      </c>
      <c r="E10117" t="s">
        <v>199</v>
      </c>
      <c r="F10117" t="s">
        <v>4</v>
      </c>
      <c r="G10117" t="str">
        <f>""</f>
        <v/>
      </c>
    </row>
    <row r="10118" spans="1:7" x14ac:dyDescent="0.25">
      <c r="A10118" t="s">
        <v>8</v>
      </c>
      <c r="B10118" s="1" t="str">
        <f>"000223659 - RICH FOODS CBB-LANDRYS"</f>
        <v>000223659 - RICH FOODS CBB-LANDRYS</v>
      </c>
      <c r="C10118" t="s">
        <v>198</v>
      </c>
      <c r="D10118" s="1" t="str">
        <f t="shared" si="282"/>
        <v>PRG-1035714</v>
      </c>
      <c r="E10118" t="s">
        <v>199</v>
      </c>
      <c r="F10118" t="s">
        <v>4</v>
      </c>
      <c r="G10118" t="str">
        <f>""</f>
        <v/>
      </c>
    </row>
    <row r="10119" spans="1:7" x14ac:dyDescent="0.25">
      <c r="A10119" t="s">
        <v>8</v>
      </c>
      <c r="B10119" s="1" t="str">
        <f>"000243013 - BB LANDRYS FOB RICH"</f>
        <v>000243013 - BB LANDRYS FOB RICH</v>
      </c>
      <c r="C10119" t="s">
        <v>1216</v>
      </c>
      <c r="D10119" s="1" t="str">
        <f t="shared" si="282"/>
        <v>PRG-1035714</v>
      </c>
      <c r="E10119" t="s">
        <v>199</v>
      </c>
      <c r="F10119" t="s">
        <v>4</v>
      </c>
      <c r="G10119" t="str">
        <f>""</f>
        <v/>
      </c>
    </row>
    <row r="10120" spans="1:7" x14ac:dyDescent="0.25">
      <c r="A10120" t="s">
        <v>8</v>
      </c>
      <c r="B10120" s="1" t="str">
        <f>"000243029 - RICH FOODS CBB-LANDRYS"</f>
        <v>000243029 - RICH FOODS CBB-LANDRYS</v>
      </c>
      <c r="C10120" t="s">
        <v>198</v>
      </c>
      <c r="D10120" s="1" t="str">
        <f t="shared" si="282"/>
        <v>PRG-1035714</v>
      </c>
      <c r="E10120" t="s">
        <v>199</v>
      </c>
      <c r="F10120" t="s">
        <v>4</v>
      </c>
      <c r="G10120" t="str">
        <f>""</f>
        <v/>
      </c>
    </row>
    <row r="10121" spans="1:7" x14ac:dyDescent="0.25">
      <c r="A10121" t="s">
        <v>8</v>
      </c>
      <c r="B10121" s="1" t="str">
        <f>"000248578 - RICH FOODS NCBB-LANDRYS"</f>
        <v>000248578 - RICH FOODS NCBB-LANDRYS</v>
      </c>
      <c r="C10121" t="s">
        <v>201</v>
      </c>
      <c r="D10121" s="1" t="str">
        <f t="shared" si="282"/>
        <v>PRG-1035714</v>
      </c>
      <c r="E10121" t="s">
        <v>199</v>
      </c>
      <c r="F10121" t="s">
        <v>4</v>
      </c>
      <c r="G10121" t="str">
        <f>""</f>
        <v/>
      </c>
    </row>
    <row r="10122" spans="1:7" x14ac:dyDescent="0.25">
      <c r="A10122" t="s">
        <v>8</v>
      </c>
      <c r="B10122" s="1" t="str">
        <f>"000252816 - RICH FOODS NCBB-LANDRYS"</f>
        <v>000252816 - RICH FOODS NCBB-LANDRYS</v>
      </c>
      <c r="C10122" t="s">
        <v>201</v>
      </c>
      <c r="D10122" s="1" t="str">
        <f t="shared" si="282"/>
        <v>PRG-1035714</v>
      </c>
      <c r="E10122" t="s">
        <v>199</v>
      </c>
      <c r="F10122" t="s">
        <v>4</v>
      </c>
      <c r="G10122" t="str">
        <f>""</f>
        <v/>
      </c>
    </row>
    <row r="10123" spans="1:7" x14ac:dyDescent="0.25">
      <c r="A10123" t="s">
        <v>8</v>
      </c>
      <c r="B10123" s="1" t="str">
        <f>"000252817 - RICH FOODS CBB-LANDRYS"</f>
        <v>000252817 - RICH FOODS CBB-LANDRYS</v>
      </c>
      <c r="C10123" t="s">
        <v>198</v>
      </c>
      <c r="D10123" s="1" t="str">
        <f t="shared" si="282"/>
        <v>PRG-1035714</v>
      </c>
      <c r="E10123" t="s">
        <v>199</v>
      </c>
      <c r="F10123" t="s">
        <v>4</v>
      </c>
      <c r="G10123" t="str">
        <f>""</f>
        <v/>
      </c>
    </row>
    <row r="10124" spans="1:7" x14ac:dyDescent="0.25">
      <c r="A10124" t="s">
        <v>8</v>
      </c>
      <c r="B10124" s="1" t="str">
        <f>"000256193 - RICH FOODS CBB-LANDRYS"</f>
        <v>000256193 - RICH FOODS CBB-LANDRYS</v>
      </c>
      <c r="C10124" t="s">
        <v>198</v>
      </c>
      <c r="D10124" s="1" t="str">
        <f t="shared" si="282"/>
        <v>PRG-1035714</v>
      </c>
      <c r="E10124" t="s">
        <v>199</v>
      </c>
      <c r="F10124" t="s">
        <v>4</v>
      </c>
      <c r="G10124" t="str">
        <f>""</f>
        <v/>
      </c>
    </row>
    <row r="10125" spans="1:7" x14ac:dyDescent="0.25">
      <c r="A10125" t="s">
        <v>8</v>
      </c>
      <c r="B10125" s="1" t="str">
        <f>"000271008 - RICH FOODS CBB-LANDRYS"</f>
        <v>000271008 - RICH FOODS CBB-LANDRYS</v>
      </c>
      <c r="C10125" t="s">
        <v>198</v>
      </c>
      <c r="D10125" s="1" t="str">
        <f t="shared" si="282"/>
        <v>PRG-1035714</v>
      </c>
      <c r="E10125" t="s">
        <v>199</v>
      </c>
      <c r="F10125" t="s">
        <v>4</v>
      </c>
      <c r="G10125" t="str">
        <f>""</f>
        <v/>
      </c>
    </row>
    <row r="10126" spans="1:7" x14ac:dyDescent="0.25">
      <c r="A10126" t="s">
        <v>8</v>
      </c>
      <c r="B10126" s="1" t="str">
        <f>"000274176 - RICH FOODS NCBB-LANDRYS"</f>
        <v>000274176 - RICH FOODS NCBB-LANDRYS</v>
      </c>
      <c r="C10126" t="s">
        <v>201</v>
      </c>
      <c r="D10126" s="1" t="str">
        <f t="shared" si="282"/>
        <v>PRG-1035714</v>
      </c>
      <c r="E10126" t="s">
        <v>199</v>
      </c>
      <c r="F10126" t="s">
        <v>4</v>
      </c>
      <c r="G10126" t="str">
        <f>""</f>
        <v/>
      </c>
    </row>
    <row r="10127" spans="1:7" x14ac:dyDescent="0.25">
      <c r="A10127" t="s">
        <v>8</v>
      </c>
      <c r="B10127" s="1" t="str">
        <f>"000276313 - RICH FOODS CBB-LANDRYS"</f>
        <v>000276313 - RICH FOODS CBB-LANDRYS</v>
      </c>
      <c r="C10127" t="s">
        <v>198</v>
      </c>
      <c r="D10127" s="1" t="str">
        <f t="shared" si="282"/>
        <v>PRG-1035714</v>
      </c>
      <c r="E10127" t="s">
        <v>199</v>
      </c>
      <c r="F10127" t="s">
        <v>4</v>
      </c>
      <c r="G10127" t="str">
        <f>""</f>
        <v/>
      </c>
    </row>
    <row r="10128" spans="1:7" x14ac:dyDescent="0.25">
      <c r="A10128" t="s">
        <v>8</v>
      </c>
      <c r="B10128" s="1" t="str">
        <f>"000303781 - RICH FOODS NCBB-LANDRYS"</f>
        <v>000303781 - RICH FOODS NCBB-LANDRYS</v>
      </c>
      <c r="C10128" t="s">
        <v>201</v>
      </c>
      <c r="D10128" s="1" t="str">
        <f t="shared" si="282"/>
        <v>PRG-1035714</v>
      </c>
      <c r="E10128" t="s">
        <v>199</v>
      </c>
      <c r="F10128" t="s">
        <v>4</v>
      </c>
      <c r="G10128" t="str">
        <f>""</f>
        <v/>
      </c>
    </row>
    <row r="10129" spans="1:7" x14ac:dyDescent="0.25">
      <c r="A10129" t="s">
        <v>8</v>
      </c>
      <c r="B10129" s="1" t="str">
        <f>"000303782 - RICH PRODUCTS HEN HSE EATERY"</f>
        <v>000303782 - RICH PRODUCTS HEN HSE EATERY</v>
      </c>
      <c r="C10129" t="s">
        <v>3012</v>
      </c>
      <c r="D10129" s="1" t="str">
        <f t="shared" si="282"/>
        <v>PRG-1035714</v>
      </c>
      <c r="E10129" t="s">
        <v>199</v>
      </c>
      <c r="F10129" t="s">
        <v>4</v>
      </c>
      <c r="G10129" t="str">
        <f>""</f>
        <v/>
      </c>
    </row>
    <row r="10130" spans="1:7" x14ac:dyDescent="0.25">
      <c r="A10130" t="s">
        <v>8</v>
      </c>
      <c r="B10130" s="1" t="str">
        <f>"000328330 - RICH FOODS NCBB-LANDRYS"</f>
        <v>000328330 - RICH FOODS NCBB-LANDRYS</v>
      </c>
      <c r="C10130" t="s">
        <v>201</v>
      </c>
      <c r="D10130" s="1" t="str">
        <f t="shared" si="282"/>
        <v>PRG-1035714</v>
      </c>
      <c r="E10130" t="s">
        <v>199</v>
      </c>
      <c r="F10130" t="s">
        <v>4</v>
      </c>
      <c r="G10130" t="str">
        <f>""</f>
        <v/>
      </c>
    </row>
    <row r="10131" spans="1:7" x14ac:dyDescent="0.25">
      <c r="A10131" t="s">
        <v>8</v>
      </c>
      <c r="B10131" s="1" t="str">
        <f>"000328331 - RICH FOODS CBB-LANDRYS"</f>
        <v>000328331 - RICH FOODS CBB-LANDRYS</v>
      </c>
      <c r="C10131" t="s">
        <v>198</v>
      </c>
      <c r="D10131" s="1" t="str">
        <f t="shared" si="282"/>
        <v>PRG-1035714</v>
      </c>
      <c r="E10131" t="s">
        <v>199</v>
      </c>
      <c r="F10131" t="s">
        <v>4</v>
      </c>
      <c r="G10131" t="str">
        <f>""</f>
        <v/>
      </c>
    </row>
    <row r="10132" spans="1:7" x14ac:dyDescent="0.25">
      <c r="A10132" t="s">
        <v>8</v>
      </c>
      <c r="B10132" s="1" t="str">
        <f>"000334620 - RICH FDS CORE BB-MAIN ARAMARK"</f>
        <v>000334620 - RICH FDS CORE BB-MAIN ARAMARK</v>
      </c>
      <c r="C10132" t="s">
        <v>196</v>
      </c>
      <c r="D10132" s="1" t="str">
        <f t="shared" si="282"/>
        <v>PRG-1035714</v>
      </c>
      <c r="E10132" t="s">
        <v>199</v>
      </c>
      <c r="F10132" t="s">
        <v>4</v>
      </c>
      <c r="G10132" t="str">
        <f>""</f>
        <v/>
      </c>
    </row>
    <row r="10133" spans="1:7" x14ac:dyDescent="0.25">
      <c r="A10133" t="s">
        <v>8</v>
      </c>
      <c r="B10133" s="1" t="str">
        <f>"000334621 - RICH FOODS CBB-LANDRYS"</f>
        <v>000334621 - RICH FOODS CBB-LANDRYS</v>
      </c>
      <c r="C10133" t="s">
        <v>198</v>
      </c>
      <c r="D10133" s="1" t="str">
        <f t="shared" si="282"/>
        <v>PRG-1035714</v>
      </c>
      <c r="E10133" t="s">
        <v>199</v>
      </c>
      <c r="F10133" t="s">
        <v>4</v>
      </c>
      <c r="G10133" t="str">
        <f>""</f>
        <v/>
      </c>
    </row>
    <row r="10134" spans="1:7" x14ac:dyDescent="0.25">
      <c r="A10134" t="s">
        <v>8</v>
      </c>
      <c r="B10134" s="1" t="str">
        <f>"000340156 - RICH FOODS CBB-LANDRYS"</f>
        <v>000340156 - RICH FOODS CBB-LANDRYS</v>
      </c>
      <c r="C10134" t="s">
        <v>198</v>
      </c>
      <c r="D10134" s="1" t="str">
        <f t="shared" si="282"/>
        <v>PRG-1035714</v>
      </c>
      <c r="E10134" t="s">
        <v>199</v>
      </c>
      <c r="F10134" t="s">
        <v>4</v>
      </c>
      <c r="G10134" t="str">
        <f>""</f>
        <v/>
      </c>
    </row>
    <row r="10135" spans="1:7" x14ac:dyDescent="0.25">
      <c r="A10135" t="s">
        <v>8</v>
      </c>
      <c r="B10135" s="1" t="str">
        <f>"000344139 - RICH FOODS CBB-LANDRYS"</f>
        <v>000344139 - RICH FOODS CBB-LANDRYS</v>
      </c>
      <c r="C10135" t="s">
        <v>198</v>
      </c>
      <c r="D10135" s="1" t="str">
        <f t="shared" si="282"/>
        <v>PRG-1035714</v>
      </c>
      <c r="E10135" t="s">
        <v>199</v>
      </c>
      <c r="F10135" t="s">
        <v>4</v>
      </c>
      <c r="G10135" t="str">
        <f>""</f>
        <v/>
      </c>
    </row>
    <row r="10136" spans="1:7" x14ac:dyDescent="0.25">
      <c r="A10136" t="s">
        <v>8</v>
      </c>
      <c r="B10136" s="1" t="str">
        <f>"000344170 - "</f>
        <v xml:space="preserve">000344170 - </v>
      </c>
      <c r="D10136" s="1" t="str">
        <f t="shared" si="282"/>
        <v>PRG-1035714</v>
      </c>
      <c r="E10136" t="s">
        <v>199</v>
      </c>
      <c r="F10136" t="s">
        <v>4</v>
      </c>
      <c r="G10136" t="str">
        <f>""</f>
        <v/>
      </c>
    </row>
    <row r="10137" spans="1:7" x14ac:dyDescent="0.25">
      <c r="A10137" t="s">
        <v>8</v>
      </c>
      <c r="B10137" s="1" t="str">
        <f>"000348888 - "</f>
        <v xml:space="preserve">000348888 - </v>
      </c>
      <c r="D10137" s="1" t="str">
        <f t="shared" si="282"/>
        <v>PRG-1035714</v>
      </c>
      <c r="E10137" t="s">
        <v>199</v>
      </c>
      <c r="F10137" t="s">
        <v>4</v>
      </c>
      <c r="G10137" t="str">
        <f>""</f>
        <v/>
      </c>
    </row>
    <row r="10138" spans="1:7" x14ac:dyDescent="0.25">
      <c r="A10138" t="s">
        <v>8</v>
      </c>
      <c r="B10138" s="1" t="str">
        <f>"000348889 - "</f>
        <v xml:space="preserve">000348889 - </v>
      </c>
      <c r="D10138" s="1" t="str">
        <f t="shared" si="282"/>
        <v>PRG-1035714</v>
      </c>
      <c r="E10138" t="s">
        <v>199</v>
      </c>
      <c r="F10138" t="s">
        <v>4</v>
      </c>
      <c r="G10138" t="str">
        <f>""</f>
        <v/>
      </c>
    </row>
    <row r="10139" spans="1:7" x14ac:dyDescent="0.25">
      <c r="A10139" t="s">
        <v>8</v>
      </c>
      <c r="B10139" s="1" t="str">
        <f>"000354364 - "</f>
        <v xml:space="preserve">000354364 - </v>
      </c>
      <c r="D10139" s="1" t="str">
        <f t="shared" si="282"/>
        <v>PRG-1035714</v>
      </c>
      <c r="E10139" t="s">
        <v>199</v>
      </c>
      <c r="F10139" t="s">
        <v>4</v>
      </c>
      <c r="G10139" t="str">
        <f>""</f>
        <v/>
      </c>
    </row>
    <row r="10140" spans="1:7" x14ac:dyDescent="0.25">
      <c r="A10140" t="s">
        <v>8</v>
      </c>
      <c r="B10140" s="1" t="str">
        <f>"000354365 - "</f>
        <v xml:space="preserve">000354365 - </v>
      </c>
      <c r="D10140" s="1" t="str">
        <f t="shared" si="282"/>
        <v>PRG-1035714</v>
      </c>
      <c r="E10140" t="s">
        <v>199</v>
      </c>
      <c r="F10140" t="s">
        <v>4</v>
      </c>
      <c r="G10140" t="str">
        <f>""</f>
        <v/>
      </c>
    </row>
    <row r="10141" spans="1:7" x14ac:dyDescent="0.25">
      <c r="A10141" t="s">
        <v>8</v>
      </c>
      <c r="B10141" s="1" t="str">
        <f>"000371336 - RICH FOODS CBB-LANDRYS"</f>
        <v>000371336 - RICH FOODS CBB-LANDRYS</v>
      </c>
      <c r="C10141" t="s">
        <v>198</v>
      </c>
      <c r="D10141" s="1" t="str">
        <f t="shared" si="282"/>
        <v>PRG-1035714</v>
      </c>
      <c r="E10141" t="s">
        <v>199</v>
      </c>
      <c r="F10141" t="s">
        <v>4</v>
      </c>
      <c r="G10141" t="str">
        <f>""</f>
        <v/>
      </c>
    </row>
    <row r="10142" spans="1:7" x14ac:dyDescent="0.25">
      <c r="A10142" t="s">
        <v>8</v>
      </c>
      <c r="B10142" s="1" t="str">
        <f>"000384178 - "</f>
        <v xml:space="preserve">000384178 - </v>
      </c>
      <c r="D10142" s="1" t="str">
        <f t="shared" si="282"/>
        <v>PRG-1035714</v>
      </c>
      <c r="E10142" t="s">
        <v>199</v>
      </c>
      <c r="F10142" t="s">
        <v>4</v>
      </c>
      <c r="G10142" t="str">
        <f>""</f>
        <v/>
      </c>
    </row>
    <row r="10143" spans="1:7" x14ac:dyDescent="0.25">
      <c r="A10143" t="s">
        <v>8</v>
      </c>
      <c r="B10143" s="1" t="str">
        <f>"2000431292 - "</f>
        <v xml:space="preserve">2000431292 - </v>
      </c>
      <c r="D10143" s="1" t="str">
        <f t="shared" si="282"/>
        <v>PRG-1035714</v>
      </c>
      <c r="E10143" t="s">
        <v>199</v>
      </c>
      <c r="F10143" t="s">
        <v>4</v>
      </c>
      <c r="G10143" t="str">
        <f>""</f>
        <v/>
      </c>
    </row>
    <row r="10144" spans="1:7" x14ac:dyDescent="0.25">
      <c r="A10144" t="s">
        <v>8</v>
      </c>
      <c r="B10144" s="1" t="str">
        <f>"000031860 - "</f>
        <v xml:space="preserve">000031860 - </v>
      </c>
      <c r="D10144" s="1" t="str">
        <f>"PRG-1035724"</f>
        <v>PRG-1035724</v>
      </c>
      <c r="E10144" t="s">
        <v>503</v>
      </c>
      <c r="F10144" t="s">
        <v>4</v>
      </c>
      <c r="G10144" t="str">
        <f>""</f>
        <v/>
      </c>
    </row>
    <row r="10145" spans="1:7" x14ac:dyDescent="0.25">
      <c r="A10145" t="s">
        <v>8</v>
      </c>
      <c r="B10145" s="1" t="str">
        <f>"000268731 - "</f>
        <v xml:space="preserve">000268731 - </v>
      </c>
      <c r="D10145" s="1" t="str">
        <f>"PRG-1035724"</f>
        <v>PRG-1035724</v>
      </c>
      <c r="E10145" t="s">
        <v>503</v>
      </c>
      <c r="F10145" t="s">
        <v>4</v>
      </c>
      <c r="G10145" t="str">
        <f>""</f>
        <v/>
      </c>
    </row>
    <row r="10146" spans="1:7" x14ac:dyDescent="0.25">
      <c r="A10146" t="s">
        <v>8</v>
      </c>
      <c r="B10146" s="1" t="str">
        <f>"000295417 - "</f>
        <v xml:space="preserve">000295417 - </v>
      </c>
      <c r="D10146" s="1" t="str">
        <f>"PRG-1035724"</f>
        <v>PRG-1035724</v>
      </c>
      <c r="E10146" t="s">
        <v>503</v>
      </c>
      <c r="F10146" t="s">
        <v>4</v>
      </c>
      <c r="G10146" t="str">
        <f>""</f>
        <v/>
      </c>
    </row>
    <row r="10147" spans="1:7" x14ac:dyDescent="0.25">
      <c r="A10147" t="s">
        <v>8</v>
      </c>
      <c r="B10147" s="1" t="str">
        <f>"000314429 - RICHS SNEAKERS BAR &amp; GRILL"</f>
        <v>000314429 - RICHS SNEAKERS BAR &amp; GRILL</v>
      </c>
      <c r="C10147" t="s">
        <v>3161</v>
      </c>
      <c r="D10147" s="1" t="str">
        <f>"PRG-1035728"</f>
        <v>PRG-1035728</v>
      </c>
      <c r="E10147" t="s">
        <v>3162</v>
      </c>
      <c r="F10147" t="s">
        <v>4</v>
      </c>
      <c r="G10147" t="str">
        <f>""</f>
        <v/>
      </c>
    </row>
    <row r="10148" spans="1:7" x14ac:dyDescent="0.25">
      <c r="A10148" t="s">
        <v>8</v>
      </c>
      <c r="B10148" s="1" t="str">
        <f>"000005160 - RICH'S-COUNTRY KITCHEN"</f>
        <v>000005160 - RICH'S-COUNTRY KITCHEN</v>
      </c>
      <c r="C10148" t="s">
        <v>212</v>
      </c>
      <c r="D10148" s="1" t="str">
        <f t="shared" ref="D10148:D10162" si="283">"PRG-1035735"</f>
        <v>PRG-1035735</v>
      </c>
      <c r="E10148" t="s">
        <v>213</v>
      </c>
      <c r="F10148" t="s">
        <v>4</v>
      </c>
      <c r="G10148" t="str">
        <f>""</f>
        <v/>
      </c>
    </row>
    <row r="10149" spans="1:7" x14ac:dyDescent="0.25">
      <c r="A10149" t="s">
        <v>8</v>
      </c>
      <c r="B10149" s="1" t="str">
        <f>"000007909 - RICH'S-COUNTRY KITCHEN"</f>
        <v>000007909 - RICH'S-COUNTRY KITCHEN</v>
      </c>
      <c r="C10149" t="s">
        <v>212</v>
      </c>
      <c r="D10149" s="1" t="str">
        <f t="shared" si="283"/>
        <v>PRG-1035735</v>
      </c>
      <c r="E10149" t="s">
        <v>213</v>
      </c>
      <c r="F10149" t="s">
        <v>4</v>
      </c>
      <c r="G10149" t="str">
        <f>""</f>
        <v/>
      </c>
    </row>
    <row r="10150" spans="1:7" x14ac:dyDescent="0.25">
      <c r="A10150" t="s">
        <v>8</v>
      </c>
      <c r="B10150" s="1" t="str">
        <f>"000057831 - RICH'S-COUNTRY KITCHEN"</f>
        <v>000057831 - RICH'S-COUNTRY KITCHEN</v>
      </c>
      <c r="C10150" t="s">
        <v>212</v>
      </c>
      <c r="D10150" s="1" t="str">
        <f t="shared" si="283"/>
        <v>PRG-1035735</v>
      </c>
      <c r="E10150" t="s">
        <v>213</v>
      </c>
      <c r="F10150" t="s">
        <v>4</v>
      </c>
      <c r="G10150" t="str">
        <f>""</f>
        <v/>
      </c>
    </row>
    <row r="10151" spans="1:7" x14ac:dyDescent="0.25">
      <c r="A10151" t="s">
        <v>8</v>
      </c>
      <c r="B10151" s="1" t="str">
        <f>"000058238 - RICH'S-COUNTRY KITCHEN"</f>
        <v>000058238 - RICH'S-COUNTRY KITCHEN</v>
      </c>
      <c r="C10151" t="s">
        <v>212</v>
      </c>
      <c r="D10151" s="1" t="str">
        <f t="shared" si="283"/>
        <v>PRG-1035735</v>
      </c>
      <c r="E10151" t="s">
        <v>213</v>
      </c>
      <c r="F10151" t="s">
        <v>4</v>
      </c>
      <c r="G10151" t="str">
        <f>""</f>
        <v/>
      </c>
    </row>
    <row r="10152" spans="1:7" x14ac:dyDescent="0.25">
      <c r="A10152" t="s">
        <v>8</v>
      </c>
      <c r="B10152" s="1" t="str">
        <f>"000072123 - RICH'S-COUNTRY KITCHEN"</f>
        <v>000072123 - RICH'S-COUNTRY KITCHEN</v>
      </c>
      <c r="C10152" t="s">
        <v>212</v>
      </c>
      <c r="D10152" s="1" t="str">
        <f t="shared" si="283"/>
        <v>PRG-1035735</v>
      </c>
      <c r="E10152" t="s">
        <v>213</v>
      </c>
      <c r="F10152" t="s">
        <v>4</v>
      </c>
      <c r="G10152" t="str">
        <f>""</f>
        <v/>
      </c>
    </row>
    <row r="10153" spans="1:7" x14ac:dyDescent="0.25">
      <c r="A10153" t="s">
        <v>8</v>
      </c>
      <c r="B10153" s="1" t="str">
        <f>"000154006 - "</f>
        <v xml:space="preserve">000154006 - </v>
      </c>
      <c r="D10153" s="1" t="str">
        <f t="shared" si="283"/>
        <v>PRG-1035735</v>
      </c>
      <c r="E10153" t="s">
        <v>213</v>
      </c>
      <c r="F10153" t="s">
        <v>4</v>
      </c>
      <c r="G10153" t="str">
        <f>""</f>
        <v/>
      </c>
    </row>
    <row r="10154" spans="1:7" x14ac:dyDescent="0.25">
      <c r="A10154" t="s">
        <v>8</v>
      </c>
      <c r="B10154" s="1" t="str">
        <f>"000234515 - RICH'S-COUNTRY KITCHEN"</f>
        <v>000234515 - RICH'S-COUNTRY KITCHEN</v>
      </c>
      <c r="C10154" t="s">
        <v>212</v>
      </c>
      <c r="D10154" s="1" t="str">
        <f t="shared" si="283"/>
        <v>PRG-1035735</v>
      </c>
      <c r="E10154" t="s">
        <v>213</v>
      </c>
      <c r="F10154" t="s">
        <v>4</v>
      </c>
      <c r="G10154" t="str">
        <f>""</f>
        <v/>
      </c>
    </row>
    <row r="10155" spans="1:7" x14ac:dyDescent="0.25">
      <c r="A10155" t="s">
        <v>8</v>
      </c>
      <c r="B10155" s="1" t="str">
        <f>"000241646 - BB CKI FOB RICHS"</f>
        <v>000241646 - BB CKI FOB RICHS</v>
      </c>
      <c r="C10155" t="s">
        <v>1346</v>
      </c>
      <c r="D10155" s="1" t="str">
        <f t="shared" si="283"/>
        <v>PRG-1035735</v>
      </c>
      <c r="E10155" t="s">
        <v>213</v>
      </c>
      <c r="F10155" t="s">
        <v>4</v>
      </c>
      <c r="G10155" t="str">
        <f>""</f>
        <v/>
      </c>
    </row>
    <row r="10156" spans="1:7" x14ac:dyDescent="0.25">
      <c r="A10156" t="s">
        <v>8</v>
      </c>
      <c r="B10156" s="1" t="str">
        <f>"000266471 - "</f>
        <v xml:space="preserve">000266471 - </v>
      </c>
      <c r="D10156" s="1" t="str">
        <f t="shared" si="283"/>
        <v>PRG-1035735</v>
      </c>
      <c r="E10156" t="s">
        <v>213</v>
      </c>
      <c r="F10156" t="s">
        <v>4</v>
      </c>
      <c r="G10156" t="str">
        <f>""</f>
        <v/>
      </c>
    </row>
    <row r="10157" spans="1:7" x14ac:dyDescent="0.25">
      <c r="A10157" t="s">
        <v>8</v>
      </c>
      <c r="B10157" s="1" t="str">
        <f>"000269531 - RICH'S-COUNTRY KITCHEN"</f>
        <v>000269531 - RICH'S-COUNTRY KITCHEN</v>
      </c>
      <c r="C10157" t="s">
        <v>212</v>
      </c>
      <c r="D10157" s="1" t="str">
        <f t="shared" si="283"/>
        <v>PRG-1035735</v>
      </c>
      <c r="E10157" t="s">
        <v>213</v>
      </c>
      <c r="F10157" t="s">
        <v>4</v>
      </c>
      <c r="G10157" t="str">
        <f>""</f>
        <v/>
      </c>
    </row>
    <row r="10158" spans="1:7" x14ac:dyDescent="0.25">
      <c r="A10158" t="s">
        <v>8</v>
      </c>
      <c r="B10158" s="1" t="str">
        <f>"000272803 - RICH'S-COUNTRY KITCHEN"</f>
        <v>000272803 - RICH'S-COUNTRY KITCHEN</v>
      </c>
      <c r="C10158" t="s">
        <v>212</v>
      </c>
      <c r="D10158" s="1" t="str">
        <f t="shared" si="283"/>
        <v>PRG-1035735</v>
      </c>
      <c r="E10158" t="s">
        <v>213</v>
      </c>
      <c r="F10158" t="s">
        <v>4</v>
      </c>
      <c r="G10158" t="str">
        <f>""</f>
        <v/>
      </c>
    </row>
    <row r="10159" spans="1:7" x14ac:dyDescent="0.25">
      <c r="A10159" t="s">
        <v>8</v>
      </c>
      <c r="B10159" s="1" t="str">
        <f>"000314973 - RICH'S-COUNTRY KITCHEN"</f>
        <v>000314973 - RICH'S-COUNTRY KITCHEN</v>
      </c>
      <c r="C10159" t="s">
        <v>212</v>
      </c>
      <c r="D10159" s="1" t="str">
        <f t="shared" si="283"/>
        <v>PRG-1035735</v>
      </c>
      <c r="E10159" t="s">
        <v>213</v>
      </c>
      <c r="F10159" t="s">
        <v>4</v>
      </c>
      <c r="G10159" t="str">
        <f>""</f>
        <v/>
      </c>
    </row>
    <row r="10160" spans="1:7" x14ac:dyDescent="0.25">
      <c r="A10160" t="s">
        <v>8</v>
      </c>
      <c r="B10160" s="1" t="str">
        <f>"000342527 - "</f>
        <v xml:space="preserve">000342527 - </v>
      </c>
      <c r="D10160" s="1" t="str">
        <f t="shared" si="283"/>
        <v>PRG-1035735</v>
      </c>
      <c r="E10160" t="s">
        <v>213</v>
      </c>
      <c r="F10160" t="s">
        <v>4</v>
      </c>
      <c r="G10160" t="str">
        <f>""</f>
        <v/>
      </c>
    </row>
    <row r="10161" spans="1:7" x14ac:dyDescent="0.25">
      <c r="A10161" t="s">
        <v>8</v>
      </c>
      <c r="B10161" s="1" t="str">
        <f>"000369844 - RICH'S-COUNTRY KITCHEN"</f>
        <v>000369844 - RICH'S-COUNTRY KITCHEN</v>
      </c>
      <c r="C10161" t="s">
        <v>212</v>
      </c>
      <c r="D10161" s="1" t="str">
        <f t="shared" si="283"/>
        <v>PRG-1035735</v>
      </c>
      <c r="E10161" t="s">
        <v>213</v>
      </c>
      <c r="F10161" t="s">
        <v>4</v>
      </c>
      <c r="G10161" t="str">
        <f>""</f>
        <v/>
      </c>
    </row>
    <row r="10162" spans="1:7" x14ac:dyDescent="0.25">
      <c r="A10162" t="s">
        <v>8</v>
      </c>
      <c r="B10162" s="1" t="str">
        <f>"2000381135 - RICH'S-COUNTRY KITCHEN"</f>
        <v>2000381135 - RICH'S-COUNTRY KITCHEN</v>
      </c>
      <c r="C10162" t="s">
        <v>212</v>
      </c>
      <c r="D10162" s="1" t="str">
        <f t="shared" si="283"/>
        <v>PRG-1035735</v>
      </c>
      <c r="E10162" t="s">
        <v>213</v>
      </c>
      <c r="F10162" t="s">
        <v>4</v>
      </c>
      <c r="G10162" t="str">
        <f>""</f>
        <v/>
      </c>
    </row>
    <row r="10163" spans="1:7" x14ac:dyDescent="0.25">
      <c r="A10163" t="s">
        <v>8</v>
      </c>
      <c r="B10163" s="1" t="str">
        <f>"000279131 - RICH FOODS   AMER FD &amp; VND"</f>
        <v>000279131 - RICH FOODS   AMER FD &amp; VND</v>
      </c>
      <c r="C10163" t="s">
        <v>1880</v>
      </c>
      <c r="D10163" s="1" t="str">
        <f>"PRG-1035743"</f>
        <v>PRG-1035743</v>
      </c>
      <c r="E10163" t="s">
        <v>1908</v>
      </c>
      <c r="F10163" t="s">
        <v>4</v>
      </c>
      <c r="G10163" t="str">
        <f>""</f>
        <v/>
      </c>
    </row>
    <row r="10164" spans="1:7" x14ac:dyDescent="0.25">
      <c r="A10164" t="s">
        <v>8</v>
      </c>
      <c r="B10164" s="1" t="str">
        <f>"000273972 - RICHS GT"</f>
        <v>000273972 - RICHS GT</v>
      </c>
      <c r="C10164" t="s">
        <v>2242</v>
      </c>
      <c r="D10164" s="1" t="str">
        <f>"PRG-1035747"</f>
        <v>PRG-1035747</v>
      </c>
      <c r="E10164" t="s">
        <v>2243</v>
      </c>
      <c r="F10164" t="s">
        <v>4</v>
      </c>
      <c r="G10164" t="str">
        <f>""</f>
        <v/>
      </c>
    </row>
    <row r="10165" spans="1:7" x14ac:dyDescent="0.25">
      <c r="A10165" t="s">
        <v>8</v>
      </c>
      <c r="B10165" s="1" t="str">
        <f>"000276820 - RICH'S-GREENE TURTLE"</f>
        <v>000276820 - RICH'S-GREENE TURTLE</v>
      </c>
      <c r="C10165" t="s">
        <v>2310</v>
      </c>
      <c r="D10165" s="1" t="str">
        <f>"PRG-1035747"</f>
        <v>PRG-1035747</v>
      </c>
      <c r="E10165" t="s">
        <v>2243</v>
      </c>
      <c r="F10165" t="s">
        <v>4</v>
      </c>
      <c r="G10165" t="str">
        <f>""</f>
        <v/>
      </c>
    </row>
    <row r="10166" spans="1:7" x14ac:dyDescent="0.25">
      <c r="A10166" t="s">
        <v>8</v>
      </c>
      <c r="B10166" s="1" t="str">
        <f>"000313899 - RICH DODGE RIDGE"</f>
        <v>000313899 - RICH DODGE RIDGE</v>
      </c>
      <c r="C10166" t="s">
        <v>3148</v>
      </c>
      <c r="D10166" s="1" t="str">
        <f>"PRG-1035763"</f>
        <v>PRG-1035763</v>
      </c>
      <c r="E10166" t="s">
        <v>3149</v>
      </c>
      <c r="F10166" t="s">
        <v>4</v>
      </c>
      <c r="G10166" t="str">
        <f>""</f>
        <v/>
      </c>
    </row>
    <row r="10167" spans="1:7" x14ac:dyDescent="0.25">
      <c r="A10167" t="s">
        <v>8</v>
      </c>
      <c r="B10167" s="1" t="str">
        <f>"000009578 - RICH FOODS CC-BOSTON PIZZA"</f>
        <v>000009578 - RICH FOODS CC-BOSTON PIZZA</v>
      </c>
      <c r="C10167" t="s">
        <v>292</v>
      </c>
      <c r="D10167" s="1" t="str">
        <f t="shared" ref="D10167:D10195" si="284">"PRG-1035781"</f>
        <v>PRG-1035781</v>
      </c>
      <c r="E10167" t="s">
        <v>293</v>
      </c>
      <c r="F10167" t="s">
        <v>4</v>
      </c>
      <c r="G10167" t="str">
        <f>""</f>
        <v/>
      </c>
    </row>
    <row r="10168" spans="1:7" x14ac:dyDescent="0.25">
      <c r="A10168" t="s">
        <v>8</v>
      </c>
      <c r="B10168" s="1" t="str">
        <f>"000012396 - "</f>
        <v xml:space="preserve">000012396 - </v>
      </c>
      <c r="D10168" s="1" t="str">
        <f t="shared" si="284"/>
        <v>PRG-1035781</v>
      </c>
      <c r="E10168" t="s">
        <v>293</v>
      </c>
      <c r="F10168" t="s">
        <v>4</v>
      </c>
      <c r="G10168" t="str">
        <f>""</f>
        <v/>
      </c>
    </row>
    <row r="10169" spans="1:7" x14ac:dyDescent="0.25">
      <c r="A10169" t="s">
        <v>8</v>
      </c>
      <c r="B10169" s="1" t="str">
        <f>"000015993 - "</f>
        <v xml:space="preserve">000015993 - </v>
      </c>
      <c r="D10169" s="1" t="str">
        <f t="shared" si="284"/>
        <v>PRG-1035781</v>
      </c>
      <c r="E10169" t="s">
        <v>293</v>
      </c>
      <c r="F10169" t="s">
        <v>4</v>
      </c>
      <c r="G10169" t="str">
        <f>""</f>
        <v/>
      </c>
    </row>
    <row r="10170" spans="1:7" x14ac:dyDescent="0.25">
      <c r="A10170" t="s">
        <v>8</v>
      </c>
      <c r="B10170" s="1" t="str">
        <f>"000159286 - "</f>
        <v xml:space="preserve">000159286 - </v>
      </c>
      <c r="D10170" s="1" t="str">
        <f t="shared" si="284"/>
        <v>PRG-1035781</v>
      </c>
      <c r="E10170" t="s">
        <v>293</v>
      </c>
      <c r="F10170" t="s">
        <v>4</v>
      </c>
      <c r="G10170" t="str">
        <f>""</f>
        <v/>
      </c>
    </row>
    <row r="10171" spans="1:7" x14ac:dyDescent="0.25">
      <c r="A10171" t="s">
        <v>8</v>
      </c>
      <c r="B10171" s="1" t="str">
        <f>"000161868 - "</f>
        <v xml:space="preserve">000161868 - </v>
      </c>
      <c r="D10171" s="1" t="str">
        <f t="shared" si="284"/>
        <v>PRG-1035781</v>
      </c>
      <c r="E10171" t="s">
        <v>293</v>
      </c>
      <c r="F10171" t="s">
        <v>4</v>
      </c>
      <c r="G10171" t="str">
        <f>""</f>
        <v/>
      </c>
    </row>
    <row r="10172" spans="1:7" x14ac:dyDescent="0.25">
      <c r="A10172" t="s">
        <v>8</v>
      </c>
      <c r="B10172" s="1" t="str">
        <f>"000209982 - RICH FOODS NCORE-BOSTON PIZZA"</f>
        <v>000209982 - RICH FOODS NCORE-BOSTON PIZZA</v>
      </c>
      <c r="C10172" t="s">
        <v>156</v>
      </c>
      <c r="D10172" s="1" t="str">
        <f t="shared" si="284"/>
        <v>PRG-1035781</v>
      </c>
      <c r="E10172" t="s">
        <v>293</v>
      </c>
      <c r="F10172" t="s">
        <v>4</v>
      </c>
      <c r="G10172" t="str">
        <f>""</f>
        <v/>
      </c>
    </row>
    <row r="10173" spans="1:7" x14ac:dyDescent="0.25">
      <c r="A10173" t="s">
        <v>8</v>
      </c>
      <c r="B10173" s="1" t="str">
        <f>"000210191 - RICHS COREBB-BOSTON PIZZA"</f>
        <v>000210191 - RICHS COREBB-BOSTON PIZZA</v>
      </c>
      <c r="C10173" t="s">
        <v>157</v>
      </c>
      <c r="D10173" s="1" t="str">
        <f t="shared" si="284"/>
        <v>PRG-1035781</v>
      </c>
      <c r="E10173" t="s">
        <v>293</v>
      </c>
      <c r="F10173" t="s">
        <v>4</v>
      </c>
      <c r="G10173" t="str">
        <f>""</f>
        <v/>
      </c>
    </row>
    <row r="10174" spans="1:7" x14ac:dyDescent="0.25">
      <c r="A10174" t="s">
        <v>8</v>
      </c>
      <c r="B10174" s="1" t="str">
        <f>"000225672 - RICH FOODS NCORE-BOSTON PIZZA"</f>
        <v>000225672 - RICH FOODS NCORE-BOSTON PIZZA</v>
      </c>
      <c r="C10174" t="s">
        <v>156</v>
      </c>
      <c r="D10174" s="1" t="str">
        <f t="shared" si="284"/>
        <v>PRG-1035781</v>
      </c>
      <c r="E10174" t="s">
        <v>293</v>
      </c>
      <c r="F10174" t="s">
        <v>4</v>
      </c>
      <c r="G10174" t="str">
        <f>""</f>
        <v/>
      </c>
    </row>
    <row r="10175" spans="1:7" x14ac:dyDescent="0.25">
      <c r="A10175" t="s">
        <v>8</v>
      </c>
      <c r="B10175" s="1" t="str">
        <f>"000229234 - RICH FOODS CC-BOSTON PIZZA"</f>
        <v>000229234 - RICH FOODS CC-BOSTON PIZZA</v>
      </c>
      <c r="C10175" t="s">
        <v>292</v>
      </c>
      <c r="D10175" s="1" t="str">
        <f t="shared" si="284"/>
        <v>PRG-1035781</v>
      </c>
      <c r="E10175" t="s">
        <v>293</v>
      </c>
      <c r="F10175" t="s">
        <v>4</v>
      </c>
      <c r="G10175" t="str">
        <f>""</f>
        <v/>
      </c>
    </row>
    <row r="10176" spans="1:7" x14ac:dyDescent="0.25">
      <c r="A10176" t="s">
        <v>8</v>
      </c>
      <c r="B10176" s="1" t="str">
        <f>"000229240 - RICH FOOD BB-BOSTON PIZZA"</f>
        <v>000229240 - RICH FOOD BB-BOSTON PIZZA</v>
      </c>
      <c r="C10176" t="s">
        <v>1733</v>
      </c>
      <c r="D10176" s="1" t="str">
        <f t="shared" si="284"/>
        <v>PRG-1035781</v>
      </c>
      <c r="E10176" t="s">
        <v>293</v>
      </c>
      <c r="F10176" t="s">
        <v>4</v>
      </c>
      <c r="G10176" t="str">
        <f>""</f>
        <v/>
      </c>
    </row>
    <row r="10177" spans="1:7" x14ac:dyDescent="0.25">
      <c r="A10177" t="s">
        <v>8</v>
      </c>
      <c r="B10177" s="1" t="str">
        <f>"000247570 - RICH FOODS NCORE-BOSTON PIZZA"</f>
        <v>000247570 - RICH FOODS NCORE-BOSTON PIZZA</v>
      </c>
      <c r="C10177" t="s">
        <v>156</v>
      </c>
      <c r="D10177" s="1" t="str">
        <f t="shared" si="284"/>
        <v>PRG-1035781</v>
      </c>
      <c r="E10177" t="s">
        <v>293</v>
      </c>
      <c r="F10177" t="s">
        <v>4</v>
      </c>
      <c r="G10177" t="str">
        <f>""</f>
        <v/>
      </c>
    </row>
    <row r="10178" spans="1:7" x14ac:dyDescent="0.25">
      <c r="A10178" t="s">
        <v>8</v>
      </c>
      <c r="B10178" s="1" t="str">
        <f>"000248842 - RICH FOODS NCORE-BOSTON PIZZA"</f>
        <v>000248842 - RICH FOODS NCORE-BOSTON PIZZA</v>
      </c>
      <c r="C10178" t="s">
        <v>156</v>
      </c>
      <c r="D10178" s="1" t="str">
        <f t="shared" si="284"/>
        <v>PRG-1035781</v>
      </c>
      <c r="E10178" t="s">
        <v>293</v>
      </c>
      <c r="F10178" t="s">
        <v>4</v>
      </c>
      <c r="G10178" t="str">
        <f>""</f>
        <v/>
      </c>
    </row>
    <row r="10179" spans="1:7" x14ac:dyDescent="0.25">
      <c r="A10179" t="s">
        <v>8</v>
      </c>
      <c r="B10179" s="1" t="str">
        <f>"000251419 - RICH FOODS CC-BOSTON PIZZA"</f>
        <v>000251419 - RICH FOODS CC-BOSTON PIZZA</v>
      </c>
      <c r="C10179" t="s">
        <v>292</v>
      </c>
      <c r="D10179" s="1" t="str">
        <f t="shared" si="284"/>
        <v>PRG-1035781</v>
      </c>
      <c r="E10179" t="s">
        <v>293</v>
      </c>
      <c r="F10179" t="s">
        <v>4</v>
      </c>
      <c r="G10179" t="str">
        <f>""</f>
        <v/>
      </c>
    </row>
    <row r="10180" spans="1:7" x14ac:dyDescent="0.25">
      <c r="A10180" t="s">
        <v>8</v>
      </c>
      <c r="B10180" s="1" t="str">
        <f>"000251428 - RICH FOOD BB-BOSTON PIZZA"</f>
        <v>000251428 - RICH FOOD BB-BOSTON PIZZA</v>
      </c>
      <c r="C10180" t="s">
        <v>1733</v>
      </c>
      <c r="D10180" s="1" t="str">
        <f t="shared" si="284"/>
        <v>PRG-1035781</v>
      </c>
      <c r="E10180" t="s">
        <v>293</v>
      </c>
      <c r="F10180" t="s">
        <v>4</v>
      </c>
      <c r="G10180" t="str">
        <f>""</f>
        <v/>
      </c>
    </row>
    <row r="10181" spans="1:7" x14ac:dyDescent="0.25">
      <c r="A10181" t="s">
        <v>8</v>
      </c>
      <c r="B10181" s="1" t="str">
        <f>"000252027 - RICH FOODS CC-BOSTON PIZZA"</f>
        <v>000252027 - RICH FOODS CC-BOSTON PIZZA</v>
      </c>
      <c r="C10181" t="s">
        <v>292</v>
      </c>
      <c r="D10181" s="1" t="str">
        <f t="shared" si="284"/>
        <v>PRG-1035781</v>
      </c>
      <c r="E10181" t="s">
        <v>293</v>
      </c>
      <c r="F10181" t="s">
        <v>4</v>
      </c>
      <c r="G10181" t="str">
        <f>""</f>
        <v/>
      </c>
    </row>
    <row r="10182" spans="1:7" x14ac:dyDescent="0.25">
      <c r="A10182" t="s">
        <v>8</v>
      </c>
      <c r="B10182" s="1" t="str">
        <f>"000259274 - RICH FOODS NCORE-BOSTON PIZZA"</f>
        <v>000259274 - RICH FOODS NCORE-BOSTON PIZZA</v>
      </c>
      <c r="C10182" t="s">
        <v>156</v>
      </c>
      <c r="D10182" s="1" t="str">
        <f t="shared" si="284"/>
        <v>PRG-1035781</v>
      </c>
      <c r="E10182" t="s">
        <v>293</v>
      </c>
      <c r="F10182" t="s">
        <v>4</v>
      </c>
      <c r="G10182" t="str">
        <f>""</f>
        <v/>
      </c>
    </row>
    <row r="10183" spans="1:7" x14ac:dyDescent="0.25">
      <c r="A10183" t="s">
        <v>8</v>
      </c>
      <c r="B10183" s="1" t="str">
        <f>"000270261 - "</f>
        <v xml:space="preserve">000270261 - </v>
      </c>
      <c r="D10183" s="1" t="str">
        <f t="shared" si="284"/>
        <v>PRG-1035781</v>
      </c>
      <c r="E10183" t="s">
        <v>293</v>
      </c>
      <c r="F10183" t="s">
        <v>4</v>
      </c>
      <c r="G10183" t="str">
        <f>""</f>
        <v/>
      </c>
    </row>
    <row r="10184" spans="1:7" x14ac:dyDescent="0.25">
      <c r="A10184" t="s">
        <v>8</v>
      </c>
      <c r="B10184" s="1" t="str">
        <f>"000277559 - RICH FOODS NCORE-BOSTON PIZZA"</f>
        <v>000277559 - RICH FOODS NCORE-BOSTON PIZZA</v>
      </c>
      <c r="C10184" t="s">
        <v>156</v>
      </c>
      <c r="D10184" s="1" t="str">
        <f t="shared" si="284"/>
        <v>PRG-1035781</v>
      </c>
      <c r="E10184" t="s">
        <v>293</v>
      </c>
      <c r="F10184" t="s">
        <v>4</v>
      </c>
      <c r="G10184" t="str">
        <f>""</f>
        <v/>
      </c>
    </row>
    <row r="10185" spans="1:7" x14ac:dyDescent="0.25">
      <c r="A10185" t="s">
        <v>8</v>
      </c>
      <c r="B10185" s="1" t="str">
        <f>"000280771 - RICH FOODS CC-BOSTON PIZZA"</f>
        <v>000280771 - RICH FOODS CC-BOSTON PIZZA</v>
      </c>
      <c r="C10185" t="s">
        <v>292</v>
      </c>
      <c r="D10185" s="1" t="str">
        <f t="shared" si="284"/>
        <v>PRG-1035781</v>
      </c>
      <c r="E10185" t="s">
        <v>293</v>
      </c>
      <c r="F10185" t="s">
        <v>4</v>
      </c>
      <c r="G10185" t="str">
        <f>""</f>
        <v/>
      </c>
    </row>
    <row r="10186" spans="1:7" x14ac:dyDescent="0.25">
      <c r="A10186" t="s">
        <v>8</v>
      </c>
      <c r="B10186" s="1" t="str">
        <f>"000280776 - RICH FOOD BB-BOSTON PIZZA"</f>
        <v>000280776 - RICH FOOD BB-BOSTON PIZZA</v>
      </c>
      <c r="C10186" t="s">
        <v>1733</v>
      </c>
      <c r="D10186" s="1" t="str">
        <f t="shared" si="284"/>
        <v>PRG-1035781</v>
      </c>
      <c r="E10186" t="s">
        <v>293</v>
      </c>
      <c r="F10186" t="s">
        <v>4</v>
      </c>
      <c r="G10186" t="str">
        <f>""</f>
        <v/>
      </c>
    </row>
    <row r="10187" spans="1:7" x14ac:dyDescent="0.25">
      <c r="A10187" t="s">
        <v>8</v>
      </c>
      <c r="B10187" s="1" t="str">
        <f>"000355424 - "</f>
        <v xml:space="preserve">000355424 - </v>
      </c>
      <c r="D10187" s="1" t="str">
        <f t="shared" si="284"/>
        <v>PRG-1035781</v>
      </c>
      <c r="E10187" t="s">
        <v>293</v>
      </c>
      <c r="F10187" t="s">
        <v>4</v>
      </c>
      <c r="G10187" t="str">
        <f>""</f>
        <v/>
      </c>
    </row>
    <row r="10188" spans="1:7" x14ac:dyDescent="0.25">
      <c r="A10188" t="s">
        <v>8</v>
      </c>
      <c r="B10188" s="1" t="str">
        <f>"000359469 - "</f>
        <v xml:space="preserve">000359469 - </v>
      </c>
      <c r="D10188" s="1" t="str">
        <f t="shared" si="284"/>
        <v>PRG-1035781</v>
      </c>
      <c r="E10188" t="s">
        <v>293</v>
      </c>
      <c r="F10188" t="s">
        <v>4</v>
      </c>
      <c r="G10188" t="str">
        <f>""</f>
        <v/>
      </c>
    </row>
    <row r="10189" spans="1:7" x14ac:dyDescent="0.25">
      <c r="A10189" t="s">
        <v>8</v>
      </c>
      <c r="B10189" s="1" t="str">
        <f>"000359477 - "</f>
        <v xml:space="preserve">000359477 - </v>
      </c>
      <c r="D10189" s="1" t="str">
        <f t="shared" si="284"/>
        <v>PRG-1035781</v>
      </c>
      <c r="E10189" t="s">
        <v>293</v>
      </c>
      <c r="F10189" t="s">
        <v>4</v>
      </c>
      <c r="G10189" t="str">
        <f>""</f>
        <v/>
      </c>
    </row>
    <row r="10190" spans="1:7" x14ac:dyDescent="0.25">
      <c r="A10190" t="s">
        <v>8</v>
      </c>
      <c r="B10190" s="1" t="str">
        <f>"000370231 - RICH FOODS NCORE-BOSTON PIZZA"</f>
        <v>000370231 - RICH FOODS NCORE-BOSTON PIZZA</v>
      </c>
      <c r="C10190" t="s">
        <v>156</v>
      </c>
      <c r="D10190" s="1" t="str">
        <f t="shared" si="284"/>
        <v>PRG-1035781</v>
      </c>
      <c r="E10190" t="s">
        <v>293</v>
      </c>
      <c r="F10190" t="s">
        <v>4</v>
      </c>
      <c r="G10190" t="str">
        <f>""</f>
        <v/>
      </c>
    </row>
    <row r="10191" spans="1:7" x14ac:dyDescent="0.25">
      <c r="A10191" t="s">
        <v>8</v>
      </c>
      <c r="B10191" s="1" t="str">
        <f>"000374295 - RICH FOODS CC-BOSTON PIZZA"</f>
        <v>000374295 - RICH FOODS CC-BOSTON PIZZA</v>
      </c>
      <c r="C10191" t="s">
        <v>292</v>
      </c>
      <c r="D10191" s="1" t="str">
        <f t="shared" si="284"/>
        <v>PRG-1035781</v>
      </c>
      <c r="E10191" t="s">
        <v>293</v>
      </c>
      <c r="F10191" t="s">
        <v>4</v>
      </c>
      <c r="G10191" t="str">
        <f>""</f>
        <v/>
      </c>
    </row>
    <row r="10192" spans="1:7" x14ac:dyDescent="0.25">
      <c r="A10192" t="s">
        <v>8</v>
      </c>
      <c r="B10192" s="1" t="str">
        <f>"000374302 - RICH FOOD BB-BOSTON PIZZA"</f>
        <v>000374302 - RICH FOOD BB-BOSTON PIZZA</v>
      </c>
      <c r="C10192" t="s">
        <v>1733</v>
      </c>
      <c r="D10192" s="1" t="str">
        <f t="shared" si="284"/>
        <v>PRG-1035781</v>
      </c>
      <c r="E10192" t="s">
        <v>293</v>
      </c>
      <c r="F10192" t="s">
        <v>4</v>
      </c>
      <c r="G10192" t="str">
        <f>""</f>
        <v/>
      </c>
    </row>
    <row r="10193" spans="1:7" x14ac:dyDescent="0.25">
      <c r="A10193" t="s">
        <v>8</v>
      </c>
      <c r="B10193" s="1" t="str">
        <f>"000388375 - RICH FOODS CC-BOSTON PIZZA"</f>
        <v>000388375 - RICH FOODS CC-BOSTON PIZZA</v>
      </c>
      <c r="C10193" t="s">
        <v>292</v>
      </c>
      <c r="D10193" s="1" t="str">
        <f t="shared" si="284"/>
        <v>PRG-1035781</v>
      </c>
      <c r="E10193" t="s">
        <v>293</v>
      </c>
      <c r="F10193" t="s">
        <v>4</v>
      </c>
      <c r="G10193" t="str">
        <f>""</f>
        <v/>
      </c>
    </row>
    <row r="10194" spans="1:7" x14ac:dyDescent="0.25">
      <c r="A10194" t="s">
        <v>8</v>
      </c>
      <c r="B10194" s="1" t="str">
        <f>"000388380 - RICH FOOD BB-BOSTON PIZZA"</f>
        <v>000388380 - RICH FOOD BB-BOSTON PIZZA</v>
      </c>
      <c r="C10194" t="s">
        <v>1733</v>
      </c>
      <c r="D10194" s="1" t="str">
        <f t="shared" si="284"/>
        <v>PRG-1035781</v>
      </c>
      <c r="E10194" t="s">
        <v>293</v>
      </c>
      <c r="F10194" t="s">
        <v>4</v>
      </c>
      <c r="G10194" t="str">
        <f>""</f>
        <v/>
      </c>
    </row>
    <row r="10195" spans="1:7" x14ac:dyDescent="0.25">
      <c r="A10195" t="s">
        <v>8</v>
      </c>
      <c r="B10195" s="1" t="str">
        <f>"2000440847 - RICHS FOODS-BOSTON PIZZA"</f>
        <v>2000440847 - RICHS FOODS-BOSTON PIZZA</v>
      </c>
      <c r="C10195" t="s">
        <v>3832</v>
      </c>
      <c r="D10195" s="1" t="str">
        <f t="shared" si="284"/>
        <v>PRG-1035781</v>
      </c>
      <c r="E10195" t="s">
        <v>293</v>
      </c>
      <c r="F10195" t="s">
        <v>4</v>
      </c>
      <c r="G10195" t="str">
        <f>""</f>
        <v/>
      </c>
    </row>
    <row r="10196" spans="1:7" x14ac:dyDescent="0.25">
      <c r="A10196" t="s">
        <v>8</v>
      </c>
      <c r="B10196" s="1" t="str">
        <f>"000264628 - "</f>
        <v xml:space="preserve">000264628 - </v>
      </c>
      <c r="D10196" s="1" t="str">
        <f>"PRG-1035793"</f>
        <v>PRG-1035793</v>
      </c>
      <c r="E10196" t="s">
        <v>2369</v>
      </c>
      <c r="F10196" t="s">
        <v>4</v>
      </c>
      <c r="G10196" t="str">
        <f>""</f>
        <v/>
      </c>
    </row>
    <row r="10197" spans="1:7" x14ac:dyDescent="0.25">
      <c r="A10197" t="s">
        <v>8</v>
      </c>
      <c r="B10197" s="1" t="str">
        <f>"000058957 - RICH FOODS-TONY ROMA"</f>
        <v>000058957 - RICH FOODS-TONY ROMA</v>
      </c>
      <c r="C10197" t="s">
        <v>693</v>
      </c>
      <c r="D10197" s="1" t="str">
        <f>"PRG-1035823"</f>
        <v>PRG-1035823</v>
      </c>
      <c r="E10197" t="s">
        <v>690</v>
      </c>
      <c r="F10197" t="s">
        <v>4</v>
      </c>
      <c r="G10197" t="str">
        <f>""</f>
        <v/>
      </c>
    </row>
    <row r="10198" spans="1:7" x14ac:dyDescent="0.25">
      <c r="A10198" t="s">
        <v>8</v>
      </c>
      <c r="B10198" s="1" t="str">
        <f>"000282383 - RICH FOODS-TONY ROMA"</f>
        <v>000282383 - RICH FOODS-TONY ROMA</v>
      </c>
      <c r="C10198" t="s">
        <v>693</v>
      </c>
      <c r="D10198" s="1" t="str">
        <f>"PRG-1035823"</f>
        <v>PRG-1035823</v>
      </c>
      <c r="E10198" t="s">
        <v>690</v>
      </c>
      <c r="F10198" t="s">
        <v>4</v>
      </c>
      <c r="G10198" t="str">
        <f>""</f>
        <v/>
      </c>
    </row>
    <row r="10199" spans="1:7" x14ac:dyDescent="0.25">
      <c r="A10199" t="s">
        <v>8</v>
      </c>
      <c r="B10199" s="1" t="str">
        <f>"000328139 - RICH FOODS-TONY ROMA"</f>
        <v>000328139 - RICH FOODS-TONY ROMA</v>
      </c>
      <c r="C10199" t="s">
        <v>693</v>
      </c>
      <c r="D10199" s="1" t="str">
        <f>"PRG-1035823"</f>
        <v>PRG-1035823</v>
      </c>
      <c r="E10199" t="s">
        <v>690</v>
      </c>
      <c r="F10199" t="s">
        <v>4</v>
      </c>
      <c r="G10199" t="str">
        <f>""</f>
        <v/>
      </c>
    </row>
    <row r="10200" spans="1:7" x14ac:dyDescent="0.25">
      <c r="A10200" t="s">
        <v>8</v>
      </c>
      <c r="B10200" s="1" t="str">
        <f>"000371146 - RICH FOODS-TONY ROMA"</f>
        <v>000371146 - RICH FOODS-TONY ROMA</v>
      </c>
      <c r="C10200" t="s">
        <v>693</v>
      </c>
      <c r="D10200" s="1" t="str">
        <f>"PRG-1035823"</f>
        <v>PRG-1035823</v>
      </c>
      <c r="E10200" t="s">
        <v>690</v>
      </c>
      <c r="F10200" t="s">
        <v>4</v>
      </c>
      <c r="G10200" t="str">
        <f>""</f>
        <v/>
      </c>
    </row>
    <row r="10201" spans="1:7" x14ac:dyDescent="0.25">
      <c r="A10201" t="s">
        <v>8</v>
      </c>
      <c r="B10201" s="1" t="str">
        <f>"000385268 - RICH FOODS-TONY ROMA"</f>
        <v>000385268 - RICH FOODS-TONY ROMA</v>
      </c>
      <c r="C10201" t="s">
        <v>693</v>
      </c>
      <c r="D10201" s="1" t="str">
        <f>"PRG-1035823"</f>
        <v>PRG-1035823</v>
      </c>
      <c r="E10201" t="s">
        <v>690</v>
      </c>
      <c r="F10201" t="s">
        <v>4</v>
      </c>
      <c r="G10201" t="str">
        <f>""</f>
        <v/>
      </c>
    </row>
    <row r="10202" spans="1:7" x14ac:dyDescent="0.25">
      <c r="A10202" t="s">
        <v>8</v>
      </c>
      <c r="B10202" s="1" t="str">
        <f>"000223067 - RICH CC WOODY'S BBQ"</f>
        <v>000223067 - RICH CC WOODY'S BBQ</v>
      </c>
      <c r="C10202" t="s">
        <v>1528</v>
      </c>
      <c r="D10202" s="1" t="str">
        <f>"PRG-1035825"</f>
        <v>PRG-1035825</v>
      </c>
      <c r="E10202" t="s">
        <v>1643</v>
      </c>
      <c r="F10202" t="s">
        <v>4</v>
      </c>
      <c r="G10202" t="str">
        <f>""</f>
        <v/>
      </c>
    </row>
    <row r="10203" spans="1:7" x14ac:dyDescent="0.25">
      <c r="A10203" t="s">
        <v>8</v>
      </c>
      <c r="B10203" s="1" t="str">
        <f>"000249153 - RICH WOODYS"</f>
        <v>000249153 - RICH WOODYS</v>
      </c>
      <c r="C10203" t="s">
        <v>1808</v>
      </c>
      <c r="D10203" s="1" t="str">
        <f>"PRG-1035825"</f>
        <v>PRG-1035825</v>
      </c>
      <c r="E10203" t="s">
        <v>1643</v>
      </c>
      <c r="F10203" t="s">
        <v>4</v>
      </c>
      <c r="G10203" t="str">
        <f>""</f>
        <v/>
      </c>
    </row>
    <row r="10204" spans="1:7" x14ac:dyDescent="0.25">
      <c r="A10204" t="s">
        <v>8</v>
      </c>
      <c r="B10204" s="1" t="str">
        <f>"000278301 - RICH   WOODYS BBQ"</f>
        <v>000278301 - RICH   WOODYS BBQ</v>
      </c>
      <c r="C10204" t="s">
        <v>2341</v>
      </c>
      <c r="D10204" s="1" t="str">
        <f>"PRG-1035825"</f>
        <v>PRG-1035825</v>
      </c>
      <c r="E10204" t="s">
        <v>1643</v>
      </c>
      <c r="F10204" t="s">
        <v>4</v>
      </c>
      <c r="G10204" t="str">
        <f>""</f>
        <v/>
      </c>
    </row>
    <row r="10205" spans="1:7" x14ac:dyDescent="0.25">
      <c r="A10205" t="s">
        <v>8</v>
      </c>
      <c r="B10205" s="1" t="str">
        <f>"000293039 - "</f>
        <v xml:space="preserve">000293039 - </v>
      </c>
      <c r="D10205" s="1" t="str">
        <f>"PRG-1035831"</f>
        <v>PRG-1035831</v>
      </c>
      <c r="E10205" t="s">
        <v>2874</v>
      </c>
      <c r="F10205" t="s">
        <v>4</v>
      </c>
      <c r="G10205" t="str">
        <f>""</f>
        <v/>
      </c>
    </row>
    <row r="10206" spans="1:7" x14ac:dyDescent="0.25">
      <c r="A10206" t="s">
        <v>8</v>
      </c>
      <c r="B10206" s="1" t="str">
        <f>"000005225 - RICH FDS-BAPA AVI"</f>
        <v>000005225 - RICH FDS-BAPA AVI</v>
      </c>
      <c r="C10206" t="s">
        <v>214</v>
      </c>
      <c r="D10206" s="1" t="str">
        <f t="shared" ref="D10206:D10247" si="285">"PRG-1035851"</f>
        <v>PRG-1035851</v>
      </c>
      <c r="E10206" t="s">
        <v>215</v>
      </c>
      <c r="F10206" t="s">
        <v>4</v>
      </c>
      <c r="G10206" t="str">
        <f>""</f>
        <v/>
      </c>
    </row>
    <row r="10207" spans="1:7" x14ac:dyDescent="0.25">
      <c r="A10207" t="s">
        <v>8</v>
      </c>
      <c r="B10207" s="1" t="str">
        <f>"000064032 - RICH FDS-BAPA AVI"</f>
        <v>000064032 - RICH FDS-BAPA AVI</v>
      </c>
      <c r="C10207" t="s">
        <v>214</v>
      </c>
      <c r="D10207" s="1" t="str">
        <f t="shared" si="285"/>
        <v>PRG-1035851</v>
      </c>
      <c r="E10207" t="s">
        <v>215</v>
      </c>
      <c r="F10207" t="s">
        <v>4</v>
      </c>
      <c r="G10207" t="str">
        <f>""</f>
        <v/>
      </c>
    </row>
    <row r="10208" spans="1:7" x14ac:dyDescent="0.25">
      <c r="A10208" t="s">
        <v>8</v>
      </c>
      <c r="B10208" s="1" t="str">
        <f>"000217329 - RICH FDS(NONC)-AVI"</f>
        <v>000217329 - RICH FDS(NONC)-AVI</v>
      </c>
      <c r="C10208" t="s">
        <v>1286</v>
      </c>
      <c r="D10208" s="1" t="str">
        <f t="shared" si="285"/>
        <v>PRG-1035851</v>
      </c>
      <c r="E10208" t="s">
        <v>215</v>
      </c>
      <c r="F10208" t="s">
        <v>4</v>
      </c>
      <c r="G10208" t="str">
        <f>""</f>
        <v/>
      </c>
    </row>
    <row r="10209" spans="1:7" x14ac:dyDescent="0.25">
      <c r="A10209" t="s">
        <v>8</v>
      </c>
      <c r="B10209" s="1" t="str">
        <f>"000217330 - RICH FDS(CORE W BB)-AVI"</f>
        <v>000217330 - RICH FDS(CORE W BB)-AVI</v>
      </c>
      <c r="C10209" t="s">
        <v>1462</v>
      </c>
      <c r="D10209" s="1" t="str">
        <f t="shared" si="285"/>
        <v>PRG-1035851</v>
      </c>
      <c r="E10209" t="s">
        <v>215</v>
      </c>
      <c r="F10209" t="s">
        <v>4</v>
      </c>
      <c r="G10209" t="str">
        <f>""</f>
        <v/>
      </c>
    </row>
    <row r="10210" spans="1:7" x14ac:dyDescent="0.25">
      <c r="A10210" t="s">
        <v>8</v>
      </c>
      <c r="B10210" s="1" t="str">
        <f>"000220943 - RICH FDS(NONC)-AVI"</f>
        <v>000220943 - RICH FDS(NONC)-AVI</v>
      </c>
      <c r="C10210" t="s">
        <v>1286</v>
      </c>
      <c r="D10210" s="1" t="str">
        <f t="shared" si="285"/>
        <v>PRG-1035851</v>
      </c>
      <c r="E10210" t="s">
        <v>215</v>
      </c>
      <c r="F10210" t="s">
        <v>4</v>
      </c>
      <c r="G10210" t="str">
        <f>""</f>
        <v/>
      </c>
    </row>
    <row r="10211" spans="1:7" x14ac:dyDescent="0.25">
      <c r="A10211" t="s">
        <v>8</v>
      </c>
      <c r="B10211" s="1" t="str">
        <f>"000220944 - RICH FDS(CORE W BB)-AVI"</f>
        <v>000220944 - RICH FDS(CORE W BB)-AVI</v>
      </c>
      <c r="C10211" t="s">
        <v>1462</v>
      </c>
      <c r="D10211" s="1" t="str">
        <f t="shared" si="285"/>
        <v>PRG-1035851</v>
      </c>
      <c r="E10211" t="s">
        <v>215</v>
      </c>
      <c r="F10211" t="s">
        <v>4</v>
      </c>
      <c r="G10211" t="str">
        <f>""</f>
        <v/>
      </c>
    </row>
    <row r="10212" spans="1:7" x14ac:dyDescent="0.25">
      <c r="A10212" t="s">
        <v>8</v>
      </c>
      <c r="B10212" s="1" t="str">
        <f>"000230130 - RICH FDS-BAPA AVI"</f>
        <v>000230130 - RICH FDS-BAPA AVI</v>
      </c>
      <c r="C10212" t="s">
        <v>214</v>
      </c>
      <c r="D10212" s="1" t="str">
        <f t="shared" si="285"/>
        <v>PRG-1035851</v>
      </c>
      <c r="E10212" t="s">
        <v>215</v>
      </c>
      <c r="F10212" t="s">
        <v>4</v>
      </c>
      <c r="G10212" t="str">
        <f>""</f>
        <v/>
      </c>
    </row>
    <row r="10213" spans="1:7" x14ac:dyDescent="0.25">
      <c r="A10213" t="s">
        <v>8</v>
      </c>
      <c r="B10213" s="1" t="str">
        <f>"000231200 - RICH FDS(NONC)-AVI"</f>
        <v>000231200 - RICH FDS(NONC)-AVI</v>
      </c>
      <c r="C10213" t="s">
        <v>1286</v>
      </c>
      <c r="D10213" s="1" t="str">
        <f t="shared" si="285"/>
        <v>PRG-1035851</v>
      </c>
      <c r="E10213" t="s">
        <v>215</v>
      </c>
      <c r="F10213" t="s">
        <v>4</v>
      </c>
      <c r="G10213" t="str">
        <f>""</f>
        <v/>
      </c>
    </row>
    <row r="10214" spans="1:7" x14ac:dyDescent="0.25">
      <c r="A10214" t="s">
        <v>8</v>
      </c>
      <c r="B10214" s="1" t="str">
        <f>"000231201 - RICH FDS(CORE W BB)-AVI"</f>
        <v>000231201 - RICH FDS(CORE W BB)-AVI</v>
      </c>
      <c r="C10214" t="s">
        <v>1462</v>
      </c>
      <c r="D10214" s="1" t="str">
        <f t="shared" si="285"/>
        <v>PRG-1035851</v>
      </c>
      <c r="E10214" t="s">
        <v>215</v>
      </c>
      <c r="F10214" t="s">
        <v>4</v>
      </c>
      <c r="G10214" t="str">
        <f>""</f>
        <v/>
      </c>
    </row>
    <row r="10215" spans="1:7" x14ac:dyDescent="0.25">
      <c r="A10215" t="s">
        <v>8</v>
      </c>
      <c r="B10215" s="1" t="str">
        <f>"000232340 - RICH FDS-BAPA AVI"</f>
        <v>000232340 - RICH FDS-BAPA AVI</v>
      </c>
      <c r="C10215" t="s">
        <v>214</v>
      </c>
      <c r="D10215" s="1" t="str">
        <f t="shared" si="285"/>
        <v>PRG-1035851</v>
      </c>
      <c r="E10215" t="s">
        <v>215</v>
      </c>
      <c r="F10215" t="s">
        <v>4</v>
      </c>
      <c r="G10215" t="str">
        <f>""</f>
        <v/>
      </c>
    </row>
    <row r="10216" spans="1:7" x14ac:dyDescent="0.25">
      <c r="A10216" t="s">
        <v>8</v>
      </c>
      <c r="B10216" s="1" t="str">
        <f>"000239539 - RICH FDS-BAPA AVI"</f>
        <v>000239539 - RICH FDS-BAPA AVI</v>
      </c>
      <c r="C10216" t="s">
        <v>214</v>
      </c>
      <c r="D10216" s="1" t="str">
        <f t="shared" si="285"/>
        <v>PRG-1035851</v>
      </c>
      <c r="E10216" t="s">
        <v>215</v>
      </c>
      <c r="F10216" t="s">
        <v>4</v>
      </c>
      <c r="G10216" t="str">
        <f>""</f>
        <v/>
      </c>
    </row>
    <row r="10217" spans="1:7" x14ac:dyDescent="0.25">
      <c r="A10217" t="s">
        <v>8</v>
      </c>
      <c r="B10217" s="1" t="str">
        <f>"000245545 - RICH FDS(NONC)-AVI"</f>
        <v>000245545 - RICH FDS(NONC)-AVI</v>
      </c>
      <c r="C10217" t="s">
        <v>1286</v>
      </c>
      <c r="D10217" s="1" t="str">
        <f t="shared" si="285"/>
        <v>PRG-1035851</v>
      </c>
      <c r="E10217" t="s">
        <v>215</v>
      </c>
      <c r="F10217" t="s">
        <v>4</v>
      </c>
      <c r="G10217" t="str">
        <f>""</f>
        <v/>
      </c>
    </row>
    <row r="10218" spans="1:7" x14ac:dyDescent="0.25">
      <c r="A10218" t="s">
        <v>8</v>
      </c>
      <c r="B10218" s="1" t="str">
        <f>"000245546 - RICH FDS(CORE W BB)-AVI"</f>
        <v>000245546 - RICH FDS(CORE W BB)-AVI</v>
      </c>
      <c r="C10218" t="s">
        <v>1462</v>
      </c>
      <c r="D10218" s="1" t="str">
        <f t="shared" si="285"/>
        <v>PRG-1035851</v>
      </c>
      <c r="E10218" t="s">
        <v>215</v>
      </c>
      <c r="F10218" t="s">
        <v>4</v>
      </c>
      <c r="G10218" t="str">
        <f>""</f>
        <v/>
      </c>
    </row>
    <row r="10219" spans="1:7" x14ac:dyDescent="0.25">
      <c r="A10219" t="s">
        <v>8</v>
      </c>
      <c r="B10219" s="1" t="str">
        <f>"000250883 - RICH FDS(NONC)-AVI"</f>
        <v>000250883 - RICH FDS(NONC)-AVI</v>
      </c>
      <c r="C10219" t="s">
        <v>1286</v>
      </c>
      <c r="D10219" s="1" t="str">
        <f t="shared" si="285"/>
        <v>PRG-1035851</v>
      </c>
      <c r="E10219" t="s">
        <v>215</v>
      </c>
      <c r="F10219" t="s">
        <v>4</v>
      </c>
      <c r="G10219" t="str">
        <f>""</f>
        <v/>
      </c>
    </row>
    <row r="10220" spans="1:7" x14ac:dyDescent="0.25">
      <c r="A10220" t="s">
        <v>8</v>
      </c>
      <c r="B10220" s="1" t="str">
        <f>"000250884 - RICH FDS(CORE W BB)-AVI"</f>
        <v>000250884 - RICH FDS(CORE W BB)-AVI</v>
      </c>
      <c r="C10220" t="s">
        <v>1462</v>
      </c>
      <c r="D10220" s="1" t="str">
        <f t="shared" si="285"/>
        <v>PRG-1035851</v>
      </c>
      <c r="E10220" t="s">
        <v>215</v>
      </c>
      <c r="F10220" t="s">
        <v>4</v>
      </c>
      <c r="G10220" t="str">
        <f>""</f>
        <v/>
      </c>
    </row>
    <row r="10221" spans="1:7" x14ac:dyDescent="0.25">
      <c r="A10221" t="s">
        <v>8</v>
      </c>
      <c r="B10221" s="1" t="str">
        <f>"000254761 - RICH FDS-BAPA AVI"</f>
        <v>000254761 - RICH FDS-BAPA AVI</v>
      </c>
      <c r="C10221" t="s">
        <v>214</v>
      </c>
      <c r="D10221" s="1" t="str">
        <f t="shared" si="285"/>
        <v>PRG-1035851</v>
      </c>
      <c r="E10221" t="s">
        <v>215</v>
      </c>
      <c r="F10221" t="s">
        <v>4</v>
      </c>
      <c r="G10221" t="str">
        <f>""</f>
        <v/>
      </c>
    </row>
    <row r="10222" spans="1:7" x14ac:dyDescent="0.25">
      <c r="A10222" t="s">
        <v>8</v>
      </c>
      <c r="B10222" s="1" t="str">
        <f>"000258937 - RICH FDS-BAPA AVI"</f>
        <v>000258937 - RICH FDS-BAPA AVI</v>
      </c>
      <c r="C10222" t="s">
        <v>214</v>
      </c>
      <c r="D10222" s="1" t="str">
        <f t="shared" si="285"/>
        <v>PRG-1035851</v>
      </c>
      <c r="E10222" t="s">
        <v>215</v>
      </c>
      <c r="F10222" t="s">
        <v>4</v>
      </c>
      <c r="G10222" t="str">
        <f>""</f>
        <v/>
      </c>
    </row>
    <row r="10223" spans="1:7" x14ac:dyDescent="0.25">
      <c r="A10223" t="s">
        <v>8</v>
      </c>
      <c r="B10223" s="1" t="str">
        <f>"000261525 - RICH FDS-BAPA AVI"</f>
        <v>000261525 - RICH FDS-BAPA AVI</v>
      </c>
      <c r="C10223" t="s">
        <v>214</v>
      </c>
      <c r="D10223" s="1" t="str">
        <f t="shared" si="285"/>
        <v>PRG-1035851</v>
      </c>
      <c r="E10223" t="s">
        <v>215</v>
      </c>
      <c r="F10223" t="s">
        <v>4</v>
      </c>
      <c r="G10223" t="str">
        <f>""</f>
        <v/>
      </c>
    </row>
    <row r="10224" spans="1:7" x14ac:dyDescent="0.25">
      <c r="A10224" t="s">
        <v>8</v>
      </c>
      <c r="B10224" s="1" t="str">
        <f>"000263426 - RICH FDS BB CORE-ARA EX-SSS"</f>
        <v>000263426 - RICH FDS BB CORE-ARA EX-SSS</v>
      </c>
      <c r="C10224" t="s">
        <v>570</v>
      </c>
      <c r="D10224" s="1" t="str">
        <f t="shared" si="285"/>
        <v>PRG-1035851</v>
      </c>
      <c r="E10224" t="s">
        <v>215</v>
      </c>
      <c r="F10224" t="s">
        <v>4</v>
      </c>
      <c r="G10224" t="str">
        <f>""</f>
        <v/>
      </c>
    </row>
    <row r="10225" spans="1:7" x14ac:dyDescent="0.25">
      <c r="A10225" t="s">
        <v>8</v>
      </c>
      <c r="B10225" s="1" t="str">
        <f>"000263427 - RICH FDS(CORE W BB)-AVI"</f>
        <v>000263427 - RICH FDS(CORE W BB)-AVI</v>
      </c>
      <c r="C10225" t="s">
        <v>1462</v>
      </c>
      <c r="D10225" s="1" t="str">
        <f t="shared" si="285"/>
        <v>PRG-1035851</v>
      </c>
      <c r="E10225" t="s">
        <v>215</v>
      </c>
      <c r="F10225" t="s">
        <v>4</v>
      </c>
      <c r="G10225" t="str">
        <f>""</f>
        <v/>
      </c>
    </row>
    <row r="10226" spans="1:7" x14ac:dyDescent="0.25">
      <c r="A10226" t="s">
        <v>8</v>
      </c>
      <c r="B10226" s="1" t="str">
        <f>"000267803 - RICH FDS(CORE W BB)-AVI"</f>
        <v>000267803 - RICH FDS(CORE W BB)-AVI</v>
      </c>
      <c r="C10226" t="s">
        <v>1462</v>
      </c>
      <c r="D10226" s="1" t="str">
        <f t="shared" si="285"/>
        <v>PRG-1035851</v>
      </c>
      <c r="E10226" t="s">
        <v>215</v>
      </c>
      <c r="F10226" t="s">
        <v>4</v>
      </c>
      <c r="G10226" t="str">
        <f>""</f>
        <v/>
      </c>
    </row>
    <row r="10227" spans="1:7" x14ac:dyDescent="0.25">
      <c r="A10227" t="s">
        <v>8</v>
      </c>
      <c r="B10227" s="1" t="str">
        <f>"000270140 - RICH FDS(NONC)-AVI"</f>
        <v>000270140 - RICH FDS(NONC)-AVI</v>
      </c>
      <c r="C10227" t="s">
        <v>1286</v>
      </c>
      <c r="D10227" s="1" t="str">
        <f t="shared" si="285"/>
        <v>PRG-1035851</v>
      </c>
      <c r="E10227" t="s">
        <v>215</v>
      </c>
      <c r="F10227" t="s">
        <v>4</v>
      </c>
      <c r="G10227" t="str">
        <f>""</f>
        <v/>
      </c>
    </row>
    <row r="10228" spans="1:7" x14ac:dyDescent="0.25">
      <c r="A10228" t="s">
        <v>8</v>
      </c>
      <c r="B10228" s="1" t="str">
        <f>"000270141 - RICH FDS(CORE W BB)-AVI"</f>
        <v>000270141 - RICH FDS(CORE W BB)-AVI</v>
      </c>
      <c r="C10228" t="s">
        <v>1462</v>
      </c>
      <c r="D10228" s="1" t="str">
        <f t="shared" si="285"/>
        <v>PRG-1035851</v>
      </c>
      <c r="E10228" t="s">
        <v>215</v>
      </c>
      <c r="F10228" t="s">
        <v>4</v>
      </c>
      <c r="G10228" t="str">
        <f>""</f>
        <v/>
      </c>
    </row>
    <row r="10229" spans="1:7" x14ac:dyDescent="0.25">
      <c r="A10229" t="s">
        <v>8</v>
      </c>
      <c r="B10229" s="1" t="str">
        <f>"000271317 - RICH FDS(NONC)-AVI"</f>
        <v>000271317 - RICH FDS(NONC)-AVI</v>
      </c>
      <c r="C10229" t="s">
        <v>1286</v>
      </c>
      <c r="D10229" s="1" t="str">
        <f t="shared" si="285"/>
        <v>PRG-1035851</v>
      </c>
      <c r="E10229" t="s">
        <v>215</v>
      </c>
      <c r="F10229" t="s">
        <v>4</v>
      </c>
      <c r="G10229" t="str">
        <f>""</f>
        <v/>
      </c>
    </row>
    <row r="10230" spans="1:7" x14ac:dyDescent="0.25">
      <c r="A10230" t="s">
        <v>8</v>
      </c>
      <c r="B10230" s="1" t="str">
        <f>"000271318 - RICH FOODS NC BB-TONY ROMA"</f>
        <v>000271318 - RICH FOODS NC BB-TONY ROMA</v>
      </c>
      <c r="C10230" t="s">
        <v>646</v>
      </c>
      <c r="D10230" s="1" t="str">
        <f t="shared" si="285"/>
        <v>PRG-1035851</v>
      </c>
      <c r="E10230" t="s">
        <v>215</v>
      </c>
      <c r="F10230" t="s">
        <v>4</v>
      </c>
      <c r="G10230" t="str">
        <f>""</f>
        <v/>
      </c>
    </row>
    <row r="10231" spans="1:7" x14ac:dyDescent="0.25">
      <c r="A10231" t="s">
        <v>8</v>
      </c>
      <c r="B10231" s="1" t="str">
        <f>"000272967 - RICH FDS-BAPA AVI"</f>
        <v>000272967 - RICH FDS-BAPA AVI</v>
      </c>
      <c r="C10231" t="s">
        <v>214</v>
      </c>
      <c r="D10231" s="1" t="str">
        <f t="shared" si="285"/>
        <v>PRG-1035851</v>
      </c>
      <c r="E10231" t="s">
        <v>215</v>
      </c>
      <c r="F10231" t="s">
        <v>4</v>
      </c>
      <c r="G10231" t="str">
        <f>""</f>
        <v/>
      </c>
    </row>
    <row r="10232" spans="1:7" x14ac:dyDescent="0.25">
      <c r="A10232" t="s">
        <v>8</v>
      </c>
      <c r="B10232" s="1" t="str">
        <f>"000273393 - RICH FDS-BAPA AVI"</f>
        <v>000273393 - RICH FDS-BAPA AVI</v>
      </c>
      <c r="C10232" t="s">
        <v>214</v>
      </c>
      <c r="D10232" s="1" t="str">
        <f t="shared" si="285"/>
        <v>PRG-1035851</v>
      </c>
      <c r="E10232" t="s">
        <v>215</v>
      </c>
      <c r="F10232" t="s">
        <v>4</v>
      </c>
      <c r="G10232" t="str">
        <f>""</f>
        <v/>
      </c>
    </row>
    <row r="10233" spans="1:7" x14ac:dyDescent="0.25">
      <c r="A10233" t="s">
        <v>8</v>
      </c>
      <c r="B10233" s="1" t="str">
        <f>"000280201 - RICH FDS-BAPA AVI"</f>
        <v>000280201 - RICH FDS-BAPA AVI</v>
      </c>
      <c r="C10233" t="s">
        <v>214</v>
      </c>
      <c r="D10233" s="1" t="str">
        <f t="shared" si="285"/>
        <v>PRG-1035851</v>
      </c>
      <c r="E10233" t="s">
        <v>215</v>
      </c>
      <c r="F10233" t="s">
        <v>4</v>
      </c>
      <c r="G10233" t="str">
        <f>""</f>
        <v/>
      </c>
    </row>
    <row r="10234" spans="1:7" x14ac:dyDescent="0.25">
      <c r="A10234" t="s">
        <v>8</v>
      </c>
      <c r="B10234" s="1" t="str">
        <f>"000281692 - RICH FDS-BAPA AVI"</f>
        <v>000281692 - RICH FDS-BAPA AVI</v>
      </c>
      <c r="C10234" t="s">
        <v>214</v>
      </c>
      <c r="D10234" s="1" t="str">
        <f t="shared" si="285"/>
        <v>PRG-1035851</v>
      </c>
      <c r="E10234" t="s">
        <v>215</v>
      </c>
      <c r="F10234" t="s">
        <v>4</v>
      </c>
      <c r="G10234" t="str">
        <f>""</f>
        <v/>
      </c>
    </row>
    <row r="10235" spans="1:7" x14ac:dyDescent="0.25">
      <c r="A10235" t="s">
        <v>8</v>
      </c>
      <c r="B10235" s="1" t="str">
        <f>"000282828 - RICH FDS-BAPA AVI"</f>
        <v>000282828 - RICH FDS-BAPA AVI</v>
      </c>
      <c r="C10235" t="s">
        <v>214</v>
      </c>
      <c r="D10235" s="1" t="str">
        <f t="shared" si="285"/>
        <v>PRG-1035851</v>
      </c>
      <c r="E10235" t="s">
        <v>215</v>
      </c>
      <c r="F10235" t="s">
        <v>4</v>
      </c>
      <c r="G10235" t="str">
        <f>""</f>
        <v/>
      </c>
    </row>
    <row r="10236" spans="1:7" x14ac:dyDescent="0.25">
      <c r="A10236" t="s">
        <v>8</v>
      </c>
      <c r="B10236" s="1" t="str">
        <f>"000288362 - RICH FDS-BAPA AVI"</f>
        <v>000288362 - RICH FDS-BAPA AVI</v>
      </c>
      <c r="C10236" t="s">
        <v>214</v>
      </c>
      <c r="D10236" s="1" t="str">
        <f t="shared" si="285"/>
        <v>PRG-1035851</v>
      </c>
      <c r="E10236" t="s">
        <v>215</v>
      </c>
      <c r="F10236" t="s">
        <v>4</v>
      </c>
      <c r="G10236" t="str">
        <f>""</f>
        <v/>
      </c>
    </row>
    <row r="10237" spans="1:7" x14ac:dyDescent="0.25">
      <c r="A10237" t="s">
        <v>8</v>
      </c>
      <c r="B10237" s="1" t="str">
        <f>"000299119 - RICH PROD(NCORE)-REST PART"</f>
        <v>000299119 - RICH PROD(NCORE)-REST PART</v>
      </c>
      <c r="C10237" t="s">
        <v>2947</v>
      </c>
      <c r="D10237" s="1" t="str">
        <f t="shared" si="285"/>
        <v>PRG-1035851</v>
      </c>
      <c r="E10237" t="s">
        <v>215</v>
      </c>
      <c r="F10237" t="s">
        <v>4</v>
      </c>
      <c r="G10237" t="str">
        <f>""</f>
        <v/>
      </c>
    </row>
    <row r="10238" spans="1:7" x14ac:dyDescent="0.25">
      <c r="A10238" t="s">
        <v>8</v>
      </c>
      <c r="B10238" s="1" t="str">
        <f>"000313774 - RICH FDS-BAPA AVI"</f>
        <v>000313774 - RICH FDS-BAPA AVI</v>
      </c>
      <c r="C10238" t="s">
        <v>214</v>
      </c>
      <c r="D10238" s="1" t="str">
        <f t="shared" si="285"/>
        <v>PRG-1035851</v>
      </c>
      <c r="E10238" t="s">
        <v>215</v>
      </c>
      <c r="F10238" t="s">
        <v>4</v>
      </c>
      <c r="G10238" t="str">
        <f>""</f>
        <v/>
      </c>
    </row>
    <row r="10239" spans="1:7" x14ac:dyDescent="0.25">
      <c r="A10239" t="s">
        <v>8</v>
      </c>
      <c r="B10239" s="1" t="str">
        <f>"000336602 - RICH FDS-BAPA AVI"</f>
        <v>000336602 - RICH FDS-BAPA AVI</v>
      </c>
      <c r="C10239" t="s">
        <v>214</v>
      </c>
      <c r="D10239" s="1" t="str">
        <f t="shared" si="285"/>
        <v>PRG-1035851</v>
      </c>
      <c r="E10239" t="s">
        <v>215</v>
      </c>
      <c r="F10239" t="s">
        <v>4</v>
      </c>
      <c r="G10239" t="str">
        <f>""</f>
        <v/>
      </c>
    </row>
    <row r="10240" spans="1:7" x14ac:dyDescent="0.25">
      <c r="A10240" t="s">
        <v>8</v>
      </c>
      <c r="B10240" s="1" t="str">
        <f>"000340866 - "</f>
        <v xml:space="preserve">000340866 - </v>
      </c>
      <c r="D10240" s="1" t="str">
        <f t="shared" si="285"/>
        <v>PRG-1035851</v>
      </c>
      <c r="E10240" t="s">
        <v>215</v>
      </c>
      <c r="F10240" t="s">
        <v>4</v>
      </c>
      <c r="G10240" t="str">
        <f>""</f>
        <v/>
      </c>
    </row>
    <row r="10241" spans="1:7" x14ac:dyDescent="0.25">
      <c r="A10241" t="s">
        <v>8</v>
      </c>
      <c r="B10241" s="1" t="str">
        <f>"000343496 - RICH FDS-BAPA AVI"</f>
        <v>000343496 - RICH FDS-BAPA AVI</v>
      </c>
      <c r="C10241" t="s">
        <v>214</v>
      </c>
      <c r="D10241" s="1" t="str">
        <f t="shared" si="285"/>
        <v>PRG-1035851</v>
      </c>
      <c r="E10241" t="s">
        <v>215</v>
      </c>
      <c r="F10241" t="s">
        <v>4</v>
      </c>
      <c r="G10241" t="str">
        <f>""</f>
        <v/>
      </c>
    </row>
    <row r="10242" spans="1:7" x14ac:dyDescent="0.25">
      <c r="A10242" t="s">
        <v>8</v>
      </c>
      <c r="B10242" s="1" t="str">
        <f>"000350251 - RICH FDS(NONC)-AVI"</f>
        <v>000350251 - RICH FDS(NONC)-AVI</v>
      </c>
      <c r="C10242" t="s">
        <v>1286</v>
      </c>
      <c r="D10242" s="1" t="str">
        <f t="shared" si="285"/>
        <v>PRG-1035851</v>
      </c>
      <c r="E10242" t="s">
        <v>215</v>
      </c>
      <c r="F10242" t="s">
        <v>4</v>
      </c>
      <c r="G10242" t="str">
        <f>""</f>
        <v/>
      </c>
    </row>
    <row r="10243" spans="1:7" x14ac:dyDescent="0.25">
      <c r="A10243" t="s">
        <v>8</v>
      </c>
      <c r="B10243" s="1" t="str">
        <f>"000350252 - RICH FDS(CORE W BB)-AVI"</f>
        <v>000350252 - RICH FDS(CORE W BB)-AVI</v>
      </c>
      <c r="C10243" t="s">
        <v>1462</v>
      </c>
      <c r="D10243" s="1" t="str">
        <f t="shared" si="285"/>
        <v>PRG-1035851</v>
      </c>
      <c r="E10243" t="s">
        <v>215</v>
      </c>
      <c r="F10243" t="s">
        <v>4</v>
      </c>
      <c r="G10243" t="str">
        <f>""</f>
        <v/>
      </c>
    </row>
    <row r="10244" spans="1:7" x14ac:dyDescent="0.25">
      <c r="A10244" t="s">
        <v>8</v>
      </c>
      <c r="B10244" s="1" t="str">
        <f>"000356809 - RICH FDS-BAPA AVI"</f>
        <v>000356809 - RICH FDS-BAPA AVI</v>
      </c>
      <c r="C10244" t="s">
        <v>214</v>
      </c>
      <c r="D10244" s="1" t="str">
        <f t="shared" si="285"/>
        <v>PRG-1035851</v>
      </c>
      <c r="E10244" t="s">
        <v>215</v>
      </c>
      <c r="F10244" t="s">
        <v>4</v>
      </c>
      <c r="G10244" t="str">
        <f>""</f>
        <v/>
      </c>
    </row>
    <row r="10245" spans="1:7" x14ac:dyDescent="0.25">
      <c r="A10245" t="s">
        <v>8</v>
      </c>
      <c r="B10245" s="1" t="str">
        <f>"000365541 - RICH FDS-BAPA AVI"</f>
        <v>000365541 - RICH FDS-BAPA AVI</v>
      </c>
      <c r="C10245" t="s">
        <v>214</v>
      </c>
      <c r="D10245" s="1" t="str">
        <f t="shared" si="285"/>
        <v>PRG-1035851</v>
      </c>
      <c r="E10245" t="s">
        <v>215</v>
      </c>
      <c r="F10245" t="s">
        <v>4</v>
      </c>
      <c r="G10245" t="str">
        <f>""</f>
        <v/>
      </c>
    </row>
    <row r="10246" spans="1:7" x14ac:dyDescent="0.25">
      <c r="A10246" t="s">
        <v>8</v>
      </c>
      <c r="B10246" s="1" t="str">
        <f>"2000407002 - RICH FOODS-AVI"</f>
        <v>2000407002 - RICH FOODS-AVI</v>
      </c>
      <c r="C10246" t="s">
        <v>713</v>
      </c>
      <c r="D10246" s="1" t="str">
        <f t="shared" si="285"/>
        <v>PRG-1035851</v>
      </c>
      <c r="E10246" t="s">
        <v>215</v>
      </c>
      <c r="F10246" t="s">
        <v>4</v>
      </c>
      <c r="G10246" t="str">
        <f>""</f>
        <v/>
      </c>
    </row>
    <row r="10247" spans="1:7" x14ac:dyDescent="0.25">
      <c r="A10247" t="s">
        <v>8</v>
      </c>
      <c r="B10247" s="1" t="str">
        <f>"2000451956 - RICH FOODS-AVI"</f>
        <v>2000451956 - RICH FOODS-AVI</v>
      </c>
      <c r="C10247" t="s">
        <v>713</v>
      </c>
      <c r="D10247" s="1" t="str">
        <f t="shared" si="285"/>
        <v>PRG-1035851</v>
      </c>
      <c r="E10247" t="s">
        <v>215</v>
      </c>
      <c r="F10247" t="s">
        <v>4</v>
      </c>
      <c r="G10247" t="str">
        <f>""</f>
        <v/>
      </c>
    </row>
    <row r="10248" spans="1:7" x14ac:dyDescent="0.25">
      <c r="A10248" t="s">
        <v>8</v>
      </c>
      <c r="B10248" s="1" t="str">
        <f>"000001825 - RICH FOODS-FORUM"</f>
        <v>000001825 - RICH FOODS-FORUM</v>
      </c>
      <c r="C10248" t="s">
        <v>94</v>
      </c>
      <c r="D10248" s="1" t="str">
        <f t="shared" ref="D10248:D10279" si="286">"PRG-1035907"</f>
        <v>PRG-1035907</v>
      </c>
      <c r="E10248" t="s">
        <v>95</v>
      </c>
      <c r="F10248" t="s">
        <v>4</v>
      </c>
      <c r="G10248" t="str">
        <f>""</f>
        <v/>
      </c>
    </row>
    <row r="10249" spans="1:7" x14ac:dyDescent="0.25">
      <c r="A10249" t="s">
        <v>8</v>
      </c>
      <c r="B10249" s="1" t="str">
        <f>"000005888 - RICH FOODS CC-FORUM"</f>
        <v>000005888 - RICH FOODS CC-FORUM</v>
      </c>
      <c r="C10249" t="s">
        <v>231</v>
      </c>
      <c r="D10249" s="1" t="str">
        <f t="shared" si="286"/>
        <v>PRG-1035907</v>
      </c>
      <c r="E10249" t="s">
        <v>95</v>
      </c>
      <c r="F10249" t="s">
        <v>4</v>
      </c>
      <c r="G10249" t="str">
        <f>""</f>
        <v/>
      </c>
    </row>
    <row r="10250" spans="1:7" x14ac:dyDescent="0.25">
      <c r="A10250" t="s">
        <v>8</v>
      </c>
      <c r="B10250" s="1" t="str">
        <f>"000010150 - "</f>
        <v xml:space="preserve">000010150 - </v>
      </c>
      <c r="D10250" s="1" t="str">
        <f t="shared" si="286"/>
        <v>PRG-1035907</v>
      </c>
      <c r="E10250" t="s">
        <v>95</v>
      </c>
      <c r="F10250" t="s">
        <v>4</v>
      </c>
      <c r="G10250" t="str">
        <f>""</f>
        <v/>
      </c>
    </row>
    <row r="10251" spans="1:7" x14ac:dyDescent="0.25">
      <c r="A10251" t="s">
        <v>8</v>
      </c>
      <c r="B10251" s="1" t="str">
        <f>"000010944 - RICH FOODS-FORUM"</f>
        <v>000010944 - RICH FOODS-FORUM</v>
      </c>
      <c r="C10251" t="s">
        <v>94</v>
      </c>
      <c r="D10251" s="1" t="str">
        <f t="shared" si="286"/>
        <v>PRG-1035907</v>
      </c>
      <c r="E10251" t="s">
        <v>95</v>
      </c>
      <c r="F10251" t="s">
        <v>4</v>
      </c>
      <c r="G10251" t="str">
        <f>""</f>
        <v/>
      </c>
    </row>
    <row r="10252" spans="1:7" x14ac:dyDescent="0.25">
      <c r="A10252" t="s">
        <v>8</v>
      </c>
      <c r="B10252" s="1" t="str">
        <f>"000014806 - RICH FOODS CC-FORUM"</f>
        <v>000014806 - RICH FOODS CC-FORUM</v>
      </c>
      <c r="C10252" t="s">
        <v>231</v>
      </c>
      <c r="D10252" s="1" t="str">
        <f t="shared" si="286"/>
        <v>PRG-1035907</v>
      </c>
      <c r="E10252" t="s">
        <v>95</v>
      </c>
      <c r="F10252" t="s">
        <v>4</v>
      </c>
      <c r="G10252" t="str">
        <f>""</f>
        <v/>
      </c>
    </row>
    <row r="10253" spans="1:7" x14ac:dyDescent="0.25">
      <c r="A10253" t="s">
        <v>8</v>
      </c>
      <c r="B10253" s="1" t="str">
        <f>"000014822 - "</f>
        <v xml:space="preserve">000014822 - </v>
      </c>
      <c r="D10253" s="1" t="str">
        <f t="shared" si="286"/>
        <v>PRG-1035907</v>
      </c>
      <c r="E10253" t="s">
        <v>95</v>
      </c>
      <c r="F10253" t="s">
        <v>4</v>
      </c>
      <c r="G10253" t="str">
        <f>""</f>
        <v/>
      </c>
    </row>
    <row r="10254" spans="1:7" x14ac:dyDescent="0.25">
      <c r="A10254" t="s">
        <v>8</v>
      </c>
      <c r="B10254" s="1" t="str">
        <f>"000015146 - "</f>
        <v xml:space="preserve">000015146 - </v>
      </c>
      <c r="D10254" s="1" t="str">
        <f t="shared" si="286"/>
        <v>PRG-1035907</v>
      </c>
      <c r="E10254" t="s">
        <v>95</v>
      </c>
      <c r="F10254" t="s">
        <v>4</v>
      </c>
      <c r="G10254" t="str">
        <f>""</f>
        <v/>
      </c>
    </row>
    <row r="10255" spans="1:7" x14ac:dyDescent="0.25">
      <c r="A10255" t="s">
        <v>8</v>
      </c>
      <c r="B10255" s="1" t="str">
        <f>"000016661 - "</f>
        <v xml:space="preserve">000016661 - </v>
      </c>
      <c r="D10255" s="1" t="str">
        <f t="shared" si="286"/>
        <v>PRG-1035907</v>
      </c>
      <c r="E10255" t="s">
        <v>95</v>
      </c>
      <c r="F10255" t="s">
        <v>4</v>
      </c>
      <c r="G10255" t="str">
        <f>""</f>
        <v/>
      </c>
    </row>
    <row r="10256" spans="1:7" x14ac:dyDescent="0.25">
      <c r="A10256" t="s">
        <v>8</v>
      </c>
      <c r="B10256" s="1" t="str">
        <f>"000019428 - "</f>
        <v xml:space="preserve">000019428 - </v>
      </c>
      <c r="D10256" s="1" t="str">
        <f t="shared" si="286"/>
        <v>PRG-1035907</v>
      </c>
      <c r="E10256" t="s">
        <v>95</v>
      </c>
      <c r="F10256" t="s">
        <v>4</v>
      </c>
      <c r="G10256" t="str">
        <f>""</f>
        <v/>
      </c>
    </row>
    <row r="10257" spans="1:7" x14ac:dyDescent="0.25">
      <c r="A10257" t="s">
        <v>8</v>
      </c>
      <c r="B10257" s="1" t="str">
        <f>"000019931 - RICH FOODS-FORUM"</f>
        <v>000019931 - RICH FOODS-FORUM</v>
      </c>
      <c r="C10257" t="s">
        <v>94</v>
      </c>
      <c r="D10257" s="1" t="str">
        <f t="shared" si="286"/>
        <v>PRG-1035907</v>
      </c>
      <c r="E10257" t="s">
        <v>95</v>
      </c>
      <c r="F10257" t="s">
        <v>4</v>
      </c>
      <c r="G10257" t="str">
        <f>""</f>
        <v/>
      </c>
    </row>
    <row r="10258" spans="1:7" x14ac:dyDescent="0.25">
      <c r="A10258" t="s">
        <v>8</v>
      </c>
      <c r="B10258" s="1" t="str">
        <f>"000020609 - "</f>
        <v xml:space="preserve">000020609 - </v>
      </c>
      <c r="D10258" s="1" t="str">
        <f t="shared" si="286"/>
        <v>PRG-1035907</v>
      </c>
      <c r="E10258" t="s">
        <v>95</v>
      </c>
      <c r="F10258" t="s">
        <v>4</v>
      </c>
      <c r="G10258" t="str">
        <f>""</f>
        <v/>
      </c>
    </row>
    <row r="10259" spans="1:7" x14ac:dyDescent="0.25">
      <c r="A10259" t="s">
        <v>8</v>
      </c>
      <c r="B10259" s="1" t="str">
        <f>"000074735 - RICH FOODS CC-FORUM"</f>
        <v>000074735 - RICH FOODS CC-FORUM</v>
      </c>
      <c r="C10259" t="s">
        <v>231</v>
      </c>
      <c r="D10259" s="1" t="str">
        <f t="shared" si="286"/>
        <v>PRG-1035907</v>
      </c>
      <c r="E10259" t="s">
        <v>95</v>
      </c>
      <c r="F10259" t="s">
        <v>4</v>
      </c>
      <c r="G10259" t="str">
        <f>""</f>
        <v/>
      </c>
    </row>
    <row r="10260" spans="1:7" x14ac:dyDescent="0.25">
      <c r="A10260" t="s">
        <v>8</v>
      </c>
      <c r="B10260" s="1" t="str">
        <f>"000079179 - RICH FOODS-FORUM"</f>
        <v>000079179 - RICH FOODS-FORUM</v>
      </c>
      <c r="C10260" t="s">
        <v>94</v>
      </c>
      <c r="D10260" s="1" t="str">
        <f t="shared" si="286"/>
        <v>PRG-1035907</v>
      </c>
      <c r="E10260" t="s">
        <v>95</v>
      </c>
      <c r="F10260" t="s">
        <v>4</v>
      </c>
      <c r="G10260" t="str">
        <f>""</f>
        <v/>
      </c>
    </row>
    <row r="10261" spans="1:7" x14ac:dyDescent="0.25">
      <c r="A10261" t="s">
        <v>8</v>
      </c>
      <c r="B10261" s="1" t="str">
        <f>"000131188 - RICH FOODS CC-FORUM"</f>
        <v>000131188 - RICH FOODS CC-FORUM</v>
      </c>
      <c r="C10261" t="s">
        <v>231</v>
      </c>
      <c r="D10261" s="1" t="str">
        <f t="shared" si="286"/>
        <v>PRG-1035907</v>
      </c>
      <c r="E10261" t="s">
        <v>95</v>
      </c>
      <c r="F10261" t="s">
        <v>4</v>
      </c>
      <c r="G10261" t="str">
        <f>""</f>
        <v/>
      </c>
    </row>
    <row r="10262" spans="1:7" x14ac:dyDescent="0.25">
      <c r="A10262" t="s">
        <v>8</v>
      </c>
      <c r="B10262" s="1" t="str">
        <f>"000134968 - RICH FOODS CC-FORUM"</f>
        <v>000134968 - RICH FOODS CC-FORUM</v>
      </c>
      <c r="C10262" t="s">
        <v>231</v>
      </c>
      <c r="D10262" s="1" t="str">
        <f t="shared" si="286"/>
        <v>PRG-1035907</v>
      </c>
      <c r="E10262" t="s">
        <v>95</v>
      </c>
      <c r="F10262" t="s">
        <v>4</v>
      </c>
      <c r="G10262" t="str">
        <f>""</f>
        <v/>
      </c>
    </row>
    <row r="10263" spans="1:7" x14ac:dyDescent="0.25">
      <c r="A10263" t="s">
        <v>8</v>
      </c>
      <c r="B10263" s="1" t="str">
        <f>"000135292 - RICH FOODS-FORUM"</f>
        <v>000135292 - RICH FOODS-FORUM</v>
      </c>
      <c r="C10263" t="s">
        <v>94</v>
      </c>
      <c r="D10263" s="1" t="str">
        <f t="shared" si="286"/>
        <v>PRG-1035907</v>
      </c>
      <c r="E10263" t="s">
        <v>95</v>
      </c>
      <c r="F10263" t="s">
        <v>4</v>
      </c>
      <c r="G10263" t="str">
        <f>""</f>
        <v/>
      </c>
    </row>
    <row r="10264" spans="1:7" x14ac:dyDescent="0.25">
      <c r="A10264" t="s">
        <v>8</v>
      </c>
      <c r="B10264" s="1" t="str">
        <f>"000138064 - RICH FOODS-FORUM"</f>
        <v>000138064 - RICH FOODS-FORUM</v>
      </c>
      <c r="C10264" t="s">
        <v>94</v>
      </c>
      <c r="D10264" s="1" t="str">
        <f t="shared" si="286"/>
        <v>PRG-1035907</v>
      </c>
      <c r="E10264" t="s">
        <v>95</v>
      </c>
      <c r="F10264" t="s">
        <v>4</v>
      </c>
      <c r="G10264" t="str">
        <f>""</f>
        <v/>
      </c>
    </row>
    <row r="10265" spans="1:7" x14ac:dyDescent="0.25">
      <c r="A10265" t="s">
        <v>8</v>
      </c>
      <c r="B10265" s="1" t="str">
        <f>"000152712 - RICH FOODS CC-FORUM"</f>
        <v>000152712 - RICH FOODS CC-FORUM</v>
      </c>
      <c r="C10265" t="s">
        <v>231</v>
      </c>
      <c r="D10265" s="1" t="str">
        <f t="shared" si="286"/>
        <v>PRG-1035907</v>
      </c>
      <c r="E10265" t="s">
        <v>95</v>
      </c>
      <c r="F10265" t="s">
        <v>4</v>
      </c>
      <c r="G10265" t="str">
        <f>""</f>
        <v/>
      </c>
    </row>
    <row r="10266" spans="1:7" x14ac:dyDescent="0.25">
      <c r="A10266" t="s">
        <v>8</v>
      </c>
      <c r="B10266" s="1" t="str">
        <f>"000156702 - RICH FOODS-FORUM"</f>
        <v>000156702 - RICH FOODS-FORUM</v>
      </c>
      <c r="C10266" t="s">
        <v>94</v>
      </c>
      <c r="D10266" s="1" t="str">
        <f t="shared" si="286"/>
        <v>PRG-1035907</v>
      </c>
      <c r="E10266" t="s">
        <v>95</v>
      </c>
      <c r="F10266" t="s">
        <v>4</v>
      </c>
      <c r="G10266" t="str">
        <f>""</f>
        <v/>
      </c>
    </row>
    <row r="10267" spans="1:7" x14ac:dyDescent="0.25">
      <c r="A10267" t="s">
        <v>8</v>
      </c>
      <c r="B10267" s="1" t="str">
        <f>"000160951 - RICH FOODS CC-FORUM"</f>
        <v>000160951 - RICH FOODS CC-FORUM</v>
      </c>
      <c r="C10267" t="s">
        <v>231</v>
      </c>
      <c r="D10267" s="1" t="str">
        <f t="shared" si="286"/>
        <v>PRG-1035907</v>
      </c>
      <c r="E10267" t="s">
        <v>95</v>
      </c>
      <c r="F10267" t="s">
        <v>4</v>
      </c>
      <c r="G10267" t="str">
        <f>""</f>
        <v/>
      </c>
    </row>
    <row r="10268" spans="1:7" x14ac:dyDescent="0.25">
      <c r="A10268" t="s">
        <v>8</v>
      </c>
      <c r="B10268" s="1" t="str">
        <f>"000161037 - "</f>
        <v xml:space="preserve">000161037 - </v>
      </c>
      <c r="D10268" s="1" t="str">
        <f t="shared" si="286"/>
        <v>PRG-1035907</v>
      </c>
      <c r="E10268" t="s">
        <v>95</v>
      </c>
      <c r="F10268" t="s">
        <v>4</v>
      </c>
      <c r="G10268" t="str">
        <f>""</f>
        <v/>
      </c>
    </row>
    <row r="10269" spans="1:7" x14ac:dyDescent="0.25">
      <c r="A10269" t="s">
        <v>8</v>
      </c>
      <c r="B10269" s="1" t="str">
        <f>"000164441 - "</f>
        <v xml:space="preserve">000164441 - </v>
      </c>
      <c r="D10269" s="1" t="str">
        <f t="shared" si="286"/>
        <v>PRG-1035907</v>
      </c>
      <c r="E10269" t="s">
        <v>95</v>
      </c>
      <c r="F10269" t="s">
        <v>4</v>
      </c>
      <c r="G10269" t="str">
        <f>""</f>
        <v/>
      </c>
    </row>
    <row r="10270" spans="1:7" x14ac:dyDescent="0.25">
      <c r="A10270" t="s">
        <v>8</v>
      </c>
      <c r="B10270" s="1" t="str">
        <f>"000164765 - RICH FOODS-FORUM"</f>
        <v>000164765 - RICH FOODS-FORUM</v>
      </c>
      <c r="C10270" t="s">
        <v>94</v>
      </c>
      <c r="D10270" s="1" t="str">
        <f t="shared" si="286"/>
        <v>PRG-1035907</v>
      </c>
      <c r="E10270" t="s">
        <v>95</v>
      </c>
      <c r="F10270" t="s">
        <v>4</v>
      </c>
      <c r="G10270" t="str">
        <f>""</f>
        <v/>
      </c>
    </row>
    <row r="10271" spans="1:7" x14ac:dyDescent="0.25">
      <c r="A10271" t="s">
        <v>8</v>
      </c>
      <c r="B10271" s="1" t="str">
        <f>"000220980 - RICH FOODS CC-FORUM"</f>
        <v>000220980 - RICH FOODS CC-FORUM</v>
      </c>
      <c r="C10271" t="s">
        <v>231</v>
      </c>
      <c r="D10271" s="1" t="str">
        <f t="shared" si="286"/>
        <v>PRG-1035907</v>
      </c>
      <c r="E10271" t="s">
        <v>95</v>
      </c>
      <c r="F10271" t="s">
        <v>4</v>
      </c>
      <c r="G10271" t="str">
        <f>""</f>
        <v/>
      </c>
    </row>
    <row r="10272" spans="1:7" x14ac:dyDescent="0.25">
      <c r="A10272" t="s">
        <v>8</v>
      </c>
      <c r="B10272" s="1" t="str">
        <f>"000225222 - RICH FOODS CC-FORUM"</f>
        <v>000225222 - RICH FOODS CC-FORUM</v>
      </c>
      <c r="C10272" t="s">
        <v>231</v>
      </c>
      <c r="D10272" s="1" t="str">
        <f t="shared" si="286"/>
        <v>PRG-1035907</v>
      </c>
      <c r="E10272" t="s">
        <v>95</v>
      </c>
      <c r="F10272" t="s">
        <v>4</v>
      </c>
      <c r="G10272" t="str">
        <f>""</f>
        <v/>
      </c>
    </row>
    <row r="10273" spans="1:7" x14ac:dyDescent="0.25">
      <c r="A10273" t="s">
        <v>8</v>
      </c>
      <c r="B10273" s="1" t="str">
        <f>"000225267 - RICH FOODS-FORUM"</f>
        <v>000225267 - RICH FOODS-FORUM</v>
      </c>
      <c r="C10273" t="s">
        <v>94</v>
      </c>
      <c r="D10273" s="1" t="str">
        <f t="shared" si="286"/>
        <v>PRG-1035907</v>
      </c>
      <c r="E10273" t="s">
        <v>95</v>
      </c>
      <c r="F10273" t="s">
        <v>4</v>
      </c>
      <c r="G10273" t="str">
        <f>""</f>
        <v/>
      </c>
    </row>
    <row r="10274" spans="1:7" x14ac:dyDescent="0.25">
      <c r="A10274" t="s">
        <v>8</v>
      </c>
      <c r="B10274" s="1" t="str">
        <f>"000228129 - RICH FOODS CC-FORUM"</f>
        <v>000228129 - RICH FOODS CC-FORUM</v>
      </c>
      <c r="C10274" t="s">
        <v>231</v>
      </c>
      <c r="D10274" s="1" t="str">
        <f t="shared" si="286"/>
        <v>PRG-1035907</v>
      </c>
      <c r="E10274" t="s">
        <v>95</v>
      </c>
      <c r="F10274" t="s">
        <v>4</v>
      </c>
      <c r="G10274" t="str">
        <f>""</f>
        <v/>
      </c>
    </row>
    <row r="10275" spans="1:7" x14ac:dyDescent="0.25">
      <c r="A10275" t="s">
        <v>8</v>
      </c>
      <c r="B10275" s="1" t="str">
        <f>"000230343 - RICH FOODS-FORUM"</f>
        <v>000230343 - RICH FOODS-FORUM</v>
      </c>
      <c r="C10275" t="s">
        <v>94</v>
      </c>
      <c r="D10275" s="1" t="str">
        <f t="shared" si="286"/>
        <v>PRG-1035907</v>
      </c>
      <c r="E10275" t="s">
        <v>95</v>
      </c>
      <c r="F10275" t="s">
        <v>4</v>
      </c>
      <c r="G10275" t="str">
        <f>""</f>
        <v/>
      </c>
    </row>
    <row r="10276" spans="1:7" x14ac:dyDescent="0.25">
      <c r="A10276" t="s">
        <v>8</v>
      </c>
      <c r="B10276" s="1" t="str">
        <f>"000236584 - RICH FOODS CC-FORUM"</f>
        <v>000236584 - RICH FOODS CC-FORUM</v>
      </c>
      <c r="C10276" t="s">
        <v>231</v>
      </c>
      <c r="D10276" s="1" t="str">
        <f t="shared" si="286"/>
        <v>PRG-1035907</v>
      </c>
      <c r="E10276" t="s">
        <v>95</v>
      </c>
      <c r="F10276" t="s">
        <v>4</v>
      </c>
      <c r="G10276" t="str">
        <f>""</f>
        <v/>
      </c>
    </row>
    <row r="10277" spans="1:7" x14ac:dyDescent="0.25">
      <c r="A10277" t="s">
        <v>8</v>
      </c>
      <c r="B10277" s="1" t="str">
        <f>"000240351 - RICH FOODS-FORUM"</f>
        <v>000240351 - RICH FOODS-FORUM</v>
      </c>
      <c r="C10277" t="s">
        <v>94</v>
      </c>
      <c r="D10277" s="1" t="str">
        <f t="shared" si="286"/>
        <v>PRG-1035907</v>
      </c>
      <c r="E10277" t="s">
        <v>95</v>
      </c>
      <c r="F10277" t="s">
        <v>4</v>
      </c>
      <c r="G10277" t="str">
        <f>""</f>
        <v/>
      </c>
    </row>
    <row r="10278" spans="1:7" x14ac:dyDescent="0.25">
      <c r="A10278" t="s">
        <v>8</v>
      </c>
      <c r="B10278" s="1" t="str">
        <f>"000246932 - RICH FOODS CC-FORUM"</f>
        <v>000246932 - RICH FOODS CC-FORUM</v>
      </c>
      <c r="C10278" t="s">
        <v>231</v>
      </c>
      <c r="D10278" s="1" t="str">
        <f t="shared" si="286"/>
        <v>PRG-1035907</v>
      </c>
      <c r="E10278" t="s">
        <v>95</v>
      </c>
      <c r="F10278" t="s">
        <v>4</v>
      </c>
      <c r="G10278" t="str">
        <f>""</f>
        <v/>
      </c>
    </row>
    <row r="10279" spans="1:7" x14ac:dyDescent="0.25">
      <c r="A10279" t="s">
        <v>8</v>
      </c>
      <c r="B10279" s="1" t="str">
        <f>"000249127 - RICH FOODS-FORUM"</f>
        <v>000249127 - RICH FOODS-FORUM</v>
      </c>
      <c r="C10279" t="s">
        <v>94</v>
      </c>
      <c r="D10279" s="1" t="str">
        <f t="shared" si="286"/>
        <v>PRG-1035907</v>
      </c>
      <c r="E10279" t="s">
        <v>95</v>
      </c>
      <c r="F10279" t="s">
        <v>4</v>
      </c>
      <c r="G10279" t="str">
        <f>""</f>
        <v/>
      </c>
    </row>
    <row r="10280" spans="1:7" x14ac:dyDescent="0.25">
      <c r="A10280" t="s">
        <v>8</v>
      </c>
      <c r="B10280" s="1" t="str">
        <f>"000249136 - BB FORUM FOB RICH"</f>
        <v>000249136 - BB FORUM FOB RICH</v>
      </c>
      <c r="C10280" t="s">
        <v>1613</v>
      </c>
      <c r="D10280" s="1" t="str">
        <f t="shared" ref="D10280:D10311" si="287">"PRG-1035907"</f>
        <v>PRG-1035907</v>
      </c>
      <c r="E10280" t="s">
        <v>95</v>
      </c>
      <c r="F10280" t="s">
        <v>4</v>
      </c>
      <c r="G10280" t="str">
        <f>""</f>
        <v/>
      </c>
    </row>
    <row r="10281" spans="1:7" x14ac:dyDescent="0.25">
      <c r="A10281" t="s">
        <v>8</v>
      </c>
      <c r="B10281" s="1" t="str">
        <f>"000250005 - RICH FOODS-FORUM"</f>
        <v>000250005 - RICH FOODS-FORUM</v>
      </c>
      <c r="C10281" t="s">
        <v>94</v>
      </c>
      <c r="D10281" s="1" t="str">
        <f t="shared" si="287"/>
        <v>PRG-1035907</v>
      </c>
      <c r="E10281" t="s">
        <v>95</v>
      </c>
      <c r="F10281" t="s">
        <v>4</v>
      </c>
      <c r="G10281" t="str">
        <f>""</f>
        <v/>
      </c>
    </row>
    <row r="10282" spans="1:7" x14ac:dyDescent="0.25">
      <c r="A10282" t="s">
        <v>8</v>
      </c>
      <c r="B10282" s="1" t="str">
        <f>"000250983 - RICH FOODS CC-FORUM"</f>
        <v>000250983 - RICH FOODS CC-FORUM</v>
      </c>
      <c r="C10282" t="s">
        <v>231</v>
      </c>
      <c r="D10282" s="1" t="str">
        <f t="shared" si="287"/>
        <v>PRG-1035907</v>
      </c>
      <c r="E10282" t="s">
        <v>95</v>
      </c>
      <c r="F10282" t="s">
        <v>4</v>
      </c>
      <c r="G10282" t="str">
        <f>""</f>
        <v/>
      </c>
    </row>
    <row r="10283" spans="1:7" x14ac:dyDescent="0.25">
      <c r="A10283" t="s">
        <v>8</v>
      </c>
      <c r="B10283" s="1" t="str">
        <f>"000252661 - RICH FOODS CC-FORUM"</f>
        <v>000252661 - RICH FOODS CC-FORUM</v>
      </c>
      <c r="C10283" t="s">
        <v>231</v>
      </c>
      <c r="D10283" s="1" t="str">
        <f t="shared" si="287"/>
        <v>PRG-1035907</v>
      </c>
      <c r="E10283" t="s">
        <v>95</v>
      </c>
      <c r="F10283" t="s">
        <v>4</v>
      </c>
      <c r="G10283" t="str">
        <f>""</f>
        <v/>
      </c>
    </row>
    <row r="10284" spans="1:7" x14ac:dyDescent="0.25">
      <c r="A10284" t="s">
        <v>8</v>
      </c>
      <c r="B10284" s="1" t="str">
        <f>"000253844 - RICH FOODS-FORUM"</f>
        <v>000253844 - RICH FOODS-FORUM</v>
      </c>
      <c r="C10284" t="s">
        <v>94</v>
      </c>
      <c r="D10284" s="1" t="str">
        <f t="shared" si="287"/>
        <v>PRG-1035907</v>
      </c>
      <c r="E10284" t="s">
        <v>95</v>
      </c>
      <c r="F10284" t="s">
        <v>4</v>
      </c>
      <c r="G10284" t="str">
        <f>""</f>
        <v/>
      </c>
    </row>
    <row r="10285" spans="1:7" x14ac:dyDescent="0.25">
      <c r="A10285" t="s">
        <v>8</v>
      </c>
      <c r="B10285" s="1" t="str">
        <f>"000254045 - "</f>
        <v xml:space="preserve">000254045 - </v>
      </c>
      <c r="D10285" s="1" t="str">
        <f t="shared" si="287"/>
        <v>PRG-1035907</v>
      </c>
      <c r="E10285" t="s">
        <v>95</v>
      </c>
      <c r="F10285" t="s">
        <v>4</v>
      </c>
      <c r="G10285" t="str">
        <f>""</f>
        <v/>
      </c>
    </row>
    <row r="10286" spans="1:7" x14ac:dyDescent="0.25">
      <c r="A10286" t="s">
        <v>8</v>
      </c>
      <c r="B10286" s="1" t="str">
        <f>"000255030 - RICH FOODS-FORUM"</f>
        <v>000255030 - RICH FOODS-FORUM</v>
      </c>
      <c r="C10286" t="s">
        <v>94</v>
      </c>
      <c r="D10286" s="1" t="str">
        <f t="shared" si="287"/>
        <v>PRG-1035907</v>
      </c>
      <c r="E10286" t="s">
        <v>95</v>
      </c>
      <c r="F10286" t="s">
        <v>4</v>
      </c>
      <c r="G10286" t="str">
        <f>""</f>
        <v/>
      </c>
    </row>
    <row r="10287" spans="1:7" x14ac:dyDescent="0.25">
      <c r="A10287" t="s">
        <v>8</v>
      </c>
      <c r="B10287" s="1" t="str">
        <f>"000256938 - RICH FOODS-FORUM"</f>
        <v>000256938 - RICH FOODS-FORUM</v>
      </c>
      <c r="C10287" t="s">
        <v>94</v>
      </c>
      <c r="D10287" s="1" t="str">
        <f t="shared" si="287"/>
        <v>PRG-1035907</v>
      </c>
      <c r="E10287" t="s">
        <v>95</v>
      </c>
      <c r="F10287" t="s">
        <v>4</v>
      </c>
      <c r="G10287" t="str">
        <f>""</f>
        <v/>
      </c>
    </row>
    <row r="10288" spans="1:7" x14ac:dyDescent="0.25">
      <c r="A10288" t="s">
        <v>8</v>
      </c>
      <c r="B10288" s="1" t="str">
        <f>"000257481 - RICH FOODS CC-FORUM"</f>
        <v>000257481 - RICH FOODS CC-FORUM</v>
      </c>
      <c r="C10288" t="s">
        <v>231</v>
      </c>
      <c r="D10288" s="1" t="str">
        <f t="shared" si="287"/>
        <v>PRG-1035907</v>
      </c>
      <c r="E10288" t="s">
        <v>95</v>
      </c>
      <c r="F10288" t="s">
        <v>4</v>
      </c>
      <c r="G10288" t="str">
        <f>""</f>
        <v/>
      </c>
    </row>
    <row r="10289" spans="1:7" x14ac:dyDescent="0.25">
      <c r="A10289" t="s">
        <v>8</v>
      </c>
      <c r="B10289" s="1" t="str">
        <f>"000257877 - "</f>
        <v xml:space="preserve">000257877 - </v>
      </c>
      <c r="D10289" s="1" t="str">
        <f t="shared" si="287"/>
        <v>PRG-1035907</v>
      </c>
      <c r="E10289" t="s">
        <v>95</v>
      </c>
      <c r="F10289" t="s">
        <v>4</v>
      </c>
      <c r="G10289" t="str">
        <f>""</f>
        <v/>
      </c>
    </row>
    <row r="10290" spans="1:7" x14ac:dyDescent="0.25">
      <c r="A10290" t="s">
        <v>8</v>
      </c>
      <c r="B10290" s="1" t="str">
        <f>"000259141 - RICH FOODS-FORUM"</f>
        <v>000259141 - RICH FOODS-FORUM</v>
      </c>
      <c r="C10290" t="s">
        <v>94</v>
      </c>
      <c r="D10290" s="1" t="str">
        <f t="shared" si="287"/>
        <v>PRG-1035907</v>
      </c>
      <c r="E10290" t="s">
        <v>95</v>
      </c>
      <c r="F10290" t="s">
        <v>4</v>
      </c>
      <c r="G10290" t="str">
        <f>""</f>
        <v/>
      </c>
    </row>
    <row r="10291" spans="1:7" x14ac:dyDescent="0.25">
      <c r="A10291" t="s">
        <v>8</v>
      </c>
      <c r="B10291" s="1" t="str">
        <f>"000261186 - RICH FOODS CC-FORUM"</f>
        <v>000261186 - RICH FOODS CC-FORUM</v>
      </c>
      <c r="C10291" t="s">
        <v>231</v>
      </c>
      <c r="D10291" s="1" t="str">
        <f t="shared" si="287"/>
        <v>PRG-1035907</v>
      </c>
      <c r="E10291" t="s">
        <v>95</v>
      </c>
      <c r="F10291" t="s">
        <v>4</v>
      </c>
      <c r="G10291" t="str">
        <f>""</f>
        <v/>
      </c>
    </row>
    <row r="10292" spans="1:7" x14ac:dyDescent="0.25">
      <c r="A10292" t="s">
        <v>8</v>
      </c>
      <c r="B10292" s="1" t="str">
        <f>"000261691 - RICH FOODS-FORUM"</f>
        <v>000261691 - RICH FOODS-FORUM</v>
      </c>
      <c r="C10292" t="s">
        <v>94</v>
      </c>
      <c r="D10292" s="1" t="str">
        <f t="shared" si="287"/>
        <v>PRG-1035907</v>
      </c>
      <c r="E10292" t="s">
        <v>95</v>
      </c>
      <c r="F10292" t="s">
        <v>4</v>
      </c>
      <c r="G10292" t="str">
        <f>""</f>
        <v/>
      </c>
    </row>
    <row r="10293" spans="1:7" x14ac:dyDescent="0.25">
      <c r="A10293" t="s">
        <v>8</v>
      </c>
      <c r="B10293" s="1" t="str">
        <f>"000262699 - RICH FOODS-FORUM"</f>
        <v>000262699 - RICH FOODS-FORUM</v>
      </c>
      <c r="C10293" t="s">
        <v>94</v>
      </c>
      <c r="D10293" s="1" t="str">
        <f t="shared" si="287"/>
        <v>PRG-1035907</v>
      </c>
      <c r="E10293" t="s">
        <v>95</v>
      </c>
      <c r="F10293" t="s">
        <v>4</v>
      </c>
      <c r="G10293" t="str">
        <f>""</f>
        <v/>
      </c>
    </row>
    <row r="10294" spans="1:7" x14ac:dyDescent="0.25">
      <c r="A10294" t="s">
        <v>8</v>
      </c>
      <c r="B10294" s="1" t="str">
        <f>"000264175 - RICH FOODS-FORUM"</f>
        <v>000264175 - RICH FOODS-FORUM</v>
      </c>
      <c r="C10294" t="s">
        <v>94</v>
      </c>
      <c r="D10294" s="1" t="str">
        <f t="shared" si="287"/>
        <v>PRG-1035907</v>
      </c>
      <c r="E10294" t="s">
        <v>95</v>
      </c>
      <c r="F10294" t="s">
        <v>4</v>
      </c>
      <c r="G10294" t="str">
        <f>""</f>
        <v/>
      </c>
    </row>
    <row r="10295" spans="1:7" x14ac:dyDescent="0.25">
      <c r="A10295" t="s">
        <v>8</v>
      </c>
      <c r="B10295" s="1" t="str">
        <f>"000264997 - RICH FOODS-FORUM"</f>
        <v>000264997 - RICH FOODS-FORUM</v>
      </c>
      <c r="C10295" t="s">
        <v>94</v>
      </c>
      <c r="D10295" s="1" t="str">
        <f t="shared" si="287"/>
        <v>PRG-1035907</v>
      </c>
      <c r="E10295" t="s">
        <v>95</v>
      </c>
      <c r="F10295" t="s">
        <v>4</v>
      </c>
      <c r="G10295" t="str">
        <f>""</f>
        <v/>
      </c>
    </row>
    <row r="10296" spans="1:7" x14ac:dyDescent="0.25">
      <c r="A10296" t="s">
        <v>8</v>
      </c>
      <c r="B10296" s="1" t="str">
        <f>"000269177 - "</f>
        <v xml:space="preserve">000269177 - </v>
      </c>
      <c r="D10296" s="1" t="str">
        <f t="shared" si="287"/>
        <v>PRG-1035907</v>
      </c>
      <c r="E10296" t="s">
        <v>95</v>
      </c>
      <c r="F10296" t="s">
        <v>4</v>
      </c>
      <c r="G10296" t="str">
        <f>""</f>
        <v/>
      </c>
    </row>
    <row r="10297" spans="1:7" x14ac:dyDescent="0.25">
      <c r="A10297" t="s">
        <v>8</v>
      </c>
      <c r="B10297" s="1" t="str">
        <f>"000272658 - RICH FOODS CC-FORUM"</f>
        <v>000272658 - RICH FOODS CC-FORUM</v>
      </c>
      <c r="C10297" t="s">
        <v>231</v>
      </c>
      <c r="D10297" s="1" t="str">
        <f t="shared" si="287"/>
        <v>PRG-1035907</v>
      </c>
      <c r="E10297" t="s">
        <v>95</v>
      </c>
      <c r="F10297" t="s">
        <v>4</v>
      </c>
      <c r="G10297" t="str">
        <f>""</f>
        <v/>
      </c>
    </row>
    <row r="10298" spans="1:7" x14ac:dyDescent="0.25">
      <c r="A10298" t="s">
        <v>8</v>
      </c>
      <c r="B10298" s="1" t="str">
        <f>"000273382 - "</f>
        <v xml:space="preserve">000273382 - </v>
      </c>
      <c r="D10298" s="1" t="str">
        <f t="shared" si="287"/>
        <v>PRG-1035907</v>
      </c>
      <c r="E10298" t="s">
        <v>95</v>
      </c>
      <c r="F10298" t="s">
        <v>4</v>
      </c>
      <c r="G10298" t="str">
        <f>""</f>
        <v/>
      </c>
    </row>
    <row r="10299" spans="1:7" x14ac:dyDescent="0.25">
      <c r="A10299" t="s">
        <v>8</v>
      </c>
      <c r="B10299" s="1" t="str">
        <f>"000274424 - RICH FOODS CC-FORUM"</f>
        <v>000274424 - RICH FOODS CC-FORUM</v>
      </c>
      <c r="C10299" t="s">
        <v>231</v>
      </c>
      <c r="D10299" s="1" t="str">
        <f t="shared" si="287"/>
        <v>PRG-1035907</v>
      </c>
      <c r="E10299" t="s">
        <v>95</v>
      </c>
      <c r="F10299" t="s">
        <v>4</v>
      </c>
      <c r="G10299" t="str">
        <f>""</f>
        <v/>
      </c>
    </row>
    <row r="10300" spans="1:7" x14ac:dyDescent="0.25">
      <c r="A10300" t="s">
        <v>8</v>
      </c>
      <c r="B10300" s="1" t="str">
        <f>"000276173 - RICH FOODS CC-FORUM"</f>
        <v>000276173 - RICH FOODS CC-FORUM</v>
      </c>
      <c r="C10300" t="s">
        <v>231</v>
      </c>
      <c r="D10300" s="1" t="str">
        <f t="shared" si="287"/>
        <v>PRG-1035907</v>
      </c>
      <c r="E10300" t="s">
        <v>95</v>
      </c>
      <c r="F10300" t="s">
        <v>4</v>
      </c>
      <c r="G10300" t="str">
        <f>""</f>
        <v/>
      </c>
    </row>
    <row r="10301" spans="1:7" x14ac:dyDescent="0.25">
      <c r="A10301" t="s">
        <v>8</v>
      </c>
      <c r="B10301" s="1" t="str">
        <f>"000277790 - RICH FOODS CC-FORUM"</f>
        <v>000277790 - RICH FOODS CC-FORUM</v>
      </c>
      <c r="C10301" t="s">
        <v>231</v>
      </c>
      <c r="D10301" s="1" t="str">
        <f t="shared" si="287"/>
        <v>PRG-1035907</v>
      </c>
      <c r="E10301" t="s">
        <v>95</v>
      </c>
      <c r="F10301" t="s">
        <v>4</v>
      </c>
      <c r="G10301" t="str">
        <f>""</f>
        <v/>
      </c>
    </row>
    <row r="10302" spans="1:7" x14ac:dyDescent="0.25">
      <c r="A10302" t="s">
        <v>8</v>
      </c>
      <c r="B10302" s="1" t="str">
        <f>"000278313 - RICH FOODS-FORUM"</f>
        <v>000278313 - RICH FOODS-FORUM</v>
      </c>
      <c r="C10302" t="s">
        <v>94</v>
      </c>
      <c r="D10302" s="1" t="str">
        <f t="shared" si="287"/>
        <v>PRG-1035907</v>
      </c>
      <c r="E10302" t="s">
        <v>95</v>
      </c>
      <c r="F10302" t="s">
        <v>4</v>
      </c>
      <c r="G10302" t="str">
        <f>""</f>
        <v/>
      </c>
    </row>
    <row r="10303" spans="1:7" x14ac:dyDescent="0.25">
      <c r="A10303" t="s">
        <v>8</v>
      </c>
      <c r="B10303" s="1" t="str">
        <f>"000279598 - RICH FOODS CC-FORUM"</f>
        <v>000279598 - RICH FOODS CC-FORUM</v>
      </c>
      <c r="C10303" t="s">
        <v>231</v>
      </c>
      <c r="D10303" s="1" t="str">
        <f t="shared" si="287"/>
        <v>PRG-1035907</v>
      </c>
      <c r="E10303" t="s">
        <v>95</v>
      </c>
      <c r="F10303" t="s">
        <v>4</v>
      </c>
      <c r="G10303" t="str">
        <f>""</f>
        <v/>
      </c>
    </row>
    <row r="10304" spans="1:7" x14ac:dyDescent="0.25">
      <c r="A10304" t="s">
        <v>8</v>
      </c>
      <c r="B10304" s="1" t="str">
        <f>"000280080 - RICH FOODS CC-FORUM"</f>
        <v>000280080 - RICH FOODS CC-FORUM</v>
      </c>
      <c r="C10304" t="s">
        <v>231</v>
      </c>
      <c r="D10304" s="1" t="str">
        <f t="shared" si="287"/>
        <v>PRG-1035907</v>
      </c>
      <c r="E10304" t="s">
        <v>95</v>
      </c>
      <c r="F10304" t="s">
        <v>4</v>
      </c>
      <c r="G10304" t="str">
        <f>""</f>
        <v/>
      </c>
    </row>
    <row r="10305" spans="1:7" x14ac:dyDescent="0.25">
      <c r="A10305" t="s">
        <v>8</v>
      </c>
      <c r="B10305" s="1" t="str">
        <f>"000280838 - RICH FOODS-FORUM"</f>
        <v>000280838 - RICH FOODS-FORUM</v>
      </c>
      <c r="C10305" t="s">
        <v>94</v>
      </c>
      <c r="D10305" s="1" t="str">
        <f t="shared" si="287"/>
        <v>PRG-1035907</v>
      </c>
      <c r="E10305" t="s">
        <v>95</v>
      </c>
      <c r="F10305" t="s">
        <v>4</v>
      </c>
      <c r="G10305" t="str">
        <f>""</f>
        <v/>
      </c>
    </row>
    <row r="10306" spans="1:7" x14ac:dyDescent="0.25">
      <c r="A10306" t="s">
        <v>8</v>
      </c>
      <c r="B10306" s="1" t="str">
        <f>"000281934 - RICH FOODS-FORUM"</f>
        <v>000281934 - RICH FOODS-FORUM</v>
      </c>
      <c r="C10306" t="s">
        <v>94</v>
      </c>
      <c r="D10306" s="1" t="str">
        <f t="shared" si="287"/>
        <v>PRG-1035907</v>
      </c>
      <c r="E10306" t="s">
        <v>95</v>
      </c>
      <c r="F10306" t="s">
        <v>4</v>
      </c>
      <c r="G10306" t="str">
        <f>""</f>
        <v/>
      </c>
    </row>
    <row r="10307" spans="1:7" x14ac:dyDescent="0.25">
      <c r="A10307" t="s">
        <v>8</v>
      </c>
      <c r="B10307" s="1" t="str">
        <f>"000283076 - RICH FOODS-FORUM"</f>
        <v>000283076 - RICH FOODS-FORUM</v>
      </c>
      <c r="C10307" t="s">
        <v>94</v>
      </c>
      <c r="D10307" s="1" t="str">
        <f t="shared" si="287"/>
        <v>PRG-1035907</v>
      </c>
      <c r="E10307" t="s">
        <v>95</v>
      </c>
      <c r="F10307" t="s">
        <v>4</v>
      </c>
      <c r="G10307" t="str">
        <f>""</f>
        <v/>
      </c>
    </row>
    <row r="10308" spans="1:7" x14ac:dyDescent="0.25">
      <c r="A10308" t="s">
        <v>8</v>
      </c>
      <c r="B10308" s="1" t="str">
        <f>"000283941 - RICH FOODS-FORUM"</f>
        <v>000283941 - RICH FOODS-FORUM</v>
      </c>
      <c r="C10308" t="s">
        <v>94</v>
      </c>
      <c r="D10308" s="1" t="str">
        <f t="shared" si="287"/>
        <v>PRG-1035907</v>
      </c>
      <c r="E10308" t="s">
        <v>95</v>
      </c>
      <c r="F10308" t="s">
        <v>4</v>
      </c>
      <c r="G10308" t="str">
        <f>""</f>
        <v/>
      </c>
    </row>
    <row r="10309" spans="1:7" x14ac:dyDescent="0.25">
      <c r="A10309" t="s">
        <v>8</v>
      </c>
      <c r="B10309" s="1" t="str">
        <f>"000284233 - RICH FOODS-FORUM"</f>
        <v>000284233 - RICH FOODS-FORUM</v>
      </c>
      <c r="C10309" t="s">
        <v>94</v>
      </c>
      <c r="D10309" s="1" t="str">
        <f t="shared" si="287"/>
        <v>PRG-1035907</v>
      </c>
      <c r="E10309" t="s">
        <v>95</v>
      </c>
      <c r="F10309" t="s">
        <v>4</v>
      </c>
      <c r="G10309" t="str">
        <f>""</f>
        <v/>
      </c>
    </row>
    <row r="10310" spans="1:7" x14ac:dyDescent="0.25">
      <c r="A10310" t="s">
        <v>8</v>
      </c>
      <c r="B10310" s="1" t="str">
        <f>"000286041 - RICH FOODS-FORUM"</f>
        <v>000286041 - RICH FOODS-FORUM</v>
      </c>
      <c r="C10310" t="s">
        <v>94</v>
      </c>
      <c r="D10310" s="1" t="str">
        <f t="shared" si="287"/>
        <v>PRG-1035907</v>
      </c>
      <c r="E10310" t="s">
        <v>95</v>
      </c>
      <c r="F10310" t="s">
        <v>4</v>
      </c>
      <c r="G10310" t="str">
        <f>""</f>
        <v/>
      </c>
    </row>
    <row r="10311" spans="1:7" x14ac:dyDescent="0.25">
      <c r="A10311" t="s">
        <v>8</v>
      </c>
      <c r="B10311" s="1" t="str">
        <f>"000295975 - "</f>
        <v xml:space="preserve">000295975 - </v>
      </c>
      <c r="D10311" s="1" t="str">
        <f t="shared" si="287"/>
        <v>PRG-1035907</v>
      </c>
      <c r="E10311" t="s">
        <v>95</v>
      </c>
      <c r="F10311" t="s">
        <v>4</v>
      </c>
      <c r="G10311" t="str">
        <f>""</f>
        <v/>
      </c>
    </row>
    <row r="10312" spans="1:7" x14ac:dyDescent="0.25">
      <c r="A10312" t="s">
        <v>8</v>
      </c>
      <c r="B10312" s="1" t="str">
        <f>"000309915 - RICH FOODS-FORUM"</f>
        <v>000309915 - RICH FOODS-FORUM</v>
      </c>
      <c r="C10312" t="s">
        <v>94</v>
      </c>
      <c r="D10312" s="1" t="str">
        <f t="shared" ref="D10312:D10332" si="288">"PRG-1035907"</f>
        <v>PRG-1035907</v>
      </c>
      <c r="E10312" t="s">
        <v>95</v>
      </c>
      <c r="F10312" t="s">
        <v>4</v>
      </c>
      <c r="G10312" t="str">
        <f>""</f>
        <v/>
      </c>
    </row>
    <row r="10313" spans="1:7" x14ac:dyDescent="0.25">
      <c r="A10313" t="s">
        <v>8</v>
      </c>
      <c r="B10313" s="1" t="str">
        <f>"000315996 - RICH FOODS CC-FORUM"</f>
        <v>000315996 - RICH FOODS CC-FORUM</v>
      </c>
      <c r="C10313" t="s">
        <v>231</v>
      </c>
      <c r="D10313" s="1" t="str">
        <f t="shared" si="288"/>
        <v>PRG-1035907</v>
      </c>
      <c r="E10313" t="s">
        <v>95</v>
      </c>
      <c r="F10313" t="s">
        <v>4</v>
      </c>
      <c r="G10313" t="str">
        <f>""</f>
        <v/>
      </c>
    </row>
    <row r="10314" spans="1:7" x14ac:dyDescent="0.25">
      <c r="A10314" t="s">
        <v>8</v>
      </c>
      <c r="B10314" s="1" t="str">
        <f>"000319737 - RICH FOODS-FORUM"</f>
        <v>000319737 - RICH FOODS-FORUM</v>
      </c>
      <c r="C10314" t="s">
        <v>94</v>
      </c>
      <c r="D10314" s="1" t="str">
        <f t="shared" si="288"/>
        <v>PRG-1035907</v>
      </c>
      <c r="E10314" t="s">
        <v>95</v>
      </c>
      <c r="F10314" t="s">
        <v>4</v>
      </c>
      <c r="G10314" t="str">
        <f>""</f>
        <v/>
      </c>
    </row>
    <row r="10315" spans="1:7" x14ac:dyDescent="0.25">
      <c r="A10315" t="s">
        <v>8</v>
      </c>
      <c r="B10315" s="1" t="str">
        <f>"000324788 - "</f>
        <v xml:space="preserve">000324788 - </v>
      </c>
      <c r="D10315" s="1" t="str">
        <f t="shared" si="288"/>
        <v>PRG-1035907</v>
      </c>
      <c r="E10315" t="s">
        <v>95</v>
      </c>
      <c r="F10315" t="s">
        <v>4</v>
      </c>
      <c r="G10315" t="str">
        <f>""</f>
        <v/>
      </c>
    </row>
    <row r="10316" spans="1:7" x14ac:dyDescent="0.25">
      <c r="A10316" t="s">
        <v>8</v>
      </c>
      <c r="B10316" s="1" t="str">
        <f>"000329632 - "</f>
        <v xml:space="preserve">000329632 - </v>
      </c>
      <c r="D10316" s="1" t="str">
        <f t="shared" si="288"/>
        <v>PRG-1035907</v>
      </c>
      <c r="E10316" t="s">
        <v>95</v>
      </c>
      <c r="F10316" t="s">
        <v>4</v>
      </c>
      <c r="G10316" t="str">
        <f>""</f>
        <v/>
      </c>
    </row>
    <row r="10317" spans="1:7" x14ac:dyDescent="0.25">
      <c r="A10317" t="s">
        <v>8</v>
      </c>
      <c r="B10317" s="1" t="str">
        <f>"000330436 - RICH FOODS CC-FORUM"</f>
        <v>000330436 - RICH FOODS CC-FORUM</v>
      </c>
      <c r="C10317" t="s">
        <v>231</v>
      </c>
      <c r="D10317" s="1" t="str">
        <f t="shared" si="288"/>
        <v>PRG-1035907</v>
      </c>
      <c r="E10317" t="s">
        <v>95</v>
      </c>
      <c r="F10317" t="s">
        <v>4</v>
      </c>
      <c r="G10317" t="str">
        <f>""</f>
        <v/>
      </c>
    </row>
    <row r="10318" spans="1:7" x14ac:dyDescent="0.25">
      <c r="A10318" t="s">
        <v>8</v>
      </c>
      <c r="B10318" s="1" t="str">
        <f>"000336473 - RICH FOODS CC-FORUM"</f>
        <v>000336473 - RICH FOODS CC-FORUM</v>
      </c>
      <c r="C10318" t="s">
        <v>231</v>
      </c>
      <c r="D10318" s="1" t="str">
        <f t="shared" si="288"/>
        <v>PRG-1035907</v>
      </c>
      <c r="E10318" t="s">
        <v>95</v>
      </c>
      <c r="F10318" t="s">
        <v>4</v>
      </c>
      <c r="G10318" t="str">
        <f>""</f>
        <v/>
      </c>
    </row>
    <row r="10319" spans="1:7" x14ac:dyDescent="0.25">
      <c r="A10319" t="s">
        <v>8</v>
      </c>
      <c r="B10319" s="1" t="str">
        <f>"000336885 - RICH FOODS-FORUM"</f>
        <v>000336885 - RICH FOODS-FORUM</v>
      </c>
      <c r="C10319" t="s">
        <v>94</v>
      </c>
      <c r="D10319" s="1" t="str">
        <f t="shared" si="288"/>
        <v>PRG-1035907</v>
      </c>
      <c r="E10319" t="s">
        <v>95</v>
      </c>
      <c r="F10319" t="s">
        <v>4</v>
      </c>
      <c r="G10319" t="str">
        <f>""</f>
        <v/>
      </c>
    </row>
    <row r="10320" spans="1:7" x14ac:dyDescent="0.25">
      <c r="A10320" t="s">
        <v>8</v>
      </c>
      <c r="B10320" s="1" t="str">
        <f>"000342008 - RICH FOODS-FORUM"</f>
        <v>000342008 - RICH FOODS-FORUM</v>
      </c>
      <c r="C10320" t="s">
        <v>94</v>
      </c>
      <c r="D10320" s="1" t="str">
        <f t="shared" si="288"/>
        <v>PRG-1035907</v>
      </c>
      <c r="E10320" t="s">
        <v>95</v>
      </c>
      <c r="F10320" t="s">
        <v>4</v>
      </c>
      <c r="G10320" t="str">
        <f>""</f>
        <v/>
      </c>
    </row>
    <row r="10321" spans="1:7" x14ac:dyDescent="0.25">
      <c r="A10321" t="s">
        <v>8</v>
      </c>
      <c r="B10321" s="1" t="str">
        <f>"000346021 - RICH FOODS CC-FORUM"</f>
        <v>000346021 - RICH FOODS CC-FORUM</v>
      </c>
      <c r="C10321" t="s">
        <v>231</v>
      </c>
      <c r="D10321" s="1" t="str">
        <f t="shared" si="288"/>
        <v>PRG-1035907</v>
      </c>
      <c r="E10321" t="s">
        <v>95</v>
      </c>
      <c r="F10321" t="s">
        <v>4</v>
      </c>
      <c r="G10321" t="str">
        <f>""</f>
        <v/>
      </c>
    </row>
    <row r="10322" spans="1:7" x14ac:dyDescent="0.25">
      <c r="A10322" t="s">
        <v>8</v>
      </c>
      <c r="B10322" s="1" t="str">
        <f>"000351085 - RICH FOODS-FORUM"</f>
        <v>000351085 - RICH FOODS-FORUM</v>
      </c>
      <c r="C10322" t="s">
        <v>94</v>
      </c>
      <c r="D10322" s="1" t="str">
        <f t="shared" si="288"/>
        <v>PRG-1035907</v>
      </c>
      <c r="E10322" t="s">
        <v>95</v>
      </c>
      <c r="F10322" t="s">
        <v>4</v>
      </c>
      <c r="G10322" t="str">
        <f>""</f>
        <v/>
      </c>
    </row>
    <row r="10323" spans="1:7" x14ac:dyDescent="0.25">
      <c r="A10323" t="s">
        <v>8</v>
      </c>
      <c r="B10323" s="1" t="str">
        <f>"000351259 - "</f>
        <v xml:space="preserve">000351259 - </v>
      </c>
      <c r="D10323" s="1" t="str">
        <f t="shared" si="288"/>
        <v>PRG-1035907</v>
      </c>
      <c r="E10323" t="s">
        <v>95</v>
      </c>
      <c r="F10323" t="s">
        <v>4</v>
      </c>
      <c r="G10323" t="str">
        <f>""</f>
        <v/>
      </c>
    </row>
    <row r="10324" spans="1:7" x14ac:dyDescent="0.25">
      <c r="A10324" t="s">
        <v>8</v>
      </c>
      <c r="B10324" s="1" t="str">
        <f>"000359864 - RICH FOODS CC-FORUM"</f>
        <v>000359864 - RICH FOODS CC-FORUM</v>
      </c>
      <c r="C10324" t="s">
        <v>231</v>
      </c>
      <c r="D10324" s="1" t="str">
        <f t="shared" si="288"/>
        <v>PRG-1035907</v>
      </c>
      <c r="E10324" t="s">
        <v>95</v>
      </c>
      <c r="F10324" t="s">
        <v>4</v>
      </c>
      <c r="G10324" t="str">
        <f>""</f>
        <v/>
      </c>
    </row>
    <row r="10325" spans="1:7" x14ac:dyDescent="0.25">
      <c r="A10325" t="s">
        <v>8</v>
      </c>
      <c r="B10325" s="1" t="str">
        <f>"000365759 - RICH FOODS-FORUM"</f>
        <v>000365759 - RICH FOODS-FORUM</v>
      </c>
      <c r="C10325" t="s">
        <v>94</v>
      </c>
      <c r="D10325" s="1" t="str">
        <f t="shared" si="288"/>
        <v>PRG-1035907</v>
      </c>
      <c r="E10325" t="s">
        <v>95</v>
      </c>
      <c r="F10325" t="s">
        <v>4</v>
      </c>
      <c r="G10325" t="str">
        <f>""</f>
        <v/>
      </c>
    </row>
    <row r="10326" spans="1:7" x14ac:dyDescent="0.25">
      <c r="A10326" t="s">
        <v>8</v>
      </c>
      <c r="B10326" s="1" t="str">
        <f>"000385458 - "</f>
        <v xml:space="preserve">000385458 - </v>
      </c>
      <c r="D10326" s="1" t="str">
        <f t="shared" si="288"/>
        <v>PRG-1035907</v>
      </c>
      <c r="E10326" t="s">
        <v>95</v>
      </c>
      <c r="F10326" t="s">
        <v>4</v>
      </c>
      <c r="G10326" t="str">
        <f>""</f>
        <v/>
      </c>
    </row>
    <row r="10327" spans="1:7" x14ac:dyDescent="0.25">
      <c r="A10327" t="s">
        <v>8</v>
      </c>
      <c r="B10327" s="1" t="str">
        <f>"000387071 - RICH FOODS CC-FORUM"</f>
        <v>000387071 - RICH FOODS CC-FORUM</v>
      </c>
      <c r="C10327" t="s">
        <v>231</v>
      </c>
      <c r="D10327" s="1" t="str">
        <f t="shared" si="288"/>
        <v>PRG-1035907</v>
      </c>
      <c r="E10327" t="s">
        <v>95</v>
      </c>
      <c r="F10327" t="s">
        <v>4</v>
      </c>
      <c r="G10327" t="str">
        <f>""</f>
        <v/>
      </c>
    </row>
    <row r="10328" spans="1:7" x14ac:dyDescent="0.25">
      <c r="A10328" t="s">
        <v>8</v>
      </c>
      <c r="B10328" s="1" t="str">
        <f>"000389611 - "</f>
        <v xml:space="preserve">000389611 - </v>
      </c>
      <c r="D10328" s="1" t="str">
        <f t="shared" si="288"/>
        <v>PRG-1035907</v>
      </c>
      <c r="E10328" t="s">
        <v>95</v>
      </c>
      <c r="F10328" t="s">
        <v>4</v>
      </c>
      <c r="G10328" t="str">
        <f>""</f>
        <v/>
      </c>
    </row>
    <row r="10329" spans="1:7" x14ac:dyDescent="0.25">
      <c r="A10329" t="s">
        <v>8</v>
      </c>
      <c r="B10329" s="1" t="str">
        <f>"000392150 - RICH FOODS-FORUM"</f>
        <v>000392150 - RICH FOODS-FORUM</v>
      </c>
      <c r="C10329" t="s">
        <v>94</v>
      </c>
      <c r="D10329" s="1" t="str">
        <f t="shared" si="288"/>
        <v>PRG-1035907</v>
      </c>
      <c r="E10329" t="s">
        <v>95</v>
      </c>
      <c r="F10329" t="s">
        <v>4</v>
      </c>
      <c r="G10329" t="str">
        <f>""</f>
        <v/>
      </c>
    </row>
    <row r="10330" spans="1:7" x14ac:dyDescent="0.25">
      <c r="A10330" t="s">
        <v>8</v>
      </c>
      <c r="B10330" s="1" t="str">
        <f>"2000429736 - "</f>
        <v xml:space="preserve">2000429736 - </v>
      </c>
      <c r="D10330" s="1" t="str">
        <f t="shared" si="288"/>
        <v>PRG-1035907</v>
      </c>
      <c r="E10330" t="s">
        <v>95</v>
      </c>
      <c r="F10330" t="s">
        <v>4</v>
      </c>
      <c r="G10330" t="str">
        <f>""</f>
        <v/>
      </c>
    </row>
    <row r="10331" spans="1:7" x14ac:dyDescent="0.25">
      <c r="A10331" t="s">
        <v>8</v>
      </c>
      <c r="B10331" s="1" t="str">
        <f>"330201 - "</f>
        <v xml:space="preserve">330201 - </v>
      </c>
      <c r="D10331" s="1" t="str">
        <f t="shared" si="288"/>
        <v>PRG-1035907</v>
      </c>
      <c r="E10331" t="s">
        <v>95</v>
      </c>
      <c r="F10331" t="s">
        <v>4</v>
      </c>
      <c r="G10331" t="str">
        <f>""</f>
        <v/>
      </c>
    </row>
    <row r="10332" spans="1:7" x14ac:dyDescent="0.25">
      <c r="A10332" t="s">
        <v>8</v>
      </c>
      <c r="B10332" s="1" t="str">
        <f>"357055 - "</f>
        <v xml:space="preserve">357055 - </v>
      </c>
      <c r="D10332" s="1" t="str">
        <f t="shared" si="288"/>
        <v>PRG-1035907</v>
      </c>
      <c r="E10332" t="s">
        <v>95</v>
      </c>
      <c r="F10332" t="s">
        <v>4</v>
      </c>
      <c r="G10332" t="str">
        <f>""</f>
        <v/>
      </c>
    </row>
    <row r="10333" spans="1:7" x14ac:dyDescent="0.25">
      <c r="A10333" t="s">
        <v>8</v>
      </c>
      <c r="B10333" s="1" t="str">
        <f>"000005484 - RICHS TOPPINGS-SODEXO"</f>
        <v>000005484 - RICHS TOPPINGS-SODEXO</v>
      </c>
      <c r="C10333" t="s">
        <v>222</v>
      </c>
      <c r="D10333" s="1" t="str">
        <f t="shared" ref="D10333:D10364" si="289">"PRG-1035910"</f>
        <v>PRG-1035910</v>
      </c>
      <c r="E10333" t="s">
        <v>79</v>
      </c>
      <c r="F10333" t="s">
        <v>4</v>
      </c>
      <c r="G10333" t="str">
        <f>""</f>
        <v/>
      </c>
    </row>
    <row r="10334" spans="1:7" x14ac:dyDescent="0.25">
      <c r="A10334" t="s">
        <v>8</v>
      </c>
      <c r="B10334" s="1" t="str">
        <f>"000012626 - RICHS TOPPINGS-SODEXO"</f>
        <v>000012626 - RICHS TOPPINGS-SODEXO</v>
      </c>
      <c r="C10334" t="s">
        <v>222</v>
      </c>
      <c r="D10334" s="1" t="str">
        <f t="shared" si="289"/>
        <v>PRG-1035910</v>
      </c>
      <c r="E10334" t="s">
        <v>79</v>
      </c>
      <c r="F10334" t="s">
        <v>4</v>
      </c>
      <c r="G10334" t="str">
        <f>""</f>
        <v/>
      </c>
    </row>
    <row r="10335" spans="1:7" x14ac:dyDescent="0.25">
      <c r="A10335" t="s">
        <v>8</v>
      </c>
      <c r="B10335" s="1" t="str">
        <f>"000014132 - RICHS TOPPINGS-SODEXO"</f>
        <v>000014132 - RICHS TOPPINGS-SODEXO</v>
      </c>
      <c r="C10335" t="s">
        <v>222</v>
      </c>
      <c r="D10335" s="1" t="str">
        <f t="shared" si="289"/>
        <v>PRG-1035910</v>
      </c>
      <c r="E10335" t="s">
        <v>79</v>
      </c>
      <c r="F10335" t="s">
        <v>4</v>
      </c>
      <c r="G10335" t="str">
        <f>""</f>
        <v/>
      </c>
    </row>
    <row r="10336" spans="1:7" x14ac:dyDescent="0.25">
      <c r="A10336" t="s">
        <v>8</v>
      </c>
      <c r="B10336" s="1" t="str">
        <f>"000021271 - "</f>
        <v xml:space="preserve">000021271 - </v>
      </c>
      <c r="D10336" s="1" t="str">
        <f t="shared" si="289"/>
        <v>PRG-1035910</v>
      </c>
      <c r="E10336" t="s">
        <v>79</v>
      </c>
      <c r="F10336" t="s">
        <v>4</v>
      </c>
      <c r="G10336" t="str">
        <f>""</f>
        <v/>
      </c>
    </row>
    <row r="10337" spans="1:7" x14ac:dyDescent="0.25">
      <c r="A10337" t="s">
        <v>8</v>
      </c>
      <c r="B10337" s="1" t="str">
        <f>"000021962 - RICHS TOPPINGS-SODEXO"</f>
        <v>000021962 - RICHS TOPPINGS-SODEXO</v>
      </c>
      <c r="C10337" t="s">
        <v>222</v>
      </c>
      <c r="D10337" s="1" t="str">
        <f t="shared" si="289"/>
        <v>PRG-1035910</v>
      </c>
      <c r="E10337" t="s">
        <v>79</v>
      </c>
      <c r="F10337" t="s">
        <v>4</v>
      </c>
      <c r="G10337" t="str">
        <f>""</f>
        <v/>
      </c>
    </row>
    <row r="10338" spans="1:7" x14ac:dyDescent="0.25">
      <c r="A10338" t="s">
        <v>8</v>
      </c>
      <c r="B10338" s="1" t="str">
        <f>"000026360 - RICHS TOPPINGS-SODEXO"</f>
        <v>000026360 - RICHS TOPPINGS-SODEXO</v>
      </c>
      <c r="C10338" t="s">
        <v>222</v>
      </c>
      <c r="D10338" s="1" t="str">
        <f t="shared" si="289"/>
        <v>PRG-1035910</v>
      </c>
      <c r="E10338" t="s">
        <v>79</v>
      </c>
      <c r="F10338" t="s">
        <v>4</v>
      </c>
      <c r="G10338" t="str">
        <f>""</f>
        <v/>
      </c>
    </row>
    <row r="10339" spans="1:7" x14ac:dyDescent="0.25">
      <c r="A10339" t="s">
        <v>8</v>
      </c>
      <c r="B10339" s="1" t="str">
        <f>"000064368 - RICHS TOPPINGS-SODEXO"</f>
        <v>000064368 - RICHS TOPPINGS-SODEXO</v>
      </c>
      <c r="C10339" t="s">
        <v>222</v>
      </c>
      <c r="D10339" s="1" t="str">
        <f t="shared" si="289"/>
        <v>PRG-1035910</v>
      </c>
      <c r="E10339" t="s">
        <v>79</v>
      </c>
      <c r="F10339" t="s">
        <v>4</v>
      </c>
      <c r="G10339" t="str">
        <f>""</f>
        <v/>
      </c>
    </row>
    <row r="10340" spans="1:7" x14ac:dyDescent="0.25">
      <c r="A10340" t="s">
        <v>8</v>
      </c>
      <c r="B10340" s="1" t="str">
        <f>"000065591 - RICHS TOPPINGS-SODEXO"</f>
        <v>000065591 - RICHS TOPPINGS-SODEXO</v>
      </c>
      <c r="C10340" t="s">
        <v>222</v>
      </c>
      <c r="D10340" s="1" t="str">
        <f t="shared" si="289"/>
        <v>PRG-1035910</v>
      </c>
      <c r="E10340" t="s">
        <v>79</v>
      </c>
      <c r="F10340" t="s">
        <v>4</v>
      </c>
      <c r="G10340" t="str">
        <f>""</f>
        <v/>
      </c>
    </row>
    <row r="10341" spans="1:7" x14ac:dyDescent="0.25">
      <c r="A10341" t="s">
        <v>8</v>
      </c>
      <c r="B10341" s="1" t="str">
        <f>"000067101 - RICHS TOPPINGS-SODEXO"</f>
        <v>000067101 - RICHS TOPPINGS-SODEXO</v>
      </c>
      <c r="C10341" t="s">
        <v>222</v>
      </c>
      <c r="D10341" s="1" t="str">
        <f t="shared" si="289"/>
        <v>PRG-1035910</v>
      </c>
      <c r="E10341" t="s">
        <v>79</v>
      </c>
      <c r="F10341" t="s">
        <v>4</v>
      </c>
      <c r="G10341" t="str">
        <f>""</f>
        <v/>
      </c>
    </row>
    <row r="10342" spans="1:7" x14ac:dyDescent="0.25">
      <c r="A10342" t="s">
        <v>8</v>
      </c>
      <c r="B10342" s="1" t="str">
        <f>"000068737 - RICHS TOPPINGS-SODEXO"</f>
        <v>000068737 - RICHS TOPPINGS-SODEXO</v>
      </c>
      <c r="C10342" t="s">
        <v>222</v>
      </c>
      <c r="D10342" s="1" t="str">
        <f t="shared" si="289"/>
        <v>PRG-1035910</v>
      </c>
      <c r="E10342" t="s">
        <v>79</v>
      </c>
      <c r="F10342" t="s">
        <v>4</v>
      </c>
      <c r="G10342" t="str">
        <f>""</f>
        <v/>
      </c>
    </row>
    <row r="10343" spans="1:7" x14ac:dyDescent="0.25">
      <c r="A10343" t="s">
        <v>8</v>
      </c>
      <c r="B10343" s="1" t="str">
        <f>"000071527 - RICHS TOPPINGS-SODEXO"</f>
        <v>000071527 - RICHS TOPPINGS-SODEXO</v>
      </c>
      <c r="C10343" t="s">
        <v>222</v>
      </c>
      <c r="D10343" s="1" t="str">
        <f t="shared" si="289"/>
        <v>PRG-1035910</v>
      </c>
      <c r="E10343" t="s">
        <v>79</v>
      </c>
      <c r="F10343" t="s">
        <v>4</v>
      </c>
      <c r="G10343" t="str">
        <f>""</f>
        <v/>
      </c>
    </row>
    <row r="10344" spans="1:7" x14ac:dyDescent="0.25">
      <c r="A10344" t="s">
        <v>8</v>
      </c>
      <c r="B10344" s="1" t="str">
        <f>"000080927 - RICHS TOPPINGS-SODEXO"</f>
        <v>000080927 - RICHS TOPPINGS-SODEXO</v>
      </c>
      <c r="C10344" t="s">
        <v>222</v>
      </c>
      <c r="D10344" s="1" t="str">
        <f t="shared" si="289"/>
        <v>PRG-1035910</v>
      </c>
      <c r="E10344" t="s">
        <v>79</v>
      </c>
      <c r="F10344" t="s">
        <v>4</v>
      </c>
      <c r="G10344" t="str">
        <f>""</f>
        <v/>
      </c>
    </row>
    <row r="10345" spans="1:7" x14ac:dyDescent="0.25">
      <c r="A10345" t="s">
        <v>8</v>
      </c>
      <c r="B10345" s="1" t="str">
        <f>"000136670 - RICHS TOPPINGS-SODEXO"</f>
        <v>000136670 - RICHS TOPPINGS-SODEXO</v>
      </c>
      <c r="C10345" t="s">
        <v>222</v>
      </c>
      <c r="D10345" s="1" t="str">
        <f t="shared" si="289"/>
        <v>PRG-1035910</v>
      </c>
      <c r="E10345" t="s">
        <v>79</v>
      </c>
      <c r="F10345" t="s">
        <v>4</v>
      </c>
      <c r="G10345" t="str">
        <f>""</f>
        <v/>
      </c>
    </row>
    <row r="10346" spans="1:7" x14ac:dyDescent="0.25">
      <c r="A10346" t="s">
        <v>8</v>
      </c>
      <c r="B10346" s="1" t="str">
        <f>"000139174 - RICHS TOPPINGS-SODEXO"</f>
        <v>000139174 - RICHS TOPPINGS-SODEXO</v>
      </c>
      <c r="C10346" t="s">
        <v>222</v>
      </c>
      <c r="D10346" s="1" t="str">
        <f t="shared" si="289"/>
        <v>PRG-1035910</v>
      </c>
      <c r="E10346" t="s">
        <v>79</v>
      </c>
      <c r="F10346" t="s">
        <v>4</v>
      </c>
      <c r="G10346" t="str">
        <f>""</f>
        <v/>
      </c>
    </row>
    <row r="10347" spans="1:7" x14ac:dyDescent="0.25">
      <c r="A10347" t="s">
        <v>8</v>
      </c>
      <c r="B10347" s="1" t="str">
        <f>"000139940 - RICHS TOPPINGS-SODEXO"</f>
        <v>000139940 - RICHS TOPPINGS-SODEXO</v>
      </c>
      <c r="C10347" t="s">
        <v>222</v>
      </c>
      <c r="D10347" s="1" t="str">
        <f t="shared" si="289"/>
        <v>PRG-1035910</v>
      </c>
      <c r="E10347" t="s">
        <v>79</v>
      </c>
      <c r="F10347" t="s">
        <v>4</v>
      </c>
      <c r="G10347" t="str">
        <f>""</f>
        <v/>
      </c>
    </row>
    <row r="10348" spans="1:7" x14ac:dyDescent="0.25">
      <c r="A10348" t="s">
        <v>8</v>
      </c>
      <c r="B10348" s="1" t="str">
        <f>"000141816 - RICHS TOPPINGS-SODEXO"</f>
        <v>000141816 - RICHS TOPPINGS-SODEXO</v>
      </c>
      <c r="C10348" t="s">
        <v>222</v>
      </c>
      <c r="D10348" s="1" t="str">
        <f t="shared" si="289"/>
        <v>PRG-1035910</v>
      </c>
      <c r="E10348" t="s">
        <v>79</v>
      </c>
      <c r="F10348" t="s">
        <v>4</v>
      </c>
      <c r="G10348" t="str">
        <f>""</f>
        <v/>
      </c>
    </row>
    <row r="10349" spans="1:7" x14ac:dyDescent="0.25">
      <c r="A10349" t="s">
        <v>8</v>
      </c>
      <c r="B10349" s="1" t="str">
        <f>"000158194 - RICHS TOPPINGS-SODEXO"</f>
        <v>000158194 - RICHS TOPPINGS-SODEXO</v>
      </c>
      <c r="C10349" t="s">
        <v>222</v>
      </c>
      <c r="D10349" s="1" t="str">
        <f t="shared" si="289"/>
        <v>PRG-1035910</v>
      </c>
      <c r="E10349" t="s">
        <v>79</v>
      </c>
      <c r="F10349" t="s">
        <v>4</v>
      </c>
      <c r="G10349" t="str">
        <f>""</f>
        <v/>
      </c>
    </row>
    <row r="10350" spans="1:7" x14ac:dyDescent="0.25">
      <c r="A10350" t="s">
        <v>8</v>
      </c>
      <c r="B10350" s="1" t="str">
        <f>"000160249 - "</f>
        <v xml:space="preserve">000160249 - </v>
      </c>
      <c r="D10350" s="1" t="str">
        <f t="shared" si="289"/>
        <v>PRG-1035910</v>
      </c>
      <c r="E10350" t="s">
        <v>79</v>
      </c>
      <c r="F10350" t="s">
        <v>4</v>
      </c>
      <c r="G10350" t="str">
        <f>""</f>
        <v/>
      </c>
    </row>
    <row r="10351" spans="1:7" x14ac:dyDescent="0.25">
      <c r="A10351" t="s">
        <v>8</v>
      </c>
      <c r="B10351" s="1" t="str">
        <f>"000166153 - RICHS TOPPINGS-SODEXO"</f>
        <v>000166153 - RICHS TOPPINGS-SODEXO</v>
      </c>
      <c r="C10351" t="s">
        <v>222</v>
      </c>
      <c r="D10351" s="1" t="str">
        <f t="shared" si="289"/>
        <v>PRG-1035910</v>
      </c>
      <c r="E10351" t="s">
        <v>79</v>
      </c>
      <c r="F10351" t="s">
        <v>4</v>
      </c>
      <c r="G10351" t="str">
        <f>""</f>
        <v/>
      </c>
    </row>
    <row r="10352" spans="1:7" x14ac:dyDescent="0.25">
      <c r="A10352" t="s">
        <v>8</v>
      </c>
      <c r="B10352" s="1" t="str">
        <f>"000226429 - RICH FOODS-NUTRITION SYS"</f>
        <v>000226429 - RICH FOODS-NUTRITION SYS</v>
      </c>
      <c r="C10352" t="s">
        <v>337</v>
      </c>
      <c r="D10352" s="1" t="str">
        <f t="shared" si="289"/>
        <v>PRG-1035910</v>
      </c>
      <c r="E10352" t="s">
        <v>79</v>
      </c>
      <c r="F10352" t="s">
        <v>4</v>
      </c>
      <c r="G10352" t="str">
        <f>""</f>
        <v/>
      </c>
    </row>
    <row r="10353" spans="1:7" x14ac:dyDescent="0.25">
      <c r="A10353" t="s">
        <v>8</v>
      </c>
      <c r="B10353" s="1" t="str">
        <f>"000226915 - RICHS TOPPINGS-SODEXO"</f>
        <v>000226915 - RICHS TOPPINGS-SODEXO</v>
      </c>
      <c r="C10353" t="s">
        <v>222</v>
      </c>
      <c r="D10353" s="1" t="str">
        <f t="shared" si="289"/>
        <v>PRG-1035910</v>
      </c>
      <c r="E10353" t="s">
        <v>79</v>
      </c>
      <c r="F10353" t="s">
        <v>4</v>
      </c>
      <c r="G10353" t="str">
        <f>""</f>
        <v/>
      </c>
    </row>
    <row r="10354" spans="1:7" x14ac:dyDescent="0.25">
      <c r="A10354" t="s">
        <v>8</v>
      </c>
      <c r="B10354" s="1" t="str">
        <f>"000232148 - RICHS TOPPINGS-SODEXO"</f>
        <v>000232148 - RICHS TOPPINGS-SODEXO</v>
      </c>
      <c r="C10354" t="s">
        <v>222</v>
      </c>
      <c r="D10354" s="1" t="str">
        <f t="shared" si="289"/>
        <v>PRG-1035910</v>
      </c>
      <c r="E10354" t="s">
        <v>79</v>
      </c>
      <c r="F10354" t="s">
        <v>4</v>
      </c>
      <c r="G10354" t="str">
        <f>""</f>
        <v/>
      </c>
    </row>
    <row r="10355" spans="1:7" x14ac:dyDescent="0.25">
      <c r="A10355" t="s">
        <v>8</v>
      </c>
      <c r="B10355" s="1" t="str">
        <f>"000234238 - RICHS TOPPINGS-SODEXO"</f>
        <v>000234238 - RICHS TOPPINGS-SODEXO</v>
      </c>
      <c r="C10355" t="s">
        <v>222</v>
      </c>
      <c r="D10355" s="1" t="str">
        <f t="shared" si="289"/>
        <v>PRG-1035910</v>
      </c>
      <c r="E10355" t="s">
        <v>79</v>
      </c>
      <c r="F10355" t="s">
        <v>4</v>
      </c>
      <c r="G10355" t="str">
        <f>""</f>
        <v/>
      </c>
    </row>
    <row r="10356" spans="1:7" x14ac:dyDescent="0.25">
      <c r="A10356" t="s">
        <v>8</v>
      </c>
      <c r="B10356" s="1" t="str">
        <f>"000241855 - RICHS TOPPINGS-SODEXO"</f>
        <v>000241855 - RICHS TOPPINGS-SODEXO</v>
      </c>
      <c r="C10356" t="s">
        <v>222</v>
      </c>
      <c r="D10356" s="1" t="str">
        <f t="shared" si="289"/>
        <v>PRG-1035910</v>
      </c>
      <c r="E10356" t="s">
        <v>79</v>
      </c>
      <c r="F10356" t="s">
        <v>4</v>
      </c>
      <c r="G10356" t="str">
        <f>""</f>
        <v/>
      </c>
    </row>
    <row r="10357" spans="1:7" x14ac:dyDescent="0.25">
      <c r="A10357" t="s">
        <v>8</v>
      </c>
      <c r="B10357" s="1" t="str">
        <f>"000251132 - RICHS TOPPINGS-SODEXO"</f>
        <v>000251132 - RICHS TOPPINGS-SODEXO</v>
      </c>
      <c r="C10357" t="s">
        <v>222</v>
      </c>
      <c r="D10357" s="1" t="str">
        <f t="shared" si="289"/>
        <v>PRG-1035910</v>
      </c>
      <c r="E10357" t="s">
        <v>79</v>
      </c>
      <c r="F10357" t="s">
        <v>4</v>
      </c>
      <c r="G10357" t="str">
        <f>""</f>
        <v/>
      </c>
    </row>
    <row r="10358" spans="1:7" x14ac:dyDescent="0.25">
      <c r="A10358" t="s">
        <v>8</v>
      </c>
      <c r="B10358" s="1" t="str">
        <f>"000255284 - RICHS TOPPINGS-SODEXO"</f>
        <v>000255284 - RICHS TOPPINGS-SODEXO</v>
      </c>
      <c r="C10358" t="s">
        <v>222</v>
      </c>
      <c r="D10358" s="1" t="str">
        <f t="shared" si="289"/>
        <v>PRG-1035910</v>
      </c>
      <c r="E10358" t="s">
        <v>79</v>
      </c>
      <c r="F10358" t="s">
        <v>4</v>
      </c>
      <c r="G10358" t="str">
        <f>""</f>
        <v/>
      </c>
    </row>
    <row r="10359" spans="1:7" x14ac:dyDescent="0.25">
      <c r="A10359" t="s">
        <v>8</v>
      </c>
      <c r="B10359" s="1" t="str">
        <f>"000256554 - RICHS TOPPINGS-SODEXO"</f>
        <v>000256554 - RICHS TOPPINGS-SODEXO</v>
      </c>
      <c r="C10359" t="s">
        <v>222</v>
      </c>
      <c r="D10359" s="1" t="str">
        <f t="shared" si="289"/>
        <v>PRG-1035910</v>
      </c>
      <c r="E10359" t="s">
        <v>79</v>
      </c>
      <c r="F10359" t="s">
        <v>4</v>
      </c>
      <c r="G10359" t="str">
        <f>""</f>
        <v/>
      </c>
    </row>
    <row r="10360" spans="1:7" x14ac:dyDescent="0.25">
      <c r="A10360" t="s">
        <v>8</v>
      </c>
      <c r="B10360" s="1" t="str">
        <f>"000258190 - RICHS TOPPINGS-SODEXO"</f>
        <v>000258190 - RICHS TOPPINGS-SODEXO</v>
      </c>
      <c r="C10360" t="s">
        <v>222</v>
      </c>
      <c r="D10360" s="1" t="str">
        <f t="shared" si="289"/>
        <v>PRG-1035910</v>
      </c>
      <c r="E10360" t="s">
        <v>79</v>
      </c>
      <c r="F10360" t="s">
        <v>4</v>
      </c>
      <c r="G10360" t="str">
        <f>""</f>
        <v/>
      </c>
    </row>
    <row r="10361" spans="1:7" x14ac:dyDescent="0.25">
      <c r="A10361" t="s">
        <v>8</v>
      </c>
      <c r="B10361" s="1" t="str">
        <f>"000258566 - RICHS TOPPINGS-SODEXO"</f>
        <v>000258566 - RICHS TOPPINGS-SODEXO</v>
      </c>
      <c r="C10361" t="s">
        <v>222</v>
      </c>
      <c r="D10361" s="1" t="str">
        <f t="shared" si="289"/>
        <v>PRG-1035910</v>
      </c>
      <c r="E10361" t="s">
        <v>79</v>
      </c>
      <c r="F10361" t="s">
        <v>4</v>
      </c>
      <c r="G10361" t="str">
        <f>""</f>
        <v/>
      </c>
    </row>
    <row r="10362" spans="1:7" x14ac:dyDescent="0.25">
      <c r="A10362" t="s">
        <v>8</v>
      </c>
      <c r="B10362" s="1" t="str">
        <f>"000259457 - "</f>
        <v xml:space="preserve">000259457 - </v>
      </c>
      <c r="D10362" s="1" t="str">
        <f t="shared" si="289"/>
        <v>PRG-1035910</v>
      </c>
      <c r="E10362" t="s">
        <v>79</v>
      </c>
      <c r="F10362" t="s">
        <v>4</v>
      </c>
      <c r="G10362" t="str">
        <f>""</f>
        <v/>
      </c>
    </row>
    <row r="10363" spans="1:7" x14ac:dyDescent="0.25">
      <c r="A10363" t="s">
        <v>8</v>
      </c>
      <c r="B10363" s="1" t="str">
        <f>"000260975 - RICHS TOPPINGS-SODEXO"</f>
        <v>000260975 - RICHS TOPPINGS-SODEXO</v>
      </c>
      <c r="C10363" t="s">
        <v>222</v>
      </c>
      <c r="D10363" s="1" t="str">
        <f t="shared" si="289"/>
        <v>PRG-1035910</v>
      </c>
      <c r="E10363" t="s">
        <v>79</v>
      </c>
      <c r="F10363" t="s">
        <v>4</v>
      </c>
      <c r="G10363" t="str">
        <f>""</f>
        <v/>
      </c>
    </row>
    <row r="10364" spans="1:7" x14ac:dyDescent="0.25">
      <c r="A10364" t="s">
        <v>8</v>
      </c>
      <c r="B10364" s="1" t="str">
        <f>"000262057 - RICHS TOPPINGS-SODEXO"</f>
        <v>000262057 - RICHS TOPPINGS-SODEXO</v>
      </c>
      <c r="C10364" t="s">
        <v>222</v>
      </c>
      <c r="D10364" s="1" t="str">
        <f t="shared" si="289"/>
        <v>PRG-1035910</v>
      </c>
      <c r="E10364" t="s">
        <v>79</v>
      </c>
      <c r="F10364" t="s">
        <v>4</v>
      </c>
      <c r="G10364" t="str">
        <f>""</f>
        <v/>
      </c>
    </row>
    <row r="10365" spans="1:7" x14ac:dyDescent="0.25">
      <c r="A10365" t="s">
        <v>8</v>
      </c>
      <c r="B10365" s="1" t="str">
        <f>"000263200 - RICHS TOPPINGS-SODEXO"</f>
        <v>000263200 - RICHS TOPPINGS-SODEXO</v>
      </c>
      <c r="C10365" t="s">
        <v>222</v>
      </c>
      <c r="D10365" s="1" t="str">
        <f t="shared" ref="D10365:D10390" si="290">"PRG-1035910"</f>
        <v>PRG-1035910</v>
      </c>
      <c r="E10365" t="s">
        <v>79</v>
      </c>
      <c r="F10365" t="s">
        <v>4</v>
      </c>
      <c r="G10365" t="str">
        <f>""</f>
        <v/>
      </c>
    </row>
    <row r="10366" spans="1:7" x14ac:dyDescent="0.25">
      <c r="A10366" t="s">
        <v>8</v>
      </c>
      <c r="B10366" s="1" t="str">
        <f>"000264321 - RICH FOODS-NUTRITION SYS"</f>
        <v>000264321 - RICH FOODS-NUTRITION SYS</v>
      </c>
      <c r="C10366" t="s">
        <v>337</v>
      </c>
      <c r="D10366" s="1" t="str">
        <f t="shared" si="290"/>
        <v>PRG-1035910</v>
      </c>
      <c r="E10366" t="s">
        <v>79</v>
      </c>
      <c r="F10366" t="s">
        <v>4</v>
      </c>
      <c r="G10366" t="str">
        <f>""</f>
        <v/>
      </c>
    </row>
    <row r="10367" spans="1:7" x14ac:dyDescent="0.25">
      <c r="A10367" t="s">
        <v>8</v>
      </c>
      <c r="B10367" s="1" t="str">
        <f>"000268258 - RICHS TOPPINGS-SODEXO"</f>
        <v>000268258 - RICHS TOPPINGS-SODEXO</v>
      </c>
      <c r="C10367" t="s">
        <v>222</v>
      </c>
      <c r="D10367" s="1" t="str">
        <f t="shared" si="290"/>
        <v>PRG-1035910</v>
      </c>
      <c r="E10367" t="s">
        <v>79</v>
      </c>
      <c r="F10367" t="s">
        <v>4</v>
      </c>
      <c r="G10367" t="str">
        <f>""</f>
        <v/>
      </c>
    </row>
    <row r="10368" spans="1:7" x14ac:dyDescent="0.25">
      <c r="A10368" t="s">
        <v>8</v>
      </c>
      <c r="B10368" s="1" t="str">
        <f>"000274899 - RICHS TOPPINGS-SODEXO"</f>
        <v>000274899 - RICHS TOPPINGS-SODEXO</v>
      </c>
      <c r="C10368" t="s">
        <v>222</v>
      </c>
      <c r="D10368" s="1" t="str">
        <f t="shared" si="290"/>
        <v>PRG-1035910</v>
      </c>
      <c r="E10368" t="s">
        <v>79</v>
      </c>
      <c r="F10368" t="s">
        <v>4</v>
      </c>
      <c r="G10368" t="str">
        <f>""</f>
        <v/>
      </c>
    </row>
    <row r="10369" spans="1:7" x14ac:dyDescent="0.25">
      <c r="A10369" t="s">
        <v>8</v>
      </c>
      <c r="B10369" s="1" t="str">
        <f>"000279677 - RICHS TOPPINGS-SODEXO"</f>
        <v>000279677 - RICHS TOPPINGS-SODEXO</v>
      </c>
      <c r="C10369" t="s">
        <v>222</v>
      </c>
      <c r="D10369" s="1" t="str">
        <f t="shared" si="290"/>
        <v>PRG-1035910</v>
      </c>
      <c r="E10369" t="s">
        <v>79</v>
      </c>
      <c r="F10369" t="s">
        <v>4</v>
      </c>
      <c r="G10369" t="str">
        <f>""</f>
        <v/>
      </c>
    </row>
    <row r="10370" spans="1:7" x14ac:dyDescent="0.25">
      <c r="A10370" t="s">
        <v>8</v>
      </c>
      <c r="B10370" s="1" t="str">
        <f>"000279841 - RICHS TOPPINGS-SODEXO"</f>
        <v>000279841 - RICHS TOPPINGS-SODEXO</v>
      </c>
      <c r="C10370" t="s">
        <v>222</v>
      </c>
      <c r="D10370" s="1" t="str">
        <f t="shared" si="290"/>
        <v>PRG-1035910</v>
      </c>
      <c r="E10370" t="s">
        <v>79</v>
      </c>
      <c r="F10370" t="s">
        <v>4</v>
      </c>
      <c r="G10370" t="str">
        <f>""</f>
        <v/>
      </c>
    </row>
    <row r="10371" spans="1:7" x14ac:dyDescent="0.25">
      <c r="A10371" t="s">
        <v>8</v>
      </c>
      <c r="B10371" s="1" t="str">
        <f>"000282724 - RICHS TOPPINGS-SODEXO"</f>
        <v>000282724 - RICHS TOPPINGS-SODEXO</v>
      </c>
      <c r="C10371" t="s">
        <v>222</v>
      </c>
      <c r="D10371" s="1" t="str">
        <f t="shared" si="290"/>
        <v>PRG-1035910</v>
      </c>
      <c r="E10371" t="s">
        <v>79</v>
      </c>
      <c r="F10371" t="s">
        <v>4</v>
      </c>
      <c r="G10371" t="str">
        <f>""</f>
        <v/>
      </c>
    </row>
    <row r="10372" spans="1:7" x14ac:dyDescent="0.25">
      <c r="A10372" t="s">
        <v>8</v>
      </c>
      <c r="B10372" s="1" t="str">
        <f>"000284962 - RICHS TOPPINGS-SODEXO"</f>
        <v>000284962 - RICHS TOPPINGS-SODEXO</v>
      </c>
      <c r="C10372" t="s">
        <v>222</v>
      </c>
      <c r="D10372" s="1" t="str">
        <f t="shared" si="290"/>
        <v>PRG-1035910</v>
      </c>
      <c r="E10372" t="s">
        <v>79</v>
      </c>
      <c r="F10372" t="s">
        <v>4</v>
      </c>
      <c r="G10372" t="str">
        <f>""</f>
        <v/>
      </c>
    </row>
    <row r="10373" spans="1:7" x14ac:dyDescent="0.25">
      <c r="A10373" t="s">
        <v>8</v>
      </c>
      <c r="B10373" s="1" t="str">
        <f>"000285567 - RICHS TOPPINGS-SODEXO"</f>
        <v>000285567 - RICHS TOPPINGS-SODEXO</v>
      </c>
      <c r="C10373" t="s">
        <v>222</v>
      </c>
      <c r="D10373" s="1" t="str">
        <f t="shared" si="290"/>
        <v>PRG-1035910</v>
      </c>
      <c r="E10373" t="s">
        <v>79</v>
      </c>
      <c r="F10373" t="s">
        <v>4</v>
      </c>
      <c r="G10373" t="str">
        <f>""</f>
        <v/>
      </c>
    </row>
    <row r="10374" spans="1:7" x14ac:dyDescent="0.25">
      <c r="A10374" t="s">
        <v>8</v>
      </c>
      <c r="B10374" s="1" t="str">
        <f>"000285750 - RICHS TOPPINGS-SODEXO"</f>
        <v>000285750 - RICHS TOPPINGS-SODEXO</v>
      </c>
      <c r="C10374" t="s">
        <v>222</v>
      </c>
      <c r="D10374" s="1" t="str">
        <f t="shared" si="290"/>
        <v>PRG-1035910</v>
      </c>
      <c r="E10374" t="s">
        <v>79</v>
      </c>
      <c r="F10374" t="s">
        <v>4</v>
      </c>
      <c r="G10374" t="str">
        <f>""</f>
        <v/>
      </c>
    </row>
    <row r="10375" spans="1:7" x14ac:dyDescent="0.25">
      <c r="A10375" t="s">
        <v>8</v>
      </c>
      <c r="B10375" s="1" t="str">
        <f>"000287585 - RICHS TOPPINGS-SODEXO"</f>
        <v>000287585 - RICHS TOPPINGS-SODEXO</v>
      </c>
      <c r="C10375" t="s">
        <v>222</v>
      </c>
      <c r="D10375" s="1" t="str">
        <f t="shared" si="290"/>
        <v>PRG-1035910</v>
      </c>
      <c r="E10375" t="s">
        <v>79</v>
      </c>
      <c r="F10375" t="s">
        <v>4</v>
      </c>
      <c r="G10375" t="str">
        <f>""</f>
        <v/>
      </c>
    </row>
    <row r="10376" spans="1:7" x14ac:dyDescent="0.25">
      <c r="A10376" t="s">
        <v>8</v>
      </c>
      <c r="B10376" s="1" t="str">
        <f>"000288998 - RICHS TOPPINGS-SODEXO"</f>
        <v>000288998 - RICHS TOPPINGS-SODEXO</v>
      </c>
      <c r="C10376" t="s">
        <v>222</v>
      </c>
      <c r="D10376" s="1" t="str">
        <f t="shared" si="290"/>
        <v>PRG-1035910</v>
      </c>
      <c r="E10376" t="s">
        <v>79</v>
      </c>
      <c r="F10376" t="s">
        <v>4</v>
      </c>
      <c r="G10376" t="str">
        <f>""</f>
        <v/>
      </c>
    </row>
    <row r="10377" spans="1:7" x14ac:dyDescent="0.25">
      <c r="A10377" t="s">
        <v>8</v>
      </c>
      <c r="B10377" s="1" t="str">
        <f>"000289050 - RICHS TOPPINGS-SODEXO"</f>
        <v>000289050 - RICHS TOPPINGS-SODEXO</v>
      </c>
      <c r="C10377" t="s">
        <v>222</v>
      </c>
      <c r="D10377" s="1" t="str">
        <f t="shared" si="290"/>
        <v>PRG-1035910</v>
      </c>
      <c r="E10377" t="s">
        <v>79</v>
      </c>
      <c r="F10377" t="s">
        <v>4</v>
      </c>
      <c r="G10377" t="str">
        <f>""</f>
        <v/>
      </c>
    </row>
    <row r="10378" spans="1:7" x14ac:dyDescent="0.25">
      <c r="A10378" t="s">
        <v>8</v>
      </c>
      <c r="B10378" s="1" t="str">
        <f>"000311575 - RICHS TOPPINGS-SODEXO"</f>
        <v>000311575 - RICHS TOPPINGS-SODEXO</v>
      </c>
      <c r="C10378" t="s">
        <v>222</v>
      </c>
      <c r="D10378" s="1" t="str">
        <f t="shared" si="290"/>
        <v>PRG-1035910</v>
      </c>
      <c r="E10378" t="s">
        <v>79</v>
      </c>
      <c r="F10378" t="s">
        <v>4</v>
      </c>
      <c r="G10378" t="str">
        <f>""</f>
        <v/>
      </c>
    </row>
    <row r="10379" spans="1:7" x14ac:dyDescent="0.25">
      <c r="A10379" t="s">
        <v>8</v>
      </c>
      <c r="B10379" s="1" t="str">
        <f>"000316264 - RICHS TOPPINGS-SODEXO"</f>
        <v>000316264 - RICHS TOPPINGS-SODEXO</v>
      </c>
      <c r="C10379" t="s">
        <v>222</v>
      </c>
      <c r="D10379" s="1" t="str">
        <f t="shared" si="290"/>
        <v>PRG-1035910</v>
      </c>
      <c r="E10379" t="s">
        <v>79</v>
      </c>
      <c r="F10379" t="s">
        <v>4</v>
      </c>
      <c r="G10379" t="str">
        <f>""</f>
        <v/>
      </c>
    </row>
    <row r="10380" spans="1:7" x14ac:dyDescent="0.25">
      <c r="A10380" t="s">
        <v>8</v>
      </c>
      <c r="B10380" s="1" t="str">
        <f>"000321090 - RICH FOODS-GRANITE CITY"</f>
        <v>000321090 - RICH FOODS-GRANITE CITY</v>
      </c>
      <c r="C10380" t="s">
        <v>820</v>
      </c>
      <c r="D10380" s="1" t="str">
        <f t="shared" si="290"/>
        <v>PRG-1035910</v>
      </c>
      <c r="E10380" t="s">
        <v>79</v>
      </c>
      <c r="F10380" t="s">
        <v>4</v>
      </c>
      <c r="G10380" t="str">
        <f>""</f>
        <v/>
      </c>
    </row>
    <row r="10381" spans="1:7" x14ac:dyDescent="0.25">
      <c r="A10381" t="s">
        <v>8</v>
      </c>
      <c r="B10381" s="1" t="str">
        <f>"000322614 - RICHS TOPPINGS-SODEXO"</f>
        <v>000322614 - RICHS TOPPINGS-SODEXO</v>
      </c>
      <c r="C10381" t="s">
        <v>222</v>
      </c>
      <c r="D10381" s="1" t="str">
        <f t="shared" si="290"/>
        <v>PRG-1035910</v>
      </c>
      <c r="E10381" t="s">
        <v>79</v>
      </c>
      <c r="F10381" t="s">
        <v>4</v>
      </c>
      <c r="G10381" t="str">
        <f>""</f>
        <v/>
      </c>
    </row>
    <row r="10382" spans="1:7" x14ac:dyDescent="0.25">
      <c r="A10382" t="s">
        <v>8</v>
      </c>
      <c r="B10382" s="1" t="str">
        <f>"000339386 - RICHS TOPPINGS-SODEXO"</f>
        <v>000339386 - RICHS TOPPINGS-SODEXO</v>
      </c>
      <c r="C10382" t="s">
        <v>222</v>
      </c>
      <c r="D10382" s="1" t="str">
        <f t="shared" si="290"/>
        <v>PRG-1035910</v>
      </c>
      <c r="E10382" t="s">
        <v>79</v>
      </c>
      <c r="F10382" t="s">
        <v>4</v>
      </c>
      <c r="G10382" t="str">
        <f>""</f>
        <v/>
      </c>
    </row>
    <row r="10383" spans="1:7" x14ac:dyDescent="0.25">
      <c r="A10383" t="s">
        <v>8</v>
      </c>
      <c r="B10383" s="1" t="str">
        <f>"000344238 - RICHS TOPPINGS-SODEXO"</f>
        <v>000344238 - RICHS TOPPINGS-SODEXO</v>
      </c>
      <c r="C10383" t="s">
        <v>222</v>
      </c>
      <c r="D10383" s="1" t="str">
        <f t="shared" si="290"/>
        <v>PRG-1035910</v>
      </c>
      <c r="E10383" t="s">
        <v>79</v>
      </c>
      <c r="F10383" t="s">
        <v>4</v>
      </c>
      <c r="G10383" t="str">
        <f>""</f>
        <v/>
      </c>
    </row>
    <row r="10384" spans="1:7" x14ac:dyDescent="0.25">
      <c r="A10384" t="s">
        <v>8</v>
      </c>
      <c r="B10384" s="1" t="str">
        <f>"000362633 - RICHS TOPPINGS-SODEXO"</f>
        <v>000362633 - RICHS TOPPINGS-SODEXO</v>
      </c>
      <c r="C10384" t="s">
        <v>222</v>
      </c>
      <c r="D10384" s="1" t="str">
        <f t="shared" si="290"/>
        <v>PRG-1035910</v>
      </c>
      <c r="E10384" t="s">
        <v>79</v>
      </c>
      <c r="F10384" t="s">
        <v>4</v>
      </c>
      <c r="G10384" t="str">
        <f>""</f>
        <v/>
      </c>
    </row>
    <row r="10385" spans="1:7" x14ac:dyDescent="0.25">
      <c r="A10385" t="s">
        <v>8</v>
      </c>
      <c r="B10385" s="1" t="str">
        <f>"000365154 - "</f>
        <v xml:space="preserve">000365154 - </v>
      </c>
      <c r="D10385" s="1" t="str">
        <f t="shared" si="290"/>
        <v>PRG-1035910</v>
      </c>
      <c r="E10385" t="s">
        <v>79</v>
      </c>
      <c r="F10385" t="s">
        <v>4</v>
      </c>
      <c r="G10385" t="str">
        <f>""</f>
        <v/>
      </c>
    </row>
    <row r="10386" spans="1:7" x14ac:dyDescent="0.25">
      <c r="A10386" t="s">
        <v>8</v>
      </c>
      <c r="B10386" s="1" t="str">
        <f>"000368058 - RICHS TOPPINGS-SODEXO"</f>
        <v>000368058 - RICHS TOPPINGS-SODEXO</v>
      </c>
      <c r="C10386" t="s">
        <v>222</v>
      </c>
      <c r="D10386" s="1" t="str">
        <f t="shared" si="290"/>
        <v>PRG-1035910</v>
      </c>
      <c r="E10386" t="s">
        <v>79</v>
      </c>
      <c r="F10386" t="s">
        <v>4</v>
      </c>
      <c r="G10386" t="str">
        <f>""</f>
        <v/>
      </c>
    </row>
    <row r="10387" spans="1:7" x14ac:dyDescent="0.25">
      <c r="A10387" t="s">
        <v>8</v>
      </c>
      <c r="B10387" s="1" t="str">
        <f>"000385016 - RICHS TOPPINGS-SODEXO"</f>
        <v>000385016 - RICHS TOPPINGS-SODEXO</v>
      </c>
      <c r="C10387" t="s">
        <v>222</v>
      </c>
      <c r="D10387" s="1" t="str">
        <f t="shared" si="290"/>
        <v>PRG-1035910</v>
      </c>
      <c r="E10387" t="s">
        <v>79</v>
      </c>
      <c r="F10387" t="s">
        <v>4</v>
      </c>
      <c r="G10387" t="str">
        <f>""</f>
        <v/>
      </c>
    </row>
    <row r="10388" spans="1:7" x14ac:dyDescent="0.25">
      <c r="A10388" t="s">
        <v>8</v>
      </c>
      <c r="B10388" s="1" t="str">
        <f>"000394373 - RICHS TOPPINGS-SODEXO"</f>
        <v>000394373 - RICHS TOPPINGS-SODEXO</v>
      </c>
      <c r="C10388" t="s">
        <v>222</v>
      </c>
      <c r="D10388" s="1" t="str">
        <f t="shared" si="290"/>
        <v>PRG-1035910</v>
      </c>
      <c r="E10388" t="s">
        <v>79</v>
      </c>
      <c r="F10388" t="s">
        <v>4</v>
      </c>
      <c r="G10388" t="str">
        <f>""</f>
        <v/>
      </c>
    </row>
    <row r="10389" spans="1:7" x14ac:dyDescent="0.25">
      <c r="A10389" t="s">
        <v>8</v>
      </c>
      <c r="B10389" s="1" t="str">
        <f>"000399020 - RICHS TOPPINGS-SODEXO"</f>
        <v>000399020 - RICHS TOPPINGS-SODEXO</v>
      </c>
      <c r="C10389" t="s">
        <v>222</v>
      </c>
      <c r="D10389" s="1" t="str">
        <f t="shared" si="290"/>
        <v>PRG-1035910</v>
      </c>
      <c r="E10389" t="s">
        <v>79</v>
      </c>
      <c r="F10389" t="s">
        <v>4</v>
      </c>
      <c r="G10389" t="str">
        <f>""</f>
        <v/>
      </c>
    </row>
    <row r="10390" spans="1:7" x14ac:dyDescent="0.25">
      <c r="A10390" t="s">
        <v>8</v>
      </c>
      <c r="B10390" s="1" t="str">
        <f>"2000433548 - RICHS TOPPINGS-SODEXO"</f>
        <v>2000433548 - RICHS TOPPINGS-SODEXO</v>
      </c>
      <c r="C10390" t="s">
        <v>222</v>
      </c>
      <c r="D10390" s="1" t="str">
        <f t="shared" si="290"/>
        <v>PRG-1035910</v>
      </c>
      <c r="E10390" t="s">
        <v>79</v>
      </c>
      <c r="F10390" t="s">
        <v>4</v>
      </c>
      <c r="G10390" t="str">
        <f>""</f>
        <v/>
      </c>
    </row>
    <row r="10391" spans="1:7" x14ac:dyDescent="0.25">
      <c r="A10391" t="s">
        <v>8</v>
      </c>
      <c r="B10391" s="1" t="str">
        <f>"000002727 - RICHS BREAD &amp; ROLLS-SODEXO"</f>
        <v>000002727 - RICHS BREAD &amp; ROLLS-SODEXO</v>
      </c>
      <c r="C10391" t="s">
        <v>135</v>
      </c>
      <c r="D10391" s="1" t="str">
        <f t="shared" ref="D10391:D10454" si="291">"PRG-1035911"</f>
        <v>PRG-1035911</v>
      </c>
      <c r="E10391" t="s">
        <v>136</v>
      </c>
      <c r="F10391" t="s">
        <v>4</v>
      </c>
      <c r="G10391" t="str">
        <f>""</f>
        <v/>
      </c>
    </row>
    <row r="10392" spans="1:7" x14ac:dyDescent="0.25">
      <c r="A10392" t="s">
        <v>8</v>
      </c>
      <c r="B10392" s="1" t="str">
        <f>"000003446 - RICH BREAD&amp;ROLL BB NCORE-SODX"</f>
        <v>000003446 - RICH BREAD&amp;ROLL BB NCORE-SODX</v>
      </c>
      <c r="C10392" t="s">
        <v>159</v>
      </c>
      <c r="D10392" s="1" t="str">
        <f t="shared" si="291"/>
        <v>PRG-1035911</v>
      </c>
      <c r="E10392" t="s">
        <v>136</v>
      </c>
      <c r="F10392" t="s">
        <v>4</v>
      </c>
      <c r="G10392" t="str">
        <f>""</f>
        <v/>
      </c>
    </row>
    <row r="10393" spans="1:7" x14ac:dyDescent="0.25">
      <c r="A10393" t="s">
        <v>8</v>
      </c>
      <c r="B10393" s="1" t="str">
        <f>"000004459 - RICHS BREAD &amp; ROLLS-SODEXO"</f>
        <v>000004459 - RICHS BREAD &amp; ROLLS-SODEXO</v>
      </c>
      <c r="C10393" t="s">
        <v>135</v>
      </c>
      <c r="D10393" s="1" t="str">
        <f t="shared" si="291"/>
        <v>PRG-1035911</v>
      </c>
      <c r="E10393" t="s">
        <v>136</v>
      </c>
      <c r="F10393" t="s">
        <v>4</v>
      </c>
      <c r="G10393" t="str">
        <f>""</f>
        <v/>
      </c>
    </row>
    <row r="10394" spans="1:7" x14ac:dyDescent="0.25">
      <c r="A10394" t="s">
        <v>8</v>
      </c>
      <c r="B10394" s="1" t="str">
        <f>"000004664 - RICHS BREAD &amp; ROLLS-SODEXO"</f>
        <v>000004664 - RICHS BREAD &amp; ROLLS-SODEXO</v>
      </c>
      <c r="C10394" t="s">
        <v>135</v>
      </c>
      <c r="D10394" s="1" t="str">
        <f t="shared" si="291"/>
        <v>PRG-1035911</v>
      </c>
      <c r="E10394" t="s">
        <v>136</v>
      </c>
      <c r="F10394" t="s">
        <v>4</v>
      </c>
      <c r="G10394" t="str">
        <f>""</f>
        <v/>
      </c>
    </row>
    <row r="10395" spans="1:7" x14ac:dyDescent="0.25">
      <c r="A10395" t="s">
        <v>8</v>
      </c>
      <c r="B10395" s="1" t="str">
        <f>"000008219 - RICH BREAD &amp; ROLL CORE BB-SODX"</f>
        <v>000008219 - RICH BREAD &amp; ROLL CORE BB-SODX</v>
      </c>
      <c r="C10395" t="s">
        <v>273</v>
      </c>
      <c r="D10395" s="1" t="str">
        <f t="shared" si="291"/>
        <v>PRG-1035911</v>
      </c>
      <c r="E10395" t="s">
        <v>136</v>
      </c>
      <c r="F10395" t="s">
        <v>4</v>
      </c>
      <c r="G10395" t="str">
        <f>""</f>
        <v/>
      </c>
    </row>
    <row r="10396" spans="1:7" x14ac:dyDescent="0.25">
      <c r="A10396" t="s">
        <v>8</v>
      </c>
      <c r="B10396" s="1" t="str">
        <f>"000008220 - RICH BRED &amp; ROLL NCORE BB-SODX"</f>
        <v>000008220 - RICH BRED &amp; ROLL NCORE BB-SODX</v>
      </c>
      <c r="C10396" t="s">
        <v>274</v>
      </c>
      <c r="D10396" s="1" t="str">
        <f t="shared" si="291"/>
        <v>PRG-1035911</v>
      </c>
      <c r="E10396" t="s">
        <v>136</v>
      </c>
      <c r="F10396" t="s">
        <v>4</v>
      </c>
      <c r="G10396" t="str">
        <f>""</f>
        <v/>
      </c>
    </row>
    <row r="10397" spans="1:7" x14ac:dyDescent="0.25">
      <c r="A10397" t="s">
        <v>8</v>
      </c>
      <c r="B10397" s="1" t="str">
        <f>"000008540 - RICHS BREAD &amp; ROLLS-SODEXO"</f>
        <v>000008540 - RICHS BREAD &amp; ROLLS-SODEXO</v>
      </c>
      <c r="C10397" t="s">
        <v>135</v>
      </c>
      <c r="D10397" s="1" t="str">
        <f t="shared" si="291"/>
        <v>PRG-1035911</v>
      </c>
      <c r="E10397" t="s">
        <v>136</v>
      </c>
      <c r="F10397" t="s">
        <v>4</v>
      </c>
      <c r="G10397" t="str">
        <f>""</f>
        <v/>
      </c>
    </row>
    <row r="10398" spans="1:7" x14ac:dyDescent="0.25">
      <c r="A10398" t="s">
        <v>8</v>
      </c>
      <c r="B10398" s="1" t="str">
        <f>"000010040 - RICHS BREAD &amp; ROLLS-SODEXO"</f>
        <v>000010040 - RICHS BREAD &amp; ROLLS-SODEXO</v>
      </c>
      <c r="C10398" t="s">
        <v>135</v>
      </c>
      <c r="D10398" s="1" t="str">
        <f t="shared" si="291"/>
        <v>PRG-1035911</v>
      </c>
      <c r="E10398" t="s">
        <v>136</v>
      </c>
      <c r="F10398" t="s">
        <v>4</v>
      </c>
      <c r="G10398" t="str">
        <f>""</f>
        <v/>
      </c>
    </row>
    <row r="10399" spans="1:7" x14ac:dyDescent="0.25">
      <c r="A10399" t="s">
        <v>8</v>
      </c>
      <c r="B10399" s="1" t="str">
        <f>"000010335 - RICH BREAD &amp; ROLL CORE BB-SODX"</f>
        <v>000010335 - RICH BREAD &amp; ROLL CORE BB-SODX</v>
      </c>
      <c r="C10399" t="s">
        <v>273</v>
      </c>
      <c r="D10399" s="1" t="str">
        <f t="shared" si="291"/>
        <v>PRG-1035911</v>
      </c>
      <c r="E10399" t="s">
        <v>136</v>
      </c>
      <c r="F10399" t="s">
        <v>4</v>
      </c>
      <c r="G10399" t="str">
        <f>""</f>
        <v/>
      </c>
    </row>
    <row r="10400" spans="1:7" x14ac:dyDescent="0.25">
      <c r="A10400" t="s">
        <v>8</v>
      </c>
      <c r="B10400" s="1" t="str">
        <f>"000010616 - RICHS BREAD &amp; ROLLS-SODEXO"</f>
        <v>000010616 - RICHS BREAD &amp; ROLLS-SODEXO</v>
      </c>
      <c r="C10400" t="s">
        <v>135</v>
      </c>
      <c r="D10400" s="1" t="str">
        <f t="shared" si="291"/>
        <v>PRG-1035911</v>
      </c>
      <c r="E10400" t="s">
        <v>136</v>
      </c>
      <c r="F10400" t="s">
        <v>4</v>
      </c>
      <c r="G10400" t="str">
        <f>""</f>
        <v/>
      </c>
    </row>
    <row r="10401" spans="1:7" x14ac:dyDescent="0.25">
      <c r="A10401" t="s">
        <v>8</v>
      </c>
      <c r="B10401" s="1" t="str">
        <f>"000011780 - RICHS BREAD &amp; ROLLS-SODEXO"</f>
        <v>000011780 - RICHS BREAD &amp; ROLLS-SODEXO</v>
      </c>
      <c r="C10401" t="s">
        <v>135</v>
      </c>
      <c r="D10401" s="1" t="str">
        <f t="shared" si="291"/>
        <v>PRG-1035911</v>
      </c>
      <c r="E10401" t="s">
        <v>136</v>
      </c>
      <c r="F10401" t="s">
        <v>4</v>
      </c>
      <c r="G10401" t="str">
        <f>""</f>
        <v/>
      </c>
    </row>
    <row r="10402" spans="1:7" x14ac:dyDescent="0.25">
      <c r="A10402" t="s">
        <v>8</v>
      </c>
      <c r="B10402" s="1" t="str">
        <f>"000012557 - "</f>
        <v xml:space="preserve">000012557 - </v>
      </c>
      <c r="D10402" s="1" t="str">
        <f t="shared" si="291"/>
        <v>PRG-1035911</v>
      </c>
      <c r="E10402" t="s">
        <v>136</v>
      </c>
      <c r="F10402" t="s">
        <v>4</v>
      </c>
      <c r="G10402" t="str">
        <f>""</f>
        <v/>
      </c>
    </row>
    <row r="10403" spans="1:7" x14ac:dyDescent="0.25">
      <c r="A10403" t="s">
        <v>8</v>
      </c>
      <c r="B10403" s="1" t="str">
        <f>"000012558 - "</f>
        <v xml:space="preserve">000012558 - </v>
      </c>
      <c r="D10403" s="1" t="str">
        <f t="shared" si="291"/>
        <v>PRG-1035911</v>
      </c>
      <c r="E10403" t="s">
        <v>136</v>
      </c>
      <c r="F10403" t="s">
        <v>4</v>
      </c>
      <c r="G10403" t="str">
        <f>""</f>
        <v/>
      </c>
    </row>
    <row r="10404" spans="1:7" x14ac:dyDescent="0.25">
      <c r="A10404" t="s">
        <v>8</v>
      </c>
      <c r="B10404" s="1" t="str">
        <f>"000014219 - "</f>
        <v xml:space="preserve">000014219 - </v>
      </c>
      <c r="D10404" s="1" t="str">
        <f t="shared" si="291"/>
        <v>PRG-1035911</v>
      </c>
      <c r="E10404" t="s">
        <v>136</v>
      </c>
      <c r="F10404" t="s">
        <v>4</v>
      </c>
      <c r="G10404" t="str">
        <f>""</f>
        <v/>
      </c>
    </row>
    <row r="10405" spans="1:7" x14ac:dyDescent="0.25">
      <c r="A10405" t="s">
        <v>8</v>
      </c>
      <c r="B10405" s="1" t="str">
        <f>"000014710 - RICHS BREAD&amp;ROLLS BAPA SODEXO"</f>
        <v>000014710 - RICHS BREAD&amp;ROLLS BAPA SODEXO</v>
      </c>
      <c r="C10405" t="s">
        <v>359</v>
      </c>
      <c r="D10405" s="1" t="str">
        <f t="shared" si="291"/>
        <v>PRG-1035911</v>
      </c>
      <c r="E10405" t="s">
        <v>136</v>
      </c>
      <c r="F10405" t="s">
        <v>4</v>
      </c>
      <c r="G10405" t="str">
        <f>""</f>
        <v/>
      </c>
    </row>
    <row r="10406" spans="1:7" x14ac:dyDescent="0.25">
      <c r="A10406" t="s">
        <v>8</v>
      </c>
      <c r="B10406" s="1" t="str">
        <f>"000016250 - RICHS BREAD &amp; ROLLS-SODEXO"</f>
        <v>000016250 - RICHS BREAD &amp; ROLLS-SODEXO</v>
      </c>
      <c r="C10406" t="s">
        <v>135</v>
      </c>
      <c r="D10406" s="1" t="str">
        <f t="shared" si="291"/>
        <v>PRG-1035911</v>
      </c>
      <c r="E10406" t="s">
        <v>136</v>
      </c>
      <c r="F10406" t="s">
        <v>4</v>
      </c>
      <c r="G10406" t="str">
        <f>""</f>
        <v/>
      </c>
    </row>
    <row r="10407" spans="1:7" x14ac:dyDescent="0.25">
      <c r="A10407" t="s">
        <v>8</v>
      </c>
      <c r="B10407" s="1" t="str">
        <f>"000016626 - RICHS BREAD&amp;ROLLS BAPA SODEXO"</f>
        <v>000016626 - RICHS BREAD&amp;ROLLS BAPA SODEXO</v>
      </c>
      <c r="C10407" t="s">
        <v>359</v>
      </c>
      <c r="D10407" s="1" t="str">
        <f t="shared" si="291"/>
        <v>PRG-1035911</v>
      </c>
      <c r="E10407" t="s">
        <v>136</v>
      </c>
      <c r="F10407" t="s">
        <v>4</v>
      </c>
      <c r="G10407" t="str">
        <f>""</f>
        <v/>
      </c>
    </row>
    <row r="10408" spans="1:7" x14ac:dyDescent="0.25">
      <c r="A10408" t="s">
        <v>8</v>
      </c>
      <c r="B10408" s="1" t="str">
        <f>"000016810 - "</f>
        <v xml:space="preserve">000016810 - </v>
      </c>
      <c r="D10408" s="1" t="str">
        <f t="shared" si="291"/>
        <v>PRG-1035911</v>
      </c>
      <c r="E10408" t="s">
        <v>136</v>
      </c>
      <c r="F10408" t="s">
        <v>4</v>
      </c>
      <c r="G10408" t="str">
        <f>""</f>
        <v/>
      </c>
    </row>
    <row r="10409" spans="1:7" x14ac:dyDescent="0.25">
      <c r="A10409" t="s">
        <v>8</v>
      </c>
      <c r="B10409" s="1" t="str">
        <f>"000016811 - "</f>
        <v xml:space="preserve">000016811 - </v>
      </c>
      <c r="D10409" s="1" t="str">
        <f t="shared" si="291"/>
        <v>PRG-1035911</v>
      </c>
      <c r="E10409" t="s">
        <v>136</v>
      </c>
      <c r="F10409" t="s">
        <v>4</v>
      </c>
      <c r="G10409" t="str">
        <f>""</f>
        <v/>
      </c>
    </row>
    <row r="10410" spans="1:7" x14ac:dyDescent="0.25">
      <c r="A10410" t="s">
        <v>8</v>
      </c>
      <c r="B10410" s="1" t="str">
        <f>"000017025 - RICH BREAD &amp; ROLL CORE BB-SODX"</f>
        <v>000017025 - RICH BREAD &amp; ROLL CORE BB-SODX</v>
      </c>
      <c r="C10410" t="s">
        <v>273</v>
      </c>
      <c r="D10410" s="1" t="str">
        <f t="shared" si="291"/>
        <v>PRG-1035911</v>
      </c>
      <c r="E10410" t="s">
        <v>136</v>
      </c>
      <c r="F10410" t="s">
        <v>4</v>
      </c>
      <c r="G10410" t="str">
        <f>""</f>
        <v/>
      </c>
    </row>
    <row r="10411" spans="1:7" x14ac:dyDescent="0.25">
      <c r="A10411" t="s">
        <v>8</v>
      </c>
      <c r="B10411" s="1" t="str">
        <f>"000017026 - RICH BRED &amp; ROLL NCORE BB-SODX"</f>
        <v>000017026 - RICH BRED &amp; ROLL NCORE BB-SODX</v>
      </c>
      <c r="C10411" t="s">
        <v>274</v>
      </c>
      <c r="D10411" s="1" t="str">
        <f t="shared" si="291"/>
        <v>PRG-1035911</v>
      </c>
      <c r="E10411" t="s">
        <v>136</v>
      </c>
      <c r="F10411" t="s">
        <v>4</v>
      </c>
      <c r="G10411" t="str">
        <f>""</f>
        <v/>
      </c>
    </row>
    <row r="10412" spans="1:7" x14ac:dyDescent="0.25">
      <c r="A10412" t="s">
        <v>8</v>
      </c>
      <c r="B10412" s="1" t="str">
        <f>"000017232 - RICHS BREAD &amp; ROLLS-SODEXO"</f>
        <v>000017232 - RICHS BREAD &amp; ROLLS-SODEXO</v>
      </c>
      <c r="C10412" t="s">
        <v>135</v>
      </c>
      <c r="D10412" s="1" t="str">
        <f t="shared" si="291"/>
        <v>PRG-1035911</v>
      </c>
      <c r="E10412" t="s">
        <v>136</v>
      </c>
      <c r="F10412" t="s">
        <v>4</v>
      </c>
      <c r="G10412" t="str">
        <f>""</f>
        <v/>
      </c>
    </row>
    <row r="10413" spans="1:7" x14ac:dyDescent="0.25">
      <c r="A10413" t="s">
        <v>8</v>
      </c>
      <c r="B10413" s="1" t="str">
        <f>"000018349 - "</f>
        <v xml:space="preserve">000018349 - </v>
      </c>
      <c r="D10413" s="1" t="str">
        <f t="shared" si="291"/>
        <v>PRG-1035911</v>
      </c>
      <c r="E10413" t="s">
        <v>136</v>
      </c>
      <c r="F10413" t="s">
        <v>4</v>
      </c>
      <c r="G10413" t="str">
        <f>""</f>
        <v/>
      </c>
    </row>
    <row r="10414" spans="1:7" x14ac:dyDescent="0.25">
      <c r="A10414" t="s">
        <v>8</v>
      </c>
      <c r="B10414" s="1" t="str">
        <f>"000018350 - "</f>
        <v xml:space="preserve">000018350 - </v>
      </c>
      <c r="D10414" s="1" t="str">
        <f t="shared" si="291"/>
        <v>PRG-1035911</v>
      </c>
      <c r="E10414" t="s">
        <v>136</v>
      </c>
      <c r="F10414" t="s">
        <v>4</v>
      </c>
      <c r="G10414" t="str">
        <f>""</f>
        <v/>
      </c>
    </row>
    <row r="10415" spans="1:7" x14ac:dyDescent="0.25">
      <c r="A10415" t="s">
        <v>8</v>
      </c>
      <c r="B10415" s="1" t="str">
        <f>"000018533 - "</f>
        <v xml:space="preserve">000018533 - </v>
      </c>
      <c r="D10415" s="1" t="str">
        <f t="shared" si="291"/>
        <v>PRG-1035911</v>
      </c>
      <c r="E10415" t="s">
        <v>136</v>
      </c>
      <c r="F10415" t="s">
        <v>4</v>
      </c>
      <c r="G10415" t="str">
        <f>""</f>
        <v/>
      </c>
    </row>
    <row r="10416" spans="1:7" x14ac:dyDescent="0.25">
      <c r="A10416" t="s">
        <v>8</v>
      </c>
      <c r="B10416" s="1" t="str">
        <f>"000018902 - RICHS BREAD &amp; ROLLS-SODEXO"</f>
        <v>000018902 - RICHS BREAD &amp; ROLLS-SODEXO</v>
      </c>
      <c r="C10416" t="s">
        <v>135</v>
      </c>
      <c r="D10416" s="1" t="str">
        <f t="shared" si="291"/>
        <v>PRG-1035911</v>
      </c>
      <c r="E10416" t="s">
        <v>136</v>
      </c>
      <c r="F10416" t="s">
        <v>4</v>
      </c>
      <c r="G10416" t="str">
        <f>""</f>
        <v/>
      </c>
    </row>
    <row r="10417" spans="1:7" x14ac:dyDescent="0.25">
      <c r="A10417" t="s">
        <v>8</v>
      </c>
      <c r="B10417" s="1" t="str">
        <f>"000019835 - "</f>
        <v xml:space="preserve">000019835 - </v>
      </c>
      <c r="D10417" s="1" t="str">
        <f t="shared" si="291"/>
        <v>PRG-1035911</v>
      </c>
      <c r="E10417" t="s">
        <v>136</v>
      </c>
      <c r="F10417" t="s">
        <v>4</v>
      </c>
      <c r="G10417" t="str">
        <f>""</f>
        <v/>
      </c>
    </row>
    <row r="10418" spans="1:7" x14ac:dyDescent="0.25">
      <c r="A10418" t="s">
        <v>8</v>
      </c>
      <c r="B10418" s="1" t="str">
        <f>"000026363 - RICHS BREAD &amp; ROLLS-SODEXO"</f>
        <v>000026363 - RICHS BREAD &amp; ROLLS-SODEXO</v>
      </c>
      <c r="C10418" t="s">
        <v>135</v>
      </c>
      <c r="D10418" s="1" t="str">
        <f t="shared" si="291"/>
        <v>PRG-1035911</v>
      </c>
      <c r="E10418" t="s">
        <v>136</v>
      </c>
      <c r="F10418" t="s">
        <v>4</v>
      </c>
      <c r="G10418" t="str">
        <f>""</f>
        <v/>
      </c>
    </row>
    <row r="10419" spans="1:7" x14ac:dyDescent="0.25">
      <c r="A10419" t="s">
        <v>8</v>
      </c>
      <c r="B10419" s="1" t="str">
        <f>"000030459 - RICHS BREAD &amp; ROLLS-SODEXO"</f>
        <v>000030459 - RICHS BREAD &amp; ROLLS-SODEXO</v>
      </c>
      <c r="C10419" t="s">
        <v>135</v>
      </c>
      <c r="D10419" s="1" t="str">
        <f t="shared" si="291"/>
        <v>PRG-1035911</v>
      </c>
      <c r="E10419" t="s">
        <v>136</v>
      </c>
      <c r="F10419" t="s">
        <v>4</v>
      </c>
      <c r="G10419" t="str">
        <f>""</f>
        <v/>
      </c>
    </row>
    <row r="10420" spans="1:7" x14ac:dyDescent="0.25">
      <c r="A10420" t="s">
        <v>8</v>
      </c>
      <c r="B10420" s="1" t="str">
        <f>"000031496 - RICH READ &amp; ROLLS-SODEXO"</f>
        <v>000031496 - RICH READ &amp; ROLLS-SODEXO</v>
      </c>
      <c r="C10420" t="s">
        <v>441</v>
      </c>
      <c r="D10420" s="1" t="str">
        <f t="shared" si="291"/>
        <v>PRG-1035911</v>
      </c>
      <c r="E10420" t="s">
        <v>136</v>
      </c>
      <c r="F10420" t="s">
        <v>4</v>
      </c>
      <c r="G10420" t="str">
        <f>""</f>
        <v/>
      </c>
    </row>
    <row r="10421" spans="1:7" x14ac:dyDescent="0.25">
      <c r="A10421" t="s">
        <v>8</v>
      </c>
      <c r="B10421" s="1" t="str">
        <f>"000034993 - RICHS BREAD &amp; ROLLS-SODEXO"</f>
        <v>000034993 - RICHS BREAD &amp; ROLLS-SODEXO</v>
      </c>
      <c r="C10421" t="s">
        <v>135</v>
      </c>
      <c r="D10421" s="1" t="str">
        <f t="shared" si="291"/>
        <v>PRG-1035911</v>
      </c>
      <c r="E10421" t="s">
        <v>136</v>
      </c>
      <c r="F10421" t="s">
        <v>4</v>
      </c>
      <c r="G10421" t="str">
        <f>""</f>
        <v/>
      </c>
    </row>
    <row r="10422" spans="1:7" x14ac:dyDescent="0.25">
      <c r="A10422" t="s">
        <v>8</v>
      </c>
      <c r="B10422" s="1" t="str">
        <f>"000060975 - RICH BREAD &amp; ROLL CORE BB-SODX"</f>
        <v>000060975 - RICH BREAD &amp; ROLL CORE BB-SODX</v>
      </c>
      <c r="C10422" t="s">
        <v>273</v>
      </c>
      <c r="D10422" s="1" t="str">
        <f t="shared" si="291"/>
        <v>PRG-1035911</v>
      </c>
      <c r="E10422" t="s">
        <v>136</v>
      </c>
      <c r="F10422" t="s">
        <v>4</v>
      </c>
      <c r="G10422" t="str">
        <f>""</f>
        <v/>
      </c>
    </row>
    <row r="10423" spans="1:7" x14ac:dyDescent="0.25">
      <c r="A10423" t="s">
        <v>8</v>
      </c>
      <c r="B10423" s="1" t="str">
        <f>"000060976 - RICH BRED &amp; ROLL NCORE BB-SODX"</f>
        <v>000060976 - RICH BRED &amp; ROLL NCORE BB-SODX</v>
      </c>
      <c r="C10423" t="s">
        <v>274</v>
      </c>
      <c r="D10423" s="1" t="str">
        <f t="shared" si="291"/>
        <v>PRG-1035911</v>
      </c>
      <c r="E10423" t="s">
        <v>136</v>
      </c>
      <c r="F10423" t="s">
        <v>4</v>
      </c>
      <c r="G10423" t="str">
        <f>""</f>
        <v/>
      </c>
    </row>
    <row r="10424" spans="1:7" x14ac:dyDescent="0.25">
      <c r="A10424" t="s">
        <v>8</v>
      </c>
      <c r="B10424" s="1" t="str">
        <f>"000061833 - RICH BREAD &amp; ROLL CORE BB-SODX"</f>
        <v>000061833 - RICH BREAD &amp; ROLL CORE BB-SODX</v>
      </c>
      <c r="C10424" t="s">
        <v>273</v>
      </c>
      <c r="D10424" s="1" t="str">
        <f t="shared" si="291"/>
        <v>PRG-1035911</v>
      </c>
      <c r="E10424" t="s">
        <v>136</v>
      </c>
      <c r="F10424" t="s">
        <v>4</v>
      </c>
      <c r="G10424" t="str">
        <f>""</f>
        <v/>
      </c>
    </row>
    <row r="10425" spans="1:7" x14ac:dyDescent="0.25">
      <c r="A10425" t="s">
        <v>8</v>
      </c>
      <c r="B10425" s="1" t="str">
        <f>"000061834 - RICH BRED &amp; ROLL NCORE BB-SODX"</f>
        <v>000061834 - RICH BRED &amp; ROLL NCORE BB-SODX</v>
      </c>
      <c r="C10425" t="s">
        <v>274</v>
      </c>
      <c r="D10425" s="1" t="str">
        <f t="shared" si="291"/>
        <v>PRG-1035911</v>
      </c>
      <c r="E10425" t="s">
        <v>136</v>
      </c>
      <c r="F10425" t="s">
        <v>4</v>
      </c>
      <c r="G10425" t="str">
        <f>""</f>
        <v/>
      </c>
    </row>
    <row r="10426" spans="1:7" x14ac:dyDescent="0.25">
      <c r="A10426" t="s">
        <v>8</v>
      </c>
      <c r="B10426" s="1" t="str">
        <f>"000062384 - RICHS BREAD &amp; ROLLS-SODEXO"</f>
        <v>000062384 - RICHS BREAD &amp; ROLLS-SODEXO</v>
      </c>
      <c r="C10426" t="s">
        <v>135</v>
      </c>
      <c r="D10426" s="1" t="str">
        <f t="shared" si="291"/>
        <v>PRG-1035911</v>
      </c>
      <c r="E10426" t="s">
        <v>136</v>
      </c>
      <c r="F10426" t="s">
        <v>4</v>
      </c>
      <c r="G10426" t="str">
        <f>""</f>
        <v/>
      </c>
    </row>
    <row r="10427" spans="1:7" x14ac:dyDescent="0.25">
      <c r="A10427" t="s">
        <v>8</v>
      </c>
      <c r="B10427" s="1" t="str">
        <f>"000063481 - RICHS BREAD &amp; ROLLS-SODEXO"</f>
        <v>000063481 - RICHS BREAD &amp; ROLLS-SODEXO</v>
      </c>
      <c r="C10427" t="s">
        <v>135</v>
      </c>
      <c r="D10427" s="1" t="str">
        <f t="shared" si="291"/>
        <v>PRG-1035911</v>
      </c>
      <c r="E10427" t="s">
        <v>136</v>
      </c>
      <c r="F10427" t="s">
        <v>4</v>
      </c>
      <c r="G10427" t="str">
        <f>""</f>
        <v/>
      </c>
    </row>
    <row r="10428" spans="1:7" x14ac:dyDescent="0.25">
      <c r="A10428" t="s">
        <v>8</v>
      </c>
      <c r="B10428" s="1" t="str">
        <f>"000067104 - RICHS BREAD &amp; ROLLS-SODEXO"</f>
        <v>000067104 - RICHS BREAD &amp; ROLLS-SODEXO</v>
      </c>
      <c r="C10428" t="s">
        <v>135</v>
      </c>
      <c r="D10428" s="1" t="str">
        <f t="shared" si="291"/>
        <v>PRG-1035911</v>
      </c>
      <c r="E10428" t="s">
        <v>136</v>
      </c>
      <c r="F10428" t="s">
        <v>4</v>
      </c>
      <c r="G10428" t="str">
        <f>""</f>
        <v/>
      </c>
    </row>
    <row r="10429" spans="1:7" x14ac:dyDescent="0.25">
      <c r="A10429" t="s">
        <v>8</v>
      </c>
      <c r="B10429" s="1" t="str">
        <f>"000068739 - RICHS BREAD &amp; ROLLS-SODEXO"</f>
        <v>000068739 - RICHS BREAD &amp; ROLLS-SODEXO</v>
      </c>
      <c r="C10429" t="s">
        <v>135</v>
      </c>
      <c r="D10429" s="1" t="str">
        <f t="shared" si="291"/>
        <v>PRG-1035911</v>
      </c>
      <c r="E10429" t="s">
        <v>136</v>
      </c>
      <c r="F10429" t="s">
        <v>4</v>
      </c>
      <c r="G10429" t="str">
        <f>""</f>
        <v/>
      </c>
    </row>
    <row r="10430" spans="1:7" x14ac:dyDescent="0.25">
      <c r="A10430" t="s">
        <v>8</v>
      </c>
      <c r="B10430" s="1" t="str">
        <f>"000070022 - RICHS BREAD &amp; ROLLS-SODEXO"</f>
        <v>000070022 - RICHS BREAD &amp; ROLLS-SODEXO</v>
      </c>
      <c r="C10430" t="s">
        <v>135</v>
      </c>
      <c r="D10430" s="1" t="str">
        <f t="shared" si="291"/>
        <v>PRG-1035911</v>
      </c>
      <c r="E10430" t="s">
        <v>136</v>
      </c>
      <c r="F10430" t="s">
        <v>4</v>
      </c>
      <c r="G10430" t="str">
        <f>""</f>
        <v/>
      </c>
    </row>
    <row r="10431" spans="1:7" x14ac:dyDescent="0.25">
      <c r="A10431" t="s">
        <v>8</v>
      </c>
      <c r="B10431" s="1" t="str">
        <f>"000071683 - RICHS BREAD &amp; ROLLS-SODEXO"</f>
        <v>000071683 - RICHS BREAD &amp; ROLLS-SODEXO</v>
      </c>
      <c r="C10431" t="s">
        <v>135</v>
      </c>
      <c r="D10431" s="1" t="str">
        <f t="shared" si="291"/>
        <v>PRG-1035911</v>
      </c>
      <c r="E10431" t="s">
        <v>136</v>
      </c>
      <c r="F10431" t="s">
        <v>4</v>
      </c>
      <c r="G10431" t="str">
        <f>""</f>
        <v/>
      </c>
    </row>
    <row r="10432" spans="1:7" x14ac:dyDescent="0.25">
      <c r="A10432" t="s">
        <v>8</v>
      </c>
      <c r="B10432" s="1" t="str">
        <f>"000072446 - RICH READ &amp; ROLLS-SODEXO"</f>
        <v>000072446 - RICH READ &amp; ROLLS-SODEXO</v>
      </c>
      <c r="C10432" t="s">
        <v>441</v>
      </c>
      <c r="D10432" s="1" t="str">
        <f t="shared" si="291"/>
        <v>PRG-1035911</v>
      </c>
      <c r="E10432" t="s">
        <v>136</v>
      </c>
      <c r="F10432" t="s">
        <v>4</v>
      </c>
      <c r="G10432" t="str">
        <f>""</f>
        <v/>
      </c>
    </row>
    <row r="10433" spans="1:7" x14ac:dyDescent="0.25">
      <c r="A10433" t="s">
        <v>8</v>
      </c>
      <c r="B10433" s="1" t="str">
        <f>"000072892 - RICHS BREAD &amp; ROLLS-SODEXO"</f>
        <v>000072892 - RICHS BREAD &amp; ROLLS-SODEXO</v>
      </c>
      <c r="C10433" t="s">
        <v>135</v>
      </c>
      <c r="D10433" s="1" t="str">
        <f t="shared" si="291"/>
        <v>PRG-1035911</v>
      </c>
      <c r="E10433" t="s">
        <v>136</v>
      </c>
      <c r="F10433" t="s">
        <v>4</v>
      </c>
      <c r="G10433" t="str">
        <f>""</f>
        <v/>
      </c>
    </row>
    <row r="10434" spans="1:7" x14ac:dyDescent="0.25">
      <c r="A10434" t="s">
        <v>8</v>
      </c>
      <c r="B10434" s="1" t="str">
        <f>"000076021 - RICHES 100912 DOUGH"</f>
        <v>000076021 - RICHES 100912 DOUGH</v>
      </c>
      <c r="C10434" t="s">
        <v>736</v>
      </c>
      <c r="D10434" s="1" t="str">
        <f t="shared" si="291"/>
        <v>PRG-1035911</v>
      </c>
      <c r="E10434" t="s">
        <v>136</v>
      </c>
      <c r="F10434" t="s">
        <v>4</v>
      </c>
      <c r="G10434" t="str">
        <f>""</f>
        <v/>
      </c>
    </row>
    <row r="10435" spans="1:7" x14ac:dyDescent="0.25">
      <c r="A10435" t="s">
        <v>8</v>
      </c>
      <c r="B10435" s="1" t="str">
        <f>"000076723 - RICH BREAD &amp; ROLL CORE BB-SODX"</f>
        <v>000076723 - RICH BREAD &amp; ROLL CORE BB-SODX</v>
      </c>
      <c r="C10435" t="s">
        <v>273</v>
      </c>
      <c r="D10435" s="1" t="str">
        <f t="shared" si="291"/>
        <v>PRG-1035911</v>
      </c>
      <c r="E10435" t="s">
        <v>136</v>
      </c>
      <c r="F10435" t="s">
        <v>4</v>
      </c>
      <c r="G10435" t="str">
        <f>""</f>
        <v/>
      </c>
    </row>
    <row r="10436" spans="1:7" x14ac:dyDescent="0.25">
      <c r="A10436" t="s">
        <v>8</v>
      </c>
      <c r="B10436" s="1" t="str">
        <f>"000076724 - RICH BRED &amp; ROLL NCORE BB-SODX"</f>
        <v>000076724 - RICH BRED &amp; ROLL NCORE BB-SODX</v>
      </c>
      <c r="C10436" t="s">
        <v>274</v>
      </c>
      <c r="D10436" s="1" t="str">
        <f t="shared" si="291"/>
        <v>PRG-1035911</v>
      </c>
      <c r="E10436" t="s">
        <v>136</v>
      </c>
      <c r="F10436" t="s">
        <v>4</v>
      </c>
      <c r="G10436" t="str">
        <f>""</f>
        <v/>
      </c>
    </row>
    <row r="10437" spans="1:7" x14ac:dyDescent="0.25">
      <c r="A10437" t="s">
        <v>8</v>
      </c>
      <c r="B10437" s="1" t="str">
        <f>"000078372 - RICHS BREAD &amp; ROLLS-SODEXO"</f>
        <v>000078372 - RICHS BREAD &amp; ROLLS-SODEXO</v>
      </c>
      <c r="C10437" t="s">
        <v>135</v>
      </c>
      <c r="D10437" s="1" t="str">
        <f t="shared" si="291"/>
        <v>PRG-1035911</v>
      </c>
      <c r="E10437" t="s">
        <v>136</v>
      </c>
      <c r="F10437" t="s">
        <v>4</v>
      </c>
      <c r="G10437" t="str">
        <f>""</f>
        <v/>
      </c>
    </row>
    <row r="10438" spans="1:7" x14ac:dyDescent="0.25">
      <c r="A10438" t="s">
        <v>8</v>
      </c>
      <c r="B10438" s="1" t="str">
        <f>"000084621 - RICHS BREAD &amp; ROLLS-SODEXO"</f>
        <v>000084621 - RICHS BREAD &amp; ROLLS-SODEXO</v>
      </c>
      <c r="C10438" t="s">
        <v>135</v>
      </c>
      <c r="D10438" s="1" t="str">
        <f t="shared" si="291"/>
        <v>PRG-1035911</v>
      </c>
      <c r="E10438" t="s">
        <v>136</v>
      </c>
      <c r="F10438" t="s">
        <v>4</v>
      </c>
      <c r="G10438" t="str">
        <f>""</f>
        <v/>
      </c>
    </row>
    <row r="10439" spans="1:7" x14ac:dyDescent="0.25">
      <c r="A10439" t="s">
        <v>8</v>
      </c>
      <c r="B10439" s="1" t="str">
        <f>"000126675 - RICH BREAD &amp; ROLLS-SODEXO"</f>
        <v>000126675 - RICH BREAD &amp; ROLLS-SODEXO</v>
      </c>
      <c r="C10439" t="s">
        <v>141</v>
      </c>
      <c r="D10439" s="1" t="str">
        <f t="shared" si="291"/>
        <v>PRG-1035911</v>
      </c>
      <c r="E10439" t="s">
        <v>136</v>
      </c>
      <c r="F10439" t="s">
        <v>4</v>
      </c>
      <c r="G10439" t="str">
        <f>""</f>
        <v/>
      </c>
    </row>
    <row r="10440" spans="1:7" x14ac:dyDescent="0.25">
      <c r="A10440" t="s">
        <v>8</v>
      </c>
      <c r="B10440" s="1" t="str">
        <f>"000127570 - RICH BREAD &amp; ROLLS-SODEXO"</f>
        <v>000127570 - RICH BREAD &amp; ROLLS-SODEXO</v>
      </c>
      <c r="C10440" t="s">
        <v>141</v>
      </c>
      <c r="D10440" s="1" t="str">
        <f t="shared" si="291"/>
        <v>PRG-1035911</v>
      </c>
      <c r="E10440" t="s">
        <v>136</v>
      </c>
      <c r="F10440" t="s">
        <v>4</v>
      </c>
      <c r="G10440" t="str">
        <f>""</f>
        <v/>
      </c>
    </row>
    <row r="10441" spans="1:7" x14ac:dyDescent="0.25">
      <c r="A10441" t="s">
        <v>8</v>
      </c>
      <c r="B10441" s="1" t="str">
        <f>"000130513 - RICHS BREAD &amp; ROLLS-SODEXO"</f>
        <v>000130513 - RICHS BREAD &amp; ROLLS-SODEXO</v>
      </c>
      <c r="C10441" t="s">
        <v>135</v>
      </c>
      <c r="D10441" s="1" t="str">
        <f t="shared" si="291"/>
        <v>PRG-1035911</v>
      </c>
      <c r="E10441" t="s">
        <v>136</v>
      </c>
      <c r="F10441" t="s">
        <v>4</v>
      </c>
      <c r="G10441" t="str">
        <f>""</f>
        <v/>
      </c>
    </row>
    <row r="10442" spans="1:7" x14ac:dyDescent="0.25">
      <c r="A10442" t="s">
        <v>8</v>
      </c>
      <c r="B10442" s="1" t="str">
        <f>"000130858 - RICH BREAD &amp; ROLLS-SODEXO"</f>
        <v>000130858 - RICH BREAD &amp; ROLLS-SODEXO</v>
      </c>
      <c r="C10442" t="s">
        <v>141</v>
      </c>
      <c r="D10442" s="1" t="str">
        <f t="shared" si="291"/>
        <v>PRG-1035911</v>
      </c>
      <c r="E10442" t="s">
        <v>136</v>
      </c>
      <c r="F10442" t="s">
        <v>4</v>
      </c>
      <c r="G10442" t="str">
        <f>""</f>
        <v/>
      </c>
    </row>
    <row r="10443" spans="1:7" x14ac:dyDescent="0.25">
      <c r="A10443" t="s">
        <v>8</v>
      </c>
      <c r="B10443" s="1" t="str">
        <f>"000133000 - RICH BREAD &amp; ROLL CORE BB-SODX"</f>
        <v>000133000 - RICH BREAD &amp; ROLL CORE BB-SODX</v>
      </c>
      <c r="C10443" t="s">
        <v>273</v>
      </c>
      <c r="D10443" s="1" t="str">
        <f t="shared" si="291"/>
        <v>PRG-1035911</v>
      </c>
      <c r="E10443" t="s">
        <v>136</v>
      </c>
      <c r="F10443" t="s">
        <v>4</v>
      </c>
      <c r="G10443" t="str">
        <f>""</f>
        <v/>
      </c>
    </row>
    <row r="10444" spans="1:7" x14ac:dyDescent="0.25">
      <c r="A10444" t="s">
        <v>8</v>
      </c>
      <c r="B10444" s="1" t="str">
        <f>"000133001 - RICH BRED &amp; ROLL NCORE BB-SODX"</f>
        <v>000133001 - RICH BRED &amp; ROLL NCORE BB-SODX</v>
      </c>
      <c r="C10444" t="s">
        <v>274</v>
      </c>
      <c r="D10444" s="1" t="str">
        <f t="shared" si="291"/>
        <v>PRG-1035911</v>
      </c>
      <c r="E10444" t="s">
        <v>136</v>
      </c>
      <c r="F10444" t="s">
        <v>4</v>
      </c>
      <c r="G10444" t="str">
        <f>""</f>
        <v/>
      </c>
    </row>
    <row r="10445" spans="1:7" x14ac:dyDescent="0.25">
      <c r="A10445" t="s">
        <v>8</v>
      </c>
      <c r="B10445" s="1" t="str">
        <f>"000134460 - RICHS BREAD &amp; ROLLS-SODEXO"</f>
        <v>000134460 - RICHS BREAD &amp; ROLLS-SODEXO</v>
      </c>
      <c r="C10445" t="s">
        <v>135</v>
      </c>
      <c r="D10445" s="1" t="str">
        <f t="shared" si="291"/>
        <v>PRG-1035911</v>
      </c>
      <c r="E10445" t="s">
        <v>136</v>
      </c>
      <c r="F10445" t="s">
        <v>4</v>
      </c>
      <c r="G10445" t="str">
        <f>""</f>
        <v/>
      </c>
    </row>
    <row r="10446" spans="1:7" x14ac:dyDescent="0.25">
      <c r="A10446" t="s">
        <v>8</v>
      </c>
      <c r="B10446" s="1" t="str">
        <f>"000136224 - RICHS FOODS BB-FOODBUY"</f>
        <v>000136224 - RICHS FOODS BB-FOODBUY</v>
      </c>
      <c r="C10446" t="s">
        <v>393</v>
      </c>
      <c r="D10446" s="1" t="str">
        <f t="shared" si="291"/>
        <v>PRG-1035911</v>
      </c>
      <c r="E10446" t="s">
        <v>136</v>
      </c>
      <c r="F10446" t="s">
        <v>4</v>
      </c>
      <c r="G10446" t="str">
        <f>""</f>
        <v/>
      </c>
    </row>
    <row r="10447" spans="1:7" x14ac:dyDescent="0.25">
      <c r="A10447" t="s">
        <v>8</v>
      </c>
      <c r="B10447" s="1" t="str">
        <f>"000137394 - RICHS BREAD &amp; ROLLS-SODEXO"</f>
        <v>000137394 - RICHS BREAD &amp; ROLLS-SODEXO</v>
      </c>
      <c r="C10447" t="s">
        <v>135</v>
      </c>
      <c r="D10447" s="1" t="str">
        <f t="shared" si="291"/>
        <v>PRG-1035911</v>
      </c>
      <c r="E10447" t="s">
        <v>136</v>
      </c>
      <c r="F10447" t="s">
        <v>4</v>
      </c>
      <c r="G10447" t="str">
        <f>""</f>
        <v/>
      </c>
    </row>
    <row r="10448" spans="1:7" x14ac:dyDescent="0.25">
      <c r="A10448" t="s">
        <v>8</v>
      </c>
      <c r="B10448" s="1" t="str">
        <f>"000139944 - RICHS BREAD &amp; ROLLS-SODEXO"</f>
        <v>000139944 - RICHS BREAD &amp; ROLLS-SODEXO</v>
      </c>
      <c r="C10448" t="s">
        <v>135</v>
      </c>
      <c r="D10448" s="1" t="str">
        <f t="shared" si="291"/>
        <v>PRG-1035911</v>
      </c>
      <c r="E10448" t="s">
        <v>136</v>
      </c>
      <c r="F10448" t="s">
        <v>4</v>
      </c>
      <c r="G10448" t="str">
        <f>""</f>
        <v/>
      </c>
    </row>
    <row r="10449" spans="1:7" x14ac:dyDescent="0.25">
      <c r="A10449" t="s">
        <v>8</v>
      </c>
      <c r="B10449" s="1" t="str">
        <f>"000141819 - RICHS BREAD &amp; ROLLS-SODEXO"</f>
        <v>000141819 - RICHS BREAD &amp; ROLLS-SODEXO</v>
      </c>
      <c r="C10449" t="s">
        <v>135</v>
      </c>
      <c r="D10449" s="1" t="str">
        <f t="shared" si="291"/>
        <v>PRG-1035911</v>
      </c>
      <c r="E10449" t="s">
        <v>136</v>
      </c>
      <c r="F10449" t="s">
        <v>4</v>
      </c>
      <c r="G10449" t="str">
        <f>""</f>
        <v/>
      </c>
    </row>
    <row r="10450" spans="1:7" x14ac:dyDescent="0.25">
      <c r="A10450" t="s">
        <v>8</v>
      </c>
      <c r="B10450" s="1" t="str">
        <f>"000144013 - RICHS BREAD &amp; ROLLS-SODEXO"</f>
        <v>000144013 - RICHS BREAD &amp; ROLLS-SODEXO</v>
      </c>
      <c r="C10450" t="s">
        <v>135</v>
      </c>
      <c r="D10450" s="1" t="str">
        <f t="shared" si="291"/>
        <v>PRG-1035911</v>
      </c>
      <c r="E10450" t="s">
        <v>136</v>
      </c>
      <c r="F10450" t="s">
        <v>4</v>
      </c>
      <c r="G10450" t="str">
        <f>""</f>
        <v/>
      </c>
    </row>
    <row r="10451" spans="1:7" x14ac:dyDescent="0.25">
      <c r="A10451" t="s">
        <v>8</v>
      </c>
      <c r="B10451" s="1" t="str">
        <f>"000151609 - RICHS BREAD &amp; ROLLS-SODEXO"</f>
        <v>000151609 - RICHS BREAD &amp; ROLLS-SODEXO</v>
      </c>
      <c r="C10451" t="s">
        <v>135</v>
      </c>
      <c r="D10451" s="1" t="str">
        <f t="shared" si="291"/>
        <v>PRG-1035911</v>
      </c>
      <c r="E10451" t="s">
        <v>136</v>
      </c>
      <c r="F10451" t="s">
        <v>4</v>
      </c>
      <c r="G10451" t="str">
        <f>""</f>
        <v/>
      </c>
    </row>
    <row r="10452" spans="1:7" x14ac:dyDescent="0.25">
      <c r="A10452" t="s">
        <v>8</v>
      </c>
      <c r="B10452" s="1" t="str">
        <f>"000154486 - RICH BREAD &amp; ROLL CORE BB-SODX"</f>
        <v>000154486 - RICH BREAD &amp; ROLL CORE BB-SODX</v>
      </c>
      <c r="C10452" t="s">
        <v>273</v>
      </c>
      <c r="D10452" s="1" t="str">
        <f t="shared" si="291"/>
        <v>PRG-1035911</v>
      </c>
      <c r="E10452" t="s">
        <v>136</v>
      </c>
      <c r="F10452" t="s">
        <v>4</v>
      </c>
      <c r="G10452" t="str">
        <f>""</f>
        <v/>
      </c>
    </row>
    <row r="10453" spans="1:7" x14ac:dyDescent="0.25">
      <c r="A10453" t="s">
        <v>8</v>
      </c>
      <c r="B10453" s="1" t="str">
        <f>"000154487 - RICH BRED &amp; ROLL NCORE BB-SODX"</f>
        <v>000154487 - RICH BRED &amp; ROLL NCORE BB-SODX</v>
      </c>
      <c r="C10453" t="s">
        <v>274</v>
      </c>
      <c r="D10453" s="1" t="str">
        <f t="shared" si="291"/>
        <v>PRG-1035911</v>
      </c>
      <c r="E10453" t="s">
        <v>136</v>
      </c>
      <c r="F10453" t="s">
        <v>4</v>
      </c>
      <c r="G10453" t="str">
        <f>""</f>
        <v/>
      </c>
    </row>
    <row r="10454" spans="1:7" x14ac:dyDescent="0.25">
      <c r="A10454" t="s">
        <v>8</v>
      </c>
      <c r="B10454" s="1" t="str">
        <f>"000155798 - RICHS BREAD &amp; ROLLS-SODEXO"</f>
        <v>000155798 - RICHS BREAD &amp; ROLLS-SODEXO</v>
      </c>
      <c r="C10454" t="s">
        <v>135</v>
      </c>
      <c r="D10454" s="1" t="str">
        <f t="shared" si="291"/>
        <v>PRG-1035911</v>
      </c>
      <c r="E10454" t="s">
        <v>136</v>
      </c>
      <c r="F10454" t="s">
        <v>4</v>
      </c>
      <c r="G10454" t="str">
        <f>""</f>
        <v/>
      </c>
    </row>
    <row r="10455" spans="1:7" x14ac:dyDescent="0.25">
      <c r="A10455" t="s">
        <v>8</v>
      </c>
      <c r="B10455" s="1" t="str">
        <f>"000157134 - "</f>
        <v xml:space="preserve">000157134 - </v>
      </c>
      <c r="D10455" s="1" t="str">
        <f t="shared" ref="D10455:D10518" si="292">"PRG-1035911"</f>
        <v>PRG-1035911</v>
      </c>
      <c r="E10455" t="s">
        <v>136</v>
      </c>
      <c r="F10455" t="s">
        <v>4</v>
      </c>
      <c r="G10455" t="str">
        <f>""</f>
        <v/>
      </c>
    </row>
    <row r="10456" spans="1:7" x14ac:dyDescent="0.25">
      <c r="A10456" t="s">
        <v>8</v>
      </c>
      <c r="B10456" s="1" t="str">
        <f>"000157135 - "</f>
        <v xml:space="preserve">000157135 - </v>
      </c>
      <c r="D10456" s="1" t="str">
        <f t="shared" si="292"/>
        <v>PRG-1035911</v>
      </c>
      <c r="E10456" t="s">
        <v>136</v>
      </c>
      <c r="F10456" t="s">
        <v>4</v>
      </c>
      <c r="G10456" t="str">
        <f>""</f>
        <v/>
      </c>
    </row>
    <row r="10457" spans="1:7" x14ac:dyDescent="0.25">
      <c r="A10457" t="s">
        <v>8</v>
      </c>
      <c r="B10457" s="1" t="str">
        <f>"000158322 - "</f>
        <v xml:space="preserve">000158322 - </v>
      </c>
      <c r="D10457" s="1" t="str">
        <f t="shared" si="292"/>
        <v>PRG-1035911</v>
      </c>
      <c r="E10457" t="s">
        <v>136</v>
      </c>
      <c r="F10457" t="s">
        <v>4</v>
      </c>
      <c r="G10457" t="str">
        <f>""</f>
        <v/>
      </c>
    </row>
    <row r="10458" spans="1:7" x14ac:dyDescent="0.25">
      <c r="A10458" t="s">
        <v>8</v>
      </c>
      <c r="B10458" s="1" t="str">
        <f>"000161452 - RICHS BREAD &amp; ROLLS-SODEXO"</f>
        <v>000161452 - RICHS BREAD &amp; ROLLS-SODEXO</v>
      </c>
      <c r="C10458" t="s">
        <v>135</v>
      </c>
      <c r="D10458" s="1" t="str">
        <f t="shared" si="292"/>
        <v>PRG-1035911</v>
      </c>
      <c r="E10458" t="s">
        <v>136</v>
      </c>
      <c r="F10458" t="s">
        <v>4</v>
      </c>
      <c r="G10458" t="str">
        <f>""</f>
        <v/>
      </c>
    </row>
    <row r="10459" spans="1:7" x14ac:dyDescent="0.25">
      <c r="A10459" t="s">
        <v>8</v>
      </c>
      <c r="B10459" s="1" t="str">
        <f>"000162459 - "</f>
        <v xml:space="preserve">000162459 - </v>
      </c>
      <c r="D10459" s="1" t="str">
        <f t="shared" si="292"/>
        <v>PRG-1035911</v>
      </c>
      <c r="E10459" t="s">
        <v>136</v>
      </c>
      <c r="F10459" t="s">
        <v>4</v>
      </c>
      <c r="G10459" t="str">
        <f>""</f>
        <v/>
      </c>
    </row>
    <row r="10460" spans="1:7" x14ac:dyDescent="0.25">
      <c r="A10460" t="s">
        <v>8</v>
      </c>
      <c r="B10460" s="1" t="str">
        <f>"000162460 - "</f>
        <v xml:space="preserve">000162460 - </v>
      </c>
      <c r="D10460" s="1" t="str">
        <f t="shared" si="292"/>
        <v>PRG-1035911</v>
      </c>
      <c r="E10460" t="s">
        <v>136</v>
      </c>
      <c r="F10460" t="s">
        <v>4</v>
      </c>
      <c r="G10460" t="str">
        <f>""</f>
        <v/>
      </c>
    </row>
    <row r="10461" spans="1:7" x14ac:dyDescent="0.25">
      <c r="A10461" t="s">
        <v>8</v>
      </c>
      <c r="B10461" s="1" t="str">
        <f>"000162617 - RICH BREAD &amp; ROLL CORE BB-SODX"</f>
        <v>000162617 - RICH BREAD &amp; ROLL CORE BB-SODX</v>
      </c>
      <c r="C10461" t="s">
        <v>273</v>
      </c>
      <c r="D10461" s="1" t="str">
        <f t="shared" si="292"/>
        <v>PRG-1035911</v>
      </c>
      <c r="E10461" t="s">
        <v>136</v>
      </c>
      <c r="F10461" t="s">
        <v>4</v>
      </c>
      <c r="G10461" t="str">
        <f>""</f>
        <v/>
      </c>
    </row>
    <row r="10462" spans="1:7" x14ac:dyDescent="0.25">
      <c r="A10462" t="s">
        <v>8</v>
      </c>
      <c r="B10462" s="1" t="str">
        <f>"000162618 - RICH BRED &amp; ROLL NCORE BB-SODX"</f>
        <v>000162618 - RICH BRED &amp; ROLL NCORE BB-SODX</v>
      </c>
      <c r="C10462" t="s">
        <v>274</v>
      </c>
      <c r="D10462" s="1" t="str">
        <f t="shared" si="292"/>
        <v>PRG-1035911</v>
      </c>
      <c r="E10462" t="s">
        <v>136</v>
      </c>
      <c r="F10462" t="s">
        <v>4</v>
      </c>
      <c r="G10462" t="str">
        <f>""</f>
        <v/>
      </c>
    </row>
    <row r="10463" spans="1:7" x14ac:dyDescent="0.25">
      <c r="A10463" t="s">
        <v>8</v>
      </c>
      <c r="B10463" s="1" t="str">
        <f>"000163687 - "</f>
        <v xml:space="preserve">000163687 - </v>
      </c>
      <c r="D10463" s="1" t="str">
        <f t="shared" si="292"/>
        <v>PRG-1035911</v>
      </c>
      <c r="E10463" t="s">
        <v>136</v>
      </c>
      <c r="F10463" t="s">
        <v>4</v>
      </c>
      <c r="G10463" t="str">
        <f>""</f>
        <v/>
      </c>
    </row>
    <row r="10464" spans="1:7" x14ac:dyDescent="0.25">
      <c r="A10464" t="s">
        <v>8</v>
      </c>
      <c r="B10464" s="1" t="str">
        <f>"000164029 - RICHS BREAD &amp; ROLLS-SODEXO"</f>
        <v>000164029 - RICHS BREAD &amp; ROLLS-SODEXO</v>
      </c>
      <c r="C10464" t="s">
        <v>135</v>
      </c>
      <c r="D10464" s="1" t="str">
        <f t="shared" si="292"/>
        <v>PRG-1035911</v>
      </c>
      <c r="E10464" t="s">
        <v>136</v>
      </c>
      <c r="F10464" t="s">
        <v>4</v>
      </c>
      <c r="G10464" t="str">
        <f>""</f>
        <v/>
      </c>
    </row>
    <row r="10465" spans="1:7" x14ac:dyDescent="0.25">
      <c r="A10465" t="s">
        <v>8</v>
      </c>
      <c r="B10465" s="1" t="str">
        <f>"000169114 - RICHS BREAD &amp; ROLLS-SODEXO"</f>
        <v>000169114 - RICHS BREAD &amp; ROLLS-SODEXO</v>
      </c>
      <c r="C10465" t="s">
        <v>135</v>
      </c>
      <c r="D10465" s="1" t="str">
        <f t="shared" si="292"/>
        <v>PRG-1035911</v>
      </c>
      <c r="E10465" t="s">
        <v>136</v>
      </c>
      <c r="F10465" t="s">
        <v>4</v>
      </c>
      <c r="G10465" t="str">
        <f>""</f>
        <v/>
      </c>
    </row>
    <row r="10466" spans="1:7" x14ac:dyDescent="0.25">
      <c r="A10466" t="s">
        <v>8</v>
      </c>
      <c r="B10466" s="1" t="str">
        <f>"000175703 - RICH BREAD &amp; ROLLS-SODEXO"</f>
        <v>000175703 - RICH BREAD &amp; ROLLS-SODEXO</v>
      </c>
      <c r="C10466" t="s">
        <v>141</v>
      </c>
      <c r="D10466" s="1" t="str">
        <f t="shared" si="292"/>
        <v>PRG-1035911</v>
      </c>
      <c r="E10466" t="s">
        <v>136</v>
      </c>
      <c r="F10466" t="s">
        <v>4</v>
      </c>
      <c r="G10466" t="str">
        <f>""</f>
        <v/>
      </c>
    </row>
    <row r="10467" spans="1:7" x14ac:dyDescent="0.25">
      <c r="A10467" t="s">
        <v>8</v>
      </c>
      <c r="B10467" s="1" t="str">
        <f>"000178455 - RICHS BREAD &amp; ROLLS-SODEXO"</f>
        <v>000178455 - RICHS BREAD &amp; ROLLS-SODEXO</v>
      </c>
      <c r="C10467" t="s">
        <v>135</v>
      </c>
      <c r="D10467" s="1" t="str">
        <f t="shared" si="292"/>
        <v>PRG-1035911</v>
      </c>
      <c r="E10467" t="s">
        <v>136</v>
      </c>
      <c r="F10467" t="s">
        <v>4</v>
      </c>
      <c r="G10467" t="str">
        <f>""</f>
        <v/>
      </c>
    </row>
    <row r="10468" spans="1:7" x14ac:dyDescent="0.25">
      <c r="A10468" t="s">
        <v>8</v>
      </c>
      <c r="B10468" s="1" t="str">
        <f>"000180855 - "</f>
        <v xml:space="preserve">000180855 - </v>
      </c>
      <c r="D10468" s="1" t="str">
        <f t="shared" si="292"/>
        <v>PRG-1035911</v>
      </c>
      <c r="E10468" t="s">
        <v>136</v>
      </c>
      <c r="F10468" t="s">
        <v>4</v>
      </c>
      <c r="G10468" t="str">
        <f>""</f>
        <v/>
      </c>
    </row>
    <row r="10469" spans="1:7" x14ac:dyDescent="0.25">
      <c r="A10469" t="s">
        <v>8</v>
      </c>
      <c r="B10469" s="1" t="str">
        <f>"000180856 - "</f>
        <v xml:space="preserve">000180856 - </v>
      </c>
      <c r="D10469" s="1" t="str">
        <f t="shared" si="292"/>
        <v>PRG-1035911</v>
      </c>
      <c r="E10469" t="s">
        <v>136</v>
      </c>
      <c r="F10469" t="s">
        <v>4</v>
      </c>
      <c r="G10469" t="str">
        <f>""</f>
        <v/>
      </c>
    </row>
    <row r="10470" spans="1:7" x14ac:dyDescent="0.25">
      <c r="A10470" t="s">
        <v>8</v>
      </c>
      <c r="B10470" s="1" t="str">
        <f>"000182259 - "</f>
        <v xml:space="preserve">000182259 - </v>
      </c>
      <c r="D10470" s="1" t="str">
        <f t="shared" si="292"/>
        <v>PRG-1035911</v>
      </c>
      <c r="E10470" t="s">
        <v>136</v>
      </c>
      <c r="F10470" t="s">
        <v>4</v>
      </c>
      <c r="G10470" t="str">
        <f>""</f>
        <v/>
      </c>
    </row>
    <row r="10471" spans="1:7" x14ac:dyDescent="0.25">
      <c r="A10471" t="s">
        <v>8</v>
      </c>
      <c r="B10471" s="1" t="str">
        <f>"000204555 - RICHS BREAD &amp; ROLLS-SODEXO"</f>
        <v>000204555 - RICHS BREAD &amp; ROLLS-SODEXO</v>
      </c>
      <c r="C10471" t="s">
        <v>135</v>
      </c>
      <c r="D10471" s="1" t="str">
        <f t="shared" si="292"/>
        <v>PRG-1035911</v>
      </c>
      <c r="E10471" t="s">
        <v>136</v>
      </c>
      <c r="F10471" t="s">
        <v>4</v>
      </c>
      <c r="G10471" t="str">
        <f>""</f>
        <v/>
      </c>
    </row>
    <row r="10472" spans="1:7" x14ac:dyDescent="0.25">
      <c r="A10472" t="s">
        <v>8</v>
      </c>
      <c r="B10472" s="1" t="str">
        <f>"000208987 - RICH BREAD &amp; ROLL BB CORE-SODX"</f>
        <v>000208987 - RICH BREAD &amp; ROLL BB CORE-SODX</v>
      </c>
      <c r="C10472" t="s">
        <v>158</v>
      </c>
      <c r="D10472" s="1" t="str">
        <f t="shared" si="292"/>
        <v>PRG-1035911</v>
      </c>
      <c r="E10472" t="s">
        <v>136</v>
      </c>
      <c r="F10472" t="s">
        <v>4</v>
      </c>
      <c r="G10472" t="str">
        <f>""</f>
        <v/>
      </c>
    </row>
    <row r="10473" spans="1:7" x14ac:dyDescent="0.25">
      <c r="A10473" t="s">
        <v>8</v>
      </c>
      <c r="B10473" s="1" t="str">
        <f>"000208988 - RICH BREAD&amp;ROLL BB NCORE-SODX"</f>
        <v>000208988 - RICH BREAD&amp;ROLL BB NCORE-SODX</v>
      </c>
      <c r="C10473" t="s">
        <v>159</v>
      </c>
      <c r="D10473" s="1" t="str">
        <f t="shared" si="292"/>
        <v>PRG-1035911</v>
      </c>
      <c r="E10473" t="s">
        <v>136</v>
      </c>
      <c r="F10473" t="s">
        <v>4</v>
      </c>
      <c r="G10473" t="str">
        <f>""</f>
        <v/>
      </c>
    </row>
    <row r="10474" spans="1:7" x14ac:dyDescent="0.25">
      <c r="A10474" t="s">
        <v>8</v>
      </c>
      <c r="B10474" s="1" t="str">
        <f>"000222743 - RICH BREAD &amp; ROLL CORE BB-SODX"</f>
        <v>000222743 - RICH BREAD &amp; ROLL CORE BB-SODX</v>
      </c>
      <c r="C10474" t="s">
        <v>273</v>
      </c>
      <c r="D10474" s="1" t="str">
        <f t="shared" si="292"/>
        <v>PRG-1035911</v>
      </c>
      <c r="E10474" t="s">
        <v>136</v>
      </c>
      <c r="F10474" t="s">
        <v>4</v>
      </c>
      <c r="G10474" t="str">
        <f>""</f>
        <v/>
      </c>
    </row>
    <row r="10475" spans="1:7" x14ac:dyDescent="0.25">
      <c r="A10475" t="s">
        <v>8</v>
      </c>
      <c r="B10475" s="1" t="str">
        <f>"000222744 - RICH BRED &amp; ROLL NCORE BB-SODX"</f>
        <v>000222744 - RICH BRED &amp; ROLL NCORE BB-SODX</v>
      </c>
      <c r="C10475" t="s">
        <v>274</v>
      </c>
      <c r="D10475" s="1" t="str">
        <f t="shared" si="292"/>
        <v>PRG-1035911</v>
      </c>
      <c r="E10475" t="s">
        <v>136</v>
      </c>
      <c r="F10475" t="s">
        <v>4</v>
      </c>
      <c r="G10475" t="str">
        <f>""</f>
        <v/>
      </c>
    </row>
    <row r="10476" spans="1:7" x14ac:dyDescent="0.25">
      <c r="A10476" t="s">
        <v>8</v>
      </c>
      <c r="B10476" s="1" t="str">
        <f>"000224367 - RICHS BREAD &amp; ROLLS-SODEXO"</f>
        <v>000224367 - RICHS BREAD &amp; ROLLS-SODEXO</v>
      </c>
      <c r="C10476" t="s">
        <v>135</v>
      </c>
      <c r="D10476" s="1" t="str">
        <f t="shared" si="292"/>
        <v>PRG-1035911</v>
      </c>
      <c r="E10476" t="s">
        <v>136</v>
      </c>
      <c r="F10476" t="s">
        <v>4</v>
      </c>
      <c r="G10476" t="str">
        <f>""</f>
        <v/>
      </c>
    </row>
    <row r="10477" spans="1:7" x14ac:dyDescent="0.25">
      <c r="A10477" t="s">
        <v>8</v>
      </c>
      <c r="B10477" s="1" t="str">
        <f>"000227361 - RICH BREAD &amp; ROLLS-SODEXO"</f>
        <v>000227361 - RICH BREAD &amp; ROLLS-SODEXO</v>
      </c>
      <c r="C10477" t="s">
        <v>141</v>
      </c>
      <c r="D10477" s="1" t="str">
        <f t="shared" si="292"/>
        <v>PRG-1035911</v>
      </c>
      <c r="E10477" t="s">
        <v>136</v>
      </c>
      <c r="F10477" t="s">
        <v>4</v>
      </c>
      <c r="G10477" t="str">
        <f>""</f>
        <v/>
      </c>
    </row>
    <row r="10478" spans="1:7" x14ac:dyDescent="0.25">
      <c r="A10478" t="s">
        <v>8</v>
      </c>
      <c r="B10478" s="1" t="str">
        <f>"000227743 - RICH BREAD &amp; ROLL CORE BB-SODX"</f>
        <v>000227743 - RICH BREAD &amp; ROLL CORE BB-SODX</v>
      </c>
      <c r="C10478" t="s">
        <v>273</v>
      </c>
      <c r="D10478" s="1" t="str">
        <f t="shared" si="292"/>
        <v>PRG-1035911</v>
      </c>
      <c r="E10478" t="s">
        <v>136</v>
      </c>
      <c r="F10478" t="s">
        <v>4</v>
      </c>
      <c r="G10478" t="str">
        <f>""</f>
        <v/>
      </c>
    </row>
    <row r="10479" spans="1:7" x14ac:dyDescent="0.25">
      <c r="A10479" t="s">
        <v>8</v>
      </c>
      <c r="B10479" s="1" t="str">
        <f>"000227744 - RICH BRED &amp; ROLL NCORE BB-SODX"</f>
        <v>000227744 - RICH BRED &amp; ROLL NCORE BB-SODX</v>
      </c>
      <c r="C10479" t="s">
        <v>274</v>
      </c>
      <c r="D10479" s="1" t="str">
        <f t="shared" si="292"/>
        <v>PRG-1035911</v>
      </c>
      <c r="E10479" t="s">
        <v>136</v>
      </c>
      <c r="F10479" t="s">
        <v>4</v>
      </c>
      <c r="G10479" t="str">
        <f>""</f>
        <v/>
      </c>
    </row>
    <row r="10480" spans="1:7" x14ac:dyDescent="0.25">
      <c r="A10480" t="s">
        <v>8</v>
      </c>
      <c r="B10480" s="1" t="str">
        <f>"000229424 - RICHS BREAD &amp; ROLLS-SODEXO"</f>
        <v>000229424 - RICHS BREAD &amp; ROLLS-SODEXO</v>
      </c>
      <c r="C10480" t="s">
        <v>135</v>
      </c>
      <c r="D10480" s="1" t="str">
        <f t="shared" si="292"/>
        <v>PRG-1035911</v>
      </c>
      <c r="E10480" t="s">
        <v>136</v>
      </c>
      <c r="F10480" t="s">
        <v>4</v>
      </c>
      <c r="G10480" t="str">
        <f>""</f>
        <v/>
      </c>
    </row>
    <row r="10481" spans="1:7" x14ac:dyDescent="0.25">
      <c r="A10481" t="s">
        <v>8</v>
      </c>
      <c r="B10481" s="1" t="str">
        <f>"000230013 - RICH BREAD &amp; ROLL CORE BB-SODX"</f>
        <v>000230013 - RICH BREAD &amp; ROLL CORE BB-SODX</v>
      </c>
      <c r="C10481" t="s">
        <v>273</v>
      </c>
      <c r="D10481" s="1" t="str">
        <f t="shared" si="292"/>
        <v>PRG-1035911</v>
      </c>
      <c r="E10481" t="s">
        <v>136</v>
      </c>
      <c r="F10481" t="s">
        <v>4</v>
      </c>
      <c r="G10481" t="str">
        <f>""</f>
        <v/>
      </c>
    </row>
    <row r="10482" spans="1:7" x14ac:dyDescent="0.25">
      <c r="A10482" t="s">
        <v>8</v>
      </c>
      <c r="B10482" s="1" t="str">
        <f>"000230014 - RICH BRED &amp; ROLL NCORE BB-SODX"</f>
        <v>000230014 - RICH BRED &amp; ROLL NCORE BB-SODX</v>
      </c>
      <c r="C10482" t="s">
        <v>274</v>
      </c>
      <c r="D10482" s="1" t="str">
        <f t="shared" si="292"/>
        <v>PRG-1035911</v>
      </c>
      <c r="E10482" t="s">
        <v>136</v>
      </c>
      <c r="F10482" t="s">
        <v>4</v>
      </c>
      <c r="G10482" t="str">
        <f>""</f>
        <v/>
      </c>
    </row>
    <row r="10483" spans="1:7" x14ac:dyDescent="0.25">
      <c r="A10483" t="s">
        <v>8</v>
      </c>
      <c r="B10483" s="1" t="str">
        <f>"000230352 - RICHS BREAD &amp; ROLLS-SODEXO"</f>
        <v>000230352 - RICHS BREAD &amp; ROLLS-SODEXO</v>
      </c>
      <c r="C10483" t="s">
        <v>135</v>
      </c>
      <c r="D10483" s="1" t="str">
        <f t="shared" si="292"/>
        <v>PRG-1035911</v>
      </c>
      <c r="E10483" t="s">
        <v>136</v>
      </c>
      <c r="F10483" t="s">
        <v>4</v>
      </c>
      <c r="G10483" t="str">
        <f>""</f>
        <v/>
      </c>
    </row>
    <row r="10484" spans="1:7" x14ac:dyDescent="0.25">
      <c r="A10484" t="s">
        <v>8</v>
      </c>
      <c r="B10484" s="1" t="str">
        <f>"000230933 - RICH BREAD &amp; ROLLS-SODEXO"</f>
        <v>000230933 - RICH BREAD &amp; ROLLS-SODEXO</v>
      </c>
      <c r="C10484" t="s">
        <v>141</v>
      </c>
      <c r="D10484" s="1" t="str">
        <f t="shared" si="292"/>
        <v>PRG-1035911</v>
      </c>
      <c r="E10484" t="s">
        <v>136</v>
      </c>
      <c r="F10484" t="s">
        <v>4</v>
      </c>
      <c r="G10484" t="str">
        <f>""</f>
        <v/>
      </c>
    </row>
    <row r="10485" spans="1:7" x14ac:dyDescent="0.25">
      <c r="A10485" t="s">
        <v>8</v>
      </c>
      <c r="B10485" s="1" t="str">
        <f>"000231521 - RICHS BREAD &amp; ROLLS-SODEXO"</f>
        <v>000231521 - RICHS BREAD &amp; ROLLS-SODEXO</v>
      </c>
      <c r="C10485" t="s">
        <v>135</v>
      </c>
      <c r="D10485" s="1" t="str">
        <f t="shared" si="292"/>
        <v>PRG-1035911</v>
      </c>
      <c r="E10485" t="s">
        <v>136</v>
      </c>
      <c r="F10485" t="s">
        <v>4</v>
      </c>
      <c r="G10485" t="str">
        <f>""</f>
        <v/>
      </c>
    </row>
    <row r="10486" spans="1:7" x14ac:dyDescent="0.25">
      <c r="A10486" t="s">
        <v>8</v>
      </c>
      <c r="B10486" s="1" t="str">
        <f>"000231655 - RICHS BREAD &amp; ROLLS-SODEXO"</f>
        <v>000231655 - RICHS BREAD &amp; ROLLS-SODEXO</v>
      </c>
      <c r="C10486" t="s">
        <v>135</v>
      </c>
      <c r="D10486" s="1" t="str">
        <f t="shared" si="292"/>
        <v>PRG-1035911</v>
      </c>
      <c r="E10486" t="s">
        <v>136</v>
      </c>
      <c r="F10486" t="s">
        <v>4</v>
      </c>
      <c r="G10486" t="str">
        <f>""</f>
        <v/>
      </c>
    </row>
    <row r="10487" spans="1:7" x14ac:dyDescent="0.25">
      <c r="A10487" t="s">
        <v>8</v>
      </c>
      <c r="B10487" s="1" t="str">
        <f>"000235924 - RICHS BREAD &amp; ROLLS-SODEXO"</f>
        <v>000235924 - RICHS BREAD &amp; ROLLS-SODEXO</v>
      </c>
      <c r="C10487" t="s">
        <v>135</v>
      </c>
      <c r="D10487" s="1" t="str">
        <f t="shared" si="292"/>
        <v>PRG-1035911</v>
      </c>
      <c r="E10487" t="s">
        <v>136</v>
      </c>
      <c r="F10487" t="s">
        <v>4</v>
      </c>
      <c r="G10487" t="str">
        <f>""</f>
        <v/>
      </c>
    </row>
    <row r="10488" spans="1:7" x14ac:dyDescent="0.25">
      <c r="A10488" t="s">
        <v>8</v>
      </c>
      <c r="B10488" s="1" t="str">
        <f>"000237802 - RICH BREAD &amp; ROLL CORE BB-SODX"</f>
        <v>000237802 - RICH BREAD &amp; ROLL CORE BB-SODX</v>
      </c>
      <c r="C10488" t="s">
        <v>273</v>
      </c>
      <c r="D10488" s="1" t="str">
        <f t="shared" si="292"/>
        <v>PRG-1035911</v>
      </c>
      <c r="E10488" t="s">
        <v>136</v>
      </c>
      <c r="F10488" t="s">
        <v>4</v>
      </c>
      <c r="G10488" t="str">
        <f>""</f>
        <v/>
      </c>
    </row>
    <row r="10489" spans="1:7" x14ac:dyDescent="0.25">
      <c r="A10489" t="s">
        <v>8</v>
      </c>
      <c r="B10489" s="1" t="str">
        <f>"000237803 - RICH BRED &amp; ROLL NCORE BB-SODX"</f>
        <v>000237803 - RICH BRED &amp; ROLL NCORE BB-SODX</v>
      </c>
      <c r="C10489" t="s">
        <v>274</v>
      </c>
      <c r="D10489" s="1" t="str">
        <f t="shared" si="292"/>
        <v>PRG-1035911</v>
      </c>
      <c r="E10489" t="s">
        <v>136</v>
      </c>
      <c r="F10489" t="s">
        <v>4</v>
      </c>
      <c r="G10489" t="str">
        <f>""</f>
        <v/>
      </c>
    </row>
    <row r="10490" spans="1:7" x14ac:dyDescent="0.25">
      <c r="A10490" t="s">
        <v>8</v>
      </c>
      <c r="B10490" s="1" t="str">
        <f>"000238096 - RICH BREAD &amp; ROLL CORE BB-SODX"</f>
        <v>000238096 - RICH BREAD &amp; ROLL CORE BB-SODX</v>
      </c>
      <c r="C10490" t="s">
        <v>273</v>
      </c>
      <c r="D10490" s="1" t="str">
        <f t="shared" si="292"/>
        <v>PRG-1035911</v>
      </c>
      <c r="E10490" t="s">
        <v>136</v>
      </c>
      <c r="F10490" t="s">
        <v>4</v>
      </c>
      <c r="G10490" t="str">
        <f>""</f>
        <v/>
      </c>
    </row>
    <row r="10491" spans="1:7" x14ac:dyDescent="0.25">
      <c r="A10491" t="s">
        <v>8</v>
      </c>
      <c r="B10491" s="1" t="str">
        <f>"000238097 - RICH BRED &amp; ROLL NCORE BB-SODX"</f>
        <v>000238097 - RICH BRED &amp; ROLL NCORE BB-SODX</v>
      </c>
      <c r="C10491" t="s">
        <v>274</v>
      </c>
      <c r="D10491" s="1" t="str">
        <f t="shared" si="292"/>
        <v>PRG-1035911</v>
      </c>
      <c r="E10491" t="s">
        <v>136</v>
      </c>
      <c r="F10491" t="s">
        <v>4</v>
      </c>
      <c r="G10491" t="str">
        <f>""</f>
        <v/>
      </c>
    </row>
    <row r="10492" spans="1:7" x14ac:dyDescent="0.25">
      <c r="A10492" t="s">
        <v>8</v>
      </c>
      <c r="B10492" s="1" t="str">
        <f>"000238132 - RICHS BREAD &amp; ROLLS-SODEXO"</f>
        <v>000238132 - RICHS BREAD &amp; ROLLS-SODEXO</v>
      </c>
      <c r="C10492" t="s">
        <v>135</v>
      </c>
      <c r="D10492" s="1" t="str">
        <f t="shared" si="292"/>
        <v>PRG-1035911</v>
      </c>
      <c r="E10492" t="s">
        <v>136</v>
      </c>
      <c r="F10492" t="s">
        <v>4</v>
      </c>
      <c r="G10492" t="str">
        <f>""</f>
        <v/>
      </c>
    </row>
    <row r="10493" spans="1:7" x14ac:dyDescent="0.25">
      <c r="A10493" t="s">
        <v>8</v>
      </c>
      <c r="B10493" s="1" t="str">
        <f>"000239025 - RICHS BREAD &amp; ROLLS-SODEXO"</f>
        <v>000239025 - RICHS BREAD &amp; ROLLS-SODEXO</v>
      </c>
      <c r="C10493" t="s">
        <v>135</v>
      </c>
      <c r="D10493" s="1" t="str">
        <f t="shared" si="292"/>
        <v>PRG-1035911</v>
      </c>
      <c r="E10493" t="s">
        <v>136</v>
      </c>
      <c r="F10493" t="s">
        <v>4</v>
      </c>
      <c r="G10493" t="str">
        <f>""</f>
        <v/>
      </c>
    </row>
    <row r="10494" spans="1:7" x14ac:dyDescent="0.25">
      <c r="A10494" t="s">
        <v>8</v>
      </c>
      <c r="B10494" s="1" t="str">
        <f>"000239352 - RICHS BREAD &amp; ROLLS-SODEXO"</f>
        <v>000239352 - RICHS BREAD &amp; ROLLS-SODEXO</v>
      </c>
      <c r="C10494" t="s">
        <v>135</v>
      </c>
      <c r="D10494" s="1" t="str">
        <f t="shared" si="292"/>
        <v>PRG-1035911</v>
      </c>
      <c r="E10494" t="s">
        <v>136</v>
      </c>
      <c r="F10494" t="s">
        <v>4</v>
      </c>
      <c r="G10494" t="str">
        <f>""</f>
        <v/>
      </c>
    </row>
    <row r="10495" spans="1:7" x14ac:dyDescent="0.25">
      <c r="A10495" t="s">
        <v>8</v>
      </c>
      <c r="B10495" s="1" t="str">
        <f>"000243511 - RICHS BREAD &amp; ROLLS-SODEXO"</f>
        <v>000243511 - RICHS BREAD &amp; ROLLS-SODEXO</v>
      </c>
      <c r="C10495" t="s">
        <v>135</v>
      </c>
      <c r="D10495" s="1" t="str">
        <f t="shared" si="292"/>
        <v>PRG-1035911</v>
      </c>
      <c r="E10495" t="s">
        <v>136</v>
      </c>
      <c r="F10495" t="s">
        <v>4</v>
      </c>
      <c r="G10495" t="str">
        <f>""</f>
        <v/>
      </c>
    </row>
    <row r="10496" spans="1:7" x14ac:dyDescent="0.25">
      <c r="A10496" t="s">
        <v>8</v>
      </c>
      <c r="B10496" s="1" t="str">
        <f>"000244791 - RICHS BREAD &amp; ROLLS-SODEXO"</f>
        <v>000244791 - RICHS BREAD &amp; ROLLS-SODEXO</v>
      </c>
      <c r="C10496" t="s">
        <v>135</v>
      </c>
      <c r="D10496" s="1" t="str">
        <f t="shared" si="292"/>
        <v>PRG-1035911</v>
      </c>
      <c r="E10496" t="s">
        <v>136</v>
      </c>
      <c r="F10496" t="s">
        <v>4</v>
      </c>
      <c r="G10496" t="str">
        <f>""</f>
        <v/>
      </c>
    </row>
    <row r="10497" spans="1:7" x14ac:dyDescent="0.25">
      <c r="A10497" t="s">
        <v>8</v>
      </c>
      <c r="B10497" s="1" t="str">
        <f>"000244897 - RICH BREAD &amp; ROLLS-SODEXO"</f>
        <v>000244897 - RICH BREAD &amp; ROLLS-SODEXO</v>
      </c>
      <c r="C10497" t="s">
        <v>141</v>
      </c>
      <c r="D10497" s="1" t="str">
        <f t="shared" si="292"/>
        <v>PRG-1035911</v>
      </c>
      <c r="E10497" t="s">
        <v>136</v>
      </c>
      <c r="F10497" t="s">
        <v>4</v>
      </c>
      <c r="G10497" t="str">
        <f>""</f>
        <v/>
      </c>
    </row>
    <row r="10498" spans="1:7" x14ac:dyDescent="0.25">
      <c r="A10498" t="s">
        <v>8</v>
      </c>
      <c r="B10498" s="1" t="str">
        <f>"000245654 - RICHS BREAD &amp; ROLLS-SODEXO"</f>
        <v>000245654 - RICHS BREAD &amp; ROLLS-SODEXO</v>
      </c>
      <c r="C10498" t="s">
        <v>135</v>
      </c>
      <c r="D10498" s="1" t="str">
        <f t="shared" si="292"/>
        <v>PRG-1035911</v>
      </c>
      <c r="E10498" t="s">
        <v>136</v>
      </c>
      <c r="F10498" t="s">
        <v>4</v>
      </c>
      <c r="G10498" t="str">
        <f>""</f>
        <v/>
      </c>
    </row>
    <row r="10499" spans="1:7" x14ac:dyDescent="0.25">
      <c r="A10499" t="s">
        <v>8</v>
      </c>
      <c r="B10499" s="1" t="str">
        <f>"000245927 - RICHS BREAD &amp; ROLLS-SODEXO"</f>
        <v>000245927 - RICHS BREAD &amp; ROLLS-SODEXO</v>
      </c>
      <c r="C10499" t="s">
        <v>135</v>
      </c>
      <c r="D10499" s="1" t="str">
        <f t="shared" si="292"/>
        <v>PRG-1035911</v>
      </c>
      <c r="E10499" t="s">
        <v>136</v>
      </c>
      <c r="F10499" t="s">
        <v>4</v>
      </c>
      <c r="G10499" t="str">
        <f>""</f>
        <v/>
      </c>
    </row>
    <row r="10500" spans="1:7" x14ac:dyDescent="0.25">
      <c r="A10500" t="s">
        <v>8</v>
      </c>
      <c r="B10500" s="1" t="str">
        <f>"000246430 - RICH BREAD &amp; ROLL CORE BB-SODX"</f>
        <v>000246430 - RICH BREAD &amp; ROLL CORE BB-SODX</v>
      </c>
      <c r="C10500" t="s">
        <v>273</v>
      </c>
      <c r="D10500" s="1" t="str">
        <f t="shared" si="292"/>
        <v>PRG-1035911</v>
      </c>
      <c r="E10500" t="s">
        <v>136</v>
      </c>
      <c r="F10500" t="s">
        <v>4</v>
      </c>
      <c r="G10500" t="str">
        <f>""</f>
        <v/>
      </c>
    </row>
    <row r="10501" spans="1:7" x14ac:dyDescent="0.25">
      <c r="A10501" t="s">
        <v>8</v>
      </c>
      <c r="B10501" s="1" t="str">
        <f>"000246431 - RICH BRED &amp; ROLL NCORE BB-SODX"</f>
        <v>000246431 - RICH BRED &amp; ROLL NCORE BB-SODX</v>
      </c>
      <c r="C10501" t="s">
        <v>274</v>
      </c>
      <c r="D10501" s="1" t="str">
        <f t="shared" si="292"/>
        <v>PRG-1035911</v>
      </c>
      <c r="E10501" t="s">
        <v>136</v>
      </c>
      <c r="F10501" t="s">
        <v>4</v>
      </c>
      <c r="G10501" t="str">
        <f>""</f>
        <v/>
      </c>
    </row>
    <row r="10502" spans="1:7" x14ac:dyDescent="0.25">
      <c r="A10502" t="s">
        <v>8</v>
      </c>
      <c r="B10502" s="1" t="str">
        <f>"000246447 - BB SODEXO FOB BREAD&amp;ROLLS RICH"</f>
        <v>000246447 - BB SODEXO FOB BREAD&amp;ROLLS RICH</v>
      </c>
      <c r="C10502" t="s">
        <v>1243</v>
      </c>
      <c r="D10502" s="1" t="str">
        <f t="shared" si="292"/>
        <v>PRG-1035911</v>
      </c>
      <c r="E10502" t="s">
        <v>136</v>
      </c>
      <c r="F10502" t="s">
        <v>4</v>
      </c>
      <c r="G10502" t="str">
        <f>""</f>
        <v/>
      </c>
    </row>
    <row r="10503" spans="1:7" x14ac:dyDescent="0.25">
      <c r="A10503" t="s">
        <v>8</v>
      </c>
      <c r="B10503" s="1" t="str">
        <f>"000248179 - RICHS BREAD &amp; ROLLS-SODEXO"</f>
        <v>000248179 - RICHS BREAD &amp; ROLLS-SODEXO</v>
      </c>
      <c r="C10503" t="s">
        <v>135</v>
      </c>
      <c r="D10503" s="1" t="str">
        <f t="shared" si="292"/>
        <v>PRG-1035911</v>
      </c>
      <c r="E10503" t="s">
        <v>136</v>
      </c>
      <c r="F10503" t="s">
        <v>4</v>
      </c>
      <c r="G10503" t="str">
        <f>""</f>
        <v/>
      </c>
    </row>
    <row r="10504" spans="1:7" x14ac:dyDescent="0.25">
      <c r="A10504" t="s">
        <v>8</v>
      </c>
      <c r="B10504" s="1" t="str">
        <f>"000248190 - RICH BREAD &amp; ROLL CORE BB-SODX"</f>
        <v>000248190 - RICH BREAD &amp; ROLL CORE BB-SODX</v>
      </c>
      <c r="C10504" t="s">
        <v>273</v>
      </c>
      <c r="D10504" s="1" t="str">
        <f t="shared" si="292"/>
        <v>PRG-1035911</v>
      </c>
      <c r="E10504" t="s">
        <v>136</v>
      </c>
      <c r="F10504" t="s">
        <v>4</v>
      </c>
      <c r="G10504" t="str">
        <f>""</f>
        <v/>
      </c>
    </row>
    <row r="10505" spans="1:7" x14ac:dyDescent="0.25">
      <c r="A10505" t="s">
        <v>8</v>
      </c>
      <c r="B10505" s="1" t="str">
        <f>"000248191 - RICH BRED &amp; ROLL NCORE BB-SODX"</f>
        <v>000248191 - RICH BRED &amp; ROLL NCORE BB-SODX</v>
      </c>
      <c r="C10505" t="s">
        <v>274</v>
      </c>
      <c r="D10505" s="1" t="str">
        <f t="shared" si="292"/>
        <v>PRG-1035911</v>
      </c>
      <c r="E10505" t="s">
        <v>136</v>
      </c>
      <c r="F10505" t="s">
        <v>4</v>
      </c>
      <c r="G10505" t="str">
        <f>""</f>
        <v/>
      </c>
    </row>
    <row r="10506" spans="1:7" x14ac:dyDescent="0.25">
      <c r="A10506" t="s">
        <v>8</v>
      </c>
      <c r="B10506" s="1" t="str">
        <f>"000248311 - BB SODEXO FOB RICH BREADS&amp;ROLL"</f>
        <v>000248311 - BB SODEXO FOB RICH BREADS&amp;ROLL</v>
      </c>
      <c r="C10506" t="s">
        <v>2044</v>
      </c>
      <c r="D10506" s="1" t="str">
        <f t="shared" si="292"/>
        <v>PRG-1035911</v>
      </c>
      <c r="E10506" t="s">
        <v>136</v>
      </c>
      <c r="F10506" t="s">
        <v>4</v>
      </c>
      <c r="G10506" t="str">
        <f>""</f>
        <v/>
      </c>
    </row>
    <row r="10507" spans="1:7" x14ac:dyDescent="0.25">
      <c r="A10507" t="s">
        <v>8</v>
      </c>
      <c r="B10507" s="1" t="str">
        <f>"000249272 - RICHS PIZZA DOGH&amp;ICING CC-SODX"</f>
        <v>000249272 - RICHS PIZZA DOGH&amp;ICING CC-SODX</v>
      </c>
      <c r="C10507" t="s">
        <v>601</v>
      </c>
      <c r="D10507" s="1" t="str">
        <f t="shared" si="292"/>
        <v>PRG-1035911</v>
      </c>
      <c r="E10507" t="s">
        <v>136</v>
      </c>
      <c r="F10507" t="s">
        <v>4</v>
      </c>
      <c r="G10507" t="str">
        <f>""</f>
        <v/>
      </c>
    </row>
    <row r="10508" spans="1:7" x14ac:dyDescent="0.25">
      <c r="A10508" t="s">
        <v>8</v>
      </c>
      <c r="B10508" s="1" t="str">
        <f>"000251762 - RICH BREAD &amp; ROLL CORE BB-SODX"</f>
        <v>000251762 - RICH BREAD &amp; ROLL CORE BB-SODX</v>
      </c>
      <c r="C10508" t="s">
        <v>273</v>
      </c>
      <c r="D10508" s="1" t="str">
        <f t="shared" si="292"/>
        <v>PRG-1035911</v>
      </c>
      <c r="E10508" t="s">
        <v>136</v>
      </c>
      <c r="F10508" t="s">
        <v>4</v>
      </c>
      <c r="G10508" t="str">
        <f>""</f>
        <v/>
      </c>
    </row>
    <row r="10509" spans="1:7" x14ac:dyDescent="0.25">
      <c r="A10509" t="s">
        <v>8</v>
      </c>
      <c r="B10509" s="1" t="str">
        <f>"000251763 - RICH BRED &amp; ROLL NCORE BB-SODX"</f>
        <v>000251763 - RICH BRED &amp; ROLL NCORE BB-SODX</v>
      </c>
      <c r="C10509" t="s">
        <v>274</v>
      </c>
      <c r="D10509" s="1" t="str">
        <f t="shared" si="292"/>
        <v>PRG-1035911</v>
      </c>
      <c r="E10509" t="s">
        <v>136</v>
      </c>
      <c r="F10509" t="s">
        <v>4</v>
      </c>
      <c r="G10509" t="str">
        <f>""</f>
        <v/>
      </c>
    </row>
    <row r="10510" spans="1:7" x14ac:dyDescent="0.25">
      <c r="A10510" t="s">
        <v>8</v>
      </c>
      <c r="B10510" s="1" t="str">
        <f>"000252245 - RICH BREAD &amp; ROLL CORE BB-SODX"</f>
        <v>000252245 - RICH BREAD &amp; ROLL CORE BB-SODX</v>
      </c>
      <c r="C10510" t="s">
        <v>273</v>
      </c>
      <c r="D10510" s="1" t="str">
        <f t="shared" si="292"/>
        <v>PRG-1035911</v>
      </c>
      <c r="E10510" t="s">
        <v>136</v>
      </c>
      <c r="F10510" t="s">
        <v>4</v>
      </c>
      <c r="G10510" t="str">
        <f>""</f>
        <v/>
      </c>
    </row>
    <row r="10511" spans="1:7" x14ac:dyDescent="0.25">
      <c r="A10511" t="s">
        <v>8</v>
      </c>
      <c r="B10511" s="1" t="str">
        <f>"000252246 - RICH BRED &amp; ROLL NCORE BB-SODX"</f>
        <v>000252246 - RICH BRED &amp; ROLL NCORE BB-SODX</v>
      </c>
      <c r="C10511" t="s">
        <v>274</v>
      </c>
      <c r="D10511" s="1" t="str">
        <f t="shared" si="292"/>
        <v>PRG-1035911</v>
      </c>
      <c r="E10511" t="s">
        <v>136</v>
      </c>
      <c r="F10511" t="s">
        <v>4</v>
      </c>
      <c r="G10511" t="str">
        <f>""</f>
        <v/>
      </c>
    </row>
    <row r="10512" spans="1:7" x14ac:dyDescent="0.25">
      <c r="A10512" t="s">
        <v>8</v>
      </c>
      <c r="B10512" s="1" t="str">
        <f>"000252731 - RICH BREAD &amp; ROLL CORE BB-SODX"</f>
        <v>000252731 - RICH BREAD &amp; ROLL CORE BB-SODX</v>
      </c>
      <c r="C10512" t="s">
        <v>273</v>
      </c>
      <c r="D10512" s="1" t="str">
        <f t="shared" si="292"/>
        <v>PRG-1035911</v>
      </c>
      <c r="E10512" t="s">
        <v>136</v>
      </c>
      <c r="F10512" t="s">
        <v>4</v>
      </c>
      <c r="G10512" t="str">
        <f>""</f>
        <v/>
      </c>
    </row>
    <row r="10513" spans="1:7" x14ac:dyDescent="0.25">
      <c r="A10513" t="s">
        <v>8</v>
      </c>
      <c r="B10513" s="1" t="str">
        <f>"000252732 - RICH BRED &amp; ROLL NCORE BB-SODX"</f>
        <v>000252732 - RICH BRED &amp; ROLL NCORE BB-SODX</v>
      </c>
      <c r="C10513" t="s">
        <v>274</v>
      </c>
      <c r="D10513" s="1" t="str">
        <f t="shared" si="292"/>
        <v>PRG-1035911</v>
      </c>
      <c r="E10513" t="s">
        <v>136</v>
      </c>
      <c r="F10513" t="s">
        <v>4</v>
      </c>
      <c r="G10513" t="str">
        <f>""</f>
        <v/>
      </c>
    </row>
    <row r="10514" spans="1:7" x14ac:dyDescent="0.25">
      <c r="A10514" t="s">
        <v>8</v>
      </c>
      <c r="B10514" s="1" t="str">
        <f>"000253079 - RICHS BREAD &amp; ROLLS-SODEXO"</f>
        <v>000253079 - RICHS BREAD &amp; ROLLS-SODEXO</v>
      </c>
      <c r="C10514" t="s">
        <v>135</v>
      </c>
      <c r="D10514" s="1" t="str">
        <f t="shared" si="292"/>
        <v>PRG-1035911</v>
      </c>
      <c r="E10514" t="s">
        <v>136</v>
      </c>
      <c r="F10514" t="s">
        <v>4</v>
      </c>
      <c r="G10514" t="str">
        <f>""</f>
        <v/>
      </c>
    </row>
    <row r="10515" spans="1:7" x14ac:dyDescent="0.25">
      <c r="A10515" t="s">
        <v>8</v>
      </c>
      <c r="B10515" s="1" t="str">
        <f>"000253886 - RICHS BREAD &amp; ROLLS-SODEXO"</f>
        <v>000253886 - RICHS BREAD &amp; ROLLS-SODEXO</v>
      </c>
      <c r="C10515" t="s">
        <v>135</v>
      </c>
      <c r="D10515" s="1" t="str">
        <f t="shared" si="292"/>
        <v>PRG-1035911</v>
      </c>
      <c r="E10515" t="s">
        <v>136</v>
      </c>
      <c r="F10515" t="s">
        <v>4</v>
      </c>
      <c r="G10515" t="str">
        <f>""</f>
        <v/>
      </c>
    </row>
    <row r="10516" spans="1:7" x14ac:dyDescent="0.25">
      <c r="A10516" t="s">
        <v>8</v>
      </c>
      <c r="B10516" s="1" t="str">
        <f>"000253891 - RICHS BREAD &amp; ROLLS-SODEXO"</f>
        <v>000253891 - RICHS BREAD &amp; ROLLS-SODEXO</v>
      </c>
      <c r="C10516" t="s">
        <v>135</v>
      </c>
      <c r="D10516" s="1" t="str">
        <f t="shared" si="292"/>
        <v>PRG-1035911</v>
      </c>
      <c r="E10516" t="s">
        <v>136</v>
      </c>
      <c r="F10516" t="s">
        <v>4</v>
      </c>
      <c r="G10516" t="str">
        <f>""</f>
        <v/>
      </c>
    </row>
    <row r="10517" spans="1:7" x14ac:dyDescent="0.25">
      <c r="A10517" t="s">
        <v>8</v>
      </c>
      <c r="B10517" s="1" t="str">
        <f>"000254221 - RICHS BREAD &amp; ROLLS-SODEXO"</f>
        <v>000254221 - RICHS BREAD &amp; ROLLS-SODEXO</v>
      </c>
      <c r="C10517" t="s">
        <v>135</v>
      </c>
      <c r="D10517" s="1" t="str">
        <f t="shared" si="292"/>
        <v>PRG-1035911</v>
      </c>
      <c r="E10517" t="s">
        <v>136</v>
      </c>
      <c r="F10517" t="s">
        <v>4</v>
      </c>
      <c r="G10517" t="str">
        <f>""</f>
        <v/>
      </c>
    </row>
    <row r="10518" spans="1:7" x14ac:dyDescent="0.25">
      <c r="A10518" t="s">
        <v>8</v>
      </c>
      <c r="B10518" s="1" t="str">
        <f>"000254526 - RICH BREAD &amp; ROLL CORE BB-SODX"</f>
        <v>000254526 - RICH BREAD &amp; ROLL CORE BB-SODX</v>
      </c>
      <c r="C10518" t="s">
        <v>273</v>
      </c>
      <c r="D10518" s="1" t="str">
        <f t="shared" si="292"/>
        <v>PRG-1035911</v>
      </c>
      <c r="E10518" t="s">
        <v>136</v>
      </c>
      <c r="F10518" t="s">
        <v>4</v>
      </c>
      <c r="G10518" t="str">
        <f>""</f>
        <v/>
      </c>
    </row>
    <row r="10519" spans="1:7" x14ac:dyDescent="0.25">
      <c r="A10519" t="s">
        <v>8</v>
      </c>
      <c r="B10519" s="1" t="str">
        <f>"000254636 - BB SODEXO FOB RICH BREAD ROLLS"</f>
        <v>000254636 - BB SODEXO FOB RICH BREAD ROLLS</v>
      </c>
      <c r="C10519" t="s">
        <v>1310</v>
      </c>
      <c r="D10519" s="1" t="str">
        <f t="shared" ref="D10519:D10582" si="293">"PRG-1035911"</f>
        <v>PRG-1035911</v>
      </c>
      <c r="E10519" t="s">
        <v>136</v>
      </c>
      <c r="F10519" t="s">
        <v>4</v>
      </c>
      <c r="G10519" t="str">
        <f>""</f>
        <v/>
      </c>
    </row>
    <row r="10520" spans="1:7" x14ac:dyDescent="0.25">
      <c r="A10520" t="s">
        <v>8</v>
      </c>
      <c r="B10520" s="1" t="str">
        <f>"000255616 - "</f>
        <v xml:space="preserve">000255616 - </v>
      </c>
      <c r="D10520" s="1" t="str">
        <f t="shared" si="293"/>
        <v>PRG-1035911</v>
      </c>
      <c r="E10520" t="s">
        <v>136</v>
      </c>
      <c r="F10520" t="s">
        <v>4</v>
      </c>
      <c r="G10520" t="str">
        <f>""</f>
        <v/>
      </c>
    </row>
    <row r="10521" spans="1:7" x14ac:dyDescent="0.25">
      <c r="A10521" t="s">
        <v>8</v>
      </c>
      <c r="B10521" s="1" t="str">
        <f>"000255617 - "</f>
        <v xml:space="preserve">000255617 - </v>
      </c>
      <c r="D10521" s="1" t="str">
        <f t="shared" si="293"/>
        <v>PRG-1035911</v>
      </c>
      <c r="E10521" t="s">
        <v>136</v>
      </c>
      <c r="F10521" t="s">
        <v>4</v>
      </c>
      <c r="G10521" t="str">
        <f>""</f>
        <v/>
      </c>
    </row>
    <row r="10522" spans="1:7" x14ac:dyDescent="0.25">
      <c r="A10522" t="s">
        <v>8</v>
      </c>
      <c r="B10522" s="1" t="str">
        <f>"000256140 - RICHS BREAD &amp; ROLLS-SODEXO"</f>
        <v>000256140 - RICHS BREAD &amp; ROLLS-SODEXO</v>
      </c>
      <c r="C10522" t="s">
        <v>135</v>
      </c>
      <c r="D10522" s="1" t="str">
        <f t="shared" si="293"/>
        <v>PRG-1035911</v>
      </c>
      <c r="E10522" t="s">
        <v>136</v>
      </c>
      <c r="F10522" t="s">
        <v>4</v>
      </c>
      <c r="G10522" t="str">
        <f>""</f>
        <v/>
      </c>
    </row>
    <row r="10523" spans="1:7" x14ac:dyDescent="0.25">
      <c r="A10523" t="s">
        <v>8</v>
      </c>
      <c r="B10523" s="1" t="str">
        <f>"000256379 - RICH BREAD &amp; ROLLS-SODEXO"</f>
        <v>000256379 - RICH BREAD &amp; ROLLS-SODEXO</v>
      </c>
      <c r="C10523" t="s">
        <v>141</v>
      </c>
      <c r="D10523" s="1" t="str">
        <f t="shared" si="293"/>
        <v>PRG-1035911</v>
      </c>
      <c r="E10523" t="s">
        <v>136</v>
      </c>
      <c r="F10523" t="s">
        <v>4</v>
      </c>
      <c r="G10523" t="str">
        <f>""</f>
        <v/>
      </c>
    </row>
    <row r="10524" spans="1:7" x14ac:dyDescent="0.25">
      <c r="A10524" t="s">
        <v>8</v>
      </c>
      <c r="B10524" s="1" t="str">
        <f>"000256558 - RICH BREAD &amp; ROLL CORE BB-SODX"</f>
        <v>000256558 - RICH BREAD &amp; ROLL CORE BB-SODX</v>
      </c>
      <c r="C10524" t="s">
        <v>273</v>
      </c>
      <c r="D10524" s="1" t="str">
        <f t="shared" si="293"/>
        <v>PRG-1035911</v>
      </c>
      <c r="E10524" t="s">
        <v>136</v>
      </c>
      <c r="F10524" t="s">
        <v>4</v>
      </c>
      <c r="G10524" t="str">
        <f>""</f>
        <v/>
      </c>
    </row>
    <row r="10525" spans="1:7" x14ac:dyDescent="0.25">
      <c r="A10525" t="s">
        <v>8</v>
      </c>
      <c r="B10525" s="1" t="str">
        <f>"000256559 - RICH BRED &amp; ROLL NCORE BB-SODX"</f>
        <v>000256559 - RICH BRED &amp; ROLL NCORE BB-SODX</v>
      </c>
      <c r="C10525" t="s">
        <v>274</v>
      </c>
      <c r="D10525" s="1" t="str">
        <f t="shared" si="293"/>
        <v>PRG-1035911</v>
      </c>
      <c r="E10525" t="s">
        <v>136</v>
      </c>
      <c r="F10525" t="s">
        <v>4</v>
      </c>
      <c r="G10525" t="str">
        <f>""</f>
        <v/>
      </c>
    </row>
    <row r="10526" spans="1:7" x14ac:dyDescent="0.25">
      <c r="A10526" t="s">
        <v>8</v>
      </c>
      <c r="B10526" s="1" t="str">
        <f>"000257082 - "</f>
        <v xml:space="preserve">000257082 - </v>
      </c>
      <c r="D10526" s="1" t="str">
        <f t="shared" si="293"/>
        <v>PRG-1035911</v>
      </c>
      <c r="E10526" t="s">
        <v>136</v>
      </c>
      <c r="F10526" t="s">
        <v>4</v>
      </c>
      <c r="G10526" t="str">
        <f>""</f>
        <v/>
      </c>
    </row>
    <row r="10527" spans="1:7" x14ac:dyDescent="0.25">
      <c r="A10527" t="s">
        <v>8</v>
      </c>
      <c r="B10527" s="1" t="str">
        <f>"000258059 - BB SODEXO FOB BREAD&amp;ROLLS RICH"</f>
        <v>000258059 - BB SODEXO FOB BREAD&amp;ROLLS RICH</v>
      </c>
      <c r="C10527" t="s">
        <v>1243</v>
      </c>
      <c r="D10527" s="1" t="str">
        <f t="shared" si="293"/>
        <v>PRG-1035911</v>
      </c>
      <c r="E10527" t="s">
        <v>136</v>
      </c>
      <c r="F10527" t="s">
        <v>4</v>
      </c>
      <c r="G10527" t="str">
        <f>""</f>
        <v/>
      </c>
    </row>
    <row r="10528" spans="1:7" x14ac:dyDescent="0.25">
      <c r="A10528" t="s">
        <v>8</v>
      </c>
      <c r="B10528" s="1" t="str">
        <f>"000258193 - RICHS BREAD &amp; ROLLS-SODEXO"</f>
        <v>000258193 - RICHS BREAD &amp; ROLLS-SODEXO</v>
      </c>
      <c r="C10528" t="s">
        <v>135</v>
      </c>
      <c r="D10528" s="1" t="str">
        <f t="shared" si="293"/>
        <v>PRG-1035911</v>
      </c>
      <c r="E10528" t="s">
        <v>136</v>
      </c>
      <c r="F10528" t="s">
        <v>4</v>
      </c>
      <c r="G10528" t="str">
        <f>""</f>
        <v/>
      </c>
    </row>
    <row r="10529" spans="1:7" x14ac:dyDescent="0.25">
      <c r="A10529" t="s">
        <v>8</v>
      </c>
      <c r="B10529" s="1" t="str">
        <f>"000258260 - RICHS BREAD &amp; ROLLS-SODEXO"</f>
        <v>000258260 - RICHS BREAD &amp; ROLLS-SODEXO</v>
      </c>
      <c r="C10529" t="s">
        <v>135</v>
      </c>
      <c r="D10529" s="1" t="str">
        <f t="shared" si="293"/>
        <v>PRG-1035911</v>
      </c>
      <c r="E10529" t="s">
        <v>136</v>
      </c>
      <c r="F10529" t="s">
        <v>4</v>
      </c>
      <c r="G10529" t="str">
        <f>""</f>
        <v/>
      </c>
    </row>
    <row r="10530" spans="1:7" x14ac:dyDescent="0.25">
      <c r="A10530" t="s">
        <v>8</v>
      </c>
      <c r="B10530" s="1" t="str">
        <f>"000259364 - RICH BREAD &amp; ROLL CORE BB-SODX"</f>
        <v>000259364 - RICH BREAD &amp; ROLL CORE BB-SODX</v>
      </c>
      <c r="C10530" t="s">
        <v>273</v>
      </c>
      <c r="D10530" s="1" t="str">
        <f t="shared" si="293"/>
        <v>PRG-1035911</v>
      </c>
      <c r="E10530" t="s">
        <v>136</v>
      </c>
      <c r="F10530" t="s">
        <v>4</v>
      </c>
      <c r="G10530" t="str">
        <f>""</f>
        <v/>
      </c>
    </row>
    <row r="10531" spans="1:7" x14ac:dyDescent="0.25">
      <c r="A10531" t="s">
        <v>8</v>
      </c>
      <c r="B10531" s="1" t="str">
        <f>"000259365 - RICH BRED &amp; ROLL NCORE BB-SODX"</f>
        <v>000259365 - RICH BRED &amp; ROLL NCORE BB-SODX</v>
      </c>
      <c r="C10531" t="s">
        <v>274</v>
      </c>
      <c r="D10531" s="1" t="str">
        <f t="shared" si="293"/>
        <v>PRG-1035911</v>
      </c>
      <c r="E10531" t="s">
        <v>136</v>
      </c>
      <c r="F10531" t="s">
        <v>4</v>
      </c>
      <c r="G10531" t="str">
        <f>""</f>
        <v/>
      </c>
    </row>
    <row r="10532" spans="1:7" x14ac:dyDescent="0.25">
      <c r="A10532" t="s">
        <v>8</v>
      </c>
      <c r="B10532" s="1" t="str">
        <f>"000260268 - RICHS BREAD &amp; ROLLS-SODEXO"</f>
        <v>000260268 - RICHS BREAD &amp; ROLLS-SODEXO</v>
      </c>
      <c r="C10532" t="s">
        <v>135</v>
      </c>
      <c r="D10532" s="1" t="str">
        <f t="shared" si="293"/>
        <v>PRG-1035911</v>
      </c>
      <c r="E10532" t="s">
        <v>136</v>
      </c>
      <c r="F10532" t="s">
        <v>4</v>
      </c>
      <c r="G10532" t="str">
        <f>""</f>
        <v/>
      </c>
    </row>
    <row r="10533" spans="1:7" x14ac:dyDescent="0.25">
      <c r="A10533" t="s">
        <v>8</v>
      </c>
      <c r="B10533" s="1" t="str">
        <f>"000260778 - RICHS BREAD &amp; ROLLS-SODEXO"</f>
        <v>000260778 - RICHS BREAD &amp; ROLLS-SODEXO</v>
      </c>
      <c r="C10533" t="s">
        <v>135</v>
      </c>
      <c r="D10533" s="1" t="str">
        <f t="shared" si="293"/>
        <v>PRG-1035911</v>
      </c>
      <c r="E10533" t="s">
        <v>136</v>
      </c>
      <c r="F10533" t="s">
        <v>4</v>
      </c>
      <c r="G10533" t="str">
        <f>""</f>
        <v/>
      </c>
    </row>
    <row r="10534" spans="1:7" x14ac:dyDescent="0.25">
      <c r="A10534" t="s">
        <v>8</v>
      </c>
      <c r="B10534" s="1" t="str">
        <f>"000260806 - RICHS BREAD &amp; ROLLS-SODEXO"</f>
        <v>000260806 - RICHS BREAD &amp; ROLLS-SODEXO</v>
      </c>
      <c r="C10534" t="s">
        <v>135</v>
      </c>
      <c r="D10534" s="1" t="str">
        <f t="shared" si="293"/>
        <v>PRG-1035911</v>
      </c>
      <c r="E10534" t="s">
        <v>136</v>
      </c>
      <c r="F10534" t="s">
        <v>4</v>
      </c>
      <c r="G10534" t="str">
        <f>""</f>
        <v/>
      </c>
    </row>
    <row r="10535" spans="1:7" x14ac:dyDescent="0.25">
      <c r="A10535" t="s">
        <v>8</v>
      </c>
      <c r="B10535" s="1" t="str">
        <f>"000261970 - BB SODEXO FOB RICHS BREAD&amp;ROLL"</f>
        <v>000261970 - BB SODEXO FOB RICHS BREAD&amp;ROLL</v>
      </c>
      <c r="C10535" t="s">
        <v>2303</v>
      </c>
      <c r="D10535" s="1" t="str">
        <f t="shared" si="293"/>
        <v>PRG-1035911</v>
      </c>
      <c r="E10535" t="s">
        <v>136</v>
      </c>
      <c r="F10535" t="s">
        <v>4</v>
      </c>
      <c r="G10535" t="str">
        <f>""</f>
        <v/>
      </c>
    </row>
    <row r="10536" spans="1:7" x14ac:dyDescent="0.25">
      <c r="A10536" t="s">
        <v>8</v>
      </c>
      <c r="B10536" s="1" t="str">
        <f>"000262061 - RICHS BREAD &amp; ROLLS-SODEXO"</f>
        <v>000262061 - RICHS BREAD &amp; ROLLS-SODEXO</v>
      </c>
      <c r="C10536" t="s">
        <v>135</v>
      </c>
      <c r="D10536" s="1" t="str">
        <f t="shared" si="293"/>
        <v>PRG-1035911</v>
      </c>
      <c r="E10536" t="s">
        <v>136</v>
      </c>
      <c r="F10536" t="s">
        <v>4</v>
      </c>
      <c r="G10536" t="str">
        <f>""</f>
        <v/>
      </c>
    </row>
    <row r="10537" spans="1:7" x14ac:dyDescent="0.25">
      <c r="A10537" t="s">
        <v>8</v>
      </c>
      <c r="B10537" s="1" t="str">
        <f>"000262325 - "</f>
        <v xml:space="preserve">000262325 - </v>
      </c>
      <c r="D10537" s="1" t="str">
        <f t="shared" si="293"/>
        <v>PRG-1035911</v>
      </c>
      <c r="E10537" t="s">
        <v>136</v>
      </c>
      <c r="F10537" t="s">
        <v>4</v>
      </c>
      <c r="G10537" t="str">
        <f>""</f>
        <v/>
      </c>
    </row>
    <row r="10538" spans="1:7" x14ac:dyDescent="0.25">
      <c r="A10538" t="s">
        <v>8</v>
      </c>
      <c r="B10538" s="1" t="str">
        <f>"000262889 - RICH BREAD &amp; ROLL CORE BB-SODX"</f>
        <v>000262889 - RICH BREAD &amp; ROLL CORE BB-SODX</v>
      </c>
      <c r="C10538" t="s">
        <v>273</v>
      </c>
      <c r="D10538" s="1" t="str">
        <f t="shared" si="293"/>
        <v>PRG-1035911</v>
      </c>
      <c r="E10538" t="s">
        <v>136</v>
      </c>
      <c r="F10538" t="s">
        <v>4</v>
      </c>
      <c r="G10538" t="str">
        <f>""</f>
        <v/>
      </c>
    </row>
    <row r="10539" spans="1:7" x14ac:dyDescent="0.25">
      <c r="A10539" t="s">
        <v>8</v>
      </c>
      <c r="B10539" s="1" t="str">
        <f>"000262890 - RICH BRED &amp; ROLL NCORE BB-SODX"</f>
        <v>000262890 - RICH BRED &amp; ROLL NCORE BB-SODX</v>
      </c>
      <c r="C10539" t="s">
        <v>274</v>
      </c>
      <c r="D10539" s="1" t="str">
        <f t="shared" si="293"/>
        <v>PRG-1035911</v>
      </c>
      <c r="E10539" t="s">
        <v>136</v>
      </c>
      <c r="F10539" t="s">
        <v>4</v>
      </c>
      <c r="G10539" t="str">
        <f>""</f>
        <v/>
      </c>
    </row>
    <row r="10540" spans="1:7" x14ac:dyDescent="0.25">
      <c r="A10540" t="s">
        <v>8</v>
      </c>
      <c r="B10540" s="1" t="str">
        <f>"000263877 - RICHS BREAD &amp; ROLLS-SODEXO"</f>
        <v>000263877 - RICHS BREAD &amp; ROLLS-SODEXO</v>
      </c>
      <c r="C10540" t="s">
        <v>135</v>
      </c>
      <c r="D10540" s="1" t="str">
        <f t="shared" si="293"/>
        <v>PRG-1035911</v>
      </c>
      <c r="E10540" t="s">
        <v>136</v>
      </c>
      <c r="F10540" t="s">
        <v>4</v>
      </c>
      <c r="G10540" t="str">
        <f>""</f>
        <v/>
      </c>
    </row>
    <row r="10541" spans="1:7" x14ac:dyDescent="0.25">
      <c r="A10541" t="s">
        <v>8</v>
      </c>
      <c r="B10541" s="1" t="str">
        <f>"000264264 - RICHS BREAD &amp; ROLLS-SODEXO"</f>
        <v>000264264 - RICHS BREAD &amp; ROLLS-SODEXO</v>
      </c>
      <c r="C10541" t="s">
        <v>135</v>
      </c>
      <c r="D10541" s="1" t="str">
        <f t="shared" si="293"/>
        <v>PRG-1035911</v>
      </c>
      <c r="E10541" t="s">
        <v>136</v>
      </c>
      <c r="F10541" t="s">
        <v>4</v>
      </c>
      <c r="G10541" t="str">
        <f>""</f>
        <v/>
      </c>
    </row>
    <row r="10542" spans="1:7" x14ac:dyDescent="0.25">
      <c r="A10542" t="s">
        <v>8</v>
      </c>
      <c r="B10542" s="1" t="str">
        <f>"000264927 - RICHS BREAD &amp; ROLLS-SODEXO"</f>
        <v>000264927 - RICHS BREAD &amp; ROLLS-SODEXO</v>
      </c>
      <c r="C10542" t="s">
        <v>135</v>
      </c>
      <c r="D10542" s="1" t="str">
        <f t="shared" si="293"/>
        <v>PRG-1035911</v>
      </c>
      <c r="E10542" t="s">
        <v>136</v>
      </c>
      <c r="F10542" t="s">
        <v>4</v>
      </c>
      <c r="G10542" t="str">
        <f>""</f>
        <v/>
      </c>
    </row>
    <row r="10543" spans="1:7" x14ac:dyDescent="0.25">
      <c r="A10543" t="s">
        <v>8</v>
      </c>
      <c r="B10543" s="1" t="str">
        <f>"000265187 - RICHS BREAD &amp; ROLLS-SODEXO"</f>
        <v>000265187 - RICHS BREAD &amp; ROLLS-SODEXO</v>
      </c>
      <c r="C10543" t="s">
        <v>135</v>
      </c>
      <c r="D10543" s="1" t="str">
        <f t="shared" si="293"/>
        <v>PRG-1035911</v>
      </c>
      <c r="E10543" t="s">
        <v>136</v>
      </c>
      <c r="F10543" t="s">
        <v>4</v>
      </c>
      <c r="G10543" t="str">
        <f>""</f>
        <v/>
      </c>
    </row>
    <row r="10544" spans="1:7" x14ac:dyDescent="0.25">
      <c r="A10544" t="s">
        <v>8</v>
      </c>
      <c r="B10544" s="1" t="str">
        <f>"000265981 - RICH READ &amp; ROLLS-SODEXO"</f>
        <v>000265981 - RICH READ &amp; ROLLS-SODEXO</v>
      </c>
      <c r="C10544" t="s">
        <v>441</v>
      </c>
      <c r="D10544" s="1" t="str">
        <f t="shared" si="293"/>
        <v>PRG-1035911</v>
      </c>
      <c r="E10544" t="s">
        <v>136</v>
      </c>
      <c r="F10544" t="s">
        <v>4</v>
      </c>
      <c r="G10544" t="str">
        <f>""</f>
        <v/>
      </c>
    </row>
    <row r="10545" spans="1:7" x14ac:dyDescent="0.25">
      <c r="A10545" t="s">
        <v>8</v>
      </c>
      <c r="B10545" s="1" t="str">
        <f>"000266660 - RICHS BREAD &amp; ROLLS-SODEXO"</f>
        <v>000266660 - RICHS BREAD &amp; ROLLS-SODEXO</v>
      </c>
      <c r="C10545" t="s">
        <v>135</v>
      </c>
      <c r="D10545" s="1" t="str">
        <f t="shared" si="293"/>
        <v>PRG-1035911</v>
      </c>
      <c r="E10545" t="s">
        <v>136</v>
      </c>
      <c r="F10545" t="s">
        <v>4</v>
      </c>
      <c r="G10545" t="str">
        <f>""</f>
        <v/>
      </c>
    </row>
    <row r="10546" spans="1:7" x14ac:dyDescent="0.25">
      <c r="A10546" t="s">
        <v>8</v>
      </c>
      <c r="B10546" s="1" t="str">
        <f>"000268262 - RICHS BREAD &amp; ROLLS-SODEXO"</f>
        <v>000268262 - RICHS BREAD &amp; ROLLS-SODEXO</v>
      </c>
      <c r="C10546" t="s">
        <v>135</v>
      </c>
      <c r="D10546" s="1" t="str">
        <f t="shared" si="293"/>
        <v>PRG-1035911</v>
      </c>
      <c r="E10546" t="s">
        <v>136</v>
      </c>
      <c r="F10546" t="s">
        <v>4</v>
      </c>
      <c r="G10546" t="str">
        <f>""</f>
        <v/>
      </c>
    </row>
    <row r="10547" spans="1:7" x14ac:dyDescent="0.25">
      <c r="A10547" t="s">
        <v>8</v>
      </c>
      <c r="B10547" s="1" t="str">
        <f>"000269443 - RICHS BREAD &amp; ROLLS-SODEXO"</f>
        <v>000269443 - RICHS BREAD &amp; ROLLS-SODEXO</v>
      </c>
      <c r="C10547" t="s">
        <v>135</v>
      </c>
      <c r="D10547" s="1" t="str">
        <f t="shared" si="293"/>
        <v>PRG-1035911</v>
      </c>
      <c r="E10547" t="s">
        <v>136</v>
      </c>
      <c r="F10547" t="s">
        <v>4</v>
      </c>
      <c r="G10547" t="str">
        <f>""</f>
        <v/>
      </c>
    </row>
    <row r="10548" spans="1:7" x14ac:dyDescent="0.25">
      <c r="A10548" t="s">
        <v>8</v>
      </c>
      <c r="B10548" s="1" t="str">
        <f>"000271048 - "</f>
        <v xml:space="preserve">000271048 - </v>
      </c>
      <c r="D10548" s="1" t="str">
        <f t="shared" si="293"/>
        <v>PRG-1035911</v>
      </c>
      <c r="E10548" t="s">
        <v>136</v>
      </c>
      <c r="F10548" t="s">
        <v>4</v>
      </c>
      <c r="G10548" t="str">
        <f>""</f>
        <v/>
      </c>
    </row>
    <row r="10549" spans="1:7" x14ac:dyDescent="0.25">
      <c r="A10549" t="s">
        <v>8</v>
      </c>
      <c r="B10549" s="1" t="str">
        <f>"000271049 - "</f>
        <v xml:space="preserve">000271049 - </v>
      </c>
      <c r="D10549" s="1" t="str">
        <f t="shared" si="293"/>
        <v>PRG-1035911</v>
      </c>
      <c r="E10549" t="s">
        <v>136</v>
      </c>
      <c r="F10549" t="s">
        <v>4</v>
      </c>
      <c r="G10549" t="str">
        <f>""</f>
        <v/>
      </c>
    </row>
    <row r="10550" spans="1:7" x14ac:dyDescent="0.25">
      <c r="A10550" t="s">
        <v>8</v>
      </c>
      <c r="B10550" s="1" t="str">
        <f>"000271447 - RICH BREAD &amp; ROLL CORE BB-SODX"</f>
        <v>000271447 - RICH BREAD &amp; ROLL CORE BB-SODX</v>
      </c>
      <c r="C10550" t="s">
        <v>273</v>
      </c>
      <c r="D10550" s="1" t="str">
        <f t="shared" si="293"/>
        <v>PRG-1035911</v>
      </c>
      <c r="E10550" t="s">
        <v>136</v>
      </c>
      <c r="F10550" t="s">
        <v>4</v>
      </c>
      <c r="G10550" t="str">
        <f>""</f>
        <v/>
      </c>
    </row>
    <row r="10551" spans="1:7" x14ac:dyDescent="0.25">
      <c r="A10551" t="s">
        <v>8</v>
      </c>
      <c r="B10551" s="1" t="str">
        <f>"000272218 - RICHS BREAD &amp; ROLLS-SODEXO"</f>
        <v>000272218 - RICHS BREAD &amp; ROLLS-SODEXO</v>
      </c>
      <c r="C10551" t="s">
        <v>135</v>
      </c>
      <c r="D10551" s="1" t="str">
        <f t="shared" si="293"/>
        <v>PRG-1035911</v>
      </c>
      <c r="E10551" t="s">
        <v>136</v>
      </c>
      <c r="F10551" t="s">
        <v>4</v>
      </c>
      <c r="G10551" t="str">
        <f>""</f>
        <v/>
      </c>
    </row>
    <row r="10552" spans="1:7" x14ac:dyDescent="0.25">
      <c r="A10552" t="s">
        <v>8</v>
      </c>
      <c r="B10552" s="1" t="str">
        <f>"000272542 - "</f>
        <v xml:space="preserve">000272542 - </v>
      </c>
      <c r="D10552" s="1" t="str">
        <f t="shared" si="293"/>
        <v>PRG-1035911</v>
      </c>
      <c r="E10552" t="s">
        <v>136</v>
      </c>
      <c r="F10552" t="s">
        <v>4</v>
      </c>
      <c r="G10552" t="str">
        <f>""</f>
        <v/>
      </c>
    </row>
    <row r="10553" spans="1:7" x14ac:dyDescent="0.25">
      <c r="A10553" t="s">
        <v>8</v>
      </c>
      <c r="B10553" s="1" t="str">
        <f>"000272816 - RICHS BREAD &amp; ROLLS-SODEXO"</f>
        <v>000272816 - RICHS BREAD &amp; ROLLS-SODEXO</v>
      </c>
      <c r="C10553" t="s">
        <v>135</v>
      </c>
      <c r="D10553" s="1" t="str">
        <f t="shared" si="293"/>
        <v>PRG-1035911</v>
      </c>
      <c r="E10553" t="s">
        <v>136</v>
      </c>
      <c r="F10553" t="s">
        <v>4</v>
      </c>
      <c r="G10553" t="str">
        <f>""</f>
        <v/>
      </c>
    </row>
    <row r="10554" spans="1:7" x14ac:dyDescent="0.25">
      <c r="A10554" t="s">
        <v>8</v>
      </c>
      <c r="B10554" s="1" t="str">
        <f>"000274922 - RICH BREAD &amp; ROLL CORE BB-SODX"</f>
        <v>000274922 - RICH BREAD &amp; ROLL CORE BB-SODX</v>
      </c>
      <c r="C10554" t="s">
        <v>273</v>
      </c>
      <c r="D10554" s="1" t="str">
        <f t="shared" si="293"/>
        <v>PRG-1035911</v>
      </c>
      <c r="E10554" t="s">
        <v>136</v>
      </c>
      <c r="F10554" t="s">
        <v>4</v>
      </c>
      <c r="G10554" t="str">
        <f>""</f>
        <v/>
      </c>
    </row>
    <row r="10555" spans="1:7" x14ac:dyDescent="0.25">
      <c r="A10555" t="s">
        <v>8</v>
      </c>
      <c r="B10555" s="1" t="str">
        <f>"000274923 - RICH BRED &amp; ROLL NCORE BB-SODX"</f>
        <v>000274923 - RICH BRED &amp; ROLL NCORE BB-SODX</v>
      </c>
      <c r="C10555" t="s">
        <v>274</v>
      </c>
      <c r="D10555" s="1" t="str">
        <f t="shared" si="293"/>
        <v>PRG-1035911</v>
      </c>
      <c r="E10555" t="s">
        <v>136</v>
      </c>
      <c r="F10555" t="s">
        <v>4</v>
      </c>
      <c r="G10555" t="str">
        <f>""</f>
        <v/>
      </c>
    </row>
    <row r="10556" spans="1:7" x14ac:dyDescent="0.25">
      <c r="A10556" t="s">
        <v>8</v>
      </c>
      <c r="B10556" s="1" t="str">
        <f>"000276127 - RICH BREAD &amp; ROLL CORE BB-SODX"</f>
        <v>000276127 - RICH BREAD &amp; ROLL CORE BB-SODX</v>
      </c>
      <c r="C10556" t="s">
        <v>273</v>
      </c>
      <c r="D10556" s="1" t="str">
        <f t="shared" si="293"/>
        <v>PRG-1035911</v>
      </c>
      <c r="E10556" t="s">
        <v>136</v>
      </c>
      <c r="F10556" t="s">
        <v>4</v>
      </c>
      <c r="G10556" t="str">
        <f>""</f>
        <v/>
      </c>
    </row>
    <row r="10557" spans="1:7" x14ac:dyDescent="0.25">
      <c r="A10557" t="s">
        <v>8</v>
      </c>
      <c r="B10557" s="1" t="str">
        <f>"000276128 - RICH BRED &amp; ROLL NCORE BB-SODX"</f>
        <v>000276128 - RICH BRED &amp; ROLL NCORE BB-SODX</v>
      </c>
      <c r="C10557" t="s">
        <v>274</v>
      </c>
      <c r="D10557" s="1" t="str">
        <f t="shared" si="293"/>
        <v>PRG-1035911</v>
      </c>
      <c r="E10557" t="s">
        <v>136</v>
      </c>
      <c r="F10557" t="s">
        <v>4</v>
      </c>
      <c r="G10557" t="str">
        <f>""</f>
        <v/>
      </c>
    </row>
    <row r="10558" spans="1:7" x14ac:dyDescent="0.25">
      <c r="A10558" t="s">
        <v>8</v>
      </c>
      <c r="B10558" s="1" t="str">
        <f>"000277546 - RICHS BREAD &amp; ROLLS-SODEXO"</f>
        <v>000277546 - RICHS BREAD &amp; ROLLS-SODEXO</v>
      </c>
      <c r="C10558" t="s">
        <v>135</v>
      </c>
      <c r="D10558" s="1" t="str">
        <f t="shared" si="293"/>
        <v>PRG-1035911</v>
      </c>
      <c r="E10558" t="s">
        <v>136</v>
      </c>
      <c r="F10558" t="s">
        <v>4</v>
      </c>
      <c r="G10558" t="str">
        <f>""</f>
        <v/>
      </c>
    </row>
    <row r="10559" spans="1:7" x14ac:dyDescent="0.25">
      <c r="A10559" t="s">
        <v>8</v>
      </c>
      <c r="B10559" s="1" t="str">
        <f>"000277734 - RICH BREAD &amp; ROLL CORE BB-SODX"</f>
        <v>000277734 - RICH BREAD &amp; ROLL CORE BB-SODX</v>
      </c>
      <c r="C10559" t="s">
        <v>273</v>
      </c>
      <c r="D10559" s="1" t="str">
        <f t="shared" si="293"/>
        <v>PRG-1035911</v>
      </c>
      <c r="E10559" t="s">
        <v>136</v>
      </c>
      <c r="F10559" t="s">
        <v>4</v>
      </c>
      <c r="G10559" t="str">
        <f>""</f>
        <v/>
      </c>
    </row>
    <row r="10560" spans="1:7" x14ac:dyDescent="0.25">
      <c r="A10560" t="s">
        <v>8</v>
      </c>
      <c r="B10560" s="1" t="str">
        <f>"000277735 - RICH BRED &amp; ROLL NCORE BB-SODX"</f>
        <v>000277735 - RICH BRED &amp; ROLL NCORE BB-SODX</v>
      </c>
      <c r="C10560" t="s">
        <v>274</v>
      </c>
      <c r="D10560" s="1" t="str">
        <f t="shared" si="293"/>
        <v>PRG-1035911</v>
      </c>
      <c r="E10560" t="s">
        <v>136</v>
      </c>
      <c r="F10560" t="s">
        <v>4</v>
      </c>
      <c r="G10560" t="str">
        <f>""</f>
        <v/>
      </c>
    </row>
    <row r="10561" spans="1:7" x14ac:dyDescent="0.25">
      <c r="A10561" t="s">
        <v>8</v>
      </c>
      <c r="B10561" s="1" t="str">
        <f>"000277907 - RICHS BREAD &amp; ROLLS-SODEXO"</f>
        <v>000277907 - RICHS BREAD &amp; ROLLS-SODEXO</v>
      </c>
      <c r="C10561" t="s">
        <v>135</v>
      </c>
      <c r="D10561" s="1" t="str">
        <f t="shared" si="293"/>
        <v>PRG-1035911</v>
      </c>
      <c r="E10561" t="s">
        <v>136</v>
      </c>
      <c r="F10561" t="s">
        <v>4</v>
      </c>
      <c r="G10561" t="str">
        <f>""</f>
        <v/>
      </c>
    </row>
    <row r="10562" spans="1:7" x14ac:dyDescent="0.25">
      <c r="A10562" t="s">
        <v>8</v>
      </c>
      <c r="B10562" s="1" t="str">
        <f>"000278241 - RICH BREAD &amp; ROLL CORE BB-SODX"</f>
        <v>000278241 - RICH BREAD &amp; ROLL CORE BB-SODX</v>
      </c>
      <c r="C10562" t="s">
        <v>273</v>
      </c>
      <c r="D10562" s="1" t="str">
        <f t="shared" si="293"/>
        <v>PRG-1035911</v>
      </c>
      <c r="E10562" t="s">
        <v>136</v>
      </c>
      <c r="F10562" t="s">
        <v>4</v>
      </c>
      <c r="G10562" t="str">
        <f>""</f>
        <v/>
      </c>
    </row>
    <row r="10563" spans="1:7" x14ac:dyDescent="0.25">
      <c r="A10563" t="s">
        <v>8</v>
      </c>
      <c r="B10563" s="1" t="str">
        <f>"000278242 - RICH BRED &amp; ROLL NCORE BB-SODX"</f>
        <v>000278242 - RICH BRED &amp; ROLL NCORE BB-SODX</v>
      </c>
      <c r="C10563" t="s">
        <v>274</v>
      </c>
      <c r="D10563" s="1" t="str">
        <f t="shared" si="293"/>
        <v>PRG-1035911</v>
      </c>
      <c r="E10563" t="s">
        <v>136</v>
      </c>
      <c r="F10563" t="s">
        <v>4</v>
      </c>
      <c r="G10563" t="str">
        <f>""</f>
        <v/>
      </c>
    </row>
    <row r="10564" spans="1:7" x14ac:dyDescent="0.25">
      <c r="A10564" t="s">
        <v>8</v>
      </c>
      <c r="B10564" s="1" t="str">
        <f>"000279300 - RICHS BREAD &amp; ROLLS-SODEXO"</f>
        <v>000279300 - RICHS BREAD &amp; ROLLS-SODEXO</v>
      </c>
      <c r="C10564" t="s">
        <v>135</v>
      </c>
      <c r="D10564" s="1" t="str">
        <f t="shared" si="293"/>
        <v>PRG-1035911</v>
      </c>
      <c r="E10564" t="s">
        <v>136</v>
      </c>
      <c r="F10564" t="s">
        <v>4</v>
      </c>
      <c r="G10564" t="str">
        <f>""</f>
        <v/>
      </c>
    </row>
    <row r="10565" spans="1:7" x14ac:dyDescent="0.25">
      <c r="A10565" t="s">
        <v>8</v>
      </c>
      <c r="B10565" s="1" t="str">
        <f>"000279421 - RICH BREAD &amp; ROLL CORE BB-SODX"</f>
        <v>000279421 - RICH BREAD &amp; ROLL CORE BB-SODX</v>
      </c>
      <c r="C10565" t="s">
        <v>273</v>
      </c>
      <c r="D10565" s="1" t="str">
        <f t="shared" si="293"/>
        <v>PRG-1035911</v>
      </c>
      <c r="E10565" t="s">
        <v>136</v>
      </c>
      <c r="F10565" t="s">
        <v>4</v>
      </c>
      <c r="G10565" t="str">
        <f>""</f>
        <v/>
      </c>
    </row>
    <row r="10566" spans="1:7" x14ac:dyDescent="0.25">
      <c r="A10566" t="s">
        <v>8</v>
      </c>
      <c r="B10566" s="1" t="str">
        <f>"000279422 - RICH BRED &amp; ROLL NCORE BB-SODX"</f>
        <v>000279422 - RICH BRED &amp; ROLL NCORE BB-SODX</v>
      </c>
      <c r="C10566" t="s">
        <v>274</v>
      </c>
      <c r="D10566" s="1" t="str">
        <f t="shared" si="293"/>
        <v>PRG-1035911</v>
      </c>
      <c r="E10566" t="s">
        <v>136</v>
      </c>
      <c r="F10566" t="s">
        <v>4</v>
      </c>
      <c r="G10566" t="str">
        <f>""</f>
        <v/>
      </c>
    </row>
    <row r="10567" spans="1:7" x14ac:dyDescent="0.25">
      <c r="A10567" t="s">
        <v>8</v>
      </c>
      <c r="B10567" s="1" t="str">
        <f>"000279460 - RICHS BREAD &amp; ROLLS-SODEXO"</f>
        <v>000279460 - RICHS BREAD &amp; ROLLS-SODEXO</v>
      </c>
      <c r="C10567" t="s">
        <v>135</v>
      </c>
      <c r="D10567" s="1" t="str">
        <f t="shared" si="293"/>
        <v>PRG-1035911</v>
      </c>
      <c r="E10567" t="s">
        <v>136</v>
      </c>
      <c r="F10567" t="s">
        <v>4</v>
      </c>
      <c r="G10567" t="str">
        <f>""</f>
        <v/>
      </c>
    </row>
    <row r="10568" spans="1:7" x14ac:dyDescent="0.25">
      <c r="A10568" t="s">
        <v>8</v>
      </c>
      <c r="B10568" s="1" t="str">
        <f>"000279950 - RICH BREAD &amp; ROLL CORE BB-SODX"</f>
        <v>000279950 - RICH BREAD &amp; ROLL CORE BB-SODX</v>
      </c>
      <c r="C10568" t="s">
        <v>273</v>
      </c>
      <c r="D10568" s="1" t="str">
        <f t="shared" si="293"/>
        <v>PRG-1035911</v>
      </c>
      <c r="E10568" t="s">
        <v>136</v>
      </c>
      <c r="F10568" t="s">
        <v>4</v>
      </c>
      <c r="G10568" t="str">
        <f>""</f>
        <v/>
      </c>
    </row>
    <row r="10569" spans="1:7" x14ac:dyDescent="0.25">
      <c r="A10569" t="s">
        <v>8</v>
      </c>
      <c r="B10569" s="1" t="str">
        <f>"000279951 - RICH BRED &amp; ROLL NCORE BB-SODX"</f>
        <v>000279951 - RICH BRED &amp; ROLL NCORE BB-SODX</v>
      </c>
      <c r="C10569" t="s">
        <v>274</v>
      </c>
      <c r="D10569" s="1" t="str">
        <f t="shared" si="293"/>
        <v>PRG-1035911</v>
      </c>
      <c r="E10569" t="s">
        <v>136</v>
      </c>
      <c r="F10569" t="s">
        <v>4</v>
      </c>
      <c r="G10569" t="str">
        <f>""</f>
        <v/>
      </c>
    </row>
    <row r="10570" spans="1:7" x14ac:dyDescent="0.25">
      <c r="A10570" t="s">
        <v>8</v>
      </c>
      <c r="B10570" s="1" t="str">
        <f>"000279961 - RICHS BREAD &amp; ROLLS-SODEXO"</f>
        <v>000279961 - RICHS BREAD &amp; ROLLS-SODEXO</v>
      </c>
      <c r="C10570" t="s">
        <v>135</v>
      </c>
      <c r="D10570" s="1" t="str">
        <f t="shared" si="293"/>
        <v>PRG-1035911</v>
      </c>
      <c r="E10570" t="s">
        <v>136</v>
      </c>
      <c r="F10570" t="s">
        <v>4</v>
      </c>
      <c r="G10570" t="str">
        <f>""</f>
        <v/>
      </c>
    </row>
    <row r="10571" spans="1:7" x14ac:dyDescent="0.25">
      <c r="A10571" t="s">
        <v>8</v>
      </c>
      <c r="B10571" s="1" t="str">
        <f>"000281550 - RICH BREAD &amp; ROLL CORE BB-SODX"</f>
        <v>000281550 - RICH BREAD &amp; ROLL CORE BB-SODX</v>
      </c>
      <c r="C10571" t="s">
        <v>273</v>
      </c>
      <c r="D10571" s="1" t="str">
        <f t="shared" si="293"/>
        <v>PRG-1035911</v>
      </c>
      <c r="E10571" t="s">
        <v>136</v>
      </c>
      <c r="F10571" t="s">
        <v>4</v>
      </c>
      <c r="G10571" t="str">
        <f>""</f>
        <v/>
      </c>
    </row>
    <row r="10572" spans="1:7" x14ac:dyDescent="0.25">
      <c r="A10572" t="s">
        <v>8</v>
      </c>
      <c r="B10572" s="1" t="str">
        <f>"000281551 - RICH BRED &amp; ROLL NCORE BB-SODX"</f>
        <v>000281551 - RICH BRED &amp; ROLL NCORE BB-SODX</v>
      </c>
      <c r="C10572" t="s">
        <v>274</v>
      </c>
      <c r="D10572" s="1" t="str">
        <f t="shared" si="293"/>
        <v>PRG-1035911</v>
      </c>
      <c r="E10572" t="s">
        <v>136</v>
      </c>
      <c r="F10572" t="s">
        <v>4</v>
      </c>
      <c r="G10572" t="str">
        <f>""</f>
        <v/>
      </c>
    </row>
    <row r="10573" spans="1:7" x14ac:dyDescent="0.25">
      <c r="A10573" t="s">
        <v>8</v>
      </c>
      <c r="B10573" s="1" t="str">
        <f>"000281656 - "</f>
        <v xml:space="preserve">000281656 - </v>
      </c>
      <c r="D10573" s="1" t="str">
        <f t="shared" si="293"/>
        <v>PRG-1035911</v>
      </c>
      <c r="E10573" t="s">
        <v>136</v>
      </c>
      <c r="F10573" t="s">
        <v>4</v>
      </c>
      <c r="G10573" t="str">
        <f>""</f>
        <v/>
      </c>
    </row>
    <row r="10574" spans="1:7" x14ac:dyDescent="0.25">
      <c r="A10574" t="s">
        <v>8</v>
      </c>
      <c r="B10574" s="1" t="str">
        <f>"000281711 - RICHS BREAD &amp; ROLLS-SODEXO"</f>
        <v>000281711 - RICHS BREAD &amp; ROLLS-SODEXO</v>
      </c>
      <c r="C10574" t="s">
        <v>135</v>
      </c>
      <c r="D10574" s="1" t="str">
        <f t="shared" si="293"/>
        <v>PRG-1035911</v>
      </c>
      <c r="E10574" t="s">
        <v>136</v>
      </c>
      <c r="F10574" t="s">
        <v>4</v>
      </c>
      <c r="G10574" t="str">
        <f>""</f>
        <v/>
      </c>
    </row>
    <row r="10575" spans="1:7" x14ac:dyDescent="0.25">
      <c r="A10575" t="s">
        <v>8</v>
      </c>
      <c r="B10575" s="1" t="str">
        <f>"000281950 - RICH BREAD &amp; ROLL CORE BB-SODX"</f>
        <v>000281950 - RICH BREAD &amp; ROLL CORE BB-SODX</v>
      </c>
      <c r="C10575" t="s">
        <v>273</v>
      </c>
      <c r="D10575" s="1" t="str">
        <f t="shared" si="293"/>
        <v>PRG-1035911</v>
      </c>
      <c r="E10575" t="s">
        <v>136</v>
      </c>
      <c r="F10575" t="s">
        <v>4</v>
      </c>
      <c r="G10575" t="str">
        <f>""</f>
        <v/>
      </c>
    </row>
    <row r="10576" spans="1:7" x14ac:dyDescent="0.25">
      <c r="A10576" t="s">
        <v>8</v>
      </c>
      <c r="B10576" s="1" t="str">
        <f>"000281951 - RICH BRED &amp; ROLL NCORE BB-SODX"</f>
        <v>000281951 - RICH BRED &amp; ROLL NCORE BB-SODX</v>
      </c>
      <c r="C10576" t="s">
        <v>274</v>
      </c>
      <c r="D10576" s="1" t="str">
        <f t="shared" si="293"/>
        <v>PRG-1035911</v>
      </c>
      <c r="E10576" t="s">
        <v>136</v>
      </c>
      <c r="F10576" t="s">
        <v>4</v>
      </c>
      <c r="G10576" t="str">
        <f>""</f>
        <v/>
      </c>
    </row>
    <row r="10577" spans="1:7" x14ac:dyDescent="0.25">
      <c r="A10577" t="s">
        <v>8</v>
      </c>
      <c r="B10577" s="1" t="str">
        <f>"000282127 - RICH BREAD &amp; ROLL BB CORE-SODX"</f>
        <v>000282127 - RICH BREAD &amp; ROLL BB CORE-SODX</v>
      </c>
      <c r="C10577" t="s">
        <v>158</v>
      </c>
      <c r="D10577" s="1" t="str">
        <f t="shared" si="293"/>
        <v>PRG-1035911</v>
      </c>
      <c r="E10577" t="s">
        <v>136</v>
      </c>
      <c r="F10577" t="s">
        <v>4</v>
      </c>
      <c r="G10577" t="str">
        <f>""</f>
        <v/>
      </c>
    </row>
    <row r="10578" spans="1:7" x14ac:dyDescent="0.25">
      <c r="A10578" t="s">
        <v>8</v>
      </c>
      <c r="B10578" s="1" t="str">
        <f>"000282128 - RICH BREAD&amp;ROLL BB NCORE-SODX"</f>
        <v>000282128 - RICH BREAD&amp;ROLL BB NCORE-SODX</v>
      </c>
      <c r="C10578" t="s">
        <v>159</v>
      </c>
      <c r="D10578" s="1" t="str">
        <f t="shared" si="293"/>
        <v>PRG-1035911</v>
      </c>
      <c r="E10578" t="s">
        <v>136</v>
      </c>
      <c r="F10578" t="s">
        <v>4</v>
      </c>
      <c r="G10578" t="str">
        <f>""</f>
        <v/>
      </c>
    </row>
    <row r="10579" spans="1:7" x14ac:dyDescent="0.25">
      <c r="A10579" t="s">
        <v>8</v>
      </c>
      <c r="B10579" s="1" t="str">
        <f>"000282962 - RICHS BREAD &amp; ROLLS-SODEXO"</f>
        <v>000282962 - RICHS BREAD &amp; ROLLS-SODEXO</v>
      </c>
      <c r="C10579" t="s">
        <v>135</v>
      </c>
      <c r="D10579" s="1" t="str">
        <f t="shared" si="293"/>
        <v>PRG-1035911</v>
      </c>
      <c r="E10579" t="s">
        <v>136</v>
      </c>
      <c r="F10579" t="s">
        <v>4</v>
      </c>
      <c r="G10579" t="str">
        <f>""</f>
        <v/>
      </c>
    </row>
    <row r="10580" spans="1:7" x14ac:dyDescent="0.25">
      <c r="A10580" t="s">
        <v>8</v>
      </c>
      <c r="B10580" s="1" t="str">
        <f>"000283016 - RICHS BREAD &amp; ROLLS-SODEXO"</f>
        <v>000283016 - RICHS BREAD &amp; ROLLS-SODEXO</v>
      </c>
      <c r="C10580" t="s">
        <v>135</v>
      </c>
      <c r="D10580" s="1" t="str">
        <f t="shared" si="293"/>
        <v>PRG-1035911</v>
      </c>
      <c r="E10580" t="s">
        <v>136</v>
      </c>
      <c r="F10580" t="s">
        <v>4</v>
      </c>
      <c r="G10580" t="str">
        <f>""</f>
        <v/>
      </c>
    </row>
    <row r="10581" spans="1:7" x14ac:dyDescent="0.25">
      <c r="A10581" t="s">
        <v>8</v>
      </c>
      <c r="B10581" s="1" t="str">
        <f>"000283435 - RICHS BREAD &amp; ROLLS-SODEXO"</f>
        <v>000283435 - RICHS BREAD &amp; ROLLS-SODEXO</v>
      </c>
      <c r="C10581" t="s">
        <v>135</v>
      </c>
      <c r="D10581" s="1" t="str">
        <f t="shared" si="293"/>
        <v>PRG-1035911</v>
      </c>
      <c r="E10581" t="s">
        <v>136</v>
      </c>
      <c r="F10581" t="s">
        <v>4</v>
      </c>
      <c r="G10581" t="str">
        <f>""</f>
        <v/>
      </c>
    </row>
    <row r="10582" spans="1:7" x14ac:dyDescent="0.25">
      <c r="A10582" t="s">
        <v>8</v>
      </c>
      <c r="B10582" s="1" t="str">
        <f>"000283751 - RICH BREAD &amp; ROLL CORE BB-SODX"</f>
        <v>000283751 - RICH BREAD &amp; ROLL CORE BB-SODX</v>
      </c>
      <c r="C10582" t="s">
        <v>273</v>
      </c>
      <c r="D10582" s="1" t="str">
        <f t="shared" si="293"/>
        <v>PRG-1035911</v>
      </c>
      <c r="E10582" t="s">
        <v>136</v>
      </c>
      <c r="F10582" t="s">
        <v>4</v>
      </c>
      <c r="G10582" t="str">
        <f>""</f>
        <v/>
      </c>
    </row>
    <row r="10583" spans="1:7" x14ac:dyDescent="0.25">
      <c r="A10583" t="s">
        <v>8</v>
      </c>
      <c r="B10583" s="1" t="str">
        <f>"000283752 - RICH BRED &amp; ROLL NCORE BB-SODX"</f>
        <v>000283752 - RICH BRED &amp; ROLL NCORE BB-SODX</v>
      </c>
      <c r="C10583" t="s">
        <v>274</v>
      </c>
      <c r="D10583" s="1" t="str">
        <f t="shared" ref="D10583:D10646" si="294">"PRG-1035911"</f>
        <v>PRG-1035911</v>
      </c>
      <c r="E10583" t="s">
        <v>136</v>
      </c>
      <c r="F10583" t="s">
        <v>4</v>
      </c>
      <c r="G10583" t="str">
        <f>""</f>
        <v/>
      </c>
    </row>
    <row r="10584" spans="1:7" x14ac:dyDescent="0.25">
      <c r="A10584" t="s">
        <v>8</v>
      </c>
      <c r="B10584" s="1" t="str">
        <f>"000284127 - RICHS BREAD &amp; ROLLS-SODEXO"</f>
        <v>000284127 - RICHS BREAD &amp; ROLLS-SODEXO</v>
      </c>
      <c r="C10584" t="s">
        <v>135</v>
      </c>
      <c r="D10584" s="1" t="str">
        <f t="shared" si="294"/>
        <v>PRG-1035911</v>
      </c>
      <c r="E10584" t="s">
        <v>136</v>
      </c>
      <c r="F10584" t="s">
        <v>4</v>
      </c>
      <c r="G10584" t="str">
        <f>""</f>
        <v/>
      </c>
    </row>
    <row r="10585" spans="1:7" x14ac:dyDescent="0.25">
      <c r="A10585" t="s">
        <v>8</v>
      </c>
      <c r="B10585" s="1" t="str">
        <f>"000285214 - RICHS BREAD &amp; ROLLS-SODEXO"</f>
        <v>000285214 - RICHS BREAD &amp; ROLLS-SODEXO</v>
      </c>
      <c r="C10585" t="s">
        <v>135</v>
      </c>
      <c r="D10585" s="1" t="str">
        <f t="shared" si="294"/>
        <v>PRG-1035911</v>
      </c>
      <c r="E10585" t="s">
        <v>136</v>
      </c>
      <c r="F10585" t="s">
        <v>4</v>
      </c>
      <c r="G10585" t="str">
        <f>""</f>
        <v/>
      </c>
    </row>
    <row r="10586" spans="1:7" x14ac:dyDescent="0.25">
      <c r="A10586" t="s">
        <v>8</v>
      </c>
      <c r="B10586" s="1" t="str">
        <f>"000285646 - RICHS BREAD &amp; ROLLS-SODEXO"</f>
        <v>000285646 - RICHS BREAD &amp; ROLLS-SODEXO</v>
      </c>
      <c r="C10586" t="s">
        <v>135</v>
      </c>
      <c r="D10586" s="1" t="str">
        <f t="shared" si="294"/>
        <v>PRG-1035911</v>
      </c>
      <c r="E10586" t="s">
        <v>136</v>
      </c>
      <c r="F10586" t="s">
        <v>4</v>
      </c>
      <c r="G10586" t="str">
        <f>""</f>
        <v/>
      </c>
    </row>
    <row r="10587" spans="1:7" x14ac:dyDescent="0.25">
      <c r="A10587" t="s">
        <v>8</v>
      </c>
      <c r="B10587" s="1" t="str">
        <f>"000285983 - RICHS BREAD &amp; ROLLS-SODEXO"</f>
        <v>000285983 - RICHS BREAD &amp; ROLLS-SODEXO</v>
      </c>
      <c r="C10587" t="s">
        <v>135</v>
      </c>
      <c r="D10587" s="1" t="str">
        <f t="shared" si="294"/>
        <v>PRG-1035911</v>
      </c>
      <c r="E10587" t="s">
        <v>136</v>
      </c>
      <c r="F10587" t="s">
        <v>4</v>
      </c>
      <c r="G10587" t="str">
        <f>""</f>
        <v/>
      </c>
    </row>
    <row r="10588" spans="1:7" x14ac:dyDescent="0.25">
      <c r="A10588" t="s">
        <v>8</v>
      </c>
      <c r="B10588" s="1" t="str">
        <f>"000286049 - RICH BREAD &amp; ROLL CORE BB-SODX"</f>
        <v>000286049 - RICH BREAD &amp; ROLL CORE BB-SODX</v>
      </c>
      <c r="C10588" t="s">
        <v>273</v>
      </c>
      <c r="D10588" s="1" t="str">
        <f t="shared" si="294"/>
        <v>PRG-1035911</v>
      </c>
      <c r="E10588" t="s">
        <v>136</v>
      </c>
      <c r="F10588" t="s">
        <v>4</v>
      </c>
      <c r="G10588" t="str">
        <f>""</f>
        <v/>
      </c>
    </row>
    <row r="10589" spans="1:7" x14ac:dyDescent="0.25">
      <c r="A10589" t="s">
        <v>8</v>
      </c>
      <c r="B10589" s="1" t="str">
        <f>"000286050 - RICH BRED &amp; ROLL NCORE BB-SODX"</f>
        <v>000286050 - RICH BRED &amp; ROLL NCORE BB-SODX</v>
      </c>
      <c r="C10589" t="s">
        <v>274</v>
      </c>
      <c r="D10589" s="1" t="str">
        <f t="shared" si="294"/>
        <v>PRG-1035911</v>
      </c>
      <c r="E10589" t="s">
        <v>136</v>
      </c>
      <c r="F10589" t="s">
        <v>4</v>
      </c>
      <c r="G10589" t="str">
        <f>""</f>
        <v/>
      </c>
    </row>
    <row r="10590" spans="1:7" x14ac:dyDescent="0.25">
      <c r="A10590" t="s">
        <v>8</v>
      </c>
      <c r="B10590" s="1" t="str">
        <f>"000286642 - RICHS BREAD &amp; ROLLS-SODEXO"</f>
        <v>000286642 - RICHS BREAD &amp; ROLLS-SODEXO</v>
      </c>
      <c r="C10590" t="s">
        <v>135</v>
      </c>
      <c r="D10590" s="1" t="str">
        <f t="shared" si="294"/>
        <v>PRG-1035911</v>
      </c>
      <c r="E10590" t="s">
        <v>136</v>
      </c>
      <c r="F10590" t="s">
        <v>4</v>
      </c>
      <c r="G10590" t="str">
        <f>""</f>
        <v/>
      </c>
    </row>
    <row r="10591" spans="1:7" x14ac:dyDescent="0.25">
      <c r="A10591" t="s">
        <v>8</v>
      </c>
      <c r="B10591" s="1" t="str">
        <f>"000287655 - RICHS BREAD &amp; ROLLS-SODEXO"</f>
        <v>000287655 - RICHS BREAD &amp; ROLLS-SODEXO</v>
      </c>
      <c r="C10591" t="s">
        <v>135</v>
      </c>
      <c r="D10591" s="1" t="str">
        <f t="shared" si="294"/>
        <v>PRG-1035911</v>
      </c>
      <c r="E10591" t="s">
        <v>136</v>
      </c>
      <c r="F10591" t="s">
        <v>4</v>
      </c>
      <c r="G10591" t="str">
        <f>""</f>
        <v/>
      </c>
    </row>
    <row r="10592" spans="1:7" x14ac:dyDescent="0.25">
      <c r="A10592" t="s">
        <v>8</v>
      </c>
      <c r="B10592" s="1" t="str">
        <f>"000288888 - RICH BREAD &amp; ROLLS-SODEXO"</f>
        <v>000288888 - RICH BREAD &amp; ROLLS-SODEXO</v>
      </c>
      <c r="C10592" t="s">
        <v>141</v>
      </c>
      <c r="D10592" s="1" t="str">
        <f t="shared" si="294"/>
        <v>PRG-1035911</v>
      </c>
      <c r="E10592" t="s">
        <v>136</v>
      </c>
      <c r="F10592" t="s">
        <v>4</v>
      </c>
      <c r="G10592" t="str">
        <f>""</f>
        <v/>
      </c>
    </row>
    <row r="10593" spans="1:7" x14ac:dyDescent="0.25">
      <c r="A10593" t="s">
        <v>8</v>
      </c>
      <c r="B10593" s="1" t="str">
        <f>"000288941 - RICHS BREAD &amp; ROLLS-SODEXO"</f>
        <v>000288941 - RICHS BREAD &amp; ROLLS-SODEXO</v>
      </c>
      <c r="C10593" t="s">
        <v>135</v>
      </c>
      <c r="D10593" s="1" t="str">
        <f t="shared" si="294"/>
        <v>PRG-1035911</v>
      </c>
      <c r="E10593" t="s">
        <v>136</v>
      </c>
      <c r="F10593" t="s">
        <v>4</v>
      </c>
      <c r="G10593" t="str">
        <f>""</f>
        <v/>
      </c>
    </row>
    <row r="10594" spans="1:7" x14ac:dyDescent="0.25">
      <c r="A10594" t="s">
        <v>8</v>
      </c>
      <c r="B10594" s="1" t="str">
        <f>"000289002 - RICHS BREAD &amp; ROLLS-SODEXO"</f>
        <v>000289002 - RICHS BREAD &amp; ROLLS-SODEXO</v>
      </c>
      <c r="C10594" t="s">
        <v>135</v>
      </c>
      <c r="D10594" s="1" t="str">
        <f t="shared" si="294"/>
        <v>PRG-1035911</v>
      </c>
      <c r="E10594" t="s">
        <v>136</v>
      </c>
      <c r="F10594" t="s">
        <v>4</v>
      </c>
      <c r="G10594" t="str">
        <f>""</f>
        <v/>
      </c>
    </row>
    <row r="10595" spans="1:7" x14ac:dyDescent="0.25">
      <c r="A10595" t="s">
        <v>8</v>
      </c>
      <c r="B10595" s="1" t="str">
        <f>"000289054 - RICHS BREAD &amp; ROLLS-SODEXO"</f>
        <v>000289054 - RICHS BREAD &amp; ROLLS-SODEXO</v>
      </c>
      <c r="C10595" t="s">
        <v>135</v>
      </c>
      <c r="D10595" s="1" t="str">
        <f t="shared" si="294"/>
        <v>PRG-1035911</v>
      </c>
      <c r="E10595" t="s">
        <v>136</v>
      </c>
      <c r="F10595" t="s">
        <v>4</v>
      </c>
      <c r="G10595" t="str">
        <f>""</f>
        <v/>
      </c>
    </row>
    <row r="10596" spans="1:7" x14ac:dyDescent="0.25">
      <c r="A10596" t="s">
        <v>8</v>
      </c>
      <c r="B10596" s="1" t="str">
        <f>"000291667 - RICHS BREAD &amp; ROLLS-SODEXO"</f>
        <v>000291667 - RICHS BREAD &amp; ROLLS-SODEXO</v>
      </c>
      <c r="C10596" t="s">
        <v>135</v>
      </c>
      <c r="D10596" s="1" t="str">
        <f t="shared" si="294"/>
        <v>PRG-1035911</v>
      </c>
      <c r="E10596" t="s">
        <v>136</v>
      </c>
      <c r="F10596" t="s">
        <v>4</v>
      </c>
      <c r="G10596" t="str">
        <f>""</f>
        <v/>
      </c>
    </row>
    <row r="10597" spans="1:7" x14ac:dyDescent="0.25">
      <c r="A10597" t="s">
        <v>8</v>
      </c>
      <c r="B10597" s="1" t="str">
        <f>"000292022 - RICHS BREAD &amp; ROLLS-SODEXO"</f>
        <v>000292022 - RICHS BREAD &amp; ROLLS-SODEXO</v>
      </c>
      <c r="C10597" t="s">
        <v>135</v>
      </c>
      <c r="D10597" s="1" t="str">
        <f t="shared" si="294"/>
        <v>PRG-1035911</v>
      </c>
      <c r="E10597" t="s">
        <v>136</v>
      </c>
      <c r="F10597" t="s">
        <v>4</v>
      </c>
      <c r="G10597" t="str">
        <f>""</f>
        <v/>
      </c>
    </row>
    <row r="10598" spans="1:7" x14ac:dyDescent="0.25">
      <c r="A10598" t="s">
        <v>8</v>
      </c>
      <c r="B10598" s="1" t="str">
        <f>"000292203 - RICH-FORUM"</f>
        <v>000292203 - RICH-FORUM</v>
      </c>
      <c r="C10598" t="s">
        <v>155</v>
      </c>
      <c r="D10598" s="1" t="str">
        <f t="shared" si="294"/>
        <v>PRG-1035911</v>
      </c>
      <c r="E10598" t="s">
        <v>136</v>
      </c>
      <c r="F10598" t="s">
        <v>4</v>
      </c>
      <c r="G10598" t="str">
        <f>""</f>
        <v/>
      </c>
    </row>
    <row r="10599" spans="1:7" x14ac:dyDescent="0.25">
      <c r="A10599" t="s">
        <v>8</v>
      </c>
      <c r="B10599" s="1" t="str">
        <f>"000292356 - RICHS BREAD &amp; ROLLS-SODEXO"</f>
        <v>000292356 - RICHS BREAD &amp; ROLLS-SODEXO</v>
      </c>
      <c r="C10599" t="s">
        <v>135</v>
      </c>
      <c r="D10599" s="1" t="str">
        <f t="shared" si="294"/>
        <v>PRG-1035911</v>
      </c>
      <c r="E10599" t="s">
        <v>136</v>
      </c>
      <c r="F10599" t="s">
        <v>4</v>
      </c>
      <c r="G10599" t="str">
        <f>""</f>
        <v/>
      </c>
    </row>
    <row r="10600" spans="1:7" x14ac:dyDescent="0.25">
      <c r="A10600" t="s">
        <v>8</v>
      </c>
      <c r="B10600" s="1" t="str">
        <f>"000292789 - RICH READ &amp; ROLLS-SODEXO"</f>
        <v>000292789 - RICH READ &amp; ROLLS-SODEXO</v>
      </c>
      <c r="C10600" t="s">
        <v>441</v>
      </c>
      <c r="D10600" s="1" t="str">
        <f t="shared" si="294"/>
        <v>PRG-1035911</v>
      </c>
      <c r="E10600" t="s">
        <v>136</v>
      </c>
      <c r="F10600" t="s">
        <v>4</v>
      </c>
      <c r="G10600" t="str">
        <f>""</f>
        <v/>
      </c>
    </row>
    <row r="10601" spans="1:7" x14ac:dyDescent="0.25">
      <c r="A10601" t="s">
        <v>8</v>
      </c>
      <c r="B10601" s="1" t="str">
        <f>"000293838 - RICHS BREAD &amp; ROLLS-SODEXO"</f>
        <v>000293838 - RICHS BREAD &amp; ROLLS-SODEXO</v>
      </c>
      <c r="C10601" t="s">
        <v>135</v>
      </c>
      <c r="D10601" s="1" t="str">
        <f t="shared" si="294"/>
        <v>PRG-1035911</v>
      </c>
      <c r="E10601" t="s">
        <v>136</v>
      </c>
      <c r="F10601" t="s">
        <v>4</v>
      </c>
      <c r="G10601" t="str">
        <f>""</f>
        <v/>
      </c>
    </row>
    <row r="10602" spans="1:7" x14ac:dyDescent="0.25">
      <c r="A10602" t="s">
        <v>8</v>
      </c>
      <c r="B10602" s="1" t="str">
        <f>"000295423 - RICHS BREAD &amp; ROLLS-SODEXO"</f>
        <v>000295423 - RICHS BREAD &amp; ROLLS-SODEXO</v>
      </c>
      <c r="C10602" t="s">
        <v>135</v>
      </c>
      <c r="D10602" s="1" t="str">
        <f t="shared" si="294"/>
        <v>PRG-1035911</v>
      </c>
      <c r="E10602" t="s">
        <v>136</v>
      </c>
      <c r="F10602" t="s">
        <v>4</v>
      </c>
      <c r="G10602" t="str">
        <f>""</f>
        <v/>
      </c>
    </row>
    <row r="10603" spans="1:7" x14ac:dyDescent="0.25">
      <c r="A10603" t="s">
        <v>8</v>
      </c>
      <c r="B10603" s="1" t="str">
        <f>"000298003 - "</f>
        <v xml:space="preserve">000298003 - </v>
      </c>
      <c r="D10603" s="1" t="str">
        <f t="shared" si="294"/>
        <v>PRG-1035911</v>
      </c>
      <c r="E10603" t="s">
        <v>136</v>
      </c>
      <c r="F10603" t="s">
        <v>4</v>
      </c>
      <c r="G10603" t="str">
        <f>""</f>
        <v/>
      </c>
    </row>
    <row r="10604" spans="1:7" x14ac:dyDescent="0.25">
      <c r="A10604" t="s">
        <v>8</v>
      </c>
      <c r="B10604" s="1" t="str">
        <f>"000298004 - "</f>
        <v xml:space="preserve">000298004 - </v>
      </c>
      <c r="D10604" s="1" t="str">
        <f t="shared" si="294"/>
        <v>PRG-1035911</v>
      </c>
      <c r="E10604" t="s">
        <v>136</v>
      </c>
      <c r="F10604" t="s">
        <v>4</v>
      </c>
      <c r="G10604" t="str">
        <f>""</f>
        <v/>
      </c>
    </row>
    <row r="10605" spans="1:7" x14ac:dyDescent="0.25">
      <c r="A10605" t="s">
        <v>8</v>
      </c>
      <c r="B10605" s="1" t="str">
        <f>"000298482 - RICH BREAD &amp; ROLLS-SODEXO"</f>
        <v>000298482 - RICH BREAD &amp; ROLLS-SODEXO</v>
      </c>
      <c r="C10605" t="s">
        <v>141</v>
      </c>
      <c r="D10605" s="1" t="str">
        <f t="shared" si="294"/>
        <v>PRG-1035911</v>
      </c>
      <c r="E10605" t="s">
        <v>136</v>
      </c>
      <c r="F10605" t="s">
        <v>4</v>
      </c>
      <c r="G10605" t="str">
        <f>""</f>
        <v/>
      </c>
    </row>
    <row r="10606" spans="1:7" x14ac:dyDescent="0.25">
      <c r="A10606" t="s">
        <v>8</v>
      </c>
      <c r="B10606" s="1" t="str">
        <f>"000301380 - RICH BREAD &amp; ROLLS-SODEXO"</f>
        <v>000301380 - RICH BREAD &amp; ROLLS-SODEXO</v>
      </c>
      <c r="C10606" t="s">
        <v>141</v>
      </c>
      <c r="D10606" s="1" t="str">
        <f t="shared" si="294"/>
        <v>PRG-1035911</v>
      </c>
      <c r="E10606" t="s">
        <v>136</v>
      </c>
      <c r="F10606" t="s">
        <v>4</v>
      </c>
      <c r="G10606" t="str">
        <f>""</f>
        <v/>
      </c>
    </row>
    <row r="10607" spans="1:7" x14ac:dyDescent="0.25">
      <c r="A10607" t="s">
        <v>8</v>
      </c>
      <c r="B10607" s="1" t="str">
        <f>"000302208 - RICHS BREAD &amp; ROLLS-SODEXO"</f>
        <v>000302208 - RICHS BREAD &amp; ROLLS-SODEXO</v>
      </c>
      <c r="C10607" t="s">
        <v>135</v>
      </c>
      <c r="D10607" s="1" t="str">
        <f t="shared" si="294"/>
        <v>PRG-1035911</v>
      </c>
      <c r="E10607" t="s">
        <v>136</v>
      </c>
      <c r="F10607" t="s">
        <v>4</v>
      </c>
      <c r="G10607" t="str">
        <f>""</f>
        <v/>
      </c>
    </row>
    <row r="10608" spans="1:7" x14ac:dyDescent="0.25">
      <c r="A10608" t="s">
        <v>8</v>
      </c>
      <c r="B10608" s="1" t="str">
        <f>"000306398 - RICHS BREAD &amp; ROLLS-SODEXO"</f>
        <v>000306398 - RICHS BREAD &amp; ROLLS-SODEXO</v>
      </c>
      <c r="C10608" t="s">
        <v>135</v>
      </c>
      <c r="D10608" s="1" t="str">
        <f t="shared" si="294"/>
        <v>PRG-1035911</v>
      </c>
      <c r="E10608" t="s">
        <v>136</v>
      </c>
      <c r="F10608" t="s">
        <v>4</v>
      </c>
      <c r="G10608" t="str">
        <f>""</f>
        <v/>
      </c>
    </row>
    <row r="10609" spans="1:7" x14ac:dyDescent="0.25">
      <c r="A10609" t="s">
        <v>8</v>
      </c>
      <c r="B10609" s="1" t="str">
        <f>"000309100 - RICHS BREAD &amp; ROLLS-SODEXO"</f>
        <v>000309100 - RICHS BREAD &amp; ROLLS-SODEXO</v>
      </c>
      <c r="C10609" t="s">
        <v>135</v>
      </c>
      <c r="D10609" s="1" t="str">
        <f t="shared" si="294"/>
        <v>PRG-1035911</v>
      </c>
      <c r="E10609" t="s">
        <v>136</v>
      </c>
      <c r="F10609" t="s">
        <v>4</v>
      </c>
      <c r="G10609" t="str">
        <f>""</f>
        <v/>
      </c>
    </row>
    <row r="10610" spans="1:7" x14ac:dyDescent="0.25">
      <c r="A10610" t="s">
        <v>8</v>
      </c>
      <c r="B10610" s="1" t="str">
        <f>"000310831 - RICH BREAD &amp; ROLL CORE BB-SODX"</f>
        <v>000310831 - RICH BREAD &amp; ROLL CORE BB-SODX</v>
      </c>
      <c r="C10610" t="s">
        <v>273</v>
      </c>
      <c r="D10610" s="1" t="str">
        <f t="shared" si="294"/>
        <v>PRG-1035911</v>
      </c>
      <c r="E10610" t="s">
        <v>136</v>
      </c>
      <c r="F10610" t="s">
        <v>4</v>
      </c>
      <c r="G10610" t="str">
        <f>""</f>
        <v/>
      </c>
    </row>
    <row r="10611" spans="1:7" x14ac:dyDescent="0.25">
      <c r="A10611" t="s">
        <v>8</v>
      </c>
      <c r="B10611" s="1" t="str">
        <f>"000310832 - RICH BRED &amp; ROLL NCORE BB-SODX"</f>
        <v>000310832 - RICH BRED &amp; ROLL NCORE BB-SODX</v>
      </c>
      <c r="C10611" t="s">
        <v>274</v>
      </c>
      <c r="D10611" s="1" t="str">
        <f t="shared" si="294"/>
        <v>PRG-1035911</v>
      </c>
      <c r="E10611" t="s">
        <v>136</v>
      </c>
      <c r="F10611" t="s">
        <v>4</v>
      </c>
      <c r="G10611" t="str">
        <f>""</f>
        <v/>
      </c>
    </row>
    <row r="10612" spans="1:7" x14ac:dyDescent="0.25">
      <c r="A10612" t="s">
        <v>8</v>
      </c>
      <c r="B10612" s="1" t="str">
        <f>"000315273 - RICHS BREAD &amp; ROLLS-SODEXO"</f>
        <v>000315273 - RICHS BREAD &amp; ROLLS-SODEXO</v>
      </c>
      <c r="C10612" t="s">
        <v>135</v>
      </c>
      <c r="D10612" s="1" t="str">
        <f t="shared" si="294"/>
        <v>PRG-1035911</v>
      </c>
      <c r="E10612" t="s">
        <v>136</v>
      </c>
      <c r="F10612" t="s">
        <v>4</v>
      </c>
      <c r="G10612" t="str">
        <f>""</f>
        <v/>
      </c>
    </row>
    <row r="10613" spans="1:7" x14ac:dyDescent="0.25">
      <c r="A10613" t="s">
        <v>8</v>
      </c>
      <c r="B10613" s="1" t="str">
        <f>"000315837 - RICH BREAD &amp; ROLLS-SODEXO"</f>
        <v>000315837 - RICH BREAD &amp; ROLLS-SODEXO</v>
      </c>
      <c r="C10613" t="s">
        <v>141</v>
      </c>
      <c r="D10613" s="1" t="str">
        <f t="shared" si="294"/>
        <v>PRG-1035911</v>
      </c>
      <c r="E10613" t="s">
        <v>136</v>
      </c>
      <c r="F10613" t="s">
        <v>4</v>
      </c>
      <c r="G10613" t="str">
        <f>""</f>
        <v/>
      </c>
    </row>
    <row r="10614" spans="1:7" x14ac:dyDescent="0.25">
      <c r="A10614" t="s">
        <v>8</v>
      </c>
      <c r="B10614" s="1" t="str">
        <f>"000317619 - RICH BREAD &amp; ROLL CORE BB-SODX"</f>
        <v>000317619 - RICH BREAD &amp; ROLL CORE BB-SODX</v>
      </c>
      <c r="C10614" t="s">
        <v>273</v>
      </c>
      <c r="D10614" s="1" t="str">
        <f t="shared" si="294"/>
        <v>PRG-1035911</v>
      </c>
      <c r="E10614" t="s">
        <v>136</v>
      </c>
      <c r="F10614" t="s">
        <v>4</v>
      </c>
      <c r="G10614" t="str">
        <f>""</f>
        <v/>
      </c>
    </row>
    <row r="10615" spans="1:7" x14ac:dyDescent="0.25">
      <c r="A10615" t="s">
        <v>8</v>
      </c>
      <c r="B10615" s="1" t="str">
        <f>"000317620 - RICH BRED &amp; ROLL NCORE BB-SODX"</f>
        <v>000317620 - RICH BRED &amp; ROLL NCORE BB-SODX</v>
      </c>
      <c r="C10615" t="s">
        <v>274</v>
      </c>
      <c r="D10615" s="1" t="str">
        <f t="shared" si="294"/>
        <v>PRG-1035911</v>
      </c>
      <c r="E10615" t="s">
        <v>136</v>
      </c>
      <c r="F10615" t="s">
        <v>4</v>
      </c>
      <c r="G10615" t="str">
        <f>""</f>
        <v/>
      </c>
    </row>
    <row r="10616" spans="1:7" x14ac:dyDescent="0.25">
      <c r="A10616" t="s">
        <v>8</v>
      </c>
      <c r="B10616" s="1" t="str">
        <f>"000318915 - RICH BREAD &amp; ROLL CORE BB-SODX"</f>
        <v>000318915 - RICH BREAD &amp; ROLL CORE BB-SODX</v>
      </c>
      <c r="C10616" t="s">
        <v>273</v>
      </c>
      <c r="D10616" s="1" t="str">
        <f t="shared" si="294"/>
        <v>PRG-1035911</v>
      </c>
      <c r="E10616" t="s">
        <v>136</v>
      </c>
      <c r="F10616" t="s">
        <v>4</v>
      </c>
      <c r="G10616" t="str">
        <f>""</f>
        <v/>
      </c>
    </row>
    <row r="10617" spans="1:7" x14ac:dyDescent="0.25">
      <c r="A10617" t="s">
        <v>8</v>
      </c>
      <c r="B10617" s="1" t="str">
        <f>"000318916 - RICH BRED &amp; ROLL NCORE BB-SODX"</f>
        <v>000318916 - RICH BRED &amp; ROLL NCORE BB-SODX</v>
      </c>
      <c r="C10617" t="s">
        <v>274</v>
      </c>
      <c r="D10617" s="1" t="str">
        <f t="shared" si="294"/>
        <v>PRG-1035911</v>
      </c>
      <c r="E10617" t="s">
        <v>136</v>
      </c>
      <c r="F10617" t="s">
        <v>4</v>
      </c>
      <c r="G10617" t="str">
        <f>""</f>
        <v/>
      </c>
    </row>
    <row r="10618" spans="1:7" x14ac:dyDescent="0.25">
      <c r="A10618" t="s">
        <v>8</v>
      </c>
      <c r="B10618" s="1" t="str">
        <f>"000319057 - RICHS BREAD &amp; ROLLS-SODEXO"</f>
        <v>000319057 - RICHS BREAD &amp; ROLLS-SODEXO</v>
      </c>
      <c r="C10618" t="s">
        <v>135</v>
      </c>
      <c r="D10618" s="1" t="str">
        <f t="shared" si="294"/>
        <v>PRG-1035911</v>
      </c>
      <c r="E10618" t="s">
        <v>136</v>
      </c>
      <c r="F10618" t="s">
        <v>4</v>
      </c>
      <c r="G10618" t="str">
        <f>""</f>
        <v/>
      </c>
    </row>
    <row r="10619" spans="1:7" x14ac:dyDescent="0.25">
      <c r="A10619" t="s">
        <v>8</v>
      </c>
      <c r="B10619" s="1" t="str">
        <f>"000320307 - RICHS BREAD &amp; ROLLS-SODEXO"</f>
        <v>000320307 - RICHS BREAD &amp; ROLLS-SODEXO</v>
      </c>
      <c r="C10619" t="s">
        <v>135</v>
      </c>
      <c r="D10619" s="1" t="str">
        <f t="shared" si="294"/>
        <v>PRG-1035911</v>
      </c>
      <c r="E10619" t="s">
        <v>136</v>
      </c>
      <c r="F10619" t="s">
        <v>4</v>
      </c>
      <c r="G10619" t="str">
        <f>""</f>
        <v/>
      </c>
    </row>
    <row r="10620" spans="1:7" x14ac:dyDescent="0.25">
      <c r="A10620" t="s">
        <v>8</v>
      </c>
      <c r="B10620" s="1" t="str">
        <f>"000320635 - RICHS BREAD &amp; ROLLS-SODEXO"</f>
        <v>000320635 - RICHS BREAD &amp; ROLLS-SODEXO</v>
      </c>
      <c r="C10620" t="s">
        <v>135</v>
      </c>
      <c r="D10620" s="1" t="str">
        <f t="shared" si="294"/>
        <v>PRG-1035911</v>
      </c>
      <c r="E10620" t="s">
        <v>136</v>
      </c>
      <c r="F10620" t="s">
        <v>4</v>
      </c>
      <c r="G10620" t="str">
        <f>""</f>
        <v/>
      </c>
    </row>
    <row r="10621" spans="1:7" x14ac:dyDescent="0.25">
      <c r="A10621" t="s">
        <v>8</v>
      </c>
      <c r="B10621" s="1" t="str">
        <f>"000323750 - RICHS BREAD &amp; ROLLS-SODEXO"</f>
        <v>000323750 - RICHS BREAD &amp; ROLLS-SODEXO</v>
      </c>
      <c r="C10621" t="s">
        <v>135</v>
      </c>
      <c r="D10621" s="1" t="str">
        <f t="shared" si="294"/>
        <v>PRG-1035911</v>
      </c>
      <c r="E10621" t="s">
        <v>136</v>
      </c>
      <c r="F10621" t="s">
        <v>4</v>
      </c>
      <c r="G10621" t="str">
        <f>""</f>
        <v/>
      </c>
    </row>
    <row r="10622" spans="1:7" x14ac:dyDescent="0.25">
      <c r="A10622" t="s">
        <v>8</v>
      </c>
      <c r="B10622" s="1" t="str">
        <f>"000325930 - RICHS BREAD &amp; ROLLS-SODEXO"</f>
        <v>000325930 - RICHS BREAD &amp; ROLLS-SODEXO</v>
      </c>
      <c r="C10622" t="s">
        <v>135</v>
      </c>
      <c r="D10622" s="1" t="str">
        <f t="shared" si="294"/>
        <v>PRG-1035911</v>
      </c>
      <c r="E10622" t="s">
        <v>136</v>
      </c>
      <c r="F10622" t="s">
        <v>4</v>
      </c>
      <c r="G10622" t="str">
        <f>""</f>
        <v/>
      </c>
    </row>
    <row r="10623" spans="1:7" x14ac:dyDescent="0.25">
      <c r="A10623" t="s">
        <v>8</v>
      </c>
      <c r="B10623" s="1" t="str">
        <f>"000326935 - "</f>
        <v xml:space="preserve">000326935 - </v>
      </c>
      <c r="D10623" s="1" t="str">
        <f t="shared" si="294"/>
        <v>PRG-1035911</v>
      </c>
      <c r="E10623" t="s">
        <v>136</v>
      </c>
      <c r="F10623" t="s">
        <v>4</v>
      </c>
      <c r="G10623" t="str">
        <f>""</f>
        <v/>
      </c>
    </row>
    <row r="10624" spans="1:7" x14ac:dyDescent="0.25">
      <c r="A10624" t="s">
        <v>8</v>
      </c>
      <c r="B10624" s="1" t="str">
        <f>"000326936 - "</f>
        <v xml:space="preserve">000326936 - </v>
      </c>
      <c r="D10624" s="1" t="str">
        <f t="shared" si="294"/>
        <v>PRG-1035911</v>
      </c>
      <c r="E10624" t="s">
        <v>136</v>
      </c>
      <c r="F10624" t="s">
        <v>4</v>
      </c>
      <c r="G10624" t="str">
        <f>""</f>
        <v/>
      </c>
    </row>
    <row r="10625" spans="1:7" x14ac:dyDescent="0.25">
      <c r="A10625" t="s">
        <v>8</v>
      </c>
      <c r="B10625" s="1" t="str">
        <f>"000328636 - "</f>
        <v xml:space="preserve">000328636 - </v>
      </c>
      <c r="D10625" s="1" t="str">
        <f t="shared" si="294"/>
        <v>PRG-1035911</v>
      </c>
      <c r="E10625" t="s">
        <v>136</v>
      </c>
      <c r="F10625" t="s">
        <v>4</v>
      </c>
      <c r="G10625" t="str">
        <f>""</f>
        <v/>
      </c>
    </row>
    <row r="10626" spans="1:7" x14ac:dyDescent="0.25">
      <c r="A10626" t="s">
        <v>8</v>
      </c>
      <c r="B10626" s="1" t="str">
        <f>"000329152 - RICHS BREAD &amp; ROLLS-SODEXO"</f>
        <v>000329152 - RICHS BREAD &amp; ROLLS-SODEXO</v>
      </c>
      <c r="C10626" t="s">
        <v>135</v>
      </c>
      <c r="D10626" s="1" t="str">
        <f t="shared" si="294"/>
        <v>PRG-1035911</v>
      </c>
      <c r="E10626" t="s">
        <v>136</v>
      </c>
      <c r="F10626" t="s">
        <v>4</v>
      </c>
      <c r="G10626" t="str">
        <f>""</f>
        <v/>
      </c>
    </row>
    <row r="10627" spans="1:7" x14ac:dyDescent="0.25">
      <c r="A10627" t="s">
        <v>8</v>
      </c>
      <c r="B10627" s="1" t="str">
        <f>"000329344 - RICHS BREAD &amp; ROLLS-SODEXO"</f>
        <v>000329344 - RICHS BREAD &amp; ROLLS-SODEXO</v>
      </c>
      <c r="C10627" t="s">
        <v>135</v>
      </c>
      <c r="D10627" s="1" t="str">
        <f t="shared" si="294"/>
        <v>PRG-1035911</v>
      </c>
      <c r="E10627" t="s">
        <v>136</v>
      </c>
      <c r="F10627" t="s">
        <v>4</v>
      </c>
      <c r="G10627" t="str">
        <f>""</f>
        <v/>
      </c>
    </row>
    <row r="10628" spans="1:7" x14ac:dyDescent="0.25">
      <c r="A10628" t="s">
        <v>8</v>
      </c>
      <c r="B10628" s="1" t="str">
        <f>"000332467 - RICHS BREAD &amp; ROLLS-SODEXO"</f>
        <v>000332467 - RICHS BREAD &amp; ROLLS-SODEXO</v>
      </c>
      <c r="C10628" t="s">
        <v>135</v>
      </c>
      <c r="D10628" s="1" t="str">
        <f t="shared" si="294"/>
        <v>PRG-1035911</v>
      </c>
      <c r="E10628" t="s">
        <v>136</v>
      </c>
      <c r="F10628" t="s">
        <v>4</v>
      </c>
      <c r="G10628" t="str">
        <f>""</f>
        <v/>
      </c>
    </row>
    <row r="10629" spans="1:7" x14ac:dyDescent="0.25">
      <c r="A10629" t="s">
        <v>8</v>
      </c>
      <c r="B10629" s="1" t="str">
        <f>"000333423 - RICH BRED &amp; ROLL NCORE BB-SODX"</f>
        <v>000333423 - RICH BRED &amp; ROLL NCORE BB-SODX</v>
      </c>
      <c r="C10629" t="s">
        <v>274</v>
      </c>
      <c r="D10629" s="1" t="str">
        <f t="shared" si="294"/>
        <v>PRG-1035911</v>
      </c>
      <c r="E10629" t="s">
        <v>136</v>
      </c>
      <c r="F10629" t="s">
        <v>4</v>
      </c>
      <c r="G10629" t="str">
        <f>""</f>
        <v/>
      </c>
    </row>
    <row r="10630" spans="1:7" x14ac:dyDescent="0.25">
      <c r="A10630" t="s">
        <v>8</v>
      </c>
      <c r="B10630" s="1" t="str">
        <f>"000335548 - RICHS BREAD &amp; ROLLS-SODEXO"</f>
        <v>000335548 - RICHS BREAD &amp; ROLLS-SODEXO</v>
      </c>
      <c r="C10630" t="s">
        <v>135</v>
      </c>
      <c r="D10630" s="1" t="str">
        <f t="shared" si="294"/>
        <v>PRG-1035911</v>
      </c>
      <c r="E10630" t="s">
        <v>136</v>
      </c>
      <c r="F10630" t="s">
        <v>4</v>
      </c>
      <c r="G10630" t="str">
        <f>""</f>
        <v/>
      </c>
    </row>
    <row r="10631" spans="1:7" x14ac:dyDescent="0.25">
      <c r="A10631" t="s">
        <v>8</v>
      </c>
      <c r="B10631" s="1" t="str">
        <f>"000335728 - RICHS BREAD &amp; ROLLS-SODEXO"</f>
        <v>000335728 - RICHS BREAD &amp; ROLLS-SODEXO</v>
      </c>
      <c r="C10631" t="s">
        <v>135</v>
      </c>
      <c r="D10631" s="1" t="str">
        <f t="shared" si="294"/>
        <v>PRG-1035911</v>
      </c>
      <c r="E10631" t="s">
        <v>136</v>
      </c>
      <c r="F10631" t="s">
        <v>4</v>
      </c>
      <c r="G10631" t="str">
        <f>""</f>
        <v/>
      </c>
    </row>
    <row r="10632" spans="1:7" x14ac:dyDescent="0.25">
      <c r="A10632" t="s">
        <v>8</v>
      </c>
      <c r="B10632" s="1" t="str">
        <f>"000338966 - RICH BREAD &amp; ROLL CORE BB-SODX"</f>
        <v>000338966 - RICH BREAD &amp; ROLL CORE BB-SODX</v>
      </c>
      <c r="C10632" t="s">
        <v>273</v>
      </c>
      <c r="D10632" s="1" t="str">
        <f t="shared" si="294"/>
        <v>PRG-1035911</v>
      </c>
      <c r="E10632" t="s">
        <v>136</v>
      </c>
      <c r="F10632" t="s">
        <v>4</v>
      </c>
      <c r="G10632" t="str">
        <f>""</f>
        <v/>
      </c>
    </row>
    <row r="10633" spans="1:7" x14ac:dyDescent="0.25">
      <c r="A10633" t="s">
        <v>8</v>
      </c>
      <c r="B10633" s="1" t="str">
        <f>"000338967 - RICH BRED &amp; ROLL NCORE BB-SODX"</f>
        <v>000338967 - RICH BRED &amp; ROLL NCORE BB-SODX</v>
      </c>
      <c r="C10633" t="s">
        <v>274</v>
      </c>
      <c r="D10633" s="1" t="str">
        <f t="shared" si="294"/>
        <v>PRG-1035911</v>
      </c>
      <c r="E10633" t="s">
        <v>136</v>
      </c>
      <c r="F10633" t="s">
        <v>4</v>
      </c>
      <c r="G10633" t="str">
        <f>""</f>
        <v/>
      </c>
    </row>
    <row r="10634" spans="1:7" x14ac:dyDescent="0.25">
      <c r="A10634" t="s">
        <v>8</v>
      </c>
      <c r="B10634" s="1" t="str">
        <f>"000340940 - RICHS BREAD &amp; ROLLS-SODEXO"</f>
        <v>000340940 - RICHS BREAD &amp; ROLLS-SODEXO</v>
      </c>
      <c r="C10634" t="s">
        <v>135</v>
      </c>
      <c r="D10634" s="1" t="str">
        <f t="shared" si="294"/>
        <v>PRG-1035911</v>
      </c>
      <c r="E10634" t="s">
        <v>136</v>
      </c>
      <c r="F10634" t="s">
        <v>4</v>
      </c>
      <c r="G10634" t="str">
        <f>""</f>
        <v/>
      </c>
    </row>
    <row r="10635" spans="1:7" x14ac:dyDescent="0.25">
      <c r="A10635" t="s">
        <v>8</v>
      </c>
      <c r="B10635" s="1" t="str">
        <f>"000342776 - "</f>
        <v xml:space="preserve">000342776 - </v>
      </c>
      <c r="D10635" s="1" t="str">
        <f t="shared" si="294"/>
        <v>PRG-1035911</v>
      </c>
      <c r="E10635" t="s">
        <v>136</v>
      </c>
      <c r="F10635" t="s">
        <v>4</v>
      </c>
      <c r="G10635" t="str">
        <f>""</f>
        <v/>
      </c>
    </row>
    <row r="10636" spans="1:7" x14ac:dyDescent="0.25">
      <c r="A10636" t="s">
        <v>8</v>
      </c>
      <c r="B10636" s="1" t="str">
        <f>"000344549 - RICHS - 100912 FLOUR"</f>
        <v>000344549 - RICHS - 100912 FLOUR</v>
      </c>
      <c r="C10636" t="s">
        <v>2568</v>
      </c>
      <c r="D10636" s="1" t="str">
        <f t="shared" si="294"/>
        <v>PRG-1035911</v>
      </c>
      <c r="E10636" t="s">
        <v>136</v>
      </c>
      <c r="F10636" t="s">
        <v>4</v>
      </c>
      <c r="G10636" t="str">
        <f>""</f>
        <v/>
      </c>
    </row>
    <row r="10637" spans="1:7" x14ac:dyDescent="0.25">
      <c r="A10637" t="s">
        <v>8</v>
      </c>
      <c r="B10637" s="1" t="str">
        <f>"000344827 - RICHS BREAD &amp; ROLLS-SODEXO"</f>
        <v>000344827 - RICHS BREAD &amp; ROLLS-SODEXO</v>
      </c>
      <c r="C10637" t="s">
        <v>135</v>
      </c>
      <c r="D10637" s="1" t="str">
        <f t="shared" si="294"/>
        <v>PRG-1035911</v>
      </c>
      <c r="E10637" t="s">
        <v>136</v>
      </c>
      <c r="F10637" t="s">
        <v>4</v>
      </c>
      <c r="G10637" t="str">
        <f>""</f>
        <v/>
      </c>
    </row>
    <row r="10638" spans="1:7" x14ac:dyDescent="0.25">
      <c r="A10638" t="s">
        <v>8</v>
      </c>
      <c r="B10638" s="1" t="str">
        <f>"000347219 - RICHS BREAD &amp; ROLLS-SODEXO"</f>
        <v>000347219 - RICHS BREAD &amp; ROLLS-SODEXO</v>
      </c>
      <c r="C10638" t="s">
        <v>135</v>
      </c>
      <c r="D10638" s="1" t="str">
        <f t="shared" si="294"/>
        <v>PRG-1035911</v>
      </c>
      <c r="E10638" t="s">
        <v>136</v>
      </c>
      <c r="F10638" t="s">
        <v>4</v>
      </c>
      <c r="G10638" t="str">
        <f>""</f>
        <v/>
      </c>
    </row>
    <row r="10639" spans="1:7" x14ac:dyDescent="0.25">
      <c r="A10639" t="s">
        <v>8</v>
      </c>
      <c r="B10639" s="1" t="str">
        <f>"000348065 - "</f>
        <v xml:space="preserve">000348065 - </v>
      </c>
      <c r="D10639" s="1" t="str">
        <f t="shared" si="294"/>
        <v>PRG-1035911</v>
      </c>
      <c r="E10639" t="s">
        <v>136</v>
      </c>
      <c r="F10639" t="s">
        <v>4</v>
      </c>
      <c r="G10639" t="str">
        <f>""</f>
        <v/>
      </c>
    </row>
    <row r="10640" spans="1:7" x14ac:dyDescent="0.25">
      <c r="A10640" t="s">
        <v>8</v>
      </c>
      <c r="B10640" s="1" t="str">
        <f>"000348066 - "</f>
        <v xml:space="preserve">000348066 - </v>
      </c>
      <c r="D10640" s="1" t="str">
        <f t="shared" si="294"/>
        <v>PRG-1035911</v>
      </c>
      <c r="E10640" t="s">
        <v>136</v>
      </c>
      <c r="F10640" t="s">
        <v>4</v>
      </c>
      <c r="G10640" t="str">
        <f>""</f>
        <v/>
      </c>
    </row>
    <row r="10641" spans="1:7" x14ac:dyDescent="0.25">
      <c r="A10641" t="s">
        <v>8</v>
      </c>
      <c r="B10641" s="1" t="str">
        <f>"000348324 - RICH BREAD &amp; ROLL CORE BB-SODX"</f>
        <v>000348324 - RICH BREAD &amp; ROLL CORE BB-SODX</v>
      </c>
      <c r="C10641" t="s">
        <v>273</v>
      </c>
      <c r="D10641" s="1" t="str">
        <f t="shared" si="294"/>
        <v>PRG-1035911</v>
      </c>
      <c r="E10641" t="s">
        <v>136</v>
      </c>
      <c r="F10641" t="s">
        <v>4</v>
      </c>
      <c r="G10641" t="str">
        <f>""</f>
        <v/>
      </c>
    </row>
    <row r="10642" spans="1:7" x14ac:dyDescent="0.25">
      <c r="A10642" t="s">
        <v>8</v>
      </c>
      <c r="B10642" s="1" t="str">
        <f>"000348325 - RICH BRED &amp; ROLL NCORE BB-SODX"</f>
        <v>000348325 - RICH BRED &amp; ROLL NCORE BB-SODX</v>
      </c>
      <c r="C10642" t="s">
        <v>274</v>
      </c>
      <c r="D10642" s="1" t="str">
        <f t="shared" si="294"/>
        <v>PRG-1035911</v>
      </c>
      <c r="E10642" t="s">
        <v>136</v>
      </c>
      <c r="F10642" t="s">
        <v>4</v>
      </c>
      <c r="G10642" t="str">
        <f>""</f>
        <v/>
      </c>
    </row>
    <row r="10643" spans="1:7" x14ac:dyDescent="0.25">
      <c r="A10643" t="s">
        <v>8</v>
      </c>
      <c r="B10643" s="1" t="str">
        <f>"000349074 - RICHS BREAD &amp; ROLLS-SODEXO"</f>
        <v>000349074 - RICHS BREAD &amp; ROLLS-SODEXO</v>
      </c>
      <c r="C10643" t="s">
        <v>135</v>
      </c>
      <c r="D10643" s="1" t="str">
        <f t="shared" si="294"/>
        <v>PRG-1035911</v>
      </c>
      <c r="E10643" t="s">
        <v>136</v>
      </c>
      <c r="F10643" t="s">
        <v>4</v>
      </c>
      <c r="G10643" t="str">
        <f>""</f>
        <v/>
      </c>
    </row>
    <row r="10644" spans="1:7" x14ac:dyDescent="0.25">
      <c r="A10644" t="s">
        <v>8</v>
      </c>
      <c r="B10644" s="1" t="str">
        <f>"000349524 - RICHS BREAD &amp; ROLLS-SODEXO"</f>
        <v>000349524 - RICHS BREAD &amp; ROLLS-SODEXO</v>
      </c>
      <c r="C10644" t="s">
        <v>135</v>
      </c>
      <c r="D10644" s="1" t="str">
        <f t="shared" si="294"/>
        <v>PRG-1035911</v>
      </c>
      <c r="E10644" t="s">
        <v>136</v>
      </c>
      <c r="F10644" t="s">
        <v>4</v>
      </c>
      <c r="G10644" t="str">
        <f>""</f>
        <v/>
      </c>
    </row>
    <row r="10645" spans="1:7" x14ac:dyDescent="0.25">
      <c r="A10645" t="s">
        <v>8</v>
      </c>
      <c r="B10645" s="1" t="str">
        <f>"000349900 - "</f>
        <v xml:space="preserve">000349900 - </v>
      </c>
      <c r="D10645" s="1" t="str">
        <f t="shared" si="294"/>
        <v>PRG-1035911</v>
      </c>
      <c r="E10645" t="s">
        <v>136</v>
      </c>
      <c r="F10645" t="s">
        <v>4</v>
      </c>
      <c r="G10645" t="str">
        <f>""</f>
        <v/>
      </c>
    </row>
    <row r="10646" spans="1:7" x14ac:dyDescent="0.25">
      <c r="A10646" t="s">
        <v>8</v>
      </c>
      <c r="B10646" s="1" t="str">
        <f>"000350128 - RICHS BREAD &amp; ROLLS-SODEXO"</f>
        <v>000350128 - RICHS BREAD &amp; ROLLS-SODEXO</v>
      </c>
      <c r="C10646" t="s">
        <v>135</v>
      </c>
      <c r="D10646" s="1" t="str">
        <f t="shared" si="294"/>
        <v>PRG-1035911</v>
      </c>
      <c r="E10646" t="s">
        <v>136</v>
      </c>
      <c r="F10646" t="s">
        <v>4</v>
      </c>
      <c r="G10646" t="str">
        <f>""</f>
        <v/>
      </c>
    </row>
    <row r="10647" spans="1:7" x14ac:dyDescent="0.25">
      <c r="A10647" t="s">
        <v>8</v>
      </c>
      <c r="B10647" s="1" t="str">
        <f>"000353391 - RICHS BREAD &amp; ROLLS-SODEXO"</f>
        <v>000353391 - RICHS BREAD &amp; ROLLS-SODEXO</v>
      </c>
      <c r="C10647" t="s">
        <v>135</v>
      </c>
      <c r="D10647" s="1" t="str">
        <f t="shared" ref="D10647:D10687" si="295">"PRG-1035911"</f>
        <v>PRG-1035911</v>
      </c>
      <c r="E10647" t="s">
        <v>136</v>
      </c>
      <c r="F10647" t="s">
        <v>4</v>
      </c>
      <c r="G10647" t="str">
        <f>""</f>
        <v/>
      </c>
    </row>
    <row r="10648" spans="1:7" x14ac:dyDescent="0.25">
      <c r="A10648" t="s">
        <v>8</v>
      </c>
      <c r="B10648" s="1" t="str">
        <f>"000353845 - "</f>
        <v xml:space="preserve">000353845 - </v>
      </c>
      <c r="D10648" s="1" t="str">
        <f t="shared" si="295"/>
        <v>PRG-1035911</v>
      </c>
      <c r="E10648" t="s">
        <v>136</v>
      </c>
      <c r="F10648" t="s">
        <v>4</v>
      </c>
      <c r="G10648" t="str">
        <f>""</f>
        <v/>
      </c>
    </row>
    <row r="10649" spans="1:7" x14ac:dyDescent="0.25">
      <c r="A10649" t="s">
        <v>8</v>
      </c>
      <c r="B10649" s="1" t="str">
        <f>"000353846 - "</f>
        <v xml:space="preserve">000353846 - </v>
      </c>
      <c r="D10649" s="1" t="str">
        <f t="shared" si="295"/>
        <v>PRG-1035911</v>
      </c>
      <c r="E10649" t="s">
        <v>136</v>
      </c>
      <c r="F10649" t="s">
        <v>4</v>
      </c>
      <c r="G10649" t="str">
        <f>""</f>
        <v/>
      </c>
    </row>
    <row r="10650" spans="1:7" x14ac:dyDescent="0.25">
      <c r="A10650" t="s">
        <v>8</v>
      </c>
      <c r="B10650" s="1" t="str">
        <f>"000354469 - RICH READ &amp; ROLLS-SODEXO"</f>
        <v>000354469 - RICH READ &amp; ROLLS-SODEXO</v>
      </c>
      <c r="C10650" t="s">
        <v>441</v>
      </c>
      <c r="D10650" s="1" t="str">
        <f t="shared" si="295"/>
        <v>PRG-1035911</v>
      </c>
      <c r="E10650" t="s">
        <v>136</v>
      </c>
      <c r="F10650" t="s">
        <v>4</v>
      </c>
      <c r="G10650" t="str">
        <f>""</f>
        <v/>
      </c>
    </row>
    <row r="10651" spans="1:7" x14ac:dyDescent="0.25">
      <c r="A10651" t="s">
        <v>8</v>
      </c>
      <c r="B10651" s="1" t="str">
        <f>"000356011 - RICHS BREAD &amp; ROLLS-SODEXO"</f>
        <v>000356011 - RICHS BREAD &amp; ROLLS-SODEXO</v>
      </c>
      <c r="C10651" t="s">
        <v>135</v>
      </c>
      <c r="D10651" s="1" t="str">
        <f t="shared" si="295"/>
        <v>PRG-1035911</v>
      </c>
      <c r="E10651" t="s">
        <v>136</v>
      </c>
      <c r="F10651" t="s">
        <v>4</v>
      </c>
      <c r="G10651" t="str">
        <f>""</f>
        <v/>
      </c>
    </row>
    <row r="10652" spans="1:7" x14ac:dyDescent="0.25">
      <c r="A10652" t="s">
        <v>8</v>
      </c>
      <c r="B10652" s="1" t="str">
        <f>"000356021 - "</f>
        <v xml:space="preserve">000356021 - </v>
      </c>
      <c r="D10652" s="1" t="str">
        <f t="shared" si="295"/>
        <v>PRG-1035911</v>
      </c>
      <c r="E10652" t="s">
        <v>136</v>
      </c>
      <c r="F10652" t="s">
        <v>4</v>
      </c>
      <c r="G10652" t="str">
        <f>""</f>
        <v/>
      </c>
    </row>
    <row r="10653" spans="1:7" x14ac:dyDescent="0.25">
      <c r="A10653" t="s">
        <v>8</v>
      </c>
      <c r="B10653" s="1" t="str">
        <f>"000356986 - RICHS BREAD &amp; ROLLS-SODEXO"</f>
        <v>000356986 - RICHS BREAD &amp; ROLLS-SODEXO</v>
      </c>
      <c r="C10653" t="s">
        <v>135</v>
      </c>
      <c r="D10653" s="1" t="str">
        <f t="shared" si="295"/>
        <v>PRG-1035911</v>
      </c>
      <c r="E10653" t="s">
        <v>136</v>
      </c>
      <c r="F10653" t="s">
        <v>4</v>
      </c>
      <c r="G10653" t="str">
        <f>""</f>
        <v/>
      </c>
    </row>
    <row r="10654" spans="1:7" x14ac:dyDescent="0.25">
      <c r="A10654" t="s">
        <v>8</v>
      </c>
      <c r="B10654" s="1" t="str">
        <f>"000357442 - "</f>
        <v xml:space="preserve">000357442 - </v>
      </c>
      <c r="D10654" s="1" t="str">
        <f t="shared" si="295"/>
        <v>PRG-1035911</v>
      </c>
      <c r="E10654" t="s">
        <v>136</v>
      </c>
      <c r="F10654" t="s">
        <v>4</v>
      </c>
      <c r="G10654" t="str">
        <f>""</f>
        <v/>
      </c>
    </row>
    <row r="10655" spans="1:7" x14ac:dyDescent="0.25">
      <c r="A10655" t="s">
        <v>8</v>
      </c>
      <c r="B10655" s="1" t="str">
        <f>"000358313 - "</f>
        <v xml:space="preserve">000358313 - </v>
      </c>
      <c r="D10655" s="1" t="str">
        <f t="shared" si="295"/>
        <v>PRG-1035911</v>
      </c>
      <c r="E10655" t="s">
        <v>136</v>
      </c>
      <c r="F10655" t="s">
        <v>4</v>
      </c>
      <c r="G10655" t="str">
        <f>""</f>
        <v/>
      </c>
    </row>
    <row r="10656" spans="1:7" x14ac:dyDescent="0.25">
      <c r="A10656" t="s">
        <v>8</v>
      </c>
      <c r="B10656" s="1" t="str">
        <f>"000358314 - "</f>
        <v xml:space="preserve">000358314 - </v>
      </c>
      <c r="D10656" s="1" t="str">
        <f t="shared" si="295"/>
        <v>PRG-1035911</v>
      </c>
      <c r="E10656" t="s">
        <v>136</v>
      </c>
      <c r="F10656" t="s">
        <v>4</v>
      </c>
      <c r="G10656" t="str">
        <f>""</f>
        <v/>
      </c>
    </row>
    <row r="10657" spans="1:7" x14ac:dyDescent="0.25">
      <c r="A10657" t="s">
        <v>8</v>
      </c>
      <c r="B10657" s="1" t="str">
        <f>"000358358 - RICHS BREAD &amp; ROLLS-SODEXO"</f>
        <v>000358358 - RICHS BREAD &amp; ROLLS-SODEXO</v>
      </c>
      <c r="C10657" t="s">
        <v>135</v>
      </c>
      <c r="D10657" s="1" t="str">
        <f t="shared" si="295"/>
        <v>PRG-1035911</v>
      </c>
      <c r="E10657" t="s">
        <v>136</v>
      </c>
      <c r="F10657" t="s">
        <v>4</v>
      </c>
      <c r="G10657" t="str">
        <f>""</f>
        <v/>
      </c>
    </row>
    <row r="10658" spans="1:7" x14ac:dyDescent="0.25">
      <c r="A10658" t="s">
        <v>8</v>
      </c>
      <c r="B10658" s="1" t="str">
        <f>"000360119 - "</f>
        <v xml:space="preserve">000360119 - </v>
      </c>
      <c r="D10658" s="1" t="str">
        <f t="shared" si="295"/>
        <v>PRG-1035911</v>
      </c>
      <c r="E10658" t="s">
        <v>136</v>
      </c>
      <c r="F10658" t="s">
        <v>4</v>
      </c>
      <c r="G10658" t="str">
        <f>""</f>
        <v/>
      </c>
    </row>
    <row r="10659" spans="1:7" x14ac:dyDescent="0.25">
      <c r="A10659" t="s">
        <v>8</v>
      </c>
      <c r="B10659" s="1" t="str">
        <f>"000360453 - "</f>
        <v xml:space="preserve">000360453 - </v>
      </c>
      <c r="D10659" s="1" t="str">
        <f t="shared" si="295"/>
        <v>PRG-1035911</v>
      </c>
      <c r="E10659" t="s">
        <v>136</v>
      </c>
      <c r="F10659" t="s">
        <v>4</v>
      </c>
      <c r="G10659" t="str">
        <f>""</f>
        <v/>
      </c>
    </row>
    <row r="10660" spans="1:7" x14ac:dyDescent="0.25">
      <c r="A10660" t="s">
        <v>8</v>
      </c>
      <c r="B10660" s="1" t="str">
        <f>"000360454 - "</f>
        <v xml:space="preserve">000360454 - </v>
      </c>
      <c r="D10660" s="1" t="str">
        <f t="shared" si="295"/>
        <v>PRG-1035911</v>
      </c>
      <c r="E10660" t="s">
        <v>136</v>
      </c>
      <c r="F10660" t="s">
        <v>4</v>
      </c>
      <c r="G10660" t="str">
        <f>""</f>
        <v/>
      </c>
    </row>
    <row r="10661" spans="1:7" x14ac:dyDescent="0.25">
      <c r="A10661" t="s">
        <v>8</v>
      </c>
      <c r="B10661" s="1" t="str">
        <f>"000360462 - RICHS BREAD &amp; ROLLS-SODEXO"</f>
        <v>000360462 - RICHS BREAD &amp; ROLLS-SODEXO</v>
      </c>
      <c r="C10661" t="s">
        <v>135</v>
      </c>
      <c r="D10661" s="1" t="str">
        <f t="shared" si="295"/>
        <v>PRG-1035911</v>
      </c>
      <c r="E10661" t="s">
        <v>136</v>
      </c>
      <c r="F10661" t="s">
        <v>4</v>
      </c>
      <c r="G10661" t="str">
        <f>""</f>
        <v/>
      </c>
    </row>
    <row r="10662" spans="1:7" x14ac:dyDescent="0.25">
      <c r="A10662" t="s">
        <v>8</v>
      </c>
      <c r="B10662" s="1" t="str">
        <f>"000361149 - RICHS BREAD &amp; ROLLS-SODEXO"</f>
        <v>000361149 - RICHS BREAD &amp; ROLLS-SODEXO</v>
      </c>
      <c r="C10662" t="s">
        <v>135</v>
      </c>
      <c r="D10662" s="1" t="str">
        <f t="shared" si="295"/>
        <v>PRG-1035911</v>
      </c>
      <c r="E10662" t="s">
        <v>136</v>
      </c>
      <c r="F10662" t="s">
        <v>4</v>
      </c>
      <c r="G10662" t="str">
        <f>""</f>
        <v/>
      </c>
    </row>
    <row r="10663" spans="1:7" x14ac:dyDescent="0.25">
      <c r="A10663" t="s">
        <v>8</v>
      </c>
      <c r="B10663" s="1" t="str">
        <f>"000362256 - "</f>
        <v xml:space="preserve">000362256 - </v>
      </c>
      <c r="D10663" s="1" t="str">
        <f t="shared" si="295"/>
        <v>PRG-1035911</v>
      </c>
      <c r="E10663" t="s">
        <v>136</v>
      </c>
      <c r="F10663" t="s">
        <v>4</v>
      </c>
      <c r="G10663" t="str">
        <f>""</f>
        <v/>
      </c>
    </row>
    <row r="10664" spans="1:7" x14ac:dyDescent="0.25">
      <c r="A10664" t="s">
        <v>8</v>
      </c>
      <c r="B10664" s="1" t="str">
        <f>"000362543 - RICH BREAD &amp; ROLL CORE BB-SODX"</f>
        <v>000362543 - RICH BREAD &amp; ROLL CORE BB-SODX</v>
      </c>
      <c r="C10664" t="s">
        <v>273</v>
      </c>
      <c r="D10664" s="1" t="str">
        <f t="shared" si="295"/>
        <v>PRG-1035911</v>
      </c>
      <c r="E10664" t="s">
        <v>136</v>
      </c>
      <c r="F10664" t="s">
        <v>4</v>
      </c>
      <c r="G10664" t="str">
        <f>""</f>
        <v/>
      </c>
    </row>
    <row r="10665" spans="1:7" x14ac:dyDescent="0.25">
      <c r="A10665" t="s">
        <v>8</v>
      </c>
      <c r="B10665" s="1" t="str">
        <f>"000362544 - RICH BRED &amp; ROLL NCORE BB-SODX"</f>
        <v>000362544 - RICH BRED &amp; ROLL NCORE BB-SODX</v>
      </c>
      <c r="C10665" t="s">
        <v>274</v>
      </c>
      <c r="D10665" s="1" t="str">
        <f t="shared" si="295"/>
        <v>PRG-1035911</v>
      </c>
      <c r="E10665" t="s">
        <v>136</v>
      </c>
      <c r="F10665" t="s">
        <v>4</v>
      </c>
      <c r="G10665" t="str">
        <f>""</f>
        <v/>
      </c>
    </row>
    <row r="10666" spans="1:7" x14ac:dyDescent="0.25">
      <c r="A10666" t="s">
        <v>8</v>
      </c>
      <c r="B10666" s="1" t="str">
        <f>"000364313 - RICHS BREAD &amp; ROLLS-SODEXO"</f>
        <v>000364313 - RICHS BREAD &amp; ROLLS-SODEXO</v>
      </c>
      <c r="C10666" t="s">
        <v>135</v>
      </c>
      <c r="D10666" s="1" t="str">
        <f t="shared" si="295"/>
        <v>PRG-1035911</v>
      </c>
      <c r="E10666" t="s">
        <v>136</v>
      </c>
      <c r="F10666" t="s">
        <v>4</v>
      </c>
      <c r="G10666" t="str">
        <f>""</f>
        <v/>
      </c>
    </row>
    <row r="10667" spans="1:7" x14ac:dyDescent="0.25">
      <c r="A10667" t="s">
        <v>8</v>
      </c>
      <c r="B10667" s="1" t="str">
        <f>"000364324 - RICHS BREAD &amp; ROLLS-SODEXO"</f>
        <v>000364324 - RICHS BREAD &amp; ROLLS-SODEXO</v>
      </c>
      <c r="C10667" t="s">
        <v>135</v>
      </c>
      <c r="D10667" s="1" t="str">
        <f t="shared" si="295"/>
        <v>PRG-1035911</v>
      </c>
      <c r="E10667" t="s">
        <v>136</v>
      </c>
      <c r="F10667" t="s">
        <v>4</v>
      </c>
      <c r="G10667" t="str">
        <f>""</f>
        <v/>
      </c>
    </row>
    <row r="10668" spans="1:7" x14ac:dyDescent="0.25">
      <c r="A10668" t="s">
        <v>8</v>
      </c>
      <c r="B10668" s="1" t="str">
        <f>"000364675 - RICHS BREAD &amp; ROLLS-SODEXO"</f>
        <v>000364675 - RICHS BREAD &amp; ROLLS-SODEXO</v>
      </c>
      <c r="C10668" t="s">
        <v>135</v>
      </c>
      <c r="D10668" s="1" t="str">
        <f t="shared" si="295"/>
        <v>PRG-1035911</v>
      </c>
      <c r="E10668" t="s">
        <v>136</v>
      </c>
      <c r="F10668" t="s">
        <v>4</v>
      </c>
      <c r="G10668" t="str">
        <f>""</f>
        <v/>
      </c>
    </row>
    <row r="10669" spans="1:7" x14ac:dyDescent="0.25">
      <c r="A10669" t="s">
        <v>8</v>
      </c>
      <c r="B10669" s="1" t="str">
        <f>"000366822 - RICHS BREAD &amp; ROLLS-SODEXO"</f>
        <v>000366822 - RICHS BREAD &amp; ROLLS-SODEXO</v>
      </c>
      <c r="C10669" t="s">
        <v>135</v>
      </c>
      <c r="D10669" s="1" t="str">
        <f t="shared" si="295"/>
        <v>PRG-1035911</v>
      </c>
      <c r="E10669" t="s">
        <v>136</v>
      </c>
      <c r="F10669" t="s">
        <v>4</v>
      </c>
      <c r="G10669" t="str">
        <f>""</f>
        <v/>
      </c>
    </row>
    <row r="10670" spans="1:7" x14ac:dyDescent="0.25">
      <c r="A10670" t="s">
        <v>8</v>
      </c>
      <c r="B10670" s="1" t="str">
        <f>"000369414 - "</f>
        <v xml:space="preserve">000369414 - </v>
      </c>
      <c r="D10670" s="1" t="str">
        <f t="shared" si="295"/>
        <v>PRG-1035911</v>
      </c>
      <c r="E10670" t="s">
        <v>136</v>
      </c>
      <c r="F10670" t="s">
        <v>4</v>
      </c>
      <c r="G10670" t="str">
        <f>""</f>
        <v/>
      </c>
    </row>
    <row r="10671" spans="1:7" x14ac:dyDescent="0.25">
      <c r="A10671" t="s">
        <v>8</v>
      </c>
      <c r="B10671" s="1" t="str">
        <f>"000372950 - RICHS BREAD &amp; ROLLS-SODEXO"</f>
        <v>000372950 - RICHS BREAD &amp; ROLLS-SODEXO</v>
      </c>
      <c r="C10671" t="s">
        <v>135</v>
      </c>
      <c r="D10671" s="1" t="str">
        <f t="shared" si="295"/>
        <v>PRG-1035911</v>
      </c>
      <c r="E10671" t="s">
        <v>136</v>
      </c>
      <c r="F10671" t="s">
        <v>4</v>
      </c>
      <c r="G10671" t="str">
        <f>""</f>
        <v/>
      </c>
    </row>
    <row r="10672" spans="1:7" x14ac:dyDescent="0.25">
      <c r="A10672" t="s">
        <v>8</v>
      </c>
      <c r="B10672" s="1" t="str">
        <f>"000375271 - RICH BREAD &amp; ROLL CORE BB-SODX"</f>
        <v>000375271 - RICH BREAD &amp; ROLL CORE BB-SODX</v>
      </c>
      <c r="C10672" t="s">
        <v>273</v>
      </c>
      <c r="D10672" s="1" t="str">
        <f t="shared" si="295"/>
        <v>PRG-1035911</v>
      </c>
      <c r="E10672" t="s">
        <v>136</v>
      </c>
      <c r="F10672" t="s">
        <v>4</v>
      </c>
      <c r="G10672" t="str">
        <f>""</f>
        <v/>
      </c>
    </row>
    <row r="10673" spans="1:7" x14ac:dyDescent="0.25">
      <c r="A10673" t="s">
        <v>8</v>
      </c>
      <c r="B10673" s="1" t="str">
        <f>"000375272 - RICH BRED &amp; ROLL NCORE BB-SODX"</f>
        <v>000375272 - RICH BRED &amp; ROLL NCORE BB-SODX</v>
      </c>
      <c r="C10673" t="s">
        <v>274</v>
      </c>
      <c r="D10673" s="1" t="str">
        <f t="shared" si="295"/>
        <v>PRG-1035911</v>
      </c>
      <c r="E10673" t="s">
        <v>136</v>
      </c>
      <c r="F10673" t="s">
        <v>4</v>
      </c>
      <c r="G10673" t="str">
        <f>""</f>
        <v/>
      </c>
    </row>
    <row r="10674" spans="1:7" x14ac:dyDescent="0.25">
      <c r="A10674" t="s">
        <v>8</v>
      </c>
      <c r="B10674" s="1" t="str">
        <f>"000377202 - RICHS BREAD &amp; ROLLS-SODEXO"</f>
        <v>000377202 - RICHS BREAD &amp; ROLLS-SODEXO</v>
      </c>
      <c r="C10674" t="s">
        <v>135</v>
      </c>
      <c r="D10674" s="1" t="str">
        <f t="shared" si="295"/>
        <v>PRG-1035911</v>
      </c>
      <c r="E10674" t="s">
        <v>136</v>
      </c>
      <c r="F10674" t="s">
        <v>4</v>
      </c>
      <c r="G10674" t="str">
        <f>""</f>
        <v/>
      </c>
    </row>
    <row r="10675" spans="1:7" x14ac:dyDescent="0.25">
      <c r="A10675" t="s">
        <v>8</v>
      </c>
      <c r="B10675" s="1" t="str">
        <f>"000385024 - RICHS BREAD &amp; ROLLS-SODEXO"</f>
        <v>000385024 - RICHS BREAD &amp; ROLLS-SODEXO</v>
      </c>
      <c r="C10675" t="s">
        <v>135</v>
      </c>
      <c r="D10675" s="1" t="str">
        <f t="shared" si="295"/>
        <v>PRG-1035911</v>
      </c>
      <c r="E10675" t="s">
        <v>136</v>
      </c>
      <c r="F10675" t="s">
        <v>4</v>
      </c>
      <c r="G10675" t="str">
        <f>""</f>
        <v/>
      </c>
    </row>
    <row r="10676" spans="1:7" x14ac:dyDescent="0.25">
      <c r="A10676" t="s">
        <v>8</v>
      </c>
      <c r="B10676" s="1" t="str">
        <f>"000387371 - "</f>
        <v xml:space="preserve">000387371 - </v>
      </c>
      <c r="D10676" s="1" t="str">
        <f t="shared" si="295"/>
        <v>PRG-1035911</v>
      </c>
      <c r="E10676" t="s">
        <v>136</v>
      </c>
      <c r="F10676" t="s">
        <v>4</v>
      </c>
      <c r="G10676" t="str">
        <f>""</f>
        <v/>
      </c>
    </row>
    <row r="10677" spans="1:7" x14ac:dyDescent="0.25">
      <c r="A10677" t="s">
        <v>8</v>
      </c>
      <c r="B10677" s="1" t="str">
        <f>"000387372 - "</f>
        <v xml:space="preserve">000387372 - </v>
      </c>
      <c r="D10677" s="1" t="str">
        <f t="shared" si="295"/>
        <v>PRG-1035911</v>
      </c>
      <c r="E10677" t="s">
        <v>136</v>
      </c>
      <c r="F10677" t="s">
        <v>4</v>
      </c>
      <c r="G10677" t="str">
        <f>""</f>
        <v/>
      </c>
    </row>
    <row r="10678" spans="1:7" x14ac:dyDescent="0.25">
      <c r="A10678" t="s">
        <v>8</v>
      </c>
      <c r="B10678" s="1" t="str">
        <f>"000388793 - "</f>
        <v xml:space="preserve">000388793 - </v>
      </c>
      <c r="D10678" s="1" t="str">
        <f t="shared" si="295"/>
        <v>PRG-1035911</v>
      </c>
      <c r="E10678" t="s">
        <v>136</v>
      </c>
      <c r="F10678" t="s">
        <v>4</v>
      </c>
      <c r="G10678" t="str">
        <f>""</f>
        <v/>
      </c>
    </row>
    <row r="10679" spans="1:7" x14ac:dyDescent="0.25">
      <c r="A10679" t="s">
        <v>8</v>
      </c>
      <c r="B10679" s="1" t="str">
        <f>"000389046 - RICHS BREAD &amp; ROLLS-SODEXO"</f>
        <v>000389046 - RICHS BREAD &amp; ROLLS-SODEXO</v>
      </c>
      <c r="C10679" t="s">
        <v>135</v>
      </c>
      <c r="D10679" s="1" t="str">
        <f t="shared" si="295"/>
        <v>PRG-1035911</v>
      </c>
      <c r="E10679" t="s">
        <v>136</v>
      </c>
      <c r="F10679" t="s">
        <v>4</v>
      </c>
      <c r="G10679" t="str">
        <f>""</f>
        <v/>
      </c>
    </row>
    <row r="10680" spans="1:7" x14ac:dyDescent="0.25">
      <c r="A10680" t="s">
        <v>8</v>
      </c>
      <c r="B10680" s="1" t="str">
        <f>"000389322 - RICH BREAD &amp; ROLL CORE BB-SODX"</f>
        <v>000389322 - RICH BREAD &amp; ROLL CORE BB-SODX</v>
      </c>
      <c r="C10680" t="s">
        <v>273</v>
      </c>
      <c r="D10680" s="1" t="str">
        <f t="shared" si="295"/>
        <v>PRG-1035911</v>
      </c>
      <c r="E10680" t="s">
        <v>136</v>
      </c>
      <c r="F10680" t="s">
        <v>4</v>
      </c>
      <c r="G10680" t="str">
        <f>""</f>
        <v/>
      </c>
    </row>
    <row r="10681" spans="1:7" x14ac:dyDescent="0.25">
      <c r="A10681" t="s">
        <v>8</v>
      </c>
      <c r="B10681" s="1" t="str">
        <f>"000389323 - RICH BRED &amp; ROLL NCORE BB-SODX"</f>
        <v>000389323 - RICH BRED &amp; ROLL NCORE BB-SODX</v>
      </c>
      <c r="C10681" t="s">
        <v>274</v>
      </c>
      <c r="D10681" s="1" t="str">
        <f t="shared" si="295"/>
        <v>PRG-1035911</v>
      </c>
      <c r="E10681" t="s">
        <v>136</v>
      </c>
      <c r="F10681" t="s">
        <v>4</v>
      </c>
      <c r="G10681" t="str">
        <f>""</f>
        <v/>
      </c>
    </row>
    <row r="10682" spans="1:7" x14ac:dyDescent="0.25">
      <c r="A10682" t="s">
        <v>8</v>
      </c>
      <c r="B10682" s="1" t="str">
        <f>"000391257 - RICHS BREAD &amp; ROLLS-SODEXO"</f>
        <v>000391257 - RICHS BREAD &amp; ROLLS-SODEXO</v>
      </c>
      <c r="C10682" t="s">
        <v>135</v>
      </c>
      <c r="D10682" s="1" t="str">
        <f t="shared" si="295"/>
        <v>PRG-1035911</v>
      </c>
      <c r="E10682" t="s">
        <v>136</v>
      </c>
      <c r="F10682" t="s">
        <v>4</v>
      </c>
      <c r="G10682" t="str">
        <f>""</f>
        <v/>
      </c>
    </row>
    <row r="10683" spans="1:7" x14ac:dyDescent="0.25">
      <c r="A10683" t="s">
        <v>8</v>
      </c>
      <c r="B10683" s="1" t="str">
        <f>"000393407 - RICHS BREAD &amp; ROLLS-SODEXO"</f>
        <v>000393407 - RICHS BREAD &amp; ROLLS-SODEXO</v>
      </c>
      <c r="C10683" t="s">
        <v>135</v>
      </c>
      <c r="D10683" s="1" t="str">
        <f t="shared" si="295"/>
        <v>PRG-1035911</v>
      </c>
      <c r="E10683" t="s">
        <v>136</v>
      </c>
      <c r="F10683" t="s">
        <v>4</v>
      </c>
      <c r="G10683" t="str">
        <f>""</f>
        <v/>
      </c>
    </row>
    <row r="10684" spans="1:7" x14ac:dyDescent="0.25">
      <c r="A10684" t="s">
        <v>8</v>
      </c>
      <c r="B10684" s="1" t="str">
        <f>"000399024 - RICHS BREAD &amp; ROLLS-SODEXO"</f>
        <v>000399024 - RICHS BREAD &amp; ROLLS-SODEXO</v>
      </c>
      <c r="C10684" t="s">
        <v>135</v>
      </c>
      <c r="D10684" s="1" t="str">
        <f t="shared" si="295"/>
        <v>PRG-1035911</v>
      </c>
      <c r="E10684" t="s">
        <v>136</v>
      </c>
      <c r="F10684" t="s">
        <v>4</v>
      </c>
      <c r="G10684" t="str">
        <f>""</f>
        <v/>
      </c>
    </row>
    <row r="10685" spans="1:7" x14ac:dyDescent="0.25">
      <c r="A10685" t="s">
        <v>8</v>
      </c>
      <c r="B10685" s="1" t="str">
        <f>"2000340638 - RICHS BREAD-SODEXO"</f>
        <v>2000340638 - RICHS BREAD-SODEXO</v>
      </c>
      <c r="C10685" t="s">
        <v>3827</v>
      </c>
      <c r="D10685" s="1" t="str">
        <f t="shared" si="295"/>
        <v>PRG-1035911</v>
      </c>
      <c r="E10685" t="s">
        <v>136</v>
      </c>
      <c r="F10685" t="s">
        <v>4</v>
      </c>
      <c r="G10685" t="str">
        <f>""</f>
        <v/>
      </c>
    </row>
    <row r="10686" spans="1:7" x14ac:dyDescent="0.25">
      <c r="A10686" t="s">
        <v>8</v>
      </c>
      <c r="B10686" s="1" t="str">
        <f>"279300 - "</f>
        <v xml:space="preserve">279300 - </v>
      </c>
      <c r="D10686" s="1" t="str">
        <f t="shared" si="295"/>
        <v>PRG-1035911</v>
      </c>
      <c r="E10686" t="s">
        <v>136</v>
      </c>
      <c r="F10686" t="s">
        <v>4</v>
      </c>
      <c r="G10686" t="str">
        <f>""</f>
        <v/>
      </c>
    </row>
    <row r="10687" spans="1:7" x14ac:dyDescent="0.25">
      <c r="A10687" t="s">
        <v>8</v>
      </c>
      <c r="B10687" s="1" t="str">
        <f>"335548 - "</f>
        <v xml:space="preserve">335548 - </v>
      </c>
      <c r="D10687" s="1" t="str">
        <f t="shared" si="295"/>
        <v>PRG-1035911</v>
      </c>
      <c r="E10687" t="s">
        <v>136</v>
      </c>
      <c r="F10687" t="s">
        <v>4</v>
      </c>
      <c r="G10687" t="str">
        <f>""</f>
        <v/>
      </c>
    </row>
    <row r="10688" spans="1:7" x14ac:dyDescent="0.25">
      <c r="A10688" t="s">
        <v>8</v>
      </c>
      <c r="B10688" s="1" t="str">
        <f>"000005498 - RICHS PIZZA DOUGH &amp; ICING-SODX"</f>
        <v>000005498 - RICHS PIZZA DOUGH &amp; ICING-SODX</v>
      </c>
      <c r="C10688" t="s">
        <v>223</v>
      </c>
      <c r="D10688" s="1" t="str">
        <f t="shared" ref="D10688:D10751" si="296">"PRG-1035912"</f>
        <v>PRG-1035912</v>
      </c>
      <c r="E10688" t="s">
        <v>181</v>
      </c>
      <c r="F10688" t="s">
        <v>4</v>
      </c>
      <c r="G10688" t="str">
        <f>""</f>
        <v/>
      </c>
    </row>
    <row r="10689" spans="1:7" x14ac:dyDescent="0.25">
      <c r="A10689" t="s">
        <v>8</v>
      </c>
      <c r="B10689" s="1" t="str">
        <f>"000006845 - RICHS PIZZA DOUGH &amp; ICING-SODX"</f>
        <v>000006845 - RICHS PIZZA DOUGH &amp; ICING-SODX</v>
      </c>
      <c r="C10689" t="s">
        <v>223</v>
      </c>
      <c r="D10689" s="1" t="str">
        <f t="shared" si="296"/>
        <v>PRG-1035912</v>
      </c>
      <c r="E10689" t="s">
        <v>181</v>
      </c>
      <c r="F10689" t="s">
        <v>4</v>
      </c>
      <c r="G10689" t="str">
        <f>""</f>
        <v/>
      </c>
    </row>
    <row r="10690" spans="1:7" x14ac:dyDescent="0.25">
      <c r="A10690" t="s">
        <v>8</v>
      </c>
      <c r="B10690" s="1" t="str">
        <f>"000008221 - RICHS PIZZA DOUGH BB CORE-SODX"</f>
        <v>000008221 - RICHS PIZZA DOUGH BB CORE-SODX</v>
      </c>
      <c r="C10690" t="s">
        <v>275</v>
      </c>
      <c r="D10690" s="1" t="str">
        <f t="shared" si="296"/>
        <v>PRG-1035912</v>
      </c>
      <c r="E10690" t="s">
        <v>181</v>
      </c>
      <c r="F10690" t="s">
        <v>4</v>
      </c>
      <c r="G10690" t="str">
        <f>""</f>
        <v/>
      </c>
    </row>
    <row r="10691" spans="1:7" x14ac:dyDescent="0.25">
      <c r="A10691" t="s">
        <v>8</v>
      </c>
      <c r="B10691" s="1" t="str">
        <f>"000008222 - RICH PIZZA DOUGH NCORE BB-SODX"</f>
        <v>000008222 - RICH PIZZA DOUGH NCORE BB-SODX</v>
      </c>
      <c r="C10691" t="s">
        <v>113</v>
      </c>
      <c r="D10691" s="1" t="str">
        <f t="shared" si="296"/>
        <v>PRG-1035912</v>
      </c>
      <c r="E10691" t="s">
        <v>181</v>
      </c>
      <c r="F10691" t="s">
        <v>4</v>
      </c>
      <c r="G10691" t="str">
        <f>""</f>
        <v/>
      </c>
    </row>
    <row r="10692" spans="1:7" x14ac:dyDescent="0.25">
      <c r="A10692" t="s">
        <v>8</v>
      </c>
      <c r="B10692" s="1" t="str">
        <f>"000008929 - RICHS PIZZA DOUGH&amp;ICING-SODEXO"</f>
        <v>000008929 - RICHS PIZZA DOUGH&amp;ICING-SODEXO</v>
      </c>
      <c r="C10692" t="s">
        <v>288</v>
      </c>
      <c r="D10692" s="1" t="str">
        <f t="shared" si="296"/>
        <v>PRG-1035912</v>
      </c>
      <c r="E10692" t="s">
        <v>181</v>
      </c>
      <c r="F10692" t="s">
        <v>4</v>
      </c>
      <c r="G10692" t="str">
        <f>""</f>
        <v/>
      </c>
    </row>
    <row r="10693" spans="1:7" x14ac:dyDescent="0.25">
      <c r="A10693" t="s">
        <v>8</v>
      </c>
      <c r="B10693" s="1" t="str">
        <f>"000010575 - RICHS PIZZA DOUGH &amp; ICING-SODX"</f>
        <v>000010575 - RICHS PIZZA DOUGH &amp; ICING-SODX</v>
      </c>
      <c r="C10693" t="s">
        <v>223</v>
      </c>
      <c r="D10693" s="1" t="str">
        <f t="shared" si="296"/>
        <v>PRG-1035912</v>
      </c>
      <c r="E10693" t="s">
        <v>181</v>
      </c>
      <c r="F10693" t="s">
        <v>4</v>
      </c>
      <c r="G10693" t="str">
        <f>""</f>
        <v/>
      </c>
    </row>
    <row r="10694" spans="1:7" x14ac:dyDescent="0.25">
      <c r="A10694" t="s">
        <v>8</v>
      </c>
      <c r="B10694" s="1" t="str">
        <f>"000011121 - RICHS PIZZA DOUGH&amp;ICING-SODEXO"</f>
        <v>000011121 - RICHS PIZZA DOUGH&amp;ICING-SODEXO</v>
      </c>
      <c r="C10694" t="s">
        <v>288</v>
      </c>
      <c r="D10694" s="1" t="str">
        <f t="shared" si="296"/>
        <v>PRG-1035912</v>
      </c>
      <c r="E10694" t="s">
        <v>181</v>
      </c>
      <c r="F10694" t="s">
        <v>4</v>
      </c>
      <c r="G10694" t="str">
        <f>""</f>
        <v/>
      </c>
    </row>
    <row r="10695" spans="1:7" x14ac:dyDescent="0.25">
      <c r="A10695" t="s">
        <v>8</v>
      </c>
      <c r="B10695" s="1" t="str">
        <f>"000011806 - RICHS PIZZA DOUGH &amp; ICING-SODX"</f>
        <v>000011806 - RICHS PIZZA DOUGH &amp; ICING-SODX</v>
      </c>
      <c r="C10695" t="s">
        <v>223</v>
      </c>
      <c r="D10695" s="1" t="str">
        <f t="shared" si="296"/>
        <v>PRG-1035912</v>
      </c>
      <c r="E10695" t="s">
        <v>181</v>
      </c>
      <c r="F10695" t="s">
        <v>4</v>
      </c>
      <c r="G10695" t="str">
        <f>""</f>
        <v/>
      </c>
    </row>
    <row r="10696" spans="1:7" x14ac:dyDescent="0.25">
      <c r="A10696" t="s">
        <v>8</v>
      </c>
      <c r="B10696" s="1" t="str">
        <f>"000012337 - RICHS PIZZA DOUGH &amp; ICING-SODX"</f>
        <v>000012337 - RICHS PIZZA DOUGH &amp; ICING-SODX</v>
      </c>
      <c r="C10696" t="s">
        <v>223</v>
      </c>
      <c r="D10696" s="1" t="str">
        <f t="shared" si="296"/>
        <v>PRG-1035912</v>
      </c>
      <c r="E10696" t="s">
        <v>181</v>
      </c>
      <c r="F10696" t="s">
        <v>4</v>
      </c>
      <c r="G10696" t="str">
        <f>""</f>
        <v/>
      </c>
    </row>
    <row r="10697" spans="1:7" x14ac:dyDescent="0.25">
      <c r="A10697" t="s">
        <v>8</v>
      </c>
      <c r="B10697" s="1" t="str">
        <f>"000012559 - "</f>
        <v xml:space="preserve">000012559 - </v>
      </c>
      <c r="D10697" s="1" t="str">
        <f t="shared" si="296"/>
        <v>PRG-1035912</v>
      </c>
      <c r="E10697" t="s">
        <v>181</v>
      </c>
      <c r="F10697" t="s">
        <v>4</v>
      </c>
      <c r="G10697" t="str">
        <f>""</f>
        <v/>
      </c>
    </row>
    <row r="10698" spans="1:7" x14ac:dyDescent="0.25">
      <c r="A10698" t="s">
        <v>8</v>
      </c>
      <c r="B10698" s="1" t="str">
        <f>"000012560 - "</f>
        <v xml:space="preserve">000012560 - </v>
      </c>
      <c r="D10698" s="1" t="str">
        <f t="shared" si="296"/>
        <v>PRG-1035912</v>
      </c>
      <c r="E10698" t="s">
        <v>181</v>
      </c>
      <c r="F10698" t="s">
        <v>4</v>
      </c>
      <c r="G10698" t="str">
        <f>""</f>
        <v/>
      </c>
    </row>
    <row r="10699" spans="1:7" x14ac:dyDescent="0.25">
      <c r="A10699" t="s">
        <v>8</v>
      </c>
      <c r="B10699" s="1" t="str">
        <f>"000012637 - RICHS PIZZA DOUGH &amp; ICING-SODX"</f>
        <v>000012637 - RICHS PIZZA DOUGH &amp; ICING-SODX</v>
      </c>
      <c r="C10699" t="s">
        <v>223</v>
      </c>
      <c r="D10699" s="1" t="str">
        <f t="shared" si="296"/>
        <v>PRG-1035912</v>
      </c>
      <c r="E10699" t="s">
        <v>181</v>
      </c>
      <c r="F10699" t="s">
        <v>4</v>
      </c>
      <c r="G10699" t="str">
        <f>""</f>
        <v/>
      </c>
    </row>
    <row r="10700" spans="1:7" x14ac:dyDescent="0.25">
      <c r="A10700" t="s">
        <v>8</v>
      </c>
      <c r="B10700" s="1" t="str">
        <f>"000014144 - RICHS PIZZA DOUGH &amp; ICING-SODX"</f>
        <v>000014144 - RICHS PIZZA DOUGH &amp; ICING-SODX</v>
      </c>
      <c r="C10700" t="s">
        <v>223</v>
      </c>
      <c r="D10700" s="1" t="str">
        <f t="shared" si="296"/>
        <v>PRG-1035912</v>
      </c>
      <c r="E10700" t="s">
        <v>181</v>
      </c>
      <c r="F10700" t="s">
        <v>4</v>
      </c>
      <c r="G10700" t="str">
        <f>""</f>
        <v/>
      </c>
    </row>
    <row r="10701" spans="1:7" x14ac:dyDescent="0.25">
      <c r="A10701" t="s">
        <v>8</v>
      </c>
      <c r="B10701" s="1" t="str">
        <f>"000014780 - RICHS PIZZA DOUGH &amp; ICING-SODX"</f>
        <v>000014780 - RICHS PIZZA DOUGH &amp; ICING-SODX</v>
      </c>
      <c r="C10701" t="s">
        <v>223</v>
      </c>
      <c r="D10701" s="1" t="str">
        <f t="shared" si="296"/>
        <v>PRG-1035912</v>
      </c>
      <c r="E10701" t="s">
        <v>181</v>
      </c>
      <c r="F10701" t="s">
        <v>4</v>
      </c>
      <c r="G10701" t="str">
        <f>""</f>
        <v/>
      </c>
    </row>
    <row r="10702" spans="1:7" x14ac:dyDescent="0.25">
      <c r="A10702" t="s">
        <v>8</v>
      </c>
      <c r="B10702" s="1" t="str">
        <f>"000014938 - RICHS PIZZA&amp;ICING BAPA SODEXO"</f>
        <v>000014938 - RICHS PIZZA&amp;ICING BAPA SODEXO</v>
      </c>
      <c r="C10702" t="s">
        <v>362</v>
      </c>
      <c r="D10702" s="1" t="str">
        <f t="shared" si="296"/>
        <v>PRG-1035912</v>
      </c>
      <c r="E10702" t="s">
        <v>181</v>
      </c>
      <c r="F10702" t="s">
        <v>4</v>
      </c>
      <c r="G10702" t="str">
        <f>""</f>
        <v/>
      </c>
    </row>
    <row r="10703" spans="1:7" x14ac:dyDescent="0.25">
      <c r="A10703" t="s">
        <v>8</v>
      </c>
      <c r="B10703" s="1" t="str">
        <f>"000016753 - RICHS PIZZA DOUGH&amp;ICING-SODEXO"</f>
        <v>000016753 - RICHS PIZZA DOUGH&amp;ICING-SODEXO</v>
      </c>
      <c r="C10703" t="s">
        <v>288</v>
      </c>
      <c r="D10703" s="1" t="str">
        <f t="shared" si="296"/>
        <v>PRG-1035912</v>
      </c>
      <c r="E10703" t="s">
        <v>181</v>
      </c>
      <c r="F10703" t="s">
        <v>4</v>
      </c>
      <c r="G10703" t="str">
        <f>""</f>
        <v/>
      </c>
    </row>
    <row r="10704" spans="1:7" x14ac:dyDescent="0.25">
      <c r="A10704" t="s">
        <v>8</v>
      </c>
      <c r="B10704" s="1" t="str">
        <f>"000016812 - "</f>
        <v xml:space="preserve">000016812 - </v>
      </c>
      <c r="D10704" s="1" t="str">
        <f t="shared" si="296"/>
        <v>PRG-1035912</v>
      </c>
      <c r="E10704" t="s">
        <v>181</v>
      </c>
      <c r="F10704" t="s">
        <v>4</v>
      </c>
      <c r="G10704" t="str">
        <f>""</f>
        <v/>
      </c>
    </row>
    <row r="10705" spans="1:7" x14ac:dyDescent="0.25">
      <c r="A10705" t="s">
        <v>8</v>
      </c>
      <c r="B10705" s="1" t="str">
        <f>"000016813 - "</f>
        <v xml:space="preserve">000016813 - </v>
      </c>
      <c r="D10705" s="1" t="str">
        <f t="shared" si="296"/>
        <v>PRG-1035912</v>
      </c>
      <c r="E10705" t="s">
        <v>181</v>
      </c>
      <c r="F10705" t="s">
        <v>4</v>
      </c>
      <c r="G10705" t="str">
        <f>""</f>
        <v/>
      </c>
    </row>
    <row r="10706" spans="1:7" x14ac:dyDescent="0.25">
      <c r="A10706" t="s">
        <v>8</v>
      </c>
      <c r="B10706" s="1" t="str">
        <f>"000016966 - "</f>
        <v xml:space="preserve">000016966 - </v>
      </c>
      <c r="D10706" s="1" t="str">
        <f t="shared" si="296"/>
        <v>PRG-1035912</v>
      </c>
      <c r="E10706" t="s">
        <v>181</v>
      </c>
      <c r="F10706" t="s">
        <v>4</v>
      </c>
      <c r="G10706" t="str">
        <f>""</f>
        <v/>
      </c>
    </row>
    <row r="10707" spans="1:7" x14ac:dyDescent="0.25">
      <c r="A10707" t="s">
        <v>8</v>
      </c>
      <c r="B10707" s="1" t="str">
        <f>"000017027 - RICHS PIZZA DOUGH BB CORE-SODX"</f>
        <v>000017027 - RICHS PIZZA DOUGH BB CORE-SODX</v>
      </c>
      <c r="C10707" t="s">
        <v>275</v>
      </c>
      <c r="D10707" s="1" t="str">
        <f t="shared" si="296"/>
        <v>PRG-1035912</v>
      </c>
      <c r="E10707" t="s">
        <v>181</v>
      </c>
      <c r="F10707" t="s">
        <v>4</v>
      </c>
      <c r="G10707" t="str">
        <f>""</f>
        <v/>
      </c>
    </row>
    <row r="10708" spans="1:7" x14ac:dyDescent="0.25">
      <c r="A10708" t="s">
        <v>8</v>
      </c>
      <c r="B10708" s="1" t="str">
        <f>"000017028 - RICH PIZZA DOUGH NCORE BB-SODX"</f>
        <v>000017028 - RICH PIZZA DOUGH NCORE BB-SODX</v>
      </c>
      <c r="C10708" t="s">
        <v>113</v>
      </c>
      <c r="D10708" s="1" t="str">
        <f t="shared" si="296"/>
        <v>PRG-1035912</v>
      </c>
      <c r="E10708" t="s">
        <v>181</v>
      </c>
      <c r="F10708" t="s">
        <v>4</v>
      </c>
      <c r="G10708" t="str">
        <f>""</f>
        <v/>
      </c>
    </row>
    <row r="10709" spans="1:7" x14ac:dyDescent="0.25">
      <c r="A10709" t="s">
        <v>8</v>
      </c>
      <c r="B10709" s="1" t="str">
        <f>"000017670 - RICHS PIZZA DOUGH&amp;ICING-SODEXO"</f>
        <v>000017670 - RICHS PIZZA DOUGH&amp;ICING-SODEXO</v>
      </c>
      <c r="C10709" t="s">
        <v>288</v>
      </c>
      <c r="D10709" s="1" t="str">
        <f t="shared" si="296"/>
        <v>PRG-1035912</v>
      </c>
      <c r="E10709" t="s">
        <v>181</v>
      </c>
      <c r="F10709" t="s">
        <v>4</v>
      </c>
      <c r="G10709" t="str">
        <f>""</f>
        <v/>
      </c>
    </row>
    <row r="10710" spans="1:7" x14ac:dyDescent="0.25">
      <c r="A10710" t="s">
        <v>8</v>
      </c>
      <c r="B10710" s="1" t="str">
        <f>"000017960 - RICHS ICING&amp;DOUGH-SODEXO"</f>
        <v>000017960 - RICHS ICING&amp;DOUGH-SODEXO</v>
      </c>
      <c r="C10710" t="s">
        <v>303</v>
      </c>
      <c r="D10710" s="1" t="str">
        <f t="shared" si="296"/>
        <v>PRG-1035912</v>
      </c>
      <c r="E10710" t="s">
        <v>181</v>
      </c>
      <c r="F10710" t="s">
        <v>4</v>
      </c>
      <c r="G10710" t="str">
        <f>""</f>
        <v/>
      </c>
    </row>
    <row r="10711" spans="1:7" x14ac:dyDescent="0.25">
      <c r="A10711" t="s">
        <v>8</v>
      </c>
      <c r="B10711" s="1" t="str">
        <f>"000018351 - "</f>
        <v xml:space="preserve">000018351 - </v>
      </c>
      <c r="D10711" s="1" t="str">
        <f t="shared" si="296"/>
        <v>PRG-1035912</v>
      </c>
      <c r="E10711" t="s">
        <v>181</v>
      </c>
      <c r="F10711" t="s">
        <v>4</v>
      </c>
      <c r="G10711" t="str">
        <f>""</f>
        <v/>
      </c>
    </row>
    <row r="10712" spans="1:7" x14ac:dyDescent="0.25">
      <c r="A10712" t="s">
        <v>8</v>
      </c>
      <c r="B10712" s="1" t="str">
        <f>"000018352 - "</f>
        <v xml:space="preserve">000018352 - </v>
      </c>
      <c r="D10712" s="1" t="str">
        <f t="shared" si="296"/>
        <v>PRG-1035912</v>
      </c>
      <c r="E10712" t="s">
        <v>181</v>
      </c>
      <c r="F10712" t="s">
        <v>4</v>
      </c>
      <c r="G10712" t="str">
        <f>""</f>
        <v/>
      </c>
    </row>
    <row r="10713" spans="1:7" x14ac:dyDescent="0.25">
      <c r="A10713" t="s">
        <v>8</v>
      </c>
      <c r="B10713" s="1" t="str">
        <f>"000019092 - RICHS PIZZA DOUGH &amp; ICING-SODX"</f>
        <v>000019092 - RICHS PIZZA DOUGH &amp; ICING-SODX</v>
      </c>
      <c r="C10713" t="s">
        <v>223</v>
      </c>
      <c r="D10713" s="1" t="str">
        <f t="shared" si="296"/>
        <v>PRG-1035912</v>
      </c>
      <c r="E10713" t="s">
        <v>181</v>
      </c>
      <c r="F10713" t="s">
        <v>4</v>
      </c>
      <c r="G10713" t="str">
        <f>""</f>
        <v/>
      </c>
    </row>
    <row r="10714" spans="1:7" x14ac:dyDescent="0.25">
      <c r="A10714" t="s">
        <v>8</v>
      </c>
      <c r="B10714" s="1" t="str">
        <f>"000019522 - RICHS PIZZA DOUGH &amp; ICING-SODX"</f>
        <v>000019522 - RICHS PIZZA DOUGH &amp; ICING-SODX</v>
      </c>
      <c r="C10714" t="s">
        <v>223</v>
      </c>
      <c r="D10714" s="1" t="str">
        <f t="shared" si="296"/>
        <v>PRG-1035912</v>
      </c>
      <c r="E10714" t="s">
        <v>181</v>
      </c>
      <c r="F10714" t="s">
        <v>4</v>
      </c>
      <c r="G10714" t="str">
        <f>""</f>
        <v/>
      </c>
    </row>
    <row r="10715" spans="1:7" x14ac:dyDescent="0.25">
      <c r="A10715" t="s">
        <v>8</v>
      </c>
      <c r="B10715" s="1" t="str">
        <f>"000020339 - RICHS PIZZA DOUGH &amp; ICING-SODX"</f>
        <v>000020339 - RICHS PIZZA DOUGH &amp; ICING-SODX</v>
      </c>
      <c r="C10715" t="s">
        <v>223</v>
      </c>
      <c r="D10715" s="1" t="str">
        <f t="shared" si="296"/>
        <v>PRG-1035912</v>
      </c>
      <c r="E10715" t="s">
        <v>181</v>
      </c>
      <c r="F10715" t="s">
        <v>4</v>
      </c>
      <c r="G10715" t="str">
        <f>""</f>
        <v/>
      </c>
    </row>
    <row r="10716" spans="1:7" x14ac:dyDescent="0.25">
      <c r="A10716" t="s">
        <v>8</v>
      </c>
      <c r="B10716" s="1" t="str">
        <f>"000021287 - RICHS PIZZA DOUGH &amp; ICING-SODX"</f>
        <v>000021287 - RICHS PIZZA DOUGH &amp; ICING-SODX</v>
      </c>
      <c r="C10716" t="s">
        <v>223</v>
      </c>
      <c r="D10716" s="1" t="str">
        <f t="shared" si="296"/>
        <v>PRG-1035912</v>
      </c>
      <c r="E10716" t="s">
        <v>181</v>
      </c>
      <c r="F10716" t="s">
        <v>4</v>
      </c>
      <c r="G10716" t="str">
        <f>""</f>
        <v/>
      </c>
    </row>
    <row r="10717" spans="1:7" x14ac:dyDescent="0.25">
      <c r="A10717" t="s">
        <v>8</v>
      </c>
      <c r="B10717" s="1" t="str">
        <f>"000021973 - RICHS PIZZA DOUGH &amp; ICING-SODX"</f>
        <v>000021973 - RICHS PIZZA DOUGH &amp; ICING-SODX</v>
      </c>
      <c r="C10717" t="s">
        <v>223</v>
      </c>
      <c r="D10717" s="1" t="str">
        <f t="shared" si="296"/>
        <v>PRG-1035912</v>
      </c>
      <c r="E10717" t="s">
        <v>181</v>
      </c>
      <c r="F10717" t="s">
        <v>4</v>
      </c>
      <c r="G10717" t="str">
        <f>""</f>
        <v/>
      </c>
    </row>
    <row r="10718" spans="1:7" x14ac:dyDescent="0.25">
      <c r="A10718" t="s">
        <v>8</v>
      </c>
      <c r="B10718" s="1" t="str">
        <f>"000022055 - RICHS PIZZA DOUGH &amp; ICING-SODX"</f>
        <v>000022055 - RICHS PIZZA DOUGH &amp; ICING-SODX</v>
      </c>
      <c r="C10718" t="s">
        <v>223</v>
      </c>
      <c r="D10718" s="1" t="str">
        <f t="shared" si="296"/>
        <v>PRG-1035912</v>
      </c>
      <c r="E10718" t="s">
        <v>181</v>
      </c>
      <c r="F10718" t="s">
        <v>4</v>
      </c>
      <c r="G10718" t="str">
        <f>""</f>
        <v/>
      </c>
    </row>
    <row r="10719" spans="1:7" x14ac:dyDescent="0.25">
      <c r="A10719" t="s">
        <v>8</v>
      </c>
      <c r="B10719" s="1" t="str">
        <f>"000026951 - RICHS PIZZA DOUGH&amp;ICING-SODEXO"</f>
        <v>000026951 - RICHS PIZZA DOUGH&amp;ICING-SODEXO</v>
      </c>
      <c r="C10719" t="s">
        <v>288</v>
      </c>
      <c r="D10719" s="1" t="str">
        <f t="shared" si="296"/>
        <v>PRG-1035912</v>
      </c>
      <c r="E10719" t="s">
        <v>181</v>
      </c>
      <c r="F10719" t="s">
        <v>4</v>
      </c>
      <c r="G10719" t="str">
        <f>""</f>
        <v/>
      </c>
    </row>
    <row r="10720" spans="1:7" x14ac:dyDescent="0.25">
      <c r="A10720" t="s">
        <v>8</v>
      </c>
      <c r="B10720" s="1" t="str">
        <f>"000028138 - RICHS ICING&amp;DOUGH-SODEXO"</f>
        <v>000028138 - RICHS ICING&amp;DOUGH-SODEXO</v>
      </c>
      <c r="C10720" t="s">
        <v>303</v>
      </c>
      <c r="D10720" s="1" t="str">
        <f t="shared" si="296"/>
        <v>PRG-1035912</v>
      </c>
      <c r="E10720" t="s">
        <v>181</v>
      </c>
      <c r="F10720" t="s">
        <v>4</v>
      </c>
      <c r="G10720" t="str">
        <f>""</f>
        <v/>
      </c>
    </row>
    <row r="10721" spans="1:7" x14ac:dyDescent="0.25">
      <c r="A10721" t="s">
        <v>8</v>
      </c>
      <c r="B10721" s="1" t="str">
        <f>"000032856 - RICHS DOUGH &amp; ICING-SODEXO"</f>
        <v>000032856 - RICHS DOUGH &amp; ICING-SODEXO</v>
      </c>
      <c r="C10721" t="s">
        <v>349</v>
      </c>
      <c r="D10721" s="1" t="str">
        <f t="shared" si="296"/>
        <v>PRG-1035912</v>
      </c>
      <c r="E10721" t="s">
        <v>181</v>
      </c>
      <c r="F10721" t="s">
        <v>4</v>
      </c>
      <c r="G10721" t="str">
        <f>""</f>
        <v/>
      </c>
    </row>
    <row r="10722" spans="1:7" x14ac:dyDescent="0.25">
      <c r="A10722" t="s">
        <v>8</v>
      </c>
      <c r="B10722" s="1" t="str">
        <f>"000060977 - RICHS PIZZA DOUGH BB CORE-SODX"</f>
        <v>000060977 - RICHS PIZZA DOUGH BB CORE-SODX</v>
      </c>
      <c r="C10722" t="s">
        <v>275</v>
      </c>
      <c r="D10722" s="1" t="str">
        <f t="shared" si="296"/>
        <v>PRG-1035912</v>
      </c>
      <c r="E10722" t="s">
        <v>181</v>
      </c>
      <c r="F10722" t="s">
        <v>4</v>
      </c>
      <c r="G10722" t="str">
        <f>""</f>
        <v/>
      </c>
    </row>
    <row r="10723" spans="1:7" x14ac:dyDescent="0.25">
      <c r="A10723" t="s">
        <v>8</v>
      </c>
      <c r="B10723" s="1" t="str">
        <f>"000060978 - RICH PIZZA DOUGH NCORE BB-SODX"</f>
        <v>000060978 - RICH PIZZA DOUGH NCORE BB-SODX</v>
      </c>
      <c r="C10723" t="s">
        <v>113</v>
      </c>
      <c r="D10723" s="1" t="str">
        <f t="shared" si="296"/>
        <v>PRG-1035912</v>
      </c>
      <c r="E10723" t="s">
        <v>181</v>
      </c>
      <c r="F10723" t="s">
        <v>4</v>
      </c>
      <c r="G10723" t="str">
        <f>""</f>
        <v/>
      </c>
    </row>
    <row r="10724" spans="1:7" x14ac:dyDescent="0.25">
      <c r="A10724" t="s">
        <v>8</v>
      </c>
      <c r="B10724" s="1" t="str">
        <f>"000061835 - RICHS PIZZA DOUGH BB CORE-SODX"</f>
        <v>000061835 - RICHS PIZZA DOUGH BB CORE-SODX</v>
      </c>
      <c r="C10724" t="s">
        <v>275</v>
      </c>
      <c r="D10724" s="1" t="str">
        <f t="shared" si="296"/>
        <v>PRG-1035912</v>
      </c>
      <c r="E10724" t="s">
        <v>181</v>
      </c>
      <c r="F10724" t="s">
        <v>4</v>
      </c>
      <c r="G10724" t="str">
        <f>""</f>
        <v/>
      </c>
    </row>
    <row r="10725" spans="1:7" x14ac:dyDescent="0.25">
      <c r="A10725" t="s">
        <v>8</v>
      </c>
      <c r="B10725" s="1" t="str">
        <f>"000061836 - RICH PIZZA DOUGH NCORE BB-SODX"</f>
        <v>000061836 - RICH PIZZA DOUGH NCORE BB-SODX</v>
      </c>
      <c r="C10725" t="s">
        <v>113</v>
      </c>
      <c r="D10725" s="1" t="str">
        <f t="shared" si="296"/>
        <v>PRG-1035912</v>
      </c>
      <c r="E10725" t="s">
        <v>181</v>
      </c>
      <c r="F10725" t="s">
        <v>4</v>
      </c>
      <c r="G10725" t="str">
        <f>""</f>
        <v/>
      </c>
    </row>
    <row r="10726" spans="1:7" x14ac:dyDescent="0.25">
      <c r="A10726" t="s">
        <v>8</v>
      </c>
      <c r="B10726" s="1" t="str">
        <f>"000062810 - RICHS PIZZA DOUGH &amp; ICING-SODX"</f>
        <v>000062810 - RICHS PIZZA DOUGH &amp; ICING-SODX</v>
      </c>
      <c r="C10726" t="s">
        <v>223</v>
      </c>
      <c r="D10726" s="1" t="str">
        <f t="shared" si="296"/>
        <v>PRG-1035912</v>
      </c>
      <c r="E10726" t="s">
        <v>181</v>
      </c>
      <c r="F10726" t="s">
        <v>4</v>
      </c>
      <c r="G10726" t="str">
        <f>""</f>
        <v/>
      </c>
    </row>
    <row r="10727" spans="1:7" x14ac:dyDescent="0.25">
      <c r="A10727" t="s">
        <v>8</v>
      </c>
      <c r="B10727" s="1" t="str">
        <f>"000063919 - RICHS PIZZA DOUGH &amp; ICING-SODX"</f>
        <v>000063919 - RICHS PIZZA DOUGH &amp; ICING-SODX</v>
      </c>
      <c r="C10727" t="s">
        <v>223</v>
      </c>
      <c r="D10727" s="1" t="str">
        <f t="shared" si="296"/>
        <v>PRG-1035912</v>
      </c>
      <c r="E10727" t="s">
        <v>181</v>
      </c>
      <c r="F10727" t="s">
        <v>4</v>
      </c>
      <c r="G10727" t="str">
        <f>""</f>
        <v/>
      </c>
    </row>
    <row r="10728" spans="1:7" x14ac:dyDescent="0.25">
      <c r="A10728" t="s">
        <v>8</v>
      </c>
      <c r="B10728" s="1" t="str">
        <f>"000064375 - RICHS PIZZA DOUGH &amp; ICING-SODX"</f>
        <v>000064375 - RICHS PIZZA DOUGH &amp; ICING-SODX</v>
      </c>
      <c r="C10728" t="s">
        <v>223</v>
      </c>
      <c r="D10728" s="1" t="str">
        <f t="shared" si="296"/>
        <v>PRG-1035912</v>
      </c>
      <c r="E10728" t="s">
        <v>181</v>
      </c>
      <c r="F10728" t="s">
        <v>4</v>
      </c>
      <c r="G10728" t="str">
        <f>""</f>
        <v/>
      </c>
    </row>
    <row r="10729" spans="1:7" x14ac:dyDescent="0.25">
      <c r="A10729" t="s">
        <v>8</v>
      </c>
      <c r="B10729" s="1" t="str">
        <f>"000065602 - RICHS PIZZA DOUGH &amp; ICING-SODX"</f>
        <v>000065602 - RICHS PIZZA DOUGH &amp; ICING-SODX</v>
      </c>
      <c r="C10729" t="s">
        <v>223</v>
      </c>
      <c r="D10729" s="1" t="str">
        <f t="shared" si="296"/>
        <v>PRG-1035912</v>
      </c>
      <c r="E10729" t="s">
        <v>181</v>
      </c>
      <c r="F10729" t="s">
        <v>4</v>
      </c>
      <c r="G10729" t="str">
        <f>""</f>
        <v/>
      </c>
    </row>
    <row r="10730" spans="1:7" x14ac:dyDescent="0.25">
      <c r="A10730" t="s">
        <v>8</v>
      </c>
      <c r="B10730" s="1" t="str">
        <f>"000067451 - RICHS PIZZA DOUGH&amp;ICING-SODEXO"</f>
        <v>000067451 - RICHS PIZZA DOUGH&amp;ICING-SODEXO</v>
      </c>
      <c r="C10730" t="s">
        <v>288</v>
      </c>
      <c r="D10730" s="1" t="str">
        <f t="shared" si="296"/>
        <v>PRG-1035912</v>
      </c>
      <c r="E10730" t="s">
        <v>181</v>
      </c>
      <c r="F10730" t="s">
        <v>4</v>
      </c>
      <c r="G10730" t="str">
        <f>""</f>
        <v/>
      </c>
    </row>
    <row r="10731" spans="1:7" x14ac:dyDescent="0.25">
      <c r="A10731" t="s">
        <v>8</v>
      </c>
      <c r="B10731" s="1" t="str">
        <f>"000068168 - RICHS ICING&amp;DOUGH-SODEXO"</f>
        <v>000068168 - RICHS ICING&amp;DOUGH-SODEXO</v>
      </c>
      <c r="C10731" t="s">
        <v>303</v>
      </c>
      <c r="D10731" s="1" t="str">
        <f t="shared" si="296"/>
        <v>PRG-1035912</v>
      </c>
      <c r="E10731" t="s">
        <v>181</v>
      </c>
      <c r="F10731" t="s">
        <v>4</v>
      </c>
      <c r="G10731" t="str">
        <f>""</f>
        <v/>
      </c>
    </row>
    <row r="10732" spans="1:7" x14ac:dyDescent="0.25">
      <c r="A10732" t="s">
        <v>8</v>
      </c>
      <c r="B10732" s="1" t="str">
        <f>"000069113 - RICHS PIZZA DOUGH&amp;ICING-SODEXO"</f>
        <v>000069113 - RICHS PIZZA DOUGH&amp;ICING-SODEXO</v>
      </c>
      <c r="C10732" t="s">
        <v>288</v>
      </c>
      <c r="D10732" s="1" t="str">
        <f t="shared" si="296"/>
        <v>PRG-1035912</v>
      </c>
      <c r="E10732" t="s">
        <v>181</v>
      </c>
      <c r="F10732" t="s">
        <v>4</v>
      </c>
      <c r="G10732" t="str">
        <f>""</f>
        <v/>
      </c>
    </row>
    <row r="10733" spans="1:7" x14ac:dyDescent="0.25">
      <c r="A10733" t="s">
        <v>8</v>
      </c>
      <c r="B10733" s="1" t="str">
        <f>"000070177 - RICHS ICING&amp;DOUGH-SODEXO"</f>
        <v>000070177 - RICHS ICING&amp;DOUGH-SODEXO</v>
      </c>
      <c r="C10733" t="s">
        <v>303</v>
      </c>
      <c r="D10733" s="1" t="str">
        <f t="shared" si="296"/>
        <v>PRG-1035912</v>
      </c>
      <c r="E10733" t="s">
        <v>181</v>
      </c>
      <c r="F10733" t="s">
        <v>4</v>
      </c>
      <c r="G10733" t="str">
        <f>""</f>
        <v/>
      </c>
    </row>
    <row r="10734" spans="1:7" x14ac:dyDescent="0.25">
      <c r="A10734" t="s">
        <v>8</v>
      </c>
      <c r="B10734" s="1" t="str">
        <f>"000071479 - RICHS DOUGH &amp; ICING-SODEXO"</f>
        <v>000071479 - RICHS DOUGH &amp; ICING-SODEXO</v>
      </c>
      <c r="C10734" t="s">
        <v>349</v>
      </c>
      <c r="D10734" s="1" t="str">
        <f t="shared" si="296"/>
        <v>PRG-1035912</v>
      </c>
      <c r="E10734" t="s">
        <v>181</v>
      </c>
      <c r="F10734" t="s">
        <v>4</v>
      </c>
      <c r="G10734" t="str">
        <f>""</f>
        <v/>
      </c>
    </row>
    <row r="10735" spans="1:7" x14ac:dyDescent="0.25">
      <c r="A10735" t="s">
        <v>8</v>
      </c>
      <c r="B10735" s="1" t="str">
        <f>"000073559 - RICHS DOUGH &amp; ICING-SODEXO"</f>
        <v>000073559 - RICHS DOUGH &amp; ICING-SODEXO</v>
      </c>
      <c r="C10735" t="s">
        <v>349</v>
      </c>
      <c r="D10735" s="1" t="str">
        <f t="shared" si="296"/>
        <v>PRG-1035912</v>
      </c>
      <c r="E10735" t="s">
        <v>181</v>
      </c>
      <c r="F10735" t="s">
        <v>4</v>
      </c>
      <c r="G10735" t="str">
        <f>""</f>
        <v/>
      </c>
    </row>
    <row r="10736" spans="1:7" x14ac:dyDescent="0.25">
      <c r="A10736" t="s">
        <v>8</v>
      </c>
      <c r="B10736" s="1" t="str">
        <f>"000074390 - RICHES 100912 DOUGH"</f>
        <v>000074390 - RICHES 100912 DOUGH</v>
      </c>
      <c r="C10736" t="s">
        <v>736</v>
      </c>
      <c r="D10736" s="1" t="str">
        <f t="shared" si="296"/>
        <v>PRG-1035912</v>
      </c>
      <c r="E10736" t="s">
        <v>181</v>
      </c>
      <c r="F10736" t="s">
        <v>4</v>
      </c>
      <c r="G10736" t="str">
        <f>""</f>
        <v/>
      </c>
    </row>
    <row r="10737" spans="1:7" x14ac:dyDescent="0.25">
      <c r="A10737" t="s">
        <v>8</v>
      </c>
      <c r="B10737" s="1" t="str">
        <f>"000076725 - RICHS PIZZA DOUGH BB CORE-SODX"</f>
        <v>000076725 - RICHS PIZZA DOUGH BB CORE-SODX</v>
      </c>
      <c r="C10737" t="s">
        <v>275</v>
      </c>
      <c r="D10737" s="1" t="str">
        <f t="shared" si="296"/>
        <v>PRG-1035912</v>
      </c>
      <c r="E10737" t="s">
        <v>181</v>
      </c>
      <c r="F10737" t="s">
        <v>4</v>
      </c>
      <c r="G10737" t="str">
        <f>""</f>
        <v/>
      </c>
    </row>
    <row r="10738" spans="1:7" x14ac:dyDescent="0.25">
      <c r="A10738" t="s">
        <v>8</v>
      </c>
      <c r="B10738" s="1" t="str">
        <f>"000076726 - RICH PIZZA DOUGH NCORE BB-SODX"</f>
        <v>000076726 - RICH PIZZA DOUGH NCORE BB-SODX</v>
      </c>
      <c r="C10738" t="s">
        <v>113</v>
      </c>
      <c r="D10738" s="1" t="str">
        <f t="shared" si="296"/>
        <v>PRG-1035912</v>
      </c>
      <c r="E10738" t="s">
        <v>181</v>
      </c>
      <c r="F10738" t="s">
        <v>4</v>
      </c>
      <c r="G10738" t="str">
        <f>""</f>
        <v/>
      </c>
    </row>
    <row r="10739" spans="1:7" x14ac:dyDescent="0.25">
      <c r="A10739" t="s">
        <v>8</v>
      </c>
      <c r="B10739" s="1" t="str">
        <f>"000076741 - RICHES 100912 DOUGH"</f>
        <v>000076741 - RICHES 100912 DOUGH</v>
      </c>
      <c r="C10739" t="s">
        <v>736</v>
      </c>
      <c r="D10739" s="1" t="str">
        <f t="shared" si="296"/>
        <v>PRG-1035912</v>
      </c>
      <c r="E10739" t="s">
        <v>181</v>
      </c>
      <c r="F10739" t="s">
        <v>4</v>
      </c>
      <c r="G10739" t="str">
        <f>""</f>
        <v/>
      </c>
    </row>
    <row r="10740" spans="1:7" x14ac:dyDescent="0.25">
      <c r="A10740" t="s">
        <v>8</v>
      </c>
      <c r="B10740" s="1" t="str">
        <f>"000077097 - RICHES 100912 DOUGH"</f>
        <v>000077097 - RICHES 100912 DOUGH</v>
      </c>
      <c r="C10740" t="s">
        <v>736</v>
      </c>
      <c r="D10740" s="1" t="str">
        <f t="shared" si="296"/>
        <v>PRG-1035912</v>
      </c>
      <c r="E10740" t="s">
        <v>181</v>
      </c>
      <c r="F10740" t="s">
        <v>4</v>
      </c>
      <c r="G10740" t="str">
        <f>""</f>
        <v/>
      </c>
    </row>
    <row r="10741" spans="1:7" x14ac:dyDescent="0.25">
      <c r="A10741" t="s">
        <v>8</v>
      </c>
      <c r="B10741" s="1" t="str">
        <f>"000078859 - RICHS PIZZA DOUGH &amp; ICING-SODX"</f>
        <v>000078859 - RICHS PIZZA DOUGH &amp; ICING-SODX</v>
      </c>
      <c r="C10741" t="s">
        <v>223</v>
      </c>
      <c r="D10741" s="1" t="str">
        <f t="shared" si="296"/>
        <v>PRG-1035912</v>
      </c>
      <c r="E10741" t="s">
        <v>181</v>
      </c>
      <c r="F10741" t="s">
        <v>4</v>
      </c>
      <c r="G10741" t="str">
        <f>""</f>
        <v/>
      </c>
    </row>
    <row r="10742" spans="1:7" x14ac:dyDescent="0.25">
      <c r="A10742" t="s">
        <v>8</v>
      </c>
      <c r="B10742" s="1" t="str">
        <f>"000080942 - RICHS PIZZA DOUGH &amp; ICING-SODX"</f>
        <v>000080942 - RICHS PIZZA DOUGH &amp; ICING-SODX</v>
      </c>
      <c r="C10742" t="s">
        <v>223</v>
      </c>
      <c r="D10742" s="1" t="str">
        <f t="shared" si="296"/>
        <v>PRG-1035912</v>
      </c>
      <c r="E10742" t="s">
        <v>181</v>
      </c>
      <c r="F10742" t="s">
        <v>4</v>
      </c>
      <c r="G10742" t="str">
        <f>""</f>
        <v/>
      </c>
    </row>
    <row r="10743" spans="1:7" x14ac:dyDescent="0.25">
      <c r="A10743" t="s">
        <v>8</v>
      </c>
      <c r="B10743" s="1" t="str">
        <f>"000085082 - RICHS PIZZA DOUGH&amp;ICING-SODEXO"</f>
        <v>000085082 - RICHS PIZZA DOUGH&amp;ICING-SODEXO</v>
      </c>
      <c r="C10743" t="s">
        <v>288</v>
      </c>
      <c r="D10743" s="1" t="str">
        <f t="shared" si="296"/>
        <v>PRG-1035912</v>
      </c>
      <c r="E10743" t="s">
        <v>181</v>
      </c>
      <c r="F10743" t="s">
        <v>4</v>
      </c>
      <c r="G10743" t="str">
        <f>""</f>
        <v/>
      </c>
    </row>
    <row r="10744" spans="1:7" x14ac:dyDescent="0.25">
      <c r="A10744" t="s">
        <v>8</v>
      </c>
      <c r="B10744" s="1" t="str">
        <f>"000133002 - RICHS PIZZA DOUGH BB CORE-SODX"</f>
        <v>000133002 - RICHS PIZZA DOUGH BB CORE-SODX</v>
      </c>
      <c r="C10744" t="s">
        <v>275</v>
      </c>
      <c r="D10744" s="1" t="str">
        <f t="shared" si="296"/>
        <v>PRG-1035912</v>
      </c>
      <c r="E10744" t="s">
        <v>181</v>
      </c>
      <c r="F10744" t="s">
        <v>4</v>
      </c>
      <c r="G10744" t="str">
        <f>""</f>
        <v/>
      </c>
    </row>
    <row r="10745" spans="1:7" x14ac:dyDescent="0.25">
      <c r="A10745" t="s">
        <v>8</v>
      </c>
      <c r="B10745" s="1" t="str">
        <f>"000133003 - RICH PIZZA DOUGH NCORE BB-SODX"</f>
        <v>000133003 - RICH PIZZA DOUGH NCORE BB-SODX</v>
      </c>
      <c r="C10745" t="s">
        <v>113</v>
      </c>
      <c r="D10745" s="1" t="str">
        <f t="shared" si="296"/>
        <v>PRG-1035912</v>
      </c>
      <c r="E10745" t="s">
        <v>181</v>
      </c>
      <c r="F10745" t="s">
        <v>4</v>
      </c>
      <c r="G10745" t="str">
        <f>""</f>
        <v/>
      </c>
    </row>
    <row r="10746" spans="1:7" x14ac:dyDescent="0.25">
      <c r="A10746" t="s">
        <v>8</v>
      </c>
      <c r="B10746" s="1" t="str">
        <f>"000134977 - RICHS PIZZA DOUGH &amp; ICING-SODX"</f>
        <v>000134977 - RICHS PIZZA DOUGH &amp; ICING-SODX</v>
      </c>
      <c r="C10746" t="s">
        <v>223</v>
      </c>
      <c r="D10746" s="1" t="str">
        <f t="shared" si="296"/>
        <v>PRG-1035912</v>
      </c>
      <c r="E10746" t="s">
        <v>181</v>
      </c>
      <c r="F10746" t="s">
        <v>4</v>
      </c>
      <c r="G10746" t="str">
        <f>""</f>
        <v/>
      </c>
    </row>
    <row r="10747" spans="1:7" x14ac:dyDescent="0.25">
      <c r="A10747" t="s">
        <v>8</v>
      </c>
      <c r="B10747" s="1" t="str">
        <f>"000136226 - RICHS PIZZA DOUGH BB CORE-SODX"</f>
        <v>000136226 - RICHS PIZZA DOUGH BB CORE-SODX</v>
      </c>
      <c r="C10747" t="s">
        <v>275</v>
      </c>
      <c r="D10747" s="1" t="str">
        <f t="shared" si="296"/>
        <v>PRG-1035912</v>
      </c>
      <c r="E10747" t="s">
        <v>181</v>
      </c>
      <c r="F10747" t="s">
        <v>4</v>
      </c>
      <c r="G10747" t="str">
        <f>""</f>
        <v/>
      </c>
    </row>
    <row r="10748" spans="1:7" x14ac:dyDescent="0.25">
      <c r="A10748" t="s">
        <v>8</v>
      </c>
      <c r="B10748" s="1" t="str">
        <f>"000136227 - RICH PIZZA DOUGH NCORE BB-SODX"</f>
        <v>000136227 - RICH PIZZA DOUGH NCORE BB-SODX</v>
      </c>
      <c r="C10748" t="s">
        <v>113</v>
      </c>
      <c r="D10748" s="1" t="str">
        <f t="shared" si="296"/>
        <v>PRG-1035912</v>
      </c>
      <c r="E10748" t="s">
        <v>181</v>
      </c>
      <c r="F10748" t="s">
        <v>4</v>
      </c>
      <c r="G10748" t="str">
        <f>""</f>
        <v/>
      </c>
    </row>
    <row r="10749" spans="1:7" x14ac:dyDescent="0.25">
      <c r="A10749" t="s">
        <v>8</v>
      </c>
      <c r="B10749" s="1" t="str">
        <f>"000136678 - RICHS PIZZA DOUGH &amp; ICING-SODX"</f>
        <v>000136678 - RICHS PIZZA DOUGH &amp; ICING-SODX</v>
      </c>
      <c r="C10749" t="s">
        <v>223</v>
      </c>
      <c r="D10749" s="1" t="str">
        <f t="shared" si="296"/>
        <v>PRG-1035912</v>
      </c>
      <c r="E10749" t="s">
        <v>181</v>
      </c>
      <c r="F10749" t="s">
        <v>4</v>
      </c>
      <c r="G10749" t="str">
        <f>""</f>
        <v/>
      </c>
    </row>
    <row r="10750" spans="1:7" x14ac:dyDescent="0.25">
      <c r="A10750" t="s">
        <v>8</v>
      </c>
      <c r="B10750" s="1" t="str">
        <f>"000139182 - RICHS PIZZA DOUGH &amp; ICING-SODX"</f>
        <v>000139182 - RICHS PIZZA DOUGH &amp; ICING-SODX</v>
      </c>
      <c r="C10750" t="s">
        <v>223</v>
      </c>
      <c r="D10750" s="1" t="str">
        <f t="shared" si="296"/>
        <v>PRG-1035912</v>
      </c>
      <c r="E10750" t="s">
        <v>181</v>
      </c>
      <c r="F10750" t="s">
        <v>4</v>
      </c>
      <c r="G10750" t="str">
        <f>""</f>
        <v/>
      </c>
    </row>
    <row r="10751" spans="1:7" x14ac:dyDescent="0.25">
      <c r="A10751" t="s">
        <v>8</v>
      </c>
      <c r="B10751" s="1" t="str">
        <f>"000140540 - RICHS PIZZA DOUGH&amp;ICING-SODEXO"</f>
        <v>000140540 - RICHS PIZZA DOUGH&amp;ICING-SODEXO</v>
      </c>
      <c r="C10751" t="s">
        <v>288</v>
      </c>
      <c r="D10751" s="1" t="str">
        <f t="shared" si="296"/>
        <v>PRG-1035912</v>
      </c>
      <c r="E10751" t="s">
        <v>181</v>
      </c>
      <c r="F10751" t="s">
        <v>4</v>
      </c>
      <c r="G10751" t="str">
        <f>""</f>
        <v/>
      </c>
    </row>
    <row r="10752" spans="1:7" x14ac:dyDescent="0.25">
      <c r="A10752" t="s">
        <v>8</v>
      </c>
      <c r="B10752" s="1" t="str">
        <f>"000142168 - RICHS PIZZA DOUGH&amp;ICING-SODEXO"</f>
        <v>000142168 - RICHS PIZZA DOUGH&amp;ICING-SODEXO</v>
      </c>
      <c r="C10752" t="s">
        <v>288</v>
      </c>
      <c r="D10752" s="1" t="str">
        <f t="shared" ref="D10752:D10815" si="297">"PRG-1035912"</f>
        <v>PRG-1035912</v>
      </c>
      <c r="E10752" t="s">
        <v>181</v>
      </c>
      <c r="F10752" t="s">
        <v>4</v>
      </c>
      <c r="G10752" t="str">
        <f>""</f>
        <v/>
      </c>
    </row>
    <row r="10753" spans="1:7" x14ac:dyDescent="0.25">
      <c r="A10753" t="s">
        <v>8</v>
      </c>
      <c r="B10753" s="1" t="str">
        <f>"000142768 - RICHS ICING&amp;DOUGH-SODEXO"</f>
        <v>000142768 - RICHS ICING&amp;DOUGH-SODEXO</v>
      </c>
      <c r="C10753" t="s">
        <v>303</v>
      </c>
      <c r="D10753" s="1" t="str">
        <f t="shared" si="297"/>
        <v>PRG-1035912</v>
      </c>
      <c r="E10753" t="s">
        <v>181</v>
      </c>
      <c r="F10753" t="s">
        <v>4</v>
      </c>
      <c r="G10753" t="str">
        <f>""</f>
        <v/>
      </c>
    </row>
    <row r="10754" spans="1:7" x14ac:dyDescent="0.25">
      <c r="A10754" t="s">
        <v>8</v>
      </c>
      <c r="B10754" s="1" t="str">
        <f>"000145449 - RICHS DOUGH &amp; ICING-SODEXO"</f>
        <v>000145449 - RICHS DOUGH &amp; ICING-SODEXO</v>
      </c>
      <c r="C10754" t="s">
        <v>349</v>
      </c>
      <c r="D10754" s="1" t="str">
        <f t="shared" si="297"/>
        <v>PRG-1035912</v>
      </c>
      <c r="E10754" t="s">
        <v>181</v>
      </c>
      <c r="F10754" t="s">
        <v>4</v>
      </c>
      <c r="G10754" t="str">
        <f>""</f>
        <v/>
      </c>
    </row>
    <row r="10755" spans="1:7" x14ac:dyDescent="0.25">
      <c r="A10755" t="s">
        <v>8</v>
      </c>
      <c r="B10755" s="1" t="str">
        <f>"000154488 - RICHS PIZZA DOUGH BB CORE-SODX"</f>
        <v>000154488 - RICHS PIZZA DOUGH BB CORE-SODX</v>
      </c>
      <c r="C10755" t="s">
        <v>275</v>
      </c>
      <c r="D10755" s="1" t="str">
        <f t="shared" si="297"/>
        <v>PRG-1035912</v>
      </c>
      <c r="E10755" t="s">
        <v>181</v>
      </c>
      <c r="F10755" t="s">
        <v>4</v>
      </c>
      <c r="G10755" t="str">
        <f>""</f>
        <v/>
      </c>
    </row>
    <row r="10756" spans="1:7" x14ac:dyDescent="0.25">
      <c r="A10756" t="s">
        <v>8</v>
      </c>
      <c r="B10756" s="1" t="str">
        <f>"000154489 - RICH PIZZA DOUGH NCORE BB-SODX"</f>
        <v>000154489 - RICH PIZZA DOUGH NCORE BB-SODX</v>
      </c>
      <c r="C10756" t="s">
        <v>113</v>
      </c>
      <c r="D10756" s="1" t="str">
        <f t="shared" si="297"/>
        <v>PRG-1035912</v>
      </c>
      <c r="E10756" t="s">
        <v>181</v>
      </c>
      <c r="F10756" t="s">
        <v>4</v>
      </c>
      <c r="G10756" t="str">
        <f>""</f>
        <v/>
      </c>
    </row>
    <row r="10757" spans="1:7" x14ac:dyDescent="0.25">
      <c r="A10757" t="s">
        <v>8</v>
      </c>
      <c r="B10757" s="1" t="str">
        <f>"000156264 - RICHS PIZZA DOUGH &amp; ICING-SODX"</f>
        <v>000156264 - RICHS PIZZA DOUGH &amp; ICING-SODX</v>
      </c>
      <c r="C10757" t="s">
        <v>223</v>
      </c>
      <c r="D10757" s="1" t="str">
        <f t="shared" si="297"/>
        <v>PRG-1035912</v>
      </c>
      <c r="E10757" t="s">
        <v>181</v>
      </c>
      <c r="F10757" t="s">
        <v>4</v>
      </c>
      <c r="G10757" t="str">
        <f>""</f>
        <v/>
      </c>
    </row>
    <row r="10758" spans="1:7" x14ac:dyDescent="0.25">
      <c r="A10758" t="s">
        <v>8</v>
      </c>
      <c r="B10758" s="1" t="str">
        <f>"000157136 - "</f>
        <v xml:space="preserve">000157136 - </v>
      </c>
      <c r="D10758" s="1" t="str">
        <f t="shared" si="297"/>
        <v>PRG-1035912</v>
      </c>
      <c r="E10758" t="s">
        <v>181</v>
      </c>
      <c r="F10758" t="s">
        <v>4</v>
      </c>
      <c r="G10758" t="str">
        <f>""</f>
        <v/>
      </c>
    </row>
    <row r="10759" spans="1:7" x14ac:dyDescent="0.25">
      <c r="A10759" t="s">
        <v>8</v>
      </c>
      <c r="B10759" s="1" t="str">
        <f>"000157137 - "</f>
        <v xml:space="preserve">000157137 - </v>
      </c>
      <c r="D10759" s="1" t="str">
        <f t="shared" si="297"/>
        <v>PRG-1035912</v>
      </c>
      <c r="E10759" t="s">
        <v>181</v>
      </c>
      <c r="F10759" t="s">
        <v>4</v>
      </c>
      <c r="G10759" t="str">
        <f>""</f>
        <v/>
      </c>
    </row>
    <row r="10760" spans="1:7" x14ac:dyDescent="0.25">
      <c r="A10760" t="s">
        <v>8</v>
      </c>
      <c r="B10760" s="1" t="str">
        <f>"000158203 - RICHS PIZZA DOUGH &amp; ICING-SODX"</f>
        <v>000158203 - RICHS PIZZA DOUGH &amp; ICING-SODX</v>
      </c>
      <c r="C10760" t="s">
        <v>223</v>
      </c>
      <c r="D10760" s="1" t="str">
        <f t="shared" si="297"/>
        <v>PRG-1035912</v>
      </c>
      <c r="E10760" t="s">
        <v>181</v>
      </c>
      <c r="F10760" t="s">
        <v>4</v>
      </c>
      <c r="G10760" t="str">
        <f>""</f>
        <v/>
      </c>
    </row>
    <row r="10761" spans="1:7" x14ac:dyDescent="0.25">
      <c r="A10761" t="s">
        <v>8</v>
      </c>
      <c r="B10761" s="1" t="str">
        <f>"000158849 - RICHS PIZZA DOUGH &amp; ICING-SODX"</f>
        <v>000158849 - RICHS PIZZA DOUGH &amp; ICING-SODX</v>
      </c>
      <c r="C10761" t="s">
        <v>223</v>
      </c>
      <c r="D10761" s="1" t="str">
        <f t="shared" si="297"/>
        <v>PRG-1035912</v>
      </c>
      <c r="E10761" t="s">
        <v>181</v>
      </c>
      <c r="F10761" t="s">
        <v>4</v>
      </c>
      <c r="G10761" t="str">
        <f>""</f>
        <v/>
      </c>
    </row>
    <row r="10762" spans="1:7" x14ac:dyDescent="0.25">
      <c r="A10762" t="s">
        <v>8</v>
      </c>
      <c r="B10762" s="1" t="str">
        <f>"000160257 - "</f>
        <v xml:space="preserve">000160257 - </v>
      </c>
      <c r="D10762" s="1" t="str">
        <f t="shared" si="297"/>
        <v>PRG-1035912</v>
      </c>
      <c r="E10762" t="s">
        <v>181</v>
      </c>
      <c r="F10762" t="s">
        <v>4</v>
      </c>
      <c r="G10762" t="str">
        <f>""</f>
        <v/>
      </c>
    </row>
    <row r="10763" spans="1:7" x14ac:dyDescent="0.25">
      <c r="A10763" t="s">
        <v>8</v>
      </c>
      <c r="B10763" s="1" t="str">
        <f>"000161912 - RICHS PIZZA DOUGH&amp;ICING-SODEXO"</f>
        <v>000161912 - RICHS PIZZA DOUGH&amp;ICING-SODEXO</v>
      </c>
      <c r="C10763" t="s">
        <v>288</v>
      </c>
      <c r="D10763" s="1" t="str">
        <f t="shared" si="297"/>
        <v>PRG-1035912</v>
      </c>
      <c r="E10763" t="s">
        <v>181</v>
      </c>
      <c r="F10763" t="s">
        <v>4</v>
      </c>
      <c r="G10763" t="str">
        <f>""</f>
        <v/>
      </c>
    </row>
    <row r="10764" spans="1:7" x14ac:dyDescent="0.25">
      <c r="A10764" t="s">
        <v>8</v>
      </c>
      <c r="B10764" s="1" t="str">
        <f>"000162461 - "</f>
        <v xml:space="preserve">000162461 - </v>
      </c>
      <c r="D10764" s="1" t="str">
        <f t="shared" si="297"/>
        <v>PRG-1035912</v>
      </c>
      <c r="E10764" t="s">
        <v>181</v>
      </c>
      <c r="F10764" t="s">
        <v>4</v>
      </c>
      <c r="G10764" t="str">
        <f>""</f>
        <v/>
      </c>
    </row>
    <row r="10765" spans="1:7" x14ac:dyDescent="0.25">
      <c r="A10765" t="s">
        <v>8</v>
      </c>
      <c r="B10765" s="1" t="str">
        <f>"000162462 - "</f>
        <v xml:space="preserve">000162462 - </v>
      </c>
      <c r="D10765" s="1" t="str">
        <f t="shared" si="297"/>
        <v>PRG-1035912</v>
      </c>
      <c r="E10765" t="s">
        <v>181</v>
      </c>
      <c r="F10765" t="s">
        <v>4</v>
      </c>
      <c r="G10765" t="str">
        <f>""</f>
        <v/>
      </c>
    </row>
    <row r="10766" spans="1:7" x14ac:dyDescent="0.25">
      <c r="A10766" t="s">
        <v>8</v>
      </c>
      <c r="B10766" s="1" t="str">
        <f>"000162619 - RICHS PIZZA DOUGH BB CORE-SODX"</f>
        <v>000162619 - RICHS PIZZA DOUGH BB CORE-SODX</v>
      </c>
      <c r="C10766" t="s">
        <v>275</v>
      </c>
      <c r="D10766" s="1" t="str">
        <f t="shared" si="297"/>
        <v>PRG-1035912</v>
      </c>
      <c r="E10766" t="s">
        <v>181</v>
      </c>
      <c r="F10766" t="s">
        <v>4</v>
      </c>
      <c r="G10766" t="str">
        <f>""</f>
        <v/>
      </c>
    </row>
    <row r="10767" spans="1:7" x14ac:dyDescent="0.25">
      <c r="A10767" t="s">
        <v>8</v>
      </c>
      <c r="B10767" s="1" t="str">
        <f>"000162620 - RICH PIZZA DOUGH NCORE BB-SODX"</f>
        <v>000162620 - RICH PIZZA DOUGH NCORE BB-SODX</v>
      </c>
      <c r="C10767" t="s">
        <v>113</v>
      </c>
      <c r="D10767" s="1" t="str">
        <f t="shared" si="297"/>
        <v>PRG-1035912</v>
      </c>
      <c r="E10767" t="s">
        <v>181</v>
      </c>
      <c r="F10767" t="s">
        <v>4</v>
      </c>
      <c r="G10767" t="str">
        <f>""</f>
        <v/>
      </c>
    </row>
    <row r="10768" spans="1:7" x14ac:dyDescent="0.25">
      <c r="A10768" t="s">
        <v>8</v>
      </c>
      <c r="B10768" s="1" t="str">
        <f>"000164164 - RICHS PIZZA DOUGH &amp; ICING-SODX"</f>
        <v>000164164 - RICHS PIZZA DOUGH &amp; ICING-SODX</v>
      </c>
      <c r="C10768" t="s">
        <v>223</v>
      </c>
      <c r="D10768" s="1" t="str">
        <f t="shared" si="297"/>
        <v>PRG-1035912</v>
      </c>
      <c r="E10768" t="s">
        <v>181</v>
      </c>
      <c r="F10768" t="s">
        <v>4</v>
      </c>
      <c r="G10768" t="str">
        <f>""</f>
        <v/>
      </c>
    </row>
    <row r="10769" spans="1:7" x14ac:dyDescent="0.25">
      <c r="A10769" t="s">
        <v>8</v>
      </c>
      <c r="B10769" s="1" t="str">
        <f>"000164509 - RICHS PIZZA DOUGH &amp; ICING-SODX"</f>
        <v>000164509 - RICHS PIZZA DOUGH &amp; ICING-SODX</v>
      </c>
      <c r="C10769" t="s">
        <v>223</v>
      </c>
      <c r="D10769" s="1" t="str">
        <f t="shared" si="297"/>
        <v>PRG-1035912</v>
      </c>
      <c r="E10769" t="s">
        <v>181</v>
      </c>
      <c r="F10769" t="s">
        <v>4</v>
      </c>
      <c r="G10769" t="str">
        <f>""</f>
        <v/>
      </c>
    </row>
    <row r="10770" spans="1:7" x14ac:dyDescent="0.25">
      <c r="A10770" t="s">
        <v>8</v>
      </c>
      <c r="B10770" s="1" t="str">
        <f>"000165728 - RICHS PIZZA DOUGH &amp; ICING-SODX"</f>
        <v>000165728 - RICHS PIZZA DOUGH &amp; ICING-SODX</v>
      </c>
      <c r="C10770" t="s">
        <v>223</v>
      </c>
      <c r="D10770" s="1" t="str">
        <f t="shared" si="297"/>
        <v>PRG-1035912</v>
      </c>
      <c r="E10770" t="s">
        <v>181</v>
      </c>
      <c r="F10770" t="s">
        <v>4</v>
      </c>
      <c r="G10770" t="str">
        <f>""</f>
        <v/>
      </c>
    </row>
    <row r="10771" spans="1:7" x14ac:dyDescent="0.25">
      <c r="A10771" t="s">
        <v>8</v>
      </c>
      <c r="B10771" s="1" t="str">
        <f>"000166168 - RICHS PIZZA DOUGH &amp; ICING-SODX"</f>
        <v>000166168 - RICHS PIZZA DOUGH &amp; ICING-SODX</v>
      </c>
      <c r="C10771" t="s">
        <v>223</v>
      </c>
      <c r="D10771" s="1" t="str">
        <f t="shared" si="297"/>
        <v>PRG-1035912</v>
      </c>
      <c r="E10771" t="s">
        <v>181</v>
      </c>
      <c r="F10771" t="s">
        <v>4</v>
      </c>
      <c r="G10771" t="str">
        <f>""</f>
        <v/>
      </c>
    </row>
    <row r="10772" spans="1:7" x14ac:dyDescent="0.25">
      <c r="A10772" t="s">
        <v>8</v>
      </c>
      <c r="B10772" s="1" t="str">
        <f>"000169572 - RICHS PIZZA DOUGH&amp;ICING-SODEXO"</f>
        <v>000169572 - RICHS PIZZA DOUGH&amp;ICING-SODEXO</v>
      </c>
      <c r="C10772" t="s">
        <v>288</v>
      </c>
      <c r="D10772" s="1" t="str">
        <f t="shared" si="297"/>
        <v>PRG-1035912</v>
      </c>
      <c r="E10772" t="s">
        <v>181</v>
      </c>
      <c r="F10772" t="s">
        <v>4</v>
      </c>
      <c r="G10772" t="str">
        <f>""</f>
        <v/>
      </c>
    </row>
    <row r="10773" spans="1:7" x14ac:dyDescent="0.25">
      <c r="A10773" t="s">
        <v>8</v>
      </c>
      <c r="B10773" s="1" t="str">
        <f>"000170381 - RICHS ICING&amp;DOUGH-SODEXO"</f>
        <v>000170381 - RICHS ICING&amp;DOUGH-SODEXO</v>
      </c>
      <c r="C10773" t="s">
        <v>303</v>
      </c>
      <c r="D10773" s="1" t="str">
        <f t="shared" si="297"/>
        <v>PRG-1035912</v>
      </c>
      <c r="E10773" t="s">
        <v>181</v>
      </c>
      <c r="F10773" t="s">
        <v>4</v>
      </c>
      <c r="G10773" t="str">
        <f>""</f>
        <v/>
      </c>
    </row>
    <row r="10774" spans="1:7" x14ac:dyDescent="0.25">
      <c r="A10774" t="s">
        <v>8</v>
      </c>
      <c r="B10774" s="1" t="str">
        <f>"000180857 - "</f>
        <v xml:space="preserve">000180857 - </v>
      </c>
      <c r="D10774" s="1" t="str">
        <f t="shared" si="297"/>
        <v>PRG-1035912</v>
      </c>
      <c r="E10774" t="s">
        <v>181</v>
      </c>
      <c r="F10774" t="s">
        <v>4</v>
      </c>
      <c r="G10774" t="str">
        <f>""</f>
        <v/>
      </c>
    </row>
    <row r="10775" spans="1:7" x14ac:dyDescent="0.25">
      <c r="A10775" t="s">
        <v>8</v>
      </c>
      <c r="B10775" s="1" t="str">
        <f>"000180858 - "</f>
        <v xml:space="preserve">000180858 - </v>
      </c>
      <c r="D10775" s="1" t="str">
        <f t="shared" si="297"/>
        <v>PRG-1035912</v>
      </c>
      <c r="E10775" t="s">
        <v>181</v>
      </c>
      <c r="F10775" t="s">
        <v>4</v>
      </c>
      <c r="G10775" t="str">
        <f>""</f>
        <v/>
      </c>
    </row>
    <row r="10776" spans="1:7" x14ac:dyDescent="0.25">
      <c r="A10776" t="s">
        <v>8</v>
      </c>
      <c r="B10776" s="1" t="str">
        <f>"000182755 - RICHS PIZZA DOUGH &amp; ICING-SODX"</f>
        <v>000182755 - RICHS PIZZA DOUGH &amp; ICING-SODX</v>
      </c>
      <c r="C10776" t="s">
        <v>223</v>
      </c>
      <c r="D10776" s="1" t="str">
        <f t="shared" si="297"/>
        <v>PRG-1035912</v>
      </c>
      <c r="E10776" t="s">
        <v>181</v>
      </c>
      <c r="F10776" t="s">
        <v>4</v>
      </c>
      <c r="G10776" t="str">
        <f>""</f>
        <v/>
      </c>
    </row>
    <row r="10777" spans="1:7" x14ac:dyDescent="0.25">
      <c r="A10777" t="s">
        <v>8</v>
      </c>
      <c r="B10777" s="1" t="str">
        <f>"000184559 - RICHS PIZZA DOUGH &amp; ICING-SODX"</f>
        <v>000184559 - RICHS PIZZA DOUGH &amp; ICING-SODX</v>
      </c>
      <c r="C10777" t="s">
        <v>223</v>
      </c>
      <c r="D10777" s="1" t="str">
        <f t="shared" si="297"/>
        <v>PRG-1035912</v>
      </c>
      <c r="E10777" t="s">
        <v>181</v>
      </c>
      <c r="F10777" t="s">
        <v>4</v>
      </c>
      <c r="G10777" t="str">
        <f>""</f>
        <v/>
      </c>
    </row>
    <row r="10778" spans="1:7" x14ac:dyDescent="0.25">
      <c r="A10778" t="s">
        <v>8</v>
      </c>
      <c r="B10778" s="1" t="str">
        <f>"000206374 - RICHS PIZZA DOUGH &amp; ICING-SODX"</f>
        <v>000206374 - RICHS PIZZA DOUGH &amp; ICING-SODX</v>
      </c>
      <c r="C10778" t="s">
        <v>223</v>
      </c>
      <c r="D10778" s="1" t="str">
        <f t="shared" si="297"/>
        <v>PRG-1035912</v>
      </c>
      <c r="E10778" t="s">
        <v>181</v>
      </c>
      <c r="F10778" t="s">
        <v>4</v>
      </c>
      <c r="G10778" t="str">
        <f>""</f>
        <v/>
      </c>
    </row>
    <row r="10779" spans="1:7" x14ac:dyDescent="0.25">
      <c r="A10779" t="s">
        <v>8</v>
      </c>
      <c r="B10779" s="1" t="str">
        <f>"000222745 - RICHS PIZZA DOUGH BB CORE-SODX"</f>
        <v>000222745 - RICHS PIZZA DOUGH BB CORE-SODX</v>
      </c>
      <c r="C10779" t="s">
        <v>275</v>
      </c>
      <c r="D10779" s="1" t="str">
        <f t="shared" si="297"/>
        <v>PRG-1035912</v>
      </c>
      <c r="E10779" t="s">
        <v>181</v>
      </c>
      <c r="F10779" t="s">
        <v>4</v>
      </c>
      <c r="G10779" t="str">
        <f>""</f>
        <v/>
      </c>
    </row>
    <row r="10780" spans="1:7" x14ac:dyDescent="0.25">
      <c r="A10780" t="s">
        <v>8</v>
      </c>
      <c r="B10780" s="1" t="str">
        <f>"000222746 - RICH PIZZA DOUGH NCORE BB-SODX"</f>
        <v>000222746 - RICH PIZZA DOUGH NCORE BB-SODX</v>
      </c>
      <c r="C10780" t="s">
        <v>113</v>
      </c>
      <c r="D10780" s="1" t="str">
        <f t="shared" si="297"/>
        <v>PRG-1035912</v>
      </c>
      <c r="E10780" t="s">
        <v>181</v>
      </c>
      <c r="F10780" t="s">
        <v>4</v>
      </c>
      <c r="G10780" t="str">
        <f>""</f>
        <v/>
      </c>
    </row>
    <row r="10781" spans="1:7" x14ac:dyDescent="0.25">
      <c r="A10781" t="s">
        <v>8</v>
      </c>
      <c r="B10781" s="1" t="str">
        <f>"000224943 - RICHS PIZZA DOUGH &amp; ICING-SODX"</f>
        <v>000224943 - RICHS PIZZA DOUGH &amp; ICING-SODX</v>
      </c>
      <c r="C10781" t="s">
        <v>223</v>
      </c>
      <c r="D10781" s="1" t="str">
        <f t="shared" si="297"/>
        <v>PRG-1035912</v>
      </c>
      <c r="E10781" t="s">
        <v>181</v>
      </c>
      <c r="F10781" t="s">
        <v>4</v>
      </c>
      <c r="G10781" t="str">
        <f>""</f>
        <v/>
      </c>
    </row>
    <row r="10782" spans="1:7" x14ac:dyDescent="0.25">
      <c r="A10782" t="s">
        <v>8</v>
      </c>
      <c r="B10782" s="1" t="str">
        <f>"000226926 - RICHS PIZZA DOUGH &amp; ICING-SODX"</f>
        <v>000226926 - RICHS PIZZA DOUGH &amp; ICING-SODX</v>
      </c>
      <c r="C10782" t="s">
        <v>223</v>
      </c>
      <c r="D10782" s="1" t="str">
        <f t="shared" si="297"/>
        <v>PRG-1035912</v>
      </c>
      <c r="E10782" t="s">
        <v>181</v>
      </c>
      <c r="F10782" t="s">
        <v>4</v>
      </c>
      <c r="G10782" t="str">
        <f>""</f>
        <v/>
      </c>
    </row>
    <row r="10783" spans="1:7" x14ac:dyDescent="0.25">
      <c r="A10783" t="s">
        <v>8</v>
      </c>
      <c r="B10783" s="1" t="str">
        <f>"000227745 - RICHS PIZZA DOUGH BB CORE-SODX"</f>
        <v>000227745 - RICHS PIZZA DOUGH BB CORE-SODX</v>
      </c>
      <c r="C10783" t="s">
        <v>275</v>
      </c>
      <c r="D10783" s="1" t="str">
        <f t="shared" si="297"/>
        <v>PRG-1035912</v>
      </c>
      <c r="E10783" t="s">
        <v>181</v>
      </c>
      <c r="F10783" t="s">
        <v>4</v>
      </c>
      <c r="G10783" t="str">
        <f>""</f>
        <v/>
      </c>
    </row>
    <row r="10784" spans="1:7" x14ac:dyDescent="0.25">
      <c r="A10784" t="s">
        <v>8</v>
      </c>
      <c r="B10784" s="1" t="str">
        <f>"000227746 - RICH PIZZA DOUGH NCORE BB-SODX"</f>
        <v>000227746 - RICH PIZZA DOUGH NCORE BB-SODX</v>
      </c>
      <c r="C10784" t="s">
        <v>113</v>
      </c>
      <c r="D10784" s="1" t="str">
        <f t="shared" si="297"/>
        <v>PRG-1035912</v>
      </c>
      <c r="E10784" t="s">
        <v>181</v>
      </c>
      <c r="F10784" t="s">
        <v>4</v>
      </c>
      <c r="G10784" t="str">
        <f>""</f>
        <v/>
      </c>
    </row>
    <row r="10785" spans="1:7" x14ac:dyDescent="0.25">
      <c r="A10785" t="s">
        <v>8</v>
      </c>
      <c r="B10785" s="1" t="str">
        <f>"000230015 - RICHS PIZZA DOUGH BB CORE-SODX"</f>
        <v>000230015 - RICHS PIZZA DOUGH BB CORE-SODX</v>
      </c>
      <c r="C10785" t="s">
        <v>275</v>
      </c>
      <c r="D10785" s="1" t="str">
        <f t="shared" si="297"/>
        <v>PRG-1035912</v>
      </c>
      <c r="E10785" t="s">
        <v>181</v>
      </c>
      <c r="F10785" t="s">
        <v>4</v>
      </c>
      <c r="G10785" t="str">
        <f>""</f>
        <v/>
      </c>
    </row>
    <row r="10786" spans="1:7" x14ac:dyDescent="0.25">
      <c r="A10786" t="s">
        <v>8</v>
      </c>
      <c r="B10786" s="1" t="str">
        <f>"000230016 - RICH PIZZA DOUGH NCORE BB-SODX"</f>
        <v>000230016 - RICH PIZZA DOUGH NCORE BB-SODX</v>
      </c>
      <c r="C10786" t="s">
        <v>113</v>
      </c>
      <c r="D10786" s="1" t="str">
        <f t="shared" si="297"/>
        <v>PRG-1035912</v>
      </c>
      <c r="E10786" t="s">
        <v>181</v>
      </c>
      <c r="F10786" t="s">
        <v>4</v>
      </c>
      <c r="G10786" t="str">
        <f>""</f>
        <v/>
      </c>
    </row>
    <row r="10787" spans="1:7" x14ac:dyDescent="0.25">
      <c r="A10787" t="s">
        <v>8</v>
      </c>
      <c r="B10787" s="1" t="str">
        <f>"000230018 - RICHS PIZZA DOUGH &amp; ICING-SODX"</f>
        <v>000230018 - RICHS PIZZA DOUGH &amp; ICING-SODX</v>
      </c>
      <c r="C10787" t="s">
        <v>223</v>
      </c>
      <c r="D10787" s="1" t="str">
        <f t="shared" si="297"/>
        <v>PRG-1035912</v>
      </c>
      <c r="E10787" t="s">
        <v>181</v>
      </c>
      <c r="F10787" t="s">
        <v>4</v>
      </c>
      <c r="G10787" t="str">
        <f>""</f>
        <v/>
      </c>
    </row>
    <row r="10788" spans="1:7" x14ac:dyDescent="0.25">
      <c r="A10788" t="s">
        <v>8</v>
      </c>
      <c r="B10788" s="1" t="str">
        <f>"000230849 - RICHS PIZZA DOUGH&amp;ICING-SODEXO"</f>
        <v>000230849 - RICHS PIZZA DOUGH&amp;ICING-SODEXO</v>
      </c>
      <c r="C10788" t="s">
        <v>288</v>
      </c>
      <c r="D10788" s="1" t="str">
        <f t="shared" si="297"/>
        <v>PRG-1035912</v>
      </c>
      <c r="E10788" t="s">
        <v>181</v>
      </c>
      <c r="F10788" t="s">
        <v>4</v>
      </c>
      <c r="G10788" t="str">
        <f>""</f>
        <v/>
      </c>
    </row>
    <row r="10789" spans="1:7" x14ac:dyDescent="0.25">
      <c r="A10789" t="s">
        <v>8</v>
      </c>
      <c r="B10789" s="1" t="str">
        <f>"000232157 - RICH SWEET DOUGH-SODEXO"</f>
        <v>000232157 - RICH SWEET DOUGH-SODEXO</v>
      </c>
      <c r="C10789" t="s">
        <v>384</v>
      </c>
      <c r="D10789" s="1" t="str">
        <f t="shared" si="297"/>
        <v>PRG-1035912</v>
      </c>
      <c r="E10789" t="s">
        <v>181</v>
      </c>
      <c r="F10789" t="s">
        <v>4</v>
      </c>
      <c r="G10789" t="str">
        <f>""</f>
        <v/>
      </c>
    </row>
    <row r="10790" spans="1:7" x14ac:dyDescent="0.25">
      <c r="A10790" t="s">
        <v>8</v>
      </c>
      <c r="B10790" s="1" t="str">
        <f>"000232205 - RICHS PIZZA DOUGH &amp; ICING-SODX"</f>
        <v>000232205 - RICHS PIZZA DOUGH &amp; ICING-SODX</v>
      </c>
      <c r="C10790" t="s">
        <v>223</v>
      </c>
      <c r="D10790" s="1" t="str">
        <f t="shared" si="297"/>
        <v>PRG-1035912</v>
      </c>
      <c r="E10790" t="s">
        <v>181</v>
      </c>
      <c r="F10790" t="s">
        <v>4</v>
      </c>
      <c r="G10790" t="str">
        <f>""</f>
        <v/>
      </c>
    </row>
    <row r="10791" spans="1:7" x14ac:dyDescent="0.25">
      <c r="A10791" t="s">
        <v>8</v>
      </c>
      <c r="B10791" s="1" t="str">
        <f>"000234247 - RICHS PIZZA DOUGH &amp; ICING-SODX"</f>
        <v>000234247 - RICHS PIZZA DOUGH &amp; ICING-SODX</v>
      </c>
      <c r="C10791" t="s">
        <v>223</v>
      </c>
      <c r="D10791" s="1" t="str">
        <f t="shared" si="297"/>
        <v>PRG-1035912</v>
      </c>
      <c r="E10791" t="s">
        <v>181</v>
      </c>
      <c r="F10791" t="s">
        <v>4</v>
      </c>
      <c r="G10791" t="str">
        <f>""</f>
        <v/>
      </c>
    </row>
    <row r="10792" spans="1:7" x14ac:dyDescent="0.25">
      <c r="A10792" t="s">
        <v>8</v>
      </c>
      <c r="B10792" s="1" t="str">
        <f>"000236512 - RICHS PIZZA DOUGH&amp;ICING-SODEXO"</f>
        <v>000236512 - RICHS PIZZA DOUGH&amp;ICING-SODEXO</v>
      </c>
      <c r="C10792" t="s">
        <v>288</v>
      </c>
      <c r="D10792" s="1" t="str">
        <f t="shared" si="297"/>
        <v>PRG-1035912</v>
      </c>
      <c r="E10792" t="s">
        <v>181</v>
      </c>
      <c r="F10792" t="s">
        <v>4</v>
      </c>
      <c r="G10792" t="str">
        <f>""</f>
        <v/>
      </c>
    </row>
    <row r="10793" spans="1:7" x14ac:dyDescent="0.25">
      <c r="A10793" t="s">
        <v>8</v>
      </c>
      <c r="B10793" s="1" t="str">
        <f>"000237804 - RICHS PIZZA DOUGH BB CORE-SODX"</f>
        <v>000237804 - RICHS PIZZA DOUGH BB CORE-SODX</v>
      </c>
      <c r="C10793" t="s">
        <v>275</v>
      </c>
      <c r="D10793" s="1" t="str">
        <f t="shared" si="297"/>
        <v>PRG-1035912</v>
      </c>
      <c r="E10793" t="s">
        <v>181</v>
      </c>
      <c r="F10793" t="s">
        <v>4</v>
      </c>
      <c r="G10793" t="str">
        <f>""</f>
        <v/>
      </c>
    </row>
    <row r="10794" spans="1:7" x14ac:dyDescent="0.25">
      <c r="A10794" t="s">
        <v>8</v>
      </c>
      <c r="B10794" s="1" t="str">
        <f>"000238098 - RICHS PIZZA DOUGH BB CORE-SODX"</f>
        <v>000238098 - RICHS PIZZA DOUGH BB CORE-SODX</v>
      </c>
      <c r="C10794" t="s">
        <v>275</v>
      </c>
      <c r="D10794" s="1" t="str">
        <f t="shared" si="297"/>
        <v>PRG-1035912</v>
      </c>
      <c r="E10794" t="s">
        <v>181</v>
      </c>
      <c r="F10794" t="s">
        <v>4</v>
      </c>
      <c r="G10794" t="str">
        <f>""</f>
        <v/>
      </c>
    </row>
    <row r="10795" spans="1:7" x14ac:dyDescent="0.25">
      <c r="A10795" t="s">
        <v>8</v>
      </c>
      <c r="B10795" s="1" t="str">
        <f>"000238099 - RICH PIZZA DOUGH NCORE BB-SODX"</f>
        <v>000238099 - RICH PIZZA DOUGH NCORE BB-SODX</v>
      </c>
      <c r="C10795" t="s">
        <v>113</v>
      </c>
      <c r="D10795" s="1" t="str">
        <f t="shared" si="297"/>
        <v>PRG-1035912</v>
      </c>
      <c r="E10795" t="s">
        <v>181</v>
      </c>
      <c r="F10795" t="s">
        <v>4</v>
      </c>
      <c r="G10795" t="str">
        <f>""</f>
        <v/>
      </c>
    </row>
    <row r="10796" spans="1:7" x14ac:dyDescent="0.25">
      <c r="A10796" t="s">
        <v>8</v>
      </c>
      <c r="B10796" s="1" t="str">
        <f>"000239453 - RICHS PIZZA DOUGH &amp; ICING-SODX"</f>
        <v>000239453 - RICHS PIZZA DOUGH &amp; ICING-SODX</v>
      </c>
      <c r="C10796" t="s">
        <v>223</v>
      </c>
      <c r="D10796" s="1" t="str">
        <f t="shared" si="297"/>
        <v>PRG-1035912</v>
      </c>
      <c r="E10796" t="s">
        <v>181</v>
      </c>
      <c r="F10796" t="s">
        <v>4</v>
      </c>
      <c r="G10796" t="str">
        <f>""</f>
        <v/>
      </c>
    </row>
    <row r="10797" spans="1:7" x14ac:dyDescent="0.25">
      <c r="A10797" t="s">
        <v>8</v>
      </c>
      <c r="B10797" s="1" t="str">
        <f>"000240707 - BB SODEXO FOB RICH PIZZA&amp;ICING"</f>
        <v>000240707 - BB SODEXO FOB RICH PIZZA&amp;ICING</v>
      </c>
      <c r="C10797" t="s">
        <v>1856</v>
      </c>
      <c r="D10797" s="1" t="str">
        <f t="shared" si="297"/>
        <v>PRG-1035912</v>
      </c>
      <c r="E10797" t="s">
        <v>181</v>
      </c>
      <c r="F10797" t="s">
        <v>4</v>
      </c>
      <c r="G10797" t="str">
        <f>""</f>
        <v/>
      </c>
    </row>
    <row r="10798" spans="1:7" x14ac:dyDescent="0.25">
      <c r="A10798" t="s">
        <v>8</v>
      </c>
      <c r="B10798" s="1" t="str">
        <f>"000240925 - RICHS PIZZA DOUGH &amp; ICING-SODX"</f>
        <v>000240925 - RICHS PIZZA DOUGH &amp; ICING-SODX</v>
      </c>
      <c r="C10798" t="s">
        <v>223</v>
      </c>
      <c r="D10798" s="1" t="str">
        <f t="shared" si="297"/>
        <v>PRG-1035912</v>
      </c>
      <c r="E10798" t="s">
        <v>181</v>
      </c>
      <c r="F10798" t="s">
        <v>4</v>
      </c>
      <c r="G10798" t="str">
        <f>""</f>
        <v/>
      </c>
    </row>
    <row r="10799" spans="1:7" x14ac:dyDescent="0.25">
      <c r="A10799" t="s">
        <v>8</v>
      </c>
      <c r="B10799" s="1" t="str">
        <f>"000241863 - RICHS PIZZA DOUGH &amp; ICING-SODX"</f>
        <v>000241863 - RICHS PIZZA DOUGH &amp; ICING-SODX</v>
      </c>
      <c r="C10799" t="s">
        <v>223</v>
      </c>
      <c r="D10799" s="1" t="str">
        <f t="shared" si="297"/>
        <v>PRG-1035912</v>
      </c>
      <c r="E10799" t="s">
        <v>181</v>
      </c>
      <c r="F10799" t="s">
        <v>4</v>
      </c>
      <c r="G10799" t="str">
        <f>""</f>
        <v/>
      </c>
    </row>
    <row r="10800" spans="1:7" x14ac:dyDescent="0.25">
      <c r="A10800" t="s">
        <v>8</v>
      </c>
      <c r="B10800" s="1" t="str">
        <f>"000244482 - RICHS ICING&amp;DOUGH-SODEXO"</f>
        <v>000244482 - RICHS ICING&amp;DOUGH-SODEXO</v>
      </c>
      <c r="C10800" t="s">
        <v>303</v>
      </c>
      <c r="D10800" s="1" t="str">
        <f t="shared" si="297"/>
        <v>PRG-1035912</v>
      </c>
      <c r="E10800" t="s">
        <v>181</v>
      </c>
      <c r="F10800" t="s">
        <v>4</v>
      </c>
      <c r="G10800" t="str">
        <f>""</f>
        <v/>
      </c>
    </row>
    <row r="10801" spans="1:7" x14ac:dyDescent="0.25">
      <c r="A10801" t="s">
        <v>8</v>
      </c>
      <c r="B10801" s="1" t="str">
        <f>"000245159 - RICHS PIZZA DOUGH&amp;ICING-SODEXO"</f>
        <v>000245159 - RICHS PIZZA DOUGH&amp;ICING-SODEXO</v>
      </c>
      <c r="C10801" t="s">
        <v>288</v>
      </c>
      <c r="D10801" s="1" t="str">
        <f t="shared" si="297"/>
        <v>PRG-1035912</v>
      </c>
      <c r="E10801" t="s">
        <v>181</v>
      </c>
      <c r="F10801" t="s">
        <v>4</v>
      </c>
      <c r="G10801" t="str">
        <f>""</f>
        <v/>
      </c>
    </row>
    <row r="10802" spans="1:7" x14ac:dyDescent="0.25">
      <c r="A10802" t="s">
        <v>8</v>
      </c>
      <c r="B10802" s="1" t="str">
        <f>"000246432 - RICHS PIZZA DOUGH BB CORE-SODX"</f>
        <v>000246432 - RICHS PIZZA DOUGH BB CORE-SODX</v>
      </c>
      <c r="C10802" t="s">
        <v>275</v>
      </c>
      <c r="D10802" s="1" t="str">
        <f t="shared" si="297"/>
        <v>PRG-1035912</v>
      </c>
      <c r="E10802" t="s">
        <v>181</v>
      </c>
      <c r="F10802" t="s">
        <v>4</v>
      </c>
      <c r="G10802" t="str">
        <f>""</f>
        <v/>
      </c>
    </row>
    <row r="10803" spans="1:7" x14ac:dyDescent="0.25">
      <c r="A10803" t="s">
        <v>8</v>
      </c>
      <c r="B10803" s="1" t="str">
        <f>"000246433 - RICH PIZZA DOUGH NCORE BB-SODX"</f>
        <v>000246433 - RICH PIZZA DOUGH NCORE BB-SODX</v>
      </c>
      <c r="C10803" t="s">
        <v>113</v>
      </c>
      <c r="D10803" s="1" t="str">
        <f t="shared" si="297"/>
        <v>PRG-1035912</v>
      </c>
      <c r="E10803" t="s">
        <v>181</v>
      </c>
      <c r="F10803" t="s">
        <v>4</v>
      </c>
      <c r="G10803" t="str">
        <f>""</f>
        <v/>
      </c>
    </row>
    <row r="10804" spans="1:7" x14ac:dyDescent="0.25">
      <c r="A10804" t="s">
        <v>8</v>
      </c>
      <c r="B10804" s="1" t="str">
        <f>"000246446 - BB SODEXO FOB PIZZA DOUGH RICH"</f>
        <v>000246446 - BB SODEXO FOB PIZZA DOUGH RICH</v>
      </c>
      <c r="C10804" t="s">
        <v>2025</v>
      </c>
      <c r="D10804" s="1" t="str">
        <f t="shared" si="297"/>
        <v>PRG-1035912</v>
      </c>
      <c r="E10804" t="s">
        <v>181</v>
      </c>
      <c r="F10804" t="s">
        <v>4</v>
      </c>
      <c r="G10804" t="str">
        <f>""</f>
        <v/>
      </c>
    </row>
    <row r="10805" spans="1:7" x14ac:dyDescent="0.25">
      <c r="A10805" t="s">
        <v>8</v>
      </c>
      <c r="B10805" s="1" t="str">
        <f>"000247276 - BB SODEXO FOB RICH PIZZA DOUGH"</f>
        <v>000247276 - BB SODEXO FOB RICH PIZZA DOUGH</v>
      </c>
      <c r="C10805" t="s">
        <v>1691</v>
      </c>
      <c r="D10805" s="1" t="str">
        <f t="shared" si="297"/>
        <v>PRG-1035912</v>
      </c>
      <c r="E10805" t="s">
        <v>181</v>
      </c>
      <c r="F10805" t="s">
        <v>4</v>
      </c>
      <c r="G10805" t="str">
        <f>""</f>
        <v/>
      </c>
    </row>
    <row r="10806" spans="1:7" x14ac:dyDescent="0.25">
      <c r="A10806" t="s">
        <v>8</v>
      </c>
      <c r="B10806" s="1" t="str">
        <f>"000248192 - RICHS PIZZA DOUGH BB CORE-SODX"</f>
        <v>000248192 - RICHS PIZZA DOUGH BB CORE-SODX</v>
      </c>
      <c r="C10806" t="s">
        <v>275</v>
      </c>
      <c r="D10806" s="1" t="str">
        <f t="shared" si="297"/>
        <v>PRG-1035912</v>
      </c>
      <c r="E10806" t="s">
        <v>181</v>
      </c>
      <c r="F10806" t="s">
        <v>4</v>
      </c>
      <c r="G10806" t="str">
        <f>""</f>
        <v/>
      </c>
    </row>
    <row r="10807" spans="1:7" x14ac:dyDescent="0.25">
      <c r="A10807" t="s">
        <v>8</v>
      </c>
      <c r="B10807" s="1" t="str">
        <f>"000248193 - RICH PIZZA DOUGH NCORE BB-SODX"</f>
        <v>000248193 - RICH PIZZA DOUGH NCORE BB-SODX</v>
      </c>
      <c r="C10807" t="s">
        <v>113</v>
      </c>
      <c r="D10807" s="1" t="str">
        <f t="shared" si="297"/>
        <v>PRG-1035912</v>
      </c>
      <c r="E10807" t="s">
        <v>181</v>
      </c>
      <c r="F10807" t="s">
        <v>4</v>
      </c>
      <c r="G10807" t="str">
        <f>""</f>
        <v/>
      </c>
    </row>
    <row r="10808" spans="1:7" x14ac:dyDescent="0.25">
      <c r="A10808" t="s">
        <v>8</v>
      </c>
      <c r="B10808" s="1" t="str">
        <f>"000248922 - BB SODEXO FOB RICH PZA DOU&amp;ICG"</f>
        <v>000248922 - BB SODEXO FOB RICH PZA DOU&amp;ICG</v>
      </c>
      <c r="C10808" t="s">
        <v>2052</v>
      </c>
      <c r="D10808" s="1" t="str">
        <f t="shared" si="297"/>
        <v>PRG-1035912</v>
      </c>
      <c r="E10808" t="s">
        <v>181</v>
      </c>
      <c r="F10808" t="s">
        <v>4</v>
      </c>
      <c r="G10808" t="str">
        <f>""</f>
        <v/>
      </c>
    </row>
    <row r="10809" spans="1:7" x14ac:dyDescent="0.25">
      <c r="A10809" t="s">
        <v>8</v>
      </c>
      <c r="B10809" s="1" t="str">
        <f>"000249740 - RICHS PIZZA DOUGH &amp; ICING-SODX"</f>
        <v>000249740 - RICHS PIZZA DOUGH &amp; ICING-SODX</v>
      </c>
      <c r="C10809" t="s">
        <v>223</v>
      </c>
      <c r="D10809" s="1" t="str">
        <f t="shared" si="297"/>
        <v>PRG-1035912</v>
      </c>
      <c r="E10809" t="s">
        <v>181</v>
      </c>
      <c r="F10809" t="s">
        <v>4</v>
      </c>
      <c r="G10809" t="str">
        <f>""</f>
        <v/>
      </c>
    </row>
    <row r="10810" spans="1:7" x14ac:dyDescent="0.25">
      <c r="A10810" t="s">
        <v>8</v>
      </c>
      <c r="B10810" s="1" t="str">
        <f>"000251008 - BB SODEXO FOB RICH PZA DGH&amp;ICN"</f>
        <v>000251008 - BB SODEXO FOB RICH PZA DGH&amp;ICN</v>
      </c>
      <c r="C10810" t="s">
        <v>2106</v>
      </c>
      <c r="D10810" s="1" t="str">
        <f t="shared" si="297"/>
        <v>PRG-1035912</v>
      </c>
      <c r="E10810" t="s">
        <v>181</v>
      </c>
      <c r="F10810" t="s">
        <v>4</v>
      </c>
      <c r="G10810" t="str">
        <f>""</f>
        <v/>
      </c>
    </row>
    <row r="10811" spans="1:7" x14ac:dyDescent="0.25">
      <c r="A10811" t="s">
        <v>8</v>
      </c>
      <c r="B10811" s="1" t="str">
        <f>"000251139 - RICHS PIZZA DOUGH &amp; ICING-SODX"</f>
        <v>000251139 - RICHS PIZZA DOUGH &amp; ICING-SODX</v>
      </c>
      <c r="C10811" t="s">
        <v>223</v>
      </c>
      <c r="D10811" s="1" t="str">
        <f t="shared" si="297"/>
        <v>PRG-1035912</v>
      </c>
      <c r="E10811" t="s">
        <v>181</v>
      </c>
      <c r="F10811" t="s">
        <v>4</v>
      </c>
      <c r="G10811" t="str">
        <f>""</f>
        <v/>
      </c>
    </row>
    <row r="10812" spans="1:7" x14ac:dyDescent="0.25">
      <c r="A10812" t="s">
        <v>8</v>
      </c>
      <c r="B10812" s="1" t="str">
        <f>"000251764 - RICHS PIZZA DOUGH BB CORE-SODX"</f>
        <v>000251764 - RICHS PIZZA DOUGH BB CORE-SODX</v>
      </c>
      <c r="C10812" t="s">
        <v>275</v>
      </c>
      <c r="D10812" s="1" t="str">
        <f t="shared" si="297"/>
        <v>PRG-1035912</v>
      </c>
      <c r="E10812" t="s">
        <v>181</v>
      </c>
      <c r="F10812" t="s">
        <v>4</v>
      </c>
      <c r="G10812" t="str">
        <f>""</f>
        <v/>
      </c>
    </row>
    <row r="10813" spans="1:7" x14ac:dyDescent="0.25">
      <c r="A10813" t="s">
        <v>8</v>
      </c>
      <c r="B10813" s="1" t="str">
        <f>"000251765 - RICH PIZZA DOUGH NCORE BB-SODX"</f>
        <v>000251765 - RICH PIZZA DOUGH NCORE BB-SODX</v>
      </c>
      <c r="C10813" t="s">
        <v>113</v>
      </c>
      <c r="D10813" s="1" t="str">
        <f t="shared" si="297"/>
        <v>PRG-1035912</v>
      </c>
      <c r="E10813" t="s">
        <v>181</v>
      </c>
      <c r="F10813" t="s">
        <v>4</v>
      </c>
      <c r="G10813" t="str">
        <f>""</f>
        <v/>
      </c>
    </row>
    <row r="10814" spans="1:7" x14ac:dyDescent="0.25">
      <c r="A10814" t="s">
        <v>8</v>
      </c>
      <c r="B10814" s="1" t="str">
        <f>"000252247 - RICHS PIZZA DOUGH BB CORE-SODX"</f>
        <v>000252247 - RICHS PIZZA DOUGH BB CORE-SODX</v>
      </c>
      <c r="C10814" t="s">
        <v>275</v>
      </c>
      <c r="D10814" s="1" t="str">
        <f t="shared" si="297"/>
        <v>PRG-1035912</v>
      </c>
      <c r="E10814" t="s">
        <v>181</v>
      </c>
      <c r="F10814" t="s">
        <v>4</v>
      </c>
      <c r="G10814" t="str">
        <f>""</f>
        <v/>
      </c>
    </row>
    <row r="10815" spans="1:7" x14ac:dyDescent="0.25">
      <c r="A10815" t="s">
        <v>8</v>
      </c>
      <c r="B10815" s="1" t="str">
        <f>"000252248 - RICH PIZZA DOUGH NCORE BB-SODX"</f>
        <v>000252248 - RICH PIZZA DOUGH NCORE BB-SODX</v>
      </c>
      <c r="C10815" t="s">
        <v>113</v>
      </c>
      <c r="D10815" s="1" t="str">
        <f t="shared" si="297"/>
        <v>PRG-1035912</v>
      </c>
      <c r="E10815" t="s">
        <v>181</v>
      </c>
      <c r="F10815" t="s">
        <v>4</v>
      </c>
      <c r="G10815" t="str">
        <f>""</f>
        <v/>
      </c>
    </row>
    <row r="10816" spans="1:7" x14ac:dyDescent="0.25">
      <c r="A10816" t="s">
        <v>8</v>
      </c>
      <c r="B10816" s="1" t="str">
        <f>"000252733 - RICHS PIZZA DOUGH BB CORE-SODX"</f>
        <v>000252733 - RICHS PIZZA DOUGH BB CORE-SODX</v>
      </c>
      <c r="C10816" t="s">
        <v>275</v>
      </c>
      <c r="D10816" s="1" t="str">
        <f t="shared" ref="D10816:D10879" si="298">"PRG-1035912"</f>
        <v>PRG-1035912</v>
      </c>
      <c r="E10816" t="s">
        <v>181</v>
      </c>
      <c r="F10816" t="s">
        <v>4</v>
      </c>
      <c r="G10816" t="str">
        <f>""</f>
        <v/>
      </c>
    </row>
    <row r="10817" spans="1:7" x14ac:dyDescent="0.25">
      <c r="A10817" t="s">
        <v>8</v>
      </c>
      <c r="B10817" s="1" t="str">
        <f>"000252734 - RICH PIZZA DOUGH NCORE BB-SODX"</f>
        <v>000252734 - RICH PIZZA DOUGH NCORE BB-SODX</v>
      </c>
      <c r="C10817" t="s">
        <v>113</v>
      </c>
      <c r="D10817" s="1" t="str">
        <f t="shared" si="298"/>
        <v>PRG-1035912</v>
      </c>
      <c r="E10817" t="s">
        <v>181</v>
      </c>
      <c r="F10817" t="s">
        <v>4</v>
      </c>
      <c r="G10817" t="str">
        <f>""</f>
        <v/>
      </c>
    </row>
    <row r="10818" spans="1:7" x14ac:dyDescent="0.25">
      <c r="A10818" t="s">
        <v>8</v>
      </c>
      <c r="B10818" s="1" t="str">
        <f>"000253556 - RICHS PIZZA DOUGH &amp; ICING-SODX"</f>
        <v>000253556 - RICHS PIZZA DOUGH &amp; ICING-SODX</v>
      </c>
      <c r="C10818" t="s">
        <v>223</v>
      </c>
      <c r="D10818" s="1" t="str">
        <f t="shared" si="298"/>
        <v>PRG-1035912</v>
      </c>
      <c r="E10818" t="s">
        <v>181</v>
      </c>
      <c r="F10818" t="s">
        <v>4</v>
      </c>
      <c r="G10818" t="str">
        <f>""</f>
        <v/>
      </c>
    </row>
    <row r="10819" spans="1:7" x14ac:dyDescent="0.25">
      <c r="A10819" t="s">
        <v>8</v>
      </c>
      <c r="B10819" s="1" t="str">
        <f>"000254241 - RICHS PIZZA DOUGH&amp;ICING-SODEXO"</f>
        <v>000254241 - RICHS PIZZA DOUGH&amp;ICING-SODEXO</v>
      </c>
      <c r="C10819" t="s">
        <v>288</v>
      </c>
      <c r="D10819" s="1" t="str">
        <f t="shared" si="298"/>
        <v>PRG-1035912</v>
      </c>
      <c r="E10819" t="s">
        <v>181</v>
      </c>
      <c r="F10819" t="s">
        <v>4</v>
      </c>
      <c r="G10819" t="str">
        <f>""</f>
        <v/>
      </c>
    </row>
    <row r="10820" spans="1:7" x14ac:dyDescent="0.25">
      <c r="A10820" t="s">
        <v>8</v>
      </c>
      <c r="B10820" s="1" t="str">
        <f>"000254528 - RICHS PIZZA DOUGH BB CORE-SODX"</f>
        <v>000254528 - RICHS PIZZA DOUGH BB CORE-SODX</v>
      </c>
      <c r="C10820" t="s">
        <v>275</v>
      </c>
      <c r="D10820" s="1" t="str">
        <f t="shared" si="298"/>
        <v>PRG-1035912</v>
      </c>
      <c r="E10820" t="s">
        <v>181</v>
      </c>
      <c r="F10820" t="s">
        <v>4</v>
      </c>
      <c r="G10820" t="str">
        <f>""</f>
        <v/>
      </c>
    </row>
    <row r="10821" spans="1:7" x14ac:dyDescent="0.25">
      <c r="A10821" t="s">
        <v>8</v>
      </c>
      <c r="B10821" s="1" t="str">
        <f>"000254529 - RICH PIZZA DOUGH NCORE BB-SODX"</f>
        <v>000254529 - RICH PIZZA DOUGH NCORE BB-SODX</v>
      </c>
      <c r="C10821" t="s">
        <v>113</v>
      </c>
      <c r="D10821" s="1" t="str">
        <f t="shared" si="298"/>
        <v>PRG-1035912</v>
      </c>
      <c r="E10821" t="s">
        <v>181</v>
      </c>
      <c r="F10821" t="s">
        <v>4</v>
      </c>
      <c r="G10821" t="str">
        <f>""</f>
        <v/>
      </c>
    </row>
    <row r="10822" spans="1:7" x14ac:dyDescent="0.25">
      <c r="A10822" t="s">
        <v>8</v>
      </c>
      <c r="B10822" s="1" t="str">
        <f>"000254591 - RICHS PIZZA DOUGH &amp; ICING-SODX"</f>
        <v>000254591 - RICHS PIZZA DOUGH &amp; ICING-SODX</v>
      </c>
      <c r="C10822" t="s">
        <v>223</v>
      </c>
      <c r="D10822" s="1" t="str">
        <f t="shared" si="298"/>
        <v>PRG-1035912</v>
      </c>
      <c r="E10822" t="s">
        <v>181</v>
      </c>
      <c r="F10822" t="s">
        <v>4</v>
      </c>
      <c r="G10822" t="str">
        <f>""</f>
        <v/>
      </c>
    </row>
    <row r="10823" spans="1:7" x14ac:dyDescent="0.25">
      <c r="A10823" t="s">
        <v>8</v>
      </c>
      <c r="B10823" s="1" t="str">
        <f>"000254713 - RICHS PIZZA DOUGH &amp; ICING-SODX"</f>
        <v>000254713 - RICHS PIZZA DOUGH &amp; ICING-SODX</v>
      </c>
      <c r="C10823" t="s">
        <v>223</v>
      </c>
      <c r="D10823" s="1" t="str">
        <f t="shared" si="298"/>
        <v>PRG-1035912</v>
      </c>
      <c r="E10823" t="s">
        <v>181</v>
      </c>
      <c r="F10823" t="s">
        <v>4</v>
      </c>
      <c r="G10823" t="str">
        <f>""</f>
        <v/>
      </c>
    </row>
    <row r="10824" spans="1:7" x14ac:dyDescent="0.25">
      <c r="A10824" t="s">
        <v>8</v>
      </c>
      <c r="B10824" s="1" t="str">
        <f>"000255143 - BB SODEXO FOB RICHS DOUGH&amp;ICIN"</f>
        <v>000255143 - BB SODEXO FOB RICHS DOUGH&amp;ICIN</v>
      </c>
      <c r="C10824" t="s">
        <v>2159</v>
      </c>
      <c r="D10824" s="1" t="str">
        <f t="shared" si="298"/>
        <v>PRG-1035912</v>
      </c>
      <c r="E10824" t="s">
        <v>181</v>
      </c>
      <c r="F10824" t="s">
        <v>4</v>
      </c>
      <c r="G10824" t="str">
        <f>""</f>
        <v/>
      </c>
    </row>
    <row r="10825" spans="1:7" x14ac:dyDescent="0.25">
      <c r="A10825" t="s">
        <v>8</v>
      </c>
      <c r="B10825" s="1" t="str">
        <f>"000255291 - RICHS PIZZA DOUGH &amp; ICING-SODX"</f>
        <v>000255291 - RICHS PIZZA DOUGH &amp; ICING-SODX</v>
      </c>
      <c r="C10825" t="s">
        <v>223</v>
      </c>
      <c r="D10825" s="1" t="str">
        <f t="shared" si="298"/>
        <v>PRG-1035912</v>
      </c>
      <c r="E10825" t="s">
        <v>181</v>
      </c>
      <c r="F10825" t="s">
        <v>4</v>
      </c>
      <c r="G10825" t="str">
        <f>""</f>
        <v/>
      </c>
    </row>
    <row r="10826" spans="1:7" x14ac:dyDescent="0.25">
      <c r="A10826" t="s">
        <v>8</v>
      </c>
      <c r="B10826" s="1" t="str">
        <f>"000255618 - "</f>
        <v xml:space="preserve">000255618 - </v>
      </c>
      <c r="D10826" s="1" t="str">
        <f t="shared" si="298"/>
        <v>PRG-1035912</v>
      </c>
      <c r="E10826" t="s">
        <v>181</v>
      </c>
      <c r="F10826" t="s">
        <v>4</v>
      </c>
      <c r="G10826" t="str">
        <f>""</f>
        <v/>
      </c>
    </row>
    <row r="10827" spans="1:7" x14ac:dyDescent="0.25">
      <c r="A10827" t="s">
        <v>8</v>
      </c>
      <c r="B10827" s="1" t="str">
        <f>"000255619 - "</f>
        <v xml:space="preserve">000255619 - </v>
      </c>
      <c r="D10827" s="1" t="str">
        <f t="shared" si="298"/>
        <v>PRG-1035912</v>
      </c>
      <c r="E10827" t="s">
        <v>181</v>
      </c>
      <c r="F10827" t="s">
        <v>4</v>
      </c>
      <c r="G10827" t="str">
        <f>""</f>
        <v/>
      </c>
    </row>
    <row r="10828" spans="1:7" x14ac:dyDescent="0.25">
      <c r="A10828" t="s">
        <v>8</v>
      </c>
      <c r="B10828" s="1" t="str">
        <f>"000256236 - BB SODEXO FOB RICHS ICING&amp;DOUG"</f>
        <v>000256236 - BB SODEXO FOB RICHS ICING&amp;DOUG</v>
      </c>
      <c r="C10828" t="s">
        <v>2178</v>
      </c>
      <c r="D10828" s="1" t="str">
        <f t="shared" si="298"/>
        <v>PRG-1035912</v>
      </c>
      <c r="E10828" t="s">
        <v>181</v>
      </c>
      <c r="F10828" t="s">
        <v>4</v>
      </c>
      <c r="G10828" t="str">
        <f>""</f>
        <v/>
      </c>
    </row>
    <row r="10829" spans="1:7" x14ac:dyDescent="0.25">
      <c r="A10829" t="s">
        <v>8</v>
      </c>
      <c r="B10829" s="1" t="str">
        <f>"000256560 - RICHS PIZZA DOUGH BB CORE-SODX"</f>
        <v>000256560 - RICHS PIZZA DOUGH BB CORE-SODX</v>
      </c>
      <c r="C10829" t="s">
        <v>275</v>
      </c>
      <c r="D10829" s="1" t="str">
        <f t="shared" si="298"/>
        <v>PRG-1035912</v>
      </c>
      <c r="E10829" t="s">
        <v>181</v>
      </c>
      <c r="F10829" t="s">
        <v>4</v>
      </c>
      <c r="G10829" t="str">
        <f>""</f>
        <v/>
      </c>
    </row>
    <row r="10830" spans="1:7" x14ac:dyDescent="0.25">
      <c r="A10830" t="s">
        <v>8</v>
      </c>
      <c r="B10830" s="1" t="str">
        <f>"000256561 - RICH PIZZA DOUGH NCORE BB-SODX"</f>
        <v>000256561 - RICH PIZZA DOUGH NCORE BB-SODX</v>
      </c>
      <c r="C10830" t="s">
        <v>113</v>
      </c>
      <c r="D10830" s="1" t="str">
        <f t="shared" si="298"/>
        <v>PRG-1035912</v>
      </c>
      <c r="E10830" t="s">
        <v>181</v>
      </c>
      <c r="F10830" t="s">
        <v>4</v>
      </c>
      <c r="G10830" t="str">
        <f>""</f>
        <v/>
      </c>
    </row>
    <row r="10831" spans="1:7" x14ac:dyDescent="0.25">
      <c r="A10831" t="s">
        <v>8</v>
      </c>
      <c r="B10831" s="1" t="str">
        <f>"000256568 - RICHS PIZZA DOUGH &amp; ICING-SODX"</f>
        <v>000256568 - RICHS PIZZA DOUGH &amp; ICING-SODX</v>
      </c>
      <c r="C10831" t="s">
        <v>223</v>
      </c>
      <c r="D10831" s="1" t="str">
        <f t="shared" si="298"/>
        <v>PRG-1035912</v>
      </c>
      <c r="E10831" t="s">
        <v>181</v>
      </c>
      <c r="F10831" t="s">
        <v>4</v>
      </c>
      <c r="G10831" t="str">
        <f>""</f>
        <v/>
      </c>
    </row>
    <row r="10832" spans="1:7" x14ac:dyDescent="0.25">
      <c r="A10832" t="s">
        <v>8</v>
      </c>
      <c r="B10832" s="1" t="str">
        <f>"000257000 - RICHS PIZZA DOUGH &amp; ICING-SODX"</f>
        <v>000257000 - RICHS PIZZA DOUGH &amp; ICING-SODX</v>
      </c>
      <c r="C10832" t="s">
        <v>223</v>
      </c>
      <c r="D10832" s="1" t="str">
        <f t="shared" si="298"/>
        <v>PRG-1035912</v>
      </c>
      <c r="E10832" t="s">
        <v>181</v>
      </c>
      <c r="F10832" t="s">
        <v>4</v>
      </c>
      <c r="G10832" t="str">
        <f>""</f>
        <v/>
      </c>
    </row>
    <row r="10833" spans="1:7" x14ac:dyDescent="0.25">
      <c r="A10833" t="s">
        <v>8</v>
      </c>
      <c r="B10833" s="1" t="str">
        <f>"000257583 - RICHS PIZZA DOUGH &amp; ICING-SODX"</f>
        <v>000257583 - RICHS PIZZA DOUGH &amp; ICING-SODX</v>
      </c>
      <c r="C10833" t="s">
        <v>223</v>
      </c>
      <c r="D10833" s="1" t="str">
        <f t="shared" si="298"/>
        <v>PRG-1035912</v>
      </c>
      <c r="E10833" t="s">
        <v>181</v>
      </c>
      <c r="F10833" t="s">
        <v>4</v>
      </c>
      <c r="G10833" t="str">
        <f>""</f>
        <v/>
      </c>
    </row>
    <row r="10834" spans="1:7" x14ac:dyDescent="0.25">
      <c r="A10834" t="s">
        <v>8</v>
      </c>
      <c r="B10834" s="1" t="str">
        <f>"000258574 - RICHS PIZZA DOUGH &amp; ICING-SODX"</f>
        <v>000258574 - RICHS PIZZA DOUGH &amp; ICING-SODX</v>
      </c>
      <c r="C10834" t="s">
        <v>223</v>
      </c>
      <c r="D10834" s="1" t="str">
        <f t="shared" si="298"/>
        <v>PRG-1035912</v>
      </c>
      <c r="E10834" t="s">
        <v>181</v>
      </c>
      <c r="F10834" t="s">
        <v>4</v>
      </c>
      <c r="G10834" t="str">
        <f>""</f>
        <v/>
      </c>
    </row>
    <row r="10835" spans="1:7" x14ac:dyDescent="0.25">
      <c r="A10835" t="s">
        <v>8</v>
      </c>
      <c r="B10835" s="1" t="str">
        <f>"000258800 - RICHS PIZZA DOUGH &amp; ICING-SODX"</f>
        <v>000258800 - RICHS PIZZA DOUGH &amp; ICING-SODX</v>
      </c>
      <c r="C10835" t="s">
        <v>223</v>
      </c>
      <c r="D10835" s="1" t="str">
        <f t="shared" si="298"/>
        <v>PRG-1035912</v>
      </c>
      <c r="E10835" t="s">
        <v>181</v>
      </c>
      <c r="F10835" t="s">
        <v>4</v>
      </c>
      <c r="G10835" t="str">
        <f>""</f>
        <v/>
      </c>
    </row>
    <row r="10836" spans="1:7" x14ac:dyDescent="0.25">
      <c r="A10836" t="s">
        <v>8</v>
      </c>
      <c r="B10836" s="1" t="str">
        <f>"000259259 - RICHS PIZZA DOGH&amp;ICING CC-SODX"</f>
        <v>000259259 - RICHS PIZZA DOGH&amp;ICING CC-SODX</v>
      </c>
      <c r="C10836" t="s">
        <v>601</v>
      </c>
      <c r="D10836" s="1" t="str">
        <f t="shared" si="298"/>
        <v>PRG-1035912</v>
      </c>
      <c r="E10836" t="s">
        <v>181</v>
      </c>
      <c r="F10836" t="s">
        <v>4</v>
      </c>
      <c r="G10836" t="str">
        <f>""</f>
        <v/>
      </c>
    </row>
    <row r="10837" spans="1:7" x14ac:dyDescent="0.25">
      <c r="A10837" t="s">
        <v>8</v>
      </c>
      <c r="B10837" s="1" t="str">
        <f>"000259366 - RICHS PIZZA DOUGH BB CORE-SODX"</f>
        <v>000259366 - RICHS PIZZA DOUGH BB CORE-SODX</v>
      </c>
      <c r="C10837" t="s">
        <v>275</v>
      </c>
      <c r="D10837" s="1" t="str">
        <f t="shared" si="298"/>
        <v>PRG-1035912</v>
      </c>
      <c r="E10837" t="s">
        <v>181</v>
      </c>
      <c r="F10837" t="s">
        <v>4</v>
      </c>
      <c r="G10837" t="str">
        <f>""</f>
        <v/>
      </c>
    </row>
    <row r="10838" spans="1:7" x14ac:dyDescent="0.25">
      <c r="A10838" t="s">
        <v>8</v>
      </c>
      <c r="B10838" s="1" t="str">
        <f>"000259367 - RICH PIZZA DOUGH NCORE BB-SODX"</f>
        <v>000259367 - RICH PIZZA DOUGH NCORE BB-SODX</v>
      </c>
      <c r="C10838" t="s">
        <v>113</v>
      </c>
      <c r="D10838" s="1" t="str">
        <f t="shared" si="298"/>
        <v>PRG-1035912</v>
      </c>
      <c r="E10838" t="s">
        <v>181</v>
      </c>
      <c r="F10838" t="s">
        <v>4</v>
      </c>
      <c r="G10838" t="str">
        <f>""</f>
        <v/>
      </c>
    </row>
    <row r="10839" spans="1:7" x14ac:dyDescent="0.25">
      <c r="A10839" t="s">
        <v>8</v>
      </c>
      <c r="B10839" s="1" t="str">
        <f>"000259408 - RICHS ICING&amp;DOUGH-SODEXO"</f>
        <v>000259408 - RICHS ICING&amp;DOUGH-SODEXO</v>
      </c>
      <c r="C10839" t="s">
        <v>303</v>
      </c>
      <c r="D10839" s="1" t="str">
        <f t="shared" si="298"/>
        <v>PRG-1035912</v>
      </c>
      <c r="E10839" t="s">
        <v>181</v>
      </c>
      <c r="F10839" t="s">
        <v>4</v>
      </c>
      <c r="G10839" t="str">
        <f>""</f>
        <v/>
      </c>
    </row>
    <row r="10840" spans="1:7" x14ac:dyDescent="0.25">
      <c r="A10840" t="s">
        <v>8</v>
      </c>
      <c r="B10840" s="1" t="str">
        <f>"000259467 - "</f>
        <v xml:space="preserve">000259467 - </v>
      </c>
      <c r="D10840" s="1" t="str">
        <f t="shared" si="298"/>
        <v>PRG-1035912</v>
      </c>
      <c r="E10840" t="s">
        <v>181</v>
      </c>
      <c r="F10840" t="s">
        <v>4</v>
      </c>
      <c r="G10840" t="str">
        <f>""</f>
        <v/>
      </c>
    </row>
    <row r="10841" spans="1:7" x14ac:dyDescent="0.25">
      <c r="A10841" t="s">
        <v>8</v>
      </c>
      <c r="B10841" s="1" t="str">
        <f>"000260260 - BB SODEXO FOB DOUGH&amp;ICNG RICH"</f>
        <v>000260260 - BB SODEXO FOB DOUGH&amp;ICNG RICH</v>
      </c>
      <c r="C10841" t="s">
        <v>2260</v>
      </c>
      <c r="D10841" s="1" t="str">
        <f t="shared" si="298"/>
        <v>PRG-1035912</v>
      </c>
      <c r="E10841" t="s">
        <v>181</v>
      </c>
      <c r="F10841" t="s">
        <v>4</v>
      </c>
      <c r="G10841" t="str">
        <f>""</f>
        <v/>
      </c>
    </row>
    <row r="10842" spans="1:7" x14ac:dyDescent="0.25">
      <c r="A10842" t="s">
        <v>8</v>
      </c>
      <c r="B10842" s="1" t="str">
        <f>"000260823 - RICHS PIZZA DOUGH&amp;ICING-SODEXO"</f>
        <v>000260823 - RICHS PIZZA DOUGH&amp;ICING-SODEXO</v>
      </c>
      <c r="C10842" t="s">
        <v>288</v>
      </c>
      <c r="D10842" s="1" t="str">
        <f t="shared" si="298"/>
        <v>PRG-1035912</v>
      </c>
      <c r="E10842" t="s">
        <v>181</v>
      </c>
      <c r="F10842" t="s">
        <v>4</v>
      </c>
      <c r="G10842" t="str">
        <f>""</f>
        <v/>
      </c>
    </row>
    <row r="10843" spans="1:7" x14ac:dyDescent="0.25">
      <c r="A10843" t="s">
        <v>8</v>
      </c>
      <c r="B10843" s="1" t="str">
        <f>"000260985 - RICHS PIZZA DOUGH &amp; ICING-SODX"</f>
        <v>000260985 - RICHS PIZZA DOUGH &amp; ICING-SODX</v>
      </c>
      <c r="C10843" t="s">
        <v>223</v>
      </c>
      <c r="D10843" s="1" t="str">
        <f t="shared" si="298"/>
        <v>PRG-1035912</v>
      </c>
      <c r="E10843" t="s">
        <v>181</v>
      </c>
      <c r="F10843" t="s">
        <v>4</v>
      </c>
      <c r="G10843" t="str">
        <f>""</f>
        <v/>
      </c>
    </row>
    <row r="10844" spans="1:7" x14ac:dyDescent="0.25">
      <c r="A10844" t="s">
        <v>8</v>
      </c>
      <c r="B10844" s="1" t="str">
        <f>"000261429 - RICHS PIZZA DOUGH &amp; ICING-SODX"</f>
        <v>000261429 - RICHS PIZZA DOUGH &amp; ICING-SODX</v>
      </c>
      <c r="C10844" t="s">
        <v>223</v>
      </c>
      <c r="D10844" s="1" t="str">
        <f t="shared" si="298"/>
        <v>PRG-1035912</v>
      </c>
      <c r="E10844" t="s">
        <v>181</v>
      </c>
      <c r="F10844" t="s">
        <v>4</v>
      </c>
      <c r="G10844" t="str">
        <f>""</f>
        <v/>
      </c>
    </row>
    <row r="10845" spans="1:7" x14ac:dyDescent="0.25">
      <c r="A10845" t="s">
        <v>8</v>
      </c>
      <c r="B10845" s="1" t="str">
        <f>"000262396 - RICHS DOUGH &amp; ICING-SODEXO"</f>
        <v>000262396 - RICHS DOUGH &amp; ICING-SODEXO</v>
      </c>
      <c r="C10845" t="s">
        <v>349</v>
      </c>
      <c r="D10845" s="1" t="str">
        <f t="shared" si="298"/>
        <v>PRG-1035912</v>
      </c>
      <c r="E10845" t="s">
        <v>181</v>
      </c>
      <c r="F10845" t="s">
        <v>4</v>
      </c>
      <c r="G10845" t="str">
        <f>""</f>
        <v/>
      </c>
    </row>
    <row r="10846" spans="1:7" x14ac:dyDescent="0.25">
      <c r="A10846" t="s">
        <v>8</v>
      </c>
      <c r="B10846" s="1" t="str">
        <f>"000262587 - RICHS PIZZA DOUGH&amp;ICING-SODEXO"</f>
        <v>000262587 - RICHS PIZZA DOUGH&amp;ICING-SODEXO</v>
      </c>
      <c r="C10846" t="s">
        <v>288</v>
      </c>
      <c r="D10846" s="1" t="str">
        <f t="shared" si="298"/>
        <v>PRG-1035912</v>
      </c>
      <c r="E10846" t="s">
        <v>181</v>
      </c>
      <c r="F10846" t="s">
        <v>4</v>
      </c>
      <c r="G10846" t="str">
        <f>""</f>
        <v/>
      </c>
    </row>
    <row r="10847" spans="1:7" x14ac:dyDescent="0.25">
      <c r="A10847" t="s">
        <v>8</v>
      </c>
      <c r="B10847" s="1" t="str">
        <f>"000262891 - RICHS PIZZA DOUGH BB CORE-SODX"</f>
        <v>000262891 - RICHS PIZZA DOUGH BB CORE-SODX</v>
      </c>
      <c r="C10847" t="s">
        <v>275</v>
      </c>
      <c r="D10847" s="1" t="str">
        <f t="shared" si="298"/>
        <v>PRG-1035912</v>
      </c>
      <c r="E10847" t="s">
        <v>181</v>
      </c>
      <c r="F10847" t="s">
        <v>4</v>
      </c>
      <c r="G10847" t="str">
        <f>""</f>
        <v/>
      </c>
    </row>
    <row r="10848" spans="1:7" x14ac:dyDescent="0.25">
      <c r="A10848" t="s">
        <v>8</v>
      </c>
      <c r="B10848" s="1" t="str">
        <f>"000262892 - RICH PIZZA DOUGH NCORE BB-SODX"</f>
        <v>000262892 - RICH PIZZA DOUGH NCORE BB-SODX</v>
      </c>
      <c r="C10848" t="s">
        <v>113</v>
      </c>
      <c r="D10848" s="1" t="str">
        <f t="shared" si="298"/>
        <v>PRG-1035912</v>
      </c>
      <c r="E10848" t="s">
        <v>181</v>
      </c>
      <c r="F10848" t="s">
        <v>4</v>
      </c>
      <c r="G10848" t="str">
        <f>""</f>
        <v/>
      </c>
    </row>
    <row r="10849" spans="1:7" x14ac:dyDescent="0.25">
      <c r="A10849" t="s">
        <v>8</v>
      </c>
      <c r="B10849" s="1" t="str">
        <f>"000263210 - RICHS PIZZA DOUGH &amp; ICING-SODX"</f>
        <v>000263210 - RICHS PIZZA DOUGH &amp; ICING-SODX</v>
      </c>
      <c r="C10849" t="s">
        <v>223</v>
      </c>
      <c r="D10849" s="1" t="str">
        <f t="shared" si="298"/>
        <v>PRG-1035912</v>
      </c>
      <c r="E10849" t="s">
        <v>181</v>
      </c>
      <c r="F10849" t="s">
        <v>4</v>
      </c>
      <c r="G10849" t="str">
        <f>""</f>
        <v/>
      </c>
    </row>
    <row r="10850" spans="1:7" x14ac:dyDescent="0.25">
      <c r="A10850" t="s">
        <v>8</v>
      </c>
      <c r="B10850" s="1" t="str">
        <f>"000263571 - RICHS ICING&amp;DOUGH-SODEXO"</f>
        <v>000263571 - RICHS ICING&amp;DOUGH-SODEXO</v>
      </c>
      <c r="C10850" t="s">
        <v>303</v>
      </c>
      <c r="D10850" s="1" t="str">
        <f t="shared" si="298"/>
        <v>PRG-1035912</v>
      </c>
      <c r="E10850" t="s">
        <v>181</v>
      </c>
      <c r="F10850" t="s">
        <v>4</v>
      </c>
      <c r="G10850" t="str">
        <f>""</f>
        <v/>
      </c>
    </row>
    <row r="10851" spans="1:7" x14ac:dyDescent="0.25">
      <c r="A10851" t="s">
        <v>8</v>
      </c>
      <c r="B10851" s="1" t="str">
        <f>"000264712 - RICHS PIZZA DOUGH &amp; ICING-SODX"</f>
        <v>000264712 - RICHS PIZZA DOUGH &amp; ICING-SODX</v>
      </c>
      <c r="C10851" t="s">
        <v>223</v>
      </c>
      <c r="D10851" s="1" t="str">
        <f t="shared" si="298"/>
        <v>PRG-1035912</v>
      </c>
      <c r="E10851" t="s">
        <v>181</v>
      </c>
      <c r="F10851" t="s">
        <v>4</v>
      </c>
      <c r="G10851" t="str">
        <f>""</f>
        <v/>
      </c>
    </row>
    <row r="10852" spans="1:7" x14ac:dyDescent="0.25">
      <c r="A10852" t="s">
        <v>8</v>
      </c>
      <c r="B10852" s="1" t="str">
        <f>"000265470 - RICHS PIZZA DOUGH&amp;ICING-SODEXO"</f>
        <v>000265470 - RICHS PIZZA DOUGH&amp;ICING-SODEXO</v>
      </c>
      <c r="C10852" t="s">
        <v>288</v>
      </c>
      <c r="D10852" s="1" t="str">
        <f t="shared" si="298"/>
        <v>PRG-1035912</v>
      </c>
      <c r="E10852" t="s">
        <v>181</v>
      </c>
      <c r="F10852" t="s">
        <v>4</v>
      </c>
      <c r="G10852" t="str">
        <f>""</f>
        <v/>
      </c>
    </row>
    <row r="10853" spans="1:7" x14ac:dyDescent="0.25">
      <c r="A10853" t="s">
        <v>8</v>
      </c>
      <c r="B10853" s="1" t="str">
        <f>"000266414 - RICHS PIZZA DOUGH BB-SODEXO"</f>
        <v>000266414 - RICHS PIZZA DOUGH BB-SODEXO</v>
      </c>
      <c r="C10853" t="s">
        <v>582</v>
      </c>
      <c r="D10853" s="1" t="str">
        <f t="shared" si="298"/>
        <v>PRG-1035912</v>
      </c>
      <c r="E10853" t="s">
        <v>181</v>
      </c>
      <c r="F10853" t="s">
        <v>4</v>
      </c>
      <c r="G10853" t="str">
        <f>""</f>
        <v/>
      </c>
    </row>
    <row r="10854" spans="1:7" x14ac:dyDescent="0.25">
      <c r="A10854" t="s">
        <v>8</v>
      </c>
      <c r="B10854" s="1" t="str">
        <f>"000267150 - RICHS PIZZA DOUGH&amp;ICING-SODEXO"</f>
        <v>000267150 - RICHS PIZZA DOUGH&amp;ICING-SODEXO</v>
      </c>
      <c r="C10854" t="s">
        <v>288</v>
      </c>
      <c r="D10854" s="1" t="str">
        <f t="shared" si="298"/>
        <v>PRG-1035912</v>
      </c>
      <c r="E10854" t="s">
        <v>181</v>
      </c>
      <c r="F10854" t="s">
        <v>4</v>
      </c>
      <c r="G10854" t="str">
        <f>""</f>
        <v/>
      </c>
    </row>
    <row r="10855" spans="1:7" x14ac:dyDescent="0.25">
      <c r="A10855" t="s">
        <v>8</v>
      </c>
      <c r="B10855" s="1" t="str">
        <f>"000267179 - RICHS DOUGH &amp; ICING-SODEXO"</f>
        <v>000267179 - RICHS DOUGH &amp; ICING-SODEXO</v>
      </c>
      <c r="C10855" t="s">
        <v>349</v>
      </c>
      <c r="D10855" s="1" t="str">
        <f t="shared" si="298"/>
        <v>PRG-1035912</v>
      </c>
      <c r="E10855" t="s">
        <v>181</v>
      </c>
      <c r="F10855" t="s">
        <v>4</v>
      </c>
      <c r="G10855" t="str">
        <f>""</f>
        <v/>
      </c>
    </row>
    <row r="10856" spans="1:7" x14ac:dyDescent="0.25">
      <c r="A10856" t="s">
        <v>8</v>
      </c>
      <c r="B10856" s="1" t="str">
        <f>"000269166 - RICHS PIZZA DOUGH&amp;ICING-SODEXO"</f>
        <v>000269166 - RICHS PIZZA DOUGH&amp;ICING-SODEXO</v>
      </c>
      <c r="C10856" t="s">
        <v>288</v>
      </c>
      <c r="D10856" s="1" t="str">
        <f t="shared" si="298"/>
        <v>PRG-1035912</v>
      </c>
      <c r="E10856" t="s">
        <v>181</v>
      </c>
      <c r="F10856" t="s">
        <v>4</v>
      </c>
      <c r="G10856" t="str">
        <f>""</f>
        <v/>
      </c>
    </row>
    <row r="10857" spans="1:7" x14ac:dyDescent="0.25">
      <c r="A10857" t="s">
        <v>8</v>
      </c>
      <c r="B10857" s="1" t="str">
        <f>"000269971 - RICHS PIZZA DOUGH&amp;ICING-SODEXO"</f>
        <v>000269971 - RICHS PIZZA DOUGH&amp;ICING-SODEXO</v>
      </c>
      <c r="C10857" t="s">
        <v>288</v>
      </c>
      <c r="D10857" s="1" t="str">
        <f t="shared" si="298"/>
        <v>PRG-1035912</v>
      </c>
      <c r="E10857" t="s">
        <v>181</v>
      </c>
      <c r="F10857" t="s">
        <v>4</v>
      </c>
      <c r="G10857" t="str">
        <f>""</f>
        <v/>
      </c>
    </row>
    <row r="10858" spans="1:7" x14ac:dyDescent="0.25">
      <c r="A10858" t="s">
        <v>8</v>
      </c>
      <c r="B10858" s="1" t="str">
        <f>"000271050 - "</f>
        <v xml:space="preserve">000271050 - </v>
      </c>
      <c r="D10858" s="1" t="str">
        <f t="shared" si="298"/>
        <v>PRG-1035912</v>
      </c>
      <c r="E10858" t="s">
        <v>181</v>
      </c>
      <c r="F10858" t="s">
        <v>4</v>
      </c>
      <c r="G10858" t="str">
        <f>""</f>
        <v/>
      </c>
    </row>
    <row r="10859" spans="1:7" x14ac:dyDescent="0.25">
      <c r="A10859" t="s">
        <v>8</v>
      </c>
      <c r="B10859" s="1" t="str">
        <f>"000271449 - RICHS PIZZA DOUGH BB CORE-SODX"</f>
        <v>000271449 - RICHS PIZZA DOUGH BB CORE-SODX</v>
      </c>
      <c r="C10859" t="s">
        <v>275</v>
      </c>
      <c r="D10859" s="1" t="str">
        <f t="shared" si="298"/>
        <v>PRG-1035912</v>
      </c>
      <c r="E10859" t="s">
        <v>181</v>
      </c>
      <c r="F10859" t="s">
        <v>4</v>
      </c>
      <c r="G10859" t="str">
        <f>""</f>
        <v/>
      </c>
    </row>
    <row r="10860" spans="1:7" x14ac:dyDescent="0.25">
      <c r="A10860" t="s">
        <v>8</v>
      </c>
      <c r="B10860" s="1" t="str">
        <f>"000271450 - RICH PIZZA DOUGH NCORE BB-SODX"</f>
        <v>000271450 - RICH PIZZA DOUGH NCORE BB-SODX</v>
      </c>
      <c r="C10860" t="s">
        <v>113</v>
      </c>
      <c r="D10860" s="1" t="str">
        <f t="shared" si="298"/>
        <v>PRG-1035912</v>
      </c>
      <c r="E10860" t="s">
        <v>181</v>
      </c>
      <c r="F10860" t="s">
        <v>4</v>
      </c>
      <c r="G10860" t="str">
        <f>""</f>
        <v/>
      </c>
    </row>
    <row r="10861" spans="1:7" x14ac:dyDescent="0.25">
      <c r="A10861" t="s">
        <v>8</v>
      </c>
      <c r="B10861" s="1" t="str">
        <f>"000272832 - RICHS PIZZA DOUGH &amp; ICING-SODX"</f>
        <v>000272832 - RICHS PIZZA DOUGH &amp; ICING-SODX</v>
      </c>
      <c r="C10861" t="s">
        <v>223</v>
      </c>
      <c r="D10861" s="1" t="str">
        <f t="shared" si="298"/>
        <v>PRG-1035912</v>
      </c>
      <c r="E10861" t="s">
        <v>181</v>
      </c>
      <c r="F10861" t="s">
        <v>4</v>
      </c>
      <c r="G10861" t="str">
        <f>""</f>
        <v/>
      </c>
    </row>
    <row r="10862" spans="1:7" x14ac:dyDescent="0.25">
      <c r="A10862" t="s">
        <v>8</v>
      </c>
      <c r="B10862" s="1" t="str">
        <f>"000273087 - RICHS PIZZA DOUGH &amp; ICING-SODX"</f>
        <v>000273087 - RICHS PIZZA DOUGH &amp; ICING-SODX</v>
      </c>
      <c r="C10862" t="s">
        <v>223</v>
      </c>
      <c r="D10862" s="1" t="str">
        <f t="shared" si="298"/>
        <v>PRG-1035912</v>
      </c>
      <c r="E10862" t="s">
        <v>181</v>
      </c>
      <c r="F10862" t="s">
        <v>4</v>
      </c>
      <c r="G10862" t="str">
        <f>""</f>
        <v/>
      </c>
    </row>
    <row r="10863" spans="1:7" x14ac:dyDescent="0.25">
      <c r="A10863" t="s">
        <v>8</v>
      </c>
      <c r="B10863" s="1" t="str">
        <f>"000273288 - RICHS PIZZA DOUGH &amp; ICING-SODX"</f>
        <v>000273288 - RICHS PIZZA DOUGH &amp; ICING-SODX</v>
      </c>
      <c r="C10863" t="s">
        <v>223</v>
      </c>
      <c r="D10863" s="1" t="str">
        <f t="shared" si="298"/>
        <v>PRG-1035912</v>
      </c>
      <c r="E10863" t="s">
        <v>181</v>
      </c>
      <c r="F10863" t="s">
        <v>4</v>
      </c>
      <c r="G10863" t="str">
        <f>""</f>
        <v/>
      </c>
    </row>
    <row r="10864" spans="1:7" x14ac:dyDescent="0.25">
      <c r="A10864" t="s">
        <v>8</v>
      </c>
      <c r="B10864" s="1" t="str">
        <f>"000274906 - RICHS PIZZA DOUGH &amp; ICING-SODX"</f>
        <v>000274906 - RICHS PIZZA DOUGH &amp; ICING-SODX</v>
      </c>
      <c r="C10864" t="s">
        <v>223</v>
      </c>
      <c r="D10864" s="1" t="str">
        <f t="shared" si="298"/>
        <v>PRG-1035912</v>
      </c>
      <c r="E10864" t="s">
        <v>181</v>
      </c>
      <c r="F10864" t="s">
        <v>4</v>
      </c>
      <c r="G10864" t="str">
        <f>""</f>
        <v/>
      </c>
    </row>
    <row r="10865" spans="1:7" x14ac:dyDescent="0.25">
      <c r="A10865" t="s">
        <v>8</v>
      </c>
      <c r="B10865" s="1" t="str">
        <f>"000274924 - RICHS PIZZA DOUGH BB CORE-SODX"</f>
        <v>000274924 - RICHS PIZZA DOUGH BB CORE-SODX</v>
      </c>
      <c r="C10865" t="s">
        <v>275</v>
      </c>
      <c r="D10865" s="1" t="str">
        <f t="shared" si="298"/>
        <v>PRG-1035912</v>
      </c>
      <c r="E10865" t="s">
        <v>181</v>
      </c>
      <c r="F10865" t="s">
        <v>4</v>
      </c>
      <c r="G10865" t="str">
        <f>""</f>
        <v/>
      </c>
    </row>
    <row r="10866" spans="1:7" x14ac:dyDescent="0.25">
      <c r="A10866" t="s">
        <v>8</v>
      </c>
      <c r="B10866" s="1" t="str">
        <f>"000274925 - RICH PIZZA DOUGH NCORE BB-SODX"</f>
        <v>000274925 - RICH PIZZA DOUGH NCORE BB-SODX</v>
      </c>
      <c r="C10866" t="s">
        <v>113</v>
      </c>
      <c r="D10866" s="1" t="str">
        <f t="shared" si="298"/>
        <v>PRG-1035912</v>
      </c>
      <c r="E10866" t="s">
        <v>181</v>
      </c>
      <c r="F10866" t="s">
        <v>4</v>
      </c>
      <c r="G10866" t="str">
        <f>""</f>
        <v/>
      </c>
    </row>
    <row r="10867" spans="1:7" x14ac:dyDescent="0.25">
      <c r="A10867" t="s">
        <v>8</v>
      </c>
      <c r="B10867" s="1" t="str">
        <f>"000274940 - "</f>
        <v xml:space="preserve">000274940 - </v>
      </c>
      <c r="D10867" s="1" t="str">
        <f t="shared" si="298"/>
        <v>PRG-1035912</v>
      </c>
      <c r="E10867" t="s">
        <v>181</v>
      </c>
      <c r="F10867" t="s">
        <v>4</v>
      </c>
      <c r="G10867" t="str">
        <f>""</f>
        <v/>
      </c>
    </row>
    <row r="10868" spans="1:7" x14ac:dyDescent="0.25">
      <c r="A10868" t="s">
        <v>8</v>
      </c>
      <c r="B10868" s="1" t="str">
        <f>"000275041 - RICHS PIZZA DOUGH &amp; ICING-SODX"</f>
        <v>000275041 - RICHS PIZZA DOUGH &amp; ICING-SODX</v>
      </c>
      <c r="C10868" t="s">
        <v>223</v>
      </c>
      <c r="D10868" s="1" t="str">
        <f t="shared" si="298"/>
        <v>PRG-1035912</v>
      </c>
      <c r="E10868" t="s">
        <v>181</v>
      </c>
      <c r="F10868" t="s">
        <v>4</v>
      </c>
      <c r="G10868" t="str">
        <f>""</f>
        <v/>
      </c>
    </row>
    <row r="10869" spans="1:7" x14ac:dyDescent="0.25">
      <c r="A10869" t="s">
        <v>8</v>
      </c>
      <c r="B10869" s="1" t="str">
        <f>"000276129 - RICHS PIZZA DOUGH BB CORE-SODX"</f>
        <v>000276129 - RICHS PIZZA DOUGH BB CORE-SODX</v>
      </c>
      <c r="C10869" t="s">
        <v>275</v>
      </c>
      <c r="D10869" s="1" t="str">
        <f t="shared" si="298"/>
        <v>PRG-1035912</v>
      </c>
      <c r="E10869" t="s">
        <v>181</v>
      </c>
      <c r="F10869" t="s">
        <v>4</v>
      </c>
      <c r="G10869" t="str">
        <f>""</f>
        <v/>
      </c>
    </row>
    <row r="10870" spans="1:7" x14ac:dyDescent="0.25">
      <c r="A10870" t="s">
        <v>8</v>
      </c>
      <c r="B10870" s="1" t="str">
        <f>"000276130 - RICH PIZZA DOUGH NCORE BB-SODX"</f>
        <v>000276130 - RICH PIZZA DOUGH NCORE BB-SODX</v>
      </c>
      <c r="C10870" t="s">
        <v>113</v>
      </c>
      <c r="D10870" s="1" t="str">
        <f t="shared" si="298"/>
        <v>PRG-1035912</v>
      </c>
      <c r="E10870" t="s">
        <v>181</v>
      </c>
      <c r="F10870" t="s">
        <v>4</v>
      </c>
      <c r="G10870" t="str">
        <f>""</f>
        <v/>
      </c>
    </row>
    <row r="10871" spans="1:7" x14ac:dyDescent="0.25">
      <c r="A10871" t="s">
        <v>8</v>
      </c>
      <c r="B10871" s="1" t="str">
        <f>"000277436 - RICHS PIZZA DOUGH &amp; ICING-SODX"</f>
        <v>000277436 - RICHS PIZZA DOUGH &amp; ICING-SODX</v>
      </c>
      <c r="C10871" t="s">
        <v>223</v>
      </c>
      <c r="D10871" s="1" t="str">
        <f t="shared" si="298"/>
        <v>PRG-1035912</v>
      </c>
      <c r="E10871" t="s">
        <v>181</v>
      </c>
      <c r="F10871" t="s">
        <v>4</v>
      </c>
      <c r="G10871" t="str">
        <f>""</f>
        <v/>
      </c>
    </row>
    <row r="10872" spans="1:7" x14ac:dyDescent="0.25">
      <c r="A10872" t="s">
        <v>8</v>
      </c>
      <c r="B10872" s="1" t="str">
        <f>"000277736 - RICHS PIZZA DOUGH BB CORE-SODX"</f>
        <v>000277736 - RICHS PIZZA DOUGH BB CORE-SODX</v>
      </c>
      <c r="C10872" t="s">
        <v>275</v>
      </c>
      <c r="D10872" s="1" t="str">
        <f t="shared" si="298"/>
        <v>PRG-1035912</v>
      </c>
      <c r="E10872" t="s">
        <v>181</v>
      </c>
      <c r="F10872" t="s">
        <v>4</v>
      </c>
      <c r="G10872" t="str">
        <f>""</f>
        <v/>
      </c>
    </row>
    <row r="10873" spans="1:7" x14ac:dyDescent="0.25">
      <c r="A10873" t="s">
        <v>8</v>
      </c>
      <c r="B10873" s="1" t="str">
        <f>"000277737 - RICH PIZZA DOUGH NCORE BB-SODX"</f>
        <v>000277737 - RICH PIZZA DOUGH NCORE BB-SODX</v>
      </c>
      <c r="C10873" t="s">
        <v>113</v>
      </c>
      <c r="D10873" s="1" t="str">
        <f t="shared" si="298"/>
        <v>PRG-1035912</v>
      </c>
      <c r="E10873" t="s">
        <v>181</v>
      </c>
      <c r="F10873" t="s">
        <v>4</v>
      </c>
      <c r="G10873" t="str">
        <f>""</f>
        <v/>
      </c>
    </row>
    <row r="10874" spans="1:7" x14ac:dyDescent="0.25">
      <c r="A10874" t="s">
        <v>8</v>
      </c>
      <c r="B10874" s="1" t="str">
        <f>"000278046 - RICHS PIZZA DOUGH &amp; ICING-SODX"</f>
        <v>000278046 - RICHS PIZZA DOUGH &amp; ICING-SODX</v>
      </c>
      <c r="C10874" t="s">
        <v>223</v>
      </c>
      <c r="D10874" s="1" t="str">
        <f t="shared" si="298"/>
        <v>PRG-1035912</v>
      </c>
      <c r="E10874" t="s">
        <v>181</v>
      </c>
      <c r="F10874" t="s">
        <v>4</v>
      </c>
      <c r="G10874" t="str">
        <f>""</f>
        <v/>
      </c>
    </row>
    <row r="10875" spans="1:7" x14ac:dyDescent="0.25">
      <c r="A10875" t="s">
        <v>8</v>
      </c>
      <c r="B10875" s="1" t="str">
        <f>"000278243 - RICHS PIZZA DOUGH BB CORE-SODX"</f>
        <v>000278243 - RICHS PIZZA DOUGH BB CORE-SODX</v>
      </c>
      <c r="C10875" t="s">
        <v>275</v>
      </c>
      <c r="D10875" s="1" t="str">
        <f t="shared" si="298"/>
        <v>PRG-1035912</v>
      </c>
      <c r="E10875" t="s">
        <v>181</v>
      </c>
      <c r="F10875" t="s">
        <v>4</v>
      </c>
      <c r="G10875" t="str">
        <f>""</f>
        <v/>
      </c>
    </row>
    <row r="10876" spans="1:7" x14ac:dyDescent="0.25">
      <c r="A10876" t="s">
        <v>8</v>
      </c>
      <c r="B10876" s="1" t="str">
        <f>"000278244 - RICH PIZZA DOUGH NCORE BB-SODX"</f>
        <v>000278244 - RICH PIZZA DOUGH NCORE BB-SODX</v>
      </c>
      <c r="C10876" t="s">
        <v>113</v>
      </c>
      <c r="D10876" s="1" t="str">
        <f t="shared" si="298"/>
        <v>PRG-1035912</v>
      </c>
      <c r="E10876" t="s">
        <v>181</v>
      </c>
      <c r="F10876" t="s">
        <v>4</v>
      </c>
      <c r="G10876" t="str">
        <f>""</f>
        <v/>
      </c>
    </row>
    <row r="10877" spans="1:7" x14ac:dyDescent="0.25">
      <c r="A10877" t="s">
        <v>8</v>
      </c>
      <c r="B10877" s="1" t="str">
        <f>"000278363 - RICHS PIZZA DOUGH&amp;ICING-SODEXO"</f>
        <v>000278363 - RICHS PIZZA DOUGH&amp;ICING-SODEXO</v>
      </c>
      <c r="C10877" t="s">
        <v>288</v>
      </c>
      <c r="D10877" s="1" t="str">
        <f t="shared" si="298"/>
        <v>PRG-1035912</v>
      </c>
      <c r="E10877" t="s">
        <v>181</v>
      </c>
      <c r="F10877" t="s">
        <v>4</v>
      </c>
      <c r="G10877" t="str">
        <f>""</f>
        <v/>
      </c>
    </row>
    <row r="10878" spans="1:7" x14ac:dyDescent="0.25">
      <c r="A10878" t="s">
        <v>8</v>
      </c>
      <c r="B10878" s="1" t="str">
        <f>"000278972 - "</f>
        <v xml:space="preserve">000278972 - </v>
      </c>
      <c r="D10878" s="1" t="str">
        <f t="shared" si="298"/>
        <v>PRG-1035912</v>
      </c>
      <c r="E10878" t="s">
        <v>181</v>
      </c>
      <c r="F10878" t="s">
        <v>4</v>
      </c>
      <c r="G10878" t="str">
        <f>""</f>
        <v/>
      </c>
    </row>
    <row r="10879" spans="1:7" x14ac:dyDescent="0.25">
      <c r="A10879" t="s">
        <v>8</v>
      </c>
      <c r="B10879" s="1" t="str">
        <f>"000279299 - RICHS ICING&amp;DOUGH-SODEXO"</f>
        <v>000279299 - RICHS ICING&amp;DOUGH-SODEXO</v>
      </c>
      <c r="C10879" t="s">
        <v>303</v>
      </c>
      <c r="D10879" s="1" t="str">
        <f t="shared" si="298"/>
        <v>PRG-1035912</v>
      </c>
      <c r="E10879" t="s">
        <v>181</v>
      </c>
      <c r="F10879" t="s">
        <v>4</v>
      </c>
      <c r="G10879" t="str">
        <f>""</f>
        <v/>
      </c>
    </row>
    <row r="10880" spans="1:7" x14ac:dyDescent="0.25">
      <c r="A10880" t="s">
        <v>8</v>
      </c>
      <c r="B10880" s="1" t="str">
        <f>"000279423 - RICHS PIZZA DOUGH BB CORE-SODX"</f>
        <v>000279423 - RICHS PIZZA DOUGH BB CORE-SODX</v>
      </c>
      <c r="C10880" t="s">
        <v>275</v>
      </c>
      <c r="D10880" s="1" t="str">
        <f t="shared" ref="D10880:D10943" si="299">"PRG-1035912"</f>
        <v>PRG-1035912</v>
      </c>
      <c r="E10880" t="s">
        <v>181</v>
      </c>
      <c r="F10880" t="s">
        <v>4</v>
      </c>
      <c r="G10880" t="str">
        <f>""</f>
        <v/>
      </c>
    </row>
    <row r="10881" spans="1:7" x14ac:dyDescent="0.25">
      <c r="A10881" t="s">
        <v>8</v>
      </c>
      <c r="B10881" s="1" t="str">
        <f>"000279424 - RICH PIZZA DOUGH NCORE BB-SODX"</f>
        <v>000279424 - RICH PIZZA DOUGH NCORE BB-SODX</v>
      </c>
      <c r="C10881" t="s">
        <v>113</v>
      </c>
      <c r="D10881" s="1" t="str">
        <f t="shared" si="299"/>
        <v>PRG-1035912</v>
      </c>
      <c r="E10881" t="s">
        <v>181</v>
      </c>
      <c r="F10881" t="s">
        <v>4</v>
      </c>
      <c r="G10881" t="str">
        <f>""</f>
        <v/>
      </c>
    </row>
    <row r="10882" spans="1:7" x14ac:dyDescent="0.25">
      <c r="A10882" t="s">
        <v>8</v>
      </c>
      <c r="B10882" s="1" t="str">
        <f>"000279685 - RICHS PIZZA DOUGH &amp; ICING-SODX"</f>
        <v>000279685 - RICHS PIZZA DOUGH &amp; ICING-SODX</v>
      </c>
      <c r="C10882" t="s">
        <v>223</v>
      </c>
      <c r="D10882" s="1" t="str">
        <f t="shared" si="299"/>
        <v>PRG-1035912</v>
      </c>
      <c r="E10882" t="s">
        <v>181</v>
      </c>
      <c r="F10882" t="s">
        <v>4</v>
      </c>
      <c r="G10882" t="str">
        <f>""</f>
        <v/>
      </c>
    </row>
    <row r="10883" spans="1:7" x14ac:dyDescent="0.25">
      <c r="A10883" t="s">
        <v>8</v>
      </c>
      <c r="B10883" s="1" t="str">
        <f>"000279851 - RICHS PIZZA DOUGH &amp; ICING-SODX"</f>
        <v>000279851 - RICHS PIZZA DOUGH &amp; ICING-SODX</v>
      </c>
      <c r="C10883" t="s">
        <v>223</v>
      </c>
      <c r="D10883" s="1" t="str">
        <f t="shared" si="299"/>
        <v>PRG-1035912</v>
      </c>
      <c r="E10883" t="s">
        <v>181</v>
      </c>
      <c r="F10883" t="s">
        <v>4</v>
      </c>
      <c r="G10883" t="str">
        <f>""</f>
        <v/>
      </c>
    </row>
    <row r="10884" spans="1:7" x14ac:dyDescent="0.25">
      <c r="A10884" t="s">
        <v>8</v>
      </c>
      <c r="B10884" s="1" t="str">
        <f>"000279952 - RICHS PIZZA DOUGH BB CORE-SODX"</f>
        <v>000279952 - RICHS PIZZA DOUGH BB CORE-SODX</v>
      </c>
      <c r="C10884" t="s">
        <v>275</v>
      </c>
      <c r="D10884" s="1" t="str">
        <f t="shared" si="299"/>
        <v>PRG-1035912</v>
      </c>
      <c r="E10884" t="s">
        <v>181</v>
      </c>
      <c r="F10884" t="s">
        <v>4</v>
      </c>
      <c r="G10884" t="str">
        <f>""</f>
        <v/>
      </c>
    </row>
    <row r="10885" spans="1:7" x14ac:dyDescent="0.25">
      <c r="A10885" t="s">
        <v>8</v>
      </c>
      <c r="B10885" s="1" t="str">
        <f>"000279953 - RICH PIZZA DOUGH NCORE BB-SODX"</f>
        <v>000279953 - RICH PIZZA DOUGH NCORE BB-SODX</v>
      </c>
      <c r="C10885" t="s">
        <v>113</v>
      </c>
      <c r="D10885" s="1" t="str">
        <f t="shared" si="299"/>
        <v>PRG-1035912</v>
      </c>
      <c r="E10885" t="s">
        <v>181</v>
      </c>
      <c r="F10885" t="s">
        <v>4</v>
      </c>
      <c r="G10885" t="str">
        <f>""</f>
        <v/>
      </c>
    </row>
    <row r="10886" spans="1:7" x14ac:dyDescent="0.25">
      <c r="A10886" t="s">
        <v>8</v>
      </c>
      <c r="B10886" s="1" t="str">
        <f>"000280045 - RICHS PIZZA DOUGH &amp; ICING-SODX"</f>
        <v>000280045 - RICHS PIZZA DOUGH &amp; ICING-SODX</v>
      </c>
      <c r="C10886" t="s">
        <v>223</v>
      </c>
      <c r="D10886" s="1" t="str">
        <f t="shared" si="299"/>
        <v>PRG-1035912</v>
      </c>
      <c r="E10886" t="s">
        <v>181</v>
      </c>
      <c r="F10886" t="s">
        <v>4</v>
      </c>
      <c r="G10886" t="str">
        <f>""</f>
        <v/>
      </c>
    </row>
    <row r="10887" spans="1:7" x14ac:dyDescent="0.25">
      <c r="A10887" t="s">
        <v>8</v>
      </c>
      <c r="B10887" s="1" t="str">
        <f>"000280546 - RICHS PIZZA DOUGH &amp; ICING-SODX"</f>
        <v>000280546 - RICHS PIZZA DOUGH &amp; ICING-SODX</v>
      </c>
      <c r="C10887" t="s">
        <v>223</v>
      </c>
      <c r="D10887" s="1" t="str">
        <f t="shared" si="299"/>
        <v>PRG-1035912</v>
      </c>
      <c r="E10887" t="s">
        <v>181</v>
      </c>
      <c r="F10887" t="s">
        <v>4</v>
      </c>
      <c r="G10887" t="str">
        <f>""</f>
        <v/>
      </c>
    </row>
    <row r="10888" spans="1:7" x14ac:dyDescent="0.25">
      <c r="A10888" t="s">
        <v>8</v>
      </c>
      <c r="B10888" s="1" t="str">
        <f>"000281071 - RICHS ICING&amp;DOUGH-SODEXO"</f>
        <v>000281071 - RICHS ICING&amp;DOUGH-SODEXO</v>
      </c>
      <c r="C10888" t="s">
        <v>303</v>
      </c>
      <c r="D10888" s="1" t="str">
        <f t="shared" si="299"/>
        <v>PRG-1035912</v>
      </c>
      <c r="E10888" t="s">
        <v>181</v>
      </c>
      <c r="F10888" t="s">
        <v>4</v>
      </c>
      <c r="G10888" t="str">
        <f>""</f>
        <v/>
      </c>
    </row>
    <row r="10889" spans="1:7" x14ac:dyDescent="0.25">
      <c r="A10889" t="s">
        <v>8</v>
      </c>
      <c r="B10889" s="1" t="str">
        <f>"000281552 - RICHS PIZZA DOUGH BB CORE-SODX"</f>
        <v>000281552 - RICHS PIZZA DOUGH BB CORE-SODX</v>
      </c>
      <c r="C10889" t="s">
        <v>275</v>
      </c>
      <c r="D10889" s="1" t="str">
        <f t="shared" si="299"/>
        <v>PRG-1035912</v>
      </c>
      <c r="E10889" t="s">
        <v>181</v>
      </c>
      <c r="F10889" t="s">
        <v>4</v>
      </c>
      <c r="G10889" t="str">
        <f>""</f>
        <v/>
      </c>
    </row>
    <row r="10890" spans="1:7" x14ac:dyDescent="0.25">
      <c r="A10890" t="s">
        <v>8</v>
      </c>
      <c r="B10890" s="1" t="str">
        <f>"000281553 - RICH PIZZA DOUGH NCORE BB-SODX"</f>
        <v>000281553 - RICH PIZZA DOUGH NCORE BB-SODX</v>
      </c>
      <c r="C10890" t="s">
        <v>113</v>
      </c>
      <c r="D10890" s="1" t="str">
        <f t="shared" si="299"/>
        <v>PRG-1035912</v>
      </c>
      <c r="E10890" t="s">
        <v>181</v>
      </c>
      <c r="F10890" t="s">
        <v>4</v>
      </c>
      <c r="G10890" t="str">
        <f>""</f>
        <v/>
      </c>
    </row>
    <row r="10891" spans="1:7" x14ac:dyDescent="0.25">
      <c r="A10891" t="s">
        <v>8</v>
      </c>
      <c r="B10891" s="1" t="str">
        <f>"000281575 - RICHS PIZZA DOUGH &amp; ICING-SODX"</f>
        <v>000281575 - RICHS PIZZA DOUGH &amp; ICING-SODX</v>
      </c>
      <c r="C10891" t="s">
        <v>223</v>
      </c>
      <c r="D10891" s="1" t="str">
        <f t="shared" si="299"/>
        <v>PRG-1035912</v>
      </c>
      <c r="E10891" t="s">
        <v>181</v>
      </c>
      <c r="F10891" t="s">
        <v>4</v>
      </c>
      <c r="G10891" t="str">
        <f>""</f>
        <v/>
      </c>
    </row>
    <row r="10892" spans="1:7" x14ac:dyDescent="0.25">
      <c r="A10892" t="s">
        <v>8</v>
      </c>
      <c r="B10892" s="1" t="str">
        <f>"000281952 - RICHS PIZZA DOUGH BB CORE-SODX"</f>
        <v>000281952 - RICHS PIZZA DOUGH BB CORE-SODX</v>
      </c>
      <c r="C10892" t="s">
        <v>275</v>
      </c>
      <c r="D10892" s="1" t="str">
        <f t="shared" si="299"/>
        <v>PRG-1035912</v>
      </c>
      <c r="E10892" t="s">
        <v>181</v>
      </c>
      <c r="F10892" t="s">
        <v>4</v>
      </c>
      <c r="G10892" t="str">
        <f>""</f>
        <v/>
      </c>
    </row>
    <row r="10893" spans="1:7" x14ac:dyDescent="0.25">
      <c r="A10893" t="s">
        <v>8</v>
      </c>
      <c r="B10893" s="1" t="str">
        <f>"000281953 - RICH PIZZA DOUGH NCORE BB-SODX"</f>
        <v>000281953 - RICH PIZZA DOUGH NCORE BB-SODX</v>
      </c>
      <c r="C10893" t="s">
        <v>113</v>
      </c>
      <c r="D10893" s="1" t="str">
        <f t="shared" si="299"/>
        <v>PRG-1035912</v>
      </c>
      <c r="E10893" t="s">
        <v>181</v>
      </c>
      <c r="F10893" t="s">
        <v>4</v>
      </c>
      <c r="G10893" t="str">
        <f>""</f>
        <v/>
      </c>
    </row>
    <row r="10894" spans="1:7" x14ac:dyDescent="0.25">
      <c r="A10894" t="s">
        <v>8</v>
      </c>
      <c r="B10894" s="1" t="str">
        <f>"000282217 - RICH FOODS-COUNTRY KITCHEN"</f>
        <v>000282217 - RICH FOODS-COUNTRY KITCHEN</v>
      </c>
      <c r="C10894" t="s">
        <v>501</v>
      </c>
      <c r="D10894" s="1" t="str">
        <f t="shared" si="299"/>
        <v>PRG-1035912</v>
      </c>
      <c r="E10894" t="s">
        <v>181</v>
      </c>
      <c r="F10894" t="s">
        <v>4</v>
      </c>
      <c r="G10894" t="str">
        <f>""</f>
        <v/>
      </c>
    </row>
    <row r="10895" spans="1:7" x14ac:dyDescent="0.25">
      <c r="A10895" t="s">
        <v>8</v>
      </c>
      <c r="B10895" s="1" t="str">
        <f>"000282682 - RICHS PIZZA DOUGH &amp; ICING-SODX"</f>
        <v>000282682 - RICHS PIZZA DOUGH &amp; ICING-SODX</v>
      </c>
      <c r="C10895" t="s">
        <v>223</v>
      </c>
      <c r="D10895" s="1" t="str">
        <f t="shared" si="299"/>
        <v>PRG-1035912</v>
      </c>
      <c r="E10895" t="s">
        <v>181</v>
      </c>
      <c r="F10895" t="s">
        <v>4</v>
      </c>
      <c r="G10895" t="str">
        <f>""</f>
        <v/>
      </c>
    </row>
    <row r="10896" spans="1:7" x14ac:dyDescent="0.25">
      <c r="A10896" t="s">
        <v>8</v>
      </c>
      <c r="B10896" s="1" t="str">
        <f>"000282737 - RICHS PIZZA DOUGH &amp; ICING-SODX"</f>
        <v>000282737 - RICHS PIZZA DOUGH &amp; ICING-SODX</v>
      </c>
      <c r="C10896" t="s">
        <v>223</v>
      </c>
      <c r="D10896" s="1" t="str">
        <f t="shared" si="299"/>
        <v>PRG-1035912</v>
      </c>
      <c r="E10896" t="s">
        <v>181</v>
      </c>
      <c r="F10896" t="s">
        <v>4</v>
      </c>
      <c r="G10896" t="str">
        <f>""</f>
        <v/>
      </c>
    </row>
    <row r="10897" spans="1:7" x14ac:dyDescent="0.25">
      <c r="A10897" t="s">
        <v>8</v>
      </c>
      <c r="B10897" s="1" t="str">
        <f>"000283444 - RICHS PIZZA DOUGH&amp;ICING-SODEXO"</f>
        <v>000283444 - RICHS PIZZA DOUGH&amp;ICING-SODEXO</v>
      </c>
      <c r="C10897" t="s">
        <v>288</v>
      </c>
      <c r="D10897" s="1" t="str">
        <f t="shared" si="299"/>
        <v>PRG-1035912</v>
      </c>
      <c r="E10897" t="s">
        <v>181</v>
      </c>
      <c r="F10897" t="s">
        <v>4</v>
      </c>
      <c r="G10897" t="str">
        <f>""</f>
        <v/>
      </c>
    </row>
    <row r="10898" spans="1:7" x14ac:dyDescent="0.25">
      <c r="A10898" t="s">
        <v>8</v>
      </c>
      <c r="B10898" s="1" t="str">
        <f>"000283606 - RICHS PIZZA DOUGH &amp; ICING-SODX"</f>
        <v>000283606 - RICHS PIZZA DOUGH &amp; ICING-SODX</v>
      </c>
      <c r="C10898" t="s">
        <v>223</v>
      </c>
      <c r="D10898" s="1" t="str">
        <f t="shared" si="299"/>
        <v>PRG-1035912</v>
      </c>
      <c r="E10898" t="s">
        <v>181</v>
      </c>
      <c r="F10898" t="s">
        <v>4</v>
      </c>
      <c r="G10898" t="str">
        <f>""</f>
        <v/>
      </c>
    </row>
    <row r="10899" spans="1:7" x14ac:dyDescent="0.25">
      <c r="A10899" t="s">
        <v>8</v>
      </c>
      <c r="B10899" s="1" t="str">
        <f>"000283753 - RICHS PIZZA DOUGH BB CORE-SODX"</f>
        <v>000283753 - RICHS PIZZA DOUGH BB CORE-SODX</v>
      </c>
      <c r="C10899" t="s">
        <v>275</v>
      </c>
      <c r="D10899" s="1" t="str">
        <f t="shared" si="299"/>
        <v>PRG-1035912</v>
      </c>
      <c r="E10899" t="s">
        <v>181</v>
      </c>
      <c r="F10899" t="s">
        <v>4</v>
      </c>
      <c r="G10899" t="str">
        <f>""</f>
        <v/>
      </c>
    </row>
    <row r="10900" spans="1:7" x14ac:dyDescent="0.25">
      <c r="A10900" t="s">
        <v>8</v>
      </c>
      <c r="B10900" s="1" t="str">
        <f>"000283754 - RICH PIZZA DOUGH NCORE BB-SODX"</f>
        <v>000283754 - RICH PIZZA DOUGH NCORE BB-SODX</v>
      </c>
      <c r="C10900" t="s">
        <v>113</v>
      </c>
      <c r="D10900" s="1" t="str">
        <f t="shared" si="299"/>
        <v>PRG-1035912</v>
      </c>
      <c r="E10900" t="s">
        <v>181</v>
      </c>
      <c r="F10900" t="s">
        <v>4</v>
      </c>
      <c r="G10900" t="str">
        <f>""</f>
        <v/>
      </c>
    </row>
    <row r="10901" spans="1:7" x14ac:dyDescent="0.25">
      <c r="A10901" t="s">
        <v>8</v>
      </c>
      <c r="B10901" s="1" t="str">
        <f>"000283822 - RICHS PIZZA DOUGH &amp; ICING-SODX"</f>
        <v>000283822 - RICHS PIZZA DOUGH &amp; ICING-SODX</v>
      </c>
      <c r="C10901" t="s">
        <v>223</v>
      </c>
      <c r="D10901" s="1" t="str">
        <f t="shared" si="299"/>
        <v>PRG-1035912</v>
      </c>
      <c r="E10901" t="s">
        <v>181</v>
      </c>
      <c r="F10901" t="s">
        <v>4</v>
      </c>
      <c r="G10901" t="str">
        <f>""</f>
        <v/>
      </c>
    </row>
    <row r="10902" spans="1:7" x14ac:dyDescent="0.25">
      <c r="A10902" t="s">
        <v>8</v>
      </c>
      <c r="B10902" s="1" t="str">
        <f>"000283936 - RICHS PIZZA DOUGH &amp; ICING-SODX"</f>
        <v>000283936 - RICHS PIZZA DOUGH &amp; ICING-SODX</v>
      </c>
      <c r="C10902" t="s">
        <v>223</v>
      </c>
      <c r="D10902" s="1" t="str">
        <f t="shared" si="299"/>
        <v>PRG-1035912</v>
      </c>
      <c r="E10902" t="s">
        <v>181</v>
      </c>
      <c r="F10902" t="s">
        <v>4</v>
      </c>
      <c r="G10902" t="str">
        <f>""</f>
        <v/>
      </c>
    </row>
    <row r="10903" spans="1:7" x14ac:dyDescent="0.25">
      <c r="A10903" t="s">
        <v>8</v>
      </c>
      <c r="B10903" s="1" t="str">
        <f>"000284327 - RICHS ICING&amp;DOUGH-SODEXO"</f>
        <v>000284327 - RICHS ICING&amp;DOUGH-SODEXO</v>
      </c>
      <c r="C10903" t="s">
        <v>303</v>
      </c>
      <c r="D10903" s="1" t="str">
        <f t="shared" si="299"/>
        <v>PRG-1035912</v>
      </c>
      <c r="E10903" t="s">
        <v>181</v>
      </c>
      <c r="F10903" t="s">
        <v>4</v>
      </c>
      <c r="G10903" t="str">
        <f>""</f>
        <v/>
      </c>
    </row>
    <row r="10904" spans="1:7" x14ac:dyDescent="0.25">
      <c r="A10904" t="s">
        <v>8</v>
      </c>
      <c r="B10904" s="1" t="str">
        <f>"000284803 - RICHS PIZZA DOUGH&amp;ICING-SODEXO"</f>
        <v>000284803 - RICHS PIZZA DOUGH&amp;ICING-SODEXO</v>
      </c>
      <c r="C10904" t="s">
        <v>288</v>
      </c>
      <c r="D10904" s="1" t="str">
        <f t="shared" si="299"/>
        <v>PRG-1035912</v>
      </c>
      <c r="E10904" t="s">
        <v>181</v>
      </c>
      <c r="F10904" t="s">
        <v>4</v>
      </c>
      <c r="G10904" t="str">
        <f>""</f>
        <v/>
      </c>
    </row>
    <row r="10905" spans="1:7" x14ac:dyDescent="0.25">
      <c r="A10905" t="s">
        <v>8</v>
      </c>
      <c r="B10905" s="1" t="str">
        <f>"000284973 - RICHS PIZZA DOUGH &amp; ICING-SODX"</f>
        <v>000284973 - RICHS PIZZA DOUGH &amp; ICING-SODX</v>
      </c>
      <c r="C10905" t="s">
        <v>223</v>
      </c>
      <c r="D10905" s="1" t="str">
        <f t="shared" si="299"/>
        <v>PRG-1035912</v>
      </c>
      <c r="E10905" t="s">
        <v>181</v>
      </c>
      <c r="F10905" t="s">
        <v>4</v>
      </c>
      <c r="G10905" t="str">
        <f>""</f>
        <v/>
      </c>
    </row>
    <row r="10906" spans="1:7" x14ac:dyDescent="0.25">
      <c r="A10906" t="s">
        <v>8</v>
      </c>
      <c r="B10906" s="1" t="str">
        <f>"000285575 - RICHS PIZZA DOUGH &amp; ICING-SODX"</f>
        <v>000285575 - RICHS PIZZA DOUGH &amp; ICING-SODX</v>
      </c>
      <c r="C10906" t="s">
        <v>223</v>
      </c>
      <c r="D10906" s="1" t="str">
        <f t="shared" si="299"/>
        <v>PRG-1035912</v>
      </c>
      <c r="E10906" t="s">
        <v>181</v>
      </c>
      <c r="F10906" t="s">
        <v>4</v>
      </c>
      <c r="G10906" t="str">
        <f>""</f>
        <v/>
      </c>
    </row>
    <row r="10907" spans="1:7" x14ac:dyDescent="0.25">
      <c r="A10907" t="s">
        <v>8</v>
      </c>
      <c r="B10907" s="1" t="str">
        <f>"000285734 - RICHS PIZZA DOUGH &amp; ICING-SODX"</f>
        <v>000285734 - RICHS PIZZA DOUGH &amp; ICING-SODX</v>
      </c>
      <c r="C10907" t="s">
        <v>223</v>
      </c>
      <c r="D10907" s="1" t="str">
        <f t="shared" si="299"/>
        <v>PRG-1035912</v>
      </c>
      <c r="E10907" t="s">
        <v>181</v>
      </c>
      <c r="F10907" t="s">
        <v>4</v>
      </c>
      <c r="G10907" t="str">
        <f>""</f>
        <v/>
      </c>
    </row>
    <row r="10908" spans="1:7" x14ac:dyDescent="0.25">
      <c r="A10908" t="s">
        <v>8</v>
      </c>
      <c r="B10908" s="1" t="str">
        <f>"000285757 - RICHS PIZZA DOUGH &amp; ICING-SODX"</f>
        <v>000285757 - RICHS PIZZA DOUGH &amp; ICING-SODX</v>
      </c>
      <c r="C10908" t="s">
        <v>223</v>
      </c>
      <c r="D10908" s="1" t="str">
        <f t="shared" si="299"/>
        <v>PRG-1035912</v>
      </c>
      <c r="E10908" t="s">
        <v>181</v>
      </c>
      <c r="F10908" t="s">
        <v>4</v>
      </c>
      <c r="G10908" t="str">
        <f>""</f>
        <v/>
      </c>
    </row>
    <row r="10909" spans="1:7" x14ac:dyDescent="0.25">
      <c r="A10909" t="s">
        <v>8</v>
      </c>
      <c r="B10909" s="1" t="str">
        <f>"000286051 - RICHS PIZZA DOUGH BB CORE-SODX"</f>
        <v>000286051 - RICHS PIZZA DOUGH BB CORE-SODX</v>
      </c>
      <c r="C10909" t="s">
        <v>275</v>
      </c>
      <c r="D10909" s="1" t="str">
        <f t="shared" si="299"/>
        <v>PRG-1035912</v>
      </c>
      <c r="E10909" t="s">
        <v>181</v>
      </c>
      <c r="F10909" t="s">
        <v>4</v>
      </c>
      <c r="G10909" t="str">
        <f>""</f>
        <v/>
      </c>
    </row>
    <row r="10910" spans="1:7" x14ac:dyDescent="0.25">
      <c r="A10910" t="s">
        <v>8</v>
      </c>
      <c r="B10910" s="1" t="str">
        <f>"000286052 - RICH PIZZA DOUGH NCORE BB-SODX"</f>
        <v>000286052 - RICH PIZZA DOUGH NCORE BB-SODX</v>
      </c>
      <c r="C10910" t="s">
        <v>113</v>
      </c>
      <c r="D10910" s="1" t="str">
        <f t="shared" si="299"/>
        <v>PRG-1035912</v>
      </c>
      <c r="E10910" t="s">
        <v>181</v>
      </c>
      <c r="F10910" t="s">
        <v>4</v>
      </c>
      <c r="G10910" t="str">
        <f>""</f>
        <v/>
      </c>
    </row>
    <row r="10911" spans="1:7" x14ac:dyDescent="0.25">
      <c r="A10911" t="s">
        <v>8</v>
      </c>
      <c r="B10911" s="1" t="str">
        <f>"000286535 - RICHS PIZZA DOUGH&amp;ICING-SODEXO"</f>
        <v>000286535 - RICHS PIZZA DOUGH&amp;ICING-SODEXO</v>
      </c>
      <c r="C10911" t="s">
        <v>288</v>
      </c>
      <c r="D10911" s="1" t="str">
        <f t="shared" si="299"/>
        <v>PRG-1035912</v>
      </c>
      <c r="E10911" t="s">
        <v>181</v>
      </c>
      <c r="F10911" t="s">
        <v>4</v>
      </c>
      <c r="G10911" t="str">
        <f>""</f>
        <v/>
      </c>
    </row>
    <row r="10912" spans="1:7" x14ac:dyDescent="0.25">
      <c r="A10912" t="s">
        <v>8</v>
      </c>
      <c r="B10912" s="1" t="str">
        <f>"000287233 - RICHS PIZZA DOUGH&amp;ICING-SODEXO"</f>
        <v>000287233 - RICHS PIZZA DOUGH&amp;ICING-SODEXO</v>
      </c>
      <c r="C10912" t="s">
        <v>288</v>
      </c>
      <c r="D10912" s="1" t="str">
        <f t="shared" si="299"/>
        <v>PRG-1035912</v>
      </c>
      <c r="E10912" t="s">
        <v>181</v>
      </c>
      <c r="F10912" t="s">
        <v>4</v>
      </c>
      <c r="G10912" t="str">
        <f>""</f>
        <v/>
      </c>
    </row>
    <row r="10913" spans="1:7" x14ac:dyDescent="0.25">
      <c r="A10913" t="s">
        <v>8</v>
      </c>
      <c r="B10913" s="1" t="str">
        <f>"000287499 - RICHS PIZZA DOUGH&amp;ICING-SODEXO"</f>
        <v>000287499 - RICHS PIZZA DOUGH&amp;ICING-SODEXO</v>
      </c>
      <c r="C10913" t="s">
        <v>288</v>
      </c>
      <c r="D10913" s="1" t="str">
        <f t="shared" si="299"/>
        <v>PRG-1035912</v>
      </c>
      <c r="E10913" t="s">
        <v>181</v>
      </c>
      <c r="F10913" t="s">
        <v>4</v>
      </c>
      <c r="G10913" t="str">
        <f>""</f>
        <v/>
      </c>
    </row>
    <row r="10914" spans="1:7" x14ac:dyDescent="0.25">
      <c r="A10914" t="s">
        <v>8</v>
      </c>
      <c r="B10914" s="1" t="str">
        <f>"000287597 - RICHS PIZZA DOUGH &amp; ICING-SODX"</f>
        <v>000287597 - RICHS PIZZA DOUGH &amp; ICING-SODX</v>
      </c>
      <c r="C10914" t="s">
        <v>223</v>
      </c>
      <c r="D10914" s="1" t="str">
        <f t="shared" si="299"/>
        <v>PRG-1035912</v>
      </c>
      <c r="E10914" t="s">
        <v>181</v>
      </c>
      <c r="F10914" t="s">
        <v>4</v>
      </c>
      <c r="G10914" t="str">
        <f>""</f>
        <v/>
      </c>
    </row>
    <row r="10915" spans="1:7" x14ac:dyDescent="0.25">
      <c r="A10915" t="s">
        <v>8</v>
      </c>
      <c r="B10915" s="1" t="str">
        <f>"000288211 - RICHS PIZZA DOUGH &amp; ICING-SODX"</f>
        <v>000288211 - RICHS PIZZA DOUGH &amp; ICING-SODX</v>
      </c>
      <c r="C10915" t="s">
        <v>223</v>
      </c>
      <c r="D10915" s="1" t="str">
        <f t="shared" si="299"/>
        <v>PRG-1035912</v>
      </c>
      <c r="E10915" t="s">
        <v>181</v>
      </c>
      <c r="F10915" t="s">
        <v>4</v>
      </c>
      <c r="G10915" t="str">
        <f>""</f>
        <v/>
      </c>
    </row>
    <row r="10916" spans="1:7" x14ac:dyDescent="0.25">
      <c r="A10916" t="s">
        <v>8</v>
      </c>
      <c r="B10916" s="1" t="str">
        <f>"000288314 - RICHS ICING&amp;DOUGH-SODEXO"</f>
        <v>000288314 - RICHS ICING&amp;DOUGH-SODEXO</v>
      </c>
      <c r="C10916" t="s">
        <v>303</v>
      </c>
      <c r="D10916" s="1" t="str">
        <f t="shared" si="299"/>
        <v>PRG-1035912</v>
      </c>
      <c r="E10916" t="s">
        <v>181</v>
      </c>
      <c r="F10916" t="s">
        <v>4</v>
      </c>
      <c r="G10916" t="str">
        <f>""</f>
        <v/>
      </c>
    </row>
    <row r="10917" spans="1:7" x14ac:dyDescent="0.25">
      <c r="A10917" t="s">
        <v>8</v>
      </c>
      <c r="B10917" s="1" t="str">
        <f>"000289399 - RICHS PIZZA DOUGH&amp;ICING-SODEXO"</f>
        <v>000289399 - RICHS PIZZA DOUGH&amp;ICING-SODEXO</v>
      </c>
      <c r="C10917" t="s">
        <v>288</v>
      </c>
      <c r="D10917" s="1" t="str">
        <f t="shared" si="299"/>
        <v>PRG-1035912</v>
      </c>
      <c r="E10917" t="s">
        <v>181</v>
      </c>
      <c r="F10917" t="s">
        <v>4</v>
      </c>
      <c r="G10917" t="str">
        <f>""</f>
        <v/>
      </c>
    </row>
    <row r="10918" spans="1:7" x14ac:dyDescent="0.25">
      <c r="A10918" t="s">
        <v>8</v>
      </c>
      <c r="B10918" s="1" t="str">
        <f>"000289486 - RICHS PIZZA DOUGH&amp;ICING-SODEXO"</f>
        <v>000289486 - RICHS PIZZA DOUGH&amp;ICING-SODEXO</v>
      </c>
      <c r="C10918" t="s">
        <v>288</v>
      </c>
      <c r="D10918" s="1" t="str">
        <f t="shared" si="299"/>
        <v>PRG-1035912</v>
      </c>
      <c r="E10918" t="s">
        <v>181</v>
      </c>
      <c r="F10918" t="s">
        <v>4</v>
      </c>
      <c r="G10918" t="str">
        <f>""</f>
        <v/>
      </c>
    </row>
    <row r="10919" spans="1:7" x14ac:dyDescent="0.25">
      <c r="A10919" t="s">
        <v>8</v>
      </c>
      <c r="B10919" s="1" t="str">
        <f>"000289691 - RICHS PIZZA DOUGH&amp;ICING-SODEXO"</f>
        <v>000289691 - RICHS PIZZA DOUGH&amp;ICING-SODEXO</v>
      </c>
      <c r="C10919" t="s">
        <v>288</v>
      </c>
      <c r="D10919" s="1" t="str">
        <f t="shared" si="299"/>
        <v>PRG-1035912</v>
      </c>
      <c r="E10919" t="s">
        <v>181</v>
      </c>
      <c r="F10919" t="s">
        <v>4</v>
      </c>
      <c r="G10919" t="str">
        <f>""</f>
        <v/>
      </c>
    </row>
    <row r="10920" spans="1:7" x14ac:dyDescent="0.25">
      <c r="A10920" t="s">
        <v>8</v>
      </c>
      <c r="B10920" s="1" t="str">
        <f>"000290229 - RICHS PIZZA DOUGH &amp; ICING-SODX"</f>
        <v>000290229 - RICHS PIZZA DOUGH &amp; ICING-SODX</v>
      </c>
      <c r="C10920" t="s">
        <v>223</v>
      </c>
      <c r="D10920" s="1" t="str">
        <f t="shared" si="299"/>
        <v>PRG-1035912</v>
      </c>
      <c r="E10920" t="s">
        <v>181</v>
      </c>
      <c r="F10920" t="s">
        <v>4</v>
      </c>
      <c r="G10920" t="str">
        <f>""</f>
        <v/>
      </c>
    </row>
    <row r="10921" spans="1:7" x14ac:dyDescent="0.25">
      <c r="A10921" t="s">
        <v>8</v>
      </c>
      <c r="B10921" s="1" t="str">
        <f>"000290400 - RICHS ICING&amp;DOUGH-SODEXO"</f>
        <v>000290400 - RICHS ICING&amp;DOUGH-SODEXO</v>
      </c>
      <c r="C10921" t="s">
        <v>303</v>
      </c>
      <c r="D10921" s="1" t="str">
        <f t="shared" si="299"/>
        <v>PRG-1035912</v>
      </c>
      <c r="E10921" t="s">
        <v>181</v>
      </c>
      <c r="F10921" t="s">
        <v>4</v>
      </c>
      <c r="G10921" t="str">
        <f>""</f>
        <v/>
      </c>
    </row>
    <row r="10922" spans="1:7" x14ac:dyDescent="0.25">
      <c r="A10922" t="s">
        <v>8</v>
      </c>
      <c r="B10922" s="1" t="str">
        <f>"000292159 - RICHS PIZZA DOUGH&amp;ICING-SODEXO"</f>
        <v>000292159 - RICHS PIZZA DOUGH&amp;ICING-SODEXO</v>
      </c>
      <c r="C10922" t="s">
        <v>288</v>
      </c>
      <c r="D10922" s="1" t="str">
        <f t="shared" si="299"/>
        <v>PRG-1035912</v>
      </c>
      <c r="E10922" t="s">
        <v>181</v>
      </c>
      <c r="F10922" t="s">
        <v>4</v>
      </c>
      <c r="G10922" t="str">
        <f>""</f>
        <v/>
      </c>
    </row>
    <row r="10923" spans="1:7" x14ac:dyDescent="0.25">
      <c r="A10923" t="s">
        <v>8</v>
      </c>
      <c r="B10923" s="1" t="str">
        <f>"000293894 - RICHS DOUGH &amp; ICING-SODEXO"</f>
        <v>000293894 - RICHS DOUGH &amp; ICING-SODEXO</v>
      </c>
      <c r="C10923" t="s">
        <v>349</v>
      </c>
      <c r="D10923" s="1" t="str">
        <f t="shared" si="299"/>
        <v>PRG-1035912</v>
      </c>
      <c r="E10923" t="s">
        <v>181</v>
      </c>
      <c r="F10923" t="s">
        <v>4</v>
      </c>
      <c r="G10923" t="str">
        <f>""</f>
        <v/>
      </c>
    </row>
    <row r="10924" spans="1:7" x14ac:dyDescent="0.25">
      <c r="A10924" t="s">
        <v>8</v>
      </c>
      <c r="B10924" s="1" t="str">
        <f>"000294347 - RICHS PIZZA DOUGH&amp;ICING-SODEXO"</f>
        <v>000294347 - RICHS PIZZA DOUGH&amp;ICING-SODEXO</v>
      </c>
      <c r="C10924" t="s">
        <v>288</v>
      </c>
      <c r="D10924" s="1" t="str">
        <f t="shared" si="299"/>
        <v>PRG-1035912</v>
      </c>
      <c r="E10924" t="s">
        <v>181</v>
      </c>
      <c r="F10924" t="s">
        <v>4</v>
      </c>
      <c r="G10924" t="str">
        <f>""</f>
        <v/>
      </c>
    </row>
    <row r="10925" spans="1:7" x14ac:dyDescent="0.25">
      <c r="A10925" t="s">
        <v>8</v>
      </c>
      <c r="B10925" s="1" t="str">
        <f>"000295421 - RICHS DOUGH &amp; ICING-SODEXO"</f>
        <v>000295421 - RICHS DOUGH &amp; ICING-SODEXO</v>
      </c>
      <c r="C10925" t="s">
        <v>349</v>
      </c>
      <c r="D10925" s="1" t="str">
        <f t="shared" si="299"/>
        <v>PRG-1035912</v>
      </c>
      <c r="E10925" t="s">
        <v>181</v>
      </c>
      <c r="F10925" t="s">
        <v>4</v>
      </c>
      <c r="G10925" t="str">
        <f>""</f>
        <v/>
      </c>
    </row>
    <row r="10926" spans="1:7" x14ac:dyDescent="0.25">
      <c r="A10926" t="s">
        <v>8</v>
      </c>
      <c r="B10926" s="1" t="str">
        <f>"000298005 - "</f>
        <v xml:space="preserve">000298005 - </v>
      </c>
      <c r="D10926" s="1" t="str">
        <f t="shared" si="299"/>
        <v>PRG-1035912</v>
      </c>
      <c r="E10926" t="s">
        <v>181</v>
      </c>
      <c r="F10926" t="s">
        <v>4</v>
      </c>
      <c r="G10926" t="str">
        <f>""</f>
        <v/>
      </c>
    </row>
    <row r="10927" spans="1:7" x14ac:dyDescent="0.25">
      <c r="A10927" t="s">
        <v>8</v>
      </c>
      <c r="B10927" s="1" t="str">
        <f>"000298006 - "</f>
        <v xml:space="preserve">000298006 - </v>
      </c>
      <c r="D10927" s="1" t="str">
        <f t="shared" si="299"/>
        <v>PRG-1035912</v>
      </c>
      <c r="E10927" t="s">
        <v>181</v>
      </c>
      <c r="F10927" t="s">
        <v>4</v>
      </c>
      <c r="G10927" t="str">
        <f>""</f>
        <v/>
      </c>
    </row>
    <row r="10928" spans="1:7" x14ac:dyDescent="0.25">
      <c r="A10928" t="s">
        <v>8</v>
      </c>
      <c r="B10928" s="1" t="str">
        <f>"000300209 - RICHS PIZZA DOUGH &amp; ICING-SODX"</f>
        <v>000300209 - RICHS PIZZA DOUGH &amp; ICING-SODX</v>
      </c>
      <c r="C10928" t="s">
        <v>223</v>
      </c>
      <c r="D10928" s="1" t="str">
        <f t="shared" si="299"/>
        <v>PRG-1035912</v>
      </c>
      <c r="E10928" t="s">
        <v>181</v>
      </c>
      <c r="F10928" t="s">
        <v>4</v>
      </c>
      <c r="G10928" t="str">
        <f>""</f>
        <v/>
      </c>
    </row>
    <row r="10929" spans="1:7" x14ac:dyDescent="0.25">
      <c r="A10929" t="s">
        <v>8</v>
      </c>
      <c r="B10929" s="1" t="str">
        <f>"000302415 - RICHS PIZZA DOUGH &amp; ICING-SODX"</f>
        <v>000302415 - RICHS PIZZA DOUGH &amp; ICING-SODX</v>
      </c>
      <c r="C10929" t="s">
        <v>223</v>
      </c>
      <c r="D10929" s="1" t="str">
        <f t="shared" si="299"/>
        <v>PRG-1035912</v>
      </c>
      <c r="E10929" t="s">
        <v>181</v>
      </c>
      <c r="F10929" t="s">
        <v>4</v>
      </c>
      <c r="G10929" t="str">
        <f>""</f>
        <v/>
      </c>
    </row>
    <row r="10930" spans="1:7" x14ac:dyDescent="0.25">
      <c r="A10930" t="s">
        <v>8</v>
      </c>
      <c r="B10930" s="1" t="str">
        <f>"000307526 - RICH PIZZA DOUGH NCORE BB-SODX"</f>
        <v>000307526 - RICH PIZZA DOUGH NCORE BB-SODX</v>
      </c>
      <c r="C10930" t="s">
        <v>113</v>
      </c>
      <c r="D10930" s="1" t="str">
        <f t="shared" si="299"/>
        <v>PRG-1035912</v>
      </c>
      <c r="E10930" t="s">
        <v>181</v>
      </c>
      <c r="F10930" t="s">
        <v>4</v>
      </c>
      <c r="G10930" t="str">
        <f>""</f>
        <v/>
      </c>
    </row>
    <row r="10931" spans="1:7" x14ac:dyDescent="0.25">
      <c r="A10931" t="s">
        <v>8</v>
      </c>
      <c r="B10931" s="1" t="str">
        <f>"000309603 - RICHS PIZZA DOUGH &amp; ICING-SODX"</f>
        <v>000309603 - RICHS PIZZA DOUGH &amp; ICING-SODX</v>
      </c>
      <c r="C10931" t="s">
        <v>223</v>
      </c>
      <c r="D10931" s="1" t="str">
        <f t="shared" si="299"/>
        <v>PRG-1035912</v>
      </c>
      <c r="E10931" t="s">
        <v>181</v>
      </c>
      <c r="F10931" t="s">
        <v>4</v>
      </c>
      <c r="G10931" t="str">
        <f>""</f>
        <v/>
      </c>
    </row>
    <row r="10932" spans="1:7" x14ac:dyDescent="0.25">
      <c r="A10932" t="s">
        <v>8</v>
      </c>
      <c r="B10932" s="1" t="str">
        <f>"000310833 - RICHS PIZZA DOUGH BB CORE-SODX"</f>
        <v>000310833 - RICHS PIZZA DOUGH BB CORE-SODX</v>
      </c>
      <c r="C10932" t="s">
        <v>275</v>
      </c>
      <c r="D10932" s="1" t="str">
        <f t="shared" si="299"/>
        <v>PRG-1035912</v>
      </c>
      <c r="E10932" t="s">
        <v>181</v>
      </c>
      <c r="F10932" t="s">
        <v>4</v>
      </c>
      <c r="G10932" t="str">
        <f>""</f>
        <v/>
      </c>
    </row>
    <row r="10933" spans="1:7" x14ac:dyDescent="0.25">
      <c r="A10933" t="s">
        <v>8</v>
      </c>
      <c r="B10933" s="1" t="str">
        <f>"000310834 - RICH PIZZA DOUGH NCORE BB-SODX"</f>
        <v>000310834 - RICH PIZZA DOUGH NCORE BB-SODX</v>
      </c>
      <c r="C10933" t="s">
        <v>113</v>
      </c>
      <c r="D10933" s="1" t="str">
        <f t="shared" si="299"/>
        <v>PRG-1035912</v>
      </c>
      <c r="E10933" t="s">
        <v>181</v>
      </c>
      <c r="F10933" t="s">
        <v>4</v>
      </c>
      <c r="G10933" t="str">
        <f>""</f>
        <v/>
      </c>
    </row>
    <row r="10934" spans="1:7" x14ac:dyDescent="0.25">
      <c r="A10934" t="s">
        <v>8</v>
      </c>
      <c r="B10934" s="1" t="str">
        <f>"000311586 - RICHS PIZZA DOUGH &amp; ICING-SODX"</f>
        <v>000311586 - RICHS PIZZA DOUGH &amp; ICING-SODX</v>
      </c>
      <c r="C10934" t="s">
        <v>223</v>
      </c>
      <c r="D10934" s="1" t="str">
        <f t="shared" si="299"/>
        <v>PRG-1035912</v>
      </c>
      <c r="E10934" t="s">
        <v>181</v>
      </c>
      <c r="F10934" t="s">
        <v>4</v>
      </c>
      <c r="G10934" t="str">
        <f>""</f>
        <v/>
      </c>
    </row>
    <row r="10935" spans="1:7" x14ac:dyDescent="0.25">
      <c r="A10935" t="s">
        <v>8</v>
      </c>
      <c r="B10935" s="1" t="str">
        <f>"000313587 - RICHS PIZZA DOUGH &amp; ICING-SODX"</f>
        <v>000313587 - RICHS PIZZA DOUGH &amp; ICING-SODX</v>
      </c>
      <c r="C10935" t="s">
        <v>223</v>
      </c>
      <c r="D10935" s="1" t="str">
        <f t="shared" si="299"/>
        <v>PRG-1035912</v>
      </c>
      <c r="E10935" t="s">
        <v>181</v>
      </c>
      <c r="F10935" t="s">
        <v>4</v>
      </c>
      <c r="G10935" t="str">
        <f>""</f>
        <v/>
      </c>
    </row>
    <row r="10936" spans="1:7" x14ac:dyDescent="0.25">
      <c r="A10936" t="s">
        <v>8</v>
      </c>
      <c r="B10936" s="1" t="str">
        <f>"000315773 - RICHS PIZZA DOUGH&amp;ICING-SODEXO"</f>
        <v>000315773 - RICHS PIZZA DOUGH&amp;ICING-SODEXO</v>
      </c>
      <c r="C10936" t="s">
        <v>288</v>
      </c>
      <c r="D10936" s="1" t="str">
        <f t="shared" si="299"/>
        <v>PRG-1035912</v>
      </c>
      <c r="E10936" t="s">
        <v>181</v>
      </c>
      <c r="F10936" t="s">
        <v>4</v>
      </c>
      <c r="G10936" t="str">
        <f>""</f>
        <v/>
      </c>
    </row>
    <row r="10937" spans="1:7" x14ac:dyDescent="0.25">
      <c r="A10937" t="s">
        <v>8</v>
      </c>
      <c r="B10937" s="1" t="str">
        <f>"000316275 - RICHS PIZZA DOUGH &amp; ICING-SODX"</f>
        <v>000316275 - RICHS PIZZA DOUGH &amp; ICING-SODX</v>
      </c>
      <c r="C10937" t="s">
        <v>223</v>
      </c>
      <c r="D10937" s="1" t="str">
        <f t="shared" si="299"/>
        <v>PRG-1035912</v>
      </c>
      <c r="E10937" t="s">
        <v>181</v>
      </c>
      <c r="F10937" t="s">
        <v>4</v>
      </c>
      <c r="G10937" t="str">
        <f>""</f>
        <v/>
      </c>
    </row>
    <row r="10938" spans="1:7" x14ac:dyDescent="0.25">
      <c r="A10938" t="s">
        <v>8</v>
      </c>
      <c r="B10938" s="1" t="str">
        <f>"000317621 - RICHS PIZZA DOUGH BB CORE-SODX"</f>
        <v>000317621 - RICHS PIZZA DOUGH BB CORE-SODX</v>
      </c>
      <c r="C10938" t="s">
        <v>275</v>
      </c>
      <c r="D10938" s="1" t="str">
        <f t="shared" si="299"/>
        <v>PRG-1035912</v>
      </c>
      <c r="E10938" t="s">
        <v>181</v>
      </c>
      <c r="F10938" t="s">
        <v>4</v>
      </c>
      <c r="G10938" t="str">
        <f>""</f>
        <v/>
      </c>
    </row>
    <row r="10939" spans="1:7" x14ac:dyDescent="0.25">
      <c r="A10939" t="s">
        <v>8</v>
      </c>
      <c r="B10939" s="1" t="str">
        <f>"000317622 - RICH PIZZA DOUGH NCORE BB-SODX"</f>
        <v>000317622 - RICH PIZZA DOUGH NCORE BB-SODX</v>
      </c>
      <c r="C10939" t="s">
        <v>113</v>
      </c>
      <c r="D10939" s="1" t="str">
        <f t="shared" si="299"/>
        <v>PRG-1035912</v>
      </c>
      <c r="E10939" t="s">
        <v>181</v>
      </c>
      <c r="F10939" t="s">
        <v>4</v>
      </c>
      <c r="G10939" t="str">
        <f>""</f>
        <v/>
      </c>
    </row>
    <row r="10940" spans="1:7" x14ac:dyDescent="0.25">
      <c r="A10940" t="s">
        <v>8</v>
      </c>
      <c r="B10940" s="1" t="str">
        <f>"000318917 - RICHS PIZZA DOUGH BB CORE-SODX"</f>
        <v>000318917 - RICHS PIZZA DOUGH BB CORE-SODX</v>
      </c>
      <c r="C10940" t="s">
        <v>275</v>
      </c>
      <c r="D10940" s="1" t="str">
        <f t="shared" si="299"/>
        <v>PRG-1035912</v>
      </c>
      <c r="E10940" t="s">
        <v>181</v>
      </c>
      <c r="F10940" t="s">
        <v>4</v>
      </c>
      <c r="G10940" t="str">
        <f>""</f>
        <v/>
      </c>
    </row>
    <row r="10941" spans="1:7" x14ac:dyDescent="0.25">
      <c r="A10941" t="s">
        <v>8</v>
      </c>
      <c r="B10941" s="1" t="str">
        <f>"000318918 - RICH PIZZA DOUGH NCORE BB-SODX"</f>
        <v>000318918 - RICH PIZZA DOUGH NCORE BB-SODX</v>
      </c>
      <c r="C10941" t="s">
        <v>113</v>
      </c>
      <c r="D10941" s="1" t="str">
        <f t="shared" si="299"/>
        <v>PRG-1035912</v>
      </c>
      <c r="E10941" t="s">
        <v>181</v>
      </c>
      <c r="F10941" t="s">
        <v>4</v>
      </c>
      <c r="G10941" t="str">
        <f>""</f>
        <v/>
      </c>
    </row>
    <row r="10942" spans="1:7" x14ac:dyDescent="0.25">
      <c r="A10942" t="s">
        <v>8</v>
      </c>
      <c r="B10942" s="1" t="str">
        <f>"000319517 - RICHS PIZZA DOUGH &amp; ICING-SODX"</f>
        <v>000319517 - RICHS PIZZA DOUGH &amp; ICING-SODX</v>
      </c>
      <c r="C10942" t="s">
        <v>223</v>
      </c>
      <c r="D10942" s="1" t="str">
        <f t="shared" si="299"/>
        <v>PRG-1035912</v>
      </c>
      <c r="E10942" t="s">
        <v>181</v>
      </c>
      <c r="F10942" t="s">
        <v>4</v>
      </c>
      <c r="G10942" t="str">
        <f>""</f>
        <v/>
      </c>
    </row>
    <row r="10943" spans="1:7" x14ac:dyDescent="0.25">
      <c r="A10943" t="s">
        <v>8</v>
      </c>
      <c r="B10943" s="1" t="str">
        <f>"000320778 - RICHS PIZZA DOUGH &amp; ICING-SODX"</f>
        <v>000320778 - RICHS PIZZA DOUGH &amp; ICING-SODX</v>
      </c>
      <c r="C10943" t="s">
        <v>223</v>
      </c>
      <c r="D10943" s="1" t="str">
        <f t="shared" si="299"/>
        <v>PRG-1035912</v>
      </c>
      <c r="E10943" t="s">
        <v>181</v>
      </c>
      <c r="F10943" t="s">
        <v>4</v>
      </c>
      <c r="G10943" t="str">
        <f>""</f>
        <v/>
      </c>
    </row>
    <row r="10944" spans="1:7" x14ac:dyDescent="0.25">
      <c r="A10944" t="s">
        <v>8</v>
      </c>
      <c r="B10944" s="1" t="str">
        <f>"000321101 - RICHS PIZZA DOUGH &amp; ICING-SODX"</f>
        <v>000321101 - RICHS PIZZA DOUGH &amp; ICING-SODX</v>
      </c>
      <c r="C10944" t="s">
        <v>223</v>
      </c>
      <c r="D10944" s="1" t="str">
        <f t="shared" ref="D10944:D11007" si="300">"PRG-1035912"</f>
        <v>PRG-1035912</v>
      </c>
      <c r="E10944" t="s">
        <v>181</v>
      </c>
      <c r="F10944" t="s">
        <v>4</v>
      </c>
      <c r="G10944" t="str">
        <f>""</f>
        <v/>
      </c>
    </row>
    <row r="10945" spans="1:7" x14ac:dyDescent="0.25">
      <c r="A10945" t="s">
        <v>8</v>
      </c>
      <c r="B10945" s="1" t="str">
        <f>"000322622 - RICHS PIZZA DOUGH &amp; ICING-SODX"</f>
        <v>000322622 - RICHS PIZZA DOUGH &amp; ICING-SODX</v>
      </c>
      <c r="C10945" t="s">
        <v>223</v>
      </c>
      <c r="D10945" s="1" t="str">
        <f t="shared" si="300"/>
        <v>PRG-1035912</v>
      </c>
      <c r="E10945" t="s">
        <v>181</v>
      </c>
      <c r="F10945" t="s">
        <v>4</v>
      </c>
      <c r="G10945" t="str">
        <f>""</f>
        <v/>
      </c>
    </row>
    <row r="10946" spans="1:7" x14ac:dyDescent="0.25">
      <c r="A10946" t="s">
        <v>8</v>
      </c>
      <c r="B10946" s="1" t="str">
        <f>"000324114 - RICHS PIZZA DOUGH&amp;ICING-SODEXO"</f>
        <v>000324114 - RICHS PIZZA DOUGH&amp;ICING-SODEXO</v>
      </c>
      <c r="C10946" t="s">
        <v>288</v>
      </c>
      <c r="D10946" s="1" t="str">
        <f t="shared" si="300"/>
        <v>PRG-1035912</v>
      </c>
      <c r="E10946" t="s">
        <v>181</v>
      </c>
      <c r="F10946" t="s">
        <v>4</v>
      </c>
      <c r="G10946" t="str">
        <f>""</f>
        <v/>
      </c>
    </row>
    <row r="10947" spans="1:7" x14ac:dyDescent="0.25">
      <c r="A10947" t="s">
        <v>8</v>
      </c>
      <c r="B10947" s="1" t="str">
        <f>"000326422 - RICHS PIZZA DOUGH&amp;ICING-SODEXO"</f>
        <v>000326422 - RICHS PIZZA DOUGH&amp;ICING-SODEXO</v>
      </c>
      <c r="C10947" t="s">
        <v>288</v>
      </c>
      <c r="D10947" s="1" t="str">
        <f t="shared" si="300"/>
        <v>PRG-1035912</v>
      </c>
      <c r="E10947" t="s">
        <v>181</v>
      </c>
      <c r="F10947" t="s">
        <v>4</v>
      </c>
      <c r="G10947" t="str">
        <f>""</f>
        <v/>
      </c>
    </row>
    <row r="10948" spans="1:7" x14ac:dyDescent="0.25">
      <c r="A10948" t="s">
        <v>8</v>
      </c>
      <c r="B10948" s="1" t="str">
        <f>"000326937 - "</f>
        <v xml:space="preserve">000326937 - </v>
      </c>
      <c r="D10948" s="1" t="str">
        <f t="shared" si="300"/>
        <v>PRG-1035912</v>
      </c>
      <c r="E10948" t="s">
        <v>181</v>
      </c>
      <c r="F10948" t="s">
        <v>4</v>
      </c>
      <c r="G10948" t="str">
        <f>""</f>
        <v/>
      </c>
    </row>
    <row r="10949" spans="1:7" x14ac:dyDescent="0.25">
      <c r="A10949" t="s">
        <v>8</v>
      </c>
      <c r="B10949" s="1" t="str">
        <f>"000326938 - "</f>
        <v xml:space="preserve">000326938 - </v>
      </c>
      <c r="D10949" s="1" t="str">
        <f t="shared" si="300"/>
        <v>PRG-1035912</v>
      </c>
      <c r="E10949" t="s">
        <v>181</v>
      </c>
      <c r="F10949" t="s">
        <v>4</v>
      </c>
      <c r="G10949" t="str">
        <f>""</f>
        <v/>
      </c>
    </row>
    <row r="10950" spans="1:7" x14ac:dyDescent="0.25">
      <c r="A10950" t="s">
        <v>8</v>
      </c>
      <c r="B10950" s="1" t="str">
        <f>"000327347 - RICHS - 100912 FLOUR"</f>
        <v>000327347 - RICHS - 100912 FLOUR</v>
      </c>
      <c r="C10950" t="s">
        <v>2568</v>
      </c>
      <c r="D10950" s="1" t="str">
        <f t="shared" si="300"/>
        <v>PRG-1035912</v>
      </c>
      <c r="E10950" t="s">
        <v>181</v>
      </c>
      <c r="F10950" t="s">
        <v>4</v>
      </c>
      <c r="G10950" t="str">
        <f>""</f>
        <v/>
      </c>
    </row>
    <row r="10951" spans="1:7" x14ac:dyDescent="0.25">
      <c r="A10951" t="s">
        <v>8</v>
      </c>
      <c r="B10951" s="1" t="str">
        <f>"000329292 - RICHS PIZZA DOUGH &amp; ICING-SODX"</f>
        <v>000329292 - RICHS PIZZA DOUGH &amp; ICING-SODX</v>
      </c>
      <c r="C10951" t="s">
        <v>223</v>
      </c>
      <c r="D10951" s="1" t="str">
        <f t="shared" si="300"/>
        <v>PRG-1035912</v>
      </c>
      <c r="E10951" t="s">
        <v>181</v>
      </c>
      <c r="F10951" t="s">
        <v>4</v>
      </c>
      <c r="G10951" t="str">
        <f>""</f>
        <v/>
      </c>
    </row>
    <row r="10952" spans="1:7" x14ac:dyDescent="0.25">
      <c r="A10952" t="s">
        <v>8</v>
      </c>
      <c r="B10952" s="1" t="str">
        <f>"000329816 - RICHS PIZZA DOUGH &amp; ICING-SODX"</f>
        <v>000329816 - RICHS PIZZA DOUGH &amp; ICING-SODX</v>
      </c>
      <c r="C10952" t="s">
        <v>223</v>
      </c>
      <c r="D10952" s="1" t="str">
        <f t="shared" si="300"/>
        <v>PRG-1035912</v>
      </c>
      <c r="E10952" t="s">
        <v>181</v>
      </c>
      <c r="F10952" t="s">
        <v>4</v>
      </c>
      <c r="G10952" t="str">
        <f>""</f>
        <v/>
      </c>
    </row>
    <row r="10953" spans="1:7" x14ac:dyDescent="0.25">
      <c r="A10953" t="s">
        <v>8</v>
      </c>
      <c r="B10953" s="1" t="str">
        <f>"000329878 - RICHS 100912 WATERFORD"</f>
        <v>000329878 - RICHS 100912 WATERFORD</v>
      </c>
      <c r="C10953" t="s">
        <v>3336</v>
      </c>
      <c r="D10953" s="1" t="str">
        <f t="shared" si="300"/>
        <v>PRG-1035912</v>
      </c>
      <c r="E10953" t="s">
        <v>181</v>
      </c>
      <c r="F10953" t="s">
        <v>4</v>
      </c>
      <c r="G10953" t="str">
        <f>""</f>
        <v/>
      </c>
    </row>
    <row r="10954" spans="1:7" x14ac:dyDescent="0.25">
      <c r="A10954" t="s">
        <v>8</v>
      </c>
      <c r="B10954" s="1" t="str">
        <f>"000330992 - RICHS DOUGH &amp; ICING-SODEXO"</f>
        <v>000330992 - RICHS DOUGH &amp; ICING-SODEXO</v>
      </c>
      <c r="C10954" t="s">
        <v>349</v>
      </c>
      <c r="D10954" s="1" t="str">
        <f t="shared" si="300"/>
        <v>PRG-1035912</v>
      </c>
      <c r="E10954" t="s">
        <v>181</v>
      </c>
      <c r="F10954" t="s">
        <v>4</v>
      </c>
      <c r="G10954" t="str">
        <f>""</f>
        <v/>
      </c>
    </row>
    <row r="10955" spans="1:7" x14ac:dyDescent="0.25">
      <c r="A10955" t="s">
        <v>8</v>
      </c>
      <c r="B10955" s="1" t="str">
        <f>"000331548 - "</f>
        <v xml:space="preserve">000331548 - </v>
      </c>
      <c r="D10955" s="1" t="str">
        <f t="shared" si="300"/>
        <v>PRG-1035912</v>
      </c>
      <c r="E10955" t="s">
        <v>181</v>
      </c>
      <c r="F10955" t="s">
        <v>4</v>
      </c>
      <c r="G10955" t="str">
        <f>""</f>
        <v/>
      </c>
    </row>
    <row r="10956" spans="1:7" x14ac:dyDescent="0.25">
      <c r="A10956" t="s">
        <v>8</v>
      </c>
      <c r="B10956" s="1" t="str">
        <f>"000332025 - RICHS PIZZA DOUGH &amp; ICING-SODX"</f>
        <v>000332025 - RICHS PIZZA DOUGH &amp; ICING-SODX</v>
      </c>
      <c r="C10956" t="s">
        <v>223</v>
      </c>
      <c r="D10956" s="1" t="str">
        <f t="shared" si="300"/>
        <v>PRG-1035912</v>
      </c>
      <c r="E10956" t="s">
        <v>181</v>
      </c>
      <c r="F10956" t="s">
        <v>4</v>
      </c>
      <c r="G10956" t="str">
        <f>""</f>
        <v/>
      </c>
    </row>
    <row r="10957" spans="1:7" x14ac:dyDescent="0.25">
      <c r="A10957" t="s">
        <v>8</v>
      </c>
      <c r="B10957" s="1" t="str">
        <f>"000333424 - RICHS PIZZA DOUGH BB CORE-SODX"</f>
        <v>000333424 - RICHS PIZZA DOUGH BB CORE-SODX</v>
      </c>
      <c r="C10957" t="s">
        <v>275</v>
      </c>
      <c r="D10957" s="1" t="str">
        <f t="shared" si="300"/>
        <v>PRG-1035912</v>
      </c>
      <c r="E10957" t="s">
        <v>181</v>
      </c>
      <c r="F10957" t="s">
        <v>4</v>
      </c>
      <c r="G10957" t="str">
        <f>""</f>
        <v/>
      </c>
    </row>
    <row r="10958" spans="1:7" x14ac:dyDescent="0.25">
      <c r="A10958" t="s">
        <v>8</v>
      </c>
      <c r="B10958" s="1" t="str">
        <f>"000333425 - RICH PIZZA DOUGH NCORE BB-SODX"</f>
        <v>000333425 - RICH PIZZA DOUGH NCORE BB-SODX</v>
      </c>
      <c r="C10958" t="s">
        <v>113</v>
      </c>
      <c r="D10958" s="1" t="str">
        <f t="shared" si="300"/>
        <v>PRG-1035912</v>
      </c>
      <c r="E10958" t="s">
        <v>181</v>
      </c>
      <c r="F10958" t="s">
        <v>4</v>
      </c>
      <c r="G10958" t="str">
        <f>""</f>
        <v/>
      </c>
    </row>
    <row r="10959" spans="1:7" x14ac:dyDescent="0.25">
      <c r="A10959" t="s">
        <v>8</v>
      </c>
      <c r="B10959" s="1" t="str">
        <f>"000336403 - RICHS PIZZA DOUGH &amp; ICING-SODX"</f>
        <v>000336403 - RICHS PIZZA DOUGH &amp; ICING-SODX</v>
      </c>
      <c r="C10959" t="s">
        <v>223</v>
      </c>
      <c r="D10959" s="1" t="str">
        <f t="shared" si="300"/>
        <v>PRG-1035912</v>
      </c>
      <c r="E10959" t="s">
        <v>181</v>
      </c>
      <c r="F10959" t="s">
        <v>4</v>
      </c>
      <c r="G10959" t="str">
        <f>""</f>
        <v/>
      </c>
    </row>
    <row r="10960" spans="1:7" x14ac:dyDescent="0.25">
      <c r="A10960" t="s">
        <v>8</v>
      </c>
      <c r="B10960" s="1" t="str">
        <f>"000337474 - "</f>
        <v xml:space="preserve">000337474 - </v>
      </c>
      <c r="D10960" s="1" t="str">
        <f t="shared" si="300"/>
        <v>PRG-1035912</v>
      </c>
      <c r="E10960" t="s">
        <v>181</v>
      </c>
      <c r="F10960" t="s">
        <v>4</v>
      </c>
      <c r="G10960" t="str">
        <f>""</f>
        <v/>
      </c>
    </row>
    <row r="10961" spans="1:7" x14ac:dyDescent="0.25">
      <c r="A10961" t="s">
        <v>8</v>
      </c>
      <c r="B10961" s="1" t="str">
        <f>"000338968 - RICHS PIZZA DOUGH BB CORE-SODX"</f>
        <v>000338968 - RICHS PIZZA DOUGH BB CORE-SODX</v>
      </c>
      <c r="C10961" t="s">
        <v>275</v>
      </c>
      <c r="D10961" s="1" t="str">
        <f t="shared" si="300"/>
        <v>PRG-1035912</v>
      </c>
      <c r="E10961" t="s">
        <v>181</v>
      </c>
      <c r="F10961" t="s">
        <v>4</v>
      </c>
      <c r="G10961" t="str">
        <f>""</f>
        <v/>
      </c>
    </row>
    <row r="10962" spans="1:7" x14ac:dyDescent="0.25">
      <c r="A10962" t="s">
        <v>8</v>
      </c>
      <c r="B10962" s="1" t="str">
        <f>"000338969 - RICH PIZZA DOUGH NCORE BB-SODX"</f>
        <v>000338969 - RICH PIZZA DOUGH NCORE BB-SODX</v>
      </c>
      <c r="C10962" t="s">
        <v>113</v>
      </c>
      <c r="D10962" s="1" t="str">
        <f t="shared" si="300"/>
        <v>PRG-1035912</v>
      </c>
      <c r="E10962" t="s">
        <v>181</v>
      </c>
      <c r="F10962" t="s">
        <v>4</v>
      </c>
      <c r="G10962" t="str">
        <f>""</f>
        <v/>
      </c>
    </row>
    <row r="10963" spans="1:7" x14ac:dyDescent="0.25">
      <c r="A10963" t="s">
        <v>8</v>
      </c>
      <c r="B10963" s="1" t="str">
        <f>"000339401 - RICHS PIZZA DOUGH &amp; ICING-SODX"</f>
        <v>000339401 - RICHS PIZZA DOUGH &amp; ICING-SODX</v>
      </c>
      <c r="C10963" t="s">
        <v>223</v>
      </c>
      <c r="D10963" s="1" t="str">
        <f t="shared" si="300"/>
        <v>PRG-1035912</v>
      </c>
      <c r="E10963" t="s">
        <v>181</v>
      </c>
      <c r="F10963" t="s">
        <v>4</v>
      </c>
      <c r="G10963" t="str">
        <f>""</f>
        <v/>
      </c>
    </row>
    <row r="10964" spans="1:7" x14ac:dyDescent="0.25">
      <c r="A10964" t="s">
        <v>8</v>
      </c>
      <c r="B10964" s="1" t="str">
        <f>"000340686 - RICH FOODS-PIZZA STUDIO"</f>
        <v>000340686 - RICH FOODS-PIZZA STUDIO</v>
      </c>
      <c r="C10964" t="s">
        <v>285</v>
      </c>
      <c r="D10964" s="1" t="str">
        <f t="shared" si="300"/>
        <v>PRG-1035912</v>
      </c>
      <c r="E10964" t="s">
        <v>181</v>
      </c>
      <c r="F10964" t="s">
        <v>4</v>
      </c>
      <c r="G10964" t="str">
        <f>""</f>
        <v/>
      </c>
    </row>
    <row r="10965" spans="1:7" x14ac:dyDescent="0.25">
      <c r="A10965" t="s">
        <v>8</v>
      </c>
      <c r="B10965" s="1" t="str">
        <f>"000341601 - RICHS PIZZA DOUGH &amp; ICING-SODX"</f>
        <v>000341601 - RICHS PIZZA DOUGH &amp; ICING-SODX</v>
      </c>
      <c r="C10965" t="s">
        <v>223</v>
      </c>
      <c r="D10965" s="1" t="str">
        <f t="shared" si="300"/>
        <v>PRG-1035912</v>
      </c>
      <c r="E10965" t="s">
        <v>181</v>
      </c>
      <c r="F10965" t="s">
        <v>4</v>
      </c>
      <c r="G10965" t="str">
        <f>""</f>
        <v/>
      </c>
    </row>
    <row r="10966" spans="1:7" x14ac:dyDescent="0.25">
      <c r="A10966" t="s">
        <v>8</v>
      </c>
      <c r="B10966" s="1" t="str">
        <f>"000343355 - RICHS PIZZA DOUGH &amp; ICING-SODX"</f>
        <v>000343355 - RICHS PIZZA DOUGH &amp; ICING-SODX</v>
      </c>
      <c r="C10966" t="s">
        <v>223</v>
      </c>
      <c r="D10966" s="1" t="str">
        <f t="shared" si="300"/>
        <v>PRG-1035912</v>
      </c>
      <c r="E10966" t="s">
        <v>181</v>
      </c>
      <c r="F10966" t="s">
        <v>4</v>
      </c>
      <c r="G10966" t="str">
        <f>""</f>
        <v/>
      </c>
    </row>
    <row r="10967" spans="1:7" x14ac:dyDescent="0.25">
      <c r="A10967" t="s">
        <v>8</v>
      </c>
      <c r="B10967" s="1" t="str">
        <f>"000344246 - RICHS PIZZA DOUGH &amp; ICING-SODX"</f>
        <v>000344246 - RICHS PIZZA DOUGH &amp; ICING-SODX</v>
      </c>
      <c r="C10967" t="s">
        <v>223</v>
      </c>
      <c r="D10967" s="1" t="str">
        <f t="shared" si="300"/>
        <v>PRG-1035912</v>
      </c>
      <c r="E10967" t="s">
        <v>181</v>
      </c>
      <c r="F10967" t="s">
        <v>4</v>
      </c>
      <c r="G10967" t="str">
        <f>""</f>
        <v/>
      </c>
    </row>
    <row r="10968" spans="1:7" x14ac:dyDescent="0.25">
      <c r="A10968" t="s">
        <v>8</v>
      </c>
      <c r="B10968" s="1" t="str">
        <f>"000344919 - RICHS PIZZA DOUGH BB CORE-SODX"</f>
        <v>000344919 - RICHS PIZZA DOUGH BB CORE-SODX</v>
      </c>
      <c r="C10968" t="s">
        <v>275</v>
      </c>
      <c r="D10968" s="1" t="str">
        <f t="shared" si="300"/>
        <v>PRG-1035912</v>
      </c>
      <c r="E10968" t="s">
        <v>181</v>
      </c>
      <c r="F10968" t="s">
        <v>4</v>
      </c>
      <c r="G10968" t="str">
        <f>""</f>
        <v/>
      </c>
    </row>
    <row r="10969" spans="1:7" x14ac:dyDescent="0.25">
      <c r="A10969" t="s">
        <v>8</v>
      </c>
      <c r="B10969" s="1" t="str">
        <f>"000344920 - RICH PIZZA DOUGH NCORE BB-SODX"</f>
        <v>000344920 - RICH PIZZA DOUGH NCORE BB-SODX</v>
      </c>
      <c r="C10969" t="s">
        <v>113</v>
      </c>
      <c r="D10969" s="1" t="str">
        <f t="shared" si="300"/>
        <v>PRG-1035912</v>
      </c>
      <c r="E10969" t="s">
        <v>181</v>
      </c>
      <c r="F10969" t="s">
        <v>4</v>
      </c>
      <c r="G10969" t="str">
        <f>""</f>
        <v/>
      </c>
    </row>
    <row r="10970" spans="1:7" x14ac:dyDescent="0.25">
      <c r="A10970" t="s">
        <v>8</v>
      </c>
      <c r="B10970" s="1" t="str">
        <f>"000345522 - RICHS PIZZA DOUGH &amp; ICING-SODX"</f>
        <v>000345522 - RICHS PIZZA DOUGH &amp; ICING-SODX</v>
      </c>
      <c r="C10970" t="s">
        <v>223</v>
      </c>
      <c r="D10970" s="1" t="str">
        <f t="shared" si="300"/>
        <v>PRG-1035912</v>
      </c>
      <c r="E10970" t="s">
        <v>181</v>
      </c>
      <c r="F10970" t="s">
        <v>4</v>
      </c>
      <c r="G10970" t="str">
        <f>""</f>
        <v/>
      </c>
    </row>
    <row r="10971" spans="1:7" x14ac:dyDescent="0.25">
      <c r="A10971" t="s">
        <v>8</v>
      </c>
      <c r="B10971" s="1" t="str">
        <f>"000345650 - RICHS PIZZA DOUGH&amp;ICING-SODEXO"</f>
        <v>000345650 - RICHS PIZZA DOUGH&amp;ICING-SODEXO</v>
      </c>
      <c r="C10971" t="s">
        <v>288</v>
      </c>
      <c r="D10971" s="1" t="str">
        <f t="shared" si="300"/>
        <v>PRG-1035912</v>
      </c>
      <c r="E10971" t="s">
        <v>181</v>
      </c>
      <c r="F10971" t="s">
        <v>4</v>
      </c>
      <c r="G10971" t="str">
        <f>""</f>
        <v/>
      </c>
    </row>
    <row r="10972" spans="1:7" x14ac:dyDescent="0.25">
      <c r="A10972" t="s">
        <v>8</v>
      </c>
      <c r="B10972" s="1" t="str">
        <f>"000347952 - RICHS PIZZA DOUGH &amp; ICING-SODX"</f>
        <v>000347952 - RICHS PIZZA DOUGH &amp; ICING-SODX</v>
      </c>
      <c r="C10972" t="s">
        <v>223</v>
      </c>
      <c r="D10972" s="1" t="str">
        <f t="shared" si="300"/>
        <v>PRG-1035912</v>
      </c>
      <c r="E10972" t="s">
        <v>181</v>
      </c>
      <c r="F10972" t="s">
        <v>4</v>
      </c>
      <c r="G10972" t="str">
        <f>""</f>
        <v/>
      </c>
    </row>
    <row r="10973" spans="1:7" x14ac:dyDescent="0.25">
      <c r="A10973" t="s">
        <v>8</v>
      </c>
      <c r="B10973" s="1" t="str">
        <f>"000348067 - "</f>
        <v xml:space="preserve">000348067 - </v>
      </c>
      <c r="D10973" s="1" t="str">
        <f t="shared" si="300"/>
        <v>PRG-1035912</v>
      </c>
      <c r="E10973" t="s">
        <v>181</v>
      </c>
      <c r="F10973" t="s">
        <v>4</v>
      </c>
      <c r="G10973" t="str">
        <f>""</f>
        <v/>
      </c>
    </row>
    <row r="10974" spans="1:7" x14ac:dyDescent="0.25">
      <c r="A10974" t="s">
        <v>8</v>
      </c>
      <c r="B10974" s="1" t="str">
        <f>"000348068 - "</f>
        <v xml:space="preserve">000348068 - </v>
      </c>
      <c r="D10974" s="1" t="str">
        <f t="shared" si="300"/>
        <v>PRG-1035912</v>
      </c>
      <c r="E10974" t="s">
        <v>181</v>
      </c>
      <c r="F10974" t="s">
        <v>4</v>
      </c>
      <c r="G10974" t="str">
        <f>""</f>
        <v/>
      </c>
    </row>
    <row r="10975" spans="1:7" x14ac:dyDescent="0.25">
      <c r="A10975" t="s">
        <v>8</v>
      </c>
      <c r="B10975" s="1" t="str">
        <f>"000348326 - RICHS PIZZA DOUGH BB CORE-SODX"</f>
        <v>000348326 - RICHS PIZZA DOUGH BB CORE-SODX</v>
      </c>
      <c r="C10975" t="s">
        <v>275</v>
      </c>
      <c r="D10975" s="1" t="str">
        <f t="shared" si="300"/>
        <v>PRG-1035912</v>
      </c>
      <c r="E10975" t="s">
        <v>181</v>
      </c>
      <c r="F10975" t="s">
        <v>4</v>
      </c>
      <c r="G10975" t="str">
        <f>""</f>
        <v/>
      </c>
    </row>
    <row r="10976" spans="1:7" x14ac:dyDescent="0.25">
      <c r="A10976" t="s">
        <v>8</v>
      </c>
      <c r="B10976" s="1" t="str">
        <f>"000348327 - RICH PIZZA DOUGH NCORE BB-SODX"</f>
        <v>000348327 - RICH PIZZA DOUGH NCORE BB-SODX</v>
      </c>
      <c r="C10976" t="s">
        <v>113</v>
      </c>
      <c r="D10976" s="1" t="str">
        <f t="shared" si="300"/>
        <v>PRG-1035912</v>
      </c>
      <c r="E10976" t="s">
        <v>181</v>
      </c>
      <c r="F10976" t="s">
        <v>4</v>
      </c>
      <c r="G10976" t="str">
        <f>""</f>
        <v/>
      </c>
    </row>
    <row r="10977" spans="1:7" x14ac:dyDescent="0.25">
      <c r="A10977" t="s">
        <v>8</v>
      </c>
      <c r="B10977" s="1" t="str">
        <f>"000349742 - RICHS PIZZA DOUGH&amp;ICING-SODEXO"</f>
        <v>000349742 - RICHS PIZZA DOUGH&amp;ICING-SODEXO</v>
      </c>
      <c r="C10977" t="s">
        <v>288</v>
      </c>
      <c r="D10977" s="1" t="str">
        <f t="shared" si="300"/>
        <v>PRG-1035912</v>
      </c>
      <c r="E10977" t="s">
        <v>181</v>
      </c>
      <c r="F10977" t="s">
        <v>4</v>
      </c>
      <c r="G10977" t="str">
        <f>""</f>
        <v/>
      </c>
    </row>
    <row r="10978" spans="1:7" x14ac:dyDescent="0.25">
      <c r="A10978" t="s">
        <v>8</v>
      </c>
      <c r="B10978" s="1" t="str">
        <f>"000350525 - RICHS PIZZA DOUGH &amp; ICING-SODX"</f>
        <v>000350525 - RICHS PIZZA DOUGH &amp; ICING-SODX</v>
      </c>
      <c r="C10978" t="s">
        <v>223</v>
      </c>
      <c r="D10978" s="1" t="str">
        <f t="shared" si="300"/>
        <v>PRG-1035912</v>
      </c>
      <c r="E10978" t="s">
        <v>181</v>
      </c>
      <c r="F10978" t="s">
        <v>4</v>
      </c>
      <c r="G10978" t="str">
        <f>""</f>
        <v/>
      </c>
    </row>
    <row r="10979" spans="1:7" x14ac:dyDescent="0.25">
      <c r="A10979" t="s">
        <v>8</v>
      </c>
      <c r="B10979" s="1" t="str">
        <f>"000350696 - RICHS PIZZA DOUGH &amp; ICING-SODX"</f>
        <v>000350696 - RICHS PIZZA DOUGH &amp; ICING-SODX</v>
      </c>
      <c r="C10979" t="s">
        <v>223</v>
      </c>
      <c r="D10979" s="1" t="str">
        <f t="shared" si="300"/>
        <v>PRG-1035912</v>
      </c>
      <c r="E10979" t="s">
        <v>181</v>
      </c>
      <c r="F10979" t="s">
        <v>4</v>
      </c>
      <c r="G10979" t="str">
        <f>""</f>
        <v/>
      </c>
    </row>
    <row r="10980" spans="1:7" x14ac:dyDescent="0.25">
      <c r="A10980" t="s">
        <v>8</v>
      </c>
      <c r="B10980" s="1" t="str">
        <f>"000350903 - RICHS PIZZA DOUGH &amp; ICING-SODX"</f>
        <v>000350903 - RICHS PIZZA DOUGH &amp; ICING-SODX</v>
      </c>
      <c r="C10980" t="s">
        <v>223</v>
      </c>
      <c r="D10980" s="1" t="str">
        <f t="shared" si="300"/>
        <v>PRG-1035912</v>
      </c>
      <c r="E10980" t="s">
        <v>181</v>
      </c>
      <c r="F10980" t="s">
        <v>4</v>
      </c>
      <c r="G10980" t="str">
        <f>""</f>
        <v/>
      </c>
    </row>
    <row r="10981" spans="1:7" x14ac:dyDescent="0.25">
      <c r="A10981" t="s">
        <v>8</v>
      </c>
      <c r="B10981" s="1" t="str">
        <f>"000351044 - RICHS ICING&amp;DOUGH-SODEXO"</f>
        <v>000351044 - RICHS ICING&amp;DOUGH-SODEXO</v>
      </c>
      <c r="C10981" t="s">
        <v>303</v>
      </c>
      <c r="D10981" s="1" t="str">
        <f t="shared" si="300"/>
        <v>PRG-1035912</v>
      </c>
      <c r="E10981" t="s">
        <v>181</v>
      </c>
      <c r="F10981" t="s">
        <v>4</v>
      </c>
      <c r="G10981" t="str">
        <f>""</f>
        <v/>
      </c>
    </row>
    <row r="10982" spans="1:7" x14ac:dyDescent="0.25">
      <c r="A10982" t="s">
        <v>8</v>
      </c>
      <c r="B10982" s="1" t="str">
        <f>"000352966 - "</f>
        <v xml:space="preserve">000352966 - </v>
      </c>
      <c r="D10982" s="1" t="str">
        <f t="shared" si="300"/>
        <v>PRG-1035912</v>
      </c>
      <c r="E10982" t="s">
        <v>181</v>
      </c>
      <c r="F10982" t="s">
        <v>4</v>
      </c>
      <c r="G10982" t="str">
        <f>""</f>
        <v/>
      </c>
    </row>
    <row r="10983" spans="1:7" x14ac:dyDescent="0.25">
      <c r="A10983" t="s">
        <v>8</v>
      </c>
      <c r="B10983" s="1" t="str">
        <f>"000353009 - RICHS PIZZA DOUGH &amp; ICING-SODX"</f>
        <v>000353009 - RICHS PIZZA DOUGH &amp; ICING-SODX</v>
      </c>
      <c r="C10983" t="s">
        <v>223</v>
      </c>
      <c r="D10983" s="1" t="str">
        <f t="shared" si="300"/>
        <v>PRG-1035912</v>
      </c>
      <c r="E10983" t="s">
        <v>181</v>
      </c>
      <c r="F10983" t="s">
        <v>4</v>
      </c>
      <c r="G10983" t="str">
        <f>""</f>
        <v/>
      </c>
    </row>
    <row r="10984" spans="1:7" x14ac:dyDescent="0.25">
      <c r="A10984" t="s">
        <v>8</v>
      </c>
      <c r="B10984" s="1" t="str">
        <f>"000353847 - "</f>
        <v xml:space="preserve">000353847 - </v>
      </c>
      <c r="D10984" s="1" t="str">
        <f t="shared" si="300"/>
        <v>PRG-1035912</v>
      </c>
      <c r="E10984" t="s">
        <v>181</v>
      </c>
      <c r="F10984" t="s">
        <v>4</v>
      </c>
      <c r="G10984" t="str">
        <f>""</f>
        <v/>
      </c>
    </row>
    <row r="10985" spans="1:7" x14ac:dyDescent="0.25">
      <c r="A10985" t="s">
        <v>8</v>
      </c>
      <c r="B10985" s="1" t="str">
        <f>"000356044 - RICHS DOUGH &amp; ICING-SODEXO"</f>
        <v>000356044 - RICHS DOUGH &amp; ICING-SODEXO</v>
      </c>
      <c r="C10985" t="s">
        <v>349</v>
      </c>
      <c r="D10985" s="1" t="str">
        <f t="shared" si="300"/>
        <v>PRG-1035912</v>
      </c>
      <c r="E10985" t="s">
        <v>181</v>
      </c>
      <c r="F10985" t="s">
        <v>4</v>
      </c>
      <c r="G10985" t="str">
        <f>""</f>
        <v/>
      </c>
    </row>
    <row r="10986" spans="1:7" x14ac:dyDescent="0.25">
      <c r="A10986" t="s">
        <v>8</v>
      </c>
      <c r="B10986" s="1" t="str">
        <f>"000356647 - RICHS PIZZA DOUGH &amp; ICING-SODX"</f>
        <v>000356647 - RICHS PIZZA DOUGH &amp; ICING-SODX</v>
      </c>
      <c r="C10986" t="s">
        <v>223</v>
      </c>
      <c r="D10986" s="1" t="str">
        <f t="shared" si="300"/>
        <v>PRG-1035912</v>
      </c>
      <c r="E10986" t="s">
        <v>181</v>
      </c>
      <c r="F10986" t="s">
        <v>4</v>
      </c>
      <c r="G10986" t="str">
        <f>""</f>
        <v/>
      </c>
    </row>
    <row r="10987" spans="1:7" x14ac:dyDescent="0.25">
      <c r="A10987" t="s">
        <v>8</v>
      </c>
      <c r="B10987" s="1" t="str">
        <f>"000357186 - RICHS PIZZA DOUGH&amp;ICING-SODEXO"</f>
        <v>000357186 - RICHS PIZZA DOUGH&amp;ICING-SODEXO</v>
      </c>
      <c r="C10987" t="s">
        <v>288</v>
      </c>
      <c r="D10987" s="1" t="str">
        <f t="shared" si="300"/>
        <v>PRG-1035912</v>
      </c>
      <c r="E10987" t="s">
        <v>181</v>
      </c>
      <c r="F10987" t="s">
        <v>4</v>
      </c>
      <c r="G10987" t="str">
        <f>""</f>
        <v/>
      </c>
    </row>
    <row r="10988" spans="1:7" x14ac:dyDescent="0.25">
      <c r="A10988" t="s">
        <v>8</v>
      </c>
      <c r="B10988" s="1" t="str">
        <f>"000357616 - RICHS PIZZA DOUGH&amp;ICING-SODEXO"</f>
        <v>000357616 - RICHS PIZZA DOUGH&amp;ICING-SODEXO</v>
      </c>
      <c r="C10988" t="s">
        <v>288</v>
      </c>
      <c r="D10988" s="1" t="str">
        <f t="shared" si="300"/>
        <v>PRG-1035912</v>
      </c>
      <c r="E10988" t="s">
        <v>181</v>
      </c>
      <c r="F10988" t="s">
        <v>4</v>
      </c>
      <c r="G10988" t="str">
        <f>""</f>
        <v/>
      </c>
    </row>
    <row r="10989" spans="1:7" x14ac:dyDescent="0.25">
      <c r="A10989" t="s">
        <v>8</v>
      </c>
      <c r="B10989" s="1" t="str">
        <f>"000358315 - "</f>
        <v xml:space="preserve">000358315 - </v>
      </c>
      <c r="D10989" s="1" t="str">
        <f t="shared" si="300"/>
        <v>PRG-1035912</v>
      </c>
      <c r="E10989" t="s">
        <v>181</v>
      </c>
      <c r="F10989" t="s">
        <v>4</v>
      </c>
      <c r="G10989" t="str">
        <f>""</f>
        <v/>
      </c>
    </row>
    <row r="10990" spans="1:7" x14ac:dyDescent="0.25">
      <c r="A10990" t="s">
        <v>8</v>
      </c>
      <c r="B10990" s="1" t="str">
        <f>"000358316 - "</f>
        <v xml:space="preserve">000358316 - </v>
      </c>
      <c r="D10990" s="1" t="str">
        <f t="shared" si="300"/>
        <v>PRG-1035912</v>
      </c>
      <c r="E10990" t="s">
        <v>181</v>
      </c>
      <c r="F10990" t="s">
        <v>4</v>
      </c>
      <c r="G10990" t="str">
        <f>""</f>
        <v/>
      </c>
    </row>
    <row r="10991" spans="1:7" x14ac:dyDescent="0.25">
      <c r="A10991" t="s">
        <v>8</v>
      </c>
      <c r="B10991" s="1" t="str">
        <f>"000358578 - RICHS ICING&amp;DOUGH-SODEXO"</f>
        <v>000358578 - RICHS ICING&amp;DOUGH-SODEXO</v>
      </c>
      <c r="C10991" t="s">
        <v>303</v>
      </c>
      <c r="D10991" s="1" t="str">
        <f t="shared" si="300"/>
        <v>PRG-1035912</v>
      </c>
      <c r="E10991" t="s">
        <v>181</v>
      </c>
      <c r="F10991" t="s">
        <v>4</v>
      </c>
      <c r="G10991" t="str">
        <f>""</f>
        <v/>
      </c>
    </row>
    <row r="10992" spans="1:7" x14ac:dyDescent="0.25">
      <c r="A10992" t="s">
        <v>8</v>
      </c>
      <c r="B10992" s="1" t="str">
        <f>"000358643 - RICHS ICING&amp;DOUGH-SODEXO"</f>
        <v>000358643 - RICHS ICING&amp;DOUGH-SODEXO</v>
      </c>
      <c r="C10992" t="s">
        <v>303</v>
      </c>
      <c r="D10992" s="1" t="str">
        <f t="shared" si="300"/>
        <v>PRG-1035912</v>
      </c>
      <c r="E10992" t="s">
        <v>181</v>
      </c>
      <c r="F10992" t="s">
        <v>4</v>
      </c>
      <c r="G10992" t="str">
        <f>""</f>
        <v/>
      </c>
    </row>
    <row r="10993" spans="1:7" x14ac:dyDescent="0.25">
      <c r="A10993" t="s">
        <v>8</v>
      </c>
      <c r="B10993" s="1" t="str">
        <f>"000359366 - RICHS PIZZA DOUGH &amp; ICING-SODX"</f>
        <v>000359366 - RICHS PIZZA DOUGH &amp; ICING-SODX</v>
      </c>
      <c r="C10993" t="s">
        <v>223</v>
      </c>
      <c r="D10993" s="1" t="str">
        <f t="shared" si="300"/>
        <v>PRG-1035912</v>
      </c>
      <c r="E10993" t="s">
        <v>181</v>
      </c>
      <c r="F10993" t="s">
        <v>4</v>
      </c>
      <c r="G10993" t="str">
        <f>""</f>
        <v/>
      </c>
    </row>
    <row r="10994" spans="1:7" x14ac:dyDescent="0.25">
      <c r="A10994" t="s">
        <v>8</v>
      </c>
      <c r="B10994" s="1" t="str">
        <f>"000360455 - "</f>
        <v xml:space="preserve">000360455 - </v>
      </c>
      <c r="D10994" s="1" t="str">
        <f t="shared" si="300"/>
        <v>PRG-1035912</v>
      </c>
      <c r="E10994" t="s">
        <v>181</v>
      </c>
      <c r="F10994" t="s">
        <v>4</v>
      </c>
      <c r="G10994" t="str">
        <f>""</f>
        <v/>
      </c>
    </row>
    <row r="10995" spans="1:7" x14ac:dyDescent="0.25">
      <c r="A10995" t="s">
        <v>8</v>
      </c>
      <c r="B10995" s="1" t="str">
        <f>"000360456 - "</f>
        <v xml:space="preserve">000360456 - </v>
      </c>
      <c r="D10995" s="1" t="str">
        <f t="shared" si="300"/>
        <v>PRG-1035912</v>
      </c>
      <c r="E10995" t="s">
        <v>181</v>
      </c>
      <c r="F10995" t="s">
        <v>4</v>
      </c>
      <c r="G10995" t="str">
        <f>""</f>
        <v/>
      </c>
    </row>
    <row r="10996" spans="1:7" x14ac:dyDescent="0.25">
      <c r="A10996" t="s">
        <v>8</v>
      </c>
      <c r="B10996" s="1" t="str">
        <f>"000360739 - RICHS PIZZA DOUGH &amp; ICING-SODX"</f>
        <v>000360739 - RICHS PIZZA DOUGH &amp; ICING-SODX</v>
      </c>
      <c r="C10996" t="s">
        <v>223</v>
      </c>
      <c r="D10996" s="1" t="str">
        <f t="shared" si="300"/>
        <v>PRG-1035912</v>
      </c>
      <c r="E10996" t="s">
        <v>181</v>
      </c>
      <c r="F10996" t="s">
        <v>4</v>
      </c>
      <c r="G10996" t="str">
        <f>""</f>
        <v/>
      </c>
    </row>
    <row r="10997" spans="1:7" x14ac:dyDescent="0.25">
      <c r="A10997" t="s">
        <v>8</v>
      </c>
      <c r="B10997" s="1" t="str">
        <f>"000362545 - RICHS PIZZA DOUGH BB CORE-SODX"</f>
        <v>000362545 - RICHS PIZZA DOUGH BB CORE-SODX</v>
      </c>
      <c r="C10997" t="s">
        <v>275</v>
      </c>
      <c r="D10997" s="1" t="str">
        <f t="shared" si="300"/>
        <v>PRG-1035912</v>
      </c>
      <c r="E10997" t="s">
        <v>181</v>
      </c>
      <c r="F10997" t="s">
        <v>4</v>
      </c>
      <c r="G10997" t="str">
        <f>""</f>
        <v/>
      </c>
    </row>
    <row r="10998" spans="1:7" x14ac:dyDescent="0.25">
      <c r="A10998" t="s">
        <v>8</v>
      </c>
      <c r="B10998" s="1" t="str">
        <f>"000362546 - RICH PIZZA DOUGH NCORE BB-SODX"</f>
        <v>000362546 - RICH PIZZA DOUGH NCORE BB-SODX</v>
      </c>
      <c r="C10998" t="s">
        <v>113</v>
      </c>
      <c r="D10998" s="1" t="str">
        <f t="shared" si="300"/>
        <v>PRG-1035912</v>
      </c>
      <c r="E10998" t="s">
        <v>181</v>
      </c>
      <c r="F10998" t="s">
        <v>4</v>
      </c>
      <c r="G10998" t="str">
        <f>""</f>
        <v/>
      </c>
    </row>
    <row r="10999" spans="1:7" x14ac:dyDescent="0.25">
      <c r="A10999" t="s">
        <v>8</v>
      </c>
      <c r="B10999" s="1" t="str">
        <f>"000362574 - RICHS DOUGH &amp; ICING-SODEXO"</f>
        <v>000362574 - RICHS DOUGH &amp; ICING-SODEXO</v>
      </c>
      <c r="C10999" t="s">
        <v>349</v>
      </c>
      <c r="D10999" s="1" t="str">
        <f t="shared" si="300"/>
        <v>PRG-1035912</v>
      </c>
      <c r="E10999" t="s">
        <v>181</v>
      </c>
      <c r="F10999" t="s">
        <v>4</v>
      </c>
      <c r="G10999" t="str">
        <f>""</f>
        <v/>
      </c>
    </row>
    <row r="11000" spans="1:7" x14ac:dyDescent="0.25">
      <c r="A11000" t="s">
        <v>8</v>
      </c>
      <c r="B11000" s="1" t="str">
        <f>"000362872 - RICHS PIZZA DOUGH &amp; ICING-SODX"</f>
        <v>000362872 - RICHS PIZZA DOUGH &amp; ICING-SODX</v>
      </c>
      <c r="C11000" t="s">
        <v>223</v>
      </c>
      <c r="D11000" s="1" t="str">
        <f t="shared" si="300"/>
        <v>PRG-1035912</v>
      </c>
      <c r="E11000" t="s">
        <v>181</v>
      </c>
      <c r="F11000" t="s">
        <v>4</v>
      </c>
      <c r="G11000" t="str">
        <f>""</f>
        <v/>
      </c>
    </row>
    <row r="11001" spans="1:7" x14ac:dyDescent="0.25">
      <c r="A11001" t="s">
        <v>8</v>
      </c>
      <c r="B11001" s="1" t="str">
        <f>"000363089 - RICHS PIZZA DOUGH &amp; ICING-SODX"</f>
        <v>000363089 - RICHS PIZZA DOUGH &amp; ICING-SODX</v>
      </c>
      <c r="C11001" t="s">
        <v>223</v>
      </c>
      <c r="D11001" s="1" t="str">
        <f t="shared" si="300"/>
        <v>PRG-1035912</v>
      </c>
      <c r="E11001" t="s">
        <v>181</v>
      </c>
      <c r="F11001" t="s">
        <v>4</v>
      </c>
      <c r="G11001" t="str">
        <f>""</f>
        <v/>
      </c>
    </row>
    <row r="11002" spans="1:7" x14ac:dyDescent="0.25">
      <c r="A11002" t="s">
        <v>8</v>
      </c>
      <c r="B11002" s="1" t="str">
        <f>"000364322 - RICHS DOUGH &amp; ICING-SODEXO"</f>
        <v>000364322 - RICHS DOUGH &amp; ICING-SODEXO</v>
      </c>
      <c r="C11002" t="s">
        <v>349</v>
      </c>
      <c r="D11002" s="1" t="str">
        <f t="shared" si="300"/>
        <v>PRG-1035912</v>
      </c>
      <c r="E11002" t="s">
        <v>181</v>
      </c>
      <c r="F11002" t="s">
        <v>4</v>
      </c>
      <c r="G11002" t="str">
        <f>""</f>
        <v/>
      </c>
    </row>
    <row r="11003" spans="1:7" x14ac:dyDescent="0.25">
      <c r="A11003" t="s">
        <v>8</v>
      </c>
      <c r="B11003" s="1" t="str">
        <f>"000365171 - RICHS PIZZA DOUGH &amp; ICING-SODX"</f>
        <v>000365171 - RICHS PIZZA DOUGH &amp; ICING-SODX</v>
      </c>
      <c r="C11003" t="s">
        <v>223</v>
      </c>
      <c r="D11003" s="1" t="str">
        <f t="shared" si="300"/>
        <v>PRG-1035912</v>
      </c>
      <c r="E11003" t="s">
        <v>181</v>
      </c>
      <c r="F11003" t="s">
        <v>4</v>
      </c>
      <c r="G11003" t="str">
        <f>""</f>
        <v/>
      </c>
    </row>
    <row r="11004" spans="1:7" x14ac:dyDescent="0.25">
      <c r="A11004" t="s">
        <v>8</v>
      </c>
      <c r="B11004" s="1" t="str">
        <f>"000365340 - RICHS PIZZA DOUGH &amp; ICING-SODX"</f>
        <v>000365340 - RICHS PIZZA DOUGH &amp; ICING-SODX</v>
      </c>
      <c r="C11004" t="s">
        <v>223</v>
      </c>
      <c r="D11004" s="1" t="str">
        <f t="shared" si="300"/>
        <v>PRG-1035912</v>
      </c>
      <c r="E11004" t="s">
        <v>181</v>
      </c>
      <c r="F11004" t="s">
        <v>4</v>
      </c>
      <c r="G11004" t="str">
        <f>""</f>
        <v/>
      </c>
    </row>
    <row r="11005" spans="1:7" x14ac:dyDescent="0.25">
      <c r="A11005" t="s">
        <v>8</v>
      </c>
      <c r="B11005" s="1" t="str">
        <f>"000368069 - RICHS PIZZA DOUGH &amp; ICING-SODX"</f>
        <v>000368069 - RICHS PIZZA DOUGH &amp; ICING-SODX</v>
      </c>
      <c r="C11005" t="s">
        <v>223</v>
      </c>
      <c r="D11005" s="1" t="str">
        <f t="shared" si="300"/>
        <v>PRG-1035912</v>
      </c>
      <c r="E11005" t="s">
        <v>181</v>
      </c>
      <c r="F11005" t="s">
        <v>4</v>
      </c>
      <c r="G11005" t="str">
        <f>""</f>
        <v/>
      </c>
    </row>
    <row r="11006" spans="1:7" x14ac:dyDescent="0.25">
      <c r="A11006" t="s">
        <v>8</v>
      </c>
      <c r="B11006" s="1" t="str">
        <f>"000373827 - RICHS PIZZA DOUGH&amp;ICING-SODEXO"</f>
        <v>000373827 - RICHS PIZZA DOUGH&amp;ICING-SODEXO</v>
      </c>
      <c r="C11006" t="s">
        <v>288</v>
      </c>
      <c r="D11006" s="1" t="str">
        <f t="shared" si="300"/>
        <v>PRG-1035912</v>
      </c>
      <c r="E11006" t="s">
        <v>181</v>
      </c>
      <c r="F11006" t="s">
        <v>4</v>
      </c>
      <c r="G11006" t="str">
        <f>""</f>
        <v/>
      </c>
    </row>
    <row r="11007" spans="1:7" x14ac:dyDescent="0.25">
      <c r="A11007" t="s">
        <v>8</v>
      </c>
      <c r="B11007" s="1" t="str">
        <f>"000375273 - RICHS PIZZA DOUGH BB CORE-SODX"</f>
        <v>000375273 - RICHS PIZZA DOUGH BB CORE-SODX</v>
      </c>
      <c r="C11007" t="s">
        <v>275</v>
      </c>
      <c r="D11007" s="1" t="str">
        <f t="shared" si="300"/>
        <v>PRG-1035912</v>
      </c>
      <c r="E11007" t="s">
        <v>181</v>
      </c>
      <c r="F11007" t="s">
        <v>4</v>
      </c>
      <c r="G11007" t="str">
        <f>""</f>
        <v/>
      </c>
    </row>
    <row r="11008" spans="1:7" x14ac:dyDescent="0.25">
      <c r="A11008" t="s">
        <v>8</v>
      </c>
      <c r="B11008" s="1" t="str">
        <f>"000375274 - RICH PIZZA DOUGH NCORE BB-SODX"</f>
        <v>000375274 - RICH PIZZA DOUGH NCORE BB-SODX</v>
      </c>
      <c r="C11008" t="s">
        <v>113</v>
      </c>
      <c r="D11008" s="1" t="str">
        <f t="shared" ref="D11008:D11025" si="301">"PRG-1035912"</f>
        <v>PRG-1035912</v>
      </c>
      <c r="E11008" t="s">
        <v>181</v>
      </c>
      <c r="F11008" t="s">
        <v>4</v>
      </c>
      <c r="G11008" t="str">
        <f>""</f>
        <v/>
      </c>
    </row>
    <row r="11009" spans="1:7" x14ac:dyDescent="0.25">
      <c r="A11009" t="s">
        <v>8</v>
      </c>
      <c r="B11009" s="1" t="str">
        <f>"000377932 - RICHS PIZZA DOUGH &amp; ICING-SODX"</f>
        <v>000377932 - RICHS PIZZA DOUGH &amp; ICING-SODX</v>
      </c>
      <c r="C11009" t="s">
        <v>223</v>
      </c>
      <c r="D11009" s="1" t="str">
        <f t="shared" si="301"/>
        <v>PRG-1035912</v>
      </c>
      <c r="E11009" t="s">
        <v>181</v>
      </c>
      <c r="F11009" t="s">
        <v>4</v>
      </c>
      <c r="G11009" t="str">
        <f>""</f>
        <v/>
      </c>
    </row>
    <row r="11010" spans="1:7" x14ac:dyDescent="0.25">
      <c r="A11010" t="s">
        <v>8</v>
      </c>
      <c r="B11010" s="1" t="str">
        <f>"000380402 - RICHS PIZZA DOUGH &amp; ICING-SODX"</f>
        <v>000380402 - RICHS PIZZA DOUGH &amp; ICING-SODX</v>
      </c>
      <c r="C11010" t="s">
        <v>223</v>
      </c>
      <c r="D11010" s="1" t="str">
        <f t="shared" si="301"/>
        <v>PRG-1035912</v>
      </c>
      <c r="E11010" t="s">
        <v>181</v>
      </c>
      <c r="F11010" t="s">
        <v>4</v>
      </c>
      <c r="G11010" t="str">
        <f>""</f>
        <v/>
      </c>
    </row>
    <row r="11011" spans="1:7" x14ac:dyDescent="0.25">
      <c r="A11011" t="s">
        <v>8</v>
      </c>
      <c r="B11011" s="1" t="str">
        <f>"000385784 - RICHS PIZZA DOUGH&amp;ICING-SODEXO"</f>
        <v>000385784 - RICHS PIZZA DOUGH&amp;ICING-SODEXO</v>
      </c>
      <c r="C11011" t="s">
        <v>288</v>
      </c>
      <c r="D11011" s="1" t="str">
        <f t="shared" si="301"/>
        <v>PRG-1035912</v>
      </c>
      <c r="E11011" t="s">
        <v>181</v>
      </c>
      <c r="F11011" t="s">
        <v>4</v>
      </c>
      <c r="G11011" t="str">
        <f>""</f>
        <v/>
      </c>
    </row>
    <row r="11012" spans="1:7" x14ac:dyDescent="0.25">
      <c r="A11012" t="s">
        <v>8</v>
      </c>
      <c r="B11012" s="1" t="str">
        <f>"000386836 - RICHS ICING&amp;DOUGH-SODEXO"</f>
        <v>000386836 - RICHS ICING&amp;DOUGH-SODEXO</v>
      </c>
      <c r="C11012" t="s">
        <v>303</v>
      </c>
      <c r="D11012" s="1" t="str">
        <f t="shared" si="301"/>
        <v>PRG-1035912</v>
      </c>
      <c r="E11012" t="s">
        <v>181</v>
      </c>
      <c r="F11012" t="s">
        <v>4</v>
      </c>
      <c r="G11012" t="str">
        <f>""</f>
        <v/>
      </c>
    </row>
    <row r="11013" spans="1:7" x14ac:dyDescent="0.25">
      <c r="A11013" t="s">
        <v>8</v>
      </c>
      <c r="B11013" s="1" t="str">
        <f>"000387373 - "</f>
        <v xml:space="preserve">000387373 - </v>
      </c>
      <c r="D11013" s="1" t="str">
        <f t="shared" si="301"/>
        <v>PRG-1035912</v>
      </c>
      <c r="E11013" t="s">
        <v>181</v>
      </c>
      <c r="F11013" t="s">
        <v>4</v>
      </c>
      <c r="G11013" t="str">
        <f>""</f>
        <v/>
      </c>
    </row>
    <row r="11014" spans="1:7" x14ac:dyDescent="0.25">
      <c r="A11014" t="s">
        <v>8</v>
      </c>
      <c r="B11014" s="1" t="str">
        <f>"000387374 - "</f>
        <v xml:space="preserve">000387374 - </v>
      </c>
      <c r="D11014" s="1" t="str">
        <f t="shared" si="301"/>
        <v>PRG-1035912</v>
      </c>
      <c r="E11014" t="s">
        <v>181</v>
      </c>
      <c r="F11014" t="s">
        <v>4</v>
      </c>
      <c r="G11014" t="str">
        <f>""</f>
        <v/>
      </c>
    </row>
    <row r="11015" spans="1:7" x14ac:dyDescent="0.25">
      <c r="A11015" t="s">
        <v>8</v>
      </c>
      <c r="B11015" s="1" t="str">
        <f>"000389315 - "</f>
        <v xml:space="preserve">000389315 - </v>
      </c>
      <c r="D11015" s="1" t="str">
        <f t="shared" si="301"/>
        <v>PRG-1035912</v>
      </c>
      <c r="E11015" t="s">
        <v>181</v>
      </c>
      <c r="F11015" t="s">
        <v>4</v>
      </c>
      <c r="G11015" t="str">
        <f>""</f>
        <v/>
      </c>
    </row>
    <row r="11016" spans="1:7" x14ac:dyDescent="0.25">
      <c r="A11016" t="s">
        <v>8</v>
      </c>
      <c r="B11016" s="1" t="str">
        <f>"000389324 - RICHS PIZZA DOUGH BB CORE-SODX"</f>
        <v>000389324 - RICHS PIZZA DOUGH BB CORE-SODX</v>
      </c>
      <c r="C11016" t="s">
        <v>275</v>
      </c>
      <c r="D11016" s="1" t="str">
        <f t="shared" si="301"/>
        <v>PRG-1035912</v>
      </c>
      <c r="E11016" t="s">
        <v>181</v>
      </c>
      <c r="F11016" t="s">
        <v>4</v>
      </c>
      <c r="G11016" t="str">
        <f>""</f>
        <v/>
      </c>
    </row>
    <row r="11017" spans="1:7" x14ac:dyDescent="0.25">
      <c r="A11017" t="s">
        <v>8</v>
      </c>
      <c r="B11017" s="1" t="str">
        <f>"000389325 - RICH PIZZA DOUGH NCORE BB-SODX"</f>
        <v>000389325 - RICH PIZZA DOUGH NCORE BB-SODX</v>
      </c>
      <c r="C11017" t="s">
        <v>113</v>
      </c>
      <c r="D11017" s="1" t="str">
        <f t="shared" si="301"/>
        <v>PRG-1035912</v>
      </c>
      <c r="E11017" t="s">
        <v>181</v>
      </c>
      <c r="F11017" t="s">
        <v>4</v>
      </c>
      <c r="G11017" t="str">
        <f>""</f>
        <v/>
      </c>
    </row>
    <row r="11018" spans="1:7" x14ac:dyDescent="0.25">
      <c r="A11018" t="s">
        <v>8</v>
      </c>
      <c r="B11018" s="1" t="str">
        <f>"000391150 - RICHS PIZZA DOUGH &amp; ICING-SODX"</f>
        <v>000391150 - RICHS PIZZA DOUGH &amp; ICING-SODX</v>
      </c>
      <c r="C11018" t="s">
        <v>223</v>
      </c>
      <c r="D11018" s="1" t="str">
        <f t="shared" si="301"/>
        <v>PRG-1035912</v>
      </c>
      <c r="E11018" t="s">
        <v>181</v>
      </c>
      <c r="F11018" t="s">
        <v>4</v>
      </c>
      <c r="G11018" t="str">
        <f>""</f>
        <v/>
      </c>
    </row>
    <row r="11019" spans="1:7" x14ac:dyDescent="0.25">
      <c r="A11019" t="s">
        <v>8</v>
      </c>
      <c r="B11019" s="1" t="str">
        <f>"000391341 - RICHS DOUGH &amp; ICING-SODEXO"</f>
        <v>000391341 - RICHS DOUGH &amp; ICING-SODEXO</v>
      </c>
      <c r="C11019" t="s">
        <v>349</v>
      </c>
      <c r="D11019" s="1" t="str">
        <f t="shared" si="301"/>
        <v>PRG-1035912</v>
      </c>
      <c r="E11019" t="s">
        <v>181</v>
      </c>
      <c r="F11019" t="s">
        <v>4</v>
      </c>
      <c r="G11019" t="str">
        <f>""</f>
        <v/>
      </c>
    </row>
    <row r="11020" spans="1:7" x14ac:dyDescent="0.25">
      <c r="A11020" t="s">
        <v>8</v>
      </c>
      <c r="B11020" s="1" t="str">
        <f>"000391799 - RICHS PIZZA DOUGH &amp; ICING-SODX"</f>
        <v>000391799 - RICHS PIZZA DOUGH &amp; ICING-SODX</v>
      </c>
      <c r="C11020" t="s">
        <v>223</v>
      </c>
      <c r="D11020" s="1" t="str">
        <f t="shared" si="301"/>
        <v>PRG-1035912</v>
      </c>
      <c r="E11020" t="s">
        <v>181</v>
      </c>
      <c r="F11020" t="s">
        <v>4</v>
      </c>
      <c r="G11020" t="str">
        <f>""</f>
        <v/>
      </c>
    </row>
    <row r="11021" spans="1:7" x14ac:dyDescent="0.25">
      <c r="A11021" t="s">
        <v>8</v>
      </c>
      <c r="B11021" s="1" t="str">
        <f>"000394384 - RICHS PIZZA DOUGH &amp; ICING-SODX"</f>
        <v>000394384 - RICHS PIZZA DOUGH &amp; ICING-SODX</v>
      </c>
      <c r="C11021" t="s">
        <v>223</v>
      </c>
      <c r="D11021" s="1" t="str">
        <f t="shared" si="301"/>
        <v>PRG-1035912</v>
      </c>
      <c r="E11021" t="s">
        <v>181</v>
      </c>
      <c r="F11021" t="s">
        <v>4</v>
      </c>
      <c r="G11021" t="str">
        <f>""</f>
        <v/>
      </c>
    </row>
    <row r="11022" spans="1:7" x14ac:dyDescent="0.25">
      <c r="A11022" t="s">
        <v>8</v>
      </c>
      <c r="B11022" s="1" t="str">
        <f>"000399691 - RICHS PIZZA DOUGH&amp;ICING-SODEXO"</f>
        <v>000399691 - RICHS PIZZA DOUGH&amp;ICING-SODEXO</v>
      </c>
      <c r="C11022" t="s">
        <v>288</v>
      </c>
      <c r="D11022" s="1" t="str">
        <f t="shared" si="301"/>
        <v>PRG-1035912</v>
      </c>
      <c r="E11022" t="s">
        <v>181</v>
      </c>
      <c r="F11022" t="s">
        <v>4</v>
      </c>
      <c r="G11022" t="str">
        <f>""</f>
        <v/>
      </c>
    </row>
    <row r="11023" spans="1:7" x14ac:dyDescent="0.25">
      <c r="A11023" t="s">
        <v>8</v>
      </c>
      <c r="B11023" s="1" t="str">
        <f>"2000126750 - RICHS PIZZA-SODEXO"</f>
        <v>2000126750 - RICHS PIZZA-SODEXO</v>
      </c>
      <c r="C11023" t="s">
        <v>3828</v>
      </c>
      <c r="D11023" s="1" t="str">
        <f t="shared" si="301"/>
        <v>PRG-1035912</v>
      </c>
      <c r="E11023" t="s">
        <v>181</v>
      </c>
      <c r="F11023" t="s">
        <v>4</v>
      </c>
      <c r="G11023" t="str">
        <f>""</f>
        <v/>
      </c>
    </row>
    <row r="11024" spans="1:7" x14ac:dyDescent="0.25">
      <c r="A11024" t="s">
        <v>8</v>
      </c>
      <c r="B11024" s="1" t="str">
        <f>"2000422257 - RICHS PIZZA-SODEXO"</f>
        <v>2000422257 - RICHS PIZZA-SODEXO</v>
      </c>
      <c r="C11024" t="s">
        <v>3828</v>
      </c>
      <c r="D11024" s="1" t="str">
        <f t="shared" si="301"/>
        <v>PRG-1035912</v>
      </c>
      <c r="E11024" t="s">
        <v>181</v>
      </c>
      <c r="F11024" t="s">
        <v>4</v>
      </c>
      <c r="G11024" t="str">
        <f>""</f>
        <v/>
      </c>
    </row>
    <row r="11025" spans="1:7" x14ac:dyDescent="0.25">
      <c r="A11025" t="s">
        <v>8</v>
      </c>
      <c r="B11025" s="1" t="str">
        <f>"362508 - "</f>
        <v xml:space="preserve">362508 - </v>
      </c>
      <c r="D11025" s="1" t="str">
        <f t="shared" si="301"/>
        <v>PRG-1035912</v>
      </c>
      <c r="E11025" t="s">
        <v>181</v>
      </c>
      <c r="F11025" t="s">
        <v>4</v>
      </c>
      <c r="G11025" t="str">
        <f>""</f>
        <v/>
      </c>
    </row>
    <row r="11026" spans="1:7" x14ac:dyDescent="0.25">
      <c r="A11026" t="s">
        <v>8</v>
      </c>
      <c r="B11026" s="1" t="str">
        <f>"000001538 - RICH FOODS-COLD STONE CREAMERY"</f>
        <v>000001538 - RICH FOODS-COLD STONE CREAMERY</v>
      </c>
      <c r="C11026" t="s">
        <v>68</v>
      </c>
      <c r="D11026" s="1" t="str">
        <f t="shared" ref="D11026:D11062" si="302">"PRG-1035914"</f>
        <v>PRG-1035914</v>
      </c>
      <c r="E11026" t="s">
        <v>69</v>
      </c>
      <c r="F11026" t="s">
        <v>4</v>
      </c>
      <c r="G11026" t="str">
        <f>""</f>
        <v/>
      </c>
    </row>
    <row r="11027" spans="1:7" x14ac:dyDescent="0.25">
      <c r="A11027" t="s">
        <v>8</v>
      </c>
      <c r="B11027" s="1" t="str">
        <f>"000002006 - RICH BETTERCREME NCORE-CLDSTNE"</f>
        <v>000002006 - RICH BETTERCREME NCORE-CLDSTNE</v>
      </c>
      <c r="C11027" t="s">
        <v>107</v>
      </c>
      <c r="D11027" s="1" t="str">
        <f t="shared" si="302"/>
        <v>PRG-1035914</v>
      </c>
      <c r="E11027" t="s">
        <v>69</v>
      </c>
      <c r="F11027" t="s">
        <v>4</v>
      </c>
      <c r="G11027" t="str">
        <f>""</f>
        <v/>
      </c>
    </row>
    <row r="11028" spans="1:7" x14ac:dyDescent="0.25">
      <c r="A11028" t="s">
        <v>8</v>
      </c>
      <c r="B11028" s="1" t="str">
        <f>"000008910 - RICH FOODS-CBB-COLDSTONE"</f>
        <v>000008910 - RICH FOODS-CBB-COLDSTONE</v>
      </c>
      <c r="C11028" t="s">
        <v>287</v>
      </c>
      <c r="D11028" s="1" t="str">
        <f t="shared" si="302"/>
        <v>PRG-1035914</v>
      </c>
      <c r="E11028" t="s">
        <v>69</v>
      </c>
      <c r="F11028" t="s">
        <v>4</v>
      </c>
      <c r="G11028" t="str">
        <f>""</f>
        <v/>
      </c>
    </row>
    <row r="11029" spans="1:7" x14ac:dyDescent="0.25">
      <c r="A11029" t="s">
        <v>8</v>
      </c>
      <c r="B11029" s="1" t="str">
        <f>"000013920 - RICH FOODS-BETTERCREME-COLDSTO"</f>
        <v>000013920 - RICH FOODS-BETTERCREME-COLDSTO</v>
      </c>
      <c r="C11029" t="s">
        <v>286</v>
      </c>
      <c r="D11029" s="1" t="str">
        <f t="shared" si="302"/>
        <v>PRG-1035914</v>
      </c>
      <c r="E11029" t="s">
        <v>69</v>
      </c>
      <c r="F11029" t="s">
        <v>4</v>
      </c>
      <c r="G11029" t="str">
        <f>""</f>
        <v/>
      </c>
    </row>
    <row r="11030" spans="1:7" x14ac:dyDescent="0.25">
      <c r="A11030" t="s">
        <v>8</v>
      </c>
      <c r="B11030" s="1" t="str">
        <f>"000020719 - RICH FOODS BETTERCREME-COLDSTO"</f>
        <v>000020719 - RICH FOODS BETTERCREME-COLDSTO</v>
      </c>
      <c r="C11030" t="s">
        <v>319</v>
      </c>
      <c r="D11030" s="1" t="str">
        <f t="shared" si="302"/>
        <v>PRG-1035914</v>
      </c>
      <c r="E11030" t="s">
        <v>69</v>
      </c>
      <c r="F11030" t="s">
        <v>4</v>
      </c>
      <c r="G11030" t="str">
        <f>""</f>
        <v/>
      </c>
    </row>
    <row r="11031" spans="1:7" x14ac:dyDescent="0.25">
      <c r="A11031" t="s">
        <v>8</v>
      </c>
      <c r="B11031" s="1" t="str">
        <f>"000129990 - RICH BETTERCREME NCORE-CLDSTNE"</f>
        <v>000129990 - RICH BETTERCREME NCORE-CLDSTNE</v>
      </c>
      <c r="C11031" t="s">
        <v>107</v>
      </c>
      <c r="D11031" s="1" t="str">
        <f t="shared" si="302"/>
        <v>PRG-1035914</v>
      </c>
      <c r="E11031" t="s">
        <v>69</v>
      </c>
      <c r="F11031" t="s">
        <v>4</v>
      </c>
      <c r="G11031" t="str">
        <f>""</f>
        <v/>
      </c>
    </row>
    <row r="11032" spans="1:7" x14ac:dyDescent="0.25">
      <c r="A11032" t="s">
        <v>8</v>
      </c>
      <c r="B11032" s="1" t="str">
        <f>"000134681 - RICH FOODS-BETTERCREME-COLDSTO"</f>
        <v>000134681 - RICH FOODS-BETTERCREME-COLDSTO</v>
      </c>
      <c r="C11032" t="s">
        <v>286</v>
      </c>
      <c r="D11032" s="1" t="str">
        <f t="shared" si="302"/>
        <v>PRG-1035914</v>
      </c>
      <c r="E11032" t="s">
        <v>69</v>
      </c>
      <c r="F11032" t="s">
        <v>4</v>
      </c>
      <c r="G11032" t="str">
        <f>""</f>
        <v/>
      </c>
    </row>
    <row r="11033" spans="1:7" x14ac:dyDescent="0.25">
      <c r="A11033" t="s">
        <v>8</v>
      </c>
      <c r="B11033" s="1" t="str">
        <f>"000159917 - RICH FOODS BETTERCREME-COLDSTO"</f>
        <v>000159917 - RICH FOODS BETTERCREME-COLDSTO</v>
      </c>
      <c r="C11033" t="s">
        <v>319</v>
      </c>
      <c r="D11033" s="1" t="str">
        <f t="shared" si="302"/>
        <v>PRG-1035914</v>
      </c>
      <c r="E11033" t="s">
        <v>69</v>
      </c>
      <c r="F11033" t="s">
        <v>4</v>
      </c>
      <c r="G11033" t="str">
        <f>""</f>
        <v/>
      </c>
    </row>
    <row r="11034" spans="1:7" x14ac:dyDescent="0.25">
      <c r="A11034" t="s">
        <v>8</v>
      </c>
      <c r="B11034" s="1" t="str">
        <f>"000184119 - RICH FOODS BETTERCREME-COLDSTO"</f>
        <v>000184119 - RICH FOODS BETTERCREME-COLDSTO</v>
      </c>
      <c r="C11034" t="s">
        <v>319</v>
      </c>
      <c r="D11034" s="1" t="str">
        <f t="shared" si="302"/>
        <v>PRG-1035914</v>
      </c>
      <c r="E11034" t="s">
        <v>69</v>
      </c>
      <c r="F11034" t="s">
        <v>4</v>
      </c>
      <c r="G11034" t="str">
        <f>""</f>
        <v/>
      </c>
    </row>
    <row r="11035" spans="1:7" x14ac:dyDescent="0.25">
      <c r="A11035" t="s">
        <v>8</v>
      </c>
      <c r="B11035" s="1" t="str">
        <f>"000236696 - BB COLDSTONE FOB RICHS"</f>
        <v>000236696 - BB COLDSTONE FOB RICHS</v>
      </c>
      <c r="C11035" t="s">
        <v>1361</v>
      </c>
      <c r="D11035" s="1" t="str">
        <f t="shared" si="302"/>
        <v>PRG-1035914</v>
      </c>
      <c r="E11035" t="s">
        <v>69</v>
      </c>
      <c r="F11035" t="s">
        <v>4</v>
      </c>
      <c r="G11035" t="str">
        <f>""</f>
        <v/>
      </c>
    </row>
    <row r="11036" spans="1:7" x14ac:dyDescent="0.25">
      <c r="A11036" t="s">
        <v>8</v>
      </c>
      <c r="B11036" s="1" t="str">
        <f>"000242386 - RICH FOODS-COLD STONE"</f>
        <v>000242386 - RICH FOODS-COLD STONE</v>
      </c>
      <c r="C11036" t="s">
        <v>332</v>
      </c>
      <c r="D11036" s="1" t="str">
        <f t="shared" si="302"/>
        <v>PRG-1035914</v>
      </c>
      <c r="E11036" t="s">
        <v>69</v>
      </c>
      <c r="F11036" t="s">
        <v>4</v>
      </c>
      <c r="G11036" t="str">
        <f>""</f>
        <v/>
      </c>
    </row>
    <row r="11037" spans="1:7" x14ac:dyDescent="0.25">
      <c r="A11037" t="s">
        <v>8</v>
      </c>
      <c r="B11037" s="1" t="str">
        <f>"000242387 - RICH CC BB- COLDSTONE"</f>
        <v>000242387 - RICH CC BB- COLDSTONE</v>
      </c>
      <c r="C11037" t="s">
        <v>333</v>
      </c>
      <c r="D11037" s="1" t="str">
        <f t="shared" si="302"/>
        <v>PRG-1035914</v>
      </c>
      <c r="E11037" t="s">
        <v>69</v>
      </c>
      <c r="F11037" t="s">
        <v>4</v>
      </c>
      <c r="G11037" t="str">
        <f>""</f>
        <v/>
      </c>
    </row>
    <row r="11038" spans="1:7" x14ac:dyDescent="0.25">
      <c r="A11038" t="s">
        <v>8</v>
      </c>
      <c r="B11038" s="1" t="str">
        <f>"000243951 - RICH FOODS-BETTERCREME-COLDSTO"</f>
        <v>000243951 - RICH FOODS-BETTERCREME-COLDSTO</v>
      </c>
      <c r="C11038" t="s">
        <v>286</v>
      </c>
      <c r="D11038" s="1" t="str">
        <f t="shared" si="302"/>
        <v>PRG-1035914</v>
      </c>
      <c r="E11038" t="s">
        <v>69</v>
      </c>
      <c r="F11038" t="s">
        <v>4</v>
      </c>
      <c r="G11038" t="str">
        <f>""</f>
        <v/>
      </c>
    </row>
    <row r="11039" spans="1:7" x14ac:dyDescent="0.25">
      <c r="A11039" t="s">
        <v>8</v>
      </c>
      <c r="B11039" s="1" t="str">
        <f>"000253702 - "</f>
        <v xml:space="preserve">000253702 - </v>
      </c>
      <c r="D11039" s="1" t="str">
        <f t="shared" si="302"/>
        <v>PRG-1035914</v>
      </c>
      <c r="E11039" t="s">
        <v>69</v>
      </c>
      <c r="F11039" t="s">
        <v>4</v>
      </c>
      <c r="G11039" t="str">
        <f>""</f>
        <v/>
      </c>
    </row>
    <row r="11040" spans="1:7" x14ac:dyDescent="0.25">
      <c r="A11040" t="s">
        <v>8</v>
      </c>
      <c r="B11040" s="1" t="str">
        <f>"000253790 - "</f>
        <v xml:space="preserve">000253790 - </v>
      </c>
      <c r="D11040" s="1" t="str">
        <f t="shared" si="302"/>
        <v>PRG-1035914</v>
      </c>
      <c r="E11040" t="s">
        <v>69</v>
      </c>
      <c r="F11040" t="s">
        <v>4</v>
      </c>
      <c r="G11040" t="str">
        <f>""</f>
        <v/>
      </c>
    </row>
    <row r="11041" spans="1:7" x14ac:dyDescent="0.25">
      <c r="A11041" t="s">
        <v>8</v>
      </c>
      <c r="B11041" s="1" t="str">
        <f>"000259084 - RICH FOODS BETTERCREME-COLDSTO"</f>
        <v>000259084 - RICH FOODS BETTERCREME-COLDSTO</v>
      </c>
      <c r="C11041" t="s">
        <v>319</v>
      </c>
      <c r="D11041" s="1" t="str">
        <f t="shared" si="302"/>
        <v>PRG-1035914</v>
      </c>
      <c r="E11041" t="s">
        <v>69</v>
      </c>
      <c r="F11041" t="s">
        <v>4</v>
      </c>
      <c r="G11041" t="str">
        <f>""</f>
        <v/>
      </c>
    </row>
    <row r="11042" spans="1:7" x14ac:dyDescent="0.25">
      <c r="A11042" t="s">
        <v>8</v>
      </c>
      <c r="B11042" s="1" t="str">
        <f>"000274492 - RICH FOODS BETTERCREME-COLDSTO"</f>
        <v>000274492 - RICH FOODS BETTERCREME-COLDSTO</v>
      </c>
      <c r="C11042" t="s">
        <v>319</v>
      </c>
      <c r="D11042" s="1" t="str">
        <f t="shared" si="302"/>
        <v>PRG-1035914</v>
      </c>
      <c r="E11042" t="s">
        <v>69</v>
      </c>
      <c r="F11042" t="s">
        <v>4</v>
      </c>
      <c r="G11042" t="str">
        <f>""</f>
        <v/>
      </c>
    </row>
    <row r="11043" spans="1:7" x14ac:dyDescent="0.25">
      <c r="A11043" t="s">
        <v>8</v>
      </c>
      <c r="B11043" s="1" t="str">
        <f>"000289750 - RICH FOODS BETTERCREME-COLDSTO"</f>
        <v>000289750 - RICH FOODS BETTERCREME-COLDSTO</v>
      </c>
      <c r="C11043" t="s">
        <v>319</v>
      </c>
      <c r="D11043" s="1" t="str">
        <f t="shared" si="302"/>
        <v>PRG-1035914</v>
      </c>
      <c r="E11043" t="s">
        <v>69</v>
      </c>
      <c r="F11043" t="s">
        <v>4</v>
      </c>
      <c r="G11043" t="str">
        <f>""</f>
        <v/>
      </c>
    </row>
    <row r="11044" spans="1:7" x14ac:dyDescent="0.25">
      <c r="A11044" t="s">
        <v>8</v>
      </c>
      <c r="B11044" s="1" t="str">
        <f>"000301925 - RICH FOODS BETTERCREME-COLDSTO"</f>
        <v>000301925 - RICH FOODS BETTERCREME-COLDSTO</v>
      </c>
      <c r="C11044" t="s">
        <v>319</v>
      </c>
      <c r="D11044" s="1" t="str">
        <f t="shared" si="302"/>
        <v>PRG-1035914</v>
      </c>
      <c r="E11044" t="s">
        <v>69</v>
      </c>
      <c r="F11044" t="s">
        <v>4</v>
      </c>
      <c r="G11044" t="str">
        <f>""</f>
        <v/>
      </c>
    </row>
    <row r="11045" spans="1:7" x14ac:dyDescent="0.25">
      <c r="A11045" t="s">
        <v>8</v>
      </c>
      <c r="B11045" s="1" t="str">
        <f>"000331051 - RICH FOODS BETTERCREME-COLDSTO"</f>
        <v>000331051 - RICH FOODS BETTERCREME-COLDSTO</v>
      </c>
      <c r="C11045" t="s">
        <v>319</v>
      </c>
      <c r="D11045" s="1" t="str">
        <f t="shared" si="302"/>
        <v>PRG-1035914</v>
      </c>
      <c r="E11045" t="s">
        <v>69</v>
      </c>
      <c r="F11045" t="s">
        <v>4</v>
      </c>
      <c r="G11045" t="str">
        <f>""</f>
        <v/>
      </c>
    </row>
    <row r="11046" spans="1:7" x14ac:dyDescent="0.25">
      <c r="A11046" t="s">
        <v>8</v>
      </c>
      <c r="B11046" s="1" t="str">
        <f>"000341480 - RICH FOODS-BETTERCREME-COLDSTO"</f>
        <v>000341480 - RICH FOODS-BETTERCREME-COLDSTO</v>
      </c>
      <c r="C11046" t="s">
        <v>286</v>
      </c>
      <c r="D11046" s="1" t="str">
        <f t="shared" si="302"/>
        <v>PRG-1035914</v>
      </c>
      <c r="E11046" t="s">
        <v>69</v>
      </c>
      <c r="F11046" t="s">
        <v>4</v>
      </c>
      <c r="G11046" t="str">
        <f>""</f>
        <v/>
      </c>
    </row>
    <row r="11047" spans="1:7" x14ac:dyDescent="0.25">
      <c r="A11047" t="s">
        <v>8</v>
      </c>
      <c r="B11047" s="1" t="str">
        <f>"000352352 - RICH FOODS BETTERCREME-COLDSTO"</f>
        <v>000352352 - RICH FOODS BETTERCREME-COLDSTO</v>
      </c>
      <c r="C11047" t="s">
        <v>319</v>
      </c>
      <c r="D11047" s="1" t="str">
        <f t="shared" si="302"/>
        <v>PRG-1035914</v>
      </c>
      <c r="E11047" t="s">
        <v>69</v>
      </c>
      <c r="F11047" t="s">
        <v>4</v>
      </c>
      <c r="G11047" t="str">
        <f>""</f>
        <v/>
      </c>
    </row>
    <row r="11048" spans="1:7" x14ac:dyDescent="0.25">
      <c r="A11048" t="s">
        <v>8</v>
      </c>
      <c r="B11048" s="1" t="str">
        <f>"000364635 - RICH FOODS BETTERCREME-COLDSTO"</f>
        <v>000364635 - RICH FOODS BETTERCREME-COLDSTO</v>
      </c>
      <c r="C11048" t="s">
        <v>319</v>
      </c>
      <c r="D11048" s="1" t="str">
        <f t="shared" si="302"/>
        <v>PRG-1035914</v>
      </c>
      <c r="E11048" t="s">
        <v>69</v>
      </c>
      <c r="F11048" t="s">
        <v>4</v>
      </c>
      <c r="G11048" t="str">
        <f>""</f>
        <v/>
      </c>
    </row>
    <row r="11049" spans="1:7" x14ac:dyDescent="0.25">
      <c r="A11049" t="s">
        <v>8</v>
      </c>
      <c r="B11049" s="1" t="str">
        <f>"000370639 - RICH FOODS-COLD STONE"</f>
        <v>000370639 - RICH FOODS-COLD STONE</v>
      </c>
      <c r="C11049" t="s">
        <v>332</v>
      </c>
      <c r="D11049" s="1" t="str">
        <f t="shared" si="302"/>
        <v>PRG-1035914</v>
      </c>
      <c r="E11049" t="s">
        <v>69</v>
      </c>
      <c r="F11049" t="s">
        <v>4</v>
      </c>
      <c r="G11049" t="str">
        <f>""</f>
        <v/>
      </c>
    </row>
    <row r="11050" spans="1:7" x14ac:dyDescent="0.25">
      <c r="A11050" t="s">
        <v>8</v>
      </c>
      <c r="B11050" s="1" t="str">
        <f>"000370640 - RICH CC BB- COLDSTONE"</f>
        <v>000370640 - RICH CC BB- COLDSTONE</v>
      </c>
      <c r="C11050" t="s">
        <v>333</v>
      </c>
      <c r="D11050" s="1" t="str">
        <f t="shared" si="302"/>
        <v>PRG-1035914</v>
      </c>
      <c r="E11050" t="s">
        <v>69</v>
      </c>
      <c r="F11050" t="s">
        <v>4</v>
      </c>
      <c r="G11050" t="str">
        <f>""</f>
        <v/>
      </c>
    </row>
    <row r="11051" spans="1:7" x14ac:dyDescent="0.25">
      <c r="A11051" t="s">
        <v>8</v>
      </c>
      <c r="B11051" s="1" t="str">
        <f>"000372446 - RICH FOODS-BETTERCREME-COLDSTO"</f>
        <v>000372446 - RICH FOODS-BETTERCREME-COLDSTO</v>
      </c>
      <c r="C11051" t="s">
        <v>286</v>
      </c>
      <c r="D11051" s="1" t="str">
        <f t="shared" si="302"/>
        <v>PRG-1035914</v>
      </c>
      <c r="E11051" t="s">
        <v>69</v>
      </c>
      <c r="F11051" t="s">
        <v>4</v>
      </c>
      <c r="G11051" t="str">
        <f>""</f>
        <v/>
      </c>
    </row>
    <row r="11052" spans="1:7" x14ac:dyDescent="0.25">
      <c r="A11052" t="s">
        <v>8</v>
      </c>
      <c r="B11052" s="1" t="str">
        <f>"000372592 - RICH FOODS-BETTERCREME-COLDSTO"</f>
        <v>000372592 - RICH FOODS-BETTERCREME-COLDSTO</v>
      </c>
      <c r="C11052" t="s">
        <v>286</v>
      </c>
      <c r="D11052" s="1" t="str">
        <f t="shared" si="302"/>
        <v>PRG-1035914</v>
      </c>
      <c r="E11052" t="s">
        <v>69</v>
      </c>
      <c r="F11052" t="s">
        <v>4</v>
      </c>
      <c r="G11052" t="str">
        <f>""</f>
        <v/>
      </c>
    </row>
    <row r="11053" spans="1:7" x14ac:dyDescent="0.25">
      <c r="A11053" t="s">
        <v>8</v>
      </c>
      <c r="B11053" s="1" t="str">
        <f>"000384697 - RICH FOODS-COLD STONE"</f>
        <v>000384697 - RICH FOODS-COLD STONE</v>
      </c>
      <c r="C11053" t="s">
        <v>332</v>
      </c>
      <c r="D11053" s="1" t="str">
        <f t="shared" si="302"/>
        <v>PRG-1035914</v>
      </c>
      <c r="E11053" t="s">
        <v>69</v>
      </c>
      <c r="F11053" t="s">
        <v>4</v>
      </c>
      <c r="G11053" t="str">
        <f>""</f>
        <v/>
      </c>
    </row>
    <row r="11054" spans="1:7" x14ac:dyDescent="0.25">
      <c r="A11054" t="s">
        <v>8</v>
      </c>
      <c r="B11054" s="1" t="str">
        <f>"000384698 - RICH CC BB- COLDSTONE"</f>
        <v>000384698 - RICH CC BB- COLDSTONE</v>
      </c>
      <c r="C11054" t="s">
        <v>333</v>
      </c>
      <c r="D11054" s="1" t="str">
        <f t="shared" si="302"/>
        <v>PRG-1035914</v>
      </c>
      <c r="E11054" t="s">
        <v>69</v>
      </c>
      <c r="F11054" t="s">
        <v>4</v>
      </c>
      <c r="G11054" t="str">
        <f>""</f>
        <v/>
      </c>
    </row>
    <row r="11055" spans="1:7" x14ac:dyDescent="0.25">
      <c r="A11055" t="s">
        <v>8</v>
      </c>
      <c r="B11055" s="1" t="str">
        <f>"000386505 - RICH FOODS-BETTERCREME-COLDSTO"</f>
        <v>000386505 - RICH FOODS-BETTERCREME-COLDSTO</v>
      </c>
      <c r="C11055" t="s">
        <v>286</v>
      </c>
      <c r="D11055" s="1" t="str">
        <f t="shared" si="302"/>
        <v>PRG-1035914</v>
      </c>
      <c r="E11055" t="s">
        <v>69</v>
      </c>
      <c r="F11055" t="s">
        <v>4</v>
      </c>
      <c r="G11055" t="str">
        <f>""</f>
        <v/>
      </c>
    </row>
    <row r="11056" spans="1:7" x14ac:dyDescent="0.25">
      <c r="A11056" t="s">
        <v>8</v>
      </c>
      <c r="B11056" s="1" t="str">
        <f>"000386661 - RICH FOODS-BETTERCREME-COLDSTO"</f>
        <v>000386661 - RICH FOODS-BETTERCREME-COLDSTO</v>
      </c>
      <c r="C11056" t="s">
        <v>286</v>
      </c>
      <c r="D11056" s="1" t="str">
        <f t="shared" si="302"/>
        <v>PRG-1035914</v>
      </c>
      <c r="E11056" t="s">
        <v>69</v>
      </c>
      <c r="F11056" t="s">
        <v>4</v>
      </c>
      <c r="G11056" t="str">
        <f>""</f>
        <v/>
      </c>
    </row>
    <row r="11057" spans="1:7" x14ac:dyDescent="0.25">
      <c r="A11057" t="s">
        <v>8</v>
      </c>
      <c r="B11057" s="1" t="str">
        <f>"000390047 - RICH FOODS-BETTERCREME-COLDSTO"</f>
        <v>000390047 - RICH FOODS-BETTERCREME-COLDSTO</v>
      </c>
      <c r="C11057" t="s">
        <v>286</v>
      </c>
      <c r="D11057" s="1" t="str">
        <f t="shared" si="302"/>
        <v>PRG-1035914</v>
      </c>
      <c r="E11057" t="s">
        <v>69</v>
      </c>
      <c r="F11057" t="s">
        <v>4</v>
      </c>
      <c r="G11057" t="str">
        <f>""</f>
        <v/>
      </c>
    </row>
    <row r="11058" spans="1:7" x14ac:dyDescent="0.25">
      <c r="A11058" t="s">
        <v>8</v>
      </c>
      <c r="B11058" s="1" t="str">
        <f>"000390713 - RICH FOODS BETTERCREME-COLDSTO"</f>
        <v>000390713 - RICH FOODS BETTERCREME-COLDSTO</v>
      </c>
      <c r="C11058" t="s">
        <v>319</v>
      </c>
      <c r="D11058" s="1" t="str">
        <f t="shared" si="302"/>
        <v>PRG-1035914</v>
      </c>
      <c r="E11058" t="s">
        <v>69</v>
      </c>
      <c r="F11058" t="s">
        <v>4</v>
      </c>
      <c r="G11058" t="str">
        <f>""</f>
        <v/>
      </c>
    </row>
    <row r="11059" spans="1:7" x14ac:dyDescent="0.25">
      <c r="A11059" t="s">
        <v>8</v>
      </c>
      <c r="B11059" s="1" t="str">
        <f>"000393702 - RICH FOODS BETTERCREME-COLDSTO"</f>
        <v>000393702 - RICH FOODS BETTERCREME-COLDSTO</v>
      </c>
      <c r="C11059" t="s">
        <v>319</v>
      </c>
      <c r="D11059" s="1" t="str">
        <f t="shared" si="302"/>
        <v>PRG-1035914</v>
      </c>
      <c r="E11059" t="s">
        <v>69</v>
      </c>
      <c r="F11059" t="s">
        <v>4</v>
      </c>
      <c r="G11059" t="str">
        <f>""</f>
        <v/>
      </c>
    </row>
    <row r="11060" spans="1:7" x14ac:dyDescent="0.25">
      <c r="A11060" t="s">
        <v>8</v>
      </c>
      <c r="B11060" s="1" t="str">
        <f>"2000405130 - &amp;MP RICH FOODS-COLD STONE CREAMERY"</f>
        <v>2000405130 - &amp;MP RICH FOODS-COLD STONE CREAMERY</v>
      </c>
      <c r="C11060" t="s">
        <v>4070</v>
      </c>
      <c r="D11060" s="1" t="str">
        <f t="shared" si="302"/>
        <v>PRG-1035914</v>
      </c>
      <c r="E11060" t="s">
        <v>69</v>
      </c>
      <c r="F11060" t="s">
        <v>4</v>
      </c>
      <c r="G11060" t="str">
        <f>""</f>
        <v/>
      </c>
    </row>
    <row r="11061" spans="1:7" x14ac:dyDescent="0.25">
      <c r="A11061" t="s">
        <v>8</v>
      </c>
      <c r="B11061" s="1" t="str">
        <f>"2000433695 - &amp;MP RICH FOODS BETTERCREME-COLD STO"</f>
        <v>2000433695 - &amp;MP RICH FOODS BETTERCREME-COLD STO</v>
      </c>
      <c r="C11061" t="s">
        <v>4078</v>
      </c>
      <c r="D11061" s="1" t="str">
        <f t="shared" si="302"/>
        <v>PRG-1035914</v>
      </c>
      <c r="E11061" t="s">
        <v>69</v>
      </c>
      <c r="F11061" t="s">
        <v>4</v>
      </c>
      <c r="G11061" t="str">
        <f>""</f>
        <v/>
      </c>
    </row>
    <row r="11062" spans="1:7" x14ac:dyDescent="0.25">
      <c r="A11062" t="s">
        <v>8</v>
      </c>
      <c r="B11062" s="1" t="str">
        <f>"2000434958 - RICH FOODS (BETTERCREME)-COLD STONE"</f>
        <v>2000434958 - RICH FOODS (BETTERCREME)-COLD STONE</v>
      </c>
      <c r="C11062" t="s">
        <v>4045</v>
      </c>
      <c r="D11062" s="1" t="str">
        <f t="shared" si="302"/>
        <v>PRG-1035914</v>
      </c>
      <c r="E11062" t="s">
        <v>69</v>
      </c>
      <c r="F11062" t="s">
        <v>4</v>
      </c>
      <c r="G11062" t="str">
        <f>""</f>
        <v/>
      </c>
    </row>
    <row r="11063" spans="1:7" x14ac:dyDescent="0.25">
      <c r="A11063" t="s">
        <v>8</v>
      </c>
      <c r="B11063" s="1" t="str">
        <f>"000002737 - RICHS SWEET DOUGH-SODEXO"</f>
        <v>000002737 - RICHS SWEET DOUGH-SODEXO</v>
      </c>
      <c r="C11063" t="s">
        <v>137</v>
      </c>
      <c r="D11063" s="1" t="str">
        <f t="shared" ref="D11063:D11126" si="303">"PRG-1035930"</f>
        <v>PRG-1035930</v>
      </c>
      <c r="E11063" t="s">
        <v>138</v>
      </c>
      <c r="F11063" t="s">
        <v>4</v>
      </c>
      <c r="G11063" t="str">
        <f>""</f>
        <v/>
      </c>
    </row>
    <row r="11064" spans="1:7" x14ac:dyDescent="0.25">
      <c r="A11064" t="s">
        <v>8</v>
      </c>
      <c r="B11064" s="1" t="str">
        <f>"000004467 - RICHS SWEET DOUGH-SODEXO"</f>
        <v>000004467 - RICHS SWEET DOUGH-SODEXO</v>
      </c>
      <c r="C11064" t="s">
        <v>137</v>
      </c>
      <c r="D11064" s="1" t="str">
        <f t="shared" si="303"/>
        <v>PRG-1035930</v>
      </c>
      <c r="E11064" t="s">
        <v>138</v>
      </c>
      <c r="F11064" t="s">
        <v>4</v>
      </c>
      <c r="G11064" t="str">
        <f>""</f>
        <v/>
      </c>
    </row>
    <row r="11065" spans="1:7" x14ac:dyDescent="0.25">
      <c r="A11065" t="s">
        <v>8</v>
      </c>
      <c r="B11065" s="1" t="str">
        <f>"000004674 - RICHS SWEET DOUGH-SODEXO"</f>
        <v>000004674 - RICHS SWEET DOUGH-SODEXO</v>
      </c>
      <c r="C11065" t="s">
        <v>137</v>
      </c>
      <c r="D11065" s="1" t="str">
        <f t="shared" si="303"/>
        <v>PRG-1035930</v>
      </c>
      <c r="E11065" t="s">
        <v>138</v>
      </c>
      <c r="F11065" t="s">
        <v>4</v>
      </c>
      <c r="G11065" t="str">
        <f>""</f>
        <v/>
      </c>
    </row>
    <row r="11066" spans="1:7" x14ac:dyDescent="0.25">
      <c r="A11066" t="s">
        <v>8</v>
      </c>
      <c r="B11066" s="1" t="str">
        <f>"000008311 - RICHS SWEET DOUGH BB-SODEXO"</f>
        <v>000008311 - RICHS SWEET DOUGH BB-SODEXO</v>
      </c>
      <c r="C11066" t="s">
        <v>161</v>
      </c>
      <c r="D11066" s="1" t="str">
        <f t="shared" si="303"/>
        <v>PRG-1035930</v>
      </c>
      <c r="E11066" t="s">
        <v>138</v>
      </c>
      <c r="F11066" t="s">
        <v>4</v>
      </c>
      <c r="G11066" t="str">
        <f>""</f>
        <v/>
      </c>
    </row>
    <row r="11067" spans="1:7" x14ac:dyDescent="0.25">
      <c r="A11067" t="s">
        <v>8</v>
      </c>
      <c r="B11067" s="1" t="str">
        <f>"000008934 - RICHS SWEET DOUGH-SODEXO"</f>
        <v>000008934 - RICHS SWEET DOUGH-SODEXO</v>
      </c>
      <c r="C11067" t="s">
        <v>137</v>
      </c>
      <c r="D11067" s="1" t="str">
        <f t="shared" si="303"/>
        <v>PRG-1035930</v>
      </c>
      <c r="E11067" t="s">
        <v>138</v>
      </c>
      <c r="F11067" t="s">
        <v>4</v>
      </c>
      <c r="G11067" t="str">
        <f>""</f>
        <v/>
      </c>
    </row>
    <row r="11068" spans="1:7" x14ac:dyDescent="0.25">
      <c r="A11068" t="s">
        <v>8</v>
      </c>
      <c r="B11068" s="1" t="str">
        <f>"000010350 - RICHS SWEET DOUGH-SODEXO"</f>
        <v>000010350 - RICHS SWEET DOUGH-SODEXO</v>
      </c>
      <c r="C11068" t="s">
        <v>137</v>
      </c>
      <c r="D11068" s="1" t="str">
        <f t="shared" si="303"/>
        <v>PRG-1035930</v>
      </c>
      <c r="E11068" t="s">
        <v>138</v>
      </c>
      <c r="F11068" t="s">
        <v>4</v>
      </c>
      <c r="G11068" t="str">
        <f>""</f>
        <v/>
      </c>
    </row>
    <row r="11069" spans="1:7" x14ac:dyDescent="0.25">
      <c r="A11069" t="s">
        <v>8</v>
      </c>
      <c r="B11069" s="1" t="str">
        <f>"000011128 - RICHS SWEET DOUGH-SODEXO"</f>
        <v>000011128 - RICHS SWEET DOUGH-SODEXO</v>
      </c>
      <c r="C11069" t="s">
        <v>137</v>
      </c>
      <c r="D11069" s="1" t="str">
        <f t="shared" si="303"/>
        <v>PRG-1035930</v>
      </c>
      <c r="E11069" t="s">
        <v>138</v>
      </c>
      <c r="F11069" t="s">
        <v>4</v>
      </c>
      <c r="G11069" t="str">
        <f>""</f>
        <v/>
      </c>
    </row>
    <row r="11070" spans="1:7" x14ac:dyDescent="0.25">
      <c r="A11070" t="s">
        <v>8</v>
      </c>
      <c r="B11070" s="1" t="str">
        <f>"000012080 - RICHS SWEET DOUGH-SODEXO"</f>
        <v>000012080 - RICHS SWEET DOUGH-SODEXO</v>
      </c>
      <c r="C11070" t="s">
        <v>137</v>
      </c>
      <c r="D11070" s="1" t="str">
        <f t="shared" si="303"/>
        <v>PRG-1035930</v>
      </c>
      <c r="E11070" t="s">
        <v>138</v>
      </c>
      <c r="F11070" t="s">
        <v>4</v>
      </c>
      <c r="G11070" t="str">
        <f>""</f>
        <v/>
      </c>
    </row>
    <row r="11071" spans="1:7" x14ac:dyDescent="0.25">
      <c r="A11071" t="s">
        <v>8</v>
      </c>
      <c r="B11071" s="1" t="str">
        <f>"000012646 - "</f>
        <v xml:space="preserve">000012646 - </v>
      </c>
      <c r="D11071" s="1" t="str">
        <f t="shared" si="303"/>
        <v>PRG-1035930</v>
      </c>
      <c r="E11071" t="s">
        <v>138</v>
      </c>
      <c r="F11071" t="s">
        <v>4</v>
      </c>
      <c r="G11071" t="str">
        <f>""</f>
        <v/>
      </c>
    </row>
    <row r="11072" spans="1:7" x14ac:dyDescent="0.25">
      <c r="A11072" t="s">
        <v>8</v>
      </c>
      <c r="B11072" s="1" t="str">
        <f>"000014532 - "</f>
        <v xml:space="preserve">000014532 - </v>
      </c>
      <c r="D11072" s="1" t="str">
        <f t="shared" si="303"/>
        <v>PRG-1035930</v>
      </c>
      <c r="E11072" t="s">
        <v>138</v>
      </c>
      <c r="F11072" t="s">
        <v>4</v>
      </c>
      <c r="G11072" t="str">
        <f>""</f>
        <v/>
      </c>
    </row>
    <row r="11073" spans="1:7" x14ac:dyDescent="0.25">
      <c r="A11073" t="s">
        <v>8</v>
      </c>
      <c r="B11073" s="1" t="str">
        <f>"000014851 - RICHS SWEET DOUGH BAPA SODEXO"</f>
        <v>000014851 - RICHS SWEET DOUGH BAPA SODEXO</v>
      </c>
      <c r="C11073" t="s">
        <v>360</v>
      </c>
      <c r="D11073" s="1" t="str">
        <f t="shared" si="303"/>
        <v>PRG-1035930</v>
      </c>
      <c r="E11073" t="s">
        <v>138</v>
      </c>
      <c r="F11073" t="s">
        <v>4</v>
      </c>
      <c r="G11073" t="str">
        <f>""</f>
        <v/>
      </c>
    </row>
    <row r="11074" spans="1:7" x14ac:dyDescent="0.25">
      <c r="A11074" t="s">
        <v>8</v>
      </c>
      <c r="B11074" s="1" t="str">
        <f>"000016762 - RICHS SWEET DOUGH-SODEXO"</f>
        <v>000016762 - RICHS SWEET DOUGH-SODEXO</v>
      </c>
      <c r="C11074" t="s">
        <v>137</v>
      </c>
      <c r="D11074" s="1" t="str">
        <f t="shared" si="303"/>
        <v>PRG-1035930</v>
      </c>
      <c r="E11074" t="s">
        <v>138</v>
      </c>
      <c r="F11074" t="s">
        <v>4</v>
      </c>
      <c r="G11074" t="str">
        <f>""</f>
        <v/>
      </c>
    </row>
    <row r="11075" spans="1:7" x14ac:dyDescent="0.25">
      <c r="A11075" t="s">
        <v>8</v>
      </c>
      <c r="B11075" s="1" t="str">
        <f>"000016921 - "</f>
        <v xml:space="preserve">000016921 - </v>
      </c>
      <c r="D11075" s="1" t="str">
        <f t="shared" si="303"/>
        <v>PRG-1035930</v>
      </c>
      <c r="E11075" t="s">
        <v>138</v>
      </c>
      <c r="F11075" t="s">
        <v>4</v>
      </c>
      <c r="G11075" t="str">
        <f>""</f>
        <v/>
      </c>
    </row>
    <row r="11076" spans="1:7" x14ac:dyDescent="0.25">
      <c r="A11076" t="s">
        <v>8</v>
      </c>
      <c r="B11076" s="1" t="str">
        <f>"000017680 - RICHS SWEET DOUGH-SODEXO"</f>
        <v>000017680 - RICHS SWEET DOUGH-SODEXO</v>
      </c>
      <c r="C11076" t="s">
        <v>137</v>
      </c>
      <c r="D11076" s="1" t="str">
        <f t="shared" si="303"/>
        <v>PRG-1035930</v>
      </c>
      <c r="E11076" t="s">
        <v>138</v>
      </c>
      <c r="F11076" t="s">
        <v>4</v>
      </c>
      <c r="G11076" t="str">
        <f>""</f>
        <v/>
      </c>
    </row>
    <row r="11077" spans="1:7" x14ac:dyDescent="0.25">
      <c r="A11077" t="s">
        <v>8</v>
      </c>
      <c r="B11077" s="1" t="str">
        <f>"000018006 - RICHS SWEET DOUGH-SODEXO"</f>
        <v>000018006 - RICHS SWEET DOUGH-SODEXO</v>
      </c>
      <c r="C11077" t="s">
        <v>137</v>
      </c>
      <c r="D11077" s="1" t="str">
        <f t="shared" si="303"/>
        <v>PRG-1035930</v>
      </c>
      <c r="E11077" t="s">
        <v>138</v>
      </c>
      <c r="F11077" t="s">
        <v>4</v>
      </c>
      <c r="G11077" t="str">
        <f>""</f>
        <v/>
      </c>
    </row>
    <row r="11078" spans="1:7" x14ac:dyDescent="0.25">
      <c r="A11078" t="s">
        <v>8</v>
      </c>
      <c r="B11078" s="1" t="str">
        <f>"000018419 - "</f>
        <v xml:space="preserve">000018419 - </v>
      </c>
      <c r="D11078" s="1" t="str">
        <f t="shared" si="303"/>
        <v>PRG-1035930</v>
      </c>
      <c r="E11078" t="s">
        <v>138</v>
      </c>
      <c r="F11078" t="s">
        <v>4</v>
      </c>
      <c r="G11078" t="str">
        <f>""</f>
        <v/>
      </c>
    </row>
    <row r="11079" spans="1:7" x14ac:dyDescent="0.25">
      <c r="A11079" t="s">
        <v>8</v>
      </c>
      <c r="B11079" s="1" t="str">
        <f>"000018647 - RICHS SWEET DOUGH-SODEXO"</f>
        <v>000018647 - RICHS SWEET DOUGH-SODEXO</v>
      </c>
      <c r="C11079" t="s">
        <v>137</v>
      </c>
      <c r="D11079" s="1" t="str">
        <f t="shared" si="303"/>
        <v>PRG-1035930</v>
      </c>
      <c r="E11079" t="s">
        <v>138</v>
      </c>
      <c r="F11079" t="s">
        <v>4</v>
      </c>
      <c r="G11079" t="str">
        <f>""</f>
        <v/>
      </c>
    </row>
    <row r="11080" spans="1:7" x14ac:dyDescent="0.25">
      <c r="A11080" t="s">
        <v>8</v>
      </c>
      <c r="B11080" s="1" t="str">
        <f>"000018844 - "</f>
        <v xml:space="preserve">000018844 - </v>
      </c>
      <c r="D11080" s="1" t="str">
        <f t="shared" si="303"/>
        <v>PRG-1035930</v>
      </c>
      <c r="E11080" t="s">
        <v>138</v>
      </c>
      <c r="F11080" t="s">
        <v>4</v>
      </c>
      <c r="G11080" t="str">
        <f>""</f>
        <v/>
      </c>
    </row>
    <row r="11081" spans="1:7" x14ac:dyDescent="0.25">
      <c r="A11081" t="s">
        <v>8</v>
      </c>
      <c r="B11081" s="1" t="str">
        <f>"000019245 - RICHS SWEET DOUGH-SODEXO"</f>
        <v>000019245 - RICHS SWEET DOUGH-SODEXO</v>
      </c>
      <c r="C11081" t="s">
        <v>137</v>
      </c>
      <c r="D11081" s="1" t="str">
        <f t="shared" si="303"/>
        <v>PRG-1035930</v>
      </c>
      <c r="E11081" t="s">
        <v>138</v>
      </c>
      <c r="F11081" t="s">
        <v>4</v>
      </c>
      <c r="G11081" t="str">
        <f>""</f>
        <v/>
      </c>
    </row>
    <row r="11082" spans="1:7" x14ac:dyDescent="0.25">
      <c r="A11082" t="s">
        <v>8</v>
      </c>
      <c r="B11082" s="1" t="str">
        <f>"000020121 - "</f>
        <v xml:space="preserve">000020121 - </v>
      </c>
      <c r="D11082" s="1" t="str">
        <f t="shared" si="303"/>
        <v>PRG-1035930</v>
      </c>
      <c r="E11082" t="s">
        <v>138</v>
      </c>
      <c r="F11082" t="s">
        <v>4</v>
      </c>
      <c r="G11082" t="str">
        <f>""</f>
        <v/>
      </c>
    </row>
    <row r="11083" spans="1:7" x14ac:dyDescent="0.25">
      <c r="A11083" t="s">
        <v>8</v>
      </c>
      <c r="B11083" s="1" t="str">
        <f>"000026971 - RICHS SWEET DOUGH-SODEXO"</f>
        <v>000026971 - RICHS SWEET DOUGH-SODEXO</v>
      </c>
      <c r="C11083" t="s">
        <v>137</v>
      </c>
      <c r="D11083" s="1" t="str">
        <f t="shared" si="303"/>
        <v>PRG-1035930</v>
      </c>
      <c r="E11083" t="s">
        <v>138</v>
      </c>
      <c r="F11083" t="s">
        <v>4</v>
      </c>
      <c r="G11083" t="str">
        <f>""</f>
        <v/>
      </c>
    </row>
    <row r="11084" spans="1:7" x14ac:dyDescent="0.25">
      <c r="A11084" t="s">
        <v>8</v>
      </c>
      <c r="B11084" s="1" t="str">
        <f>"000028203 - RICHS SWEET DOUGH-SODEXO"</f>
        <v>000028203 - RICHS SWEET DOUGH-SODEXO</v>
      </c>
      <c r="C11084" t="s">
        <v>137</v>
      </c>
      <c r="D11084" s="1" t="str">
        <f t="shared" si="303"/>
        <v>PRG-1035930</v>
      </c>
      <c r="E11084" t="s">
        <v>138</v>
      </c>
      <c r="F11084" t="s">
        <v>4</v>
      </c>
      <c r="G11084" t="str">
        <f>""</f>
        <v/>
      </c>
    </row>
    <row r="11085" spans="1:7" x14ac:dyDescent="0.25">
      <c r="A11085" t="s">
        <v>8</v>
      </c>
      <c r="B11085" s="1" t="str">
        <f>"000030456 - RICHS SWEET DOUGH-SODEXO"</f>
        <v>000030456 - RICHS SWEET DOUGH-SODEXO</v>
      </c>
      <c r="C11085" t="s">
        <v>137</v>
      </c>
      <c r="D11085" s="1" t="str">
        <f t="shared" si="303"/>
        <v>PRG-1035930</v>
      </c>
      <c r="E11085" t="s">
        <v>138</v>
      </c>
      <c r="F11085" t="s">
        <v>4</v>
      </c>
      <c r="G11085" t="str">
        <f>""</f>
        <v/>
      </c>
    </row>
    <row r="11086" spans="1:7" x14ac:dyDescent="0.25">
      <c r="A11086" t="s">
        <v>8</v>
      </c>
      <c r="B11086" s="1" t="str">
        <f>"000062607 - RICHS SWEET DOUGH-SODEXO"</f>
        <v>000062607 - RICHS SWEET DOUGH-SODEXO</v>
      </c>
      <c r="C11086" t="s">
        <v>137</v>
      </c>
      <c r="D11086" s="1" t="str">
        <f t="shared" si="303"/>
        <v>PRG-1035930</v>
      </c>
      <c r="E11086" t="s">
        <v>138</v>
      </c>
      <c r="F11086" t="s">
        <v>4</v>
      </c>
      <c r="G11086" t="str">
        <f>""</f>
        <v/>
      </c>
    </row>
    <row r="11087" spans="1:7" x14ac:dyDescent="0.25">
      <c r="A11087" t="s">
        <v>8</v>
      </c>
      <c r="B11087" s="1" t="str">
        <f>"000063731 - RICHS SWEET DOUGH-SODEXO"</f>
        <v>000063731 - RICHS SWEET DOUGH-SODEXO</v>
      </c>
      <c r="C11087" t="s">
        <v>137</v>
      </c>
      <c r="D11087" s="1" t="str">
        <f t="shared" si="303"/>
        <v>PRG-1035930</v>
      </c>
      <c r="E11087" t="s">
        <v>138</v>
      </c>
      <c r="F11087" t="s">
        <v>4</v>
      </c>
      <c r="G11087" t="str">
        <f>""</f>
        <v/>
      </c>
    </row>
    <row r="11088" spans="1:7" x14ac:dyDescent="0.25">
      <c r="A11088" t="s">
        <v>8</v>
      </c>
      <c r="B11088" s="1" t="str">
        <f>"000067456 - RICHS SWEET DOUGH-SODEXO"</f>
        <v>000067456 - RICHS SWEET DOUGH-SODEXO</v>
      </c>
      <c r="C11088" t="s">
        <v>137</v>
      </c>
      <c r="D11088" s="1" t="str">
        <f t="shared" si="303"/>
        <v>PRG-1035930</v>
      </c>
      <c r="E11088" t="s">
        <v>138</v>
      </c>
      <c r="F11088" t="s">
        <v>4</v>
      </c>
      <c r="G11088" t="str">
        <f>""</f>
        <v/>
      </c>
    </row>
    <row r="11089" spans="1:7" x14ac:dyDescent="0.25">
      <c r="A11089" t="s">
        <v>8</v>
      </c>
      <c r="B11089" s="1" t="str">
        <f>"000068198 - RICHS SWEET DOUGH-SODEXO"</f>
        <v>000068198 - RICHS SWEET DOUGH-SODEXO</v>
      </c>
      <c r="C11089" t="s">
        <v>137</v>
      </c>
      <c r="D11089" s="1" t="str">
        <f t="shared" si="303"/>
        <v>PRG-1035930</v>
      </c>
      <c r="E11089" t="s">
        <v>138</v>
      </c>
      <c r="F11089" t="s">
        <v>4</v>
      </c>
      <c r="G11089" t="str">
        <f>""</f>
        <v/>
      </c>
    </row>
    <row r="11090" spans="1:7" x14ac:dyDescent="0.25">
      <c r="A11090" t="s">
        <v>8</v>
      </c>
      <c r="B11090" s="1" t="str">
        <f>"000069118 - RICHS SWEET DOUGH-SODEXO"</f>
        <v>000069118 - RICHS SWEET DOUGH-SODEXO</v>
      </c>
      <c r="C11090" t="s">
        <v>137</v>
      </c>
      <c r="D11090" s="1" t="str">
        <f t="shared" si="303"/>
        <v>PRG-1035930</v>
      </c>
      <c r="E11090" t="s">
        <v>138</v>
      </c>
      <c r="F11090" t="s">
        <v>4</v>
      </c>
      <c r="G11090" t="str">
        <f>""</f>
        <v/>
      </c>
    </row>
    <row r="11091" spans="1:7" x14ac:dyDescent="0.25">
      <c r="A11091" t="s">
        <v>8</v>
      </c>
      <c r="B11091" s="1" t="str">
        <f>"000070020 - RICHS SWEET DOUGH-SODEXO"</f>
        <v>000070020 - RICHS SWEET DOUGH-SODEXO</v>
      </c>
      <c r="C11091" t="s">
        <v>137</v>
      </c>
      <c r="D11091" s="1" t="str">
        <f t="shared" si="303"/>
        <v>PRG-1035930</v>
      </c>
      <c r="E11091" t="s">
        <v>138</v>
      </c>
      <c r="F11091" t="s">
        <v>4</v>
      </c>
      <c r="G11091" t="str">
        <f>""</f>
        <v/>
      </c>
    </row>
    <row r="11092" spans="1:7" x14ac:dyDescent="0.25">
      <c r="A11092" t="s">
        <v>8</v>
      </c>
      <c r="B11092" s="1" t="str">
        <f>"000070217 - RICHS SWEET DOUGH-SODEXO"</f>
        <v>000070217 - RICHS SWEET DOUGH-SODEXO</v>
      </c>
      <c r="C11092" t="s">
        <v>137</v>
      </c>
      <c r="D11092" s="1" t="str">
        <f t="shared" si="303"/>
        <v>PRG-1035930</v>
      </c>
      <c r="E11092" t="s">
        <v>138</v>
      </c>
      <c r="F11092" t="s">
        <v>4</v>
      </c>
      <c r="G11092" t="str">
        <f>""</f>
        <v/>
      </c>
    </row>
    <row r="11093" spans="1:7" x14ac:dyDescent="0.25">
      <c r="A11093" t="s">
        <v>8</v>
      </c>
      <c r="B11093" s="1" t="str">
        <f>"000071679 - RICHS SWEET DOUGH-SODEXO"</f>
        <v>000071679 - RICHS SWEET DOUGH-SODEXO</v>
      </c>
      <c r="C11093" t="s">
        <v>137</v>
      </c>
      <c r="D11093" s="1" t="str">
        <f t="shared" si="303"/>
        <v>PRG-1035930</v>
      </c>
      <c r="E11093" t="s">
        <v>138</v>
      </c>
      <c r="F11093" t="s">
        <v>4</v>
      </c>
      <c r="G11093" t="str">
        <f>""</f>
        <v/>
      </c>
    </row>
    <row r="11094" spans="1:7" x14ac:dyDescent="0.25">
      <c r="A11094" t="s">
        <v>8</v>
      </c>
      <c r="B11094" s="1" t="str">
        <f>"000078645 - RICHS SWEET DOUGH-SODEXO"</f>
        <v>000078645 - RICHS SWEET DOUGH-SODEXO</v>
      </c>
      <c r="C11094" t="s">
        <v>137</v>
      </c>
      <c r="D11094" s="1" t="str">
        <f t="shared" si="303"/>
        <v>PRG-1035930</v>
      </c>
      <c r="E11094" t="s">
        <v>138</v>
      </c>
      <c r="F11094" t="s">
        <v>4</v>
      </c>
      <c r="G11094" t="str">
        <f>""</f>
        <v/>
      </c>
    </row>
    <row r="11095" spans="1:7" x14ac:dyDescent="0.25">
      <c r="A11095" t="s">
        <v>8</v>
      </c>
      <c r="B11095" s="1" t="str">
        <f>"000085092 - RICHS SWEET DOUGH-SODEXO"</f>
        <v>000085092 - RICHS SWEET DOUGH-SODEXO</v>
      </c>
      <c r="C11095" t="s">
        <v>137</v>
      </c>
      <c r="D11095" s="1" t="str">
        <f t="shared" si="303"/>
        <v>PRG-1035930</v>
      </c>
      <c r="E11095" t="s">
        <v>138</v>
      </c>
      <c r="F11095" t="s">
        <v>4</v>
      </c>
      <c r="G11095" t="str">
        <f>""</f>
        <v/>
      </c>
    </row>
    <row r="11096" spans="1:7" x14ac:dyDescent="0.25">
      <c r="A11096" t="s">
        <v>8</v>
      </c>
      <c r="B11096" s="1" t="str">
        <f>"000133138 - RICHS SWEET DOUGH BB-SODEXO"</f>
        <v>000133138 - RICHS SWEET DOUGH BB-SODEXO</v>
      </c>
      <c r="C11096" t="s">
        <v>161</v>
      </c>
      <c r="D11096" s="1" t="str">
        <f t="shared" si="303"/>
        <v>PRG-1035930</v>
      </c>
      <c r="E11096" t="s">
        <v>138</v>
      </c>
      <c r="F11096" t="s">
        <v>4</v>
      </c>
      <c r="G11096" t="str">
        <f>""</f>
        <v/>
      </c>
    </row>
    <row r="11097" spans="1:7" x14ac:dyDescent="0.25">
      <c r="A11097" t="s">
        <v>8</v>
      </c>
      <c r="B11097" s="1" t="str">
        <f>"000134751 - RICHS SWEET DOUGH-SODEXO"</f>
        <v>000134751 - RICHS SWEET DOUGH-SODEXO</v>
      </c>
      <c r="C11097" t="s">
        <v>137</v>
      </c>
      <c r="D11097" s="1" t="str">
        <f t="shared" si="303"/>
        <v>PRG-1035930</v>
      </c>
      <c r="E11097" t="s">
        <v>138</v>
      </c>
      <c r="F11097" t="s">
        <v>4</v>
      </c>
      <c r="G11097" t="str">
        <f>""</f>
        <v/>
      </c>
    </row>
    <row r="11098" spans="1:7" x14ac:dyDescent="0.25">
      <c r="A11098" t="s">
        <v>8</v>
      </c>
      <c r="B11098" s="1" t="str">
        <f>"000136283 - RICHS SWEET DOUGH BB-SODEXO"</f>
        <v>000136283 - RICHS SWEET DOUGH BB-SODEXO</v>
      </c>
      <c r="C11098" t="s">
        <v>161</v>
      </c>
      <c r="D11098" s="1" t="str">
        <f t="shared" si="303"/>
        <v>PRG-1035930</v>
      </c>
      <c r="E11098" t="s">
        <v>138</v>
      </c>
      <c r="F11098" t="s">
        <v>4</v>
      </c>
      <c r="G11098" t="str">
        <f>""</f>
        <v/>
      </c>
    </row>
    <row r="11099" spans="1:7" x14ac:dyDescent="0.25">
      <c r="A11099" t="s">
        <v>8</v>
      </c>
      <c r="B11099" s="1" t="str">
        <f>"000137612 - RICHS SWEET DOUGH-SODEXO"</f>
        <v>000137612 - RICHS SWEET DOUGH-SODEXO</v>
      </c>
      <c r="C11099" t="s">
        <v>137</v>
      </c>
      <c r="D11099" s="1" t="str">
        <f t="shared" si="303"/>
        <v>PRG-1035930</v>
      </c>
      <c r="E11099" t="s">
        <v>138</v>
      </c>
      <c r="F11099" t="s">
        <v>4</v>
      </c>
      <c r="G11099" t="str">
        <f>""</f>
        <v/>
      </c>
    </row>
    <row r="11100" spans="1:7" x14ac:dyDescent="0.25">
      <c r="A11100" t="s">
        <v>8</v>
      </c>
      <c r="B11100" s="1" t="str">
        <f>"000140568 - RICHS SWEET DOUGH-SODEXO"</f>
        <v>000140568 - RICHS SWEET DOUGH-SODEXO</v>
      </c>
      <c r="C11100" t="s">
        <v>137</v>
      </c>
      <c r="D11100" s="1" t="str">
        <f t="shared" si="303"/>
        <v>PRG-1035930</v>
      </c>
      <c r="E11100" t="s">
        <v>138</v>
      </c>
      <c r="F11100" t="s">
        <v>4</v>
      </c>
      <c r="G11100" t="str">
        <f>""</f>
        <v/>
      </c>
    </row>
    <row r="11101" spans="1:7" x14ac:dyDescent="0.25">
      <c r="A11101" t="s">
        <v>8</v>
      </c>
      <c r="B11101" s="1" t="str">
        <f>"000142173 - RICHS SWEET DOUGH-SODEXO"</f>
        <v>000142173 - RICHS SWEET DOUGH-SODEXO</v>
      </c>
      <c r="C11101" t="s">
        <v>137</v>
      </c>
      <c r="D11101" s="1" t="str">
        <f t="shared" si="303"/>
        <v>PRG-1035930</v>
      </c>
      <c r="E11101" t="s">
        <v>138</v>
      </c>
      <c r="F11101" t="s">
        <v>4</v>
      </c>
      <c r="G11101" t="str">
        <f>""</f>
        <v/>
      </c>
    </row>
    <row r="11102" spans="1:7" x14ac:dyDescent="0.25">
      <c r="A11102" t="s">
        <v>8</v>
      </c>
      <c r="B11102" s="1" t="str">
        <f>"000142803 - RICHS SWEET DOUGH-SODEXO"</f>
        <v>000142803 - RICHS SWEET DOUGH-SODEXO</v>
      </c>
      <c r="C11102" t="s">
        <v>137</v>
      </c>
      <c r="D11102" s="1" t="str">
        <f t="shared" si="303"/>
        <v>PRG-1035930</v>
      </c>
      <c r="E11102" t="s">
        <v>138</v>
      </c>
      <c r="F11102" t="s">
        <v>4</v>
      </c>
      <c r="G11102" t="str">
        <f>""</f>
        <v/>
      </c>
    </row>
    <row r="11103" spans="1:7" x14ac:dyDescent="0.25">
      <c r="A11103" t="s">
        <v>8</v>
      </c>
      <c r="B11103" s="1" t="str">
        <f>"000144011 - RICH FOODS NON RETAIL-COLDSTNE"</f>
        <v>000144011 - RICH FOODS NON RETAIL-COLDSTNE</v>
      </c>
      <c r="C11103" t="s">
        <v>903</v>
      </c>
      <c r="D11103" s="1" t="str">
        <f t="shared" si="303"/>
        <v>PRG-1035930</v>
      </c>
      <c r="E11103" t="s">
        <v>138</v>
      </c>
      <c r="F11103" t="s">
        <v>4</v>
      </c>
      <c r="G11103" t="str">
        <f>""</f>
        <v/>
      </c>
    </row>
    <row r="11104" spans="1:7" x14ac:dyDescent="0.25">
      <c r="A11104" t="s">
        <v>8</v>
      </c>
      <c r="B11104" s="1" t="str">
        <f>"000154549 - RICHS SWEET DOUGH BB-SODEXO"</f>
        <v>000154549 - RICHS SWEET DOUGH BB-SODEXO</v>
      </c>
      <c r="C11104" t="s">
        <v>161</v>
      </c>
      <c r="D11104" s="1" t="str">
        <f t="shared" si="303"/>
        <v>PRG-1035930</v>
      </c>
      <c r="E11104" t="s">
        <v>138</v>
      </c>
      <c r="F11104" t="s">
        <v>4</v>
      </c>
      <c r="G11104" t="str">
        <f>""</f>
        <v/>
      </c>
    </row>
    <row r="11105" spans="1:7" x14ac:dyDescent="0.25">
      <c r="A11105" t="s">
        <v>8</v>
      </c>
      <c r="B11105" s="1" t="str">
        <f>"000156039 - RICHS SWEET DOUGH-SODEXO"</f>
        <v>000156039 - RICHS SWEET DOUGH-SODEXO</v>
      </c>
      <c r="C11105" t="s">
        <v>137</v>
      </c>
      <c r="D11105" s="1" t="str">
        <f t="shared" si="303"/>
        <v>PRG-1035930</v>
      </c>
      <c r="E11105" t="s">
        <v>138</v>
      </c>
      <c r="F11105" t="s">
        <v>4</v>
      </c>
      <c r="G11105" t="str">
        <f>""</f>
        <v/>
      </c>
    </row>
    <row r="11106" spans="1:7" x14ac:dyDescent="0.25">
      <c r="A11106" t="s">
        <v>8</v>
      </c>
      <c r="B11106" s="1" t="str">
        <f>"000157182 - "</f>
        <v xml:space="preserve">000157182 - </v>
      </c>
      <c r="D11106" s="1" t="str">
        <f t="shared" si="303"/>
        <v>PRG-1035930</v>
      </c>
      <c r="E11106" t="s">
        <v>138</v>
      </c>
      <c r="F11106" t="s">
        <v>4</v>
      </c>
      <c r="G11106" t="str">
        <f>""</f>
        <v/>
      </c>
    </row>
    <row r="11107" spans="1:7" x14ac:dyDescent="0.25">
      <c r="A11107" t="s">
        <v>8</v>
      </c>
      <c r="B11107" s="1" t="str">
        <f>"000158544 - "</f>
        <v xml:space="preserve">000158544 - </v>
      </c>
      <c r="D11107" s="1" t="str">
        <f t="shared" si="303"/>
        <v>PRG-1035930</v>
      </c>
      <c r="E11107" t="s">
        <v>138</v>
      </c>
      <c r="F11107" t="s">
        <v>4</v>
      </c>
      <c r="G11107" t="str">
        <f>""</f>
        <v/>
      </c>
    </row>
    <row r="11108" spans="1:7" x14ac:dyDescent="0.25">
      <c r="A11108" t="s">
        <v>8</v>
      </c>
      <c r="B11108" s="1" t="str">
        <f>"000161917 - RICHS SWEET DOUGH-SODEXO"</f>
        <v>000161917 - RICHS SWEET DOUGH-SODEXO</v>
      </c>
      <c r="C11108" t="s">
        <v>137</v>
      </c>
      <c r="D11108" s="1" t="str">
        <f t="shared" si="303"/>
        <v>PRG-1035930</v>
      </c>
      <c r="E11108" t="s">
        <v>138</v>
      </c>
      <c r="F11108" t="s">
        <v>4</v>
      </c>
      <c r="G11108" t="str">
        <f>""</f>
        <v/>
      </c>
    </row>
    <row r="11109" spans="1:7" x14ac:dyDescent="0.25">
      <c r="A11109" t="s">
        <v>8</v>
      </c>
      <c r="B11109" s="1" t="str">
        <f>"000162690 - RICHS SWEET DOUGH BB-SODEXO"</f>
        <v>000162690 - RICHS SWEET DOUGH BB-SODEXO</v>
      </c>
      <c r="C11109" t="s">
        <v>161</v>
      </c>
      <c r="D11109" s="1" t="str">
        <f t="shared" si="303"/>
        <v>PRG-1035930</v>
      </c>
      <c r="E11109" t="s">
        <v>138</v>
      </c>
      <c r="F11109" t="s">
        <v>4</v>
      </c>
      <c r="G11109" t="str">
        <f>""</f>
        <v/>
      </c>
    </row>
    <row r="11110" spans="1:7" x14ac:dyDescent="0.25">
      <c r="A11110" t="s">
        <v>8</v>
      </c>
      <c r="B11110" s="1" t="str">
        <f>"000163925 - "</f>
        <v xml:space="preserve">000163925 - </v>
      </c>
      <c r="D11110" s="1" t="str">
        <f t="shared" si="303"/>
        <v>PRG-1035930</v>
      </c>
      <c r="E11110" t="s">
        <v>138</v>
      </c>
      <c r="F11110" t="s">
        <v>4</v>
      </c>
      <c r="G11110" t="str">
        <f>""</f>
        <v/>
      </c>
    </row>
    <row r="11111" spans="1:7" x14ac:dyDescent="0.25">
      <c r="A11111" t="s">
        <v>8</v>
      </c>
      <c r="B11111" s="1" t="str">
        <f>"000164282 - RICHS SWEET DOUGH-SODEXO"</f>
        <v>000164282 - RICHS SWEET DOUGH-SODEXO</v>
      </c>
      <c r="C11111" t="s">
        <v>137</v>
      </c>
      <c r="D11111" s="1" t="str">
        <f t="shared" si="303"/>
        <v>PRG-1035930</v>
      </c>
      <c r="E11111" t="s">
        <v>138</v>
      </c>
      <c r="F11111" t="s">
        <v>4</v>
      </c>
      <c r="G11111" t="str">
        <f>""</f>
        <v/>
      </c>
    </row>
    <row r="11112" spans="1:7" x14ac:dyDescent="0.25">
      <c r="A11112" t="s">
        <v>8</v>
      </c>
      <c r="B11112" s="1" t="str">
        <f>"000169578 - RICHS SWEET DOUGH-SODEXO"</f>
        <v>000169578 - RICHS SWEET DOUGH-SODEXO</v>
      </c>
      <c r="C11112" t="s">
        <v>137</v>
      </c>
      <c r="D11112" s="1" t="str">
        <f t="shared" si="303"/>
        <v>PRG-1035930</v>
      </c>
      <c r="E11112" t="s">
        <v>138</v>
      </c>
      <c r="F11112" t="s">
        <v>4</v>
      </c>
      <c r="G11112" t="str">
        <f>""</f>
        <v/>
      </c>
    </row>
    <row r="11113" spans="1:7" x14ac:dyDescent="0.25">
      <c r="A11113" t="s">
        <v>8</v>
      </c>
      <c r="B11113" s="1" t="str">
        <f>"000170420 - RICHS SWEET DOUGH-SODEXO"</f>
        <v>000170420 - RICHS SWEET DOUGH-SODEXO</v>
      </c>
      <c r="C11113" t="s">
        <v>137</v>
      </c>
      <c r="D11113" s="1" t="str">
        <f t="shared" si="303"/>
        <v>PRG-1035930</v>
      </c>
      <c r="E11113" t="s">
        <v>138</v>
      </c>
      <c r="F11113" t="s">
        <v>4</v>
      </c>
      <c r="G11113" t="str">
        <f>""</f>
        <v/>
      </c>
    </row>
    <row r="11114" spans="1:7" x14ac:dyDescent="0.25">
      <c r="A11114" t="s">
        <v>8</v>
      </c>
      <c r="B11114" s="1" t="str">
        <f>"000182498 - "</f>
        <v xml:space="preserve">000182498 - </v>
      </c>
      <c r="D11114" s="1" t="str">
        <f t="shared" si="303"/>
        <v>PRG-1035930</v>
      </c>
      <c r="E11114" t="s">
        <v>138</v>
      </c>
      <c r="F11114" t="s">
        <v>4</v>
      </c>
      <c r="G11114" t="str">
        <f>""</f>
        <v/>
      </c>
    </row>
    <row r="11115" spans="1:7" x14ac:dyDescent="0.25">
      <c r="A11115" t="s">
        <v>8</v>
      </c>
      <c r="B11115" s="1" t="str">
        <f>"000204870 - RICHS SWEET DOUGH-SODEXO"</f>
        <v>000204870 - RICHS SWEET DOUGH-SODEXO</v>
      </c>
      <c r="C11115" t="s">
        <v>137</v>
      </c>
      <c r="D11115" s="1" t="str">
        <f t="shared" si="303"/>
        <v>PRG-1035930</v>
      </c>
      <c r="E11115" t="s">
        <v>138</v>
      </c>
      <c r="F11115" t="s">
        <v>4</v>
      </c>
      <c r="G11115" t="str">
        <f>""</f>
        <v/>
      </c>
    </row>
    <row r="11116" spans="1:7" x14ac:dyDescent="0.25">
      <c r="A11116" t="s">
        <v>8</v>
      </c>
      <c r="B11116" s="1" t="str">
        <f>"000222812 - RICHS SWEET DOUGH BB-SODEXO"</f>
        <v>000222812 - RICHS SWEET DOUGH BB-SODEXO</v>
      </c>
      <c r="C11116" t="s">
        <v>161</v>
      </c>
      <c r="D11116" s="1" t="str">
        <f t="shared" si="303"/>
        <v>PRG-1035930</v>
      </c>
      <c r="E11116" t="s">
        <v>138</v>
      </c>
      <c r="F11116" t="s">
        <v>4</v>
      </c>
      <c r="G11116" t="str">
        <f>""</f>
        <v/>
      </c>
    </row>
    <row r="11117" spans="1:7" x14ac:dyDescent="0.25">
      <c r="A11117" t="s">
        <v>8</v>
      </c>
      <c r="B11117" s="1" t="str">
        <f>"000224667 - RICHS SWEET DOUGH-SODEXO"</f>
        <v>000224667 - RICHS SWEET DOUGH-SODEXO</v>
      </c>
      <c r="C11117" t="s">
        <v>137</v>
      </c>
      <c r="D11117" s="1" t="str">
        <f t="shared" si="303"/>
        <v>PRG-1035930</v>
      </c>
      <c r="E11117" t="s">
        <v>138</v>
      </c>
      <c r="F11117" t="s">
        <v>4</v>
      </c>
      <c r="G11117" t="str">
        <f>""</f>
        <v/>
      </c>
    </row>
    <row r="11118" spans="1:7" x14ac:dyDescent="0.25">
      <c r="A11118" t="s">
        <v>8</v>
      </c>
      <c r="B11118" s="1" t="str">
        <f>"000227824 - RICHS SWEET DOUGH BB-SODEXO"</f>
        <v>000227824 - RICHS SWEET DOUGH BB-SODEXO</v>
      </c>
      <c r="C11118" t="s">
        <v>161</v>
      </c>
      <c r="D11118" s="1" t="str">
        <f t="shared" si="303"/>
        <v>PRG-1035930</v>
      </c>
      <c r="E11118" t="s">
        <v>138</v>
      </c>
      <c r="F11118" t="s">
        <v>4</v>
      </c>
      <c r="G11118" t="str">
        <f>""</f>
        <v/>
      </c>
    </row>
    <row r="11119" spans="1:7" x14ac:dyDescent="0.25">
      <c r="A11119" t="s">
        <v>8</v>
      </c>
      <c r="B11119" s="1" t="str">
        <f>"000229710 - RICHS SWEET DOUGH-SODEXO"</f>
        <v>000229710 - RICHS SWEET DOUGH-SODEXO</v>
      </c>
      <c r="C11119" t="s">
        <v>137</v>
      </c>
      <c r="D11119" s="1" t="str">
        <f t="shared" si="303"/>
        <v>PRG-1035930</v>
      </c>
      <c r="E11119" t="s">
        <v>138</v>
      </c>
      <c r="F11119" t="s">
        <v>4</v>
      </c>
      <c r="G11119" t="str">
        <f>""</f>
        <v/>
      </c>
    </row>
    <row r="11120" spans="1:7" x14ac:dyDescent="0.25">
      <c r="A11120" t="s">
        <v>8</v>
      </c>
      <c r="B11120" s="1" t="str">
        <f>"000230854 - RICHS SWEET DOUGH-SODEXO"</f>
        <v>000230854 - RICHS SWEET DOUGH-SODEXO</v>
      </c>
      <c r="C11120" t="s">
        <v>137</v>
      </c>
      <c r="D11120" s="1" t="str">
        <f t="shared" si="303"/>
        <v>PRG-1035930</v>
      </c>
      <c r="E11120" t="s">
        <v>138</v>
      </c>
      <c r="F11120" t="s">
        <v>4</v>
      </c>
      <c r="G11120" t="str">
        <f>""</f>
        <v/>
      </c>
    </row>
    <row r="11121" spans="1:7" x14ac:dyDescent="0.25">
      <c r="A11121" t="s">
        <v>8</v>
      </c>
      <c r="B11121" s="1" t="str">
        <f>"000231846 - RICHS SWEET DOUGH-SODEXO"</f>
        <v>000231846 - RICHS SWEET DOUGH-SODEXO</v>
      </c>
      <c r="C11121" t="s">
        <v>137</v>
      </c>
      <c r="D11121" s="1" t="str">
        <f t="shared" si="303"/>
        <v>PRG-1035930</v>
      </c>
      <c r="E11121" t="s">
        <v>138</v>
      </c>
      <c r="F11121" t="s">
        <v>4</v>
      </c>
      <c r="G11121" t="str">
        <f>""</f>
        <v/>
      </c>
    </row>
    <row r="11122" spans="1:7" x14ac:dyDescent="0.25">
      <c r="A11122" t="s">
        <v>8</v>
      </c>
      <c r="B11122" s="1" t="str">
        <f>"000231966 - RICHS SWEET DOUGH-SODEXO"</f>
        <v>000231966 - RICHS SWEET DOUGH-SODEXO</v>
      </c>
      <c r="C11122" t="s">
        <v>137</v>
      </c>
      <c r="D11122" s="1" t="str">
        <f t="shared" si="303"/>
        <v>PRG-1035930</v>
      </c>
      <c r="E11122" t="s">
        <v>138</v>
      </c>
      <c r="F11122" t="s">
        <v>4</v>
      </c>
      <c r="G11122" t="str">
        <f>""</f>
        <v/>
      </c>
    </row>
    <row r="11123" spans="1:7" x14ac:dyDescent="0.25">
      <c r="A11123" t="s">
        <v>8</v>
      </c>
      <c r="B11123" s="1" t="str">
        <f>"000236528 - RICHS SWEET DOUGH-SODEXO"</f>
        <v>000236528 - RICHS SWEET DOUGH-SODEXO</v>
      </c>
      <c r="C11123" t="s">
        <v>137</v>
      </c>
      <c r="D11123" s="1" t="str">
        <f t="shared" si="303"/>
        <v>PRG-1035930</v>
      </c>
      <c r="E11123" t="s">
        <v>138</v>
      </c>
      <c r="F11123" t="s">
        <v>4</v>
      </c>
      <c r="G11123" t="str">
        <f>""</f>
        <v/>
      </c>
    </row>
    <row r="11124" spans="1:7" x14ac:dyDescent="0.25">
      <c r="A11124" t="s">
        <v>8</v>
      </c>
      <c r="B11124" s="1" t="str">
        <f>"000237878 - RICHS SWEET DOUGH BB-SODEXO"</f>
        <v>000237878 - RICHS SWEET DOUGH BB-SODEXO</v>
      </c>
      <c r="C11124" t="s">
        <v>161</v>
      </c>
      <c r="D11124" s="1" t="str">
        <f t="shared" si="303"/>
        <v>PRG-1035930</v>
      </c>
      <c r="E11124" t="s">
        <v>138</v>
      </c>
      <c r="F11124" t="s">
        <v>4</v>
      </c>
      <c r="G11124" t="str">
        <f>""</f>
        <v/>
      </c>
    </row>
    <row r="11125" spans="1:7" x14ac:dyDescent="0.25">
      <c r="A11125" t="s">
        <v>8</v>
      </c>
      <c r="B11125" s="1" t="str">
        <f>"000239264 - RICHS SWEET DOUGH-SODEXO"</f>
        <v>000239264 - RICHS SWEET DOUGH-SODEXO</v>
      </c>
      <c r="C11125" t="s">
        <v>137</v>
      </c>
      <c r="D11125" s="1" t="str">
        <f t="shared" si="303"/>
        <v>PRG-1035930</v>
      </c>
      <c r="E11125" t="s">
        <v>138</v>
      </c>
      <c r="F11125" t="s">
        <v>4</v>
      </c>
      <c r="G11125" t="str">
        <f>""</f>
        <v/>
      </c>
    </row>
    <row r="11126" spans="1:7" x14ac:dyDescent="0.25">
      <c r="A11126" t="s">
        <v>8</v>
      </c>
      <c r="B11126" s="1" t="str">
        <f>"000239537 - RICHS SWEET DOUGH-SODEXO"</f>
        <v>000239537 - RICHS SWEET DOUGH-SODEXO</v>
      </c>
      <c r="C11126" t="s">
        <v>137</v>
      </c>
      <c r="D11126" s="1" t="str">
        <f t="shared" si="303"/>
        <v>PRG-1035930</v>
      </c>
      <c r="E11126" t="s">
        <v>138</v>
      </c>
      <c r="F11126" t="s">
        <v>4</v>
      </c>
      <c r="G11126" t="str">
        <f>""</f>
        <v/>
      </c>
    </row>
    <row r="11127" spans="1:7" x14ac:dyDescent="0.25">
      <c r="A11127" t="s">
        <v>8</v>
      </c>
      <c r="B11127" s="1" t="str">
        <f>"000243858 - RICHS SWEET DOUGH-SODEXO"</f>
        <v>000243858 - RICHS SWEET DOUGH-SODEXO</v>
      </c>
      <c r="C11127" t="s">
        <v>137</v>
      </c>
      <c r="D11127" s="1" t="str">
        <f t="shared" ref="D11127:D11190" si="304">"PRG-1035930"</f>
        <v>PRG-1035930</v>
      </c>
      <c r="E11127" t="s">
        <v>138</v>
      </c>
      <c r="F11127" t="s">
        <v>4</v>
      </c>
      <c r="G11127" t="str">
        <f>""</f>
        <v/>
      </c>
    </row>
    <row r="11128" spans="1:7" x14ac:dyDescent="0.25">
      <c r="A11128" t="s">
        <v>8</v>
      </c>
      <c r="B11128" s="1" t="str">
        <f>"000244508 - RICHS SWEET DOUGH-SODEXO"</f>
        <v>000244508 - RICHS SWEET DOUGH-SODEXO</v>
      </c>
      <c r="C11128" t="s">
        <v>137</v>
      </c>
      <c r="D11128" s="1" t="str">
        <f t="shared" si="304"/>
        <v>PRG-1035930</v>
      </c>
      <c r="E11128" t="s">
        <v>138</v>
      </c>
      <c r="F11128" t="s">
        <v>4</v>
      </c>
      <c r="G11128" t="str">
        <f>""</f>
        <v/>
      </c>
    </row>
    <row r="11129" spans="1:7" x14ac:dyDescent="0.25">
      <c r="A11129" t="s">
        <v>8</v>
      </c>
      <c r="B11129" s="1" t="str">
        <f>"000245170 - RICH FDS CORE BB-MAIN ARAMARK"</f>
        <v>000245170 - RICH FDS CORE BB-MAIN ARAMARK</v>
      </c>
      <c r="C11129" t="s">
        <v>196</v>
      </c>
      <c r="D11129" s="1" t="str">
        <f t="shared" si="304"/>
        <v>PRG-1035930</v>
      </c>
      <c r="E11129" t="s">
        <v>138</v>
      </c>
      <c r="F11129" t="s">
        <v>4</v>
      </c>
      <c r="G11129" t="str">
        <f>""</f>
        <v/>
      </c>
    </row>
    <row r="11130" spans="1:7" x14ac:dyDescent="0.25">
      <c r="A11130" t="s">
        <v>8</v>
      </c>
      <c r="B11130" s="1" t="str">
        <f>"000248265 - RICHS SWEET DOUGH BB-SODEXO"</f>
        <v>000248265 - RICHS SWEET DOUGH BB-SODEXO</v>
      </c>
      <c r="C11130" t="s">
        <v>161</v>
      </c>
      <c r="D11130" s="1" t="str">
        <f t="shared" si="304"/>
        <v>PRG-1035930</v>
      </c>
      <c r="E11130" t="s">
        <v>138</v>
      </c>
      <c r="F11130" t="s">
        <v>4</v>
      </c>
      <c r="G11130" t="str">
        <f>""</f>
        <v/>
      </c>
    </row>
    <row r="11131" spans="1:7" x14ac:dyDescent="0.25">
      <c r="A11131" t="s">
        <v>8</v>
      </c>
      <c r="B11131" s="1" t="str">
        <f>"000248549 - BB SODEXO FOB RICH DOUGH"</f>
        <v>000248549 - BB SODEXO FOB RICH DOUGH</v>
      </c>
      <c r="C11131" t="s">
        <v>2046</v>
      </c>
      <c r="D11131" s="1" t="str">
        <f t="shared" si="304"/>
        <v>PRG-1035930</v>
      </c>
      <c r="E11131" t="s">
        <v>138</v>
      </c>
      <c r="F11131" t="s">
        <v>4</v>
      </c>
      <c r="G11131" t="str">
        <f>""</f>
        <v/>
      </c>
    </row>
    <row r="11132" spans="1:7" x14ac:dyDescent="0.25">
      <c r="A11132" t="s">
        <v>8</v>
      </c>
      <c r="B11132" s="1" t="str">
        <f>"000249482 - RICHS SWEET DOUGH-SODEXO"</f>
        <v>000249482 - RICHS SWEET DOUGH-SODEXO</v>
      </c>
      <c r="C11132" t="s">
        <v>137</v>
      </c>
      <c r="D11132" s="1" t="str">
        <f t="shared" si="304"/>
        <v>PRG-1035930</v>
      </c>
      <c r="E11132" t="s">
        <v>138</v>
      </c>
      <c r="F11132" t="s">
        <v>4</v>
      </c>
      <c r="G11132" t="str">
        <f>""</f>
        <v/>
      </c>
    </row>
    <row r="11133" spans="1:7" x14ac:dyDescent="0.25">
      <c r="A11133" t="s">
        <v>8</v>
      </c>
      <c r="B11133" s="1" t="str">
        <f>"000251832 - RICHS SWEET DOUGH BB-SODEXO"</f>
        <v>000251832 - RICHS SWEET DOUGH BB-SODEXO</v>
      </c>
      <c r="C11133" t="s">
        <v>161</v>
      </c>
      <c r="D11133" s="1" t="str">
        <f t="shared" si="304"/>
        <v>PRG-1035930</v>
      </c>
      <c r="E11133" t="s">
        <v>138</v>
      </c>
      <c r="F11133" t="s">
        <v>4</v>
      </c>
      <c r="G11133" t="str">
        <f>""</f>
        <v/>
      </c>
    </row>
    <row r="11134" spans="1:7" x14ac:dyDescent="0.25">
      <c r="A11134" t="s">
        <v>8</v>
      </c>
      <c r="B11134" s="1" t="str">
        <f>"000252812 - RICHS SWEET DOUGH BB-SODEXO"</f>
        <v>000252812 - RICHS SWEET DOUGH BB-SODEXO</v>
      </c>
      <c r="C11134" t="s">
        <v>161</v>
      </c>
      <c r="D11134" s="1" t="str">
        <f t="shared" si="304"/>
        <v>PRG-1035930</v>
      </c>
      <c r="E11134" t="s">
        <v>138</v>
      </c>
      <c r="F11134" t="s">
        <v>4</v>
      </c>
      <c r="G11134" t="str">
        <f>""</f>
        <v/>
      </c>
    </row>
    <row r="11135" spans="1:7" x14ac:dyDescent="0.25">
      <c r="A11135" t="s">
        <v>8</v>
      </c>
      <c r="B11135" s="1" t="str">
        <f>"000253334 - RICHS SWEET DOUGH-SODEXO"</f>
        <v>000253334 - RICHS SWEET DOUGH-SODEXO</v>
      </c>
      <c r="C11135" t="s">
        <v>137</v>
      </c>
      <c r="D11135" s="1" t="str">
        <f t="shared" si="304"/>
        <v>PRG-1035930</v>
      </c>
      <c r="E11135" t="s">
        <v>138</v>
      </c>
      <c r="F11135" t="s">
        <v>4</v>
      </c>
      <c r="G11135" t="str">
        <f>""</f>
        <v/>
      </c>
    </row>
    <row r="11136" spans="1:7" x14ac:dyDescent="0.25">
      <c r="A11136" t="s">
        <v>8</v>
      </c>
      <c r="B11136" s="1" t="str">
        <f>"000254247 - RICHS SWEET DOUGH-SODEXO"</f>
        <v>000254247 - RICHS SWEET DOUGH-SODEXO</v>
      </c>
      <c r="C11136" t="s">
        <v>137</v>
      </c>
      <c r="D11136" s="1" t="str">
        <f t="shared" si="304"/>
        <v>PRG-1035930</v>
      </c>
      <c r="E11136" t="s">
        <v>138</v>
      </c>
      <c r="F11136" t="s">
        <v>4</v>
      </c>
      <c r="G11136" t="str">
        <f>""</f>
        <v/>
      </c>
    </row>
    <row r="11137" spans="1:7" x14ac:dyDescent="0.25">
      <c r="A11137" t="s">
        <v>8</v>
      </c>
      <c r="B11137" s="1" t="str">
        <f>"000254286 - RICHS SWEET DOUGH-SODEXO"</f>
        <v>000254286 - RICHS SWEET DOUGH-SODEXO</v>
      </c>
      <c r="C11137" t="s">
        <v>137</v>
      </c>
      <c r="D11137" s="1" t="str">
        <f t="shared" si="304"/>
        <v>PRG-1035930</v>
      </c>
      <c r="E11137" t="s">
        <v>138</v>
      </c>
      <c r="F11137" t="s">
        <v>4</v>
      </c>
      <c r="G11137" t="str">
        <f>""</f>
        <v/>
      </c>
    </row>
    <row r="11138" spans="1:7" x14ac:dyDescent="0.25">
      <c r="A11138" t="s">
        <v>8</v>
      </c>
      <c r="B11138" s="1" t="str">
        <f>"000254462 - RICHS SWEET DOUGH-SODEXO"</f>
        <v>000254462 - RICHS SWEET DOUGH-SODEXO</v>
      </c>
      <c r="C11138" t="s">
        <v>137</v>
      </c>
      <c r="D11138" s="1" t="str">
        <f t="shared" si="304"/>
        <v>PRG-1035930</v>
      </c>
      <c r="E11138" t="s">
        <v>138</v>
      </c>
      <c r="F11138" t="s">
        <v>4</v>
      </c>
      <c r="G11138" t="str">
        <f>""</f>
        <v/>
      </c>
    </row>
    <row r="11139" spans="1:7" x14ac:dyDescent="0.25">
      <c r="A11139" t="s">
        <v>8</v>
      </c>
      <c r="B11139" s="1" t="str">
        <f>"000255153 - BB SODEXO FOB RICHS SWEET DOUG"</f>
        <v>000255153 - BB SODEXO FOB RICHS SWEET DOUG</v>
      </c>
      <c r="C11139" t="s">
        <v>2162</v>
      </c>
      <c r="D11139" s="1" t="str">
        <f t="shared" si="304"/>
        <v>PRG-1035930</v>
      </c>
      <c r="E11139" t="s">
        <v>138</v>
      </c>
      <c r="F11139" t="s">
        <v>4</v>
      </c>
      <c r="G11139" t="str">
        <f>""</f>
        <v/>
      </c>
    </row>
    <row r="11140" spans="1:7" x14ac:dyDescent="0.25">
      <c r="A11140" t="s">
        <v>8</v>
      </c>
      <c r="B11140" s="1" t="str">
        <f>"000255676 - "</f>
        <v xml:space="preserve">000255676 - </v>
      </c>
      <c r="D11140" s="1" t="str">
        <f t="shared" si="304"/>
        <v>PRG-1035930</v>
      </c>
      <c r="E11140" t="s">
        <v>138</v>
      </c>
      <c r="F11140" t="s">
        <v>4</v>
      </c>
      <c r="G11140" t="str">
        <f>""</f>
        <v/>
      </c>
    </row>
    <row r="11141" spans="1:7" x14ac:dyDescent="0.25">
      <c r="A11141" t="s">
        <v>8</v>
      </c>
      <c r="B11141" s="1" t="str">
        <f>"000256332 - BB SODEXO FOB RICHS SW DOUGH"</f>
        <v>000256332 - BB SODEXO FOB RICHS SW DOUGH</v>
      </c>
      <c r="C11141" t="s">
        <v>2179</v>
      </c>
      <c r="D11141" s="1" t="str">
        <f t="shared" si="304"/>
        <v>PRG-1035930</v>
      </c>
      <c r="E11141" t="s">
        <v>138</v>
      </c>
      <c r="F11141" t="s">
        <v>4</v>
      </c>
      <c r="G11141" t="str">
        <f>""</f>
        <v/>
      </c>
    </row>
    <row r="11142" spans="1:7" x14ac:dyDescent="0.25">
      <c r="A11142" t="s">
        <v>8</v>
      </c>
      <c r="B11142" s="1" t="str">
        <f>"000256402 - RICHS SWEET DOUGH-SODEXO"</f>
        <v>000256402 - RICHS SWEET DOUGH-SODEXO</v>
      </c>
      <c r="C11142" t="s">
        <v>137</v>
      </c>
      <c r="D11142" s="1" t="str">
        <f t="shared" si="304"/>
        <v>PRG-1035930</v>
      </c>
      <c r="E11142" t="s">
        <v>138</v>
      </c>
      <c r="F11142" t="s">
        <v>4</v>
      </c>
      <c r="G11142" t="str">
        <f>""</f>
        <v/>
      </c>
    </row>
    <row r="11143" spans="1:7" x14ac:dyDescent="0.25">
      <c r="A11143" t="s">
        <v>8</v>
      </c>
      <c r="B11143" s="1" t="str">
        <f>"000256635 - RICHS SWEET DOUGH BB-SODEXO"</f>
        <v>000256635 - RICHS SWEET DOUGH BB-SODEXO</v>
      </c>
      <c r="C11143" t="s">
        <v>161</v>
      </c>
      <c r="D11143" s="1" t="str">
        <f t="shared" si="304"/>
        <v>PRG-1035930</v>
      </c>
      <c r="E11143" t="s">
        <v>138</v>
      </c>
      <c r="F11143" t="s">
        <v>4</v>
      </c>
      <c r="G11143" t="str">
        <f>""</f>
        <v/>
      </c>
    </row>
    <row r="11144" spans="1:7" x14ac:dyDescent="0.25">
      <c r="A11144" t="s">
        <v>8</v>
      </c>
      <c r="B11144" s="1" t="str">
        <f>"000257362 - "</f>
        <v xml:space="preserve">000257362 - </v>
      </c>
      <c r="D11144" s="1" t="str">
        <f t="shared" si="304"/>
        <v>PRG-1035930</v>
      </c>
      <c r="E11144" t="s">
        <v>138</v>
      </c>
      <c r="F11144" t="s">
        <v>4</v>
      </c>
      <c r="G11144" t="str">
        <f>""</f>
        <v/>
      </c>
    </row>
    <row r="11145" spans="1:7" x14ac:dyDescent="0.25">
      <c r="A11145" t="s">
        <v>8</v>
      </c>
      <c r="B11145" s="1" t="str">
        <f>"000258058 - BB SODEXO FOB DOUGH RICH"</f>
        <v>000258058 - BB SODEXO FOB DOUGH RICH</v>
      </c>
      <c r="C11145" t="s">
        <v>2212</v>
      </c>
      <c r="D11145" s="1" t="str">
        <f t="shared" si="304"/>
        <v>PRG-1035930</v>
      </c>
      <c r="E11145" t="s">
        <v>138</v>
      </c>
      <c r="F11145" t="s">
        <v>4</v>
      </c>
      <c r="G11145" t="str">
        <f>""</f>
        <v/>
      </c>
    </row>
    <row r="11146" spans="1:7" x14ac:dyDescent="0.25">
      <c r="A11146" t="s">
        <v>8</v>
      </c>
      <c r="B11146" s="1" t="str">
        <f>"000258552 - RICHS SWEET DOUGH-SODEXO"</f>
        <v>000258552 - RICHS SWEET DOUGH-SODEXO</v>
      </c>
      <c r="C11146" t="s">
        <v>137</v>
      </c>
      <c r="D11146" s="1" t="str">
        <f t="shared" si="304"/>
        <v>PRG-1035930</v>
      </c>
      <c r="E11146" t="s">
        <v>138</v>
      </c>
      <c r="F11146" t="s">
        <v>4</v>
      </c>
      <c r="G11146" t="str">
        <f>""</f>
        <v/>
      </c>
    </row>
    <row r="11147" spans="1:7" x14ac:dyDescent="0.25">
      <c r="A11147" t="s">
        <v>8</v>
      </c>
      <c r="B11147" s="1" t="str">
        <f>"000258628 - RICHS SWEET DOUGH-SODEXO"</f>
        <v>000258628 - RICHS SWEET DOUGH-SODEXO</v>
      </c>
      <c r="C11147" t="s">
        <v>137</v>
      </c>
      <c r="D11147" s="1" t="str">
        <f t="shared" si="304"/>
        <v>PRG-1035930</v>
      </c>
      <c r="E11147" t="s">
        <v>138</v>
      </c>
      <c r="F11147" t="s">
        <v>4</v>
      </c>
      <c r="G11147" t="str">
        <f>""</f>
        <v/>
      </c>
    </row>
    <row r="11148" spans="1:7" x14ac:dyDescent="0.25">
      <c r="A11148" t="s">
        <v>8</v>
      </c>
      <c r="B11148" s="1" t="str">
        <f>"000259426 - RICHS SWEET DOUGH BB-SODEXO"</f>
        <v>000259426 - RICHS SWEET DOUGH BB-SODEXO</v>
      </c>
      <c r="C11148" t="s">
        <v>161</v>
      </c>
      <c r="D11148" s="1" t="str">
        <f t="shared" si="304"/>
        <v>PRG-1035930</v>
      </c>
      <c r="E11148" t="s">
        <v>138</v>
      </c>
      <c r="F11148" t="s">
        <v>4</v>
      </c>
      <c r="G11148" t="str">
        <f>""</f>
        <v/>
      </c>
    </row>
    <row r="11149" spans="1:7" x14ac:dyDescent="0.25">
      <c r="A11149" t="s">
        <v>8</v>
      </c>
      <c r="B11149" s="1" t="str">
        <f>"000259441 - RICHS SWEET DOUGH-SODEXO"</f>
        <v>000259441 - RICHS SWEET DOUGH-SODEXO</v>
      </c>
      <c r="C11149" t="s">
        <v>137</v>
      </c>
      <c r="D11149" s="1" t="str">
        <f t="shared" si="304"/>
        <v>PRG-1035930</v>
      </c>
      <c r="E11149" t="s">
        <v>138</v>
      </c>
      <c r="F11149" t="s">
        <v>4</v>
      </c>
      <c r="G11149" t="str">
        <f>""</f>
        <v/>
      </c>
    </row>
    <row r="11150" spans="1:7" x14ac:dyDescent="0.25">
      <c r="A11150" t="s">
        <v>8</v>
      </c>
      <c r="B11150" s="1" t="str">
        <f>"000260776 - CASA DI BERTACCHI-SODEXO"</f>
        <v>000260776 - CASA DI BERTACCHI-SODEXO</v>
      </c>
      <c r="C11150" t="s">
        <v>378</v>
      </c>
      <c r="D11150" s="1" t="str">
        <f t="shared" si="304"/>
        <v>PRG-1035930</v>
      </c>
      <c r="E11150" t="s">
        <v>138</v>
      </c>
      <c r="F11150" t="s">
        <v>4</v>
      </c>
      <c r="G11150" t="str">
        <f>""</f>
        <v/>
      </c>
    </row>
    <row r="11151" spans="1:7" x14ac:dyDescent="0.25">
      <c r="A11151" t="s">
        <v>8</v>
      </c>
      <c r="B11151" s="1" t="str">
        <f>"000260837 - RICHS SWEET DOUGH-SODEXO"</f>
        <v>000260837 - RICHS SWEET DOUGH-SODEXO</v>
      </c>
      <c r="C11151" t="s">
        <v>137</v>
      </c>
      <c r="D11151" s="1" t="str">
        <f t="shared" si="304"/>
        <v>PRG-1035930</v>
      </c>
      <c r="E11151" t="s">
        <v>138</v>
      </c>
      <c r="F11151" t="s">
        <v>4</v>
      </c>
      <c r="G11151" t="str">
        <f>""</f>
        <v/>
      </c>
    </row>
    <row r="11152" spans="1:7" x14ac:dyDescent="0.25">
      <c r="A11152" t="s">
        <v>8</v>
      </c>
      <c r="B11152" s="1" t="str">
        <f>"000260886 - RICHS SWEET DOUGH BB-SODEXO"</f>
        <v>000260886 - RICHS SWEET DOUGH BB-SODEXO</v>
      </c>
      <c r="C11152" t="s">
        <v>161</v>
      </c>
      <c r="D11152" s="1" t="str">
        <f t="shared" si="304"/>
        <v>PRG-1035930</v>
      </c>
      <c r="E11152" t="s">
        <v>138</v>
      </c>
      <c r="F11152" t="s">
        <v>4</v>
      </c>
      <c r="G11152" t="str">
        <f>""</f>
        <v/>
      </c>
    </row>
    <row r="11153" spans="1:7" x14ac:dyDescent="0.25">
      <c r="A11153" t="s">
        <v>8</v>
      </c>
      <c r="B11153" s="1" t="str">
        <f>"000261191 - RICHS SWEET DOUGH-SODEXO"</f>
        <v>000261191 - RICHS SWEET DOUGH-SODEXO</v>
      </c>
      <c r="C11153" t="s">
        <v>137</v>
      </c>
      <c r="D11153" s="1" t="str">
        <f t="shared" si="304"/>
        <v>PRG-1035930</v>
      </c>
      <c r="E11153" t="s">
        <v>138</v>
      </c>
      <c r="F11153" t="s">
        <v>4</v>
      </c>
      <c r="G11153" t="str">
        <f>""</f>
        <v/>
      </c>
    </row>
    <row r="11154" spans="1:7" x14ac:dyDescent="0.25">
      <c r="A11154" t="s">
        <v>8</v>
      </c>
      <c r="B11154" s="1" t="str">
        <f>"000261764 - RICHS SWEET DOUGH-SODEXO"</f>
        <v>000261764 - RICHS SWEET DOUGH-SODEXO</v>
      </c>
      <c r="C11154" t="s">
        <v>137</v>
      </c>
      <c r="D11154" s="1" t="str">
        <f t="shared" si="304"/>
        <v>PRG-1035930</v>
      </c>
      <c r="E11154" t="s">
        <v>138</v>
      </c>
      <c r="F11154" t="s">
        <v>4</v>
      </c>
      <c r="G11154" t="str">
        <f>""</f>
        <v/>
      </c>
    </row>
    <row r="11155" spans="1:7" x14ac:dyDescent="0.25">
      <c r="A11155" t="s">
        <v>8</v>
      </c>
      <c r="B11155" s="1" t="str">
        <f>"000261926 - RICHS SWEET DOUGH-SODEXO"</f>
        <v>000261926 - RICHS SWEET DOUGH-SODEXO</v>
      </c>
      <c r="C11155" t="s">
        <v>137</v>
      </c>
      <c r="D11155" s="1" t="str">
        <f t="shared" si="304"/>
        <v>PRG-1035930</v>
      </c>
      <c r="E11155" t="s">
        <v>138</v>
      </c>
      <c r="F11155" t="s">
        <v>4</v>
      </c>
      <c r="G11155" t="str">
        <f>""</f>
        <v/>
      </c>
    </row>
    <row r="11156" spans="1:7" x14ac:dyDescent="0.25">
      <c r="A11156" t="s">
        <v>8</v>
      </c>
      <c r="B11156" s="1" t="str">
        <f>"000262394 - RICHS SWEET DOUGH BB-SODEXO"</f>
        <v>000262394 - RICHS SWEET DOUGH BB-SODEXO</v>
      </c>
      <c r="C11156" t="s">
        <v>161</v>
      </c>
      <c r="D11156" s="1" t="str">
        <f t="shared" si="304"/>
        <v>PRG-1035930</v>
      </c>
      <c r="E11156" t="s">
        <v>138</v>
      </c>
      <c r="F11156" t="s">
        <v>4</v>
      </c>
      <c r="G11156" t="str">
        <f>""</f>
        <v/>
      </c>
    </row>
    <row r="11157" spans="1:7" x14ac:dyDescent="0.25">
      <c r="A11157" t="s">
        <v>8</v>
      </c>
      <c r="B11157" s="1" t="str">
        <f>"000262422 - RICH FDS(NONC)-AVI"</f>
        <v>000262422 - RICH FDS(NONC)-AVI</v>
      </c>
      <c r="C11157" t="s">
        <v>1286</v>
      </c>
      <c r="D11157" s="1" t="str">
        <f t="shared" si="304"/>
        <v>PRG-1035930</v>
      </c>
      <c r="E11157" t="s">
        <v>138</v>
      </c>
      <c r="F11157" t="s">
        <v>4</v>
      </c>
      <c r="G11157" t="str">
        <f>""</f>
        <v/>
      </c>
    </row>
    <row r="11158" spans="1:7" x14ac:dyDescent="0.25">
      <c r="A11158" t="s">
        <v>8</v>
      </c>
      <c r="B11158" s="1" t="str">
        <f>"000262592 - RICHS SWEET DOUGH-SODEXO"</f>
        <v>000262592 - RICHS SWEET DOUGH-SODEXO</v>
      </c>
      <c r="C11158" t="s">
        <v>137</v>
      </c>
      <c r="D11158" s="1" t="str">
        <f t="shared" si="304"/>
        <v>PRG-1035930</v>
      </c>
      <c r="E11158" t="s">
        <v>138</v>
      </c>
      <c r="F11158" t="s">
        <v>4</v>
      </c>
      <c r="G11158" t="str">
        <f>""</f>
        <v/>
      </c>
    </row>
    <row r="11159" spans="1:7" x14ac:dyDescent="0.25">
      <c r="A11159" t="s">
        <v>8</v>
      </c>
      <c r="B11159" s="1" t="str">
        <f>"000262953 - RICHS SWEET DOUGH BB-SODEXO"</f>
        <v>000262953 - RICHS SWEET DOUGH BB-SODEXO</v>
      </c>
      <c r="C11159" t="s">
        <v>161</v>
      </c>
      <c r="D11159" s="1" t="str">
        <f t="shared" si="304"/>
        <v>PRG-1035930</v>
      </c>
      <c r="E11159" t="s">
        <v>138</v>
      </c>
      <c r="F11159" t="s">
        <v>4</v>
      </c>
      <c r="G11159" t="str">
        <f>""</f>
        <v/>
      </c>
    </row>
    <row r="11160" spans="1:7" x14ac:dyDescent="0.25">
      <c r="A11160" t="s">
        <v>8</v>
      </c>
      <c r="B11160" s="1" t="str">
        <f>"000263625 - RICHS SWEET DOUGH-SODEXO"</f>
        <v>000263625 - RICHS SWEET DOUGH-SODEXO</v>
      </c>
      <c r="C11160" t="s">
        <v>137</v>
      </c>
      <c r="D11160" s="1" t="str">
        <f t="shared" si="304"/>
        <v>PRG-1035930</v>
      </c>
      <c r="E11160" t="s">
        <v>138</v>
      </c>
      <c r="F11160" t="s">
        <v>4</v>
      </c>
      <c r="G11160" t="str">
        <f>""</f>
        <v/>
      </c>
    </row>
    <row r="11161" spans="1:7" x14ac:dyDescent="0.25">
      <c r="A11161" t="s">
        <v>8</v>
      </c>
      <c r="B11161" s="1" t="str">
        <f>"000264504 - RICHS SWEET DOUGH-SODEXO"</f>
        <v>000264504 - RICHS SWEET DOUGH-SODEXO</v>
      </c>
      <c r="C11161" t="s">
        <v>137</v>
      </c>
      <c r="D11161" s="1" t="str">
        <f t="shared" si="304"/>
        <v>PRG-1035930</v>
      </c>
      <c r="E11161" t="s">
        <v>138</v>
      </c>
      <c r="F11161" t="s">
        <v>4</v>
      </c>
      <c r="G11161" t="str">
        <f>""</f>
        <v/>
      </c>
    </row>
    <row r="11162" spans="1:7" x14ac:dyDescent="0.25">
      <c r="A11162" t="s">
        <v>8</v>
      </c>
      <c r="B11162" s="1" t="str">
        <f>"000265184 - RICHS SWEET DOUGH-SODEXO"</f>
        <v>000265184 - RICHS SWEET DOUGH-SODEXO</v>
      </c>
      <c r="C11162" t="s">
        <v>137</v>
      </c>
      <c r="D11162" s="1" t="str">
        <f t="shared" si="304"/>
        <v>PRG-1035930</v>
      </c>
      <c r="E11162" t="s">
        <v>138</v>
      </c>
      <c r="F11162" t="s">
        <v>4</v>
      </c>
      <c r="G11162" t="str">
        <f>""</f>
        <v/>
      </c>
    </row>
    <row r="11163" spans="1:7" x14ac:dyDescent="0.25">
      <c r="A11163" t="s">
        <v>8</v>
      </c>
      <c r="B11163" s="1" t="str">
        <f>"000265481 - RICHS SWEET DOUGH-SODEXO"</f>
        <v>000265481 - RICHS SWEET DOUGH-SODEXO</v>
      </c>
      <c r="C11163" t="s">
        <v>137</v>
      </c>
      <c r="D11163" s="1" t="str">
        <f t="shared" si="304"/>
        <v>PRG-1035930</v>
      </c>
      <c r="E11163" t="s">
        <v>138</v>
      </c>
      <c r="F11163" t="s">
        <v>4</v>
      </c>
      <c r="G11163" t="str">
        <f>""</f>
        <v/>
      </c>
    </row>
    <row r="11164" spans="1:7" x14ac:dyDescent="0.25">
      <c r="A11164" t="s">
        <v>8</v>
      </c>
      <c r="B11164" s="1" t="str">
        <f>"000266511 - RICHS SWEET DOUGH-SODEXO"</f>
        <v>000266511 - RICHS SWEET DOUGH-SODEXO</v>
      </c>
      <c r="C11164" t="s">
        <v>137</v>
      </c>
      <c r="D11164" s="1" t="str">
        <f t="shared" si="304"/>
        <v>PRG-1035930</v>
      </c>
      <c r="E11164" t="s">
        <v>138</v>
      </c>
      <c r="F11164" t="s">
        <v>4</v>
      </c>
      <c r="G11164" t="str">
        <f>""</f>
        <v/>
      </c>
    </row>
    <row r="11165" spans="1:7" x14ac:dyDescent="0.25">
      <c r="A11165" t="s">
        <v>8</v>
      </c>
      <c r="B11165" s="1" t="str">
        <f>"000266965 - RICHS SWEET DOUGH BB-SODEXO"</f>
        <v>000266965 - RICHS SWEET DOUGH BB-SODEXO</v>
      </c>
      <c r="C11165" t="s">
        <v>161</v>
      </c>
      <c r="D11165" s="1" t="str">
        <f t="shared" si="304"/>
        <v>PRG-1035930</v>
      </c>
      <c r="E11165" t="s">
        <v>138</v>
      </c>
      <c r="F11165" t="s">
        <v>4</v>
      </c>
      <c r="G11165" t="str">
        <f>""</f>
        <v/>
      </c>
    </row>
    <row r="11166" spans="1:7" x14ac:dyDescent="0.25">
      <c r="A11166" t="s">
        <v>8</v>
      </c>
      <c r="B11166" s="1" t="str">
        <f>"000267155 - RICHS SWEET DOUGH-SODEXO"</f>
        <v>000267155 - RICHS SWEET DOUGH-SODEXO</v>
      </c>
      <c r="C11166" t="s">
        <v>137</v>
      </c>
      <c r="D11166" s="1" t="str">
        <f t="shared" si="304"/>
        <v>PRG-1035930</v>
      </c>
      <c r="E11166" t="s">
        <v>138</v>
      </c>
      <c r="F11166" t="s">
        <v>4</v>
      </c>
      <c r="G11166" t="str">
        <f>""</f>
        <v/>
      </c>
    </row>
    <row r="11167" spans="1:7" x14ac:dyDescent="0.25">
      <c r="A11167" t="s">
        <v>8</v>
      </c>
      <c r="B11167" s="1" t="str">
        <f>"000269181 - RICHS SWEET DOUGH-SODEXO"</f>
        <v>000269181 - RICHS SWEET DOUGH-SODEXO</v>
      </c>
      <c r="C11167" t="s">
        <v>137</v>
      </c>
      <c r="D11167" s="1" t="str">
        <f t="shared" si="304"/>
        <v>PRG-1035930</v>
      </c>
      <c r="E11167" t="s">
        <v>138</v>
      </c>
      <c r="F11167" t="s">
        <v>4</v>
      </c>
      <c r="G11167" t="str">
        <f>""</f>
        <v/>
      </c>
    </row>
    <row r="11168" spans="1:7" x14ac:dyDescent="0.25">
      <c r="A11168" t="s">
        <v>8</v>
      </c>
      <c r="B11168" s="1" t="str">
        <f>"000269986 - RICHS SWEET DOUGH-SODEXO"</f>
        <v>000269986 - RICHS SWEET DOUGH-SODEXO</v>
      </c>
      <c r="C11168" t="s">
        <v>137</v>
      </c>
      <c r="D11168" s="1" t="str">
        <f t="shared" si="304"/>
        <v>PRG-1035930</v>
      </c>
      <c r="E11168" t="s">
        <v>138</v>
      </c>
      <c r="F11168" t="s">
        <v>4</v>
      </c>
      <c r="G11168" t="str">
        <f>""</f>
        <v/>
      </c>
    </row>
    <row r="11169" spans="1:7" x14ac:dyDescent="0.25">
      <c r="A11169" t="s">
        <v>8</v>
      </c>
      <c r="B11169" s="1" t="str">
        <f>"000271133 - "</f>
        <v xml:space="preserve">000271133 - </v>
      </c>
      <c r="D11169" s="1" t="str">
        <f t="shared" si="304"/>
        <v>PRG-1035930</v>
      </c>
      <c r="E11169" t="s">
        <v>138</v>
      </c>
      <c r="F11169" t="s">
        <v>4</v>
      </c>
      <c r="G11169" t="str">
        <f>""</f>
        <v/>
      </c>
    </row>
    <row r="11170" spans="1:7" x14ac:dyDescent="0.25">
      <c r="A11170" t="s">
        <v>8</v>
      </c>
      <c r="B11170" s="1" t="str">
        <f>"000271244 - RICHS SWEET DOUGH BB-SODEXO"</f>
        <v>000271244 - RICHS SWEET DOUGH BB-SODEXO</v>
      </c>
      <c r="C11170" t="s">
        <v>161</v>
      </c>
      <c r="D11170" s="1" t="str">
        <f t="shared" si="304"/>
        <v>PRG-1035930</v>
      </c>
      <c r="E11170" t="s">
        <v>138</v>
      </c>
      <c r="F11170" t="s">
        <v>4</v>
      </c>
      <c r="G11170" t="str">
        <f>""</f>
        <v/>
      </c>
    </row>
    <row r="11171" spans="1:7" x14ac:dyDescent="0.25">
      <c r="A11171" t="s">
        <v>8</v>
      </c>
      <c r="B11171" s="1" t="str">
        <f>"000272573 - RICHS SWEET DOUGH-SODEXO"</f>
        <v>000272573 - RICHS SWEET DOUGH-SODEXO</v>
      </c>
      <c r="C11171" t="s">
        <v>137</v>
      </c>
      <c r="D11171" s="1" t="str">
        <f t="shared" si="304"/>
        <v>PRG-1035930</v>
      </c>
      <c r="E11171" t="s">
        <v>138</v>
      </c>
      <c r="F11171" t="s">
        <v>4</v>
      </c>
      <c r="G11171" t="str">
        <f>""</f>
        <v/>
      </c>
    </row>
    <row r="11172" spans="1:7" x14ac:dyDescent="0.25">
      <c r="A11172" t="s">
        <v>8</v>
      </c>
      <c r="B11172" s="1" t="str">
        <f>"000272844 - "</f>
        <v xml:space="preserve">000272844 - </v>
      </c>
      <c r="D11172" s="1" t="str">
        <f t="shared" si="304"/>
        <v>PRG-1035930</v>
      </c>
      <c r="E11172" t="s">
        <v>138</v>
      </c>
      <c r="F11172" t="s">
        <v>4</v>
      </c>
      <c r="G11172" t="str">
        <f>""</f>
        <v/>
      </c>
    </row>
    <row r="11173" spans="1:7" x14ac:dyDescent="0.25">
      <c r="A11173" t="s">
        <v>8</v>
      </c>
      <c r="B11173" s="1" t="str">
        <f>"000273074 - RICHS SWEET DOUGH-SODEXO"</f>
        <v>000273074 - RICHS SWEET DOUGH-SODEXO</v>
      </c>
      <c r="C11173" t="s">
        <v>137</v>
      </c>
      <c r="D11173" s="1" t="str">
        <f t="shared" si="304"/>
        <v>PRG-1035930</v>
      </c>
      <c r="E11173" t="s">
        <v>138</v>
      </c>
      <c r="F11173" t="s">
        <v>4</v>
      </c>
      <c r="G11173" t="str">
        <f>""</f>
        <v/>
      </c>
    </row>
    <row r="11174" spans="1:7" x14ac:dyDescent="0.25">
      <c r="A11174" t="s">
        <v>8</v>
      </c>
      <c r="B11174" s="1" t="str">
        <f>"000275008 - RICHS SWEET DOUGH BB-SODEXO"</f>
        <v>000275008 - RICHS SWEET DOUGH BB-SODEXO</v>
      </c>
      <c r="C11174" t="s">
        <v>161</v>
      </c>
      <c r="D11174" s="1" t="str">
        <f t="shared" si="304"/>
        <v>PRG-1035930</v>
      </c>
      <c r="E11174" t="s">
        <v>138</v>
      </c>
      <c r="F11174" t="s">
        <v>4</v>
      </c>
      <c r="G11174" t="str">
        <f>""</f>
        <v/>
      </c>
    </row>
    <row r="11175" spans="1:7" x14ac:dyDescent="0.25">
      <c r="A11175" t="s">
        <v>8</v>
      </c>
      <c r="B11175" s="1" t="str">
        <f>"000276205 - RICHS SWEET DOUGH BB-SODEXO"</f>
        <v>000276205 - RICHS SWEET DOUGH BB-SODEXO</v>
      </c>
      <c r="C11175" t="s">
        <v>161</v>
      </c>
      <c r="D11175" s="1" t="str">
        <f t="shared" si="304"/>
        <v>PRG-1035930</v>
      </c>
      <c r="E11175" t="s">
        <v>138</v>
      </c>
      <c r="F11175" t="s">
        <v>4</v>
      </c>
      <c r="G11175" t="str">
        <f>""</f>
        <v/>
      </c>
    </row>
    <row r="11176" spans="1:7" x14ac:dyDescent="0.25">
      <c r="A11176" t="s">
        <v>8</v>
      </c>
      <c r="B11176" s="1" t="str">
        <f>"000277167 - RICHS SWEET DOUGH-SODEXO"</f>
        <v>000277167 - RICHS SWEET DOUGH-SODEXO</v>
      </c>
      <c r="C11176" t="s">
        <v>137</v>
      </c>
      <c r="D11176" s="1" t="str">
        <f t="shared" si="304"/>
        <v>PRG-1035930</v>
      </c>
      <c r="E11176" t="s">
        <v>138</v>
      </c>
      <c r="F11176" t="s">
        <v>4</v>
      </c>
      <c r="G11176" t="str">
        <f>""</f>
        <v/>
      </c>
    </row>
    <row r="11177" spans="1:7" x14ac:dyDescent="0.25">
      <c r="A11177" t="s">
        <v>8</v>
      </c>
      <c r="B11177" s="1" t="str">
        <f>"000277798 - RICHS SWEET DOUGH-SODEXO"</f>
        <v>000277798 - RICHS SWEET DOUGH-SODEXO</v>
      </c>
      <c r="C11177" t="s">
        <v>137</v>
      </c>
      <c r="D11177" s="1" t="str">
        <f t="shared" si="304"/>
        <v>PRG-1035930</v>
      </c>
      <c r="E11177" t="s">
        <v>138</v>
      </c>
      <c r="F11177" t="s">
        <v>4</v>
      </c>
      <c r="G11177" t="str">
        <f>""</f>
        <v/>
      </c>
    </row>
    <row r="11178" spans="1:7" x14ac:dyDescent="0.25">
      <c r="A11178" t="s">
        <v>8</v>
      </c>
      <c r="B11178" s="1" t="str">
        <f>"000278331 - RICHS SWEET DOUGH BB-SODEXO"</f>
        <v>000278331 - RICHS SWEET DOUGH BB-SODEXO</v>
      </c>
      <c r="C11178" t="s">
        <v>161</v>
      </c>
      <c r="D11178" s="1" t="str">
        <f t="shared" si="304"/>
        <v>PRG-1035930</v>
      </c>
      <c r="E11178" t="s">
        <v>138</v>
      </c>
      <c r="F11178" t="s">
        <v>4</v>
      </c>
      <c r="G11178" t="str">
        <f>""</f>
        <v/>
      </c>
    </row>
    <row r="11179" spans="1:7" x14ac:dyDescent="0.25">
      <c r="A11179" t="s">
        <v>8</v>
      </c>
      <c r="B11179" s="1" t="str">
        <f>"000278369 - RICHS SWEET DOUGH-SODEXO"</f>
        <v>000278369 - RICHS SWEET DOUGH-SODEXO</v>
      </c>
      <c r="C11179" t="s">
        <v>137</v>
      </c>
      <c r="D11179" s="1" t="str">
        <f t="shared" si="304"/>
        <v>PRG-1035930</v>
      </c>
      <c r="E11179" t="s">
        <v>138</v>
      </c>
      <c r="F11179" t="s">
        <v>4</v>
      </c>
      <c r="G11179" t="str">
        <f>""</f>
        <v/>
      </c>
    </row>
    <row r="11180" spans="1:7" x14ac:dyDescent="0.25">
      <c r="A11180" t="s">
        <v>8</v>
      </c>
      <c r="B11180" s="1" t="str">
        <f>"000278979 - "</f>
        <v xml:space="preserve">000278979 - </v>
      </c>
      <c r="D11180" s="1" t="str">
        <f t="shared" si="304"/>
        <v>PRG-1035930</v>
      </c>
      <c r="E11180" t="s">
        <v>138</v>
      </c>
      <c r="F11180" t="s">
        <v>4</v>
      </c>
      <c r="G11180" t="str">
        <f>""</f>
        <v/>
      </c>
    </row>
    <row r="11181" spans="1:7" x14ac:dyDescent="0.25">
      <c r="A11181" t="s">
        <v>8</v>
      </c>
      <c r="B11181" s="1" t="str">
        <f>"000279368 - RICHS SWEET DOUGH-SODEXO"</f>
        <v>000279368 - RICHS SWEET DOUGH-SODEXO</v>
      </c>
      <c r="C11181" t="s">
        <v>137</v>
      </c>
      <c r="D11181" s="1" t="str">
        <f t="shared" si="304"/>
        <v>PRG-1035930</v>
      </c>
      <c r="E11181" t="s">
        <v>138</v>
      </c>
      <c r="F11181" t="s">
        <v>4</v>
      </c>
      <c r="G11181" t="str">
        <f>""</f>
        <v/>
      </c>
    </row>
    <row r="11182" spans="1:7" x14ac:dyDescent="0.25">
      <c r="A11182" t="s">
        <v>8</v>
      </c>
      <c r="B11182" s="1" t="str">
        <f>"000279485 - RICHS SWEET DOUGH BB-SODEXO"</f>
        <v>000279485 - RICHS SWEET DOUGH BB-SODEXO</v>
      </c>
      <c r="C11182" t="s">
        <v>161</v>
      </c>
      <c r="D11182" s="1" t="str">
        <f t="shared" si="304"/>
        <v>PRG-1035930</v>
      </c>
      <c r="E11182" t="s">
        <v>138</v>
      </c>
      <c r="F11182" t="s">
        <v>4</v>
      </c>
      <c r="G11182" t="str">
        <f>""</f>
        <v/>
      </c>
    </row>
    <row r="11183" spans="1:7" x14ac:dyDescent="0.25">
      <c r="A11183" t="s">
        <v>8</v>
      </c>
      <c r="B11183" s="1" t="str">
        <f>"000279768 - RICHS SWEET DOUGH-SODEXO"</f>
        <v>000279768 - RICHS SWEET DOUGH-SODEXO</v>
      </c>
      <c r="C11183" t="s">
        <v>137</v>
      </c>
      <c r="D11183" s="1" t="str">
        <f t="shared" si="304"/>
        <v>PRG-1035930</v>
      </c>
      <c r="E11183" t="s">
        <v>138</v>
      </c>
      <c r="F11183" t="s">
        <v>4</v>
      </c>
      <c r="G11183" t="str">
        <f>""</f>
        <v/>
      </c>
    </row>
    <row r="11184" spans="1:7" x14ac:dyDescent="0.25">
      <c r="A11184" t="s">
        <v>8</v>
      </c>
      <c r="B11184" s="1" t="str">
        <f>"000279923 - RICHS SWEET DOUGH-SODEXO"</f>
        <v>000279923 - RICHS SWEET DOUGH-SODEXO</v>
      </c>
      <c r="C11184" t="s">
        <v>137</v>
      </c>
      <c r="D11184" s="1" t="str">
        <f t="shared" si="304"/>
        <v>PRG-1035930</v>
      </c>
      <c r="E11184" t="s">
        <v>138</v>
      </c>
      <c r="F11184" t="s">
        <v>4</v>
      </c>
      <c r="G11184" t="str">
        <f>""</f>
        <v/>
      </c>
    </row>
    <row r="11185" spans="1:7" x14ac:dyDescent="0.25">
      <c r="A11185" t="s">
        <v>8</v>
      </c>
      <c r="B11185" s="1" t="str">
        <f>"000280035 - RICHS SWEET DOUGH BB-SODEXO"</f>
        <v>000280035 - RICHS SWEET DOUGH BB-SODEXO</v>
      </c>
      <c r="C11185" t="s">
        <v>161</v>
      </c>
      <c r="D11185" s="1" t="str">
        <f t="shared" si="304"/>
        <v>PRG-1035930</v>
      </c>
      <c r="E11185" t="s">
        <v>138</v>
      </c>
      <c r="F11185" t="s">
        <v>4</v>
      </c>
      <c r="G11185" t="str">
        <f>""</f>
        <v/>
      </c>
    </row>
    <row r="11186" spans="1:7" x14ac:dyDescent="0.25">
      <c r="A11186" t="s">
        <v>8</v>
      </c>
      <c r="B11186" s="1" t="str">
        <f>"000280309 - RICHS SWEET DOUGH-SODEXO"</f>
        <v>000280309 - RICHS SWEET DOUGH-SODEXO</v>
      </c>
      <c r="C11186" t="s">
        <v>137</v>
      </c>
      <c r="D11186" s="1" t="str">
        <f t="shared" si="304"/>
        <v>PRG-1035930</v>
      </c>
      <c r="E11186" t="s">
        <v>138</v>
      </c>
      <c r="F11186" t="s">
        <v>4</v>
      </c>
      <c r="G11186" t="str">
        <f>""</f>
        <v/>
      </c>
    </row>
    <row r="11187" spans="1:7" x14ac:dyDescent="0.25">
      <c r="A11187" t="s">
        <v>8</v>
      </c>
      <c r="B11187" s="1" t="str">
        <f>"000281299 - RICHS SWEET DOUGH-SODEXO"</f>
        <v>000281299 - RICHS SWEET DOUGH-SODEXO</v>
      </c>
      <c r="C11187" t="s">
        <v>137</v>
      </c>
      <c r="D11187" s="1" t="str">
        <f t="shared" si="304"/>
        <v>PRG-1035930</v>
      </c>
      <c r="E11187" t="s">
        <v>138</v>
      </c>
      <c r="F11187" t="s">
        <v>4</v>
      </c>
      <c r="G11187" t="str">
        <f>""</f>
        <v/>
      </c>
    </row>
    <row r="11188" spans="1:7" x14ac:dyDescent="0.25">
      <c r="A11188" t="s">
        <v>8</v>
      </c>
      <c r="B11188" s="1" t="str">
        <f>"000282446 - RICHS SWEET DOUGH-SODEXO"</f>
        <v>000282446 - RICHS SWEET DOUGH-SODEXO</v>
      </c>
      <c r="C11188" t="s">
        <v>137</v>
      </c>
      <c r="D11188" s="1" t="str">
        <f t="shared" si="304"/>
        <v>PRG-1035930</v>
      </c>
      <c r="E11188" t="s">
        <v>138</v>
      </c>
      <c r="F11188" t="s">
        <v>4</v>
      </c>
      <c r="G11188" t="str">
        <f>""</f>
        <v/>
      </c>
    </row>
    <row r="11189" spans="1:7" x14ac:dyDescent="0.25">
      <c r="A11189" t="s">
        <v>8</v>
      </c>
      <c r="B11189" s="1" t="str">
        <f>"000283455 - RICHS SWEET DOUGH-SODEXO"</f>
        <v>000283455 - RICHS SWEET DOUGH-SODEXO</v>
      </c>
      <c r="C11189" t="s">
        <v>137</v>
      </c>
      <c r="D11189" s="1" t="str">
        <f t="shared" si="304"/>
        <v>PRG-1035930</v>
      </c>
      <c r="E11189" t="s">
        <v>138</v>
      </c>
      <c r="F11189" t="s">
        <v>4</v>
      </c>
      <c r="G11189" t="str">
        <f>""</f>
        <v/>
      </c>
    </row>
    <row r="11190" spans="1:7" x14ac:dyDescent="0.25">
      <c r="A11190" t="s">
        <v>8</v>
      </c>
      <c r="B11190" s="1" t="str">
        <f>"000283688 - RICHS SWEET DOUGH-SODEXO"</f>
        <v>000283688 - RICHS SWEET DOUGH-SODEXO</v>
      </c>
      <c r="C11190" t="s">
        <v>137</v>
      </c>
      <c r="D11190" s="1" t="str">
        <f t="shared" si="304"/>
        <v>PRG-1035930</v>
      </c>
      <c r="E11190" t="s">
        <v>138</v>
      </c>
      <c r="F11190" t="s">
        <v>4</v>
      </c>
      <c r="G11190" t="str">
        <f>""</f>
        <v/>
      </c>
    </row>
    <row r="11191" spans="1:7" x14ac:dyDescent="0.25">
      <c r="A11191" t="s">
        <v>8</v>
      </c>
      <c r="B11191" s="1" t="str">
        <f>"000283839 - RICHS SWEET DOUGH BB-SODEXO"</f>
        <v>000283839 - RICHS SWEET DOUGH BB-SODEXO</v>
      </c>
      <c r="C11191" t="s">
        <v>161</v>
      </c>
      <c r="D11191" s="1" t="str">
        <f t="shared" ref="D11191:D11254" si="305">"PRG-1035930"</f>
        <v>PRG-1035930</v>
      </c>
      <c r="E11191" t="s">
        <v>138</v>
      </c>
      <c r="F11191" t="s">
        <v>4</v>
      </c>
      <c r="G11191" t="str">
        <f>""</f>
        <v/>
      </c>
    </row>
    <row r="11192" spans="1:7" x14ac:dyDescent="0.25">
      <c r="A11192" t="s">
        <v>8</v>
      </c>
      <c r="B11192" s="1" t="str">
        <f>"000284816 - RICHS SWEET DOUGH-SODEXO"</f>
        <v>000284816 - RICHS SWEET DOUGH-SODEXO</v>
      </c>
      <c r="C11192" t="s">
        <v>137</v>
      </c>
      <c r="D11192" s="1" t="str">
        <f t="shared" si="305"/>
        <v>PRG-1035930</v>
      </c>
      <c r="E11192" t="s">
        <v>138</v>
      </c>
      <c r="F11192" t="s">
        <v>4</v>
      </c>
      <c r="G11192" t="str">
        <f>""</f>
        <v/>
      </c>
    </row>
    <row r="11193" spans="1:7" x14ac:dyDescent="0.25">
      <c r="A11193" t="s">
        <v>8</v>
      </c>
      <c r="B11193" s="1" t="str">
        <f>"000285484 - RICHS SWEET DOUGH-SODEXO"</f>
        <v>000285484 - RICHS SWEET DOUGH-SODEXO</v>
      </c>
      <c r="C11193" t="s">
        <v>137</v>
      </c>
      <c r="D11193" s="1" t="str">
        <f t="shared" si="305"/>
        <v>PRG-1035930</v>
      </c>
      <c r="E11193" t="s">
        <v>138</v>
      </c>
      <c r="F11193" t="s">
        <v>4</v>
      </c>
      <c r="G11193" t="str">
        <f>""</f>
        <v/>
      </c>
    </row>
    <row r="11194" spans="1:7" x14ac:dyDescent="0.25">
      <c r="A11194" t="s">
        <v>8</v>
      </c>
      <c r="B11194" s="1" t="str">
        <f>"000286060 - CARNCORP   RICH"</f>
        <v>000286060 - CARNCORP   RICH</v>
      </c>
      <c r="C11194" t="s">
        <v>1710</v>
      </c>
      <c r="D11194" s="1" t="str">
        <f t="shared" si="305"/>
        <v>PRG-1035930</v>
      </c>
      <c r="E11194" t="s">
        <v>138</v>
      </c>
      <c r="F11194" t="s">
        <v>4</v>
      </c>
      <c r="G11194" t="str">
        <f>""</f>
        <v/>
      </c>
    </row>
    <row r="11195" spans="1:7" x14ac:dyDescent="0.25">
      <c r="A11195" t="s">
        <v>8</v>
      </c>
      <c r="B11195" s="1" t="str">
        <f>"000286143 - RICHS SWEET DOUGH BB-SODEXO"</f>
        <v>000286143 - RICHS SWEET DOUGH BB-SODEXO</v>
      </c>
      <c r="C11195" t="s">
        <v>161</v>
      </c>
      <c r="D11195" s="1" t="str">
        <f t="shared" si="305"/>
        <v>PRG-1035930</v>
      </c>
      <c r="E11195" t="s">
        <v>138</v>
      </c>
      <c r="F11195" t="s">
        <v>4</v>
      </c>
      <c r="G11195" t="str">
        <f>""</f>
        <v/>
      </c>
    </row>
    <row r="11196" spans="1:7" x14ac:dyDescent="0.25">
      <c r="A11196" t="s">
        <v>8</v>
      </c>
      <c r="B11196" s="1" t="str">
        <f>"000286543 - RICHS SWEET DOUGH-SODEXO"</f>
        <v>000286543 - RICHS SWEET DOUGH-SODEXO</v>
      </c>
      <c r="C11196" t="s">
        <v>137</v>
      </c>
      <c r="D11196" s="1" t="str">
        <f t="shared" si="305"/>
        <v>PRG-1035930</v>
      </c>
      <c r="E11196" t="s">
        <v>138</v>
      </c>
      <c r="F11196" t="s">
        <v>4</v>
      </c>
      <c r="G11196" t="str">
        <f>""</f>
        <v/>
      </c>
    </row>
    <row r="11197" spans="1:7" x14ac:dyDescent="0.25">
      <c r="A11197" t="s">
        <v>8</v>
      </c>
      <c r="B11197" s="1" t="str">
        <f>"000286609 - RICHS SWEET DOUGH BB-SODEXO"</f>
        <v>000286609 - RICHS SWEET DOUGH BB-SODEXO</v>
      </c>
      <c r="C11197" t="s">
        <v>161</v>
      </c>
      <c r="D11197" s="1" t="str">
        <f t="shared" si="305"/>
        <v>PRG-1035930</v>
      </c>
      <c r="E11197" t="s">
        <v>138</v>
      </c>
      <c r="F11197" t="s">
        <v>4</v>
      </c>
      <c r="G11197" t="str">
        <f>""</f>
        <v/>
      </c>
    </row>
    <row r="11198" spans="1:7" x14ac:dyDescent="0.25">
      <c r="A11198" t="s">
        <v>8</v>
      </c>
      <c r="B11198" s="1" t="str">
        <f>"000287243 - RICHS SWEET DOUGH-SODEXO"</f>
        <v>000287243 - RICHS SWEET DOUGH-SODEXO</v>
      </c>
      <c r="C11198" t="s">
        <v>137</v>
      </c>
      <c r="D11198" s="1" t="str">
        <f t="shared" si="305"/>
        <v>PRG-1035930</v>
      </c>
      <c r="E11198" t="s">
        <v>138</v>
      </c>
      <c r="F11198" t="s">
        <v>4</v>
      </c>
      <c r="G11198" t="str">
        <f>""</f>
        <v/>
      </c>
    </row>
    <row r="11199" spans="1:7" x14ac:dyDescent="0.25">
      <c r="A11199" t="s">
        <v>8</v>
      </c>
      <c r="B11199" s="1" t="str">
        <f>"000287937 - RICHS SWEET DOUGH-SODEXO"</f>
        <v>000287937 - RICHS SWEET DOUGH-SODEXO</v>
      </c>
      <c r="C11199" t="s">
        <v>137</v>
      </c>
      <c r="D11199" s="1" t="str">
        <f t="shared" si="305"/>
        <v>PRG-1035930</v>
      </c>
      <c r="E11199" t="s">
        <v>138</v>
      </c>
      <c r="F11199" t="s">
        <v>4</v>
      </c>
      <c r="G11199" t="str">
        <f>""</f>
        <v/>
      </c>
    </row>
    <row r="11200" spans="1:7" x14ac:dyDescent="0.25">
      <c r="A11200" t="s">
        <v>8</v>
      </c>
      <c r="B11200" s="1" t="str">
        <f>"000289494 - RICHS SWEET DOUGH-SODEXO"</f>
        <v>000289494 - RICHS SWEET DOUGH-SODEXO</v>
      </c>
      <c r="C11200" t="s">
        <v>137</v>
      </c>
      <c r="D11200" s="1" t="str">
        <f t="shared" si="305"/>
        <v>PRG-1035930</v>
      </c>
      <c r="E11200" t="s">
        <v>138</v>
      </c>
      <c r="F11200" t="s">
        <v>4</v>
      </c>
      <c r="G11200" t="str">
        <f>""</f>
        <v/>
      </c>
    </row>
    <row r="11201" spans="1:7" x14ac:dyDescent="0.25">
      <c r="A11201" t="s">
        <v>8</v>
      </c>
      <c r="B11201" s="1" t="str">
        <f>"000289700 - RICHS SWEET DOUGH-SODEXO"</f>
        <v>000289700 - RICHS SWEET DOUGH-SODEXO</v>
      </c>
      <c r="C11201" t="s">
        <v>137</v>
      </c>
      <c r="D11201" s="1" t="str">
        <f t="shared" si="305"/>
        <v>PRG-1035930</v>
      </c>
      <c r="E11201" t="s">
        <v>138</v>
      </c>
      <c r="F11201" t="s">
        <v>4</v>
      </c>
      <c r="G11201" t="str">
        <f>""</f>
        <v/>
      </c>
    </row>
    <row r="11202" spans="1:7" x14ac:dyDescent="0.25">
      <c r="A11202" t="s">
        <v>8</v>
      </c>
      <c r="B11202" s="1" t="str">
        <f>"000290457 - RICHS SWEET DOUGH-SODEXO"</f>
        <v>000290457 - RICHS SWEET DOUGH-SODEXO</v>
      </c>
      <c r="C11202" t="s">
        <v>137</v>
      </c>
      <c r="D11202" s="1" t="str">
        <f t="shared" si="305"/>
        <v>PRG-1035930</v>
      </c>
      <c r="E11202" t="s">
        <v>138</v>
      </c>
      <c r="F11202" t="s">
        <v>4</v>
      </c>
      <c r="G11202" t="str">
        <f>""</f>
        <v/>
      </c>
    </row>
    <row r="11203" spans="1:7" x14ac:dyDescent="0.25">
      <c r="A11203" t="s">
        <v>8</v>
      </c>
      <c r="B11203" s="1" t="str">
        <f>"000290504 - RICHS SWEET DOUGH-SODEXO"</f>
        <v>000290504 - RICHS SWEET DOUGH-SODEXO</v>
      </c>
      <c r="C11203" t="s">
        <v>137</v>
      </c>
      <c r="D11203" s="1" t="str">
        <f t="shared" si="305"/>
        <v>PRG-1035930</v>
      </c>
      <c r="E11203" t="s">
        <v>138</v>
      </c>
      <c r="F11203" t="s">
        <v>4</v>
      </c>
      <c r="G11203" t="str">
        <f>""</f>
        <v/>
      </c>
    </row>
    <row r="11204" spans="1:7" x14ac:dyDescent="0.25">
      <c r="A11204" t="s">
        <v>8</v>
      </c>
      <c r="B11204" s="1" t="str">
        <f>"000290870 - RICHS SWEET DOUGH-SODEXO"</f>
        <v>000290870 - RICHS SWEET DOUGH-SODEXO</v>
      </c>
      <c r="C11204" t="s">
        <v>137</v>
      </c>
      <c r="D11204" s="1" t="str">
        <f t="shared" si="305"/>
        <v>PRG-1035930</v>
      </c>
      <c r="E11204" t="s">
        <v>138</v>
      </c>
      <c r="F11204" t="s">
        <v>4</v>
      </c>
      <c r="G11204" t="str">
        <f>""</f>
        <v/>
      </c>
    </row>
    <row r="11205" spans="1:7" x14ac:dyDescent="0.25">
      <c r="A11205" t="s">
        <v>8</v>
      </c>
      <c r="B11205" s="1" t="str">
        <f>"000290989 - RICHS SWEET DOUGH BB-SODEXO"</f>
        <v>000290989 - RICHS SWEET DOUGH BB-SODEXO</v>
      </c>
      <c r="C11205" t="s">
        <v>161</v>
      </c>
      <c r="D11205" s="1" t="str">
        <f t="shared" si="305"/>
        <v>PRG-1035930</v>
      </c>
      <c r="E11205" t="s">
        <v>138</v>
      </c>
      <c r="F11205" t="s">
        <v>4</v>
      </c>
      <c r="G11205" t="str">
        <f>""</f>
        <v/>
      </c>
    </row>
    <row r="11206" spans="1:7" x14ac:dyDescent="0.25">
      <c r="A11206" t="s">
        <v>8</v>
      </c>
      <c r="B11206" s="1" t="str">
        <f>"000292017 - RICH FOODS VARIETY-ARAMARK"</f>
        <v>000292017 - RICH FOODS VARIETY-ARAMARK</v>
      </c>
      <c r="C11206" t="s">
        <v>439</v>
      </c>
      <c r="D11206" s="1" t="str">
        <f t="shared" si="305"/>
        <v>PRG-1035930</v>
      </c>
      <c r="E11206" t="s">
        <v>138</v>
      </c>
      <c r="F11206" t="s">
        <v>4</v>
      </c>
      <c r="G11206" t="str">
        <f>""</f>
        <v/>
      </c>
    </row>
    <row r="11207" spans="1:7" x14ac:dyDescent="0.25">
      <c r="A11207" t="s">
        <v>8</v>
      </c>
      <c r="B11207" s="1" t="str">
        <f>"000292169 - RICHS SWEET DOUGH-SODEXO"</f>
        <v>000292169 - RICHS SWEET DOUGH-SODEXO</v>
      </c>
      <c r="C11207" t="s">
        <v>137</v>
      </c>
      <c r="D11207" s="1" t="str">
        <f t="shared" si="305"/>
        <v>PRG-1035930</v>
      </c>
      <c r="E11207" t="s">
        <v>138</v>
      </c>
      <c r="F11207" t="s">
        <v>4</v>
      </c>
      <c r="G11207" t="str">
        <f>""</f>
        <v/>
      </c>
    </row>
    <row r="11208" spans="1:7" x14ac:dyDescent="0.25">
      <c r="A11208" t="s">
        <v>8</v>
      </c>
      <c r="B11208" s="1" t="str">
        <f>"000293923 - RICHS SWEET DOUGH-SODEXO"</f>
        <v>000293923 - RICHS SWEET DOUGH-SODEXO</v>
      </c>
      <c r="C11208" t="s">
        <v>137</v>
      </c>
      <c r="D11208" s="1" t="str">
        <f t="shared" si="305"/>
        <v>PRG-1035930</v>
      </c>
      <c r="E11208" t="s">
        <v>138</v>
      </c>
      <c r="F11208" t="s">
        <v>4</v>
      </c>
      <c r="G11208" t="str">
        <f>""</f>
        <v/>
      </c>
    </row>
    <row r="11209" spans="1:7" x14ac:dyDescent="0.25">
      <c r="A11209" t="s">
        <v>8</v>
      </c>
      <c r="B11209" s="1" t="str">
        <f>"000294351 - RICHS SWEET DOUGH-SODEXO"</f>
        <v>000294351 - RICHS SWEET DOUGH-SODEXO</v>
      </c>
      <c r="C11209" t="s">
        <v>137</v>
      </c>
      <c r="D11209" s="1" t="str">
        <f t="shared" si="305"/>
        <v>PRG-1035930</v>
      </c>
      <c r="E11209" t="s">
        <v>138</v>
      </c>
      <c r="F11209" t="s">
        <v>4</v>
      </c>
      <c r="G11209" t="str">
        <f>""</f>
        <v/>
      </c>
    </row>
    <row r="11210" spans="1:7" x14ac:dyDescent="0.25">
      <c r="A11210" t="s">
        <v>8</v>
      </c>
      <c r="B11210" s="1" t="str">
        <f>"000298087 - "</f>
        <v xml:space="preserve">000298087 - </v>
      </c>
      <c r="D11210" s="1" t="str">
        <f t="shared" si="305"/>
        <v>PRG-1035930</v>
      </c>
      <c r="E11210" t="s">
        <v>138</v>
      </c>
      <c r="F11210" t="s">
        <v>4</v>
      </c>
      <c r="G11210" t="str">
        <f>""</f>
        <v/>
      </c>
    </row>
    <row r="11211" spans="1:7" x14ac:dyDescent="0.25">
      <c r="A11211" t="s">
        <v>8</v>
      </c>
      <c r="B11211" s="1" t="str">
        <f>"000299977 - RICHS SWEET DOUGH-SODEXO"</f>
        <v>000299977 - RICHS SWEET DOUGH-SODEXO</v>
      </c>
      <c r="C11211" t="s">
        <v>137</v>
      </c>
      <c r="D11211" s="1" t="str">
        <f t="shared" si="305"/>
        <v>PRG-1035930</v>
      </c>
      <c r="E11211" t="s">
        <v>138</v>
      </c>
      <c r="F11211" t="s">
        <v>4</v>
      </c>
      <c r="G11211" t="str">
        <f>""</f>
        <v/>
      </c>
    </row>
    <row r="11212" spans="1:7" x14ac:dyDescent="0.25">
      <c r="A11212" t="s">
        <v>8</v>
      </c>
      <c r="B11212" s="1" t="str">
        <f>"000307603 - RICHS SWEET DOUGH BB-SODEXO"</f>
        <v>000307603 - RICHS SWEET DOUGH BB-SODEXO</v>
      </c>
      <c r="C11212" t="s">
        <v>161</v>
      </c>
      <c r="D11212" s="1" t="str">
        <f t="shared" si="305"/>
        <v>PRG-1035930</v>
      </c>
      <c r="E11212" t="s">
        <v>138</v>
      </c>
      <c r="F11212" t="s">
        <v>4</v>
      </c>
      <c r="G11212" t="str">
        <f>""</f>
        <v/>
      </c>
    </row>
    <row r="11213" spans="1:7" x14ac:dyDescent="0.25">
      <c r="A11213" t="s">
        <v>8</v>
      </c>
      <c r="B11213" s="1" t="str">
        <f>"000309367 - RICHS SWEET DOUGH-SODEXO"</f>
        <v>000309367 - RICHS SWEET DOUGH-SODEXO</v>
      </c>
      <c r="C11213" t="s">
        <v>137</v>
      </c>
      <c r="D11213" s="1" t="str">
        <f t="shared" si="305"/>
        <v>PRG-1035930</v>
      </c>
      <c r="E11213" t="s">
        <v>138</v>
      </c>
      <c r="F11213" t="s">
        <v>4</v>
      </c>
      <c r="G11213" t="str">
        <f>""</f>
        <v/>
      </c>
    </row>
    <row r="11214" spans="1:7" x14ac:dyDescent="0.25">
      <c r="A11214" t="s">
        <v>8</v>
      </c>
      <c r="B11214" s="1" t="str">
        <f>"000313260 - RICHS SWEET DOUGH-SODEXO"</f>
        <v>000313260 - RICHS SWEET DOUGH-SODEXO</v>
      </c>
      <c r="C11214" t="s">
        <v>137</v>
      </c>
      <c r="D11214" s="1" t="str">
        <f t="shared" si="305"/>
        <v>PRG-1035930</v>
      </c>
      <c r="E11214" t="s">
        <v>138</v>
      </c>
      <c r="F11214" t="s">
        <v>4</v>
      </c>
      <c r="G11214" t="str">
        <f>""</f>
        <v/>
      </c>
    </row>
    <row r="11215" spans="1:7" x14ac:dyDescent="0.25">
      <c r="A11215" t="s">
        <v>8</v>
      </c>
      <c r="B11215" s="1" t="str">
        <f>"000315783 - RICHS SWEET DOUGH-SODEXO"</f>
        <v>000315783 - RICHS SWEET DOUGH-SODEXO</v>
      </c>
      <c r="C11215" t="s">
        <v>137</v>
      </c>
      <c r="D11215" s="1" t="str">
        <f t="shared" si="305"/>
        <v>PRG-1035930</v>
      </c>
      <c r="E11215" t="s">
        <v>138</v>
      </c>
      <c r="F11215" t="s">
        <v>4</v>
      </c>
      <c r="G11215" t="str">
        <f>""</f>
        <v/>
      </c>
    </row>
    <row r="11216" spans="1:7" x14ac:dyDescent="0.25">
      <c r="A11216" t="s">
        <v>8</v>
      </c>
      <c r="B11216" s="1" t="str">
        <f>"000317684 - RICHS SWEET DOUGH BB-SODEXO"</f>
        <v>000317684 - RICHS SWEET DOUGH BB-SODEXO</v>
      </c>
      <c r="C11216" t="s">
        <v>161</v>
      </c>
      <c r="D11216" s="1" t="str">
        <f t="shared" si="305"/>
        <v>PRG-1035930</v>
      </c>
      <c r="E11216" t="s">
        <v>138</v>
      </c>
      <c r="F11216" t="s">
        <v>4</v>
      </c>
      <c r="G11216" t="str">
        <f>""</f>
        <v/>
      </c>
    </row>
    <row r="11217" spans="1:7" x14ac:dyDescent="0.25">
      <c r="A11217" t="s">
        <v>8</v>
      </c>
      <c r="B11217" s="1" t="str">
        <f>"000319275 - RICHS SWEET DOUGH-SODEXO"</f>
        <v>000319275 - RICHS SWEET DOUGH-SODEXO</v>
      </c>
      <c r="C11217" t="s">
        <v>137</v>
      </c>
      <c r="D11217" s="1" t="str">
        <f t="shared" si="305"/>
        <v>PRG-1035930</v>
      </c>
      <c r="E11217" t="s">
        <v>138</v>
      </c>
      <c r="F11217" t="s">
        <v>4</v>
      </c>
      <c r="G11217" t="str">
        <f>""</f>
        <v/>
      </c>
    </row>
    <row r="11218" spans="1:7" x14ac:dyDescent="0.25">
      <c r="A11218" t="s">
        <v>8</v>
      </c>
      <c r="B11218" s="1" t="str">
        <f>"000320564 - RICHS SWEET DOUGH-SODEXO"</f>
        <v>000320564 - RICHS SWEET DOUGH-SODEXO</v>
      </c>
      <c r="C11218" t="s">
        <v>137</v>
      </c>
      <c r="D11218" s="1" t="str">
        <f t="shared" si="305"/>
        <v>PRG-1035930</v>
      </c>
      <c r="E11218" t="s">
        <v>138</v>
      </c>
      <c r="F11218" t="s">
        <v>4</v>
      </c>
      <c r="G11218" t="str">
        <f>""</f>
        <v/>
      </c>
    </row>
    <row r="11219" spans="1:7" x14ac:dyDescent="0.25">
      <c r="A11219" t="s">
        <v>8</v>
      </c>
      <c r="B11219" s="1" t="str">
        <f>"000321389 - RICHS SWEET DOUGH-SODEXO"</f>
        <v>000321389 - RICHS SWEET DOUGH-SODEXO</v>
      </c>
      <c r="C11219" t="s">
        <v>137</v>
      </c>
      <c r="D11219" s="1" t="str">
        <f t="shared" si="305"/>
        <v>PRG-1035930</v>
      </c>
      <c r="E11219" t="s">
        <v>138</v>
      </c>
      <c r="F11219" t="s">
        <v>4</v>
      </c>
      <c r="G11219" t="str">
        <f>""</f>
        <v/>
      </c>
    </row>
    <row r="11220" spans="1:7" x14ac:dyDescent="0.25">
      <c r="A11220" t="s">
        <v>8</v>
      </c>
      <c r="B11220" s="1" t="str">
        <f>"000324120 - RICHS SWEET DOUGH-SODEXO"</f>
        <v>000324120 - RICHS SWEET DOUGH-SODEXO</v>
      </c>
      <c r="C11220" t="s">
        <v>137</v>
      </c>
      <c r="D11220" s="1" t="str">
        <f t="shared" si="305"/>
        <v>PRG-1035930</v>
      </c>
      <c r="E11220" t="s">
        <v>138</v>
      </c>
      <c r="F11220" t="s">
        <v>4</v>
      </c>
      <c r="G11220" t="str">
        <f>""</f>
        <v/>
      </c>
    </row>
    <row r="11221" spans="1:7" x14ac:dyDescent="0.25">
      <c r="A11221" t="s">
        <v>8</v>
      </c>
      <c r="B11221" s="1" t="str">
        <f>"000326443 - RICHS SWEET DOUGH-SODEXO"</f>
        <v>000326443 - RICHS SWEET DOUGH-SODEXO</v>
      </c>
      <c r="C11221" t="s">
        <v>137</v>
      </c>
      <c r="D11221" s="1" t="str">
        <f t="shared" si="305"/>
        <v>PRG-1035930</v>
      </c>
      <c r="E11221" t="s">
        <v>138</v>
      </c>
      <c r="F11221" t="s">
        <v>4</v>
      </c>
      <c r="G11221" t="str">
        <f>""</f>
        <v/>
      </c>
    </row>
    <row r="11222" spans="1:7" x14ac:dyDescent="0.25">
      <c r="A11222" t="s">
        <v>8</v>
      </c>
      <c r="B11222" s="1" t="str">
        <f>"000327389 - RICHS SWEET DOUGH-SODEXO"</f>
        <v>000327389 - RICHS SWEET DOUGH-SODEXO</v>
      </c>
      <c r="C11222" t="s">
        <v>137</v>
      </c>
      <c r="D11222" s="1" t="str">
        <f t="shared" si="305"/>
        <v>PRG-1035930</v>
      </c>
      <c r="E11222" t="s">
        <v>138</v>
      </c>
      <c r="F11222" t="s">
        <v>4</v>
      </c>
      <c r="G11222" t="str">
        <f>""</f>
        <v/>
      </c>
    </row>
    <row r="11223" spans="1:7" x14ac:dyDescent="0.25">
      <c r="A11223" t="s">
        <v>8</v>
      </c>
      <c r="B11223" s="1" t="str">
        <f>"000328991 - "</f>
        <v xml:space="preserve">000328991 - </v>
      </c>
      <c r="D11223" s="1" t="str">
        <f t="shared" si="305"/>
        <v>PRG-1035930</v>
      </c>
      <c r="E11223" t="s">
        <v>138</v>
      </c>
      <c r="F11223" t="s">
        <v>4</v>
      </c>
      <c r="G11223" t="str">
        <f>""</f>
        <v/>
      </c>
    </row>
    <row r="11224" spans="1:7" x14ac:dyDescent="0.25">
      <c r="A11224" t="s">
        <v>8</v>
      </c>
      <c r="B11224" s="1" t="str">
        <f>"000329149 - RICHS SWEET DOUGH-SODEXO"</f>
        <v>000329149 - RICHS SWEET DOUGH-SODEXO</v>
      </c>
      <c r="C11224" t="s">
        <v>137</v>
      </c>
      <c r="D11224" s="1" t="str">
        <f t="shared" si="305"/>
        <v>PRG-1035930</v>
      </c>
      <c r="E11224" t="s">
        <v>138</v>
      </c>
      <c r="F11224" t="s">
        <v>4</v>
      </c>
      <c r="G11224" t="str">
        <f>""</f>
        <v/>
      </c>
    </row>
    <row r="11225" spans="1:7" x14ac:dyDescent="0.25">
      <c r="A11225" t="s">
        <v>8</v>
      </c>
      <c r="B11225" s="1" t="str">
        <f>"000329579 - RICHS SWEET DOUGH-SODEXO"</f>
        <v>000329579 - RICHS SWEET DOUGH-SODEXO</v>
      </c>
      <c r="C11225" t="s">
        <v>137</v>
      </c>
      <c r="D11225" s="1" t="str">
        <f t="shared" si="305"/>
        <v>PRG-1035930</v>
      </c>
      <c r="E11225" t="s">
        <v>138</v>
      </c>
      <c r="F11225" t="s">
        <v>4</v>
      </c>
      <c r="G11225" t="str">
        <f>""</f>
        <v/>
      </c>
    </row>
    <row r="11226" spans="1:7" x14ac:dyDescent="0.25">
      <c r="A11226" t="s">
        <v>8</v>
      </c>
      <c r="B11226" s="1" t="str">
        <f>"000333547 - RICHS SWEET DOUGH BB-SODEXO"</f>
        <v>000333547 - RICHS SWEET DOUGH BB-SODEXO</v>
      </c>
      <c r="C11226" t="s">
        <v>161</v>
      </c>
      <c r="D11226" s="1" t="str">
        <f t="shared" si="305"/>
        <v>PRG-1035930</v>
      </c>
      <c r="E11226" t="s">
        <v>138</v>
      </c>
      <c r="F11226" t="s">
        <v>4</v>
      </c>
      <c r="G11226" t="str">
        <f>""</f>
        <v/>
      </c>
    </row>
    <row r="11227" spans="1:7" x14ac:dyDescent="0.25">
      <c r="A11227" t="s">
        <v>8</v>
      </c>
      <c r="B11227" s="1" t="str">
        <f>"000336114 - RICHS SWEET DOUGH-SODEXO"</f>
        <v>000336114 - RICHS SWEET DOUGH-SODEXO</v>
      </c>
      <c r="C11227" t="s">
        <v>137</v>
      </c>
      <c r="D11227" s="1" t="str">
        <f t="shared" si="305"/>
        <v>PRG-1035930</v>
      </c>
      <c r="E11227" t="s">
        <v>138</v>
      </c>
      <c r="F11227" t="s">
        <v>4</v>
      </c>
      <c r="G11227" t="str">
        <f>""</f>
        <v/>
      </c>
    </row>
    <row r="11228" spans="1:7" x14ac:dyDescent="0.25">
      <c r="A11228" t="s">
        <v>8</v>
      </c>
      <c r="B11228" s="1" t="str">
        <f>"000339068 - RICHS SWEET DOUGH BB-SODEXO"</f>
        <v>000339068 - RICHS SWEET DOUGH BB-SODEXO</v>
      </c>
      <c r="C11228" t="s">
        <v>161</v>
      </c>
      <c r="D11228" s="1" t="str">
        <f t="shared" si="305"/>
        <v>PRG-1035930</v>
      </c>
      <c r="E11228" t="s">
        <v>138</v>
      </c>
      <c r="F11228" t="s">
        <v>4</v>
      </c>
      <c r="G11228" t="str">
        <f>""</f>
        <v/>
      </c>
    </row>
    <row r="11229" spans="1:7" x14ac:dyDescent="0.25">
      <c r="A11229" t="s">
        <v>8</v>
      </c>
      <c r="B11229" s="1" t="str">
        <f>"000339397 - "</f>
        <v xml:space="preserve">000339397 - </v>
      </c>
      <c r="D11229" s="1" t="str">
        <f t="shared" si="305"/>
        <v>PRG-1035930</v>
      </c>
      <c r="E11229" t="s">
        <v>138</v>
      </c>
      <c r="F11229" t="s">
        <v>4</v>
      </c>
      <c r="G11229" t="str">
        <f>""</f>
        <v/>
      </c>
    </row>
    <row r="11230" spans="1:7" x14ac:dyDescent="0.25">
      <c r="A11230" t="s">
        <v>8</v>
      </c>
      <c r="B11230" s="1" t="str">
        <f>"000341275 - RICHS SWEET DOUGH-SODEXO"</f>
        <v>000341275 - RICHS SWEET DOUGH-SODEXO</v>
      </c>
      <c r="C11230" t="s">
        <v>137</v>
      </c>
      <c r="D11230" s="1" t="str">
        <f t="shared" si="305"/>
        <v>PRG-1035930</v>
      </c>
      <c r="E11230" t="s">
        <v>138</v>
      </c>
      <c r="F11230" t="s">
        <v>4</v>
      </c>
      <c r="G11230" t="str">
        <f>""</f>
        <v/>
      </c>
    </row>
    <row r="11231" spans="1:7" x14ac:dyDescent="0.25">
      <c r="A11231" t="s">
        <v>8</v>
      </c>
      <c r="B11231" s="1" t="str">
        <f>"000343083 - "</f>
        <v xml:space="preserve">000343083 - </v>
      </c>
      <c r="D11231" s="1" t="str">
        <f t="shared" si="305"/>
        <v>PRG-1035930</v>
      </c>
      <c r="E11231" t="s">
        <v>138</v>
      </c>
      <c r="F11231" t="s">
        <v>4</v>
      </c>
      <c r="G11231" t="str">
        <f>""</f>
        <v/>
      </c>
    </row>
    <row r="11232" spans="1:7" x14ac:dyDescent="0.25">
      <c r="A11232" t="s">
        <v>8</v>
      </c>
      <c r="B11232" s="1" t="str">
        <f>"000345050 - RICHS SWEET DOUGH BB-SODEXO"</f>
        <v>000345050 - RICHS SWEET DOUGH BB-SODEXO</v>
      </c>
      <c r="C11232" t="s">
        <v>161</v>
      </c>
      <c r="D11232" s="1" t="str">
        <f t="shared" si="305"/>
        <v>PRG-1035930</v>
      </c>
      <c r="E11232" t="s">
        <v>138</v>
      </c>
      <c r="F11232" t="s">
        <v>4</v>
      </c>
      <c r="G11232" t="str">
        <f>""</f>
        <v/>
      </c>
    </row>
    <row r="11233" spans="1:7" x14ac:dyDescent="0.25">
      <c r="A11233" t="s">
        <v>8</v>
      </c>
      <c r="B11233" s="1" t="str">
        <f>"000345666 - RICHS SWEET DOUGH-SODEXO"</f>
        <v>000345666 - RICHS SWEET DOUGH-SODEXO</v>
      </c>
      <c r="C11233" t="s">
        <v>137</v>
      </c>
      <c r="D11233" s="1" t="str">
        <f t="shared" si="305"/>
        <v>PRG-1035930</v>
      </c>
      <c r="E11233" t="s">
        <v>138</v>
      </c>
      <c r="F11233" t="s">
        <v>4</v>
      </c>
      <c r="G11233" t="str">
        <f>""</f>
        <v/>
      </c>
    </row>
    <row r="11234" spans="1:7" x14ac:dyDescent="0.25">
      <c r="A11234" t="s">
        <v>8</v>
      </c>
      <c r="B11234" s="1" t="str">
        <f>"000347642 - RICHS SWEET DOUGH-SODEXO"</f>
        <v>000347642 - RICHS SWEET DOUGH-SODEXO</v>
      </c>
      <c r="C11234" t="s">
        <v>137</v>
      </c>
      <c r="D11234" s="1" t="str">
        <f t="shared" si="305"/>
        <v>PRG-1035930</v>
      </c>
      <c r="E11234" t="s">
        <v>138</v>
      </c>
      <c r="F11234" t="s">
        <v>4</v>
      </c>
      <c r="G11234" t="str">
        <f>""</f>
        <v/>
      </c>
    </row>
    <row r="11235" spans="1:7" x14ac:dyDescent="0.25">
      <c r="A11235" t="s">
        <v>8</v>
      </c>
      <c r="B11235" s="1" t="str">
        <f>"000348421 - RICHS SWEET DOUGH BB-SODEXO"</f>
        <v>000348421 - RICHS SWEET DOUGH BB-SODEXO</v>
      </c>
      <c r="C11235" t="s">
        <v>161</v>
      </c>
      <c r="D11235" s="1" t="str">
        <f t="shared" si="305"/>
        <v>PRG-1035930</v>
      </c>
      <c r="E11235" t="s">
        <v>138</v>
      </c>
      <c r="F11235" t="s">
        <v>4</v>
      </c>
      <c r="G11235" t="str">
        <f>""</f>
        <v/>
      </c>
    </row>
    <row r="11236" spans="1:7" x14ac:dyDescent="0.25">
      <c r="A11236" t="s">
        <v>8</v>
      </c>
      <c r="B11236" s="1" t="str">
        <f>"000349759 - RICHS SWEET DOUGH-SODEXO"</f>
        <v>000349759 - RICHS SWEET DOUGH-SODEXO</v>
      </c>
      <c r="C11236" t="s">
        <v>137</v>
      </c>
      <c r="D11236" s="1" t="str">
        <f t="shared" si="305"/>
        <v>PRG-1035930</v>
      </c>
      <c r="E11236" t="s">
        <v>138</v>
      </c>
      <c r="F11236" t="s">
        <v>4</v>
      </c>
      <c r="G11236" t="str">
        <f>""</f>
        <v/>
      </c>
    </row>
    <row r="11237" spans="1:7" x14ac:dyDescent="0.25">
      <c r="A11237" t="s">
        <v>8</v>
      </c>
      <c r="B11237" s="1" t="str">
        <f>"000350255 - "</f>
        <v xml:space="preserve">000350255 - </v>
      </c>
      <c r="D11237" s="1" t="str">
        <f t="shared" si="305"/>
        <v>PRG-1035930</v>
      </c>
      <c r="E11237" t="s">
        <v>138</v>
      </c>
      <c r="F11237" t="s">
        <v>4</v>
      </c>
      <c r="G11237" t="str">
        <f>""</f>
        <v/>
      </c>
    </row>
    <row r="11238" spans="1:7" x14ac:dyDescent="0.25">
      <c r="A11238" t="s">
        <v>8</v>
      </c>
      <c r="B11238" s="1" t="str">
        <f>"000350434 - RICHS SWEET DOUGH-SODEXO"</f>
        <v>000350434 - RICHS SWEET DOUGH-SODEXO</v>
      </c>
      <c r="C11238" t="s">
        <v>137</v>
      </c>
      <c r="D11238" s="1" t="str">
        <f t="shared" si="305"/>
        <v>PRG-1035930</v>
      </c>
      <c r="E11238" t="s">
        <v>138</v>
      </c>
      <c r="F11238" t="s">
        <v>4</v>
      </c>
      <c r="G11238" t="str">
        <f>""</f>
        <v/>
      </c>
    </row>
    <row r="11239" spans="1:7" x14ac:dyDescent="0.25">
      <c r="A11239" t="s">
        <v>8</v>
      </c>
      <c r="B11239" s="1" t="str">
        <f>"000351125 - RICHS SWEET DOUGH-SODEXO"</f>
        <v>000351125 - RICHS SWEET DOUGH-SODEXO</v>
      </c>
      <c r="C11239" t="s">
        <v>137</v>
      </c>
      <c r="D11239" s="1" t="str">
        <f t="shared" si="305"/>
        <v>PRG-1035930</v>
      </c>
      <c r="E11239" t="s">
        <v>138</v>
      </c>
      <c r="F11239" t="s">
        <v>4</v>
      </c>
      <c r="G11239" t="str">
        <f>""</f>
        <v/>
      </c>
    </row>
    <row r="11240" spans="1:7" x14ac:dyDescent="0.25">
      <c r="A11240" t="s">
        <v>8</v>
      </c>
      <c r="B11240" s="1" t="str">
        <f>"000353387 - RICHS SWEET DOUGH-SODEXO"</f>
        <v>000353387 - RICHS SWEET DOUGH-SODEXO</v>
      </c>
      <c r="C11240" t="s">
        <v>137</v>
      </c>
      <c r="D11240" s="1" t="str">
        <f t="shared" si="305"/>
        <v>PRG-1035930</v>
      </c>
      <c r="E11240" t="s">
        <v>138</v>
      </c>
      <c r="F11240" t="s">
        <v>4</v>
      </c>
      <c r="G11240" t="str">
        <f>""</f>
        <v/>
      </c>
    </row>
    <row r="11241" spans="1:7" x14ac:dyDescent="0.25">
      <c r="A11241" t="s">
        <v>8</v>
      </c>
      <c r="B11241" s="1" t="str">
        <f>"000356901 - RICHS SWEET DOUGH BB-SODEXO"</f>
        <v>000356901 - RICHS SWEET DOUGH BB-SODEXO</v>
      </c>
      <c r="C11241" t="s">
        <v>161</v>
      </c>
      <c r="D11241" s="1" t="str">
        <f t="shared" si="305"/>
        <v>PRG-1035930</v>
      </c>
      <c r="E11241" t="s">
        <v>138</v>
      </c>
      <c r="F11241" t="s">
        <v>4</v>
      </c>
      <c r="G11241" t="str">
        <f>""</f>
        <v/>
      </c>
    </row>
    <row r="11242" spans="1:7" x14ac:dyDescent="0.25">
      <c r="A11242" t="s">
        <v>8</v>
      </c>
      <c r="B11242" s="1" t="str">
        <f>"000357194 - RICHS SWEET DOUGH-SODEXO"</f>
        <v>000357194 - RICHS SWEET DOUGH-SODEXO</v>
      </c>
      <c r="C11242" t="s">
        <v>137</v>
      </c>
      <c r="D11242" s="1" t="str">
        <f t="shared" si="305"/>
        <v>PRG-1035930</v>
      </c>
      <c r="E11242" t="s">
        <v>138</v>
      </c>
      <c r="F11242" t="s">
        <v>4</v>
      </c>
      <c r="G11242" t="str">
        <f>""</f>
        <v/>
      </c>
    </row>
    <row r="11243" spans="1:7" x14ac:dyDescent="0.25">
      <c r="A11243" t="s">
        <v>8</v>
      </c>
      <c r="B11243" s="1" t="str">
        <f>"000358693 - RICHS SWEET DOUGH-SODEXO"</f>
        <v>000358693 - RICHS SWEET DOUGH-SODEXO</v>
      </c>
      <c r="C11243" t="s">
        <v>137</v>
      </c>
      <c r="D11243" s="1" t="str">
        <f t="shared" si="305"/>
        <v>PRG-1035930</v>
      </c>
      <c r="E11243" t="s">
        <v>138</v>
      </c>
      <c r="F11243" t="s">
        <v>4</v>
      </c>
      <c r="G11243" t="str">
        <f>""</f>
        <v/>
      </c>
    </row>
    <row r="11244" spans="1:7" x14ac:dyDescent="0.25">
      <c r="A11244" t="s">
        <v>8</v>
      </c>
      <c r="B11244" s="1" t="str">
        <f>"000358701 - RICHS SWEET DOUGH-SODEXO"</f>
        <v>000358701 - RICHS SWEET DOUGH-SODEXO</v>
      </c>
      <c r="C11244" t="s">
        <v>137</v>
      </c>
      <c r="D11244" s="1" t="str">
        <f t="shared" si="305"/>
        <v>PRG-1035930</v>
      </c>
      <c r="E11244" t="s">
        <v>138</v>
      </c>
      <c r="F11244" t="s">
        <v>4</v>
      </c>
      <c r="G11244" t="str">
        <f>""</f>
        <v/>
      </c>
    </row>
    <row r="11245" spans="1:7" x14ac:dyDescent="0.25">
      <c r="A11245" t="s">
        <v>8</v>
      </c>
      <c r="B11245" s="1" t="str">
        <f>"000359158 - RICHS SWEET DOUGH BB-SODEXO"</f>
        <v>000359158 - RICHS SWEET DOUGH BB-SODEXO</v>
      </c>
      <c r="C11245" t="s">
        <v>161</v>
      </c>
      <c r="D11245" s="1" t="str">
        <f t="shared" si="305"/>
        <v>PRG-1035930</v>
      </c>
      <c r="E11245" t="s">
        <v>138</v>
      </c>
      <c r="F11245" t="s">
        <v>4</v>
      </c>
      <c r="G11245" t="str">
        <f>""</f>
        <v/>
      </c>
    </row>
    <row r="11246" spans="1:7" x14ac:dyDescent="0.25">
      <c r="A11246" t="s">
        <v>8</v>
      </c>
      <c r="B11246" s="1" t="str">
        <f>"000360431 - "</f>
        <v xml:space="preserve">000360431 - </v>
      </c>
      <c r="D11246" s="1" t="str">
        <f t="shared" si="305"/>
        <v>PRG-1035930</v>
      </c>
      <c r="E11246" t="s">
        <v>138</v>
      </c>
      <c r="F11246" t="s">
        <v>4</v>
      </c>
      <c r="G11246" t="str">
        <f>""</f>
        <v/>
      </c>
    </row>
    <row r="11247" spans="1:7" x14ac:dyDescent="0.25">
      <c r="A11247" t="s">
        <v>8</v>
      </c>
      <c r="B11247" s="1" t="str">
        <f>"000360460 - RICHS SWEET DOUGH-SODEXO"</f>
        <v>000360460 - RICHS SWEET DOUGH-SODEXO</v>
      </c>
      <c r="C11247" t="s">
        <v>137</v>
      </c>
      <c r="D11247" s="1" t="str">
        <f t="shared" si="305"/>
        <v>PRG-1035930</v>
      </c>
      <c r="E11247" t="s">
        <v>138</v>
      </c>
      <c r="F11247" t="s">
        <v>4</v>
      </c>
      <c r="G11247" t="str">
        <f>""</f>
        <v/>
      </c>
    </row>
    <row r="11248" spans="1:7" x14ac:dyDescent="0.25">
      <c r="A11248" t="s">
        <v>8</v>
      </c>
      <c r="B11248" s="1" t="str">
        <f>"000361146 - RICHS SWEET DOUGH-SODEXO"</f>
        <v>000361146 - RICHS SWEET DOUGH-SODEXO</v>
      </c>
      <c r="C11248" t="s">
        <v>137</v>
      </c>
      <c r="D11248" s="1" t="str">
        <f t="shared" si="305"/>
        <v>PRG-1035930</v>
      </c>
      <c r="E11248" t="s">
        <v>138</v>
      </c>
      <c r="F11248" t="s">
        <v>4</v>
      </c>
      <c r="G11248" t="str">
        <f>""</f>
        <v/>
      </c>
    </row>
    <row r="11249" spans="1:7" x14ac:dyDescent="0.25">
      <c r="A11249" t="s">
        <v>8</v>
      </c>
      <c r="B11249" s="1" t="str">
        <f>"000362593 - "</f>
        <v xml:space="preserve">000362593 - </v>
      </c>
      <c r="D11249" s="1" t="str">
        <f t="shared" si="305"/>
        <v>PRG-1035930</v>
      </c>
      <c r="E11249" t="s">
        <v>138</v>
      </c>
      <c r="F11249" t="s">
        <v>4</v>
      </c>
      <c r="G11249" t="str">
        <f>""</f>
        <v/>
      </c>
    </row>
    <row r="11250" spans="1:7" x14ac:dyDescent="0.25">
      <c r="A11250" t="s">
        <v>8</v>
      </c>
      <c r="B11250" s="1" t="str">
        <f>"000362615 - RICHS SWEET DOUGH-SODEXO"</f>
        <v>000362615 - RICHS SWEET DOUGH-SODEXO</v>
      </c>
      <c r="C11250" t="s">
        <v>137</v>
      </c>
      <c r="D11250" s="1" t="str">
        <f t="shared" si="305"/>
        <v>PRG-1035930</v>
      </c>
      <c r="E11250" t="s">
        <v>138</v>
      </c>
      <c r="F11250" t="s">
        <v>4</v>
      </c>
      <c r="G11250" t="str">
        <f>""</f>
        <v/>
      </c>
    </row>
    <row r="11251" spans="1:7" x14ac:dyDescent="0.25">
      <c r="A11251" t="s">
        <v>8</v>
      </c>
      <c r="B11251" s="1" t="str">
        <f>"000362655 - RICHS SWEET DOUGH BB-SODEXO"</f>
        <v>000362655 - RICHS SWEET DOUGH BB-SODEXO</v>
      </c>
      <c r="C11251" t="s">
        <v>161</v>
      </c>
      <c r="D11251" s="1" t="str">
        <f t="shared" si="305"/>
        <v>PRG-1035930</v>
      </c>
      <c r="E11251" t="s">
        <v>138</v>
      </c>
      <c r="F11251" t="s">
        <v>4</v>
      </c>
      <c r="G11251" t="str">
        <f>""</f>
        <v/>
      </c>
    </row>
    <row r="11252" spans="1:7" x14ac:dyDescent="0.25">
      <c r="A11252" t="s">
        <v>8</v>
      </c>
      <c r="B11252" s="1" t="str">
        <f>"000363303 - RICHS SWEET DOUGH BB-SODEXO"</f>
        <v>000363303 - RICHS SWEET DOUGH BB-SODEXO</v>
      </c>
      <c r="C11252" t="s">
        <v>161</v>
      </c>
      <c r="D11252" s="1" t="str">
        <f t="shared" si="305"/>
        <v>PRG-1035930</v>
      </c>
      <c r="E11252" t="s">
        <v>138</v>
      </c>
      <c r="F11252" t="s">
        <v>4</v>
      </c>
      <c r="G11252" t="str">
        <f>""</f>
        <v/>
      </c>
    </row>
    <row r="11253" spans="1:7" x14ac:dyDescent="0.25">
      <c r="A11253" t="s">
        <v>8</v>
      </c>
      <c r="B11253" s="1" t="str">
        <f>"000365009 - RICHS SWEET DOUGH-SODEXO"</f>
        <v>000365009 - RICHS SWEET DOUGH-SODEXO</v>
      </c>
      <c r="C11253" t="s">
        <v>137</v>
      </c>
      <c r="D11253" s="1" t="str">
        <f t="shared" si="305"/>
        <v>PRG-1035930</v>
      </c>
      <c r="E11253" t="s">
        <v>138</v>
      </c>
      <c r="F11253" t="s">
        <v>4</v>
      </c>
      <c r="G11253" t="str">
        <f>""</f>
        <v/>
      </c>
    </row>
    <row r="11254" spans="1:7" x14ac:dyDescent="0.25">
      <c r="A11254" t="s">
        <v>8</v>
      </c>
      <c r="B11254" s="1" t="str">
        <f>"000373832 - RICHS SWEET DOUGH-SODEXO"</f>
        <v>000373832 - RICHS SWEET DOUGH-SODEXO</v>
      </c>
      <c r="C11254" t="s">
        <v>137</v>
      </c>
      <c r="D11254" s="1" t="str">
        <f t="shared" si="305"/>
        <v>PRG-1035930</v>
      </c>
      <c r="E11254" t="s">
        <v>138</v>
      </c>
      <c r="F11254" t="s">
        <v>4</v>
      </c>
      <c r="G11254" t="str">
        <f>""</f>
        <v/>
      </c>
    </row>
    <row r="11255" spans="1:7" x14ac:dyDescent="0.25">
      <c r="A11255" t="s">
        <v>8</v>
      </c>
      <c r="B11255" s="1" t="str">
        <f>"000375393 - RICHS SWEET DOUGH BB-SODEXO"</f>
        <v>000375393 - RICHS SWEET DOUGH BB-SODEXO</v>
      </c>
      <c r="C11255" t="s">
        <v>161</v>
      </c>
      <c r="D11255" s="1" t="str">
        <f t="shared" ref="D11255:D11269" si="306">"PRG-1035930"</f>
        <v>PRG-1035930</v>
      </c>
      <c r="E11255" t="s">
        <v>138</v>
      </c>
      <c r="F11255" t="s">
        <v>4</v>
      </c>
      <c r="G11255" t="str">
        <f>""</f>
        <v/>
      </c>
    </row>
    <row r="11256" spans="1:7" x14ac:dyDescent="0.25">
      <c r="A11256" t="s">
        <v>8</v>
      </c>
      <c r="B11256" s="1" t="str">
        <f>"000377615 - RICHS SWEET DOUGH-SODEXO"</f>
        <v>000377615 - RICHS SWEET DOUGH-SODEXO</v>
      </c>
      <c r="C11256" t="s">
        <v>137</v>
      </c>
      <c r="D11256" s="1" t="str">
        <f t="shared" si="306"/>
        <v>PRG-1035930</v>
      </c>
      <c r="E11256" t="s">
        <v>138</v>
      </c>
      <c r="F11256" t="s">
        <v>4</v>
      </c>
      <c r="G11256" t="str">
        <f>""</f>
        <v/>
      </c>
    </row>
    <row r="11257" spans="1:7" x14ac:dyDescent="0.25">
      <c r="A11257" t="s">
        <v>8</v>
      </c>
      <c r="B11257" s="1" t="str">
        <f>"000386897 - RICHS SWEET DOUGH-SODEXO"</f>
        <v>000386897 - RICHS SWEET DOUGH-SODEXO</v>
      </c>
      <c r="C11257" t="s">
        <v>137</v>
      </c>
      <c r="D11257" s="1" t="str">
        <f t="shared" si="306"/>
        <v>PRG-1035930</v>
      </c>
      <c r="E11257" t="s">
        <v>138</v>
      </c>
      <c r="F11257" t="s">
        <v>4</v>
      </c>
      <c r="G11257" t="str">
        <f>""</f>
        <v/>
      </c>
    </row>
    <row r="11258" spans="1:7" x14ac:dyDescent="0.25">
      <c r="A11258" t="s">
        <v>8</v>
      </c>
      <c r="B11258" s="1" t="str">
        <f>"000387442 - "</f>
        <v xml:space="preserve">000387442 - </v>
      </c>
      <c r="D11258" s="1" t="str">
        <f t="shared" si="306"/>
        <v>PRG-1035930</v>
      </c>
      <c r="E11258" t="s">
        <v>138</v>
      </c>
      <c r="F11258" t="s">
        <v>4</v>
      </c>
      <c r="G11258" t="str">
        <f>""</f>
        <v/>
      </c>
    </row>
    <row r="11259" spans="1:7" x14ac:dyDescent="0.25">
      <c r="A11259" t="s">
        <v>8</v>
      </c>
      <c r="B11259" s="1" t="str">
        <f>"000389043 - RICHS SWEET DOUGH-SODEXO"</f>
        <v>000389043 - RICHS SWEET DOUGH-SODEXO</v>
      </c>
      <c r="C11259" t="s">
        <v>137</v>
      </c>
      <c r="D11259" s="1" t="str">
        <f t="shared" si="306"/>
        <v>PRG-1035930</v>
      </c>
      <c r="E11259" t="s">
        <v>138</v>
      </c>
      <c r="F11259" t="s">
        <v>4</v>
      </c>
      <c r="G11259" t="str">
        <f>""</f>
        <v/>
      </c>
    </row>
    <row r="11260" spans="1:7" x14ac:dyDescent="0.25">
      <c r="A11260" t="s">
        <v>8</v>
      </c>
      <c r="B11260" s="1" t="str">
        <f>"000389060 - "</f>
        <v xml:space="preserve">000389060 - </v>
      </c>
      <c r="D11260" s="1" t="str">
        <f t="shared" si="306"/>
        <v>PRG-1035930</v>
      </c>
      <c r="E11260" t="s">
        <v>138</v>
      </c>
      <c r="F11260" t="s">
        <v>4</v>
      </c>
      <c r="G11260" t="str">
        <f>""</f>
        <v/>
      </c>
    </row>
    <row r="11261" spans="1:7" x14ac:dyDescent="0.25">
      <c r="A11261" t="s">
        <v>8</v>
      </c>
      <c r="B11261" s="1" t="str">
        <f>"000389423 - RICHS SWEET DOUGH BB-SODEXO"</f>
        <v>000389423 - RICHS SWEET DOUGH BB-SODEXO</v>
      </c>
      <c r="C11261" t="s">
        <v>161</v>
      </c>
      <c r="D11261" s="1" t="str">
        <f t="shared" si="306"/>
        <v>PRG-1035930</v>
      </c>
      <c r="E11261" t="s">
        <v>138</v>
      </c>
      <c r="F11261" t="s">
        <v>4</v>
      </c>
      <c r="G11261" t="str">
        <f>""</f>
        <v/>
      </c>
    </row>
    <row r="11262" spans="1:7" x14ac:dyDescent="0.25">
      <c r="A11262" t="s">
        <v>8</v>
      </c>
      <c r="B11262" s="1" t="str">
        <f>"000391395 - RICHS SWEET DOUGH-SODEXO"</f>
        <v>000391395 - RICHS SWEET DOUGH-SODEXO</v>
      </c>
      <c r="C11262" t="s">
        <v>137</v>
      </c>
      <c r="D11262" s="1" t="str">
        <f t="shared" si="306"/>
        <v>PRG-1035930</v>
      </c>
      <c r="E11262" t="s">
        <v>138</v>
      </c>
      <c r="F11262" t="s">
        <v>4</v>
      </c>
      <c r="G11262" t="str">
        <f>""</f>
        <v/>
      </c>
    </row>
    <row r="11263" spans="1:7" x14ac:dyDescent="0.25">
      <c r="A11263" t="s">
        <v>8</v>
      </c>
      <c r="B11263" s="1" t="str">
        <f>"000391539 - RICHS SWEET DOUGH-SODEXO"</f>
        <v>000391539 - RICHS SWEET DOUGH-SODEXO</v>
      </c>
      <c r="C11263" t="s">
        <v>137</v>
      </c>
      <c r="D11263" s="1" t="str">
        <f t="shared" si="306"/>
        <v>PRG-1035930</v>
      </c>
      <c r="E11263" t="s">
        <v>138</v>
      </c>
      <c r="F11263" t="s">
        <v>4</v>
      </c>
      <c r="G11263" t="str">
        <f>""</f>
        <v/>
      </c>
    </row>
    <row r="11264" spans="1:7" x14ac:dyDescent="0.25">
      <c r="A11264" t="s">
        <v>8</v>
      </c>
      <c r="B11264" s="1" t="str">
        <f>"000399697 - RICHS SWEET DOUGH-SODEXO"</f>
        <v>000399697 - RICHS SWEET DOUGH-SODEXO</v>
      </c>
      <c r="C11264" t="s">
        <v>137</v>
      </c>
      <c r="D11264" s="1" t="str">
        <f t="shared" si="306"/>
        <v>PRG-1035930</v>
      </c>
      <c r="E11264" t="s">
        <v>138</v>
      </c>
      <c r="F11264" t="s">
        <v>4</v>
      </c>
      <c r="G11264" t="str">
        <f>""</f>
        <v/>
      </c>
    </row>
    <row r="11265" spans="1:7" x14ac:dyDescent="0.25">
      <c r="A11265" t="s">
        <v>8</v>
      </c>
      <c r="B11265" s="1" t="str">
        <f>"2000346411 - RICHS SWEET DOUGH-SODEXO"</f>
        <v>2000346411 - RICHS SWEET DOUGH-SODEXO</v>
      </c>
      <c r="C11265" t="s">
        <v>137</v>
      </c>
      <c r="D11265" s="1" t="str">
        <f t="shared" si="306"/>
        <v>PRG-1035930</v>
      </c>
      <c r="E11265" t="s">
        <v>138</v>
      </c>
      <c r="F11265" t="s">
        <v>4</v>
      </c>
      <c r="G11265" t="str">
        <f>""</f>
        <v/>
      </c>
    </row>
    <row r="11266" spans="1:7" x14ac:dyDescent="0.25">
      <c r="A11266" t="s">
        <v>8</v>
      </c>
      <c r="B11266" s="1" t="str">
        <f>"2000439727 - RICHS SWEET DOUGH-SODEXO"</f>
        <v>2000439727 - RICHS SWEET DOUGH-SODEXO</v>
      </c>
      <c r="C11266" t="s">
        <v>137</v>
      </c>
      <c r="D11266" s="1" t="str">
        <f t="shared" si="306"/>
        <v>PRG-1035930</v>
      </c>
      <c r="E11266" t="s">
        <v>138</v>
      </c>
      <c r="F11266" t="s">
        <v>4</v>
      </c>
      <c r="G11266" t="str">
        <f>""</f>
        <v/>
      </c>
    </row>
    <row r="11267" spans="1:7" x14ac:dyDescent="0.25">
      <c r="A11267" t="s">
        <v>8</v>
      </c>
      <c r="B11267" s="1" t="str">
        <f>"281126 - "</f>
        <v xml:space="preserve">281126 - </v>
      </c>
      <c r="D11267" s="1" t="str">
        <f t="shared" si="306"/>
        <v>PRG-1035930</v>
      </c>
      <c r="E11267" t="s">
        <v>138</v>
      </c>
      <c r="F11267" t="s">
        <v>4</v>
      </c>
      <c r="G11267" t="str">
        <f>""</f>
        <v/>
      </c>
    </row>
    <row r="11268" spans="1:7" x14ac:dyDescent="0.25">
      <c r="A11268" t="s">
        <v>8</v>
      </c>
      <c r="B11268" s="1" t="str">
        <f>"336024 - "</f>
        <v xml:space="preserve">336024 - </v>
      </c>
      <c r="D11268" s="1" t="str">
        <f t="shared" si="306"/>
        <v>PRG-1035930</v>
      </c>
      <c r="E11268" t="s">
        <v>138</v>
      </c>
      <c r="F11268" t="s">
        <v>4</v>
      </c>
      <c r="G11268" t="str">
        <f>""</f>
        <v/>
      </c>
    </row>
    <row r="11269" spans="1:7" x14ac:dyDescent="0.25">
      <c r="A11269" t="s">
        <v>8</v>
      </c>
      <c r="B11269" s="1" t="str">
        <f>"366680 - "</f>
        <v xml:space="preserve">366680 - </v>
      </c>
      <c r="D11269" s="1" t="str">
        <f t="shared" si="306"/>
        <v>PRG-1035930</v>
      </c>
      <c r="E11269" t="s">
        <v>138</v>
      </c>
      <c r="F11269" t="s">
        <v>4</v>
      </c>
      <c r="G11269" t="str">
        <f>""</f>
        <v/>
      </c>
    </row>
    <row r="11270" spans="1:7" x14ac:dyDescent="0.25">
      <c r="A11270" t="s">
        <v>8</v>
      </c>
      <c r="B11270" s="1" t="str">
        <f>"000343682 - RICH FOODS-AVENDRA"</f>
        <v>000343682 - RICH FOODS-AVENDRA</v>
      </c>
      <c r="C11270" t="s">
        <v>1456</v>
      </c>
      <c r="D11270" s="1" t="str">
        <f>"PRG-1035933"</f>
        <v>PRG-1035933</v>
      </c>
      <c r="E11270" t="s">
        <v>1857</v>
      </c>
      <c r="F11270" t="s">
        <v>4</v>
      </c>
      <c r="G11270" t="str">
        <f>""</f>
        <v/>
      </c>
    </row>
    <row r="11271" spans="1:7" x14ac:dyDescent="0.25">
      <c r="A11271" t="s">
        <v>8</v>
      </c>
      <c r="B11271" s="1" t="str">
        <f>"000348278 - RICH FOODS-AVENDRA"</f>
        <v>000348278 - RICH FOODS-AVENDRA</v>
      </c>
      <c r="C11271" t="s">
        <v>1456</v>
      </c>
      <c r="D11271" s="1" t="str">
        <f>"PRG-1035933"</f>
        <v>PRG-1035933</v>
      </c>
      <c r="E11271" t="s">
        <v>1857</v>
      </c>
      <c r="F11271" t="s">
        <v>4</v>
      </c>
      <c r="G11271" t="str">
        <f>""</f>
        <v/>
      </c>
    </row>
    <row r="11272" spans="1:7" x14ac:dyDescent="0.25">
      <c r="A11272" t="s">
        <v>8</v>
      </c>
      <c r="B11272" s="1" t="str">
        <f>"000350734 - RICH FOODS-AVENDRA"</f>
        <v>000350734 - RICH FOODS-AVENDRA</v>
      </c>
      <c r="C11272" t="s">
        <v>1456</v>
      </c>
      <c r="D11272" s="1" t="str">
        <f>"PRG-1035933"</f>
        <v>PRG-1035933</v>
      </c>
      <c r="E11272" t="s">
        <v>1857</v>
      </c>
      <c r="F11272" t="s">
        <v>4</v>
      </c>
      <c r="G11272" t="str">
        <f>""</f>
        <v/>
      </c>
    </row>
    <row r="11273" spans="1:7" x14ac:dyDescent="0.25">
      <c r="A11273" t="s">
        <v>8</v>
      </c>
      <c r="B11273" s="1" t="str">
        <f>"000352553 - RICH FOODS-AVENDRA"</f>
        <v>000352553 - RICH FOODS-AVENDRA</v>
      </c>
      <c r="C11273" t="s">
        <v>1456</v>
      </c>
      <c r="D11273" s="1" t="str">
        <f>"PRG-1035933"</f>
        <v>PRG-1035933</v>
      </c>
      <c r="E11273" t="s">
        <v>1857</v>
      </c>
      <c r="F11273" t="s">
        <v>4</v>
      </c>
      <c r="G11273" t="str">
        <f>""</f>
        <v/>
      </c>
    </row>
    <row r="11274" spans="1:7" x14ac:dyDescent="0.25">
      <c r="A11274" t="s">
        <v>8</v>
      </c>
      <c r="B11274" s="1" t="str">
        <f>"000011268 - "</f>
        <v xml:space="preserve">000011268 - </v>
      </c>
      <c r="D11274" s="1" t="str">
        <f t="shared" ref="D11274:D11293" si="307">"PRG-1035935"</f>
        <v>PRG-1035935</v>
      </c>
      <c r="E11274" t="s">
        <v>243</v>
      </c>
      <c r="F11274" t="s">
        <v>4</v>
      </c>
      <c r="G11274" t="str">
        <f>""</f>
        <v/>
      </c>
    </row>
    <row r="11275" spans="1:7" x14ac:dyDescent="0.25">
      <c r="A11275" t="s">
        <v>8</v>
      </c>
      <c r="B11275" s="1" t="str">
        <f>"000015774 - RICH FOODS-CENTERPLATE"</f>
        <v>000015774 - RICH FOODS-CENTERPLATE</v>
      </c>
      <c r="C11275" t="s">
        <v>242</v>
      </c>
      <c r="D11275" s="1" t="str">
        <f t="shared" si="307"/>
        <v>PRG-1035935</v>
      </c>
      <c r="E11275" t="s">
        <v>243</v>
      </c>
      <c r="F11275" t="s">
        <v>4</v>
      </c>
      <c r="G11275" t="str">
        <f>""</f>
        <v/>
      </c>
    </row>
    <row r="11276" spans="1:7" x14ac:dyDescent="0.25">
      <c r="A11276" t="s">
        <v>8</v>
      </c>
      <c r="B11276" s="1" t="str">
        <f>"000061009 - RICH FOODS-CENTERPLATE"</f>
        <v>000061009 - RICH FOODS-CENTERPLATE</v>
      </c>
      <c r="C11276" t="s">
        <v>242</v>
      </c>
      <c r="D11276" s="1" t="str">
        <f t="shared" si="307"/>
        <v>PRG-1035935</v>
      </c>
      <c r="E11276" t="s">
        <v>243</v>
      </c>
      <c r="F11276" t="s">
        <v>4</v>
      </c>
      <c r="G11276" t="str">
        <f>""</f>
        <v/>
      </c>
    </row>
    <row r="11277" spans="1:7" x14ac:dyDescent="0.25">
      <c r="A11277" t="s">
        <v>8</v>
      </c>
      <c r="B11277" s="1" t="str">
        <f>"000153464 - RICH FOODS-CENTERPLATE"</f>
        <v>000153464 - RICH FOODS-CENTERPLATE</v>
      </c>
      <c r="C11277" t="s">
        <v>242</v>
      </c>
      <c r="D11277" s="1" t="str">
        <f t="shared" si="307"/>
        <v>PRG-1035935</v>
      </c>
      <c r="E11277" t="s">
        <v>243</v>
      </c>
      <c r="F11277" t="s">
        <v>4</v>
      </c>
      <c r="G11277" t="str">
        <f>""</f>
        <v/>
      </c>
    </row>
    <row r="11278" spans="1:7" x14ac:dyDescent="0.25">
      <c r="A11278" t="s">
        <v>8</v>
      </c>
      <c r="B11278" s="1" t="str">
        <f>"000161704 - "</f>
        <v xml:space="preserve">000161704 - </v>
      </c>
      <c r="D11278" s="1" t="str">
        <f t="shared" si="307"/>
        <v>PRG-1035935</v>
      </c>
      <c r="E11278" t="s">
        <v>243</v>
      </c>
      <c r="F11278" t="s">
        <v>4</v>
      </c>
      <c r="G11278" t="str">
        <f>""</f>
        <v/>
      </c>
    </row>
    <row r="11279" spans="1:7" x14ac:dyDescent="0.25">
      <c r="A11279" t="s">
        <v>8</v>
      </c>
      <c r="B11279" s="1" t="str">
        <f>"000221836 - RICH FOODS-CENTERPLATE"</f>
        <v>000221836 - RICH FOODS-CENTERPLATE</v>
      </c>
      <c r="C11279" t="s">
        <v>242</v>
      </c>
      <c r="D11279" s="1" t="str">
        <f t="shared" si="307"/>
        <v>PRG-1035935</v>
      </c>
      <c r="E11279" t="s">
        <v>243</v>
      </c>
      <c r="F11279" t="s">
        <v>4</v>
      </c>
      <c r="G11279" t="str">
        <f>""</f>
        <v/>
      </c>
    </row>
    <row r="11280" spans="1:7" x14ac:dyDescent="0.25">
      <c r="A11280" t="s">
        <v>8</v>
      </c>
      <c r="B11280" s="1" t="str">
        <f>"000229063 - RICH FOODS-CENTERPLATE"</f>
        <v>000229063 - RICH FOODS-CENTERPLATE</v>
      </c>
      <c r="C11280" t="s">
        <v>242</v>
      </c>
      <c r="D11280" s="1" t="str">
        <f t="shared" si="307"/>
        <v>PRG-1035935</v>
      </c>
      <c r="E11280" t="s">
        <v>243</v>
      </c>
      <c r="F11280" t="s">
        <v>4</v>
      </c>
      <c r="G11280" t="str">
        <f>""</f>
        <v/>
      </c>
    </row>
    <row r="11281" spans="1:7" x14ac:dyDescent="0.25">
      <c r="A11281" t="s">
        <v>8</v>
      </c>
      <c r="B11281" s="1" t="str">
        <f>"000262007 - RICH FOODS-CENTERPLATE"</f>
        <v>000262007 - RICH FOODS-CENTERPLATE</v>
      </c>
      <c r="C11281" t="s">
        <v>242</v>
      </c>
      <c r="D11281" s="1" t="str">
        <f t="shared" si="307"/>
        <v>PRG-1035935</v>
      </c>
      <c r="E11281" t="s">
        <v>243</v>
      </c>
      <c r="F11281" t="s">
        <v>4</v>
      </c>
      <c r="G11281" t="str">
        <f>""</f>
        <v/>
      </c>
    </row>
    <row r="11282" spans="1:7" x14ac:dyDescent="0.25">
      <c r="A11282" t="s">
        <v>8</v>
      </c>
      <c r="B11282" s="1" t="str">
        <f>"000270599 - RICH FOODS-CENTERPLATE"</f>
        <v>000270599 - RICH FOODS-CENTERPLATE</v>
      </c>
      <c r="C11282" t="s">
        <v>242</v>
      </c>
      <c r="D11282" s="1" t="str">
        <f t="shared" si="307"/>
        <v>PRG-1035935</v>
      </c>
      <c r="E11282" t="s">
        <v>243</v>
      </c>
      <c r="F11282" t="s">
        <v>4</v>
      </c>
      <c r="G11282" t="str">
        <f>""</f>
        <v/>
      </c>
    </row>
    <row r="11283" spans="1:7" x14ac:dyDescent="0.25">
      <c r="A11283" t="s">
        <v>8</v>
      </c>
      <c r="B11283" s="1" t="str">
        <f>"000275233 - RICH FOODS-CENTERPLATE"</f>
        <v>000275233 - RICH FOODS-CENTERPLATE</v>
      </c>
      <c r="C11283" t="s">
        <v>242</v>
      </c>
      <c r="D11283" s="1" t="str">
        <f t="shared" si="307"/>
        <v>PRG-1035935</v>
      </c>
      <c r="E11283" t="s">
        <v>243</v>
      </c>
      <c r="F11283" t="s">
        <v>4</v>
      </c>
      <c r="G11283" t="str">
        <f>""</f>
        <v/>
      </c>
    </row>
    <row r="11284" spans="1:7" x14ac:dyDescent="0.25">
      <c r="A11284" t="s">
        <v>8</v>
      </c>
      <c r="B11284" s="1" t="str">
        <f>"000276647 - RICH FOODS-CENTERPLATE"</f>
        <v>000276647 - RICH FOODS-CENTERPLATE</v>
      </c>
      <c r="C11284" t="s">
        <v>242</v>
      </c>
      <c r="D11284" s="1" t="str">
        <f t="shared" si="307"/>
        <v>PRG-1035935</v>
      </c>
      <c r="E11284" t="s">
        <v>243</v>
      </c>
      <c r="F11284" t="s">
        <v>4</v>
      </c>
      <c r="G11284" t="str">
        <f>""</f>
        <v/>
      </c>
    </row>
    <row r="11285" spans="1:7" x14ac:dyDescent="0.25">
      <c r="A11285" t="s">
        <v>8</v>
      </c>
      <c r="B11285" s="1" t="str">
        <f>"000278595 - RICH FOODS-CENTERPLATE"</f>
        <v>000278595 - RICH FOODS-CENTERPLATE</v>
      </c>
      <c r="C11285" t="s">
        <v>242</v>
      </c>
      <c r="D11285" s="1" t="str">
        <f t="shared" si="307"/>
        <v>PRG-1035935</v>
      </c>
      <c r="E11285" t="s">
        <v>243</v>
      </c>
      <c r="F11285" t="s">
        <v>4</v>
      </c>
      <c r="G11285" t="str">
        <f>""</f>
        <v/>
      </c>
    </row>
    <row r="11286" spans="1:7" x14ac:dyDescent="0.25">
      <c r="A11286" t="s">
        <v>8</v>
      </c>
      <c r="B11286" s="1" t="str">
        <f>"000282845 - RICH FOODS-CENTERPLATE"</f>
        <v>000282845 - RICH FOODS-CENTERPLATE</v>
      </c>
      <c r="C11286" t="s">
        <v>242</v>
      </c>
      <c r="D11286" s="1" t="str">
        <f t="shared" si="307"/>
        <v>PRG-1035935</v>
      </c>
      <c r="E11286" t="s">
        <v>243</v>
      </c>
      <c r="F11286" t="s">
        <v>4</v>
      </c>
      <c r="G11286" t="str">
        <f>""</f>
        <v/>
      </c>
    </row>
    <row r="11287" spans="1:7" x14ac:dyDescent="0.25">
      <c r="A11287" t="s">
        <v>8</v>
      </c>
      <c r="B11287" s="1" t="str">
        <f>"000306193 - RICH FOODS-CENTERPLATE"</f>
        <v>000306193 - RICH FOODS-CENTERPLATE</v>
      </c>
      <c r="C11287" t="s">
        <v>242</v>
      </c>
      <c r="D11287" s="1" t="str">
        <f t="shared" si="307"/>
        <v>PRG-1035935</v>
      </c>
      <c r="E11287" t="s">
        <v>243</v>
      </c>
      <c r="F11287" t="s">
        <v>4</v>
      </c>
      <c r="G11287" t="str">
        <f>""</f>
        <v/>
      </c>
    </row>
    <row r="11288" spans="1:7" x14ac:dyDescent="0.25">
      <c r="A11288" t="s">
        <v>8</v>
      </c>
      <c r="B11288" s="1" t="str">
        <f>"000325719 - "</f>
        <v xml:space="preserve">000325719 - </v>
      </c>
      <c r="D11288" s="1" t="str">
        <f t="shared" si="307"/>
        <v>PRG-1035935</v>
      </c>
      <c r="E11288" t="s">
        <v>243</v>
      </c>
      <c r="F11288" t="s">
        <v>4</v>
      </c>
      <c r="G11288" t="str">
        <f>""</f>
        <v/>
      </c>
    </row>
    <row r="11289" spans="1:7" x14ac:dyDescent="0.25">
      <c r="A11289" t="s">
        <v>8</v>
      </c>
      <c r="B11289" s="1" t="str">
        <f>"000339851 - "</f>
        <v xml:space="preserve">000339851 - </v>
      </c>
      <c r="D11289" s="1" t="str">
        <f t="shared" si="307"/>
        <v>PRG-1035935</v>
      </c>
      <c r="E11289" t="s">
        <v>243</v>
      </c>
      <c r="F11289" t="s">
        <v>4</v>
      </c>
      <c r="G11289" t="str">
        <f>""</f>
        <v/>
      </c>
    </row>
    <row r="11290" spans="1:7" x14ac:dyDescent="0.25">
      <c r="A11290" t="s">
        <v>8</v>
      </c>
      <c r="B11290" s="1" t="str">
        <f>"000347127 - RICH FOODS-CENTERPLATE"</f>
        <v>000347127 - RICH FOODS-CENTERPLATE</v>
      </c>
      <c r="C11290" t="s">
        <v>242</v>
      </c>
      <c r="D11290" s="1" t="str">
        <f t="shared" si="307"/>
        <v>PRG-1035935</v>
      </c>
      <c r="E11290" t="s">
        <v>243</v>
      </c>
      <c r="F11290" t="s">
        <v>4</v>
      </c>
      <c r="G11290" t="str">
        <f>""</f>
        <v/>
      </c>
    </row>
    <row r="11291" spans="1:7" x14ac:dyDescent="0.25">
      <c r="A11291" t="s">
        <v>8</v>
      </c>
      <c r="B11291" s="1" t="str">
        <f>"000352485 - "</f>
        <v xml:space="preserve">000352485 - </v>
      </c>
      <c r="D11291" s="1" t="str">
        <f t="shared" si="307"/>
        <v>PRG-1035935</v>
      </c>
      <c r="E11291" t="s">
        <v>243</v>
      </c>
      <c r="F11291" t="s">
        <v>4</v>
      </c>
      <c r="G11291" t="str">
        <f>""</f>
        <v/>
      </c>
    </row>
    <row r="11292" spans="1:7" x14ac:dyDescent="0.25">
      <c r="A11292" t="s">
        <v>8</v>
      </c>
      <c r="B11292" s="1" t="str">
        <f>"000386332 - "</f>
        <v xml:space="preserve">000386332 - </v>
      </c>
      <c r="D11292" s="1" t="str">
        <f t="shared" si="307"/>
        <v>PRG-1035935</v>
      </c>
      <c r="E11292" t="s">
        <v>243</v>
      </c>
      <c r="F11292" t="s">
        <v>4</v>
      </c>
      <c r="G11292" t="str">
        <f>""</f>
        <v/>
      </c>
    </row>
    <row r="11293" spans="1:7" x14ac:dyDescent="0.25">
      <c r="A11293" t="s">
        <v>8</v>
      </c>
      <c r="B11293" s="1" t="str">
        <f>"000388123 - RICH FOODS-CENTERPLATE"</f>
        <v>000388123 - RICH FOODS-CENTERPLATE</v>
      </c>
      <c r="C11293" t="s">
        <v>242</v>
      </c>
      <c r="D11293" s="1" t="str">
        <f t="shared" si="307"/>
        <v>PRG-1035935</v>
      </c>
      <c r="E11293" t="s">
        <v>243</v>
      </c>
      <c r="F11293" t="s">
        <v>4</v>
      </c>
      <c r="G11293" t="str">
        <f>""</f>
        <v/>
      </c>
    </row>
    <row r="11294" spans="1:7" x14ac:dyDescent="0.25">
      <c r="A11294" t="s">
        <v>8</v>
      </c>
      <c r="B11294" s="1" t="str">
        <f>"000006597 - RICH FOODS-DELAWARE"</f>
        <v>000006597 - RICH FOODS-DELAWARE</v>
      </c>
      <c r="C11294" t="s">
        <v>190</v>
      </c>
      <c r="D11294" s="1" t="str">
        <f t="shared" ref="D11294:D11311" si="308">"PRG-1035957"</f>
        <v>PRG-1035957</v>
      </c>
      <c r="E11294" t="s">
        <v>191</v>
      </c>
      <c r="F11294" t="s">
        <v>4</v>
      </c>
      <c r="G11294" t="str">
        <f>""</f>
        <v/>
      </c>
    </row>
    <row r="11295" spans="1:7" x14ac:dyDescent="0.25">
      <c r="A11295" t="s">
        <v>8</v>
      </c>
      <c r="B11295" s="1" t="str">
        <f>"000011429 - RICH FOODS-DELAWARE"</f>
        <v>000011429 - RICH FOODS-DELAWARE</v>
      </c>
      <c r="C11295" t="s">
        <v>190</v>
      </c>
      <c r="D11295" s="1" t="str">
        <f t="shared" si="308"/>
        <v>PRG-1035957</v>
      </c>
      <c r="E11295" t="s">
        <v>191</v>
      </c>
      <c r="F11295" t="s">
        <v>4</v>
      </c>
      <c r="G11295" t="str">
        <f>""</f>
        <v/>
      </c>
    </row>
    <row r="11296" spans="1:7" x14ac:dyDescent="0.25">
      <c r="A11296" t="s">
        <v>8</v>
      </c>
      <c r="B11296" s="1" t="str">
        <f>"000135071 - RICH C BB-DELAWARE"</f>
        <v>000135071 - RICH C BB-DELAWARE</v>
      </c>
      <c r="C11296" t="s">
        <v>282</v>
      </c>
      <c r="D11296" s="1" t="str">
        <f t="shared" si="308"/>
        <v>PRG-1035957</v>
      </c>
      <c r="E11296" t="s">
        <v>191</v>
      </c>
      <c r="F11296" t="s">
        <v>4</v>
      </c>
      <c r="G11296" t="str">
        <f>""</f>
        <v/>
      </c>
    </row>
    <row r="11297" spans="1:7" x14ac:dyDescent="0.25">
      <c r="A11297" t="s">
        <v>8</v>
      </c>
      <c r="B11297" s="1" t="str">
        <f>"000228310 - RICH C BB-DELAWARE"</f>
        <v>000228310 - RICH C BB-DELAWARE</v>
      </c>
      <c r="C11297" t="s">
        <v>282</v>
      </c>
      <c r="D11297" s="1" t="str">
        <f t="shared" si="308"/>
        <v>PRG-1035957</v>
      </c>
      <c r="E11297" t="s">
        <v>191</v>
      </c>
      <c r="F11297" t="s">
        <v>4</v>
      </c>
      <c r="G11297" t="str">
        <f>""</f>
        <v/>
      </c>
    </row>
    <row r="11298" spans="1:7" x14ac:dyDescent="0.25">
      <c r="A11298" t="s">
        <v>8</v>
      </c>
      <c r="B11298" s="1" t="str">
        <f>"000244636 - RICH PIZZA &amp; ICING CBB-SODEXO"</f>
        <v>000244636 - RICH PIZZA &amp; ICING CBB-SODEXO</v>
      </c>
      <c r="C11298" t="s">
        <v>180</v>
      </c>
      <c r="D11298" s="1" t="str">
        <f t="shared" si="308"/>
        <v>PRG-1035957</v>
      </c>
      <c r="E11298" t="s">
        <v>191</v>
      </c>
      <c r="F11298" t="s">
        <v>4</v>
      </c>
      <c r="G11298" t="str">
        <f>""</f>
        <v/>
      </c>
    </row>
    <row r="11299" spans="1:7" x14ac:dyDescent="0.25">
      <c r="A11299" t="s">
        <v>8</v>
      </c>
      <c r="B11299" s="1" t="str">
        <f>"000244650 - BB DELAWARE FOB RICH"</f>
        <v>000244650 - BB DELAWARE FOB RICH</v>
      </c>
      <c r="C11299" t="s">
        <v>1205</v>
      </c>
      <c r="D11299" s="1" t="str">
        <f t="shared" si="308"/>
        <v>PRG-1035957</v>
      </c>
      <c r="E11299" t="s">
        <v>191</v>
      </c>
      <c r="F11299" t="s">
        <v>4</v>
      </c>
      <c r="G11299" t="str">
        <f>""</f>
        <v/>
      </c>
    </row>
    <row r="11300" spans="1:7" x14ac:dyDescent="0.25">
      <c r="A11300" t="s">
        <v>8</v>
      </c>
      <c r="B11300" s="1" t="str">
        <f>"000247768 - BB DELAWARE FOB RICH"</f>
        <v>000247768 - BB DELAWARE FOB RICH</v>
      </c>
      <c r="C11300" t="s">
        <v>1205</v>
      </c>
      <c r="D11300" s="1" t="str">
        <f t="shared" si="308"/>
        <v>PRG-1035957</v>
      </c>
      <c r="E11300" t="s">
        <v>191</v>
      </c>
      <c r="F11300" t="s">
        <v>4</v>
      </c>
      <c r="G11300" t="str">
        <f>""</f>
        <v/>
      </c>
    </row>
    <row r="11301" spans="1:7" x14ac:dyDescent="0.25">
      <c r="A11301" t="s">
        <v>8</v>
      </c>
      <c r="B11301" s="1" t="str">
        <f>"000250251 - RICH C BB-DELAWARE"</f>
        <v>000250251 - RICH C BB-DELAWARE</v>
      </c>
      <c r="C11301" t="s">
        <v>282</v>
      </c>
      <c r="D11301" s="1" t="str">
        <f t="shared" si="308"/>
        <v>PRG-1035957</v>
      </c>
      <c r="E11301" t="s">
        <v>191</v>
      </c>
      <c r="F11301" t="s">
        <v>4</v>
      </c>
      <c r="G11301" t="str">
        <f>""</f>
        <v/>
      </c>
    </row>
    <row r="11302" spans="1:7" x14ac:dyDescent="0.25">
      <c r="A11302" t="s">
        <v>8</v>
      </c>
      <c r="B11302" s="1" t="str">
        <f>"000252772 - RICH FOODS-DELAWARE"</f>
        <v>000252772 - RICH FOODS-DELAWARE</v>
      </c>
      <c r="C11302" t="s">
        <v>190</v>
      </c>
      <c r="D11302" s="1" t="str">
        <f t="shared" si="308"/>
        <v>PRG-1035957</v>
      </c>
      <c r="E11302" t="s">
        <v>191</v>
      </c>
      <c r="F11302" t="s">
        <v>4</v>
      </c>
      <c r="G11302" t="str">
        <f>""</f>
        <v/>
      </c>
    </row>
    <row r="11303" spans="1:7" x14ac:dyDescent="0.25">
      <c r="A11303" t="s">
        <v>8</v>
      </c>
      <c r="B11303" s="1" t="str">
        <f>"000268355 - "</f>
        <v xml:space="preserve">000268355 - </v>
      </c>
      <c r="D11303" s="1" t="str">
        <f t="shared" si="308"/>
        <v>PRG-1035957</v>
      </c>
      <c r="E11303" t="s">
        <v>191</v>
      </c>
      <c r="F11303" t="s">
        <v>4</v>
      </c>
      <c r="G11303" t="str">
        <f>""</f>
        <v/>
      </c>
    </row>
    <row r="11304" spans="1:7" x14ac:dyDescent="0.25">
      <c r="A11304" t="s">
        <v>8</v>
      </c>
      <c r="B11304" s="1" t="str">
        <f>"000284839 - RICH FOODS-DELAWARE"</f>
        <v>000284839 - RICH FOODS-DELAWARE</v>
      </c>
      <c r="C11304" t="s">
        <v>190</v>
      </c>
      <c r="D11304" s="1" t="str">
        <f t="shared" si="308"/>
        <v>PRG-1035957</v>
      </c>
      <c r="E11304" t="s">
        <v>191</v>
      </c>
      <c r="F11304" t="s">
        <v>4</v>
      </c>
      <c r="G11304" t="str">
        <f>""</f>
        <v/>
      </c>
    </row>
    <row r="11305" spans="1:7" x14ac:dyDescent="0.25">
      <c r="A11305" t="s">
        <v>8</v>
      </c>
      <c r="B11305" s="1" t="str">
        <f>"000349690 - RICH FOODS-DELAWARE"</f>
        <v>000349690 - RICH FOODS-DELAWARE</v>
      </c>
      <c r="C11305" t="s">
        <v>190</v>
      </c>
      <c r="D11305" s="1" t="str">
        <f t="shared" si="308"/>
        <v>PRG-1035957</v>
      </c>
      <c r="E11305" t="s">
        <v>191</v>
      </c>
      <c r="F11305" t="s">
        <v>4</v>
      </c>
      <c r="G11305" t="str">
        <f>""</f>
        <v/>
      </c>
    </row>
    <row r="11306" spans="1:7" x14ac:dyDescent="0.25">
      <c r="A11306" t="s">
        <v>8</v>
      </c>
      <c r="B11306" s="1" t="str">
        <f>"000351486 - "</f>
        <v xml:space="preserve">000351486 - </v>
      </c>
      <c r="D11306" s="1" t="str">
        <f t="shared" si="308"/>
        <v>PRG-1035957</v>
      </c>
      <c r="E11306" t="s">
        <v>191</v>
      </c>
      <c r="F11306" t="s">
        <v>4</v>
      </c>
      <c r="G11306" t="str">
        <f>""</f>
        <v/>
      </c>
    </row>
    <row r="11307" spans="1:7" x14ac:dyDescent="0.25">
      <c r="A11307" t="s">
        <v>8</v>
      </c>
      <c r="B11307" s="1" t="str">
        <f>"000351487 - "</f>
        <v xml:space="preserve">000351487 - </v>
      </c>
      <c r="D11307" s="1" t="str">
        <f t="shared" si="308"/>
        <v>PRG-1035957</v>
      </c>
      <c r="E11307" t="s">
        <v>191</v>
      </c>
      <c r="F11307" t="s">
        <v>4</v>
      </c>
      <c r="G11307" t="str">
        <f>""</f>
        <v/>
      </c>
    </row>
    <row r="11308" spans="1:7" x14ac:dyDescent="0.25">
      <c r="A11308" t="s">
        <v>8</v>
      </c>
      <c r="B11308" s="1" t="str">
        <f>"000373207 - RICH C BB-DELAWARE"</f>
        <v>000373207 - RICH C BB-DELAWARE</v>
      </c>
      <c r="C11308" t="s">
        <v>282</v>
      </c>
      <c r="D11308" s="1" t="str">
        <f t="shared" si="308"/>
        <v>PRG-1035957</v>
      </c>
      <c r="E11308" t="s">
        <v>191</v>
      </c>
      <c r="F11308" t="s">
        <v>4</v>
      </c>
      <c r="G11308" t="str">
        <f>""</f>
        <v/>
      </c>
    </row>
    <row r="11309" spans="1:7" x14ac:dyDescent="0.25">
      <c r="A11309" t="s">
        <v>8</v>
      </c>
      <c r="B11309" s="1" t="str">
        <f>"000373208 - RICH NC BB-DELAWARE"</f>
        <v>000373208 - RICH NC BB-DELAWARE</v>
      </c>
      <c r="C11309" t="s">
        <v>691</v>
      </c>
      <c r="D11309" s="1" t="str">
        <f t="shared" si="308"/>
        <v>PRG-1035957</v>
      </c>
      <c r="E11309" t="s">
        <v>191</v>
      </c>
      <c r="F11309" t="s">
        <v>4</v>
      </c>
      <c r="G11309" t="str">
        <f>""</f>
        <v/>
      </c>
    </row>
    <row r="11310" spans="1:7" x14ac:dyDescent="0.25">
      <c r="A11310" t="s">
        <v>8</v>
      </c>
      <c r="B11310" s="1" t="str">
        <f>"000376741 - RICH FOODS-DELAWARE"</f>
        <v>000376741 - RICH FOODS-DELAWARE</v>
      </c>
      <c r="C11310" t="s">
        <v>190</v>
      </c>
      <c r="D11310" s="1" t="str">
        <f t="shared" si="308"/>
        <v>PRG-1035957</v>
      </c>
      <c r="E11310" t="s">
        <v>191</v>
      </c>
      <c r="F11310" t="s">
        <v>4</v>
      </c>
      <c r="G11310" t="str">
        <f>""</f>
        <v/>
      </c>
    </row>
    <row r="11311" spans="1:7" x14ac:dyDescent="0.25">
      <c r="A11311" t="s">
        <v>8</v>
      </c>
      <c r="B11311" s="1" t="str">
        <f>"355472 - "</f>
        <v xml:space="preserve">355472 - </v>
      </c>
      <c r="D11311" s="1" t="str">
        <f t="shared" si="308"/>
        <v>PRG-1035957</v>
      </c>
      <c r="E11311" t="s">
        <v>191</v>
      </c>
      <c r="F11311" t="s">
        <v>4</v>
      </c>
      <c r="G11311" t="str">
        <f>""</f>
        <v/>
      </c>
    </row>
    <row r="11312" spans="1:7" x14ac:dyDescent="0.25">
      <c r="A11312" t="s">
        <v>8</v>
      </c>
      <c r="B11312" s="1" t="str">
        <f>"000259824 - RICH FOODS-TRUSTHOUSE"</f>
        <v>000259824 - RICH FOODS-TRUSTHOUSE</v>
      </c>
      <c r="C11312" t="s">
        <v>2254</v>
      </c>
      <c r="D11312" s="1" t="str">
        <f>"PRG-1035963"</f>
        <v>PRG-1035963</v>
      </c>
      <c r="E11312" t="s">
        <v>2255</v>
      </c>
      <c r="F11312" t="s">
        <v>4</v>
      </c>
      <c r="G11312" t="str">
        <f>""</f>
        <v/>
      </c>
    </row>
    <row r="11313" spans="1:7" x14ac:dyDescent="0.25">
      <c r="A11313" t="s">
        <v>8</v>
      </c>
      <c r="B11313" s="1" t="str">
        <f>"000262253 - RICH FOODS-ELIOR TRUSTHOUSE"</f>
        <v>000262253 - RICH FOODS-ELIOR TRUSTHOUSE</v>
      </c>
      <c r="C11313" t="s">
        <v>1763</v>
      </c>
      <c r="D11313" s="1" t="str">
        <f>"PRG-1035963"</f>
        <v>PRG-1035963</v>
      </c>
      <c r="E11313" t="s">
        <v>2255</v>
      </c>
      <c r="F11313" t="s">
        <v>4</v>
      </c>
      <c r="G11313" t="str">
        <f>""</f>
        <v/>
      </c>
    </row>
    <row r="11314" spans="1:7" x14ac:dyDescent="0.25">
      <c r="A11314" t="s">
        <v>8</v>
      </c>
      <c r="B11314" s="1" t="str">
        <f>"000363222 - RICH FOODS-TRUSTHOUSE"</f>
        <v>000363222 - RICH FOODS-TRUSTHOUSE</v>
      </c>
      <c r="C11314" t="s">
        <v>2254</v>
      </c>
      <c r="D11314" s="1" t="str">
        <f>"PRG-1035963"</f>
        <v>PRG-1035963</v>
      </c>
      <c r="E11314" t="s">
        <v>2255</v>
      </c>
      <c r="F11314" t="s">
        <v>4</v>
      </c>
      <c r="G11314" t="str">
        <f>""</f>
        <v/>
      </c>
    </row>
    <row r="11315" spans="1:7" x14ac:dyDescent="0.25">
      <c r="A11315" t="s">
        <v>8</v>
      </c>
      <c r="B11315" s="1" t="str">
        <f>"000219263 - STAR BUFFET(NC)--RICH(OR)"</f>
        <v>000219263 - STAR BUFFET(NC)--RICH(OR)</v>
      </c>
      <c r="C11315" t="s">
        <v>1570</v>
      </c>
      <c r="D11315" s="1" t="str">
        <f t="shared" ref="D11315:D11320" si="309">"PRG-1035978"</f>
        <v>PRG-1035978</v>
      </c>
      <c r="E11315" t="s">
        <v>532</v>
      </c>
      <c r="F11315" t="s">
        <v>4</v>
      </c>
      <c r="G11315" t="str">
        <f>""</f>
        <v/>
      </c>
    </row>
    <row r="11316" spans="1:7" x14ac:dyDescent="0.25">
      <c r="A11316" t="s">
        <v>8</v>
      </c>
      <c r="B11316" s="1" t="str">
        <f>"000229308 - STAR BUFFET(NC)--RICH(OR)"</f>
        <v>000229308 - STAR BUFFET(NC)--RICH(OR)</v>
      </c>
      <c r="C11316" t="s">
        <v>1570</v>
      </c>
      <c r="D11316" s="1" t="str">
        <f t="shared" si="309"/>
        <v>PRG-1035978</v>
      </c>
      <c r="E11316" t="s">
        <v>532</v>
      </c>
      <c r="F11316" t="s">
        <v>4</v>
      </c>
      <c r="G11316" t="str">
        <f>""</f>
        <v/>
      </c>
    </row>
    <row r="11317" spans="1:7" x14ac:dyDescent="0.25">
      <c r="A11317" t="s">
        <v>8</v>
      </c>
      <c r="B11317" s="1" t="str">
        <f>"000267717 - "</f>
        <v xml:space="preserve">000267717 - </v>
      </c>
      <c r="D11317" s="1" t="str">
        <f t="shared" si="309"/>
        <v>PRG-1035978</v>
      </c>
      <c r="E11317" t="s">
        <v>532</v>
      </c>
      <c r="F11317" t="s">
        <v>4</v>
      </c>
      <c r="G11317" t="str">
        <f>""</f>
        <v/>
      </c>
    </row>
    <row r="11318" spans="1:7" x14ac:dyDescent="0.25">
      <c r="A11318" t="s">
        <v>8</v>
      </c>
      <c r="B11318" s="1" t="str">
        <f>"2000374443 - RICH FOODS-STAR BUFFET"</f>
        <v>2000374443 - RICH FOODS-STAR BUFFET</v>
      </c>
      <c r="C11318" t="s">
        <v>531</v>
      </c>
      <c r="D11318" s="1" t="str">
        <f t="shared" si="309"/>
        <v>PRG-1035978</v>
      </c>
      <c r="E11318" t="s">
        <v>532</v>
      </c>
      <c r="F11318" t="s">
        <v>4</v>
      </c>
      <c r="G11318" t="str">
        <f>""</f>
        <v/>
      </c>
    </row>
    <row r="11319" spans="1:7" x14ac:dyDescent="0.25">
      <c r="A11319" t="s">
        <v>8</v>
      </c>
      <c r="B11319" s="1" t="str">
        <f>"2000429664 - RICH FOODS-STAR BUFFET"</f>
        <v>2000429664 - RICH FOODS-STAR BUFFET</v>
      </c>
      <c r="C11319" t="s">
        <v>531</v>
      </c>
      <c r="D11319" s="1" t="str">
        <f t="shared" si="309"/>
        <v>PRG-1035978</v>
      </c>
      <c r="E11319" t="s">
        <v>532</v>
      </c>
      <c r="F11319" t="s">
        <v>4</v>
      </c>
      <c r="G11319" t="str">
        <f>""</f>
        <v/>
      </c>
    </row>
    <row r="11320" spans="1:7" x14ac:dyDescent="0.25">
      <c r="A11320" t="s">
        <v>8</v>
      </c>
      <c r="B11320" s="1" t="str">
        <f>"6026TP96"</f>
        <v>6026TP96</v>
      </c>
      <c r="C11320" t="s">
        <v>5160</v>
      </c>
      <c r="D11320" s="1" t="str">
        <f t="shared" si="309"/>
        <v>PRG-1035978</v>
      </c>
      <c r="E11320" t="s">
        <v>532</v>
      </c>
      <c r="F11320" t="s">
        <v>5</v>
      </c>
      <c r="G11320" t="str">
        <f>""</f>
        <v/>
      </c>
    </row>
    <row r="11321" spans="1:7" x14ac:dyDescent="0.25">
      <c r="A11321" t="s">
        <v>8</v>
      </c>
      <c r="B11321" s="1" t="str">
        <f>"000010438 - "</f>
        <v xml:space="preserve">000010438 - </v>
      </c>
      <c r="D11321" s="1" t="str">
        <f t="shared" ref="D11321:D11355" si="310">"PRG-1035989"</f>
        <v>PRG-1035989</v>
      </c>
      <c r="E11321" t="s">
        <v>191</v>
      </c>
      <c r="F11321" t="s">
        <v>4</v>
      </c>
      <c r="G11321" t="str">
        <f>""</f>
        <v/>
      </c>
    </row>
    <row r="11322" spans="1:7" x14ac:dyDescent="0.25">
      <c r="A11322" t="s">
        <v>8</v>
      </c>
      <c r="B11322" s="1" t="str">
        <f>"000013850 - "</f>
        <v xml:space="preserve">000013850 - </v>
      </c>
      <c r="D11322" s="1" t="str">
        <f t="shared" si="310"/>
        <v>PRG-1035989</v>
      </c>
      <c r="E11322" t="s">
        <v>191</v>
      </c>
      <c r="F11322" t="s">
        <v>4</v>
      </c>
      <c r="G11322" t="str">
        <f>""</f>
        <v/>
      </c>
    </row>
    <row r="11323" spans="1:7" x14ac:dyDescent="0.25">
      <c r="A11323" t="s">
        <v>8</v>
      </c>
      <c r="B11323" s="1" t="str">
        <f>"000137125 - RICH FOODS-DELAWARE"</f>
        <v>000137125 - RICH FOODS-DELAWARE</v>
      </c>
      <c r="C11323" t="s">
        <v>190</v>
      </c>
      <c r="D11323" s="1" t="str">
        <f t="shared" si="310"/>
        <v>PRG-1035989</v>
      </c>
      <c r="E11323" t="s">
        <v>191</v>
      </c>
      <c r="F11323" t="s">
        <v>4</v>
      </c>
      <c r="G11323" t="str">
        <f>""</f>
        <v/>
      </c>
    </row>
    <row r="11324" spans="1:7" x14ac:dyDescent="0.25">
      <c r="A11324" t="s">
        <v>8</v>
      </c>
      <c r="B11324" s="1" t="str">
        <f>"000221149 - RICH C BB-DELAWARE"</f>
        <v>000221149 - RICH C BB-DELAWARE</v>
      </c>
      <c r="C11324" t="s">
        <v>282</v>
      </c>
      <c r="D11324" s="1" t="str">
        <f t="shared" si="310"/>
        <v>PRG-1035989</v>
      </c>
      <c r="E11324" t="s">
        <v>191</v>
      </c>
      <c r="F11324" t="s">
        <v>4</v>
      </c>
      <c r="G11324" t="str">
        <f>""</f>
        <v/>
      </c>
    </row>
    <row r="11325" spans="1:7" x14ac:dyDescent="0.25">
      <c r="A11325" t="s">
        <v>8</v>
      </c>
      <c r="B11325" s="1" t="str">
        <f>"000221150 - RICH NC BB-DELAWARE"</f>
        <v>000221150 - RICH NC BB-DELAWARE</v>
      </c>
      <c r="C11325" t="s">
        <v>691</v>
      </c>
      <c r="D11325" s="1" t="str">
        <f t="shared" si="310"/>
        <v>PRG-1035989</v>
      </c>
      <c r="E11325" t="s">
        <v>191</v>
      </c>
      <c r="F11325" t="s">
        <v>4</v>
      </c>
      <c r="G11325" t="str">
        <f>""</f>
        <v/>
      </c>
    </row>
    <row r="11326" spans="1:7" x14ac:dyDescent="0.25">
      <c r="A11326" t="s">
        <v>8</v>
      </c>
      <c r="B11326" s="1" t="str">
        <f>"000223974 - RICH FOODS-CENTERPLATE"</f>
        <v>000223974 - RICH FOODS-CENTERPLATE</v>
      </c>
      <c r="C11326" t="s">
        <v>242</v>
      </c>
      <c r="D11326" s="1" t="str">
        <f t="shared" si="310"/>
        <v>PRG-1035989</v>
      </c>
      <c r="E11326" t="s">
        <v>191</v>
      </c>
      <c r="F11326" t="s">
        <v>4</v>
      </c>
      <c r="G11326" t="str">
        <f>""</f>
        <v/>
      </c>
    </row>
    <row r="11327" spans="1:7" x14ac:dyDescent="0.25">
      <c r="A11327" t="s">
        <v>8</v>
      </c>
      <c r="B11327" s="1" t="str">
        <f>"000223986 - RICH FOODS-DELAWARE"</f>
        <v>000223986 - RICH FOODS-DELAWARE</v>
      </c>
      <c r="C11327" t="s">
        <v>190</v>
      </c>
      <c r="D11327" s="1" t="str">
        <f t="shared" si="310"/>
        <v>PRG-1035989</v>
      </c>
      <c r="E11327" t="s">
        <v>191</v>
      </c>
      <c r="F11327" t="s">
        <v>4</v>
      </c>
      <c r="G11327" t="str">
        <f>""</f>
        <v/>
      </c>
    </row>
    <row r="11328" spans="1:7" x14ac:dyDescent="0.25">
      <c r="A11328" t="s">
        <v>8</v>
      </c>
      <c r="B11328" s="1" t="str">
        <f>"000250206 - RICH C BB-DELAWARE"</f>
        <v>000250206 - RICH C BB-DELAWARE</v>
      </c>
      <c r="C11328" t="s">
        <v>282</v>
      </c>
      <c r="D11328" s="1" t="str">
        <f t="shared" si="310"/>
        <v>PRG-1035989</v>
      </c>
      <c r="E11328" t="s">
        <v>191</v>
      </c>
      <c r="F11328" t="s">
        <v>4</v>
      </c>
      <c r="G11328" t="str">
        <f>""</f>
        <v/>
      </c>
    </row>
    <row r="11329" spans="1:7" x14ac:dyDescent="0.25">
      <c r="A11329" t="s">
        <v>8</v>
      </c>
      <c r="B11329" s="1" t="str">
        <f>"000250207 - RICH NC BB-DELAWARE"</f>
        <v>000250207 - RICH NC BB-DELAWARE</v>
      </c>
      <c r="C11329" t="s">
        <v>691</v>
      </c>
      <c r="D11329" s="1" t="str">
        <f t="shared" si="310"/>
        <v>PRG-1035989</v>
      </c>
      <c r="E11329" t="s">
        <v>191</v>
      </c>
      <c r="F11329" t="s">
        <v>4</v>
      </c>
      <c r="G11329" t="str">
        <f>""</f>
        <v/>
      </c>
    </row>
    <row r="11330" spans="1:7" x14ac:dyDescent="0.25">
      <c r="A11330" t="s">
        <v>8</v>
      </c>
      <c r="B11330" s="1" t="str">
        <f>"000251153 - RICH C BB-DELAWARE"</f>
        <v>000251153 - RICH C BB-DELAWARE</v>
      </c>
      <c r="C11330" t="s">
        <v>282</v>
      </c>
      <c r="D11330" s="1" t="str">
        <f t="shared" si="310"/>
        <v>PRG-1035989</v>
      </c>
      <c r="E11330" t="s">
        <v>191</v>
      </c>
      <c r="F11330" t="s">
        <v>4</v>
      </c>
      <c r="G11330" t="str">
        <f>""</f>
        <v/>
      </c>
    </row>
    <row r="11331" spans="1:7" x14ac:dyDescent="0.25">
      <c r="A11331" t="s">
        <v>8</v>
      </c>
      <c r="B11331" s="1" t="str">
        <f>"000251154 - RICH NC BB-DELAWARE"</f>
        <v>000251154 - RICH NC BB-DELAWARE</v>
      </c>
      <c r="C11331" t="s">
        <v>691</v>
      </c>
      <c r="D11331" s="1" t="str">
        <f t="shared" si="310"/>
        <v>PRG-1035989</v>
      </c>
      <c r="E11331" t="s">
        <v>191</v>
      </c>
      <c r="F11331" t="s">
        <v>4</v>
      </c>
      <c r="G11331" t="str">
        <f>""</f>
        <v/>
      </c>
    </row>
    <row r="11332" spans="1:7" x14ac:dyDescent="0.25">
      <c r="A11332" t="s">
        <v>8</v>
      </c>
      <c r="B11332" s="1" t="str">
        <f>"000253459 - RICH FOODS-DELAWARE"</f>
        <v>000253459 - RICH FOODS-DELAWARE</v>
      </c>
      <c r="C11332" t="s">
        <v>190</v>
      </c>
      <c r="D11332" s="1" t="str">
        <f t="shared" si="310"/>
        <v>PRG-1035989</v>
      </c>
      <c r="E11332" t="s">
        <v>191</v>
      </c>
      <c r="F11332" t="s">
        <v>4</v>
      </c>
      <c r="G11332" t="str">
        <f>""</f>
        <v/>
      </c>
    </row>
    <row r="11333" spans="1:7" x14ac:dyDescent="0.25">
      <c r="A11333" t="s">
        <v>8</v>
      </c>
      <c r="B11333" s="1" t="str">
        <f>"000254150 - "</f>
        <v xml:space="preserve">000254150 - </v>
      </c>
      <c r="D11333" s="1" t="str">
        <f t="shared" si="310"/>
        <v>PRG-1035989</v>
      </c>
      <c r="E11333" t="s">
        <v>191</v>
      </c>
      <c r="F11333" t="s">
        <v>4</v>
      </c>
      <c r="G11333" t="str">
        <f>""</f>
        <v/>
      </c>
    </row>
    <row r="11334" spans="1:7" x14ac:dyDescent="0.25">
      <c r="A11334" t="s">
        <v>8</v>
      </c>
      <c r="B11334" s="1" t="str">
        <f>"000269328 - "</f>
        <v xml:space="preserve">000269328 - </v>
      </c>
      <c r="D11334" s="1" t="str">
        <f t="shared" si="310"/>
        <v>PRG-1035989</v>
      </c>
      <c r="E11334" t="s">
        <v>191</v>
      </c>
      <c r="F11334" t="s">
        <v>4</v>
      </c>
      <c r="G11334" t="str">
        <f>""</f>
        <v/>
      </c>
    </row>
    <row r="11335" spans="1:7" x14ac:dyDescent="0.25">
      <c r="A11335" t="s">
        <v>8</v>
      </c>
      <c r="B11335" s="1" t="str">
        <f>"000269329 - "</f>
        <v xml:space="preserve">000269329 - </v>
      </c>
      <c r="D11335" s="1" t="str">
        <f t="shared" si="310"/>
        <v>PRG-1035989</v>
      </c>
      <c r="E11335" t="s">
        <v>191</v>
      </c>
      <c r="F11335" t="s">
        <v>4</v>
      </c>
      <c r="G11335" t="str">
        <f>""</f>
        <v/>
      </c>
    </row>
    <row r="11336" spans="1:7" x14ac:dyDescent="0.25">
      <c r="A11336" t="s">
        <v>8</v>
      </c>
      <c r="B11336" s="1" t="str">
        <f>"000272470 - RICH FOODS-DELAWARE"</f>
        <v>000272470 - RICH FOODS-DELAWARE</v>
      </c>
      <c r="C11336" t="s">
        <v>190</v>
      </c>
      <c r="D11336" s="1" t="str">
        <f t="shared" si="310"/>
        <v>PRG-1035989</v>
      </c>
      <c r="E11336" t="s">
        <v>191</v>
      </c>
      <c r="F11336" t="s">
        <v>4</v>
      </c>
      <c r="G11336" t="str">
        <f>""</f>
        <v/>
      </c>
    </row>
    <row r="11337" spans="1:7" x14ac:dyDescent="0.25">
      <c r="A11337" t="s">
        <v>8</v>
      </c>
      <c r="B11337" s="1" t="str">
        <f>"000276354 - RICH C BB-DELAWARE"</f>
        <v>000276354 - RICH C BB-DELAWARE</v>
      </c>
      <c r="C11337" t="s">
        <v>282</v>
      </c>
      <c r="D11337" s="1" t="str">
        <f t="shared" si="310"/>
        <v>PRG-1035989</v>
      </c>
      <c r="E11337" t="s">
        <v>191</v>
      </c>
      <c r="F11337" t="s">
        <v>4</v>
      </c>
      <c r="G11337" t="str">
        <f>""</f>
        <v/>
      </c>
    </row>
    <row r="11338" spans="1:7" x14ac:dyDescent="0.25">
      <c r="A11338" t="s">
        <v>8</v>
      </c>
      <c r="B11338" s="1" t="str">
        <f>"000276355 - RICH NC BB-DELAWARE"</f>
        <v>000276355 - RICH NC BB-DELAWARE</v>
      </c>
      <c r="C11338" t="s">
        <v>691</v>
      </c>
      <c r="D11338" s="1" t="str">
        <f t="shared" si="310"/>
        <v>PRG-1035989</v>
      </c>
      <c r="E11338" t="s">
        <v>191</v>
      </c>
      <c r="F11338" t="s">
        <v>4</v>
      </c>
      <c r="G11338" t="str">
        <f>""</f>
        <v/>
      </c>
    </row>
    <row r="11339" spans="1:7" x14ac:dyDescent="0.25">
      <c r="A11339" t="s">
        <v>8</v>
      </c>
      <c r="B11339" s="1" t="str">
        <f>"000277865 - RICH C BB-DELAWARE"</f>
        <v>000277865 - RICH C BB-DELAWARE</v>
      </c>
      <c r="C11339" t="s">
        <v>282</v>
      </c>
      <c r="D11339" s="1" t="str">
        <f t="shared" si="310"/>
        <v>PRG-1035989</v>
      </c>
      <c r="E11339" t="s">
        <v>191</v>
      </c>
      <c r="F11339" t="s">
        <v>4</v>
      </c>
      <c r="G11339" t="str">
        <f>""</f>
        <v/>
      </c>
    </row>
    <row r="11340" spans="1:7" x14ac:dyDescent="0.25">
      <c r="A11340" t="s">
        <v>8</v>
      </c>
      <c r="B11340" s="1" t="str">
        <f>"000277866 - RICH NC BB-DELAWARE"</f>
        <v>000277866 - RICH NC BB-DELAWARE</v>
      </c>
      <c r="C11340" t="s">
        <v>691</v>
      </c>
      <c r="D11340" s="1" t="str">
        <f t="shared" si="310"/>
        <v>PRG-1035989</v>
      </c>
      <c r="E11340" t="s">
        <v>191</v>
      </c>
      <c r="F11340" t="s">
        <v>4</v>
      </c>
      <c r="G11340" t="str">
        <f>""</f>
        <v/>
      </c>
    </row>
    <row r="11341" spans="1:7" x14ac:dyDescent="0.25">
      <c r="A11341" t="s">
        <v>8</v>
      </c>
      <c r="B11341" s="1" t="str">
        <f>"000279032 - RICH FOODS-DELAWARE"</f>
        <v>000279032 - RICH FOODS-DELAWARE</v>
      </c>
      <c r="C11341" t="s">
        <v>190</v>
      </c>
      <c r="D11341" s="1" t="str">
        <f t="shared" si="310"/>
        <v>PRG-1035989</v>
      </c>
      <c r="E11341" t="s">
        <v>191</v>
      </c>
      <c r="F11341" t="s">
        <v>4</v>
      </c>
      <c r="G11341" t="str">
        <f>""</f>
        <v/>
      </c>
    </row>
    <row r="11342" spans="1:7" x14ac:dyDescent="0.25">
      <c r="A11342" t="s">
        <v>8</v>
      </c>
      <c r="B11342" s="1" t="str">
        <f>"000279558 - RICH FOODS-DELAWARE"</f>
        <v>000279558 - RICH FOODS-DELAWARE</v>
      </c>
      <c r="C11342" t="s">
        <v>190</v>
      </c>
      <c r="D11342" s="1" t="str">
        <f t="shared" si="310"/>
        <v>PRG-1035989</v>
      </c>
      <c r="E11342" t="s">
        <v>191</v>
      </c>
      <c r="F11342" t="s">
        <v>4</v>
      </c>
      <c r="G11342" t="str">
        <f>""</f>
        <v/>
      </c>
    </row>
    <row r="11343" spans="1:7" x14ac:dyDescent="0.25">
      <c r="A11343" t="s">
        <v>8</v>
      </c>
      <c r="B11343" s="1" t="str">
        <f>"000280555 - RICH FOODS-DELAWARE"</f>
        <v>000280555 - RICH FOODS-DELAWARE</v>
      </c>
      <c r="C11343" t="s">
        <v>190</v>
      </c>
      <c r="D11343" s="1" t="str">
        <f t="shared" si="310"/>
        <v>PRG-1035989</v>
      </c>
      <c r="E11343" t="s">
        <v>191</v>
      </c>
      <c r="F11343" t="s">
        <v>4</v>
      </c>
      <c r="G11343" t="str">
        <f>""</f>
        <v/>
      </c>
    </row>
    <row r="11344" spans="1:7" x14ac:dyDescent="0.25">
      <c r="A11344" t="s">
        <v>8</v>
      </c>
      <c r="B11344" s="1" t="str">
        <f>"000282146 - RICH C BB-DELAWARE"</f>
        <v>000282146 - RICH C BB-DELAWARE</v>
      </c>
      <c r="C11344" t="s">
        <v>282</v>
      </c>
      <c r="D11344" s="1" t="str">
        <f t="shared" si="310"/>
        <v>PRG-1035989</v>
      </c>
      <c r="E11344" t="s">
        <v>191</v>
      </c>
      <c r="F11344" t="s">
        <v>4</v>
      </c>
      <c r="G11344" t="str">
        <f>""</f>
        <v/>
      </c>
    </row>
    <row r="11345" spans="1:7" x14ac:dyDescent="0.25">
      <c r="A11345" t="s">
        <v>8</v>
      </c>
      <c r="B11345" s="1" t="str">
        <f>"000284278 - RICH C BB-DELAWARE"</f>
        <v>000284278 - RICH C BB-DELAWARE</v>
      </c>
      <c r="C11345" t="s">
        <v>282</v>
      </c>
      <c r="D11345" s="1" t="str">
        <f t="shared" si="310"/>
        <v>PRG-1035989</v>
      </c>
      <c r="E11345" t="s">
        <v>191</v>
      </c>
      <c r="F11345" t="s">
        <v>4</v>
      </c>
      <c r="G11345" t="str">
        <f>""</f>
        <v/>
      </c>
    </row>
    <row r="11346" spans="1:7" x14ac:dyDescent="0.25">
      <c r="A11346" t="s">
        <v>8</v>
      </c>
      <c r="B11346" s="1" t="str">
        <f>"000284279 - RICH NC BB-DELAWARE"</f>
        <v>000284279 - RICH NC BB-DELAWARE</v>
      </c>
      <c r="C11346" t="s">
        <v>691</v>
      </c>
      <c r="D11346" s="1" t="str">
        <f t="shared" si="310"/>
        <v>PRG-1035989</v>
      </c>
      <c r="E11346" t="s">
        <v>191</v>
      </c>
      <c r="F11346" t="s">
        <v>4</v>
      </c>
      <c r="G11346" t="str">
        <f>""</f>
        <v/>
      </c>
    </row>
    <row r="11347" spans="1:7" x14ac:dyDescent="0.25">
      <c r="A11347" t="s">
        <v>8</v>
      </c>
      <c r="B11347" s="1" t="str">
        <f>"000287271 - RICH FOODS-DELAWARE"</f>
        <v>000287271 - RICH FOODS-DELAWARE</v>
      </c>
      <c r="C11347" t="s">
        <v>190</v>
      </c>
      <c r="D11347" s="1" t="str">
        <f t="shared" si="310"/>
        <v>PRG-1035989</v>
      </c>
      <c r="E11347" t="s">
        <v>191</v>
      </c>
      <c r="F11347" t="s">
        <v>4</v>
      </c>
      <c r="G11347" t="str">
        <f>""</f>
        <v/>
      </c>
    </row>
    <row r="11348" spans="1:7" x14ac:dyDescent="0.25">
      <c r="A11348" t="s">
        <v>8</v>
      </c>
      <c r="B11348" s="1" t="str">
        <f>"000316097 - RICH C BB-DELAWARE"</f>
        <v>000316097 - RICH C BB-DELAWARE</v>
      </c>
      <c r="C11348" t="s">
        <v>282</v>
      </c>
      <c r="D11348" s="1" t="str">
        <f t="shared" si="310"/>
        <v>PRG-1035989</v>
      </c>
      <c r="E11348" t="s">
        <v>191</v>
      </c>
      <c r="F11348" t="s">
        <v>4</v>
      </c>
      <c r="G11348" t="str">
        <f>""</f>
        <v/>
      </c>
    </row>
    <row r="11349" spans="1:7" x14ac:dyDescent="0.25">
      <c r="A11349" t="s">
        <v>8</v>
      </c>
      <c r="B11349" s="1" t="str">
        <f>"000318749 - RICH FOODS-DELAWARE"</f>
        <v>000318749 - RICH FOODS-DELAWARE</v>
      </c>
      <c r="C11349" t="s">
        <v>190</v>
      </c>
      <c r="D11349" s="1" t="str">
        <f t="shared" si="310"/>
        <v>PRG-1035989</v>
      </c>
      <c r="E11349" t="s">
        <v>191</v>
      </c>
      <c r="F11349" t="s">
        <v>4</v>
      </c>
      <c r="G11349" t="str">
        <f>""</f>
        <v/>
      </c>
    </row>
    <row r="11350" spans="1:7" x14ac:dyDescent="0.25">
      <c r="A11350" t="s">
        <v>8</v>
      </c>
      <c r="B11350" s="1" t="str">
        <f>"000342324 - "</f>
        <v xml:space="preserve">000342324 - </v>
      </c>
      <c r="D11350" s="1" t="str">
        <f t="shared" si="310"/>
        <v>PRG-1035989</v>
      </c>
      <c r="E11350" t="s">
        <v>191</v>
      </c>
      <c r="F11350" t="s">
        <v>4</v>
      </c>
      <c r="G11350" t="str">
        <f>""</f>
        <v/>
      </c>
    </row>
    <row r="11351" spans="1:7" x14ac:dyDescent="0.25">
      <c r="A11351" t="s">
        <v>8</v>
      </c>
      <c r="B11351" s="1" t="str">
        <f>"000360140 - RICH C BB-DELAWARE"</f>
        <v>000360140 - RICH C BB-DELAWARE</v>
      </c>
      <c r="C11351" t="s">
        <v>282</v>
      </c>
      <c r="D11351" s="1" t="str">
        <f t="shared" si="310"/>
        <v>PRG-1035989</v>
      </c>
      <c r="E11351" t="s">
        <v>191</v>
      </c>
      <c r="F11351" t="s">
        <v>4</v>
      </c>
      <c r="G11351" t="str">
        <f>""</f>
        <v/>
      </c>
    </row>
    <row r="11352" spans="1:7" x14ac:dyDescent="0.25">
      <c r="A11352" t="s">
        <v>8</v>
      </c>
      <c r="B11352" s="1" t="str">
        <f>"000364169 - RICH FOODS-DELAWARE"</f>
        <v>000364169 - RICH FOODS-DELAWARE</v>
      </c>
      <c r="C11352" t="s">
        <v>190</v>
      </c>
      <c r="D11352" s="1" t="str">
        <f t="shared" si="310"/>
        <v>PRG-1035989</v>
      </c>
      <c r="E11352" t="s">
        <v>191</v>
      </c>
      <c r="F11352" t="s">
        <v>4</v>
      </c>
      <c r="G11352" t="str">
        <f>""</f>
        <v/>
      </c>
    </row>
    <row r="11353" spans="1:7" x14ac:dyDescent="0.25">
      <c r="A11353" t="s">
        <v>8</v>
      </c>
      <c r="B11353" s="1" t="str">
        <f>"000387249 - RICH NC BB-DELAWARE"</f>
        <v>000387249 - RICH NC BB-DELAWARE</v>
      </c>
      <c r="C11353" t="s">
        <v>691</v>
      </c>
      <c r="D11353" s="1" t="str">
        <f t="shared" si="310"/>
        <v>PRG-1035989</v>
      </c>
      <c r="E11353" t="s">
        <v>191</v>
      </c>
      <c r="F11353" t="s">
        <v>4</v>
      </c>
      <c r="G11353" t="str">
        <f>""</f>
        <v/>
      </c>
    </row>
    <row r="11354" spans="1:7" x14ac:dyDescent="0.25">
      <c r="A11354" t="s">
        <v>8</v>
      </c>
      <c r="B11354" s="1" t="str">
        <f>"000390745 - RICH FOODS-DELAWARE"</f>
        <v>000390745 - RICH FOODS-DELAWARE</v>
      </c>
      <c r="C11354" t="s">
        <v>190</v>
      </c>
      <c r="D11354" s="1" t="str">
        <f t="shared" si="310"/>
        <v>PRG-1035989</v>
      </c>
      <c r="E11354" t="s">
        <v>191</v>
      </c>
      <c r="F11354" t="s">
        <v>4</v>
      </c>
      <c r="G11354" t="str">
        <f>""</f>
        <v/>
      </c>
    </row>
    <row r="11355" spans="1:7" x14ac:dyDescent="0.25">
      <c r="A11355" t="s">
        <v>8</v>
      </c>
      <c r="B11355" s="1" t="str">
        <f>"2000430963 - "</f>
        <v xml:space="preserve">2000430963 - </v>
      </c>
      <c r="D11355" s="1" t="str">
        <f t="shared" si="310"/>
        <v>PRG-1035989</v>
      </c>
      <c r="E11355" t="s">
        <v>191</v>
      </c>
      <c r="F11355" t="s">
        <v>4</v>
      </c>
      <c r="G11355" t="str">
        <f>""</f>
        <v/>
      </c>
    </row>
    <row r="11356" spans="1:7" x14ac:dyDescent="0.25">
      <c r="A11356" t="s">
        <v>8</v>
      </c>
      <c r="B11356" s="1" t="str">
        <f>"000003648 - RICH FOODS-HILTON"</f>
        <v>000003648 - RICH FOODS-HILTON</v>
      </c>
      <c r="C11356" t="s">
        <v>183</v>
      </c>
      <c r="D11356" s="1" t="str">
        <f t="shared" ref="D11356:D11387" si="311">"PRG-1035990"</f>
        <v>PRG-1035990</v>
      </c>
      <c r="E11356" t="s">
        <v>125</v>
      </c>
      <c r="F11356" t="s">
        <v>4</v>
      </c>
      <c r="G11356" t="str">
        <f>""</f>
        <v/>
      </c>
    </row>
    <row r="11357" spans="1:7" x14ac:dyDescent="0.25">
      <c r="A11357" t="s">
        <v>8</v>
      </c>
      <c r="B11357" s="1" t="str">
        <f>"000004222 - RICH FOODS NCBB-HILTON"</f>
        <v>000004222 - RICH FOODS NCBB-HILTON</v>
      </c>
      <c r="C11357" t="s">
        <v>197</v>
      </c>
      <c r="D11357" s="1" t="str">
        <f t="shared" si="311"/>
        <v>PRG-1035990</v>
      </c>
      <c r="E11357" t="s">
        <v>125</v>
      </c>
      <c r="F11357" t="s">
        <v>4</v>
      </c>
      <c r="G11357" t="str">
        <f>""</f>
        <v/>
      </c>
    </row>
    <row r="11358" spans="1:7" x14ac:dyDescent="0.25">
      <c r="A11358" t="s">
        <v>8</v>
      </c>
      <c r="B11358" s="1" t="str">
        <f>"000006958 - RICH FOODS NCORE BB-FORUM"</f>
        <v>000006958 - RICH FOODS NCORE BB-FORUM</v>
      </c>
      <c r="C11358" t="s">
        <v>249</v>
      </c>
      <c r="D11358" s="1" t="str">
        <f t="shared" si="311"/>
        <v>PRG-1035990</v>
      </c>
      <c r="E11358" t="s">
        <v>125</v>
      </c>
      <c r="F11358" t="s">
        <v>4</v>
      </c>
      <c r="G11358" t="str">
        <f>""</f>
        <v/>
      </c>
    </row>
    <row r="11359" spans="1:7" x14ac:dyDescent="0.25">
      <c r="A11359" t="s">
        <v>8</v>
      </c>
      <c r="B11359" s="1" t="str">
        <f>"000007382 - RICH FOODS-HILTON"</f>
        <v>000007382 - RICH FOODS-HILTON</v>
      </c>
      <c r="C11359" t="s">
        <v>183</v>
      </c>
      <c r="D11359" s="1" t="str">
        <f t="shared" si="311"/>
        <v>PRG-1035990</v>
      </c>
      <c r="E11359" t="s">
        <v>125</v>
      </c>
      <c r="F11359" t="s">
        <v>4</v>
      </c>
      <c r="G11359" t="str">
        <f>""</f>
        <v/>
      </c>
    </row>
    <row r="11360" spans="1:7" x14ac:dyDescent="0.25">
      <c r="A11360" t="s">
        <v>8</v>
      </c>
      <c r="B11360" s="1" t="str">
        <f>"000008102 - "</f>
        <v xml:space="preserve">000008102 - </v>
      </c>
      <c r="D11360" s="1" t="str">
        <f t="shared" si="311"/>
        <v>PRG-1035990</v>
      </c>
      <c r="E11360" t="s">
        <v>125</v>
      </c>
      <c r="F11360" t="s">
        <v>4</v>
      </c>
      <c r="G11360" t="str">
        <f>""</f>
        <v/>
      </c>
    </row>
    <row r="11361" spans="1:7" x14ac:dyDescent="0.25">
      <c r="A11361" t="s">
        <v>8</v>
      </c>
      <c r="B11361" s="1" t="str">
        <f>"000009540 - RICH FOODS-HILTON"</f>
        <v>000009540 - RICH FOODS-HILTON</v>
      </c>
      <c r="C11361" t="s">
        <v>183</v>
      </c>
      <c r="D11361" s="1" t="str">
        <f t="shared" si="311"/>
        <v>PRG-1035990</v>
      </c>
      <c r="E11361" t="s">
        <v>125</v>
      </c>
      <c r="F11361" t="s">
        <v>4</v>
      </c>
      <c r="G11361" t="str">
        <f>""</f>
        <v/>
      </c>
    </row>
    <row r="11362" spans="1:7" x14ac:dyDescent="0.25">
      <c r="A11362" t="s">
        <v>8</v>
      </c>
      <c r="B11362" s="1" t="str">
        <f>"000013074 - "</f>
        <v xml:space="preserve">000013074 - </v>
      </c>
      <c r="D11362" s="1" t="str">
        <f t="shared" si="311"/>
        <v>PRG-1035990</v>
      </c>
      <c r="E11362" t="s">
        <v>125</v>
      </c>
      <c r="F11362" t="s">
        <v>4</v>
      </c>
      <c r="G11362" t="str">
        <f>""</f>
        <v/>
      </c>
    </row>
    <row r="11363" spans="1:7" x14ac:dyDescent="0.25">
      <c r="A11363" t="s">
        <v>8</v>
      </c>
      <c r="B11363" s="1" t="str">
        <f>"000013838 - "</f>
        <v xml:space="preserve">000013838 - </v>
      </c>
      <c r="D11363" s="1" t="str">
        <f t="shared" si="311"/>
        <v>PRG-1035990</v>
      </c>
      <c r="E11363" t="s">
        <v>125</v>
      </c>
      <c r="F11363" t="s">
        <v>4</v>
      </c>
      <c r="G11363" t="str">
        <f>""</f>
        <v/>
      </c>
    </row>
    <row r="11364" spans="1:7" x14ac:dyDescent="0.25">
      <c r="A11364" t="s">
        <v>8</v>
      </c>
      <c r="B11364" s="1" t="str">
        <f>"000015080 - "</f>
        <v xml:space="preserve">000015080 - </v>
      </c>
      <c r="D11364" s="1" t="str">
        <f t="shared" si="311"/>
        <v>PRG-1035990</v>
      </c>
      <c r="E11364" t="s">
        <v>125</v>
      </c>
      <c r="F11364" t="s">
        <v>4</v>
      </c>
      <c r="G11364" t="str">
        <f>""</f>
        <v/>
      </c>
    </row>
    <row r="11365" spans="1:7" x14ac:dyDescent="0.25">
      <c r="A11365" t="s">
        <v>8</v>
      </c>
      <c r="B11365" s="1" t="str">
        <f>"000018098 - "</f>
        <v xml:space="preserve">000018098 - </v>
      </c>
      <c r="D11365" s="1" t="str">
        <f t="shared" si="311"/>
        <v>PRG-1035990</v>
      </c>
      <c r="E11365" t="s">
        <v>125</v>
      </c>
      <c r="F11365" t="s">
        <v>4</v>
      </c>
      <c r="G11365" t="str">
        <f>""</f>
        <v/>
      </c>
    </row>
    <row r="11366" spans="1:7" x14ac:dyDescent="0.25">
      <c r="A11366" t="s">
        <v>8</v>
      </c>
      <c r="B11366" s="1" t="str">
        <f>"000018441 - RICH FOODS-HILTON"</f>
        <v>000018441 - RICH FOODS-HILTON</v>
      </c>
      <c r="C11366" t="s">
        <v>183</v>
      </c>
      <c r="D11366" s="1" t="str">
        <f t="shared" si="311"/>
        <v>PRG-1035990</v>
      </c>
      <c r="E11366" t="s">
        <v>125</v>
      </c>
      <c r="F11366" t="s">
        <v>4</v>
      </c>
      <c r="G11366" t="str">
        <f>""</f>
        <v/>
      </c>
    </row>
    <row r="11367" spans="1:7" x14ac:dyDescent="0.25">
      <c r="A11367" t="s">
        <v>8</v>
      </c>
      <c r="B11367" s="1" t="str">
        <f>"000019446 - "</f>
        <v xml:space="preserve">000019446 - </v>
      </c>
      <c r="D11367" s="1" t="str">
        <f t="shared" si="311"/>
        <v>PRG-1035990</v>
      </c>
      <c r="E11367" t="s">
        <v>125</v>
      </c>
      <c r="F11367" t="s">
        <v>4</v>
      </c>
      <c r="G11367" t="str">
        <f>""</f>
        <v/>
      </c>
    </row>
    <row r="11368" spans="1:7" x14ac:dyDescent="0.25">
      <c r="A11368" t="s">
        <v>8</v>
      </c>
      <c r="B11368" s="1" t="str">
        <f>"000057173 - RICH FOODS NCBB-HILTON"</f>
        <v>000057173 - RICH FOODS NCBB-HILTON</v>
      </c>
      <c r="C11368" t="s">
        <v>197</v>
      </c>
      <c r="D11368" s="1" t="str">
        <f t="shared" si="311"/>
        <v>PRG-1035990</v>
      </c>
      <c r="E11368" t="s">
        <v>125</v>
      </c>
      <c r="F11368" t="s">
        <v>4</v>
      </c>
      <c r="G11368" t="str">
        <f>""</f>
        <v/>
      </c>
    </row>
    <row r="11369" spans="1:7" x14ac:dyDescent="0.25">
      <c r="A11369" t="s">
        <v>8</v>
      </c>
      <c r="B11369" s="1" t="str">
        <f>"000058879 - RICH FOODS NCBB-HILTON"</f>
        <v>000058879 - RICH FOODS NCBB-HILTON</v>
      </c>
      <c r="C11369" t="s">
        <v>197</v>
      </c>
      <c r="D11369" s="1" t="str">
        <f t="shared" si="311"/>
        <v>PRG-1035990</v>
      </c>
      <c r="E11369" t="s">
        <v>125</v>
      </c>
      <c r="F11369" t="s">
        <v>4</v>
      </c>
      <c r="G11369" t="str">
        <f>""</f>
        <v/>
      </c>
    </row>
    <row r="11370" spans="1:7" x14ac:dyDescent="0.25">
      <c r="A11370" t="s">
        <v>8</v>
      </c>
      <c r="B11370" s="1" t="str">
        <f>"000062042 - RICH FOODS-HILTON"</f>
        <v>000062042 - RICH FOODS-HILTON</v>
      </c>
      <c r="C11370" t="s">
        <v>183</v>
      </c>
      <c r="D11370" s="1" t="str">
        <f t="shared" si="311"/>
        <v>PRG-1035990</v>
      </c>
      <c r="E11370" t="s">
        <v>125</v>
      </c>
      <c r="F11370" t="s">
        <v>4</v>
      </c>
      <c r="G11370" t="str">
        <f>""</f>
        <v/>
      </c>
    </row>
    <row r="11371" spans="1:7" x14ac:dyDescent="0.25">
      <c r="A11371" t="s">
        <v>8</v>
      </c>
      <c r="B11371" s="1" t="str">
        <f>"000063138 - RICH FOODS-HILTON"</f>
        <v>000063138 - RICH FOODS-HILTON</v>
      </c>
      <c r="C11371" t="s">
        <v>183</v>
      </c>
      <c r="D11371" s="1" t="str">
        <f t="shared" si="311"/>
        <v>PRG-1035990</v>
      </c>
      <c r="E11371" t="s">
        <v>125</v>
      </c>
      <c r="F11371" t="s">
        <v>4</v>
      </c>
      <c r="G11371" t="str">
        <f>""</f>
        <v/>
      </c>
    </row>
    <row r="11372" spans="1:7" x14ac:dyDescent="0.25">
      <c r="A11372" t="s">
        <v>8</v>
      </c>
      <c r="B11372" s="1" t="str">
        <f>"000073169 - RICH FOODS NCBB-HILTON"</f>
        <v>000073169 - RICH FOODS NCBB-HILTON</v>
      </c>
      <c r="C11372" t="s">
        <v>197</v>
      </c>
      <c r="D11372" s="1" t="str">
        <f t="shared" si="311"/>
        <v>PRG-1035990</v>
      </c>
      <c r="E11372" t="s">
        <v>125</v>
      </c>
      <c r="F11372" t="s">
        <v>4</v>
      </c>
      <c r="G11372" t="str">
        <f>""</f>
        <v/>
      </c>
    </row>
    <row r="11373" spans="1:7" x14ac:dyDescent="0.25">
      <c r="A11373" t="s">
        <v>8</v>
      </c>
      <c r="B11373" s="1" t="str">
        <f>"000077959 - RICH FOODS-HILTON"</f>
        <v>000077959 - RICH FOODS-HILTON</v>
      </c>
      <c r="C11373" t="s">
        <v>183</v>
      </c>
      <c r="D11373" s="1" t="str">
        <f t="shared" si="311"/>
        <v>PRG-1035990</v>
      </c>
      <c r="E11373" t="s">
        <v>125</v>
      </c>
      <c r="F11373" t="s">
        <v>4</v>
      </c>
      <c r="G11373" t="str">
        <f>""</f>
        <v/>
      </c>
    </row>
    <row r="11374" spans="1:7" x14ac:dyDescent="0.25">
      <c r="A11374" t="s">
        <v>8</v>
      </c>
      <c r="B11374" s="1" t="str">
        <f>"000129804 - RICH FOODS NCBB-HILTON"</f>
        <v>000129804 - RICH FOODS NCBB-HILTON</v>
      </c>
      <c r="C11374" t="s">
        <v>197</v>
      </c>
      <c r="D11374" s="1" t="str">
        <f t="shared" si="311"/>
        <v>PRG-1035990</v>
      </c>
      <c r="E11374" t="s">
        <v>125</v>
      </c>
      <c r="F11374" t="s">
        <v>4</v>
      </c>
      <c r="G11374" t="str">
        <f>""</f>
        <v/>
      </c>
    </row>
    <row r="11375" spans="1:7" x14ac:dyDescent="0.25">
      <c r="A11375" t="s">
        <v>8</v>
      </c>
      <c r="B11375" s="1" t="str">
        <f>"000133977 - RICH FOODS NCBB-HILTON"</f>
        <v>000133977 - RICH FOODS NCBB-HILTON</v>
      </c>
      <c r="C11375" t="s">
        <v>197</v>
      </c>
      <c r="D11375" s="1" t="str">
        <f t="shared" si="311"/>
        <v>PRG-1035990</v>
      </c>
      <c r="E11375" t="s">
        <v>125</v>
      </c>
      <c r="F11375" t="s">
        <v>4</v>
      </c>
      <c r="G11375" t="str">
        <f>""</f>
        <v/>
      </c>
    </row>
    <row r="11376" spans="1:7" x14ac:dyDescent="0.25">
      <c r="A11376" t="s">
        <v>8</v>
      </c>
      <c r="B11376" s="1" t="str">
        <f>"000134133 - RICH FOODS-HILTON"</f>
        <v>000134133 - RICH FOODS-HILTON</v>
      </c>
      <c r="C11376" t="s">
        <v>183</v>
      </c>
      <c r="D11376" s="1" t="str">
        <f t="shared" si="311"/>
        <v>PRG-1035990</v>
      </c>
      <c r="E11376" t="s">
        <v>125</v>
      </c>
      <c r="F11376" t="s">
        <v>4</v>
      </c>
      <c r="G11376" t="str">
        <f>""</f>
        <v/>
      </c>
    </row>
    <row r="11377" spans="1:7" x14ac:dyDescent="0.25">
      <c r="A11377" t="s">
        <v>8</v>
      </c>
      <c r="B11377" s="1" t="str">
        <f>"000137115 - RICH FOODS-HILTON"</f>
        <v>000137115 - RICH FOODS-HILTON</v>
      </c>
      <c r="C11377" t="s">
        <v>183</v>
      </c>
      <c r="D11377" s="1" t="str">
        <f t="shared" si="311"/>
        <v>PRG-1035990</v>
      </c>
      <c r="E11377" t="s">
        <v>125</v>
      </c>
      <c r="F11377" t="s">
        <v>4</v>
      </c>
      <c r="G11377" t="str">
        <f>""</f>
        <v/>
      </c>
    </row>
    <row r="11378" spans="1:7" x14ac:dyDescent="0.25">
      <c r="A11378" t="s">
        <v>8</v>
      </c>
      <c r="B11378" s="1" t="str">
        <f>"000151348 - RICH FOODS NCBB-HILTON"</f>
        <v>000151348 - RICH FOODS NCBB-HILTON</v>
      </c>
      <c r="C11378" t="s">
        <v>197</v>
      </c>
      <c r="D11378" s="1" t="str">
        <f t="shared" si="311"/>
        <v>PRG-1035990</v>
      </c>
      <c r="E11378" t="s">
        <v>125</v>
      </c>
      <c r="F11378" t="s">
        <v>4</v>
      </c>
      <c r="G11378" t="str">
        <f>""</f>
        <v/>
      </c>
    </row>
    <row r="11379" spans="1:7" x14ac:dyDescent="0.25">
      <c r="A11379" t="s">
        <v>8</v>
      </c>
      <c r="B11379" s="1" t="str">
        <f>"000155441 - RICH FOODS-HILTON"</f>
        <v>000155441 - RICH FOODS-HILTON</v>
      </c>
      <c r="C11379" t="s">
        <v>183</v>
      </c>
      <c r="D11379" s="1" t="str">
        <f t="shared" si="311"/>
        <v>PRG-1035990</v>
      </c>
      <c r="E11379" t="s">
        <v>125</v>
      </c>
      <c r="F11379" t="s">
        <v>4</v>
      </c>
      <c r="G11379" t="str">
        <f>""</f>
        <v/>
      </c>
    </row>
    <row r="11380" spans="1:7" x14ac:dyDescent="0.25">
      <c r="A11380" t="s">
        <v>8</v>
      </c>
      <c r="B11380" s="1" t="str">
        <f>"000158021 - "</f>
        <v xml:space="preserve">000158021 - </v>
      </c>
      <c r="D11380" s="1" t="str">
        <f t="shared" si="311"/>
        <v>PRG-1035990</v>
      </c>
      <c r="E11380" t="s">
        <v>125</v>
      </c>
      <c r="F11380" t="s">
        <v>4</v>
      </c>
      <c r="G11380" t="str">
        <f>""</f>
        <v/>
      </c>
    </row>
    <row r="11381" spans="1:7" x14ac:dyDescent="0.25">
      <c r="A11381" t="s">
        <v>8</v>
      </c>
      <c r="B11381" s="1" t="str">
        <f>"000159869 - "</f>
        <v xml:space="preserve">000159869 - </v>
      </c>
      <c r="D11381" s="1" t="str">
        <f t="shared" si="311"/>
        <v>PRG-1035990</v>
      </c>
      <c r="E11381" t="s">
        <v>125</v>
      </c>
      <c r="F11381" t="s">
        <v>4</v>
      </c>
      <c r="G11381" t="str">
        <f>""</f>
        <v/>
      </c>
    </row>
    <row r="11382" spans="1:7" x14ac:dyDescent="0.25">
      <c r="A11382" t="s">
        <v>8</v>
      </c>
      <c r="B11382" s="1" t="str">
        <f>"000163411 - "</f>
        <v xml:space="preserve">000163411 - </v>
      </c>
      <c r="D11382" s="1" t="str">
        <f t="shared" si="311"/>
        <v>PRG-1035990</v>
      </c>
      <c r="E11382" t="s">
        <v>125</v>
      </c>
      <c r="F11382" t="s">
        <v>4</v>
      </c>
      <c r="G11382" t="str">
        <f>""</f>
        <v/>
      </c>
    </row>
    <row r="11383" spans="1:7" x14ac:dyDescent="0.25">
      <c r="A11383" t="s">
        <v>8</v>
      </c>
      <c r="B11383" s="1" t="str">
        <f>"000163677 - RICH FOODS-HILTON"</f>
        <v>000163677 - RICH FOODS-HILTON</v>
      </c>
      <c r="C11383" t="s">
        <v>183</v>
      </c>
      <c r="D11383" s="1" t="str">
        <f t="shared" si="311"/>
        <v>PRG-1035990</v>
      </c>
      <c r="E11383" t="s">
        <v>125</v>
      </c>
      <c r="F11383" t="s">
        <v>4</v>
      </c>
      <c r="G11383" t="str">
        <f>""</f>
        <v/>
      </c>
    </row>
    <row r="11384" spans="1:7" x14ac:dyDescent="0.25">
      <c r="A11384" t="s">
        <v>8</v>
      </c>
      <c r="B11384" s="1" t="str">
        <f>"000177652 - "</f>
        <v xml:space="preserve">000177652 - </v>
      </c>
      <c r="D11384" s="1" t="str">
        <f t="shared" si="311"/>
        <v>PRG-1035990</v>
      </c>
      <c r="E11384" t="s">
        <v>125</v>
      </c>
      <c r="F11384" t="s">
        <v>4</v>
      </c>
      <c r="G11384" t="str">
        <f>""</f>
        <v/>
      </c>
    </row>
    <row r="11385" spans="1:7" x14ac:dyDescent="0.25">
      <c r="A11385" t="s">
        <v>8</v>
      </c>
      <c r="B11385" s="1" t="str">
        <f>"000204298 - "</f>
        <v xml:space="preserve">000204298 - </v>
      </c>
      <c r="D11385" s="1" t="str">
        <f t="shared" si="311"/>
        <v>PRG-1035990</v>
      </c>
      <c r="E11385" t="s">
        <v>125</v>
      </c>
      <c r="F11385" t="s">
        <v>4</v>
      </c>
      <c r="G11385" t="str">
        <f>""</f>
        <v/>
      </c>
    </row>
    <row r="11386" spans="1:7" x14ac:dyDescent="0.25">
      <c r="A11386" t="s">
        <v>8</v>
      </c>
      <c r="B11386" s="1" t="str">
        <f>"000219616 - RICH FOODS NCBB-HILTON"</f>
        <v>000219616 - RICH FOODS NCBB-HILTON</v>
      </c>
      <c r="C11386" t="s">
        <v>197</v>
      </c>
      <c r="D11386" s="1" t="str">
        <f t="shared" si="311"/>
        <v>PRG-1035990</v>
      </c>
      <c r="E11386" t="s">
        <v>125</v>
      </c>
      <c r="F11386" t="s">
        <v>4</v>
      </c>
      <c r="G11386" t="str">
        <f>""</f>
        <v/>
      </c>
    </row>
    <row r="11387" spans="1:7" x14ac:dyDescent="0.25">
      <c r="A11387" t="s">
        <v>8</v>
      </c>
      <c r="B11387" s="1" t="str">
        <f>"000229021 - RICH FOODS-HILTON"</f>
        <v>000229021 - RICH FOODS-HILTON</v>
      </c>
      <c r="C11387" t="s">
        <v>183</v>
      </c>
      <c r="D11387" s="1" t="str">
        <f t="shared" si="311"/>
        <v>PRG-1035990</v>
      </c>
      <c r="E11387" t="s">
        <v>125</v>
      </c>
      <c r="F11387" t="s">
        <v>4</v>
      </c>
      <c r="G11387" t="str">
        <f>""</f>
        <v/>
      </c>
    </row>
    <row r="11388" spans="1:7" x14ac:dyDescent="0.25">
      <c r="A11388" t="s">
        <v>8</v>
      </c>
      <c r="B11388" s="1" t="str">
        <f>"000231211 - RICH FOODS-HILTON"</f>
        <v>000231211 - RICH FOODS-HILTON</v>
      </c>
      <c r="C11388" t="s">
        <v>183</v>
      </c>
      <c r="D11388" s="1" t="str">
        <f t="shared" ref="D11388:D11419" si="312">"PRG-1035990"</f>
        <v>PRG-1035990</v>
      </c>
      <c r="E11388" t="s">
        <v>125</v>
      </c>
      <c r="F11388" t="s">
        <v>4</v>
      </c>
      <c r="G11388" t="str">
        <f>""</f>
        <v/>
      </c>
    </row>
    <row r="11389" spans="1:7" x14ac:dyDescent="0.25">
      <c r="A11389" t="s">
        <v>8</v>
      </c>
      <c r="B11389" s="1" t="str">
        <f>"000235331 - RICH FOODS NCBB-HILTON"</f>
        <v>000235331 - RICH FOODS NCBB-HILTON</v>
      </c>
      <c r="C11389" t="s">
        <v>197</v>
      </c>
      <c r="D11389" s="1" t="str">
        <f t="shared" si="312"/>
        <v>PRG-1035990</v>
      </c>
      <c r="E11389" t="s">
        <v>125</v>
      </c>
      <c r="F11389" t="s">
        <v>4</v>
      </c>
      <c r="G11389" t="str">
        <f>""</f>
        <v/>
      </c>
    </row>
    <row r="11390" spans="1:7" x14ac:dyDescent="0.25">
      <c r="A11390" t="s">
        <v>8</v>
      </c>
      <c r="B11390" s="1" t="str">
        <f>"000235506 - RICH FOODS NCBB-HILTON"</f>
        <v>000235506 - RICH FOODS NCBB-HILTON</v>
      </c>
      <c r="C11390" t="s">
        <v>197</v>
      </c>
      <c r="D11390" s="1" t="str">
        <f t="shared" si="312"/>
        <v>PRG-1035990</v>
      </c>
      <c r="E11390" t="s">
        <v>125</v>
      </c>
      <c r="F11390" t="s">
        <v>4</v>
      </c>
      <c r="G11390" t="str">
        <f>""</f>
        <v/>
      </c>
    </row>
    <row r="11391" spans="1:7" x14ac:dyDescent="0.25">
      <c r="A11391" t="s">
        <v>8</v>
      </c>
      <c r="B11391" s="1" t="str">
        <f>"000238723 - RICH FOODS-HILTON"</f>
        <v>000238723 - RICH FOODS-HILTON</v>
      </c>
      <c r="C11391" t="s">
        <v>183</v>
      </c>
      <c r="D11391" s="1" t="str">
        <f t="shared" si="312"/>
        <v>PRG-1035990</v>
      </c>
      <c r="E11391" t="s">
        <v>125</v>
      </c>
      <c r="F11391" t="s">
        <v>4</v>
      </c>
      <c r="G11391" t="str">
        <f>""</f>
        <v/>
      </c>
    </row>
    <row r="11392" spans="1:7" x14ac:dyDescent="0.25">
      <c r="A11392" t="s">
        <v>8</v>
      </c>
      <c r="B11392" s="1" t="str">
        <f>"000239038 - RICH FOODS-HILTON"</f>
        <v>000239038 - RICH FOODS-HILTON</v>
      </c>
      <c r="C11392" t="s">
        <v>183</v>
      </c>
      <c r="D11392" s="1" t="str">
        <f t="shared" si="312"/>
        <v>PRG-1035990</v>
      </c>
      <c r="E11392" t="s">
        <v>125</v>
      </c>
      <c r="F11392" t="s">
        <v>4</v>
      </c>
      <c r="G11392" t="str">
        <f>""</f>
        <v/>
      </c>
    </row>
    <row r="11393" spans="1:7" x14ac:dyDescent="0.25">
      <c r="A11393" t="s">
        <v>8</v>
      </c>
      <c r="B11393" s="1" t="str">
        <f>"000245859 - RICH FOODS NCBB-HILTON"</f>
        <v>000245859 - RICH FOODS NCBB-HILTON</v>
      </c>
      <c r="C11393" t="s">
        <v>197</v>
      </c>
      <c r="D11393" s="1" t="str">
        <f t="shared" si="312"/>
        <v>PRG-1035990</v>
      </c>
      <c r="E11393" t="s">
        <v>125</v>
      </c>
      <c r="F11393" t="s">
        <v>4</v>
      </c>
      <c r="G11393" t="str">
        <f>""</f>
        <v/>
      </c>
    </row>
    <row r="11394" spans="1:7" x14ac:dyDescent="0.25">
      <c r="A11394" t="s">
        <v>8</v>
      </c>
      <c r="B11394" s="1" t="str">
        <f>"000247752 - BB HILTON FOB RICH"</f>
        <v>000247752 - BB HILTON FOB RICH</v>
      </c>
      <c r="C11394" t="s">
        <v>1247</v>
      </c>
      <c r="D11394" s="1" t="str">
        <f t="shared" si="312"/>
        <v>PRG-1035990</v>
      </c>
      <c r="E11394" t="s">
        <v>125</v>
      </c>
      <c r="F11394" t="s">
        <v>4</v>
      </c>
      <c r="G11394" t="str">
        <f>""</f>
        <v/>
      </c>
    </row>
    <row r="11395" spans="1:7" x14ac:dyDescent="0.25">
      <c r="A11395" t="s">
        <v>8</v>
      </c>
      <c r="B11395" s="1" t="str">
        <f>"000248383 - RICH FOODS NCBB-HILTON"</f>
        <v>000248383 - RICH FOODS NCBB-HILTON</v>
      </c>
      <c r="C11395" t="s">
        <v>197</v>
      </c>
      <c r="D11395" s="1" t="str">
        <f t="shared" si="312"/>
        <v>PRG-1035990</v>
      </c>
      <c r="E11395" t="s">
        <v>125</v>
      </c>
      <c r="F11395" t="s">
        <v>4</v>
      </c>
      <c r="G11395" t="str">
        <f>""</f>
        <v/>
      </c>
    </row>
    <row r="11396" spans="1:7" x14ac:dyDescent="0.25">
      <c r="A11396" t="s">
        <v>8</v>
      </c>
      <c r="B11396" s="1" t="str">
        <f>"000248877 - RICH FOODS NCBB-HILTON"</f>
        <v>000248877 - RICH FOODS NCBB-HILTON</v>
      </c>
      <c r="C11396" t="s">
        <v>197</v>
      </c>
      <c r="D11396" s="1" t="str">
        <f t="shared" si="312"/>
        <v>PRG-1035990</v>
      </c>
      <c r="E11396" t="s">
        <v>125</v>
      </c>
      <c r="F11396" t="s">
        <v>4</v>
      </c>
      <c r="G11396" t="str">
        <f>""</f>
        <v/>
      </c>
    </row>
    <row r="11397" spans="1:7" x14ac:dyDescent="0.25">
      <c r="A11397" t="s">
        <v>8</v>
      </c>
      <c r="B11397" s="1" t="str">
        <f>"000249055 - RICH FOODS-HILTON"</f>
        <v>000249055 - RICH FOODS-HILTON</v>
      </c>
      <c r="C11397" t="s">
        <v>183</v>
      </c>
      <c r="D11397" s="1" t="str">
        <f t="shared" si="312"/>
        <v>PRG-1035990</v>
      </c>
      <c r="E11397" t="s">
        <v>125</v>
      </c>
      <c r="F11397" t="s">
        <v>4</v>
      </c>
      <c r="G11397" t="str">
        <f>""</f>
        <v/>
      </c>
    </row>
    <row r="11398" spans="1:7" x14ac:dyDescent="0.25">
      <c r="A11398" t="s">
        <v>8</v>
      </c>
      <c r="B11398" s="1" t="str">
        <f>"000249560 - RICH FOODS NCBB-HILTON"</f>
        <v>000249560 - RICH FOODS NCBB-HILTON</v>
      </c>
      <c r="C11398" t="s">
        <v>197</v>
      </c>
      <c r="D11398" s="1" t="str">
        <f t="shared" si="312"/>
        <v>PRG-1035990</v>
      </c>
      <c r="E11398" t="s">
        <v>125</v>
      </c>
      <c r="F11398" t="s">
        <v>4</v>
      </c>
      <c r="G11398" t="str">
        <f>""</f>
        <v/>
      </c>
    </row>
    <row r="11399" spans="1:7" x14ac:dyDescent="0.25">
      <c r="A11399" t="s">
        <v>8</v>
      </c>
      <c r="B11399" s="1" t="str">
        <f>"000251072 - RICH FOODS NCBB-HILTON"</f>
        <v>000251072 - RICH FOODS NCBB-HILTON</v>
      </c>
      <c r="C11399" t="s">
        <v>197</v>
      </c>
      <c r="D11399" s="1" t="str">
        <f t="shared" si="312"/>
        <v>PRG-1035990</v>
      </c>
      <c r="E11399" t="s">
        <v>125</v>
      </c>
      <c r="F11399" t="s">
        <v>4</v>
      </c>
      <c r="G11399" t="str">
        <f>""</f>
        <v/>
      </c>
    </row>
    <row r="11400" spans="1:7" x14ac:dyDescent="0.25">
      <c r="A11400" t="s">
        <v>8</v>
      </c>
      <c r="B11400" s="1" t="str">
        <f>"000252558 - RICH FOODS NCBB-HILTON"</f>
        <v>000252558 - RICH FOODS NCBB-HILTON</v>
      </c>
      <c r="C11400" t="s">
        <v>197</v>
      </c>
      <c r="D11400" s="1" t="str">
        <f t="shared" si="312"/>
        <v>PRG-1035990</v>
      </c>
      <c r="E11400" t="s">
        <v>125</v>
      </c>
      <c r="F11400" t="s">
        <v>4</v>
      </c>
      <c r="G11400" t="str">
        <f>""</f>
        <v/>
      </c>
    </row>
    <row r="11401" spans="1:7" x14ac:dyDescent="0.25">
      <c r="A11401" t="s">
        <v>8</v>
      </c>
      <c r="B11401" s="1" t="str">
        <f>"000252757 - RICH FOODS-HILTON"</f>
        <v>000252757 - RICH FOODS-HILTON</v>
      </c>
      <c r="C11401" t="s">
        <v>183</v>
      </c>
      <c r="D11401" s="1" t="str">
        <f t="shared" si="312"/>
        <v>PRG-1035990</v>
      </c>
      <c r="E11401" t="s">
        <v>125</v>
      </c>
      <c r="F11401" t="s">
        <v>4</v>
      </c>
      <c r="G11401" t="str">
        <f>""</f>
        <v/>
      </c>
    </row>
    <row r="11402" spans="1:7" x14ac:dyDescent="0.25">
      <c r="A11402" t="s">
        <v>8</v>
      </c>
      <c r="B11402" s="1" t="str">
        <f>"000252795 - "</f>
        <v xml:space="preserve">000252795 - </v>
      </c>
      <c r="D11402" s="1" t="str">
        <f t="shared" si="312"/>
        <v>PRG-1035990</v>
      </c>
      <c r="E11402" t="s">
        <v>125</v>
      </c>
      <c r="F11402" t="s">
        <v>4</v>
      </c>
      <c r="G11402" t="str">
        <f>""</f>
        <v/>
      </c>
    </row>
    <row r="11403" spans="1:7" x14ac:dyDescent="0.25">
      <c r="A11403" t="s">
        <v>8</v>
      </c>
      <c r="B11403" s="1" t="str">
        <f>"000253846 - RICH FOODS-HILTON"</f>
        <v>000253846 - RICH FOODS-HILTON</v>
      </c>
      <c r="C11403" t="s">
        <v>183</v>
      </c>
      <c r="D11403" s="1" t="str">
        <f t="shared" si="312"/>
        <v>PRG-1035990</v>
      </c>
      <c r="E11403" t="s">
        <v>125</v>
      </c>
      <c r="F11403" t="s">
        <v>4</v>
      </c>
      <c r="G11403" t="str">
        <f>""</f>
        <v/>
      </c>
    </row>
    <row r="11404" spans="1:7" x14ac:dyDescent="0.25">
      <c r="A11404" t="s">
        <v>8</v>
      </c>
      <c r="B11404" s="1" t="str">
        <f>"000255728 - RICH FOODS-HILTON"</f>
        <v>000255728 - RICH FOODS-HILTON</v>
      </c>
      <c r="C11404" t="s">
        <v>183</v>
      </c>
      <c r="D11404" s="1" t="str">
        <f t="shared" si="312"/>
        <v>PRG-1035990</v>
      </c>
      <c r="E11404" t="s">
        <v>125</v>
      </c>
      <c r="F11404" t="s">
        <v>4</v>
      </c>
      <c r="G11404" t="str">
        <f>""</f>
        <v/>
      </c>
    </row>
    <row r="11405" spans="1:7" x14ac:dyDescent="0.25">
      <c r="A11405" t="s">
        <v>8</v>
      </c>
      <c r="B11405" s="1" t="str">
        <f>"000255977 - RICH FOODS NCBB-HILTON"</f>
        <v>000255977 - RICH FOODS NCBB-HILTON</v>
      </c>
      <c r="C11405" t="s">
        <v>197</v>
      </c>
      <c r="D11405" s="1" t="str">
        <f t="shared" si="312"/>
        <v>PRG-1035990</v>
      </c>
      <c r="E11405" t="s">
        <v>125</v>
      </c>
      <c r="F11405" t="s">
        <v>4</v>
      </c>
      <c r="G11405" t="str">
        <f>""</f>
        <v/>
      </c>
    </row>
    <row r="11406" spans="1:7" x14ac:dyDescent="0.25">
      <c r="A11406" t="s">
        <v>8</v>
      </c>
      <c r="B11406" s="1" t="str">
        <f>"000257825 - RICH FOODS-HILTON"</f>
        <v>000257825 - RICH FOODS-HILTON</v>
      </c>
      <c r="C11406" t="s">
        <v>183</v>
      </c>
      <c r="D11406" s="1" t="str">
        <f t="shared" si="312"/>
        <v>PRG-1035990</v>
      </c>
      <c r="E11406" t="s">
        <v>125</v>
      </c>
      <c r="F11406" t="s">
        <v>4</v>
      </c>
      <c r="G11406" t="str">
        <f>""</f>
        <v/>
      </c>
    </row>
    <row r="11407" spans="1:7" x14ac:dyDescent="0.25">
      <c r="A11407" t="s">
        <v>8</v>
      </c>
      <c r="B11407" s="1" t="str">
        <f>"000260456 - RICH FOODS-HILTON"</f>
        <v>000260456 - RICH FOODS-HILTON</v>
      </c>
      <c r="C11407" t="s">
        <v>183</v>
      </c>
      <c r="D11407" s="1" t="str">
        <f t="shared" si="312"/>
        <v>PRG-1035990</v>
      </c>
      <c r="E11407" t="s">
        <v>125</v>
      </c>
      <c r="F11407" t="s">
        <v>4</v>
      </c>
      <c r="G11407" t="str">
        <f>""</f>
        <v/>
      </c>
    </row>
    <row r="11408" spans="1:7" x14ac:dyDescent="0.25">
      <c r="A11408" t="s">
        <v>8</v>
      </c>
      <c r="B11408" s="1" t="str">
        <f>"000263916 - RICH FOODS-HILTON"</f>
        <v>000263916 - RICH FOODS-HILTON</v>
      </c>
      <c r="C11408" t="s">
        <v>183</v>
      </c>
      <c r="D11408" s="1" t="str">
        <f t="shared" si="312"/>
        <v>PRG-1035990</v>
      </c>
      <c r="E11408" t="s">
        <v>125</v>
      </c>
      <c r="F11408" t="s">
        <v>4</v>
      </c>
      <c r="G11408" t="str">
        <f>""</f>
        <v/>
      </c>
    </row>
    <row r="11409" spans="1:7" x14ac:dyDescent="0.25">
      <c r="A11409" t="s">
        <v>8</v>
      </c>
      <c r="B11409" s="1" t="str">
        <f>"000266019 - "</f>
        <v xml:space="preserve">000266019 - </v>
      </c>
      <c r="D11409" s="1" t="str">
        <f t="shared" si="312"/>
        <v>PRG-1035990</v>
      </c>
      <c r="E11409" t="s">
        <v>125</v>
      </c>
      <c r="F11409" t="s">
        <v>4</v>
      </c>
      <c r="G11409" t="str">
        <f>""</f>
        <v/>
      </c>
    </row>
    <row r="11410" spans="1:7" x14ac:dyDescent="0.25">
      <c r="A11410" t="s">
        <v>8</v>
      </c>
      <c r="B11410" s="1" t="str">
        <f>"000267519 - "</f>
        <v xml:space="preserve">000267519 - </v>
      </c>
      <c r="D11410" s="1" t="str">
        <f t="shared" si="312"/>
        <v>PRG-1035990</v>
      </c>
      <c r="E11410" t="s">
        <v>125</v>
      </c>
      <c r="F11410" t="s">
        <v>4</v>
      </c>
      <c r="G11410" t="str">
        <f>""</f>
        <v/>
      </c>
    </row>
    <row r="11411" spans="1:7" x14ac:dyDescent="0.25">
      <c r="A11411" t="s">
        <v>8</v>
      </c>
      <c r="B11411" s="1" t="str">
        <f>"000268352 - RICH FOODS NCBB-HILTON"</f>
        <v>000268352 - RICH FOODS NCBB-HILTON</v>
      </c>
      <c r="C11411" t="s">
        <v>197</v>
      </c>
      <c r="D11411" s="1" t="str">
        <f t="shared" si="312"/>
        <v>PRG-1035990</v>
      </c>
      <c r="E11411" t="s">
        <v>125</v>
      </c>
      <c r="F11411" t="s">
        <v>4</v>
      </c>
      <c r="G11411" t="str">
        <f>""</f>
        <v/>
      </c>
    </row>
    <row r="11412" spans="1:7" x14ac:dyDescent="0.25">
      <c r="A11412" t="s">
        <v>8</v>
      </c>
      <c r="B11412" s="1" t="str">
        <f>"000270800 - RICH FOODS NCBB-HILTON"</f>
        <v>000270800 - RICH FOODS NCBB-HILTON</v>
      </c>
      <c r="C11412" t="s">
        <v>197</v>
      </c>
      <c r="D11412" s="1" t="str">
        <f t="shared" si="312"/>
        <v>PRG-1035990</v>
      </c>
      <c r="E11412" t="s">
        <v>125</v>
      </c>
      <c r="F11412" t="s">
        <v>4</v>
      </c>
      <c r="G11412" t="str">
        <f>""</f>
        <v/>
      </c>
    </row>
    <row r="11413" spans="1:7" x14ac:dyDescent="0.25">
      <c r="A11413" t="s">
        <v>8</v>
      </c>
      <c r="B11413" s="1" t="str">
        <f>"000272132 - "</f>
        <v xml:space="preserve">000272132 - </v>
      </c>
      <c r="D11413" s="1" t="str">
        <f t="shared" si="312"/>
        <v>PRG-1035990</v>
      </c>
      <c r="E11413" t="s">
        <v>125</v>
      </c>
      <c r="F11413" t="s">
        <v>4</v>
      </c>
      <c r="G11413" t="str">
        <f>""</f>
        <v/>
      </c>
    </row>
    <row r="11414" spans="1:7" x14ac:dyDescent="0.25">
      <c r="A11414" t="s">
        <v>8</v>
      </c>
      <c r="B11414" s="1" t="str">
        <f>"000272461 - RICH FOODS-HILTON"</f>
        <v>000272461 - RICH FOODS-HILTON</v>
      </c>
      <c r="C11414" t="s">
        <v>183</v>
      </c>
      <c r="D11414" s="1" t="str">
        <f t="shared" si="312"/>
        <v>PRG-1035990</v>
      </c>
      <c r="E11414" t="s">
        <v>125</v>
      </c>
      <c r="F11414" t="s">
        <v>4</v>
      </c>
      <c r="G11414" t="str">
        <f>""</f>
        <v/>
      </c>
    </row>
    <row r="11415" spans="1:7" x14ac:dyDescent="0.25">
      <c r="A11415" t="s">
        <v>8</v>
      </c>
      <c r="B11415" s="1" t="str">
        <f>"000272963 - RICH FOODS NCBB-HILTON"</f>
        <v>000272963 - RICH FOODS NCBB-HILTON</v>
      </c>
      <c r="C11415" t="s">
        <v>197</v>
      </c>
      <c r="D11415" s="1" t="str">
        <f t="shared" si="312"/>
        <v>PRG-1035990</v>
      </c>
      <c r="E11415" t="s">
        <v>125</v>
      </c>
      <c r="F11415" t="s">
        <v>4</v>
      </c>
      <c r="G11415" t="str">
        <f>""</f>
        <v/>
      </c>
    </row>
    <row r="11416" spans="1:7" x14ac:dyDescent="0.25">
      <c r="A11416" t="s">
        <v>8</v>
      </c>
      <c r="B11416" s="1" t="str">
        <f>"000273954 - RICH FOODS NCBB-HILTON"</f>
        <v>000273954 - RICH FOODS NCBB-HILTON</v>
      </c>
      <c r="C11416" t="s">
        <v>197</v>
      </c>
      <c r="D11416" s="1" t="str">
        <f t="shared" si="312"/>
        <v>PRG-1035990</v>
      </c>
      <c r="E11416" t="s">
        <v>125</v>
      </c>
      <c r="F11416" t="s">
        <v>4</v>
      </c>
      <c r="G11416" t="str">
        <f>""</f>
        <v/>
      </c>
    </row>
    <row r="11417" spans="1:7" x14ac:dyDescent="0.25">
      <c r="A11417" t="s">
        <v>8</v>
      </c>
      <c r="B11417" s="1" t="str">
        <f>"000274459 - RICH FOODS NCBB-HILTON"</f>
        <v>000274459 - RICH FOODS NCBB-HILTON</v>
      </c>
      <c r="C11417" t="s">
        <v>197</v>
      </c>
      <c r="D11417" s="1" t="str">
        <f t="shared" si="312"/>
        <v>PRG-1035990</v>
      </c>
      <c r="E11417" t="s">
        <v>125</v>
      </c>
      <c r="F11417" t="s">
        <v>4</v>
      </c>
      <c r="G11417" t="str">
        <f>""</f>
        <v/>
      </c>
    </row>
    <row r="11418" spans="1:7" x14ac:dyDescent="0.25">
      <c r="A11418" t="s">
        <v>8</v>
      </c>
      <c r="B11418" s="1" t="str">
        <f>"000276121 - RICH FOODS NCBB-HILTON"</f>
        <v>000276121 - RICH FOODS NCBB-HILTON</v>
      </c>
      <c r="C11418" t="s">
        <v>197</v>
      </c>
      <c r="D11418" s="1" t="str">
        <f t="shared" si="312"/>
        <v>PRG-1035990</v>
      </c>
      <c r="E11418" t="s">
        <v>125</v>
      </c>
      <c r="F11418" t="s">
        <v>4</v>
      </c>
      <c r="G11418" t="str">
        <f>""</f>
        <v/>
      </c>
    </row>
    <row r="11419" spans="1:7" x14ac:dyDescent="0.25">
      <c r="A11419" t="s">
        <v>8</v>
      </c>
      <c r="B11419" s="1" t="str">
        <f>"000276181 - RICH FOODS NCBB-HILTON"</f>
        <v>000276181 - RICH FOODS NCBB-HILTON</v>
      </c>
      <c r="C11419" t="s">
        <v>197</v>
      </c>
      <c r="D11419" s="1" t="str">
        <f t="shared" si="312"/>
        <v>PRG-1035990</v>
      </c>
      <c r="E11419" t="s">
        <v>125</v>
      </c>
      <c r="F11419" t="s">
        <v>4</v>
      </c>
      <c r="G11419" t="str">
        <f>""</f>
        <v/>
      </c>
    </row>
    <row r="11420" spans="1:7" x14ac:dyDescent="0.25">
      <c r="A11420" t="s">
        <v>8</v>
      </c>
      <c r="B11420" s="1" t="str">
        <f>"000276335 - RICH FOODS-HILTON"</f>
        <v>000276335 - RICH FOODS-HILTON</v>
      </c>
      <c r="C11420" t="s">
        <v>183</v>
      </c>
      <c r="D11420" s="1" t="str">
        <f t="shared" ref="D11420:D11453" si="313">"PRG-1035990"</f>
        <v>PRG-1035990</v>
      </c>
      <c r="E11420" t="s">
        <v>125</v>
      </c>
      <c r="F11420" t="s">
        <v>4</v>
      </c>
      <c r="G11420" t="str">
        <f>""</f>
        <v/>
      </c>
    </row>
    <row r="11421" spans="1:7" x14ac:dyDescent="0.25">
      <c r="A11421" t="s">
        <v>8</v>
      </c>
      <c r="B11421" s="1" t="str">
        <f>"000277142 - RICH FOODS-HILTON"</f>
        <v>000277142 - RICH FOODS-HILTON</v>
      </c>
      <c r="C11421" t="s">
        <v>183</v>
      </c>
      <c r="D11421" s="1" t="str">
        <f t="shared" si="313"/>
        <v>PRG-1035990</v>
      </c>
      <c r="E11421" t="s">
        <v>125</v>
      </c>
      <c r="F11421" t="s">
        <v>4</v>
      </c>
      <c r="G11421" t="str">
        <f>""</f>
        <v/>
      </c>
    </row>
    <row r="11422" spans="1:7" x14ac:dyDescent="0.25">
      <c r="A11422" t="s">
        <v>8</v>
      </c>
      <c r="B11422" s="1" t="str">
        <f>"000278162 - RICH FOODS NCBB-HILTON"</f>
        <v>000278162 - RICH FOODS NCBB-HILTON</v>
      </c>
      <c r="C11422" t="s">
        <v>197</v>
      </c>
      <c r="D11422" s="1" t="str">
        <f t="shared" si="313"/>
        <v>PRG-1035990</v>
      </c>
      <c r="E11422" t="s">
        <v>125</v>
      </c>
      <c r="F11422" t="s">
        <v>4</v>
      </c>
      <c r="G11422" t="str">
        <f>""</f>
        <v/>
      </c>
    </row>
    <row r="11423" spans="1:7" x14ac:dyDescent="0.25">
      <c r="A11423" t="s">
        <v>8</v>
      </c>
      <c r="B11423" s="1" t="str">
        <f>"000278573 - RICH FOODS NCBB-HILTON"</f>
        <v>000278573 - RICH FOODS NCBB-HILTON</v>
      </c>
      <c r="C11423" t="s">
        <v>197</v>
      </c>
      <c r="D11423" s="1" t="str">
        <f t="shared" si="313"/>
        <v>PRG-1035990</v>
      </c>
      <c r="E11423" t="s">
        <v>125</v>
      </c>
      <c r="F11423" t="s">
        <v>4</v>
      </c>
      <c r="G11423" t="str">
        <f>""</f>
        <v/>
      </c>
    </row>
    <row r="11424" spans="1:7" x14ac:dyDescent="0.25">
      <c r="A11424" t="s">
        <v>8</v>
      </c>
      <c r="B11424" s="1" t="str">
        <f>"000279020 - RICH FOODS-HILTON"</f>
        <v>000279020 - RICH FOODS-HILTON</v>
      </c>
      <c r="C11424" t="s">
        <v>183</v>
      </c>
      <c r="D11424" s="1" t="str">
        <f t="shared" si="313"/>
        <v>PRG-1035990</v>
      </c>
      <c r="E11424" t="s">
        <v>125</v>
      </c>
      <c r="F11424" t="s">
        <v>4</v>
      </c>
      <c r="G11424" t="str">
        <f>""</f>
        <v/>
      </c>
    </row>
    <row r="11425" spans="1:7" x14ac:dyDescent="0.25">
      <c r="A11425" t="s">
        <v>8</v>
      </c>
      <c r="B11425" s="1" t="str">
        <f>"000280472 - RICH FOODS NCBB-HILTON"</f>
        <v>000280472 - RICH FOODS NCBB-HILTON</v>
      </c>
      <c r="C11425" t="s">
        <v>197</v>
      </c>
      <c r="D11425" s="1" t="str">
        <f t="shared" si="313"/>
        <v>PRG-1035990</v>
      </c>
      <c r="E11425" t="s">
        <v>125</v>
      </c>
      <c r="F11425" t="s">
        <v>4</v>
      </c>
      <c r="G11425" t="str">
        <f>""</f>
        <v/>
      </c>
    </row>
    <row r="11426" spans="1:7" x14ac:dyDescent="0.25">
      <c r="A11426" t="s">
        <v>8</v>
      </c>
      <c r="B11426" s="1" t="str">
        <f>"000281288 - RICH FOODS-HILTON"</f>
        <v>000281288 - RICH FOODS-HILTON</v>
      </c>
      <c r="C11426" t="s">
        <v>183</v>
      </c>
      <c r="D11426" s="1" t="str">
        <f t="shared" si="313"/>
        <v>PRG-1035990</v>
      </c>
      <c r="E11426" t="s">
        <v>125</v>
      </c>
      <c r="F11426" t="s">
        <v>4</v>
      </c>
      <c r="G11426" t="str">
        <f>""</f>
        <v/>
      </c>
    </row>
    <row r="11427" spans="1:7" x14ac:dyDescent="0.25">
      <c r="A11427" t="s">
        <v>8</v>
      </c>
      <c r="B11427" s="1" t="str">
        <f>"000282263 - RICH FOODS NCBB-HILTON"</f>
        <v>000282263 - RICH FOODS NCBB-HILTON</v>
      </c>
      <c r="C11427" t="s">
        <v>197</v>
      </c>
      <c r="D11427" s="1" t="str">
        <f t="shared" si="313"/>
        <v>PRG-1035990</v>
      </c>
      <c r="E11427" t="s">
        <v>125</v>
      </c>
      <c r="F11427" t="s">
        <v>4</v>
      </c>
      <c r="G11427" t="str">
        <f>""</f>
        <v/>
      </c>
    </row>
    <row r="11428" spans="1:7" x14ac:dyDescent="0.25">
      <c r="A11428" t="s">
        <v>8</v>
      </c>
      <c r="B11428" s="1" t="str">
        <f>"000282673 - RICH FOODS-HILTON"</f>
        <v>000282673 - RICH FOODS-HILTON</v>
      </c>
      <c r="C11428" t="s">
        <v>183</v>
      </c>
      <c r="D11428" s="1" t="str">
        <f t="shared" si="313"/>
        <v>PRG-1035990</v>
      </c>
      <c r="E11428" t="s">
        <v>125</v>
      </c>
      <c r="F11428" t="s">
        <v>4</v>
      </c>
      <c r="G11428" t="str">
        <f>""</f>
        <v/>
      </c>
    </row>
    <row r="11429" spans="1:7" x14ac:dyDescent="0.25">
      <c r="A11429" t="s">
        <v>8</v>
      </c>
      <c r="B11429" s="1" t="str">
        <f>"000283104 - RICH FOODS-HILTON"</f>
        <v>000283104 - RICH FOODS-HILTON</v>
      </c>
      <c r="C11429" t="s">
        <v>183</v>
      </c>
      <c r="D11429" s="1" t="str">
        <f t="shared" si="313"/>
        <v>PRG-1035990</v>
      </c>
      <c r="E11429" t="s">
        <v>125</v>
      </c>
      <c r="F11429" t="s">
        <v>4</v>
      </c>
      <c r="G11429" t="str">
        <f>""</f>
        <v/>
      </c>
    </row>
    <row r="11430" spans="1:7" x14ac:dyDescent="0.25">
      <c r="A11430" t="s">
        <v>8</v>
      </c>
      <c r="B11430" s="1" t="str">
        <f>"000284826 - RICH FOODS-HILTON"</f>
        <v>000284826 - RICH FOODS-HILTON</v>
      </c>
      <c r="C11430" t="s">
        <v>183</v>
      </c>
      <c r="D11430" s="1" t="str">
        <f t="shared" si="313"/>
        <v>PRG-1035990</v>
      </c>
      <c r="E11430" t="s">
        <v>125</v>
      </c>
      <c r="F11430" t="s">
        <v>4</v>
      </c>
      <c r="G11430" t="str">
        <f>""</f>
        <v/>
      </c>
    </row>
    <row r="11431" spans="1:7" x14ac:dyDescent="0.25">
      <c r="A11431" t="s">
        <v>8</v>
      </c>
      <c r="B11431" s="1" t="str">
        <f>"000303566 - RICH FOODS NCBB-HILTON"</f>
        <v>000303566 - RICH FOODS NCBB-HILTON</v>
      </c>
      <c r="C11431" t="s">
        <v>197</v>
      </c>
      <c r="D11431" s="1" t="str">
        <f t="shared" si="313"/>
        <v>PRG-1035990</v>
      </c>
      <c r="E11431" t="s">
        <v>125</v>
      </c>
      <c r="F11431" t="s">
        <v>4</v>
      </c>
      <c r="G11431" t="str">
        <f>""</f>
        <v/>
      </c>
    </row>
    <row r="11432" spans="1:7" x14ac:dyDescent="0.25">
      <c r="A11432" t="s">
        <v>8</v>
      </c>
      <c r="B11432" s="1" t="str">
        <f>"000306073 - RICH FOODS NCBB-HILTON"</f>
        <v>000306073 - RICH FOODS NCBB-HILTON</v>
      </c>
      <c r="C11432" t="s">
        <v>197</v>
      </c>
      <c r="D11432" s="1" t="str">
        <f t="shared" si="313"/>
        <v>PRG-1035990</v>
      </c>
      <c r="E11432" t="s">
        <v>125</v>
      </c>
      <c r="F11432" t="s">
        <v>4</v>
      </c>
      <c r="G11432" t="str">
        <f>""</f>
        <v/>
      </c>
    </row>
    <row r="11433" spans="1:7" x14ac:dyDescent="0.25">
      <c r="A11433" t="s">
        <v>8</v>
      </c>
      <c r="B11433" s="1" t="str">
        <f>"000314907 - RICH FOODS NCBB-HILTON"</f>
        <v>000314907 - RICH FOODS NCBB-HILTON</v>
      </c>
      <c r="C11433" t="s">
        <v>197</v>
      </c>
      <c r="D11433" s="1" t="str">
        <f t="shared" si="313"/>
        <v>PRG-1035990</v>
      </c>
      <c r="E11433" t="s">
        <v>125</v>
      </c>
      <c r="F11433" t="s">
        <v>4</v>
      </c>
      <c r="G11433" t="str">
        <f>""</f>
        <v/>
      </c>
    </row>
    <row r="11434" spans="1:7" x14ac:dyDescent="0.25">
      <c r="A11434" t="s">
        <v>8</v>
      </c>
      <c r="B11434" s="1" t="str">
        <f>"000322991 - "</f>
        <v xml:space="preserve">000322991 - </v>
      </c>
      <c r="D11434" s="1" t="str">
        <f t="shared" si="313"/>
        <v>PRG-1035990</v>
      </c>
      <c r="E11434" t="s">
        <v>125</v>
      </c>
      <c r="F11434" t="s">
        <v>4</v>
      </c>
      <c r="G11434" t="str">
        <f>""</f>
        <v/>
      </c>
    </row>
    <row r="11435" spans="1:7" x14ac:dyDescent="0.25">
      <c r="A11435" t="s">
        <v>8</v>
      </c>
      <c r="B11435" s="1" t="str">
        <f>"000328006 - RICH FOODS NCBB-HILTON"</f>
        <v>000328006 - RICH FOODS NCBB-HILTON</v>
      </c>
      <c r="C11435" t="s">
        <v>197</v>
      </c>
      <c r="D11435" s="1" t="str">
        <f t="shared" si="313"/>
        <v>PRG-1035990</v>
      </c>
      <c r="E11435" t="s">
        <v>125</v>
      </c>
      <c r="F11435" t="s">
        <v>4</v>
      </c>
      <c r="G11435" t="str">
        <f>""</f>
        <v/>
      </c>
    </row>
    <row r="11436" spans="1:7" x14ac:dyDescent="0.25">
      <c r="A11436" t="s">
        <v>8</v>
      </c>
      <c r="B11436" s="1" t="str">
        <f>"000328196 - "</f>
        <v xml:space="preserve">000328196 - </v>
      </c>
      <c r="D11436" s="1" t="str">
        <f t="shared" si="313"/>
        <v>PRG-1035990</v>
      </c>
      <c r="E11436" t="s">
        <v>125</v>
      </c>
      <c r="F11436" t="s">
        <v>4</v>
      </c>
      <c r="G11436" t="str">
        <f>""</f>
        <v/>
      </c>
    </row>
    <row r="11437" spans="1:7" x14ac:dyDescent="0.25">
      <c r="A11437" t="s">
        <v>8</v>
      </c>
      <c r="B11437" s="1" t="str">
        <f>"000335150 - RICH FOODS-HILTON"</f>
        <v>000335150 - RICH FOODS-HILTON</v>
      </c>
      <c r="C11437" t="s">
        <v>183</v>
      </c>
      <c r="D11437" s="1" t="str">
        <f t="shared" si="313"/>
        <v>PRG-1035990</v>
      </c>
      <c r="E11437" t="s">
        <v>125</v>
      </c>
      <c r="F11437" t="s">
        <v>4</v>
      </c>
      <c r="G11437" t="str">
        <f>""</f>
        <v/>
      </c>
    </row>
    <row r="11438" spans="1:7" x14ac:dyDescent="0.25">
      <c r="A11438" t="s">
        <v>8</v>
      </c>
      <c r="B11438" s="1" t="str">
        <f>"000340464 - RICH FOODS-HILTON"</f>
        <v>000340464 - RICH FOODS-HILTON</v>
      </c>
      <c r="C11438" t="s">
        <v>183</v>
      </c>
      <c r="D11438" s="1" t="str">
        <f t="shared" si="313"/>
        <v>PRG-1035990</v>
      </c>
      <c r="E11438" t="s">
        <v>125</v>
      </c>
      <c r="F11438" t="s">
        <v>4</v>
      </c>
      <c r="G11438" t="str">
        <f>""</f>
        <v/>
      </c>
    </row>
    <row r="11439" spans="1:7" x14ac:dyDescent="0.25">
      <c r="A11439" t="s">
        <v>8</v>
      </c>
      <c r="B11439" s="1" t="str">
        <f>"000342310 - "</f>
        <v xml:space="preserve">000342310 - </v>
      </c>
      <c r="D11439" s="1" t="str">
        <f t="shared" si="313"/>
        <v>PRG-1035990</v>
      </c>
      <c r="E11439" t="s">
        <v>125</v>
      </c>
      <c r="F11439" t="s">
        <v>4</v>
      </c>
      <c r="G11439" t="str">
        <f>""</f>
        <v/>
      </c>
    </row>
    <row r="11440" spans="1:7" x14ac:dyDescent="0.25">
      <c r="A11440" t="s">
        <v>8</v>
      </c>
      <c r="B11440" s="1" t="str">
        <f>"000343885 - RICH FOODS NCBB-HILTON"</f>
        <v>000343885 - RICH FOODS NCBB-HILTON</v>
      </c>
      <c r="C11440" t="s">
        <v>197</v>
      </c>
      <c r="D11440" s="1" t="str">
        <f t="shared" si="313"/>
        <v>PRG-1035990</v>
      </c>
      <c r="E11440" t="s">
        <v>125</v>
      </c>
      <c r="F11440" t="s">
        <v>4</v>
      </c>
      <c r="G11440" t="str">
        <f>""</f>
        <v/>
      </c>
    </row>
    <row r="11441" spans="1:7" x14ac:dyDescent="0.25">
      <c r="A11441" t="s">
        <v>8</v>
      </c>
      <c r="B11441" s="1" t="str">
        <f>"000346645 - RICH FOODS-HILTON"</f>
        <v>000346645 - RICH FOODS-HILTON</v>
      </c>
      <c r="C11441" t="s">
        <v>183</v>
      </c>
      <c r="D11441" s="1" t="str">
        <f t="shared" si="313"/>
        <v>PRG-1035990</v>
      </c>
      <c r="E11441" t="s">
        <v>125</v>
      </c>
      <c r="F11441" t="s">
        <v>4</v>
      </c>
      <c r="G11441" t="str">
        <f>""</f>
        <v/>
      </c>
    </row>
    <row r="11442" spans="1:7" x14ac:dyDescent="0.25">
      <c r="A11442" t="s">
        <v>8</v>
      </c>
      <c r="B11442" s="1" t="str">
        <f>"000348591 - "</f>
        <v xml:space="preserve">000348591 - </v>
      </c>
      <c r="D11442" s="1" t="str">
        <f t="shared" si="313"/>
        <v>PRG-1035990</v>
      </c>
      <c r="E11442" t="s">
        <v>125</v>
      </c>
      <c r="F11442" t="s">
        <v>4</v>
      </c>
      <c r="G11442" t="str">
        <f>""</f>
        <v/>
      </c>
    </row>
    <row r="11443" spans="1:7" x14ac:dyDescent="0.25">
      <c r="A11443" t="s">
        <v>8</v>
      </c>
      <c r="B11443" s="1" t="str">
        <f>"000349414 - "</f>
        <v xml:space="preserve">000349414 - </v>
      </c>
      <c r="D11443" s="1" t="str">
        <f t="shared" si="313"/>
        <v>PRG-1035990</v>
      </c>
      <c r="E11443" t="s">
        <v>125</v>
      </c>
      <c r="F11443" t="s">
        <v>4</v>
      </c>
      <c r="G11443" t="str">
        <f>""</f>
        <v/>
      </c>
    </row>
    <row r="11444" spans="1:7" x14ac:dyDescent="0.25">
      <c r="A11444" t="s">
        <v>8</v>
      </c>
      <c r="B11444" s="1" t="str">
        <f>"000349676 - RICH FOODS-HILTON"</f>
        <v>000349676 - RICH FOODS-HILTON</v>
      </c>
      <c r="C11444" t="s">
        <v>183</v>
      </c>
      <c r="D11444" s="1" t="str">
        <f t="shared" si="313"/>
        <v>PRG-1035990</v>
      </c>
      <c r="E11444" t="s">
        <v>125</v>
      </c>
      <c r="F11444" t="s">
        <v>4</v>
      </c>
      <c r="G11444" t="str">
        <f>""</f>
        <v/>
      </c>
    </row>
    <row r="11445" spans="1:7" x14ac:dyDescent="0.25">
      <c r="A11445" t="s">
        <v>8</v>
      </c>
      <c r="B11445" s="1" t="str">
        <f>"000357693 - RICH FOODS NCBB-HILTON"</f>
        <v>000357693 - RICH FOODS NCBB-HILTON</v>
      </c>
      <c r="C11445" t="s">
        <v>197</v>
      </c>
      <c r="D11445" s="1" t="str">
        <f t="shared" si="313"/>
        <v>PRG-1035990</v>
      </c>
      <c r="E11445" t="s">
        <v>125</v>
      </c>
      <c r="F11445" t="s">
        <v>4</v>
      </c>
      <c r="G11445" t="str">
        <f>""</f>
        <v/>
      </c>
    </row>
    <row r="11446" spans="1:7" x14ac:dyDescent="0.25">
      <c r="A11446" t="s">
        <v>8</v>
      </c>
      <c r="B11446" s="1" t="str">
        <f>"000359623 - "</f>
        <v xml:space="preserve">000359623 - </v>
      </c>
      <c r="D11446" s="1" t="str">
        <f t="shared" si="313"/>
        <v>PRG-1035990</v>
      </c>
      <c r="E11446" t="s">
        <v>125</v>
      </c>
      <c r="F11446" t="s">
        <v>4</v>
      </c>
      <c r="G11446" t="str">
        <f>""</f>
        <v/>
      </c>
    </row>
    <row r="11447" spans="1:7" x14ac:dyDescent="0.25">
      <c r="A11447" t="s">
        <v>8</v>
      </c>
      <c r="B11447" s="1" t="str">
        <f>"000364153 - RICH FOODS-HILTON"</f>
        <v>000364153 - RICH FOODS-HILTON</v>
      </c>
      <c r="C11447" t="s">
        <v>183</v>
      </c>
      <c r="D11447" s="1" t="str">
        <f t="shared" si="313"/>
        <v>PRG-1035990</v>
      </c>
      <c r="E11447" t="s">
        <v>125</v>
      </c>
      <c r="F11447" t="s">
        <v>4</v>
      </c>
      <c r="G11447" t="str">
        <f>""</f>
        <v/>
      </c>
    </row>
    <row r="11448" spans="1:7" x14ac:dyDescent="0.25">
      <c r="A11448" t="s">
        <v>8</v>
      </c>
      <c r="B11448" s="1" t="str">
        <f>"000383982 - "</f>
        <v xml:space="preserve">000383982 - </v>
      </c>
      <c r="D11448" s="1" t="str">
        <f t="shared" si="313"/>
        <v>PRG-1035990</v>
      </c>
      <c r="E11448" t="s">
        <v>125</v>
      </c>
      <c r="F11448" t="s">
        <v>4</v>
      </c>
      <c r="G11448" t="str">
        <f>""</f>
        <v/>
      </c>
    </row>
    <row r="11449" spans="1:7" x14ac:dyDescent="0.25">
      <c r="A11449" t="s">
        <v>8</v>
      </c>
      <c r="B11449" s="1" t="str">
        <f>"000385130 - RICH FOODS NCBB-HILTON"</f>
        <v>000385130 - RICH FOODS NCBB-HILTON</v>
      </c>
      <c r="C11449" t="s">
        <v>197</v>
      </c>
      <c r="D11449" s="1" t="str">
        <f t="shared" si="313"/>
        <v>PRG-1035990</v>
      </c>
      <c r="E11449" t="s">
        <v>125</v>
      </c>
      <c r="F11449" t="s">
        <v>4</v>
      </c>
      <c r="G11449" t="str">
        <f>""</f>
        <v/>
      </c>
    </row>
    <row r="11450" spans="1:7" x14ac:dyDescent="0.25">
      <c r="A11450" t="s">
        <v>8</v>
      </c>
      <c r="B11450" s="1" t="str">
        <f>"000390731 - RICH FOODS-HILTON"</f>
        <v>000390731 - RICH FOODS-HILTON</v>
      </c>
      <c r="C11450" t="s">
        <v>183</v>
      </c>
      <c r="D11450" s="1" t="str">
        <f t="shared" si="313"/>
        <v>PRG-1035990</v>
      </c>
      <c r="E11450" t="s">
        <v>125</v>
      </c>
      <c r="F11450" t="s">
        <v>4</v>
      </c>
      <c r="G11450" t="str">
        <f>""</f>
        <v/>
      </c>
    </row>
    <row r="11451" spans="1:7" x14ac:dyDescent="0.25">
      <c r="A11451" t="s">
        <v>8</v>
      </c>
      <c r="B11451" s="1" t="str">
        <f>"2000338516 - RICH FOODS-HILTON"</f>
        <v>2000338516 - RICH FOODS-HILTON</v>
      </c>
      <c r="C11451" t="s">
        <v>183</v>
      </c>
      <c r="D11451" s="1" t="str">
        <f t="shared" si="313"/>
        <v>PRG-1035990</v>
      </c>
      <c r="E11451" t="s">
        <v>125</v>
      </c>
      <c r="F11451" t="s">
        <v>4</v>
      </c>
      <c r="G11451" t="str">
        <f>""</f>
        <v/>
      </c>
    </row>
    <row r="11452" spans="1:7" x14ac:dyDescent="0.25">
      <c r="A11452" t="s">
        <v>8</v>
      </c>
      <c r="B11452" s="1" t="str">
        <f>"2000428656 - "</f>
        <v xml:space="preserve">2000428656 - </v>
      </c>
      <c r="D11452" s="1" t="str">
        <f t="shared" si="313"/>
        <v>PRG-1035990</v>
      </c>
      <c r="E11452" t="s">
        <v>125</v>
      </c>
      <c r="F11452" t="s">
        <v>4</v>
      </c>
      <c r="G11452" t="str">
        <f>""</f>
        <v/>
      </c>
    </row>
    <row r="11453" spans="1:7" x14ac:dyDescent="0.25">
      <c r="A11453" t="s">
        <v>8</v>
      </c>
      <c r="B11453" s="1" t="str">
        <f>"2000446951 - RICH FOODS-HILTON"</f>
        <v>2000446951 - RICH FOODS-HILTON</v>
      </c>
      <c r="C11453" t="s">
        <v>183</v>
      </c>
      <c r="D11453" s="1" t="str">
        <f t="shared" si="313"/>
        <v>PRG-1035990</v>
      </c>
      <c r="E11453" t="s">
        <v>125</v>
      </c>
      <c r="F11453" t="s">
        <v>4</v>
      </c>
      <c r="G11453" t="str">
        <f>""</f>
        <v/>
      </c>
    </row>
    <row r="11454" spans="1:7" x14ac:dyDescent="0.25">
      <c r="A11454" t="s">
        <v>8</v>
      </c>
      <c r="B11454" s="1" t="str">
        <f>"4118A422"</f>
        <v>4118A422</v>
      </c>
      <c r="C11454" t="s">
        <v>4975</v>
      </c>
      <c r="D11454" s="1" t="str">
        <f>"PRG-1036014"</f>
        <v>PRG-1036014</v>
      </c>
      <c r="E11454" t="s">
        <v>4976</v>
      </c>
      <c r="F11454" t="s">
        <v>5</v>
      </c>
      <c r="G11454" t="str">
        <f>""</f>
        <v/>
      </c>
    </row>
    <row r="11455" spans="1:7" x14ac:dyDescent="0.25">
      <c r="A11455" t="s">
        <v>8</v>
      </c>
      <c r="B11455" s="1" t="str">
        <f>"41461275"</f>
        <v>41461275</v>
      </c>
      <c r="C11455" t="s">
        <v>4992</v>
      </c>
      <c r="D11455" s="1" t="str">
        <f>"PRG-1036014"</f>
        <v>PRG-1036014</v>
      </c>
      <c r="E11455" t="s">
        <v>4976</v>
      </c>
      <c r="F11455" t="s">
        <v>5</v>
      </c>
      <c r="G11455" t="str">
        <f>""</f>
        <v/>
      </c>
    </row>
    <row r="11456" spans="1:7" x14ac:dyDescent="0.25">
      <c r="A11456" t="s">
        <v>8</v>
      </c>
      <c r="B11456" s="1" t="str">
        <f>"000291806 - FUDDRUCKERS - RICH PRODUCTS"</f>
        <v>000291806 - FUDDRUCKERS - RICH PRODUCTS</v>
      </c>
      <c r="C11456" t="s">
        <v>2298</v>
      </c>
      <c r="D11456" s="1" t="str">
        <f>"PRG-1036018"</f>
        <v>PRG-1036018</v>
      </c>
      <c r="E11456" t="s">
        <v>2851</v>
      </c>
      <c r="F11456" t="s">
        <v>4</v>
      </c>
      <c r="G11456" t="str">
        <f>""</f>
        <v/>
      </c>
    </row>
    <row r="11457" spans="1:7" x14ac:dyDescent="0.25">
      <c r="A11457" t="s">
        <v>8</v>
      </c>
      <c r="B11457" s="1" t="str">
        <f>"4150A715"</f>
        <v>4150A715</v>
      </c>
      <c r="C11457" t="s">
        <v>5009</v>
      </c>
      <c r="D11457" s="1" t="str">
        <f>"PRG-1036023"</f>
        <v>PRG-1036023</v>
      </c>
      <c r="E11457" t="s">
        <v>5010</v>
      </c>
      <c r="F11457" t="s">
        <v>5</v>
      </c>
      <c r="G11457" t="str">
        <f>""</f>
        <v/>
      </c>
    </row>
    <row r="11458" spans="1:7" x14ac:dyDescent="0.25">
      <c r="A11458" t="s">
        <v>8</v>
      </c>
      <c r="B11458" s="1" t="str">
        <f>"2000435023 - RICH PRODUCTS-ROY'S CHICKEN"</f>
        <v>2000435023 - RICH PRODUCTS-ROY'S CHICKEN</v>
      </c>
      <c r="C11458" t="s">
        <v>71</v>
      </c>
      <c r="D11458" s="1" t="str">
        <f>"PRG-1036065"</f>
        <v>PRG-1036065</v>
      </c>
      <c r="E11458" t="s">
        <v>353</v>
      </c>
      <c r="F11458" t="s">
        <v>4</v>
      </c>
      <c r="G11458" t="str">
        <f>""</f>
        <v/>
      </c>
    </row>
    <row r="11459" spans="1:7" x14ac:dyDescent="0.25">
      <c r="A11459" t="s">
        <v>8</v>
      </c>
      <c r="B11459" s="1" t="str">
        <f>"000273956 - RICHS CAFÃ‰ SERVICES"</f>
        <v>000273956 - RICHS CAFÃ‰ SERVICES</v>
      </c>
      <c r="C11459" t="s">
        <v>2533</v>
      </c>
      <c r="D11459" s="1" t="str">
        <f>"PRG-1036067"</f>
        <v>PRG-1036067</v>
      </c>
      <c r="E11459" t="s">
        <v>2534</v>
      </c>
      <c r="F11459" t="s">
        <v>4</v>
      </c>
      <c r="G11459" t="str">
        <f>""</f>
        <v/>
      </c>
    </row>
    <row r="11460" spans="1:7" x14ac:dyDescent="0.25">
      <c r="A11460" t="s">
        <v>8</v>
      </c>
      <c r="B11460" s="1" t="str">
        <f>"000345422 - "</f>
        <v xml:space="preserve">000345422 - </v>
      </c>
      <c r="D11460" s="1" t="str">
        <f>"PRG-1036088"</f>
        <v>PRG-1036088</v>
      </c>
      <c r="E11460" t="s">
        <v>3459</v>
      </c>
      <c r="F11460" t="s">
        <v>4</v>
      </c>
      <c r="G11460" t="str">
        <f>""</f>
        <v/>
      </c>
    </row>
    <row r="11461" spans="1:7" x14ac:dyDescent="0.25">
      <c r="A11461" t="s">
        <v>8</v>
      </c>
      <c r="B11461" s="1" t="str">
        <f>"000268885 - "</f>
        <v xml:space="preserve">000268885 - </v>
      </c>
      <c r="D11461" s="1" t="str">
        <f>"PRG-1036189"</f>
        <v>PRG-1036189</v>
      </c>
      <c r="E11461" t="s">
        <v>2446</v>
      </c>
      <c r="F11461" t="s">
        <v>4</v>
      </c>
      <c r="G11461" t="str">
        <f>""</f>
        <v/>
      </c>
    </row>
    <row r="11462" spans="1:7" x14ac:dyDescent="0.25">
      <c r="A11462" t="s">
        <v>8</v>
      </c>
      <c r="B11462" s="1" t="str">
        <f>"S3V00RS0"</f>
        <v>S3V00RS0</v>
      </c>
      <c r="C11462" t="s">
        <v>5673</v>
      </c>
      <c r="D11462" s="1" t="str">
        <f>"PRG-1036198"</f>
        <v>PRG-1036198</v>
      </c>
      <c r="E11462" t="s">
        <v>5674</v>
      </c>
      <c r="F11462" t="s">
        <v>5</v>
      </c>
      <c r="G11462" t="str">
        <f>""</f>
        <v/>
      </c>
    </row>
    <row r="11463" spans="1:7" x14ac:dyDescent="0.25">
      <c r="A11463" t="s">
        <v>8</v>
      </c>
      <c r="B11463" s="1" t="str">
        <f>"000274298 - RICH'S PHILLIPS"</f>
        <v>000274298 - RICH'S PHILLIPS</v>
      </c>
      <c r="C11463" t="s">
        <v>2536</v>
      </c>
      <c r="D11463" s="1" t="str">
        <f>"PRG-1036222"</f>
        <v>PRG-1036222</v>
      </c>
      <c r="E11463" t="s">
        <v>2537</v>
      </c>
      <c r="F11463" t="s">
        <v>4</v>
      </c>
      <c r="G11463" t="str">
        <f>""</f>
        <v/>
      </c>
    </row>
    <row r="11464" spans="1:7" x14ac:dyDescent="0.25">
      <c r="A11464" t="s">
        <v>8</v>
      </c>
      <c r="B11464" s="1" t="str">
        <f>"S1Z0JTS0"</f>
        <v>S1Z0JTS0</v>
      </c>
      <c r="C11464" t="s">
        <v>5406</v>
      </c>
      <c r="D11464" s="1" t="str">
        <f>"PRG-1036257"</f>
        <v>PRG-1036257</v>
      </c>
      <c r="E11464" t="s">
        <v>5407</v>
      </c>
      <c r="F11464" t="s">
        <v>5</v>
      </c>
      <c r="G11464" t="str">
        <f>""</f>
        <v/>
      </c>
    </row>
    <row r="11465" spans="1:7" x14ac:dyDescent="0.25">
      <c r="A11465" t="s">
        <v>8</v>
      </c>
      <c r="B11465" s="1" t="str">
        <f>"000354832 - RICH PRODUCTS  APPLEBEES"</f>
        <v>000354832 - RICH PRODUCTS  APPLEBEES</v>
      </c>
      <c r="C11465" t="s">
        <v>3549</v>
      </c>
      <c r="D11465" s="1" t="str">
        <f>"PRG-1036321"</f>
        <v>PRG-1036321</v>
      </c>
      <c r="E11465" t="s">
        <v>3550</v>
      </c>
      <c r="F11465" t="s">
        <v>4</v>
      </c>
      <c r="G11465" t="str">
        <f>""</f>
        <v/>
      </c>
    </row>
    <row r="11466" spans="1:7" x14ac:dyDescent="0.25">
      <c r="A11466" t="s">
        <v>8</v>
      </c>
      <c r="B11466" s="1" t="str">
        <f>"000282693 - RICH FOODS CC-AFV"</f>
        <v>000282693 - RICH FOODS CC-AFV</v>
      </c>
      <c r="C11466" t="s">
        <v>2673</v>
      </c>
      <c r="D11466" s="1" t="str">
        <f>"PRG-1036325"</f>
        <v>PRG-1036325</v>
      </c>
      <c r="E11466" t="s">
        <v>2674</v>
      </c>
      <c r="F11466" t="s">
        <v>4</v>
      </c>
      <c r="G11466" t="str">
        <f>""</f>
        <v/>
      </c>
    </row>
    <row r="11467" spans="1:7" x14ac:dyDescent="0.25">
      <c r="A11467" t="s">
        <v>8</v>
      </c>
      <c r="B11467" s="1" t="str">
        <f>"000257216 - BB RIB CITY RICH'S"</f>
        <v>000257216 - BB RIB CITY RICH'S</v>
      </c>
      <c r="C11467" t="s">
        <v>2204</v>
      </c>
      <c r="D11467" s="1" t="str">
        <f>"PRG-1036419"</f>
        <v>PRG-1036419</v>
      </c>
      <c r="E11467" t="s">
        <v>2205</v>
      </c>
      <c r="F11467" t="s">
        <v>4</v>
      </c>
      <c r="G11467" t="str">
        <f>""</f>
        <v/>
      </c>
    </row>
    <row r="11468" spans="1:7" x14ac:dyDescent="0.25">
      <c r="A11468" t="s">
        <v>8</v>
      </c>
      <c r="B11468" s="1" t="str">
        <f>"S9B00P00"</f>
        <v>S9B00P00</v>
      </c>
      <c r="C11468" t="s">
        <v>6298</v>
      </c>
      <c r="D11468" s="1" t="str">
        <f>"PRG-1036548"</f>
        <v>PRG-1036548</v>
      </c>
      <c r="E11468" t="s">
        <v>6299</v>
      </c>
      <c r="F11468" t="s">
        <v>5</v>
      </c>
      <c r="G11468" t="str">
        <f>""</f>
        <v/>
      </c>
    </row>
    <row r="11469" spans="1:7" x14ac:dyDescent="0.25">
      <c r="A11469" t="s">
        <v>8</v>
      </c>
      <c r="B11469" s="1" t="str">
        <f>"000003697 - RICH FDS NCBB-MAIN ARAMARK"</f>
        <v>000003697 - RICH FDS NCBB-MAIN ARAMARK</v>
      </c>
      <c r="C11469" t="s">
        <v>185</v>
      </c>
      <c r="D11469" s="1" t="str">
        <f t="shared" ref="D11469:D11500" si="314">"PRG-1036747"</f>
        <v>PRG-1036747</v>
      </c>
      <c r="E11469" t="s">
        <v>186</v>
      </c>
      <c r="F11469" t="s">
        <v>4</v>
      </c>
      <c r="G11469" t="str">
        <f>""</f>
        <v/>
      </c>
    </row>
    <row r="11470" spans="1:7" x14ac:dyDescent="0.25">
      <c r="A11470" t="s">
        <v>8</v>
      </c>
      <c r="B11470" s="1" t="str">
        <f>"000003698 - RICH FDS CBB-MAIN ARAMARK"</f>
        <v>000003698 - RICH FDS CBB-MAIN ARAMARK</v>
      </c>
      <c r="C11470" t="s">
        <v>187</v>
      </c>
      <c r="D11470" s="1" t="str">
        <f t="shared" si="314"/>
        <v>PRG-1036747</v>
      </c>
      <c r="E11470" t="s">
        <v>186</v>
      </c>
      <c r="F11470" t="s">
        <v>4</v>
      </c>
      <c r="G11470" t="str">
        <f>""</f>
        <v/>
      </c>
    </row>
    <row r="11471" spans="1:7" x14ac:dyDescent="0.25">
      <c r="A11471" t="s">
        <v>8</v>
      </c>
      <c r="B11471" s="1" t="str">
        <f>"000009092 - RICH FOODS-MAIN ARAMARK"</f>
        <v>000009092 - RICH FOODS-MAIN ARAMARK</v>
      </c>
      <c r="C11471" t="s">
        <v>126</v>
      </c>
      <c r="D11471" s="1" t="str">
        <f t="shared" si="314"/>
        <v>PRG-1036747</v>
      </c>
      <c r="E11471" t="s">
        <v>186</v>
      </c>
      <c r="F11471" t="s">
        <v>4</v>
      </c>
      <c r="G11471" t="str">
        <f>""</f>
        <v/>
      </c>
    </row>
    <row r="11472" spans="1:7" x14ac:dyDescent="0.25">
      <c r="A11472" t="s">
        <v>8</v>
      </c>
      <c r="B11472" s="1" t="str">
        <f>"000011747 - "</f>
        <v xml:space="preserve">000011747 - </v>
      </c>
      <c r="D11472" s="1" t="str">
        <f t="shared" si="314"/>
        <v>PRG-1036747</v>
      </c>
      <c r="E11472" t="s">
        <v>186</v>
      </c>
      <c r="F11472" t="s">
        <v>4</v>
      </c>
      <c r="G11472" t="str">
        <f>""</f>
        <v/>
      </c>
    </row>
    <row r="11473" spans="1:7" x14ac:dyDescent="0.25">
      <c r="A11473" t="s">
        <v>8</v>
      </c>
      <c r="B11473" s="1" t="str">
        <f>"000011748 - "</f>
        <v xml:space="preserve">000011748 - </v>
      </c>
      <c r="D11473" s="1" t="str">
        <f t="shared" si="314"/>
        <v>PRG-1036747</v>
      </c>
      <c r="E11473" t="s">
        <v>186</v>
      </c>
      <c r="F11473" t="s">
        <v>4</v>
      </c>
      <c r="G11473" t="str">
        <f>""</f>
        <v/>
      </c>
    </row>
    <row r="11474" spans="1:7" x14ac:dyDescent="0.25">
      <c r="A11474" t="s">
        <v>8</v>
      </c>
      <c r="B11474" s="1" t="str">
        <f>"000015899 - RICH FOODS-MAIN ARAMARK"</f>
        <v>000015899 - RICH FOODS-MAIN ARAMARK</v>
      </c>
      <c r="C11474" t="s">
        <v>126</v>
      </c>
      <c r="D11474" s="1" t="str">
        <f t="shared" si="314"/>
        <v>PRG-1036747</v>
      </c>
      <c r="E11474" t="s">
        <v>186</v>
      </c>
      <c r="F11474" t="s">
        <v>4</v>
      </c>
      <c r="G11474" t="str">
        <f>""</f>
        <v/>
      </c>
    </row>
    <row r="11475" spans="1:7" x14ac:dyDescent="0.25">
      <c r="A11475" t="s">
        <v>8</v>
      </c>
      <c r="B11475" s="1" t="str">
        <f>"000016219 - "</f>
        <v xml:space="preserve">000016219 - </v>
      </c>
      <c r="D11475" s="1" t="str">
        <f t="shared" si="314"/>
        <v>PRG-1036747</v>
      </c>
      <c r="E11475" t="s">
        <v>186</v>
      </c>
      <c r="F11475" t="s">
        <v>4</v>
      </c>
      <c r="G11475" t="str">
        <f>""</f>
        <v/>
      </c>
    </row>
    <row r="11476" spans="1:7" x14ac:dyDescent="0.25">
      <c r="A11476" t="s">
        <v>8</v>
      </c>
      <c r="B11476" s="1" t="str">
        <f>"000016220 - "</f>
        <v xml:space="preserve">000016220 - </v>
      </c>
      <c r="D11476" s="1" t="str">
        <f t="shared" si="314"/>
        <v>PRG-1036747</v>
      </c>
      <c r="E11476" t="s">
        <v>186</v>
      </c>
      <c r="F11476" t="s">
        <v>4</v>
      </c>
      <c r="G11476" t="str">
        <f>""</f>
        <v/>
      </c>
    </row>
    <row r="11477" spans="1:7" x14ac:dyDescent="0.25">
      <c r="A11477" t="s">
        <v>8</v>
      </c>
      <c r="B11477" s="1" t="str">
        <f>"000016298 - RICH FDS NCBB-MAIN ARAMARK"</f>
        <v>000016298 - RICH FDS NCBB-MAIN ARAMARK</v>
      </c>
      <c r="C11477" t="s">
        <v>185</v>
      </c>
      <c r="D11477" s="1" t="str">
        <f t="shared" si="314"/>
        <v>PRG-1036747</v>
      </c>
      <c r="E11477" t="s">
        <v>186</v>
      </c>
      <c r="F11477" t="s">
        <v>4</v>
      </c>
      <c r="G11477" t="str">
        <f>""</f>
        <v/>
      </c>
    </row>
    <row r="11478" spans="1:7" x14ac:dyDescent="0.25">
      <c r="A11478" t="s">
        <v>8</v>
      </c>
      <c r="B11478" s="1" t="str">
        <f>"000016299 - RICH FDS CBB-MAIN ARAMARK"</f>
        <v>000016299 - RICH FDS CBB-MAIN ARAMARK</v>
      </c>
      <c r="C11478" t="s">
        <v>187</v>
      </c>
      <c r="D11478" s="1" t="str">
        <f t="shared" si="314"/>
        <v>PRG-1036747</v>
      </c>
      <c r="E11478" t="s">
        <v>186</v>
      </c>
      <c r="F11478" t="s">
        <v>4</v>
      </c>
      <c r="G11478" t="str">
        <f>""</f>
        <v/>
      </c>
    </row>
    <row r="11479" spans="1:7" x14ac:dyDescent="0.25">
      <c r="A11479" t="s">
        <v>8</v>
      </c>
      <c r="B11479" s="1" t="str">
        <f>"000017852 - "</f>
        <v xml:space="preserve">000017852 - </v>
      </c>
      <c r="D11479" s="1" t="str">
        <f t="shared" si="314"/>
        <v>PRG-1036747</v>
      </c>
      <c r="E11479" t="s">
        <v>186</v>
      </c>
      <c r="F11479" t="s">
        <v>4</v>
      </c>
      <c r="G11479" t="str">
        <f>""</f>
        <v/>
      </c>
    </row>
    <row r="11480" spans="1:7" x14ac:dyDescent="0.25">
      <c r="A11480" t="s">
        <v>8</v>
      </c>
      <c r="B11480" s="1" t="str">
        <f>"000017853 - "</f>
        <v xml:space="preserve">000017853 - </v>
      </c>
      <c r="D11480" s="1" t="str">
        <f t="shared" si="314"/>
        <v>PRG-1036747</v>
      </c>
      <c r="E11480" t="s">
        <v>186</v>
      </c>
      <c r="F11480" t="s">
        <v>4</v>
      </c>
      <c r="G11480" t="str">
        <f>""</f>
        <v/>
      </c>
    </row>
    <row r="11481" spans="1:7" x14ac:dyDescent="0.25">
      <c r="A11481" t="s">
        <v>8</v>
      </c>
      <c r="B11481" s="1" t="str">
        <f>"000018015 - RICH FOODS-MAIN ARAMARK"</f>
        <v>000018015 - RICH FOODS-MAIN ARAMARK</v>
      </c>
      <c r="C11481" t="s">
        <v>126</v>
      </c>
      <c r="D11481" s="1" t="str">
        <f t="shared" si="314"/>
        <v>PRG-1036747</v>
      </c>
      <c r="E11481" t="s">
        <v>186</v>
      </c>
      <c r="F11481" t="s">
        <v>4</v>
      </c>
      <c r="G11481" t="str">
        <f>""</f>
        <v/>
      </c>
    </row>
    <row r="11482" spans="1:7" x14ac:dyDescent="0.25">
      <c r="A11482" t="s">
        <v>8</v>
      </c>
      <c r="B11482" s="1" t="str">
        <f>"000056854 - RICH FDS NCBB-MAIN ARAMARK"</f>
        <v>000056854 - RICH FDS NCBB-MAIN ARAMARK</v>
      </c>
      <c r="C11482" t="s">
        <v>185</v>
      </c>
      <c r="D11482" s="1" t="str">
        <f t="shared" si="314"/>
        <v>PRG-1036747</v>
      </c>
      <c r="E11482" t="s">
        <v>186</v>
      </c>
      <c r="F11482" t="s">
        <v>4</v>
      </c>
      <c r="G11482" t="str">
        <f>""</f>
        <v/>
      </c>
    </row>
    <row r="11483" spans="1:7" x14ac:dyDescent="0.25">
      <c r="A11483" t="s">
        <v>8</v>
      </c>
      <c r="B11483" s="1" t="str">
        <f>"000056855 - RICH FDS CBB-MAIN ARAMARK"</f>
        <v>000056855 - RICH FDS CBB-MAIN ARAMARK</v>
      </c>
      <c r="C11483" t="s">
        <v>187</v>
      </c>
      <c r="D11483" s="1" t="str">
        <f t="shared" si="314"/>
        <v>PRG-1036747</v>
      </c>
      <c r="E11483" t="s">
        <v>186</v>
      </c>
      <c r="F11483" t="s">
        <v>4</v>
      </c>
      <c r="G11483" t="str">
        <f>""</f>
        <v/>
      </c>
    </row>
    <row r="11484" spans="1:7" x14ac:dyDescent="0.25">
      <c r="A11484" t="s">
        <v>8</v>
      </c>
      <c r="B11484" s="1" t="str">
        <f>"000061353 - RICH FDS NCBB-MAIN ARAMARK"</f>
        <v>000061353 - RICH FDS NCBB-MAIN ARAMARK</v>
      </c>
      <c r="C11484" t="s">
        <v>185</v>
      </c>
      <c r="D11484" s="1" t="str">
        <f t="shared" si="314"/>
        <v>PRG-1036747</v>
      </c>
      <c r="E11484" t="s">
        <v>186</v>
      </c>
      <c r="F11484" t="s">
        <v>4</v>
      </c>
      <c r="G11484" t="str">
        <f>""</f>
        <v/>
      </c>
    </row>
    <row r="11485" spans="1:7" x14ac:dyDescent="0.25">
      <c r="A11485" t="s">
        <v>8</v>
      </c>
      <c r="B11485" s="1" t="str">
        <f>"000061354 - RICH FDS CBB-MAIN ARAMARK"</f>
        <v>000061354 - RICH FDS CBB-MAIN ARAMARK</v>
      </c>
      <c r="C11485" t="s">
        <v>187</v>
      </c>
      <c r="D11485" s="1" t="str">
        <f t="shared" si="314"/>
        <v>PRG-1036747</v>
      </c>
      <c r="E11485" t="s">
        <v>186</v>
      </c>
      <c r="F11485" t="s">
        <v>4</v>
      </c>
      <c r="G11485" t="str">
        <f>""</f>
        <v/>
      </c>
    </row>
    <row r="11486" spans="1:7" x14ac:dyDescent="0.25">
      <c r="A11486" t="s">
        <v>8</v>
      </c>
      <c r="B11486" s="1" t="str">
        <f>"000061355 - RICH FDS NCBB-SSS ARAMARK"</f>
        <v>000061355 - RICH FDS NCBB-SSS ARAMARK</v>
      </c>
      <c r="C11486" t="s">
        <v>300</v>
      </c>
      <c r="D11486" s="1" t="str">
        <f t="shared" si="314"/>
        <v>PRG-1036747</v>
      </c>
      <c r="E11486" t="s">
        <v>186</v>
      </c>
      <c r="F11486" t="s">
        <v>4</v>
      </c>
      <c r="G11486" t="str">
        <f>""</f>
        <v/>
      </c>
    </row>
    <row r="11487" spans="1:7" x14ac:dyDescent="0.25">
      <c r="A11487" t="s">
        <v>8</v>
      </c>
      <c r="B11487" s="1" t="str">
        <f>"000061356 - RICH FDS CBB-SSS ARAMARK"</f>
        <v>000061356 - RICH FDS CBB-SSS ARAMARK</v>
      </c>
      <c r="C11487" t="s">
        <v>301</v>
      </c>
      <c r="D11487" s="1" t="str">
        <f t="shared" si="314"/>
        <v>PRG-1036747</v>
      </c>
      <c r="E11487" t="s">
        <v>186</v>
      </c>
      <c r="F11487" t="s">
        <v>4</v>
      </c>
      <c r="G11487" t="str">
        <f>""</f>
        <v/>
      </c>
    </row>
    <row r="11488" spans="1:7" x14ac:dyDescent="0.25">
      <c r="A11488" t="s">
        <v>8</v>
      </c>
      <c r="B11488" s="1" t="str">
        <f>"000061641 - RICH FOODS-MAIN ARAMARK"</f>
        <v>000061641 - RICH FOODS-MAIN ARAMARK</v>
      </c>
      <c r="C11488" t="s">
        <v>126</v>
      </c>
      <c r="D11488" s="1" t="str">
        <f t="shared" si="314"/>
        <v>PRG-1036747</v>
      </c>
      <c r="E11488" t="s">
        <v>186</v>
      </c>
      <c r="F11488" t="s">
        <v>4</v>
      </c>
      <c r="G11488" t="str">
        <f>""</f>
        <v/>
      </c>
    </row>
    <row r="11489" spans="1:7" x14ac:dyDescent="0.25">
      <c r="A11489" t="s">
        <v>8</v>
      </c>
      <c r="B11489" s="1" t="str">
        <f>"000062591 - RICH FOODS-MAIN ARAMARK"</f>
        <v>000062591 - RICH FOODS-MAIN ARAMARK</v>
      </c>
      <c r="C11489" t="s">
        <v>126</v>
      </c>
      <c r="D11489" s="1" t="str">
        <f t="shared" si="314"/>
        <v>PRG-1036747</v>
      </c>
      <c r="E11489" t="s">
        <v>186</v>
      </c>
      <c r="F11489" t="s">
        <v>4</v>
      </c>
      <c r="G11489" t="str">
        <f>""</f>
        <v/>
      </c>
    </row>
    <row r="11490" spans="1:7" x14ac:dyDescent="0.25">
      <c r="A11490" t="s">
        <v>8</v>
      </c>
      <c r="B11490" s="1" t="str">
        <f>"000068453 - RICH FOODS-MAIN ARAMARK"</f>
        <v>000068453 - RICH FOODS-MAIN ARAMARK</v>
      </c>
      <c r="C11490" t="s">
        <v>126</v>
      </c>
      <c r="D11490" s="1" t="str">
        <f t="shared" si="314"/>
        <v>PRG-1036747</v>
      </c>
      <c r="E11490" t="s">
        <v>186</v>
      </c>
      <c r="F11490" t="s">
        <v>4</v>
      </c>
      <c r="G11490" t="str">
        <f>""</f>
        <v/>
      </c>
    </row>
    <row r="11491" spans="1:7" x14ac:dyDescent="0.25">
      <c r="A11491" t="s">
        <v>8</v>
      </c>
      <c r="B11491" s="1" t="str">
        <f>"000076161 - RICH FDS NCBB-MAIN ARAMARK"</f>
        <v>000076161 - RICH FDS NCBB-MAIN ARAMARK</v>
      </c>
      <c r="C11491" t="s">
        <v>185</v>
      </c>
      <c r="D11491" s="1" t="str">
        <f t="shared" si="314"/>
        <v>PRG-1036747</v>
      </c>
      <c r="E11491" t="s">
        <v>186</v>
      </c>
      <c r="F11491" t="s">
        <v>4</v>
      </c>
      <c r="G11491" t="str">
        <f>""</f>
        <v/>
      </c>
    </row>
    <row r="11492" spans="1:7" x14ac:dyDescent="0.25">
      <c r="A11492" t="s">
        <v>8</v>
      </c>
      <c r="B11492" s="1" t="str">
        <f>"000076162 - RICH FDS CBB-MAIN ARAMARK"</f>
        <v>000076162 - RICH FDS CBB-MAIN ARAMARK</v>
      </c>
      <c r="C11492" t="s">
        <v>187</v>
      </c>
      <c r="D11492" s="1" t="str">
        <f t="shared" si="314"/>
        <v>PRG-1036747</v>
      </c>
      <c r="E11492" t="s">
        <v>186</v>
      </c>
      <c r="F11492" t="s">
        <v>4</v>
      </c>
      <c r="G11492" t="str">
        <f>""</f>
        <v/>
      </c>
    </row>
    <row r="11493" spans="1:7" x14ac:dyDescent="0.25">
      <c r="A11493" t="s">
        <v>8</v>
      </c>
      <c r="B11493" s="1" t="str">
        <f>"000077601 - RICH FOODS-MAIN ARAMARK"</f>
        <v>000077601 - RICH FOODS-MAIN ARAMARK</v>
      </c>
      <c r="C11493" t="s">
        <v>126</v>
      </c>
      <c r="D11493" s="1" t="str">
        <f t="shared" si="314"/>
        <v>PRG-1036747</v>
      </c>
      <c r="E11493" t="s">
        <v>186</v>
      </c>
      <c r="F11493" t="s">
        <v>4</v>
      </c>
      <c r="G11493" t="str">
        <f>""</f>
        <v/>
      </c>
    </row>
    <row r="11494" spans="1:7" x14ac:dyDescent="0.25">
      <c r="A11494" t="s">
        <v>8</v>
      </c>
      <c r="B11494" s="1" t="str">
        <f>"000084317 - RICH FOODS-MAIN ARAMARK"</f>
        <v>000084317 - RICH FOODS-MAIN ARAMARK</v>
      </c>
      <c r="C11494" t="s">
        <v>126</v>
      </c>
      <c r="D11494" s="1" t="str">
        <f t="shared" si="314"/>
        <v>PRG-1036747</v>
      </c>
      <c r="E11494" t="s">
        <v>186</v>
      </c>
      <c r="F11494" t="s">
        <v>4</v>
      </c>
      <c r="G11494" t="str">
        <f>""</f>
        <v/>
      </c>
    </row>
    <row r="11495" spans="1:7" x14ac:dyDescent="0.25">
      <c r="A11495" t="s">
        <v>8</v>
      </c>
      <c r="B11495" s="1" t="str">
        <f>"000132452 - RICH FDS NCBB-MAIN ARAMARK"</f>
        <v>000132452 - RICH FDS NCBB-MAIN ARAMARK</v>
      </c>
      <c r="C11495" t="s">
        <v>185</v>
      </c>
      <c r="D11495" s="1" t="str">
        <f t="shared" si="314"/>
        <v>PRG-1036747</v>
      </c>
      <c r="E11495" t="s">
        <v>186</v>
      </c>
      <c r="F11495" t="s">
        <v>4</v>
      </c>
      <c r="G11495" t="str">
        <f>""</f>
        <v/>
      </c>
    </row>
    <row r="11496" spans="1:7" x14ac:dyDescent="0.25">
      <c r="A11496" t="s">
        <v>8</v>
      </c>
      <c r="B11496" s="1" t="str">
        <f>"000132453 - RICH FDS CBB-MAIN ARAMARK"</f>
        <v>000132453 - RICH FDS CBB-MAIN ARAMARK</v>
      </c>
      <c r="C11496" t="s">
        <v>187</v>
      </c>
      <c r="D11496" s="1" t="str">
        <f t="shared" si="314"/>
        <v>PRG-1036747</v>
      </c>
      <c r="E11496" t="s">
        <v>186</v>
      </c>
      <c r="F11496" t="s">
        <v>4</v>
      </c>
      <c r="G11496" t="str">
        <f>""</f>
        <v/>
      </c>
    </row>
    <row r="11497" spans="1:7" x14ac:dyDescent="0.25">
      <c r="A11497" t="s">
        <v>8</v>
      </c>
      <c r="B11497" s="1" t="str">
        <f>"000133819 - RICH FOODS-MAIN ARAMARK"</f>
        <v>000133819 - RICH FOODS-MAIN ARAMARK</v>
      </c>
      <c r="C11497" t="s">
        <v>126</v>
      </c>
      <c r="D11497" s="1" t="str">
        <f t="shared" si="314"/>
        <v>PRG-1036747</v>
      </c>
      <c r="E11497" t="s">
        <v>186</v>
      </c>
      <c r="F11497" t="s">
        <v>4</v>
      </c>
      <c r="G11497" t="str">
        <f>""</f>
        <v/>
      </c>
    </row>
    <row r="11498" spans="1:7" x14ac:dyDescent="0.25">
      <c r="A11498" t="s">
        <v>8</v>
      </c>
      <c r="B11498" s="1" t="str">
        <f>"000135835 - RICH FDS NCBB-MAIN ARAMARK"</f>
        <v>000135835 - RICH FDS NCBB-MAIN ARAMARK</v>
      </c>
      <c r="C11498" t="s">
        <v>185</v>
      </c>
      <c r="D11498" s="1" t="str">
        <f t="shared" si="314"/>
        <v>PRG-1036747</v>
      </c>
      <c r="E11498" t="s">
        <v>186</v>
      </c>
      <c r="F11498" t="s">
        <v>4</v>
      </c>
      <c r="G11498" t="str">
        <f>""</f>
        <v/>
      </c>
    </row>
    <row r="11499" spans="1:7" x14ac:dyDescent="0.25">
      <c r="A11499" t="s">
        <v>8</v>
      </c>
      <c r="B11499" s="1" t="str">
        <f>"000135836 - RICH FDS CBB-MAIN ARAMARK"</f>
        <v>000135836 - RICH FDS CBB-MAIN ARAMARK</v>
      </c>
      <c r="C11499" t="s">
        <v>187</v>
      </c>
      <c r="D11499" s="1" t="str">
        <f t="shared" si="314"/>
        <v>PRG-1036747</v>
      </c>
      <c r="E11499" t="s">
        <v>186</v>
      </c>
      <c r="F11499" t="s">
        <v>4</v>
      </c>
      <c r="G11499" t="str">
        <f>""</f>
        <v/>
      </c>
    </row>
    <row r="11500" spans="1:7" x14ac:dyDescent="0.25">
      <c r="A11500" t="s">
        <v>8</v>
      </c>
      <c r="B11500" s="1" t="str">
        <f>"000135838 - RICH FDS NCBB-SSS ARAMARK"</f>
        <v>000135838 - RICH FDS NCBB-SSS ARAMARK</v>
      </c>
      <c r="C11500" t="s">
        <v>300</v>
      </c>
      <c r="D11500" s="1" t="str">
        <f t="shared" si="314"/>
        <v>PRG-1036747</v>
      </c>
      <c r="E11500" t="s">
        <v>186</v>
      </c>
      <c r="F11500" t="s">
        <v>4</v>
      </c>
      <c r="G11500" t="str">
        <f>""</f>
        <v/>
      </c>
    </row>
    <row r="11501" spans="1:7" x14ac:dyDescent="0.25">
      <c r="A11501" t="s">
        <v>8</v>
      </c>
      <c r="B11501" s="1" t="str">
        <f>"000135839 - RICH FDS CBB-SSS ARAMARK"</f>
        <v>000135839 - RICH FDS CBB-SSS ARAMARK</v>
      </c>
      <c r="C11501" t="s">
        <v>301</v>
      </c>
      <c r="D11501" s="1" t="str">
        <f t="shared" ref="D11501:D11532" si="315">"PRG-1036747"</f>
        <v>PRG-1036747</v>
      </c>
      <c r="E11501" t="s">
        <v>186</v>
      </c>
      <c r="F11501" t="s">
        <v>4</v>
      </c>
      <c r="G11501" t="str">
        <f>""</f>
        <v/>
      </c>
    </row>
    <row r="11502" spans="1:7" x14ac:dyDescent="0.25">
      <c r="A11502" t="s">
        <v>8</v>
      </c>
      <c r="B11502" s="1" t="str">
        <f>"000136848 - RICH FOODS-SSS ARAMARK"</f>
        <v>000136848 - RICH FOODS-SSS ARAMARK</v>
      </c>
      <c r="C11502" t="s">
        <v>128</v>
      </c>
      <c r="D11502" s="1" t="str">
        <f t="shared" si="315"/>
        <v>PRG-1036747</v>
      </c>
      <c r="E11502" t="s">
        <v>186</v>
      </c>
      <c r="F11502" t="s">
        <v>4</v>
      </c>
      <c r="G11502" t="str">
        <f>""</f>
        <v/>
      </c>
    </row>
    <row r="11503" spans="1:7" x14ac:dyDescent="0.25">
      <c r="A11503" t="s">
        <v>8</v>
      </c>
      <c r="B11503" s="1" t="str">
        <f>"000136851 - RICH FOODS-MAIN ARAMARK"</f>
        <v>000136851 - RICH FOODS-MAIN ARAMARK</v>
      </c>
      <c r="C11503" t="s">
        <v>126</v>
      </c>
      <c r="D11503" s="1" t="str">
        <f t="shared" si="315"/>
        <v>PRG-1036747</v>
      </c>
      <c r="E11503" t="s">
        <v>186</v>
      </c>
      <c r="F11503" t="s">
        <v>4</v>
      </c>
      <c r="G11503" t="str">
        <f>""</f>
        <v/>
      </c>
    </row>
    <row r="11504" spans="1:7" x14ac:dyDescent="0.25">
      <c r="A11504" t="s">
        <v>8</v>
      </c>
      <c r="B11504" s="1" t="str">
        <f>"000139663 - RICH FOODS-MAIN ARAMARK"</f>
        <v>000139663 - RICH FOODS-MAIN ARAMARK</v>
      </c>
      <c r="C11504" t="s">
        <v>126</v>
      </c>
      <c r="D11504" s="1" t="str">
        <f t="shared" si="315"/>
        <v>PRG-1036747</v>
      </c>
      <c r="E11504" t="s">
        <v>186</v>
      </c>
      <c r="F11504" t="s">
        <v>4</v>
      </c>
      <c r="G11504" t="str">
        <f>""</f>
        <v/>
      </c>
    </row>
    <row r="11505" spans="1:7" x14ac:dyDescent="0.25">
      <c r="A11505" t="s">
        <v>8</v>
      </c>
      <c r="B11505" s="1" t="str">
        <f>"000153812 - RICH FDS NCBB-MAIN ARAMARK"</f>
        <v>000153812 - RICH FDS NCBB-MAIN ARAMARK</v>
      </c>
      <c r="C11505" t="s">
        <v>185</v>
      </c>
      <c r="D11505" s="1" t="str">
        <f t="shared" si="315"/>
        <v>PRG-1036747</v>
      </c>
      <c r="E11505" t="s">
        <v>186</v>
      </c>
      <c r="F11505" t="s">
        <v>4</v>
      </c>
      <c r="G11505" t="str">
        <f>""</f>
        <v/>
      </c>
    </row>
    <row r="11506" spans="1:7" x14ac:dyDescent="0.25">
      <c r="A11506" t="s">
        <v>8</v>
      </c>
      <c r="B11506" s="1" t="str">
        <f>"000153813 - RICH FDS CBB-MAIN ARAMARK"</f>
        <v>000153813 - RICH FDS CBB-MAIN ARAMARK</v>
      </c>
      <c r="C11506" t="s">
        <v>187</v>
      </c>
      <c r="D11506" s="1" t="str">
        <f t="shared" si="315"/>
        <v>PRG-1036747</v>
      </c>
      <c r="E11506" t="s">
        <v>186</v>
      </c>
      <c r="F11506" t="s">
        <v>4</v>
      </c>
      <c r="G11506" t="str">
        <f>""</f>
        <v/>
      </c>
    </row>
    <row r="11507" spans="1:7" x14ac:dyDescent="0.25">
      <c r="A11507" t="s">
        <v>8</v>
      </c>
      <c r="B11507" s="1" t="str">
        <f>"000155171 - RICH FOODS-MAIN ARAMARK"</f>
        <v>000155171 - RICH FOODS-MAIN ARAMARK</v>
      </c>
      <c r="C11507" t="s">
        <v>126</v>
      </c>
      <c r="D11507" s="1" t="str">
        <f t="shared" si="315"/>
        <v>PRG-1036747</v>
      </c>
      <c r="E11507" t="s">
        <v>186</v>
      </c>
      <c r="F11507" t="s">
        <v>4</v>
      </c>
      <c r="G11507" t="str">
        <f>""</f>
        <v/>
      </c>
    </row>
    <row r="11508" spans="1:7" x14ac:dyDescent="0.25">
      <c r="A11508" t="s">
        <v>8</v>
      </c>
      <c r="B11508" s="1" t="str">
        <f>"000156753 - "</f>
        <v xml:space="preserve">000156753 - </v>
      </c>
      <c r="D11508" s="1" t="str">
        <f t="shared" si="315"/>
        <v>PRG-1036747</v>
      </c>
      <c r="E11508" t="s">
        <v>186</v>
      </c>
      <c r="F11508" t="s">
        <v>4</v>
      </c>
      <c r="G11508" t="str">
        <f>""</f>
        <v/>
      </c>
    </row>
    <row r="11509" spans="1:7" x14ac:dyDescent="0.25">
      <c r="A11509" t="s">
        <v>8</v>
      </c>
      <c r="B11509" s="1" t="str">
        <f>"000156754 - "</f>
        <v xml:space="preserve">000156754 - </v>
      </c>
      <c r="D11509" s="1" t="str">
        <f t="shared" si="315"/>
        <v>PRG-1036747</v>
      </c>
      <c r="E11509" t="s">
        <v>186</v>
      </c>
      <c r="F11509" t="s">
        <v>4</v>
      </c>
      <c r="G11509" t="str">
        <f>""</f>
        <v/>
      </c>
    </row>
    <row r="11510" spans="1:7" x14ac:dyDescent="0.25">
      <c r="A11510" t="s">
        <v>8</v>
      </c>
      <c r="B11510" s="1" t="str">
        <f>"000161148 - RICH FOODS-MAIN ARAMARK"</f>
        <v>000161148 - RICH FOODS-MAIN ARAMARK</v>
      </c>
      <c r="C11510" t="s">
        <v>126</v>
      </c>
      <c r="D11510" s="1" t="str">
        <f t="shared" si="315"/>
        <v>PRG-1036747</v>
      </c>
      <c r="E11510" t="s">
        <v>186</v>
      </c>
      <c r="F11510" t="s">
        <v>4</v>
      </c>
      <c r="G11510" t="str">
        <f>""</f>
        <v/>
      </c>
    </row>
    <row r="11511" spans="1:7" x14ac:dyDescent="0.25">
      <c r="A11511" t="s">
        <v>8</v>
      </c>
      <c r="B11511" s="1" t="str">
        <f>"000162027 - "</f>
        <v xml:space="preserve">000162027 - </v>
      </c>
      <c r="D11511" s="1" t="str">
        <f t="shared" si="315"/>
        <v>PRG-1036747</v>
      </c>
      <c r="E11511" t="s">
        <v>186</v>
      </c>
      <c r="F11511" t="s">
        <v>4</v>
      </c>
      <c r="G11511" t="str">
        <f>""</f>
        <v/>
      </c>
    </row>
    <row r="11512" spans="1:7" x14ac:dyDescent="0.25">
      <c r="A11512" t="s">
        <v>8</v>
      </c>
      <c r="B11512" s="1" t="str">
        <f>"000180326 - "</f>
        <v xml:space="preserve">000180326 - </v>
      </c>
      <c r="D11512" s="1" t="str">
        <f t="shared" si="315"/>
        <v>PRG-1036747</v>
      </c>
      <c r="E11512" t="s">
        <v>186</v>
      </c>
      <c r="F11512" t="s">
        <v>4</v>
      </c>
      <c r="G11512" t="str">
        <f>""</f>
        <v/>
      </c>
    </row>
    <row r="11513" spans="1:7" x14ac:dyDescent="0.25">
      <c r="A11513" t="s">
        <v>8</v>
      </c>
      <c r="B11513" s="1" t="str">
        <f>"000222188 - RICH FDS NCBB-MAIN ARAMARK"</f>
        <v>000222188 - RICH FDS NCBB-MAIN ARAMARK</v>
      </c>
      <c r="C11513" t="s">
        <v>185</v>
      </c>
      <c r="D11513" s="1" t="str">
        <f t="shared" si="315"/>
        <v>PRG-1036747</v>
      </c>
      <c r="E11513" t="s">
        <v>186</v>
      </c>
      <c r="F11513" t="s">
        <v>4</v>
      </c>
      <c r="G11513" t="str">
        <f>""</f>
        <v/>
      </c>
    </row>
    <row r="11514" spans="1:7" x14ac:dyDescent="0.25">
      <c r="A11514" t="s">
        <v>8</v>
      </c>
      <c r="B11514" s="1" t="str">
        <f>"000222189 - RICH FDS CBB-MAIN ARAMARK"</f>
        <v>000222189 - RICH FDS CBB-MAIN ARAMARK</v>
      </c>
      <c r="C11514" t="s">
        <v>187</v>
      </c>
      <c r="D11514" s="1" t="str">
        <f t="shared" si="315"/>
        <v>PRG-1036747</v>
      </c>
      <c r="E11514" t="s">
        <v>186</v>
      </c>
      <c r="F11514" t="s">
        <v>4</v>
      </c>
      <c r="G11514" t="str">
        <f>""</f>
        <v/>
      </c>
    </row>
    <row r="11515" spans="1:7" x14ac:dyDescent="0.25">
      <c r="A11515" t="s">
        <v>8</v>
      </c>
      <c r="B11515" s="1" t="str">
        <f>"000223597 - RICH FOODS-MAIN ARAMARK"</f>
        <v>000223597 - RICH FOODS-MAIN ARAMARK</v>
      </c>
      <c r="C11515" t="s">
        <v>126</v>
      </c>
      <c r="D11515" s="1" t="str">
        <f t="shared" si="315"/>
        <v>PRG-1036747</v>
      </c>
      <c r="E11515" t="s">
        <v>186</v>
      </c>
      <c r="F11515" t="s">
        <v>4</v>
      </c>
      <c r="G11515" t="str">
        <f>""</f>
        <v/>
      </c>
    </row>
    <row r="11516" spans="1:7" x14ac:dyDescent="0.25">
      <c r="A11516" t="s">
        <v>8</v>
      </c>
      <c r="B11516" s="1" t="str">
        <f>"000227040 - RICH FDS NCBB-MAIN ARAMARK"</f>
        <v>000227040 - RICH FDS NCBB-MAIN ARAMARK</v>
      </c>
      <c r="C11516" t="s">
        <v>185</v>
      </c>
      <c r="D11516" s="1" t="str">
        <f t="shared" si="315"/>
        <v>PRG-1036747</v>
      </c>
      <c r="E11516" t="s">
        <v>186</v>
      </c>
      <c r="F11516" t="s">
        <v>4</v>
      </c>
      <c r="G11516" t="str">
        <f>""</f>
        <v/>
      </c>
    </row>
    <row r="11517" spans="1:7" x14ac:dyDescent="0.25">
      <c r="A11517" t="s">
        <v>8</v>
      </c>
      <c r="B11517" s="1" t="str">
        <f>"000227041 - RICH FDS CBB-MAIN ARAMARK"</f>
        <v>000227041 - RICH FDS CBB-MAIN ARAMARK</v>
      </c>
      <c r="C11517" t="s">
        <v>187</v>
      </c>
      <c r="D11517" s="1" t="str">
        <f t="shared" si="315"/>
        <v>PRG-1036747</v>
      </c>
      <c r="E11517" t="s">
        <v>186</v>
      </c>
      <c r="F11517" t="s">
        <v>4</v>
      </c>
      <c r="G11517" t="str">
        <f>""</f>
        <v/>
      </c>
    </row>
    <row r="11518" spans="1:7" x14ac:dyDescent="0.25">
      <c r="A11518" t="s">
        <v>8</v>
      </c>
      <c r="B11518" s="1" t="str">
        <f>"000228614 - RICH FOODS-MAIN ARAMARK"</f>
        <v>000228614 - RICH FOODS-MAIN ARAMARK</v>
      </c>
      <c r="C11518" t="s">
        <v>126</v>
      </c>
      <c r="D11518" s="1" t="str">
        <f t="shared" si="315"/>
        <v>PRG-1036747</v>
      </c>
      <c r="E11518" t="s">
        <v>186</v>
      </c>
      <c r="F11518" t="s">
        <v>4</v>
      </c>
      <c r="G11518" t="str">
        <f>""</f>
        <v/>
      </c>
    </row>
    <row r="11519" spans="1:7" x14ac:dyDescent="0.25">
      <c r="A11519" t="s">
        <v>8</v>
      </c>
      <c r="B11519" s="1" t="str">
        <f>"000229422 - RICH FDS NCBB-MAIN ARAMARK"</f>
        <v>000229422 - RICH FDS NCBB-MAIN ARAMARK</v>
      </c>
      <c r="C11519" t="s">
        <v>185</v>
      </c>
      <c r="D11519" s="1" t="str">
        <f t="shared" si="315"/>
        <v>PRG-1036747</v>
      </c>
      <c r="E11519" t="s">
        <v>186</v>
      </c>
      <c r="F11519" t="s">
        <v>4</v>
      </c>
      <c r="G11519" t="str">
        <f>""</f>
        <v/>
      </c>
    </row>
    <row r="11520" spans="1:7" x14ac:dyDescent="0.25">
      <c r="A11520" t="s">
        <v>8</v>
      </c>
      <c r="B11520" s="1" t="str">
        <f>"000229423 - RICH FDS CBB-MAIN ARAMARK"</f>
        <v>000229423 - RICH FDS CBB-MAIN ARAMARK</v>
      </c>
      <c r="C11520" t="s">
        <v>187</v>
      </c>
      <c r="D11520" s="1" t="str">
        <f t="shared" si="315"/>
        <v>PRG-1036747</v>
      </c>
      <c r="E11520" t="s">
        <v>186</v>
      </c>
      <c r="F11520" t="s">
        <v>4</v>
      </c>
      <c r="G11520" t="str">
        <f>""</f>
        <v/>
      </c>
    </row>
    <row r="11521" spans="1:7" x14ac:dyDescent="0.25">
      <c r="A11521" t="s">
        <v>8</v>
      </c>
      <c r="B11521" s="1" t="str">
        <f>"000229425 - RICH FDS NCBB-SSS ARAMARK"</f>
        <v>000229425 - RICH FDS NCBB-SSS ARAMARK</v>
      </c>
      <c r="C11521" t="s">
        <v>300</v>
      </c>
      <c r="D11521" s="1" t="str">
        <f t="shared" si="315"/>
        <v>PRG-1036747</v>
      </c>
      <c r="E11521" t="s">
        <v>186</v>
      </c>
      <c r="F11521" t="s">
        <v>4</v>
      </c>
      <c r="G11521" t="str">
        <f>""</f>
        <v/>
      </c>
    </row>
    <row r="11522" spans="1:7" x14ac:dyDescent="0.25">
      <c r="A11522" t="s">
        <v>8</v>
      </c>
      <c r="B11522" s="1" t="str">
        <f>"000230830 - RICH FOODS-SSS ARAMARK"</f>
        <v>000230830 - RICH FOODS-SSS ARAMARK</v>
      </c>
      <c r="C11522" t="s">
        <v>128</v>
      </c>
      <c r="D11522" s="1" t="str">
        <f t="shared" si="315"/>
        <v>PRG-1036747</v>
      </c>
      <c r="E11522" t="s">
        <v>186</v>
      </c>
      <c r="F11522" t="s">
        <v>4</v>
      </c>
      <c r="G11522" t="str">
        <f>""</f>
        <v/>
      </c>
    </row>
    <row r="11523" spans="1:7" x14ac:dyDescent="0.25">
      <c r="A11523" t="s">
        <v>8</v>
      </c>
      <c r="B11523" s="1" t="str">
        <f>"000230833 - RICH FOODS-MAIN ARAMARK"</f>
        <v>000230833 - RICH FOODS-MAIN ARAMARK</v>
      </c>
      <c r="C11523" t="s">
        <v>126</v>
      </c>
      <c r="D11523" s="1" t="str">
        <f t="shared" si="315"/>
        <v>PRG-1036747</v>
      </c>
      <c r="E11523" t="s">
        <v>186</v>
      </c>
      <c r="F11523" t="s">
        <v>4</v>
      </c>
      <c r="G11523" t="str">
        <f>""</f>
        <v/>
      </c>
    </row>
    <row r="11524" spans="1:7" x14ac:dyDescent="0.25">
      <c r="A11524" t="s">
        <v>8</v>
      </c>
      <c r="B11524" s="1" t="str">
        <f>"000237358 - RICH FDS CBB-MAIN ARAMARK"</f>
        <v>000237358 - RICH FDS CBB-MAIN ARAMARK</v>
      </c>
      <c r="C11524" t="s">
        <v>187</v>
      </c>
      <c r="D11524" s="1" t="str">
        <f t="shared" si="315"/>
        <v>PRG-1036747</v>
      </c>
      <c r="E11524" t="s">
        <v>186</v>
      </c>
      <c r="F11524" t="s">
        <v>4</v>
      </c>
      <c r="G11524" t="str">
        <f>""</f>
        <v/>
      </c>
    </row>
    <row r="11525" spans="1:7" x14ac:dyDescent="0.25">
      <c r="A11525" t="s">
        <v>8</v>
      </c>
      <c r="B11525" s="1" t="str">
        <f>"000237359 - RICH FDS NCBB-SSS ARAMARK"</f>
        <v>000237359 - RICH FDS NCBB-SSS ARAMARK</v>
      </c>
      <c r="C11525" t="s">
        <v>300</v>
      </c>
      <c r="D11525" s="1" t="str">
        <f t="shared" si="315"/>
        <v>PRG-1036747</v>
      </c>
      <c r="E11525" t="s">
        <v>186</v>
      </c>
      <c r="F11525" t="s">
        <v>4</v>
      </c>
      <c r="G11525" t="str">
        <f>""</f>
        <v/>
      </c>
    </row>
    <row r="11526" spans="1:7" x14ac:dyDescent="0.25">
      <c r="A11526" t="s">
        <v>8</v>
      </c>
      <c r="B11526" s="1" t="str">
        <f>"000237590 - RICH FDS NCBB-MAIN ARAMARK"</f>
        <v>000237590 - RICH FDS NCBB-MAIN ARAMARK</v>
      </c>
      <c r="C11526" t="s">
        <v>185</v>
      </c>
      <c r="D11526" s="1" t="str">
        <f t="shared" si="315"/>
        <v>PRG-1036747</v>
      </c>
      <c r="E11526" t="s">
        <v>186</v>
      </c>
      <c r="F11526" t="s">
        <v>4</v>
      </c>
      <c r="G11526" t="str">
        <f>""</f>
        <v/>
      </c>
    </row>
    <row r="11527" spans="1:7" x14ac:dyDescent="0.25">
      <c r="A11527" t="s">
        <v>8</v>
      </c>
      <c r="B11527" s="1" t="str">
        <f>"000237591 - RICH FDS CBB-MAIN ARAMARK"</f>
        <v>000237591 - RICH FDS CBB-MAIN ARAMARK</v>
      </c>
      <c r="C11527" t="s">
        <v>187</v>
      </c>
      <c r="D11527" s="1" t="str">
        <f t="shared" si="315"/>
        <v>PRG-1036747</v>
      </c>
      <c r="E11527" t="s">
        <v>186</v>
      </c>
      <c r="F11527" t="s">
        <v>4</v>
      </c>
      <c r="G11527" t="str">
        <f>""</f>
        <v/>
      </c>
    </row>
    <row r="11528" spans="1:7" x14ac:dyDescent="0.25">
      <c r="A11528" t="s">
        <v>8</v>
      </c>
      <c r="B11528" s="1" t="str">
        <f>"000245771 - RICH FOODS NCORE-CENTERPLATE"</f>
        <v>000245771 - RICH FOODS NCORE-CENTERPLATE</v>
      </c>
      <c r="C11528" t="s">
        <v>512</v>
      </c>
      <c r="D11528" s="1" t="str">
        <f t="shared" si="315"/>
        <v>PRG-1036747</v>
      </c>
      <c r="E11528" t="s">
        <v>186</v>
      </c>
      <c r="F11528" t="s">
        <v>4</v>
      </c>
      <c r="G11528" t="str">
        <f>""</f>
        <v/>
      </c>
    </row>
    <row r="11529" spans="1:7" x14ac:dyDescent="0.25">
      <c r="A11529" t="s">
        <v>8</v>
      </c>
      <c r="B11529" s="1" t="str">
        <f>"000245772 - RICH FDS CBB-MAIN ARAMARK"</f>
        <v>000245772 - RICH FDS CBB-MAIN ARAMARK</v>
      </c>
      <c r="C11529" t="s">
        <v>187</v>
      </c>
      <c r="D11529" s="1" t="str">
        <f t="shared" si="315"/>
        <v>PRG-1036747</v>
      </c>
      <c r="E11529" t="s">
        <v>186</v>
      </c>
      <c r="F11529" t="s">
        <v>4</v>
      </c>
      <c r="G11529" t="str">
        <f>""</f>
        <v/>
      </c>
    </row>
    <row r="11530" spans="1:7" x14ac:dyDescent="0.25">
      <c r="A11530" t="s">
        <v>8</v>
      </c>
      <c r="B11530" s="1" t="str">
        <f>"000245774 - RICH FDS NCBB-SSS ARAMARK"</f>
        <v>000245774 - RICH FDS NCBB-SSS ARAMARK</v>
      </c>
      <c r="C11530" t="s">
        <v>300</v>
      </c>
      <c r="D11530" s="1" t="str">
        <f t="shared" si="315"/>
        <v>PRG-1036747</v>
      </c>
      <c r="E11530" t="s">
        <v>186</v>
      </c>
      <c r="F11530" t="s">
        <v>4</v>
      </c>
      <c r="G11530" t="str">
        <f>""</f>
        <v/>
      </c>
    </row>
    <row r="11531" spans="1:7" x14ac:dyDescent="0.25">
      <c r="A11531" t="s">
        <v>8</v>
      </c>
      <c r="B11531" s="1" t="str">
        <f>"000245775 - RICH FOODS BB-FOODBUY"</f>
        <v>000245775 - RICH FOODS BB-FOODBUY</v>
      </c>
      <c r="C11531" t="s">
        <v>209</v>
      </c>
      <c r="D11531" s="1" t="str">
        <f t="shared" si="315"/>
        <v>PRG-1036747</v>
      </c>
      <c r="E11531" t="s">
        <v>186</v>
      </c>
      <c r="F11531" t="s">
        <v>4</v>
      </c>
      <c r="G11531" t="str">
        <f>""</f>
        <v/>
      </c>
    </row>
    <row r="11532" spans="1:7" x14ac:dyDescent="0.25">
      <c r="A11532" t="s">
        <v>8</v>
      </c>
      <c r="B11532" s="1" t="str">
        <f>"000247358 - BB ARA FOB RICHS"</f>
        <v>000247358 - BB ARA FOB RICHS</v>
      </c>
      <c r="C11532" t="s">
        <v>1269</v>
      </c>
      <c r="D11532" s="1" t="str">
        <f t="shared" si="315"/>
        <v>PRG-1036747</v>
      </c>
      <c r="E11532" t="s">
        <v>186</v>
      </c>
      <c r="F11532" t="s">
        <v>4</v>
      </c>
      <c r="G11532" t="str">
        <f>""</f>
        <v/>
      </c>
    </row>
    <row r="11533" spans="1:7" x14ac:dyDescent="0.25">
      <c r="A11533" t="s">
        <v>8</v>
      </c>
      <c r="B11533" s="1" t="str">
        <f>"000247853 - RICH FDS NCBB-MAIN ARAMARK"</f>
        <v>000247853 - RICH FDS NCBB-MAIN ARAMARK</v>
      </c>
      <c r="C11533" t="s">
        <v>185</v>
      </c>
      <c r="D11533" s="1" t="str">
        <f t="shared" ref="D11533:D11564" si="316">"PRG-1036747"</f>
        <v>PRG-1036747</v>
      </c>
      <c r="E11533" t="s">
        <v>186</v>
      </c>
      <c r="F11533" t="s">
        <v>4</v>
      </c>
      <c r="G11533" t="str">
        <f>""</f>
        <v/>
      </c>
    </row>
    <row r="11534" spans="1:7" x14ac:dyDescent="0.25">
      <c r="A11534" t="s">
        <v>8</v>
      </c>
      <c r="B11534" s="1" t="str">
        <f>"000247854 - RICH FDS CBB-MAIN ARAMARK"</f>
        <v>000247854 - RICH FDS CBB-MAIN ARAMARK</v>
      </c>
      <c r="C11534" t="s">
        <v>187</v>
      </c>
      <c r="D11534" s="1" t="str">
        <f t="shared" si="316"/>
        <v>PRG-1036747</v>
      </c>
      <c r="E11534" t="s">
        <v>186</v>
      </c>
      <c r="F11534" t="s">
        <v>4</v>
      </c>
      <c r="G11534" t="str">
        <f>""</f>
        <v/>
      </c>
    </row>
    <row r="11535" spans="1:7" x14ac:dyDescent="0.25">
      <c r="A11535" t="s">
        <v>8</v>
      </c>
      <c r="B11535" s="1" t="str">
        <f>"000248827 - RICH FOODS-MAIN ARAMARK"</f>
        <v>000248827 - RICH FOODS-MAIN ARAMARK</v>
      </c>
      <c r="C11535" t="s">
        <v>126</v>
      </c>
      <c r="D11535" s="1" t="str">
        <f t="shared" si="316"/>
        <v>PRG-1036747</v>
      </c>
      <c r="E11535" t="s">
        <v>186</v>
      </c>
      <c r="F11535" t="s">
        <v>4</v>
      </c>
      <c r="G11535" t="str">
        <f>""</f>
        <v/>
      </c>
    </row>
    <row r="11536" spans="1:7" x14ac:dyDescent="0.25">
      <c r="A11536" t="s">
        <v>8</v>
      </c>
      <c r="B11536" s="1" t="str">
        <f>"000251601 - RICH FDS NCBB-MAIN ARAMARK"</f>
        <v>000251601 - RICH FDS NCBB-MAIN ARAMARK</v>
      </c>
      <c r="C11536" t="s">
        <v>185</v>
      </c>
      <c r="D11536" s="1" t="str">
        <f t="shared" si="316"/>
        <v>PRG-1036747</v>
      </c>
      <c r="E11536" t="s">
        <v>186</v>
      </c>
      <c r="F11536" t="s">
        <v>4</v>
      </c>
      <c r="G11536" t="str">
        <f>""</f>
        <v/>
      </c>
    </row>
    <row r="11537" spans="1:7" x14ac:dyDescent="0.25">
      <c r="A11537" t="s">
        <v>8</v>
      </c>
      <c r="B11537" s="1" t="str">
        <f>"000251602 - RICH FDS CBB-MAIN ARAMARK"</f>
        <v>000251602 - RICH FDS CBB-MAIN ARAMARK</v>
      </c>
      <c r="C11537" t="s">
        <v>187</v>
      </c>
      <c r="D11537" s="1" t="str">
        <f t="shared" si="316"/>
        <v>PRG-1036747</v>
      </c>
      <c r="E11537" t="s">
        <v>186</v>
      </c>
      <c r="F11537" t="s">
        <v>4</v>
      </c>
      <c r="G11537" t="str">
        <f>""</f>
        <v/>
      </c>
    </row>
    <row r="11538" spans="1:7" x14ac:dyDescent="0.25">
      <c r="A11538" t="s">
        <v>8</v>
      </c>
      <c r="B11538" s="1" t="str">
        <f>"000252203 - RICH FDS CBB-MAIN ARAMARK"</f>
        <v>000252203 - RICH FDS CBB-MAIN ARAMARK</v>
      </c>
      <c r="C11538" t="s">
        <v>187</v>
      </c>
      <c r="D11538" s="1" t="str">
        <f t="shared" si="316"/>
        <v>PRG-1036747</v>
      </c>
      <c r="E11538" t="s">
        <v>186</v>
      </c>
      <c r="F11538" t="s">
        <v>4</v>
      </c>
      <c r="G11538" t="str">
        <f>""</f>
        <v/>
      </c>
    </row>
    <row r="11539" spans="1:7" x14ac:dyDescent="0.25">
      <c r="A11539" t="s">
        <v>8</v>
      </c>
      <c r="B11539" s="1" t="str">
        <f>"000253511 - RICH FOODS-MAIN ARAMARK"</f>
        <v>000253511 - RICH FOODS-MAIN ARAMARK</v>
      </c>
      <c r="C11539" t="s">
        <v>126</v>
      </c>
      <c r="D11539" s="1" t="str">
        <f t="shared" si="316"/>
        <v>PRG-1036747</v>
      </c>
      <c r="E11539" t="s">
        <v>186</v>
      </c>
      <c r="F11539" t="s">
        <v>4</v>
      </c>
      <c r="G11539" t="str">
        <f>""</f>
        <v/>
      </c>
    </row>
    <row r="11540" spans="1:7" x14ac:dyDescent="0.25">
      <c r="A11540" t="s">
        <v>8</v>
      </c>
      <c r="B11540" s="1" t="str">
        <f>"000253616 - RICH FOODS-MAIN ARAMARK"</f>
        <v>000253616 - RICH FOODS-MAIN ARAMARK</v>
      </c>
      <c r="C11540" t="s">
        <v>126</v>
      </c>
      <c r="D11540" s="1" t="str">
        <f t="shared" si="316"/>
        <v>PRG-1036747</v>
      </c>
      <c r="E11540" t="s">
        <v>186</v>
      </c>
      <c r="F11540" t="s">
        <v>4</v>
      </c>
      <c r="G11540" t="str">
        <f>""</f>
        <v/>
      </c>
    </row>
    <row r="11541" spans="1:7" x14ac:dyDescent="0.25">
      <c r="A11541" t="s">
        <v>8</v>
      </c>
      <c r="B11541" s="1" t="str">
        <f>"000253930 - RICH FDS NCBB-MAIN ARAMARK"</f>
        <v>000253930 - RICH FDS NCBB-MAIN ARAMARK</v>
      </c>
      <c r="C11541" t="s">
        <v>185</v>
      </c>
      <c r="D11541" s="1" t="str">
        <f t="shared" si="316"/>
        <v>PRG-1036747</v>
      </c>
      <c r="E11541" t="s">
        <v>186</v>
      </c>
      <c r="F11541" t="s">
        <v>4</v>
      </c>
      <c r="G11541" t="str">
        <f>""</f>
        <v/>
      </c>
    </row>
    <row r="11542" spans="1:7" x14ac:dyDescent="0.25">
      <c r="A11542" t="s">
        <v>8</v>
      </c>
      <c r="B11542" s="1" t="str">
        <f>"000253931 - RICH FDS CBB-MAIN ARAMARK"</f>
        <v>000253931 - RICH FDS CBB-MAIN ARAMARK</v>
      </c>
      <c r="C11542" t="s">
        <v>187</v>
      </c>
      <c r="D11542" s="1" t="str">
        <f t="shared" si="316"/>
        <v>PRG-1036747</v>
      </c>
      <c r="E11542" t="s">
        <v>186</v>
      </c>
      <c r="F11542" t="s">
        <v>4</v>
      </c>
      <c r="G11542" t="str">
        <f>""</f>
        <v/>
      </c>
    </row>
    <row r="11543" spans="1:7" x14ac:dyDescent="0.25">
      <c r="A11543" t="s">
        <v>8</v>
      </c>
      <c r="B11543" s="1" t="str">
        <f>"000253937 - RICH FDS CBB-SSS ARAMARK"</f>
        <v>000253937 - RICH FDS CBB-SSS ARAMARK</v>
      </c>
      <c r="C11543" t="s">
        <v>301</v>
      </c>
      <c r="D11543" s="1" t="str">
        <f t="shared" si="316"/>
        <v>PRG-1036747</v>
      </c>
      <c r="E11543" t="s">
        <v>186</v>
      </c>
      <c r="F11543" t="s">
        <v>4</v>
      </c>
      <c r="G11543" t="str">
        <f>""</f>
        <v/>
      </c>
    </row>
    <row r="11544" spans="1:7" x14ac:dyDescent="0.25">
      <c r="A11544" t="s">
        <v>8</v>
      </c>
      <c r="B11544" s="1" t="str">
        <f>"000255166 - "</f>
        <v xml:space="preserve">000255166 - </v>
      </c>
      <c r="D11544" s="1" t="str">
        <f t="shared" si="316"/>
        <v>PRG-1036747</v>
      </c>
      <c r="E11544" t="s">
        <v>186</v>
      </c>
      <c r="F11544" t="s">
        <v>4</v>
      </c>
      <c r="G11544" t="str">
        <f>""</f>
        <v/>
      </c>
    </row>
    <row r="11545" spans="1:7" x14ac:dyDescent="0.25">
      <c r="A11545" t="s">
        <v>8</v>
      </c>
      <c r="B11545" s="1" t="str">
        <f>"000255374 - RICH FOODS-MAIN ARAMARK"</f>
        <v>000255374 - RICH FOODS-MAIN ARAMARK</v>
      </c>
      <c r="C11545" t="s">
        <v>126</v>
      </c>
      <c r="D11545" s="1" t="str">
        <f t="shared" si="316"/>
        <v>PRG-1036747</v>
      </c>
      <c r="E11545" t="s">
        <v>186</v>
      </c>
      <c r="F11545" t="s">
        <v>4</v>
      </c>
      <c r="G11545" t="str">
        <f>""</f>
        <v/>
      </c>
    </row>
    <row r="11546" spans="1:7" x14ac:dyDescent="0.25">
      <c r="A11546" t="s">
        <v>8</v>
      </c>
      <c r="B11546" s="1" t="str">
        <f>"000255866 - RICH FDS NCBB-MAIN ARAMARK"</f>
        <v>000255866 - RICH FDS NCBB-MAIN ARAMARK</v>
      </c>
      <c r="C11546" t="s">
        <v>185</v>
      </c>
      <c r="D11546" s="1" t="str">
        <f t="shared" si="316"/>
        <v>PRG-1036747</v>
      </c>
      <c r="E11546" t="s">
        <v>186</v>
      </c>
      <c r="F11546" t="s">
        <v>4</v>
      </c>
      <c r="G11546" t="str">
        <f>""</f>
        <v/>
      </c>
    </row>
    <row r="11547" spans="1:7" x14ac:dyDescent="0.25">
      <c r="A11547" t="s">
        <v>8</v>
      </c>
      <c r="B11547" s="1" t="str">
        <f>"000255867 - RICH FDS CBB-MAIN ARAMARK"</f>
        <v>000255867 - RICH FDS CBB-MAIN ARAMARK</v>
      </c>
      <c r="C11547" t="s">
        <v>187</v>
      </c>
      <c r="D11547" s="1" t="str">
        <f t="shared" si="316"/>
        <v>PRG-1036747</v>
      </c>
      <c r="E11547" t="s">
        <v>186</v>
      </c>
      <c r="F11547" t="s">
        <v>4</v>
      </c>
      <c r="G11547" t="str">
        <f>""</f>
        <v/>
      </c>
    </row>
    <row r="11548" spans="1:7" x14ac:dyDescent="0.25">
      <c r="A11548" t="s">
        <v>8</v>
      </c>
      <c r="B11548" s="1" t="str">
        <f>"000257384 - RICH FOODS-MAIN ARAMARK"</f>
        <v>000257384 - RICH FOODS-MAIN ARAMARK</v>
      </c>
      <c r="C11548" t="s">
        <v>126</v>
      </c>
      <c r="D11548" s="1" t="str">
        <f t="shared" si="316"/>
        <v>PRG-1036747</v>
      </c>
      <c r="E11548" t="s">
        <v>186</v>
      </c>
      <c r="F11548" t="s">
        <v>4</v>
      </c>
      <c r="G11548" t="str">
        <f>""</f>
        <v/>
      </c>
    </row>
    <row r="11549" spans="1:7" x14ac:dyDescent="0.25">
      <c r="A11549" t="s">
        <v>8</v>
      </c>
      <c r="B11549" s="1" t="str">
        <f>"000258684 - RICH FDS NCBB-MAIN ARAMARK"</f>
        <v>000258684 - RICH FDS NCBB-MAIN ARAMARK</v>
      </c>
      <c r="C11549" t="s">
        <v>185</v>
      </c>
      <c r="D11549" s="1" t="str">
        <f t="shared" si="316"/>
        <v>PRG-1036747</v>
      </c>
      <c r="E11549" t="s">
        <v>186</v>
      </c>
      <c r="F11549" t="s">
        <v>4</v>
      </c>
      <c r="G11549" t="str">
        <f>""</f>
        <v/>
      </c>
    </row>
    <row r="11550" spans="1:7" x14ac:dyDescent="0.25">
      <c r="A11550" t="s">
        <v>8</v>
      </c>
      <c r="B11550" s="1" t="str">
        <f>"000258685 - RICH FDS CBB-MAIN ARAMARK"</f>
        <v>000258685 - RICH FDS CBB-MAIN ARAMARK</v>
      </c>
      <c r="C11550" t="s">
        <v>187</v>
      </c>
      <c r="D11550" s="1" t="str">
        <f t="shared" si="316"/>
        <v>PRG-1036747</v>
      </c>
      <c r="E11550" t="s">
        <v>186</v>
      </c>
      <c r="F11550" t="s">
        <v>4</v>
      </c>
      <c r="G11550" t="str">
        <f>""</f>
        <v/>
      </c>
    </row>
    <row r="11551" spans="1:7" x14ac:dyDescent="0.25">
      <c r="A11551" t="s">
        <v>8</v>
      </c>
      <c r="B11551" s="1" t="str">
        <f>"000260124 - RICH FOODS-MAIN ARAMARK"</f>
        <v>000260124 - RICH FOODS-MAIN ARAMARK</v>
      </c>
      <c r="C11551" t="s">
        <v>126</v>
      </c>
      <c r="D11551" s="1" t="str">
        <f t="shared" si="316"/>
        <v>PRG-1036747</v>
      </c>
      <c r="E11551" t="s">
        <v>186</v>
      </c>
      <c r="F11551" t="s">
        <v>4</v>
      </c>
      <c r="G11551" t="str">
        <f>""</f>
        <v/>
      </c>
    </row>
    <row r="11552" spans="1:7" x14ac:dyDescent="0.25">
      <c r="A11552" t="s">
        <v>8</v>
      </c>
      <c r="B11552" s="1" t="str">
        <f>"000260790 - RICH FOODS-MAIN ARAMARK"</f>
        <v>000260790 - RICH FOODS-MAIN ARAMARK</v>
      </c>
      <c r="C11552" t="s">
        <v>126</v>
      </c>
      <c r="D11552" s="1" t="str">
        <f t="shared" si="316"/>
        <v>PRG-1036747</v>
      </c>
      <c r="E11552" t="s">
        <v>186</v>
      </c>
      <c r="F11552" t="s">
        <v>4</v>
      </c>
      <c r="G11552" t="str">
        <f>""</f>
        <v/>
      </c>
    </row>
    <row r="11553" spans="1:7" x14ac:dyDescent="0.25">
      <c r="A11553" t="s">
        <v>8</v>
      </c>
      <c r="B11553" s="1" t="str">
        <f>"000262347 - RICH FDS NCBB-MAIN ARAMARK"</f>
        <v>000262347 - RICH FDS NCBB-MAIN ARAMARK</v>
      </c>
      <c r="C11553" t="s">
        <v>185</v>
      </c>
      <c r="D11553" s="1" t="str">
        <f t="shared" si="316"/>
        <v>PRG-1036747</v>
      </c>
      <c r="E11553" t="s">
        <v>186</v>
      </c>
      <c r="F11553" t="s">
        <v>4</v>
      </c>
      <c r="G11553" t="str">
        <f>""</f>
        <v/>
      </c>
    </row>
    <row r="11554" spans="1:7" x14ac:dyDescent="0.25">
      <c r="A11554" t="s">
        <v>8</v>
      </c>
      <c r="B11554" s="1" t="str">
        <f>"000262348 - RICH FDS CBB-MAIN ARAMARK"</f>
        <v>000262348 - RICH FDS CBB-MAIN ARAMARK</v>
      </c>
      <c r="C11554" t="s">
        <v>187</v>
      </c>
      <c r="D11554" s="1" t="str">
        <f t="shared" si="316"/>
        <v>PRG-1036747</v>
      </c>
      <c r="E11554" t="s">
        <v>186</v>
      </c>
      <c r="F11554" t="s">
        <v>4</v>
      </c>
      <c r="G11554" t="str">
        <f>""</f>
        <v/>
      </c>
    </row>
    <row r="11555" spans="1:7" x14ac:dyDescent="0.25">
      <c r="A11555" t="s">
        <v>8</v>
      </c>
      <c r="B11555" s="1" t="str">
        <f>"000263576 - RICH FOODS-MAIN ARAMARK"</f>
        <v>000263576 - RICH FOODS-MAIN ARAMARK</v>
      </c>
      <c r="C11555" t="s">
        <v>126</v>
      </c>
      <c r="D11555" s="1" t="str">
        <f t="shared" si="316"/>
        <v>PRG-1036747</v>
      </c>
      <c r="E11555" t="s">
        <v>186</v>
      </c>
      <c r="F11555" t="s">
        <v>4</v>
      </c>
      <c r="G11555" t="str">
        <f>""</f>
        <v/>
      </c>
    </row>
    <row r="11556" spans="1:7" x14ac:dyDescent="0.25">
      <c r="A11556" t="s">
        <v>8</v>
      </c>
      <c r="B11556" s="1" t="str">
        <f>"000264549 - RICH FOODS-MAIN ARAMARK"</f>
        <v>000264549 - RICH FOODS-MAIN ARAMARK</v>
      </c>
      <c r="C11556" t="s">
        <v>126</v>
      </c>
      <c r="D11556" s="1" t="str">
        <f t="shared" si="316"/>
        <v>PRG-1036747</v>
      </c>
      <c r="E11556" t="s">
        <v>186</v>
      </c>
      <c r="F11556" t="s">
        <v>4</v>
      </c>
      <c r="G11556" t="str">
        <f>""</f>
        <v/>
      </c>
    </row>
    <row r="11557" spans="1:7" x14ac:dyDescent="0.25">
      <c r="A11557" t="s">
        <v>8</v>
      </c>
      <c r="B11557" s="1" t="str">
        <f>"000266288 - RICH FOODS-MAIN ARAMARK"</f>
        <v>000266288 - RICH FOODS-MAIN ARAMARK</v>
      </c>
      <c r="C11557" t="s">
        <v>126</v>
      </c>
      <c r="D11557" s="1" t="str">
        <f t="shared" si="316"/>
        <v>PRG-1036747</v>
      </c>
      <c r="E11557" t="s">
        <v>186</v>
      </c>
      <c r="F11557" t="s">
        <v>4</v>
      </c>
      <c r="G11557" t="str">
        <f>""</f>
        <v/>
      </c>
    </row>
    <row r="11558" spans="1:7" x14ac:dyDescent="0.25">
      <c r="A11558" t="s">
        <v>8</v>
      </c>
      <c r="B11558" s="1" t="str">
        <f>"000270443 - "</f>
        <v xml:space="preserve">000270443 - </v>
      </c>
      <c r="D11558" s="1" t="str">
        <f t="shared" si="316"/>
        <v>PRG-1036747</v>
      </c>
      <c r="E11558" t="s">
        <v>186</v>
      </c>
      <c r="F11558" t="s">
        <v>4</v>
      </c>
      <c r="G11558" t="str">
        <f>""</f>
        <v/>
      </c>
    </row>
    <row r="11559" spans="1:7" x14ac:dyDescent="0.25">
      <c r="A11559" t="s">
        <v>8</v>
      </c>
      <c r="B11559" s="1" t="str">
        <f>"000270444 - "</f>
        <v xml:space="preserve">000270444 - </v>
      </c>
      <c r="D11559" s="1" t="str">
        <f t="shared" si="316"/>
        <v>PRG-1036747</v>
      </c>
      <c r="E11559" t="s">
        <v>186</v>
      </c>
      <c r="F11559" t="s">
        <v>4</v>
      </c>
      <c r="G11559" t="str">
        <f>""</f>
        <v/>
      </c>
    </row>
    <row r="11560" spans="1:7" x14ac:dyDescent="0.25">
      <c r="A11560" t="s">
        <v>8</v>
      </c>
      <c r="B11560" s="1" t="str">
        <f>"000270920 - RICH FDS NCBB-MAIN ARAMARK"</f>
        <v>000270920 - RICH FDS NCBB-MAIN ARAMARK</v>
      </c>
      <c r="C11560" t="s">
        <v>185</v>
      </c>
      <c r="D11560" s="1" t="str">
        <f t="shared" si="316"/>
        <v>PRG-1036747</v>
      </c>
      <c r="E11560" t="s">
        <v>186</v>
      </c>
      <c r="F11560" t="s">
        <v>4</v>
      </c>
      <c r="G11560" t="str">
        <f>""</f>
        <v/>
      </c>
    </row>
    <row r="11561" spans="1:7" x14ac:dyDescent="0.25">
      <c r="A11561" t="s">
        <v>8</v>
      </c>
      <c r="B11561" s="1" t="str">
        <f>"000270921 - RICH FDS CBB-MAIN ARAMARK"</f>
        <v>000270921 - RICH FDS CBB-MAIN ARAMARK</v>
      </c>
      <c r="C11561" t="s">
        <v>187</v>
      </c>
      <c r="D11561" s="1" t="str">
        <f t="shared" si="316"/>
        <v>PRG-1036747</v>
      </c>
      <c r="E11561" t="s">
        <v>186</v>
      </c>
      <c r="F11561" t="s">
        <v>4</v>
      </c>
      <c r="G11561" t="str">
        <f>""</f>
        <v/>
      </c>
    </row>
    <row r="11562" spans="1:7" x14ac:dyDescent="0.25">
      <c r="A11562" t="s">
        <v>8</v>
      </c>
      <c r="B11562" s="1" t="str">
        <f>"000270955 - RICH FOODS BAPA-SSS ARAMARK"</f>
        <v>000270955 - RICH FOODS BAPA-SSS ARAMARK</v>
      </c>
      <c r="C11562" t="s">
        <v>373</v>
      </c>
      <c r="D11562" s="1" t="str">
        <f t="shared" si="316"/>
        <v>PRG-1036747</v>
      </c>
      <c r="E11562" t="s">
        <v>186</v>
      </c>
      <c r="F11562" t="s">
        <v>4</v>
      </c>
      <c r="G11562" t="str">
        <f>""</f>
        <v/>
      </c>
    </row>
    <row r="11563" spans="1:7" x14ac:dyDescent="0.25">
      <c r="A11563" t="s">
        <v>8</v>
      </c>
      <c r="B11563" s="1" t="str">
        <f>"000272172 - RICH FOODS-MAIN ARAMARK"</f>
        <v>000272172 - RICH FOODS-MAIN ARAMARK</v>
      </c>
      <c r="C11563" t="s">
        <v>126</v>
      </c>
      <c r="D11563" s="1" t="str">
        <f t="shared" si="316"/>
        <v>PRG-1036747</v>
      </c>
      <c r="E11563" t="s">
        <v>186</v>
      </c>
      <c r="F11563" t="s">
        <v>4</v>
      </c>
      <c r="G11563" t="str">
        <f>""</f>
        <v/>
      </c>
    </row>
    <row r="11564" spans="1:7" x14ac:dyDescent="0.25">
      <c r="A11564" t="s">
        <v>8</v>
      </c>
      <c r="B11564" s="1" t="str">
        <f>"000274163 - RICH FDS NCBB-MAIN ARAMARK"</f>
        <v>000274163 - RICH FDS NCBB-MAIN ARAMARK</v>
      </c>
      <c r="C11564" t="s">
        <v>185</v>
      </c>
      <c r="D11564" s="1" t="str">
        <f t="shared" si="316"/>
        <v>PRG-1036747</v>
      </c>
      <c r="E11564" t="s">
        <v>186</v>
      </c>
      <c r="F11564" t="s">
        <v>4</v>
      </c>
      <c r="G11564" t="str">
        <f>""</f>
        <v/>
      </c>
    </row>
    <row r="11565" spans="1:7" x14ac:dyDescent="0.25">
      <c r="A11565" t="s">
        <v>8</v>
      </c>
      <c r="B11565" s="1" t="str">
        <f>"000274164 - RICH FDS CBB-MAIN ARAMARK"</f>
        <v>000274164 - RICH FDS CBB-MAIN ARAMARK</v>
      </c>
      <c r="C11565" t="s">
        <v>187</v>
      </c>
      <c r="D11565" s="1" t="str">
        <f t="shared" ref="D11565:D11596" si="317">"PRG-1036747"</f>
        <v>PRG-1036747</v>
      </c>
      <c r="E11565" t="s">
        <v>186</v>
      </c>
      <c r="F11565" t="s">
        <v>4</v>
      </c>
      <c r="G11565" t="str">
        <f>""</f>
        <v/>
      </c>
    </row>
    <row r="11566" spans="1:7" x14ac:dyDescent="0.25">
      <c r="A11566" t="s">
        <v>8</v>
      </c>
      <c r="B11566" s="1" t="str">
        <f>"000275579 - RICH FDS NCBB-MAIN ARAMARK"</f>
        <v>000275579 - RICH FDS NCBB-MAIN ARAMARK</v>
      </c>
      <c r="C11566" t="s">
        <v>185</v>
      </c>
      <c r="D11566" s="1" t="str">
        <f t="shared" si="317"/>
        <v>PRG-1036747</v>
      </c>
      <c r="E11566" t="s">
        <v>186</v>
      </c>
      <c r="F11566" t="s">
        <v>4</v>
      </c>
      <c r="G11566" t="str">
        <f>""</f>
        <v/>
      </c>
    </row>
    <row r="11567" spans="1:7" x14ac:dyDescent="0.25">
      <c r="A11567" t="s">
        <v>8</v>
      </c>
      <c r="B11567" s="1" t="str">
        <f>"000275580 - RICH FDS CBB-MAIN ARAMARK"</f>
        <v>000275580 - RICH FDS CBB-MAIN ARAMARK</v>
      </c>
      <c r="C11567" t="s">
        <v>187</v>
      </c>
      <c r="D11567" s="1" t="str">
        <f t="shared" si="317"/>
        <v>PRG-1036747</v>
      </c>
      <c r="E11567" t="s">
        <v>186</v>
      </c>
      <c r="F11567" t="s">
        <v>4</v>
      </c>
      <c r="G11567" t="str">
        <f>""</f>
        <v/>
      </c>
    </row>
    <row r="11568" spans="1:7" x14ac:dyDescent="0.25">
      <c r="A11568" t="s">
        <v>8</v>
      </c>
      <c r="B11568" s="1" t="str">
        <f>"000275891 - RICH FOODS-MAIN ARAMARK"</f>
        <v>000275891 - RICH FOODS-MAIN ARAMARK</v>
      </c>
      <c r="C11568" t="s">
        <v>126</v>
      </c>
      <c r="D11568" s="1" t="str">
        <f t="shared" si="317"/>
        <v>PRG-1036747</v>
      </c>
      <c r="E11568" t="s">
        <v>186</v>
      </c>
      <c r="F11568" t="s">
        <v>4</v>
      </c>
      <c r="G11568" t="str">
        <f>""</f>
        <v/>
      </c>
    </row>
    <row r="11569" spans="1:7" x14ac:dyDescent="0.25">
      <c r="A11569" t="s">
        <v>8</v>
      </c>
      <c r="B11569" s="1" t="str">
        <f>"000276875 - RICH FOODS-MAIN ARAMARK"</f>
        <v>000276875 - RICH FOODS-MAIN ARAMARK</v>
      </c>
      <c r="C11569" t="s">
        <v>126</v>
      </c>
      <c r="D11569" s="1" t="str">
        <f t="shared" si="317"/>
        <v>PRG-1036747</v>
      </c>
      <c r="E11569" t="s">
        <v>186</v>
      </c>
      <c r="F11569" t="s">
        <v>4</v>
      </c>
      <c r="G11569" t="str">
        <f>""</f>
        <v/>
      </c>
    </row>
    <row r="11570" spans="1:7" x14ac:dyDescent="0.25">
      <c r="A11570" t="s">
        <v>8</v>
      </c>
      <c r="B11570" s="1" t="str">
        <f>"000277096 - RICH FDS NCBB-MAIN ARAMARK"</f>
        <v>000277096 - RICH FDS NCBB-MAIN ARAMARK</v>
      </c>
      <c r="C11570" t="s">
        <v>185</v>
      </c>
      <c r="D11570" s="1" t="str">
        <f t="shared" si="317"/>
        <v>PRG-1036747</v>
      </c>
      <c r="E11570" t="s">
        <v>186</v>
      </c>
      <c r="F11570" t="s">
        <v>4</v>
      </c>
      <c r="G11570" t="str">
        <f>""</f>
        <v/>
      </c>
    </row>
    <row r="11571" spans="1:7" x14ac:dyDescent="0.25">
      <c r="A11571" t="s">
        <v>8</v>
      </c>
      <c r="B11571" s="1" t="str">
        <f>"000277097 - RICH FDS CBB-MAIN ARAMARK"</f>
        <v>000277097 - RICH FDS CBB-MAIN ARAMARK</v>
      </c>
      <c r="C11571" t="s">
        <v>187</v>
      </c>
      <c r="D11571" s="1" t="str">
        <f t="shared" si="317"/>
        <v>PRG-1036747</v>
      </c>
      <c r="E11571" t="s">
        <v>186</v>
      </c>
      <c r="F11571" t="s">
        <v>4</v>
      </c>
      <c r="G11571" t="str">
        <f>""</f>
        <v/>
      </c>
    </row>
    <row r="11572" spans="1:7" x14ac:dyDescent="0.25">
      <c r="A11572" t="s">
        <v>8</v>
      </c>
      <c r="B11572" s="1" t="str">
        <f>"000277575 - RICH FDS CBB-MAIN ARAMARK"</f>
        <v>000277575 - RICH FDS CBB-MAIN ARAMARK</v>
      </c>
      <c r="C11572" t="s">
        <v>187</v>
      </c>
      <c r="D11572" s="1" t="str">
        <f t="shared" si="317"/>
        <v>PRG-1036747</v>
      </c>
      <c r="E11572" t="s">
        <v>186</v>
      </c>
      <c r="F11572" t="s">
        <v>4</v>
      </c>
      <c r="G11572" t="str">
        <f>""</f>
        <v/>
      </c>
    </row>
    <row r="11573" spans="1:7" x14ac:dyDescent="0.25">
      <c r="A11573" t="s">
        <v>8</v>
      </c>
      <c r="B11573" s="1" t="str">
        <f>"000277611 - RICH FOODS-MAIN ARAMARK"</f>
        <v>000277611 - RICH FOODS-MAIN ARAMARK</v>
      </c>
      <c r="C11573" t="s">
        <v>126</v>
      </c>
      <c r="D11573" s="1" t="str">
        <f t="shared" si="317"/>
        <v>PRG-1036747</v>
      </c>
      <c r="E11573" t="s">
        <v>186</v>
      </c>
      <c r="F11573" t="s">
        <v>4</v>
      </c>
      <c r="G11573" t="str">
        <f>""</f>
        <v/>
      </c>
    </row>
    <row r="11574" spans="1:7" x14ac:dyDescent="0.25">
      <c r="A11574" t="s">
        <v>8</v>
      </c>
      <c r="B11574" s="1" t="str">
        <f>"000278867 - "</f>
        <v xml:space="preserve">000278867 - </v>
      </c>
      <c r="D11574" s="1" t="str">
        <f t="shared" si="317"/>
        <v>PRG-1036747</v>
      </c>
      <c r="E11574" t="s">
        <v>186</v>
      </c>
      <c r="F11574" t="s">
        <v>4</v>
      </c>
      <c r="G11574" t="str">
        <f>""</f>
        <v/>
      </c>
    </row>
    <row r="11575" spans="1:7" x14ac:dyDescent="0.25">
      <c r="A11575" t="s">
        <v>8</v>
      </c>
      <c r="B11575" s="1" t="str">
        <f>"000278947 - RICH FDS NCBB-MAIN ARAMARK"</f>
        <v>000278947 - RICH FDS NCBB-MAIN ARAMARK</v>
      </c>
      <c r="C11575" t="s">
        <v>185</v>
      </c>
      <c r="D11575" s="1" t="str">
        <f t="shared" si="317"/>
        <v>PRG-1036747</v>
      </c>
      <c r="E11575" t="s">
        <v>186</v>
      </c>
      <c r="F11575" t="s">
        <v>4</v>
      </c>
      <c r="G11575" t="str">
        <f>""</f>
        <v/>
      </c>
    </row>
    <row r="11576" spans="1:7" x14ac:dyDescent="0.25">
      <c r="A11576" t="s">
        <v>8</v>
      </c>
      <c r="B11576" s="1" t="str">
        <f>"000278948 - RICH FDS CBB-MAIN ARAMARK"</f>
        <v>000278948 - RICH FDS CBB-MAIN ARAMARK</v>
      </c>
      <c r="C11576" t="s">
        <v>187</v>
      </c>
      <c r="D11576" s="1" t="str">
        <f t="shared" si="317"/>
        <v>PRG-1036747</v>
      </c>
      <c r="E11576" t="s">
        <v>186</v>
      </c>
      <c r="F11576" t="s">
        <v>4</v>
      </c>
      <c r="G11576" t="str">
        <f>""</f>
        <v/>
      </c>
    </row>
    <row r="11577" spans="1:7" x14ac:dyDescent="0.25">
      <c r="A11577" t="s">
        <v>8</v>
      </c>
      <c r="B11577" s="1" t="str">
        <f>"000278951 - RICH FDS NCBB-SSS ARAMARK"</f>
        <v>000278951 - RICH FDS NCBB-SSS ARAMARK</v>
      </c>
      <c r="C11577" t="s">
        <v>300</v>
      </c>
      <c r="D11577" s="1" t="str">
        <f t="shared" si="317"/>
        <v>PRG-1036747</v>
      </c>
      <c r="E11577" t="s">
        <v>186</v>
      </c>
      <c r="F11577" t="s">
        <v>4</v>
      </c>
      <c r="G11577" t="str">
        <f>""</f>
        <v/>
      </c>
    </row>
    <row r="11578" spans="1:7" x14ac:dyDescent="0.25">
      <c r="A11578" t="s">
        <v>8</v>
      </c>
      <c r="B11578" s="1" t="str">
        <f>"000279140 - RICH FOODS-MAIN ARAMARK"</f>
        <v>000279140 - RICH FOODS-MAIN ARAMARK</v>
      </c>
      <c r="C11578" t="s">
        <v>126</v>
      </c>
      <c r="D11578" s="1" t="str">
        <f t="shared" si="317"/>
        <v>PRG-1036747</v>
      </c>
      <c r="E11578" t="s">
        <v>186</v>
      </c>
      <c r="F11578" t="s">
        <v>4</v>
      </c>
      <c r="G11578" t="str">
        <f>""</f>
        <v/>
      </c>
    </row>
    <row r="11579" spans="1:7" x14ac:dyDescent="0.25">
      <c r="A11579" t="s">
        <v>8</v>
      </c>
      <c r="B11579" s="1" t="str">
        <f>"000279286 - RICH FDS NCBB-MAIN ARAMARK"</f>
        <v>000279286 - RICH FDS NCBB-MAIN ARAMARK</v>
      </c>
      <c r="C11579" t="s">
        <v>185</v>
      </c>
      <c r="D11579" s="1" t="str">
        <f t="shared" si="317"/>
        <v>PRG-1036747</v>
      </c>
      <c r="E11579" t="s">
        <v>186</v>
      </c>
      <c r="F11579" t="s">
        <v>4</v>
      </c>
      <c r="G11579" t="str">
        <f>""</f>
        <v/>
      </c>
    </row>
    <row r="11580" spans="1:7" x14ac:dyDescent="0.25">
      <c r="A11580" t="s">
        <v>8</v>
      </c>
      <c r="B11580" s="1" t="str">
        <f>"000279287 - RICH FDS CBB-MAIN ARAMARK"</f>
        <v>000279287 - RICH FDS CBB-MAIN ARAMARK</v>
      </c>
      <c r="C11580" t="s">
        <v>187</v>
      </c>
      <c r="D11580" s="1" t="str">
        <f t="shared" si="317"/>
        <v>PRG-1036747</v>
      </c>
      <c r="E11580" t="s">
        <v>186</v>
      </c>
      <c r="F11580" t="s">
        <v>4</v>
      </c>
      <c r="G11580" t="str">
        <f>""</f>
        <v/>
      </c>
    </row>
    <row r="11581" spans="1:7" x14ac:dyDescent="0.25">
      <c r="A11581" t="s">
        <v>8</v>
      </c>
      <c r="B11581" s="1" t="str">
        <f>"000280152 - RICH FOODS-MAIN ARAMARK"</f>
        <v>000280152 - RICH FOODS-MAIN ARAMARK</v>
      </c>
      <c r="C11581" t="s">
        <v>126</v>
      </c>
      <c r="D11581" s="1" t="str">
        <f t="shared" si="317"/>
        <v>PRG-1036747</v>
      </c>
      <c r="E11581" t="s">
        <v>186</v>
      </c>
      <c r="F11581" t="s">
        <v>4</v>
      </c>
      <c r="G11581" t="str">
        <f>""</f>
        <v/>
      </c>
    </row>
    <row r="11582" spans="1:7" x14ac:dyDescent="0.25">
      <c r="A11582" t="s">
        <v>8</v>
      </c>
      <c r="B11582" s="1" t="str">
        <f>"000280899 - RICH FOODS-MAIN ARAMARK"</f>
        <v>000280899 - RICH FOODS-MAIN ARAMARK</v>
      </c>
      <c r="C11582" t="s">
        <v>126</v>
      </c>
      <c r="D11582" s="1" t="str">
        <f t="shared" si="317"/>
        <v>PRG-1036747</v>
      </c>
      <c r="E11582" t="s">
        <v>186</v>
      </c>
      <c r="F11582" t="s">
        <v>4</v>
      </c>
      <c r="G11582" t="str">
        <f>""</f>
        <v/>
      </c>
    </row>
    <row r="11583" spans="1:7" x14ac:dyDescent="0.25">
      <c r="A11583" t="s">
        <v>8</v>
      </c>
      <c r="B11583" s="1" t="str">
        <f>"000280931 - RICH FDS NCBB-MAIN ARAMARK"</f>
        <v>000280931 - RICH FDS NCBB-MAIN ARAMARK</v>
      </c>
      <c r="C11583" t="s">
        <v>185</v>
      </c>
      <c r="D11583" s="1" t="str">
        <f t="shared" si="317"/>
        <v>PRG-1036747</v>
      </c>
      <c r="E11583" t="s">
        <v>186</v>
      </c>
      <c r="F11583" t="s">
        <v>4</v>
      </c>
      <c r="G11583" t="str">
        <f>""</f>
        <v/>
      </c>
    </row>
    <row r="11584" spans="1:7" x14ac:dyDescent="0.25">
      <c r="A11584" t="s">
        <v>8</v>
      </c>
      <c r="B11584" s="1" t="str">
        <f>"000280932 - RICH FDS CBB-MAIN ARAMARK"</f>
        <v>000280932 - RICH FDS CBB-MAIN ARAMARK</v>
      </c>
      <c r="C11584" t="s">
        <v>187</v>
      </c>
      <c r="D11584" s="1" t="str">
        <f t="shared" si="317"/>
        <v>PRG-1036747</v>
      </c>
      <c r="E11584" t="s">
        <v>186</v>
      </c>
      <c r="F11584" t="s">
        <v>4</v>
      </c>
      <c r="G11584" t="str">
        <f>""</f>
        <v/>
      </c>
    </row>
    <row r="11585" spans="1:7" x14ac:dyDescent="0.25">
      <c r="A11585" t="s">
        <v>8</v>
      </c>
      <c r="B11585" s="1" t="str">
        <f>"000281347 - RICH FDS NCBB-MAIN ARAMARK"</f>
        <v>000281347 - RICH FDS NCBB-MAIN ARAMARK</v>
      </c>
      <c r="C11585" t="s">
        <v>185</v>
      </c>
      <c r="D11585" s="1" t="str">
        <f t="shared" si="317"/>
        <v>PRG-1036747</v>
      </c>
      <c r="E11585" t="s">
        <v>186</v>
      </c>
      <c r="F11585" t="s">
        <v>4</v>
      </c>
      <c r="G11585" t="str">
        <f>""</f>
        <v/>
      </c>
    </row>
    <row r="11586" spans="1:7" x14ac:dyDescent="0.25">
      <c r="A11586" t="s">
        <v>8</v>
      </c>
      <c r="B11586" s="1" t="str">
        <f>"000281348 - RICH FDS CBB-MAIN ARAMARK"</f>
        <v>000281348 - RICH FDS CBB-MAIN ARAMARK</v>
      </c>
      <c r="C11586" t="s">
        <v>187</v>
      </c>
      <c r="D11586" s="1" t="str">
        <f t="shared" si="317"/>
        <v>PRG-1036747</v>
      </c>
      <c r="E11586" t="s">
        <v>186</v>
      </c>
      <c r="F11586" t="s">
        <v>4</v>
      </c>
      <c r="G11586" t="str">
        <f>""</f>
        <v/>
      </c>
    </row>
    <row r="11587" spans="1:7" x14ac:dyDescent="0.25">
      <c r="A11587" t="s">
        <v>8</v>
      </c>
      <c r="B11587" s="1" t="str">
        <f>"000282341 - RICH FOODS-MAIN ARAMARK"</f>
        <v>000282341 - RICH FOODS-MAIN ARAMARK</v>
      </c>
      <c r="C11587" t="s">
        <v>126</v>
      </c>
      <c r="D11587" s="1" t="str">
        <f t="shared" si="317"/>
        <v>PRG-1036747</v>
      </c>
      <c r="E11587" t="s">
        <v>186</v>
      </c>
      <c r="F11587" t="s">
        <v>4</v>
      </c>
      <c r="G11587" t="str">
        <f>""</f>
        <v/>
      </c>
    </row>
    <row r="11588" spans="1:7" x14ac:dyDescent="0.25">
      <c r="A11588" t="s">
        <v>8</v>
      </c>
      <c r="B11588" s="1" t="str">
        <f>"000282620 - RICH FOODS-MAIN ARAMARK"</f>
        <v>000282620 - RICH FOODS-MAIN ARAMARK</v>
      </c>
      <c r="C11588" t="s">
        <v>126</v>
      </c>
      <c r="D11588" s="1" t="str">
        <f t="shared" si="317"/>
        <v>PRG-1036747</v>
      </c>
      <c r="E11588" t="s">
        <v>186</v>
      </c>
      <c r="F11588" t="s">
        <v>4</v>
      </c>
      <c r="G11588" t="str">
        <f>""</f>
        <v/>
      </c>
    </row>
    <row r="11589" spans="1:7" x14ac:dyDescent="0.25">
      <c r="A11589" t="s">
        <v>8</v>
      </c>
      <c r="B11589" s="1" t="str">
        <f>"000282771 - RICH FOODS-SSS ARAMARK"</f>
        <v>000282771 - RICH FOODS-SSS ARAMARK</v>
      </c>
      <c r="C11589" t="s">
        <v>128</v>
      </c>
      <c r="D11589" s="1" t="str">
        <f t="shared" si="317"/>
        <v>PRG-1036747</v>
      </c>
      <c r="E11589" t="s">
        <v>186</v>
      </c>
      <c r="F11589" t="s">
        <v>4</v>
      </c>
      <c r="G11589" t="str">
        <f>""</f>
        <v/>
      </c>
    </row>
    <row r="11590" spans="1:7" x14ac:dyDescent="0.25">
      <c r="A11590" t="s">
        <v>8</v>
      </c>
      <c r="B11590" s="1" t="str">
        <f>"000282776 - RICH FOODS-MAIN ARAMARK"</f>
        <v>000282776 - RICH FOODS-MAIN ARAMARK</v>
      </c>
      <c r="C11590" t="s">
        <v>126</v>
      </c>
      <c r="D11590" s="1" t="str">
        <f t="shared" si="317"/>
        <v>PRG-1036747</v>
      </c>
      <c r="E11590" t="s">
        <v>186</v>
      </c>
      <c r="F11590" t="s">
        <v>4</v>
      </c>
      <c r="G11590" t="str">
        <f>""</f>
        <v/>
      </c>
    </row>
    <row r="11591" spans="1:7" x14ac:dyDescent="0.25">
      <c r="A11591" t="s">
        <v>8</v>
      </c>
      <c r="B11591" s="1" t="str">
        <f>"000283183 - RICH FDS NCBB-MAIN ARAMARK"</f>
        <v>000283183 - RICH FDS NCBB-MAIN ARAMARK</v>
      </c>
      <c r="C11591" t="s">
        <v>185</v>
      </c>
      <c r="D11591" s="1" t="str">
        <f t="shared" si="317"/>
        <v>PRG-1036747</v>
      </c>
      <c r="E11591" t="s">
        <v>186</v>
      </c>
      <c r="F11591" t="s">
        <v>4</v>
      </c>
      <c r="G11591" t="str">
        <f>""</f>
        <v/>
      </c>
    </row>
    <row r="11592" spans="1:7" x14ac:dyDescent="0.25">
      <c r="A11592" t="s">
        <v>8</v>
      </c>
      <c r="B11592" s="1" t="str">
        <f>"000283184 - RICH FDS CBB-MAIN ARAMARK"</f>
        <v>000283184 - RICH FDS CBB-MAIN ARAMARK</v>
      </c>
      <c r="C11592" t="s">
        <v>187</v>
      </c>
      <c r="D11592" s="1" t="str">
        <f t="shared" si="317"/>
        <v>PRG-1036747</v>
      </c>
      <c r="E11592" t="s">
        <v>186</v>
      </c>
      <c r="F11592" t="s">
        <v>4</v>
      </c>
      <c r="G11592" t="str">
        <f>""</f>
        <v/>
      </c>
    </row>
    <row r="11593" spans="1:7" x14ac:dyDescent="0.25">
      <c r="A11593" t="s">
        <v>8</v>
      </c>
      <c r="B11593" s="1" t="str">
        <f>"000283686 - RICH FOODS-MAIN ARAMARK"</f>
        <v>000283686 - RICH FOODS-MAIN ARAMARK</v>
      </c>
      <c r="C11593" t="s">
        <v>126</v>
      </c>
      <c r="D11593" s="1" t="str">
        <f t="shared" si="317"/>
        <v>PRG-1036747</v>
      </c>
      <c r="E11593" t="s">
        <v>186</v>
      </c>
      <c r="F11593" t="s">
        <v>4</v>
      </c>
      <c r="G11593" t="str">
        <f>""</f>
        <v/>
      </c>
    </row>
    <row r="11594" spans="1:7" x14ac:dyDescent="0.25">
      <c r="A11594" t="s">
        <v>8</v>
      </c>
      <c r="B11594" s="1" t="str">
        <f>"000284489 - RICH FOODS-MAIN ARAMARK"</f>
        <v>000284489 - RICH FOODS-MAIN ARAMARK</v>
      </c>
      <c r="C11594" t="s">
        <v>126</v>
      </c>
      <c r="D11594" s="1" t="str">
        <f t="shared" si="317"/>
        <v>PRG-1036747</v>
      </c>
      <c r="E11594" t="s">
        <v>186</v>
      </c>
      <c r="F11594" t="s">
        <v>4</v>
      </c>
      <c r="G11594" t="str">
        <f>""</f>
        <v/>
      </c>
    </row>
    <row r="11595" spans="1:7" x14ac:dyDescent="0.25">
      <c r="A11595" t="s">
        <v>8</v>
      </c>
      <c r="B11595" s="1" t="str">
        <f>"000285357 - RICH FDS NCBB-MAIN ARAMARK"</f>
        <v>000285357 - RICH FDS NCBB-MAIN ARAMARK</v>
      </c>
      <c r="C11595" t="s">
        <v>185</v>
      </c>
      <c r="D11595" s="1" t="str">
        <f t="shared" si="317"/>
        <v>PRG-1036747</v>
      </c>
      <c r="E11595" t="s">
        <v>186</v>
      </c>
      <c r="F11595" t="s">
        <v>4</v>
      </c>
      <c r="G11595" t="str">
        <f>""</f>
        <v/>
      </c>
    </row>
    <row r="11596" spans="1:7" x14ac:dyDescent="0.25">
      <c r="A11596" t="s">
        <v>8</v>
      </c>
      <c r="B11596" s="1" t="str">
        <f>"000285358 - RICH FDS CBB-MAIN ARAMARK"</f>
        <v>000285358 - RICH FDS CBB-MAIN ARAMARK</v>
      </c>
      <c r="C11596" t="s">
        <v>187</v>
      </c>
      <c r="D11596" s="1" t="str">
        <f t="shared" si="317"/>
        <v>PRG-1036747</v>
      </c>
      <c r="E11596" t="s">
        <v>186</v>
      </c>
      <c r="F11596" t="s">
        <v>4</v>
      </c>
      <c r="G11596" t="str">
        <f>""</f>
        <v/>
      </c>
    </row>
    <row r="11597" spans="1:7" x14ac:dyDescent="0.25">
      <c r="A11597" t="s">
        <v>8</v>
      </c>
      <c r="B11597" s="1" t="str">
        <f>"000288609 - RICH FOODS-MAIN ARAMARK"</f>
        <v>000288609 - RICH FOODS-MAIN ARAMARK</v>
      </c>
      <c r="C11597" t="s">
        <v>126</v>
      </c>
      <c r="D11597" s="1" t="str">
        <f t="shared" ref="D11597:D11628" si="318">"PRG-1036747"</f>
        <v>PRG-1036747</v>
      </c>
      <c r="E11597" t="s">
        <v>186</v>
      </c>
      <c r="F11597" t="s">
        <v>4</v>
      </c>
      <c r="G11597" t="str">
        <f>""</f>
        <v/>
      </c>
    </row>
    <row r="11598" spans="1:7" x14ac:dyDescent="0.25">
      <c r="A11598" t="s">
        <v>8</v>
      </c>
      <c r="B11598" s="1" t="str">
        <f>"000288706 - RICH FOODS-MAIN ARAMARK"</f>
        <v>000288706 - RICH FOODS-MAIN ARAMARK</v>
      </c>
      <c r="C11598" t="s">
        <v>126</v>
      </c>
      <c r="D11598" s="1" t="str">
        <f t="shared" si="318"/>
        <v>PRG-1036747</v>
      </c>
      <c r="E11598" t="s">
        <v>186</v>
      </c>
      <c r="F11598" t="s">
        <v>4</v>
      </c>
      <c r="G11598" t="str">
        <f>""</f>
        <v/>
      </c>
    </row>
    <row r="11599" spans="1:7" x14ac:dyDescent="0.25">
      <c r="A11599" t="s">
        <v>8</v>
      </c>
      <c r="B11599" s="1" t="str">
        <f>"000291300 - RICH FOODS-MAIN ARAMARK"</f>
        <v>000291300 - RICH FOODS-MAIN ARAMARK</v>
      </c>
      <c r="C11599" t="s">
        <v>126</v>
      </c>
      <c r="D11599" s="1" t="str">
        <f t="shared" si="318"/>
        <v>PRG-1036747</v>
      </c>
      <c r="E11599" t="s">
        <v>186</v>
      </c>
      <c r="F11599" t="s">
        <v>4</v>
      </c>
      <c r="G11599" t="str">
        <f>""</f>
        <v/>
      </c>
    </row>
    <row r="11600" spans="1:7" x14ac:dyDescent="0.25">
      <c r="A11600" t="s">
        <v>8</v>
      </c>
      <c r="B11600" s="1" t="str">
        <f>"000297398 - "</f>
        <v xml:space="preserve">000297398 - </v>
      </c>
      <c r="D11600" s="1" t="str">
        <f t="shared" si="318"/>
        <v>PRG-1036747</v>
      </c>
      <c r="E11600" t="s">
        <v>186</v>
      </c>
      <c r="F11600" t="s">
        <v>4</v>
      </c>
      <c r="G11600" t="str">
        <f>""</f>
        <v/>
      </c>
    </row>
    <row r="11601" spans="1:7" x14ac:dyDescent="0.25">
      <c r="A11601" t="s">
        <v>8</v>
      </c>
      <c r="B11601" s="1" t="str">
        <f>"000306578 - RICH FDS NCBB-MAIN ARAMARK"</f>
        <v>000306578 - RICH FDS NCBB-MAIN ARAMARK</v>
      </c>
      <c r="C11601" t="s">
        <v>185</v>
      </c>
      <c r="D11601" s="1" t="str">
        <f t="shared" si="318"/>
        <v>PRG-1036747</v>
      </c>
      <c r="E11601" t="s">
        <v>186</v>
      </c>
      <c r="F11601" t="s">
        <v>4</v>
      </c>
      <c r="G11601" t="str">
        <f>""</f>
        <v/>
      </c>
    </row>
    <row r="11602" spans="1:7" x14ac:dyDescent="0.25">
      <c r="A11602" t="s">
        <v>8</v>
      </c>
      <c r="B11602" s="1" t="str">
        <f>"000306579 - RICH FDS CBB-MAIN ARAMARK"</f>
        <v>000306579 - RICH FDS CBB-MAIN ARAMARK</v>
      </c>
      <c r="C11602" t="s">
        <v>187</v>
      </c>
      <c r="D11602" s="1" t="str">
        <f t="shared" si="318"/>
        <v>PRG-1036747</v>
      </c>
      <c r="E11602" t="s">
        <v>186</v>
      </c>
      <c r="F11602" t="s">
        <v>4</v>
      </c>
      <c r="G11602" t="str">
        <f>""</f>
        <v/>
      </c>
    </row>
    <row r="11603" spans="1:7" x14ac:dyDescent="0.25">
      <c r="A11603" t="s">
        <v>8</v>
      </c>
      <c r="B11603" s="1" t="str">
        <f>"000308326 - RICH FOODS-MAIN ARAMARK"</f>
        <v>000308326 - RICH FOODS-MAIN ARAMARK</v>
      </c>
      <c r="C11603" t="s">
        <v>126</v>
      </c>
      <c r="D11603" s="1" t="str">
        <f t="shared" si="318"/>
        <v>PRG-1036747</v>
      </c>
      <c r="E11603" t="s">
        <v>186</v>
      </c>
      <c r="F11603" t="s">
        <v>4</v>
      </c>
      <c r="G11603" t="str">
        <f>""</f>
        <v/>
      </c>
    </row>
    <row r="11604" spans="1:7" x14ac:dyDescent="0.25">
      <c r="A11604" t="s">
        <v>8</v>
      </c>
      <c r="B11604" s="1" t="str">
        <f>"000310154 - RICH FDS NCBB-MAIN ARAMARK"</f>
        <v>000310154 - RICH FDS NCBB-MAIN ARAMARK</v>
      </c>
      <c r="C11604" t="s">
        <v>185</v>
      </c>
      <c r="D11604" s="1" t="str">
        <f t="shared" si="318"/>
        <v>PRG-1036747</v>
      </c>
      <c r="E11604" t="s">
        <v>186</v>
      </c>
      <c r="F11604" t="s">
        <v>4</v>
      </c>
      <c r="G11604" t="str">
        <f>""</f>
        <v/>
      </c>
    </row>
    <row r="11605" spans="1:7" x14ac:dyDescent="0.25">
      <c r="A11605" t="s">
        <v>8</v>
      </c>
      <c r="B11605" s="1" t="str">
        <f>"000310155 - RICH FDS CBB-MAIN ARAMARK"</f>
        <v>000310155 - RICH FDS CBB-MAIN ARAMARK</v>
      </c>
      <c r="C11605" t="s">
        <v>187</v>
      </c>
      <c r="D11605" s="1" t="str">
        <f t="shared" si="318"/>
        <v>PRG-1036747</v>
      </c>
      <c r="E11605" t="s">
        <v>186</v>
      </c>
      <c r="F11605" t="s">
        <v>4</v>
      </c>
      <c r="G11605" t="str">
        <f>""</f>
        <v/>
      </c>
    </row>
    <row r="11606" spans="1:7" x14ac:dyDescent="0.25">
      <c r="A11606" t="s">
        <v>8</v>
      </c>
      <c r="B11606" s="1" t="str">
        <f>"000310157 - RICH FDS NCBB-SSS ARAMARK"</f>
        <v>000310157 - RICH FDS NCBB-SSS ARAMARK</v>
      </c>
      <c r="C11606" t="s">
        <v>300</v>
      </c>
      <c r="D11606" s="1" t="str">
        <f t="shared" si="318"/>
        <v>PRG-1036747</v>
      </c>
      <c r="E11606" t="s">
        <v>186</v>
      </c>
      <c r="F11606" t="s">
        <v>4</v>
      </c>
      <c r="G11606" t="str">
        <f>""</f>
        <v/>
      </c>
    </row>
    <row r="11607" spans="1:7" x14ac:dyDescent="0.25">
      <c r="A11607" t="s">
        <v>8</v>
      </c>
      <c r="B11607" s="1" t="str">
        <f>"000310158 - RICH FDS CBB-SSS ARAMARK"</f>
        <v>000310158 - RICH FDS CBB-SSS ARAMARK</v>
      </c>
      <c r="C11607" t="s">
        <v>301</v>
      </c>
      <c r="D11607" s="1" t="str">
        <f t="shared" si="318"/>
        <v>PRG-1036747</v>
      </c>
      <c r="E11607" t="s">
        <v>186</v>
      </c>
      <c r="F11607" t="s">
        <v>4</v>
      </c>
      <c r="G11607" t="str">
        <f>""</f>
        <v/>
      </c>
    </row>
    <row r="11608" spans="1:7" x14ac:dyDescent="0.25">
      <c r="A11608" t="s">
        <v>8</v>
      </c>
      <c r="B11608" s="1" t="str">
        <f>"000311738 - RICH FOODS-SSS ARAMARK"</f>
        <v>000311738 - RICH FOODS-SSS ARAMARK</v>
      </c>
      <c r="C11608" t="s">
        <v>128</v>
      </c>
      <c r="D11608" s="1" t="str">
        <f t="shared" si="318"/>
        <v>PRG-1036747</v>
      </c>
      <c r="E11608" t="s">
        <v>186</v>
      </c>
      <c r="F11608" t="s">
        <v>4</v>
      </c>
      <c r="G11608" t="str">
        <f>""</f>
        <v/>
      </c>
    </row>
    <row r="11609" spans="1:7" x14ac:dyDescent="0.25">
      <c r="A11609" t="s">
        <v>8</v>
      </c>
      <c r="B11609" s="1" t="str">
        <f>"000311742 - RICH FOODS-MAIN ARAMARK"</f>
        <v>000311742 - RICH FOODS-MAIN ARAMARK</v>
      </c>
      <c r="C11609" t="s">
        <v>126</v>
      </c>
      <c r="D11609" s="1" t="str">
        <f t="shared" si="318"/>
        <v>PRG-1036747</v>
      </c>
      <c r="E11609" t="s">
        <v>186</v>
      </c>
      <c r="F11609" t="s">
        <v>4</v>
      </c>
      <c r="G11609" t="str">
        <f>""</f>
        <v/>
      </c>
    </row>
    <row r="11610" spans="1:7" x14ac:dyDescent="0.25">
      <c r="A11610" t="s">
        <v>8</v>
      </c>
      <c r="B11610" s="1" t="str">
        <f>"000316981 - RICH FDS NCBB-MAIN ARAMARK"</f>
        <v>000316981 - RICH FDS NCBB-MAIN ARAMARK</v>
      </c>
      <c r="C11610" t="s">
        <v>185</v>
      </c>
      <c r="D11610" s="1" t="str">
        <f t="shared" si="318"/>
        <v>PRG-1036747</v>
      </c>
      <c r="E11610" t="s">
        <v>186</v>
      </c>
      <c r="F11610" t="s">
        <v>4</v>
      </c>
      <c r="G11610" t="str">
        <f>""</f>
        <v/>
      </c>
    </row>
    <row r="11611" spans="1:7" x14ac:dyDescent="0.25">
      <c r="A11611" t="s">
        <v>8</v>
      </c>
      <c r="B11611" s="1" t="str">
        <f>"000316982 - RICH FDS CBB-MAIN ARAMARK"</f>
        <v>000316982 - RICH FDS CBB-MAIN ARAMARK</v>
      </c>
      <c r="C11611" t="s">
        <v>187</v>
      </c>
      <c r="D11611" s="1" t="str">
        <f t="shared" si="318"/>
        <v>PRG-1036747</v>
      </c>
      <c r="E11611" t="s">
        <v>186</v>
      </c>
      <c r="F11611" t="s">
        <v>4</v>
      </c>
      <c r="G11611" t="str">
        <f>""</f>
        <v/>
      </c>
    </row>
    <row r="11612" spans="1:7" x14ac:dyDescent="0.25">
      <c r="A11612" t="s">
        <v>8</v>
      </c>
      <c r="B11612" s="1" t="str">
        <f>"000318335 - RICH FDS NCBB-MAIN ARAMARK"</f>
        <v>000318335 - RICH FDS NCBB-MAIN ARAMARK</v>
      </c>
      <c r="C11612" t="s">
        <v>185</v>
      </c>
      <c r="D11612" s="1" t="str">
        <f t="shared" si="318"/>
        <v>PRG-1036747</v>
      </c>
      <c r="E11612" t="s">
        <v>186</v>
      </c>
      <c r="F11612" t="s">
        <v>4</v>
      </c>
      <c r="G11612" t="str">
        <f>""</f>
        <v/>
      </c>
    </row>
    <row r="11613" spans="1:7" x14ac:dyDescent="0.25">
      <c r="A11613" t="s">
        <v>8</v>
      </c>
      <c r="B11613" s="1" t="str">
        <f>"000318336 - RICH FDS CBB-MAIN ARAMARK"</f>
        <v>000318336 - RICH FDS CBB-MAIN ARAMARK</v>
      </c>
      <c r="C11613" t="s">
        <v>187</v>
      </c>
      <c r="D11613" s="1" t="str">
        <f t="shared" si="318"/>
        <v>PRG-1036747</v>
      </c>
      <c r="E11613" t="s">
        <v>186</v>
      </c>
      <c r="F11613" t="s">
        <v>4</v>
      </c>
      <c r="G11613" t="str">
        <f>""</f>
        <v/>
      </c>
    </row>
    <row r="11614" spans="1:7" x14ac:dyDescent="0.25">
      <c r="A11614" t="s">
        <v>8</v>
      </c>
      <c r="B11614" s="1" t="str">
        <f>"000318338 - RICH PRODUCTS FORSYTH CO."</f>
        <v>000318338 - RICH PRODUCTS FORSYTH CO.</v>
      </c>
      <c r="C11614" t="s">
        <v>3215</v>
      </c>
      <c r="D11614" s="1" t="str">
        <f t="shared" si="318"/>
        <v>PRG-1036747</v>
      </c>
      <c r="E11614" t="s">
        <v>186</v>
      </c>
      <c r="F11614" t="s">
        <v>4</v>
      </c>
      <c r="G11614" t="str">
        <f>""</f>
        <v/>
      </c>
    </row>
    <row r="11615" spans="1:7" x14ac:dyDescent="0.25">
      <c r="A11615" t="s">
        <v>8</v>
      </c>
      <c r="B11615" s="1" t="str">
        <f>"000318339 - RICH FDS CBB-SSS ARAMARK"</f>
        <v>000318339 - RICH FDS CBB-SSS ARAMARK</v>
      </c>
      <c r="C11615" t="s">
        <v>301</v>
      </c>
      <c r="D11615" s="1" t="str">
        <f t="shared" si="318"/>
        <v>PRG-1036747</v>
      </c>
      <c r="E11615" t="s">
        <v>186</v>
      </c>
      <c r="F11615" t="s">
        <v>4</v>
      </c>
      <c r="G11615" t="str">
        <f>""</f>
        <v/>
      </c>
    </row>
    <row r="11616" spans="1:7" x14ac:dyDescent="0.25">
      <c r="A11616" t="s">
        <v>8</v>
      </c>
      <c r="B11616" s="1" t="str">
        <f>"000319603 - RICH FOODS-MAIN ARAMARK"</f>
        <v>000319603 - RICH FOODS-MAIN ARAMARK</v>
      </c>
      <c r="C11616" t="s">
        <v>126</v>
      </c>
      <c r="D11616" s="1" t="str">
        <f t="shared" si="318"/>
        <v>PRG-1036747</v>
      </c>
      <c r="E11616" t="s">
        <v>186</v>
      </c>
      <c r="F11616" t="s">
        <v>4</v>
      </c>
      <c r="G11616" t="str">
        <f>""</f>
        <v/>
      </c>
    </row>
    <row r="11617" spans="1:7" x14ac:dyDescent="0.25">
      <c r="A11617" t="s">
        <v>8</v>
      </c>
      <c r="B11617" s="1" t="str">
        <f>"000326258 - "</f>
        <v xml:space="preserve">000326258 - </v>
      </c>
      <c r="D11617" s="1" t="str">
        <f t="shared" si="318"/>
        <v>PRG-1036747</v>
      </c>
      <c r="E11617" t="s">
        <v>186</v>
      </c>
      <c r="F11617" t="s">
        <v>4</v>
      </c>
      <c r="G11617" t="str">
        <f>""</f>
        <v/>
      </c>
    </row>
    <row r="11618" spans="1:7" x14ac:dyDescent="0.25">
      <c r="A11618" t="s">
        <v>8</v>
      </c>
      <c r="B11618" s="1" t="str">
        <f>"000326259 - "</f>
        <v xml:space="preserve">000326259 - </v>
      </c>
      <c r="D11618" s="1" t="str">
        <f t="shared" si="318"/>
        <v>PRG-1036747</v>
      </c>
      <c r="E11618" t="s">
        <v>186</v>
      </c>
      <c r="F11618" t="s">
        <v>4</v>
      </c>
      <c r="G11618" t="str">
        <f>""</f>
        <v/>
      </c>
    </row>
    <row r="11619" spans="1:7" x14ac:dyDescent="0.25">
      <c r="A11619" t="s">
        <v>8</v>
      </c>
      <c r="B11619" s="1" t="str">
        <f>"000332508 - RICH FDS NCBB-MAIN ARAMARK"</f>
        <v>000332508 - RICH FDS NCBB-MAIN ARAMARK</v>
      </c>
      <c r="C11619" t="s">
        <v>185</v>
      </c>
      <c r="D11619" s="1" t="str">
        <f t="shared" si="318"/>
        <v>PRG-1036747</v>
      </c>
      <c r="E11619" t="s">
        <v>186</v>
      </c>
      <c r="F11619" t="s">
        <v>4</v>
      </c>
      <c r="G11619" t="str">
        <f>""</f>
        <v/>
      </c>
    </row>
    <row r="11620" spans="1:7" x14ac:dyDescent="0.25">
      <c r="A11620" t="s">
        <v>8</v>
      </c>
      <c r="B11620" s="1" t="str">
        <f>"000332509 - RICH FDS CBB-MAIN ARAMARK"</f>
        <v>000332509 - RICH FDS CBB-MAIN ARAMARK</v>
      </c>
      <c r="C11620" t="s">
        <v>187</v>
      </c>
      <c r="D11620" s="1" t="str">
        <f t="shared" si="318"/>
        <v>PRG-1036747</v>
      </c>
      <c r="E11620" t="s">
        <v>186</v>
      </c>
      <c r="F11620" t="s">
        <v>4</v>
      </c>
      <c r="G11620" t="str">
        <f>""</f>
        <v/>
      </c>
    </row>
    <row r="11621" spans="1:7" x14ac:dyDescent="0.25">
      <c r="A11621" t="s">
        <v>8</v>
      </c>
      <c r="B11621" s="1" t="str">
        <f>"000338101 - RICH FDS NCBB-MAIN ARAMARK"</f>
        <v>000338101 - RICH FDS NCBB-MAIN ARAMARK</v>
      </c>
      <c r="C11621" t="s">
        <v>185</v>
      </c>
      <c r="D11621" s="1" t="str">
        <f t="shared" si="318"/>
        <v>PRG-1036747</v>
      </c>
      <c r="E11621" t="s">
        <v>186</v>
      </c>
      <c r="F11621" t="s">
        <v>4</v>
      </c>
      <c r="G11621" t="str">
        <f>""</f>
        <v/>
      </c>
    </row>
    <row r="11622" spans="1:7" x14ac:dyDescent="0.25">
      <c r="A11622" t="s">
        <v>8</v>
      </c>
      <c r="B11622" s="1" t="str">
        <f>"000338102 - RICH FDS CBB-MAIN ARAMARK"</f>
        <v>000338102 - RICH FDS CBB-MAIN ARAMARK</v>
      </c>
      <c r="C11622" t="s">
        <v>187</v>
      </c>
      <c r="D11622" s="1" t="str">
        <f t="shared" si="318"/>
        <v>PRG-1036747</v>
      </c>
      <c r="E11622" t="s">
        <v>186</v>
      </c>
      <c r="F11622" t="s">
        <v>4</v>
      </c>
      <c r="G11622" t="str">
        <f>""</f>
        <v/>
      </c>
    </row>
    <row r="11623" spans="1:7" x14ac:dyDescent="0.25">
      <c r="A11623" t="s">
        <v>8</v>
      </c>
      <c r="B11623" s="1" t="str">
        <f>"000338104 - RICH FDS NCBB-SSS ARAMARK"</f>
        <v>000338104 - RICH FDS NCBB-SSS ARAMARK</v>
      </c>
      <c r="C11623" t="s">
        <v>300</v>
      </c>
      <c r="D11623" s="1" t="str">
        <f t="shared" si="318"/>
        <v>PRG-1036747</v>
      </c>
      <c r="E11623" t="s">
        <v>186</v>
      </c>
      <c r="F11623" t="s">
        <v>4</v>
      </c>
      <c r="G11623" t="str">
        <f>""</f>
        <v/>
      </c>
    </row>
    <row r="11624" spans="1:7" x14ac:dyDescent="0.25">
      <c r="A11624" t="s">
        <v>8</v>
      </c>
      <c r="B11624" s="1" t="str">
        <f>"000338105 - RICH FDS CBB-SSS ARAMARK"</f>
        <v>000338105 - RICH FDS CBB-SSS ARAMARK</v>
      </c>
      <c r="C11624" t="s">
        <v>301</v>
      </c>
      <c r="D11624" s="1" t="str">
        <f t="shared" si="318"/>
        <v>PRG-1036747</v>
      </c>
      <c r="E11624" t="s">
        <v>186</v>
      </c>
      <c r="F11624" t="s">
        <v>4</v>
      </c>
      <c r="G11624" t="str">
        <f>""</f>
        <v/>
      </c>
    </row>
    <row r="11625" spans="1:7" x14ac:dyDescent="0.25">
      <c r="A11625" t="s">
        <v>8</v>
      </c>
      <c r="B11625" s="1" t="str">
        <f>"000339999 - RICH FOODS-MAIN ARAMARK"</f>
        <v>000339999 - RICH FOODS-MAIN ARAMARK</v>
      </c>
      <c r="C11625" t="s">
        <v>126</v>
      </c>
      <c r="D11625" s="1" t="str">
        <f t="shared" si="318"/>
        <v>PRG-1036747</v>
      </c>
      <c r="E11625" t="s">
        <v>186</v>
      </c>
      <c r="F11625" t="s">
        <v>4</v>
      </c>
      <c r="G11625" t="str">
        <f>""</f>
        <v/>
      </c>
    </row>
    <row r="11626" spans="1:7" x14ac:dyDescent="0.25">
      <c r="A11626" t="s">
        <v>8</v>
      </c>
      <c r="B11626" s="1" t="str">
        <f>"000344039 - RICH FDS NCBB-MAIN ARAMARK"</f>
        <v>000344039 - RICH FDS NCBB-MAIN ARAMARK</v>
      </c>
      <c r="C11626" t="s">
        <v>185</v>
      </c>
      <c r="D11626" s="1" t="str">
        <f t="shared" si="318"/>
        <v>PRG-1036747</v>
      </c>
      <c r="E11626" t="s">
        <v>186</v>
      </c>
      <c r="F11626" t="s">
        <v>4</v>
      </c>
      <c r="G11626" t="str">
        <f>""</f>
        <v/>
      </c>
    </row>
    <row r="11627" spans="1:7" x14ac:dyDescent="0.25">
      <c r="A11627" t="s">
        <v>8</v>
      </c>
      <c r="B11627" s="1" t="str">
        <f>"000344040 - RICH FDS CBB-MAIN ARAMARK"</f>
        <v>000344040 - RICH FDS CBB-MAIN ARAMARK</v>
      </c>
      <c r="C11627" t="s">
        <v>187</v>
      </c>
      <c r="D11627" s="1" t="str">
        <f t="shared" si="318"/>
        <v>PRG-1036747</v>
      </c>
      <c r="E11627" t="s">
        <v>186</v>
      </c>
      <c r="F11627" t="s">
        <v>4</v>
      </c>
      <c r="G11627" t="str">
        <f>""</f>
        <v/>
      </c>
    </row>
    <row r="11628" spans="1:7" x14ac:dyDescent="0.25">
      <c r="A11628" t="s">
        <v>8</v>
      </c>
      <c r="B11628" s="1" t="str">
        <f>"000346138 - RICH FOODS-MAIN ARAMARK"</f>
        <v>000346138 - RICH FOODS-MAIN ARAMARK</v>
      </c>
      <c r="C11628" t="s">
        <v>126</v>
      </c>
      <c r="D11628" s="1" t="str">
        <f t="shared" si="318"/>
        <v>PRG-1036747</v>
      </c>
      <c r="E11628" t="s">
        <v>186</v>
      </c>
      <c r="F11628" t="s">
        <v>4</v>
      </c>
      <c r="G11628" t="str">
        <f>""</f>
        <v/>
      </c>
    </row>
    <row r="11629" spans="1:7" x14ac:dyDescent="0.25">
      <c r="A11629" t="s">
        <v>8</v>
      </c>
      <c r="B11629" s="1" t="str">
        <f>"000347284 - "</f>
        <v xml:space="preserve">000347284 - </v>
      </c>
      <c r="D11629" s="1" t="str">
        <f t="shared" ref="D11629:D11649" si="319">"PRG-1036747"</f>
        <v>PRG-1036747</v>
      </c>
      <c r="E11629" t="s">
        <v>186</v>
      </c>
      <c r="F11629" t="s">
        <v>4</v>
      </c>
      <c r="G11629" t="str">
        <f>""</f>
        <v/>
      </c>
    </row>
    <row r="11630" spans="1:7" x14ac:dyDescent="0.25">
      <c r="A11630" t="s">
        <v>8</v>
      </c>
      <c r="B11630" s="1" t="str">
        <f>"000347285 - "</f>
        <v xml:space="preserve">000347285 - </v>
      </c>
      <c r="D11630" s="1" t="str">
        <f t="shared" si="319"/>
        <v>PRG-1036747</v>
      </c>
      <c r="E11630" t="s">
        <v>186</v>
      </c>
      <c r="F11630" t="s">
        <v>4</v>
      </c>
      <c r="G11630" t="str">
        <f>""</f>
        <v/>
      </c>
    </row>
    <row r="11631" spans="1:7" x14ac:dyDescent="0.25">
      <c r="A11631" t="s">
        <v>8</v>
      </c>
      <c r="B11631" s="1" t="str">
        <f>"000347557 - RICH FDS NCBB-MAIN ARAMARK"</f>
        <v>000347557 - RICH FDS NCBB-MAIN ARAMARK</v>
      </c>
      <c r="C11631" t="s">
        <v>185</v>
      </c>
      <c r="D11631" s="1" t="str">
        <f t="shared" si="319"/>
        <v>PRG-1036747</v>
      </c>
      <c r="E11631" t="s">
        <v>186</v>
      </c>
      <c r="F11631" t="s">
        <v>4</v>
      </c>
      <c r="G11631" t="str">
        <f>""</f>
        <v/>
      </c>
    </row>
    <row r="11632" spans="1:7" x14ac:dyDescent="0.25">
      <c r="A11632" t="s">
        <v>8</v>
      </c>
      <c r="B11632" s="1" t="str">
        <f>"000347558 - RICH FDS CBB-MAIN ARAMARK"</f>
        <v>000347558 - RICH FDS CBB-MAIN ARAMARK</v>
      </c>
      <c r="C11632" t="s">
        <v>187</v>
      </c>
      <c r="D11632" s="1" t="str">
        <f t="shared" si="319"/>
        <v>PRG-1036747</v>
      </c>
      <c r="E11632" t="s">
        <v>186</v>
      </c>
      <c r="F11632" t="s">
        <v>4</v>
      </c>
      <c r="G11632" t="str">
        <f>""</f>
        <v/>
      </c>
    </row>
    <row r="11633" spans="1:7" x14ac:dyDescent="0.25">
      <c r="A11633" t="s">
        <v>8</v>
      </c>
      <c r="B11633" s="1" t="str">
        <f>"000348654 - RICH FOODS-MAIN ARAMARK"</f>
        <v>000348654 - RICH FOODS-MAIN ARAMARK</v>
      </c>
      <c r="C11633" t="s">
        <v>126</v>
      </c>
      <c r="D11633" s="1" t="str">
        <f t="shared" si="319"/>
        <v>PRG-1036747</v>
      </c>
      <c r="E11633" t="s">
        <v>186</v>
      </c>
      <c r="F11633" t="s">
        <v>4</v>
      </c>
      <c r="G11633" t="str">
        <f>""</f>
        <v/>
      </c>
    </row>
    <row r="11634" spans="1:7" x14ac:dyDescent="0.25">
      <c r="A11634" t="s">
        <v>8</v>
      </c>
      <c r="B11634" s="1" t="str">
        <f>"000349274 - RICH FOODS-MAIN ARAMARK"</f>
        <v>000349274 - RICH FOODS-MAIN ARAMARK</v>
      </c>
      <c r="C11634" t="s">
        <v>126</v>
      </c>
      <c r="D11634" s="1" t="str">
        <f t="shared" si="319"/>
        <v>PRG-1036747</v>
      </c>
      <c r="E11634" t="s">
        <v>186</v>
      </c>
      <c r="F11634" t="s">
        <v>4</v>
      </c>
      <c r="G11634" t="str">
        <f>""</f>
        <v/>
      </c>
    </row>
    <row r="11635" spans="1:7" x14ac:dyDescent="0.25">
      <c r="A11635" t="s">
        <v>8</v>
      </c>
      <c r="B11635" s="1" t="str">
        <f>"000353057 - "</f>
        <v xml:space="preserve">000353057 - </v>
      </c>
      <c r="D11635" s="1" t="str">
        <f t="shared" si="319"/>
        <v>PRG-1036747</v>
      </c>
      <c r="E11635" t="s">
        <v>186</v>
      </c>
      <c r="F11635" t="s">
        <v>4</v>
      </c>
      <c r="G11635" t="str">
        <f>""</f>
        <v/>
      </c>
    </row>
    <row r="11636" spans="1:7" x14ac:dyDescent="0.25">
      <c r="A11636" t="s">
        <v>8</v>
      </c>
      <c r="B11636" s="1" t="str">
        <f>"000353058 - "</f>
        <v xml:space="preserve">000353058 - </v>
      </c>
      <c r="D11636" s="1" t="str">
        <f t="shared" si="319"/>
        <v>PRG-1036747</v>
      </c>
      <c r="E11636" t="s">
        <v>186</v>
      </c>
      <c r="F11636" t="s">
        <v>4</v>
      </c>
      <c r="G11636" t="str">
        <f>""</f>
        <v/>
      </c>
    </row>
    <row r="11637" spans="1:7" x14ac:dyDescent="0.25">
      <c r="A11637" t="s">
        <v>8</v>
      </c>
      <c r="B11637" s="1" t="str">
        <f>"000356599 - RICH FOODS-MAIN ARAMARK"</f>
        <v>000356599 - RICH FOODS-MAIN ARAMARK</v>
      </c>
      <c r="C11637" t="s">
        <v>126</v>
      </c>
      <c r="D11637" s="1" t="str">
        <f t="shared" si="319"/>
        <v>PRG-1036747</v>
      </c>
      <c r="E11637" t="s">
        <v>186</v>
      </c>
      <c r="F11637" t="s">
        <v>4</v>
      </c>
      <c r="G11637" t="str">
        <f>""</f>
        <v/>
      </c>
    </row>
    <row r="11638" spans="1:7" x14ac:dyDescent="0.25">
      <c r="A11638" t="s">
        <v>8</v>
      </c>
      <c r="B11638" s="1" t="str">
        <f>"000357667 - "</f>
        <v xml:space="preserve">000357667 - </v>
      </c>
      <c r="D11638" s="1" t="str">
        <f t="shared" si="319"/>
        <v>PRG-1036747</v>
      </c>
      <c r="E11638" t="s">
        <v>186</v>
      </c>
      <c r="F11638" t="s">
        <v>4</v>
      </c>
      <c r="G11638" t="str">
        <f>""</f>
        <v/>
      </c>
    </row>
    <row r="11639" spans="1:7" x14ac:dyDescent="0.25">
      <c r="A11639" t="s">
        <v>8</v>
      </c>
      <c r="B11639" s="1" t="str">
        <f>"000357668 - "</f>
        <v xml:space="preserve">000357668 - </v>
      </c>
      <c r="D11639" s="1" t="str">
        <f t="shared" si="319"/>
        <v>PRG-1036747</v>
      </c>
      <c r="E11639" t="s">
        <v>186</v>
      </c>
      <c r="F11639" t="s">
        <v>4</v>
      </c>
      <c r="G11639" t="str">
        <f>""</f>
        <v/>
      </c>
    </row>
    <row r="11640" spans="1:7" x14ac:dyDescent="0.25">
      <c r="A11640" t="s">
        <v>8</v>
      </c>
      <c r="B11640" s="1" t="str">
        <f>"000359785 - "</f>
        <v xml:space="preserve">000359785 - </v>
      </c>
      <c r="D11640" s="1" t="str">
        <f t="shared" si="319"/>
        <v>PRG-1036747</v>
      </c>
      <c r="E11640" t="s">
        <v>186</v>
      </c>
      <c r="F11640" t="s">
        <v>4</v>
      </c>
      <c r="G11640" t="str">
        <f>""</f>
        <v/>
      </c>
    </row>
    <row r="11641" spans="1:7" x14ac:dyDescent="0.25">
      <c r="A11641" t="s">
        <v>8</v>
      </c>
      <c r="B11641" s="1" t="str">
        <f>"000361643 - RICH FDS NCBB-MAIN ARAMARK"</f>
        <v>000361643 - RICH FDS NCBB-MAIN ARAMARK</v>
      </c>
      <c r="C11641" t="s">
        <v>185</v>
      </c>
      <c r="D11641" s="1" t="str">
        <f t="shared" si="319"/>
        <v>PRG-1036747</v>
      </c>
      <c r="E11641" t="s">
        <v>186</v>
      </c>
      <c r="F11641" t="s">
        <v>4</v>
      </c>
      <c r="G11641" t="str">
        <f>""</f>
        <v/>
      </c>
    </row>
    <row r="11642" spans="1:7" x14ac:dyDescent="0.25">
      <c r="A11642" t="s">
        <v>8</v>
      </c>
      <c r="B11642" s="1" t="str">
        <f>"000361644 - RICH FDS CBB-MAIN ARAMARK"</f>
        <v>000361644 - RICH FDS CBB-MAIN ARAMARK</v>
      </c>
      <c r="C11642" t="s">
        <v>187</v>
      </c>
      <c r="D11642" s="1" t="str">
        <f t="shared" si="319"/>
        <v>PRG-1036747</v>
      </c>
      <c r="E11642" t="s">
        <v>186</v>
      </c>
      <c r="F11642" t="s">
        <v>4</v>
      </c>
      <c r="G11642" t="str">
        <f>""</f>
        <v/>
      </c>
    </row>
    <row r="11643" spans="1:7" x14ac:dyDescent="0.25">
      <c r="A11643" t="s">
        <v>8</v>
      </c>
      <c r="B11643" s="1" t="str">
        <f>"000363649 - RICH FOODS-MAIN ARAMARK"</f>
        <v>000363649 - RICH FOODS-MAIN ARAMARK</v>
      </c>
      <c r="C11643" t="s">
        <v>126</v>
      </c>
      <c r="D11643" s="1" t="str">
        <f t="shared" si="319"/>
        <v>PRG-1036747</v>
      </c>
      <c r="E11643" t="s">
        <v>186</v>
      </c>
      <c r="F11643" t="s">
        <v>4</v>
      </c>
      <c r="G11643" t="str">
        <f>""</f>
        <v/>
      </c>
    </row>
    <row r="11644" spans="1:7" x14ac:dyDescent="0.25">
      <c r="A11644" t="s">
        <v>8</v>
      </c>
      <c r="B11644" s="1" t="str">
        <f>"000372378 - RICH FOODS-MAIN ARAMARK"</f>
        <v>000372378 - RICH FOODS-MAIN ARAMARK</v>
      </c>
      <c r="C11644" t="s">
        <v>126</v>
      </c>
      <c r="D11644" s="1" t="str">
        <f t="shared" si="319"/>
        <v>PRG-1036747</v>
      </c>
      <c r="E11644" t="s">
        <v>186</v>
      </c>
      <c r="F11644" t="s">
        <v>4</v>
      </c>
      <c r="G11644" t="str">
        <f>""</f>
        <v/>
      </c>
    </row>
    <row r="11645" spans="1:7" x14ac:dyDescent="0.25">
      <c r="A11645" t="s">
        <v>8</v>
      </c>
      <c r="B11645" s="1" t="str">
        <f>"000374549 - RICH FDS CBB-MAIN ARAMARK"</f>
        <v>000374549 - RICH FDS CBB-MAIN ARAMARK</v>
      </c>
      <c r="C11645" t="s">
        <v>187</v>
      </c>
      <c r="D11645" s="1" t="str">
        <f t="shared" si="319"/>
        <v>PRG-1036747</v>
      </c>
      <c r="E11645" t="s">
        <v>186</v>
      </c>
      <c r="F11645" t="s">
        <v>4</v>
      </c>
      <c r="G11645" t="str">
        <f>""</f>
        <v/>
      </c>
    </row>
    <row r="11646" spans="1:7" x14ac:dyDescent="0.25">
      <c r="A11646" t="s">
        <v>8</v>
      </c>
      <c r="B11646" s="1" t="str">
        <f>"000376274 - RICH FOODS-MAIN ARAMARK"</f>
        <v>000376274 - RICH FOODS-MAIN ARAMARK</v>
      </c>
      <c r="C11646" t="s">
        <v>126</v>
      </c>
      <c r="D11646" s="1" t="str">
        <f t="shared" si="319"/>
        <v>PRG-1036747</v>
      </c>
      <c r="E11646" t="s">
        <v>186</v>
      </c>
      <c r="F11646" t="s">
        <v>4</v>
      </c>
      <c r="G11646" t="str">
        <f>""</f>
        <v/>
      </c>
    </row>
    <row r="11647" spans="1:7" x14ac:dyDescent="0.25">
      <c r="A11647" t="s">
        <v>8</v>
      </c>
      <c r="B11647" s="1" t="str">
        <f>"000384538 - RICH FOODS-MAIN ARAMARK"</f>
        <v>000384538 - RICH FOODS-MAIN ARAMARK</v>
      </c>
      <c r="C11647" t="s">
        <v>126</v>
      </c>
      <c r="D11647" s="1" t="str">
        <f t="shared" si="319"/>
        <v>PRG-1036747</v>
      </c>
      <c r="E11647" t="s">
        <v>186</v>
      </c>
      <c r="F11647" t="s">
        <v>4</v>
      </c>
      <c r="G11647" t="str">
        <f>""</f>
        <v/>
      </c>
    </row>
    <row r="11648" spans="1:7" x14ac:dyDescent="0.25">
      <c r="A11648" t="s">
        <v>8</v>
      </c>
      <c r="B11648" s="1" t="str">
        <f>"2000422283 - RICH FOODS VARIETY MAIN-ARAMARK"</f>
        <v>2000422283 - RICH FOODS VARIETY MAIN-ARAMARK</v>
      </c>
      <c r="C11648" t="s">
        <v>4031</v>
      </c>
      <c r="D11648" s="1" t="str">
        <f t="shared" si="319"/>
        <v>PRG-1036747</v>
      </c>
      <c r="E11648" t="s">
        <v>186</v>
      </c>
      <c r="F11648" t="s">
        <v>4</v>
      </c>
      <c r="G11648" t="str">
        <f>""</f>
        <v/>
      </c>
    </row>
    <row r="11649" spans="1:7" x14ac:dyDescent="0.25">
      <c r="A11649" t="s">
        <v>8</v>
      </c>
      <c r="B11649" s="1" t="str">
        <f>"2000444954 - RICH FOODS VARIETY MAIN-ARAMARK"</f>
        <v>2000444954 - RICH FOODS VARIETY MAIN-ARAMARK</v>
      </c>
      <c r="C11649" t="s">
        <v>4031</v>
      </c>
      <c r="D11649" s="1" t="str">
        <f t="shared" si="319"/>
        <v>PRG-1036747</v>
      </c>
      <c r="E11649" t="s">
        <v>186</v>
      </c>
      <c r="F11649" t="s">
        <v>4</v>
      </c>
      <c r="G11649" t="str">
        <f>""</f>
        <v/>
      </c>
    </row>
    <row r="11650" spans="1:7" x14ac:dyDescent="0.25">
      <c r="A11650" t="s">
        <v>8</v>
      </c>
      <c r="B11650" s="1" t="str">
        <f>"000015617 - "</f>
        <v xml:space="preserve">000015617 - </v>
      </c>
      <c r="D11650" s="1" t="str">
        <f t="shared" ref="D11650:D11681" si="320">"PRG-1036749"</f>
        <v>PRG-1036749</v>
      </c>
      <c r="E11650" t="s">
        <v>368</v>
      </c>
      <c r="F11650" t="s">
        <v>4</v>
      </c>
      <c r="G11650" t="str">
        <f>""</f>
        <v/>
      </c>
    </row>
    <row r="11651" spans="1:7" x14ac:dyDescent="0.25">
      <c r="A11651" t="s">
        <v>8</v>
      </c>
      <c r="B11651" s="1" t="str">
        <f>"000017855 - "</f>
        <v xml:space="preserve">000017855 - </v>
      </c>
      <c r="D11651" s="1" t="str">
        <f t="shared" si="320"/>
        <v>PRG-1036749</v>
      </c>
      <c r="E11651" t="s">
        <v>368</v>
      </c>
      <c r="F11651" t="s">
        <v>4</v>
      </c>
      <c r="G11651" t="str">
        <f>""</f>
        <v/>
      </c>
    </row>
    <row r="11652" spans="1:7" x14ac:dyDescent="0.25">
      <c r="A11652" t="s">
        <v>8</v>
      </c>
      <c r="B11652" s="1" t="str">
        <f>"000060584 - RICH FOODS   ARAMARK BAPA"</f>
        <v>000060584 - RICH FOODS   ARAMARK BAPA</v>
      </c>
      <c r="C11652" t="s">
        <v>704</v>
      </c>
      <c r="D11652" s="1" t="str">
        <f t="shared" si="320"/>
        <v>PRG-1036749</v>
      </c>
      <c r="E11652" t="s">
        <v>368</v>
      </c>
      <c r="F11652" t="s">
        <v>4</v>
      </c>
      <c r="G11652" t="str">
        <f>""</f>
        <v/>
      </c>
    </row>
    <row r="11653" spans="1:7" x14ac:dyDescent="0.25">
      <c r="A11653" t="s">
        <v>8</v>
      </c>
      <c r="B11653" s="1" t="str">
        <f>"000062588 - RICH FOODS-SSS ARAMARK"</f>
        <v>000062588 - RICH FOODS-SSS ARAMARK</v>
      </c>
      <c r="C11653" t="s">
        <v>128</v>
      </c>
      <c r="D11653" s="1" t="str">
        <f t="shared" si="320"/>
        <v>PRG-1036749</v>
      </c>
      <c r="E11653" t="s">
        <v>368</v>
      </c>
      <c r="F11653" t="s">
        <v>4</v>
      </c>
      <c r="G11653" t="str">
        <f>""</f>
        <v/>
      </c>
    </row>
    <row r="11654" spans="1:7" x14ac:dyDescent="0.25">
      <c r="A11654" t="s">
        <v>8</v>
      </c>
      <c r="B11654" s="1" t="str">
        <f>"000132454 - RICH FDS NCBB-SSS ARAMARK"</f>
        <v>000132454 - RICH FDS NCBB-SSS ARAMARK</v>
      </c>
      <c r="C11654" t="s">
        <v>300</v>
      </c>
      <c r="D11654" s="1" t="str">
        <f t="shared" si="320"/>
        <v>PRG-1036749</v>
      </c>
      <c r="E11654" t="s">
        <v>368</v>
      </c>
      <c r="F11654" t="s">
        <v>4</v>
      </c>
      <c r="G11654" t="str">
        <f>""</f>
        <v/>
      </c>
    </row>
    <row r="11655" spans="1:7" x14ac:dyDescent="0.25">
      <c r="A11655" t="s">
        <v>8</v>
      </c>
      <c r="B11655" s="1" t="str">
        <f>"000132455 - RICH FDS CBB-SSS ARAMARK"</f>
        <v>000132455 - RICH FDS CBB-SSS ARAMARK</v>
      </c>
      <c r="C11655" t="s">
        <v>301</v>
      </c>
      <c r="D11655" s="1" t="str">
        <f t="shared" si="320"/>
        <v>PRG-1036749</v>
      </c>
      <c r="E11655" t="s">
        <v>368</v>
      </c>
      <c r="F11655" t="s">
        <v>4</v>
      </c>
      <c r="G11655" t="str">
        <f>""</f>
        <v/>
      </c>
    </row>
    <row r="11656" spans="1:7" x14ac:dyDescent="0.25">
      <c r="A11656" t="s">
        <v>8</v>
      </c>
      <c r="B11656" s="1" t="str">
        <f>"000133816 - RICH FOODS-SSS ARAMARK"</f>
        <v>000133816 - RICH FOODS-SSS ARAMARK</v>
      </c>
      <c r="C11656" t="s">
        <v>128</v>
      </c>
      <c r="D11656" s="1" t="str">
        <f t="shared" si="320"/>
        <v>PRG-1036749</v>
      </c>
      <c r="E11656" t="s">
        <v>368</v>
      </c>
      <c r="F11656" t="s">
        <v>4</v>
      </c>
      <c r="G11656" t="str">
        <f>""</f>
        <v/>
      </c>
    </row>
    <row r="11657" spans="1:7" x14ac:dyDescent="0.25">
      <c r="A11657" t="s">
        <v>8</v>
      </c>
      <c r="B11657" s="1" t="str">
        <f>"000153816 - RICH FDS NCBB-SSS ARAMARK"</f>
        <v>000153816 - RICH FDS NCBB-SSS ARAMARK</v>
      </c>
      <c r="C11657" t="s">
        <v>300</v>
      </c>
      <c r="D11657" s="1" t="str">
        <f t="shared" si="320"/>
        <v>PRG-1036749</v>
      </c>
      <c r="E11657" t="s">
        <v>368</v>
      </c>
      <c r="F11657" t="s">
        <v>4</v>
      </c>
      <c r="G11657" t="str">
        <f>""</f>
        <v/>
      </c>
    </row>
    <row r="11658" spans="1:7" x14ac:dyDescent="0.25">
      <c r="A11658" t="s">
        <v>8</v>
      </c>
      <c r="B11658" s="1" t="str">
        <f>"000153817 - RICH FDS CBB-SSS ARAMARK"</f>
        <v>000153817 - RICH FDS CBB-SSS ARAMARK</v>
      </c>
      <c r="C11658" t="s">
        <v>301</v>
      </c>
      <c r="D11658" s="1" t="str">
        <f t="shared" si="320"/>
        <v>PRG-1036749</v>
      </c>
      <c r="E11658" t="s">
        <v>368</v>
      </c>
      <c r="F11658" t="s">
        <v>4</v>
      </c>
      <c r="G11658" t="str">
        <f>""</f>
        <v/>
      </c>
    </row>
    <row r="11659" spans="1:7" x14ac:dyDescent="0.25">
      <c r="A11659" t="s">
        <v>8</v>
      </c>
      <c r="B11659" s="1" t="str">
        <f>"000155168 - RICH FOODS-SSS ARAMARK"</f>
        <v>000155168 - RICH FOODS-SSS ARAMARK</v>
      </c>
      <c r="C11659" t="s">
        <v>128</v>
      </c>
      <c r="D11659" s="1" t="str">
        <f t="shared" si="320"/>
        <v>PRG-1036749</v>
      </c>
      <c r="E11659" t="s">
        <v>368</v>
      </c>
      <c r="F11659" t="s">
        <v>4</v>
      </c>
      <c r="G11659" t="str">
        <f>""</f>
        <v/>
      </c>
    </row>
    <row r="11660" spans="1:7" x14ac:dyDescent="0.25">
      <c r="A11660" t="s">
        <v>8</v>
      </c>
      <c r="B11660" s="1" t="str">
        <f>"000222190 - RICH FDS NCBB-SSS ARAMARK"</f>
        <v>000222190 - RICH FDS NCBB-SSS ARAMARK</v>
      </c>
      <c r="C11660" t="s">
        <v>300</v>
      </c>
      <c r="D11660" s="1" t="str">
        <f t="shared" si="320"/>
        <v>PRG-1036749</v>
      </c>
      <c r="E11660" t="s">
        <v>368</v>
      </c>
      <c r="F11660" t="s">
        <v>4</v>
      </c>
      <c r="G11660" t="str">
        <f>""</f>
        <v/>
      </c>
    </row>
    <row r="11661" spans="1:7" x14ac:dyDescent="0.25">
      <c r="A11661" t="s">
        <v>8</v>
      </c>
      <c r="B11661" s="1" t="str">
        <f>"000222191 - RICH FDS CBB-SSS ARAMARK"</f>
        <v>000222191 - RICH FDS CBB-SSS ARAMARK</v>
      </c>
      <c r="C11661" t="s">
        <v>301</v>
      </c>
      <c r="D11661" s="1" t="str">
        <f t="shared" si="320"/>
        <v>PRG-1036749</v>
      </c>
      <c r="E11661" t="s">
        <v>368</v>
      </c>
      <c r="F11661" t="s">
        <v>4</v>
      </c>
      <c r="G11661" t="str">
        <f>""</f>
        <v/>
      </c>
    </row>
    <row r="11662" spans="1:7" x14ac:dyDescent="0.25">
      <c r="A11662" t="s">
        <v>8</v>
      </c>
      <c r="B11662" s="1" t="str">
        <f>"000223593 - RICH FOODS-SSS ARAMARK"</f>
        <v>000223593 - RICH FOODS-SSS ARAMARK</v>
      </c>
      <c r="C11662" t="s">
        <v>128</v>
      </c>
      <c r="D11662" s="1" t="str">
        <f t="shared" si="320"/>
        <v>PRG-1036749</v>
      </c>
      <c r="E11662" t="s">
        <v>368</v>
      </c>
      <c r="F11662" t="s">
        <v>4</v>
      </c>
      <c r="G11662" t="str">
        <f>""</f>
        <v/>
      </c>
    </row>
    <row r="11663" spans="1:7" x14ac:dyDescent="0.25">
      <c r="A11663" t="s">
        <v>8</v>
      </c>
      <c r="B11663" s="1" t="str">
        <f>"000228610 - RICH FOODS-SSS ARAMARK"</f>
        <v>000228610 - RICH FOODS-SSS ARAMARK</v>
      </c>
      <c r="C11663" t="s">
        <v>128</v>
      </c>
      <c r="D11663" s="1" t="str">
        <f t="shared" si="320"/>
        <v>PRG-1036749</v>
      </c>
      <c r="E11663" t="s">
        <v>368</v>
      </c>
      <c r="F11663" t="s">
        <v>4</v>
      </c>
      <c r="G11663" t="str">
        <f>""</f>
        <v/>
      </c>
    </row>
    <row r="11664" spans="1:7" x14ac:dyDescent="0.25">
      <c r="A11664" t="s">
        <v>8</v>
      </c>
      <c r="B11664" s="1" t="str">
        <f>"000237596 - RICH FDS NCBB-SSS ARAMARK"</f>
        <v>000237596 - RICH FDS NCBB-SSS ARAMARK</v>
      </c>
      <c r="C11664" t="s">
        <v>300</v>
      </c>
      <c r="D11664" s="1" t="str">
        <f t="shared" si="320"/>
        <v>PRG-1036749</v>
      </c>
      <c r="E11664" t="s">
        <v>368</v>
      </c>
      <c r="F11664" t="s">
        <v>4</v>
      </c>
      <c r="G11664" t="str">
        <f>""</f>
        <v/>
      </c>
    </row>
    <row r="11665" spans="1:7" x14ac:dyDescent="0.25">
      <c r="A11665" t="s">
        <v>8</v>
      </c>
      <c r="B11665" s="1" t="str">
        <f>"000237597 - RICH FDS CBB-SSS ARAMARK"</f>
        <v>000237597 - RICH FDS CBB-SSS ARAMARK</v>
      </c>
      <c r="C11665" t="s">
        <v>301</v>
      </c>
      <c r="D11665" s="1" t="str">
        <f t="shared" si="320"/>
        <v>PRG-1036749</v>
      </c>
      <c r="E11665" t="s">
        <v>368</v>
      </c>
      <c r="F11665" t="s">
        <v>4</v>
      </c>
      <c r="G11665" t="str">
        <f>""</f>
        <v/>
      </c>
    </row>
    <row r="11666" spans="1:7" x14ac:dyDescent="0.25">
      <c r="A11666" t="s">
        <v>8</v>
      </c>
      <c r="B11666" s="1" t="str">
        <f>"000238432 - RICH FOODS-SSS ARAMARK"</f>
        <v>000238432 - RICH FOODS-SSS ARAMARK</v>
      </c>
      <c r="C11666" t="s">
        <v>128</v>
      </c>
      <c r="D11666" s="1" t="str">
        <f t="shared" si="320"/>
        <v>PRG-1036749</v>
      </c>
      <c r="E11666" t="s">
        <v>368</v>
      </c>
      <c r="F11666" t="s">
        <v>4</v>
      </c>
      <c r="G11666" t="str">
        <f>""</f>
        <v/>
      </c>
    </row>
    <row r="11667" spans="1:7" x14ac:dyDescent="0.25">
      <c r="A11667" t="s">
        <v>8</v>
      </c>
      <c r="B11667" s="1" t="str">
        <f>"000247356 - BB ARA SSS FOB RICHS"</f>
        <v>000247356 - BB ARA SSS FOB RICHS</v>
      </c>
      <c r="C11667" t="s">
        <v>1230</v>
      </c>
      <c r="D11667" s="1" t="str">
        <f t="shared" si="320"/>
        <v>PRG-1036749</v>
      </c>
      <c r="E11667" t="s">
        <v>368</v>
      </c>
      <c r="F11667" t="s">
        <v>4</v>
      </c>
      <c r="G11667" t="str">
        <f>""</f>
        <v/>
      </c>
    </row>
    <row r="11668" spans="1:7" x14ac:dyDescent="0.25">
      <c r="A11668" t="s">
        <v>8</v>
      </c>
      <c r="B11668" s="1" t="str">
        <f>"000251604 - RICH FDS NCBB-SSS ARAMARK"</f>
        <v>000251604 - RICH FDS NCBB-SSS ARAMARK</v>
      </c>
      <c r="C11668" t="s">
        <v>300</v>
      </c>
      <c r="D11668" s="1" t="str">
        <f t="shared" si="320"/>
        <v>PRG-1036749</v>
      </c>
      <c r="E11668" t="s">
        <v>368</v>
      </c>
      <c r="F11668" t="s">
        <v>4</v>
      </c>
      <c r="G11668" t="str">
        <f>""</f>
        <v/>
      </c>
    </row>
    <row r="11669" spans="1:7" x14ac:dyDescent="0.25">
      <c r="A11669" t="s">
        <v>8</v>
      </c>
      <c r="B11669" s="1" t="str">
        <f>"000251605 - RICH FDS CBB-SSS ARAMARK"</f>
        <v>000251605 - RICH FDS CBB-SSS ARAMARK</v>
      </c>
      <c r="C11669" t="s">
        <v>301</v>
      </c>
      <c r="D11669" s="1" t="str">
        <f t="shared" si="320"/>
        <v>PRG-1036749</v>
      </c>
      <c r="E11669" t="s">
        <v>368</v>
      </c>
      <c r="F11669" t="s">
        <v>4</v>
      </c>
      <c r="G11669" t="str">
        <f>""</f>
        <v/>
      </c>
    </row>
    <row r="11670" spans="1:7" x14ac:dyDescent="0.25">
      <c r="A11670" t="s">
        <v>8</v>
      </c>
      <c r="B11670" s="1" t="str">
        <f>"000253075 - RICH FOODS-SSS ARAMARK"</f>
        <v>000253075 - RICH FOODS-SSS ARAMARK</v>
      </c>
      <c r="C11670" t="s">
        <v>128</v>
      </c>
      <c r="D11670" s="1" t="str">
        <f t="shared" si="320"/>
        <v>PRG-1036749</v>
      </c>
      <c r="E11670" t="s">
        <v>368</v>
      </c>
      <c r="F11670" t="s">
        <v>4</v>
      </c>
      <c r="G11670" t="str">
        <f>""</f>
        <v/>
      </c>
    </row>
    <row r="11671" spans="1:7" x14ac:dyDescent="0.25">
      <c r="A11671" t="s">
        <v>8</v>
      </c>
      <c r="B11671" s="1" t="str">
        <f>"000253936 - RICH FDS NCBB-SSS ARAMARK"</f>
        <v>000253936 - RICH FDS NCBB-SSS ARAMARK</v>
      </c>
      <c r="C11671" t="s">
        <v>300</v>
      </c>
      <c r="D11671" s="1" t="str">
        <f t="shared" si="320"/>
        <v>PRG-1036749</v>
      </c>
      <c r="E11671" t="s">
        <v>368</v>
      </c>
      <c r="F11671" t="s">
        <v>4</v>
      </c>
      <c r="G11671" t="str">
        <f>""</f>
        <v/>
      </c>
    </row>
    <row r="11672" spans="1:7" x14ac:dyDescent="0.25">
      <c r="A11672" t="s">
        <v>8</v>
      </c>
      <c r="B11672" s="1" t="str">
        <f>"000255370 - RICH FOODS-SSS ARAMARK"</f>
        <v>000255370 - RICH FOODS-SSS ARAMARK</v>
      </c>
      <c r="C11672" t="s">
        <v>128</v>
      </c>
      <c r="D11672" s="1" t="str">
        <f t="shared" si="320"/>
        <v>PRG-1036749</v>
      </c>
      <c r="E11672" t="s">
        <v>368</v>
      </c>
      <c r="F11672" t="s">
        <v>4</v>
      </c>
      <c r="G11672" t="str">
        <f>""</f>
        <v/>
      </c>
    </row>
    <row r="11673" spans="1:7" x14ac:dyDescent="0.25">
      <c r="A11673" t="s">
        <v>8</v>
      </c>
      <c r="B11673" s="1" t="str">
        <f>"000255872 - RICH FDS NCBB-SSS ARAMARK"</f>
        <v>000255872 - RICH FDS NCBB-SSS ARAMARK</v>
      </c>
      <c r="C11673" t="s">
        <v>300</v>
      </c>
      <c r="D11673" s="1" t="str">
        <f t="shared" si="320"/>
        <v>PRG-1036749</v>
      </c>
      <c r="E11673" t="s">
        <v>368</v>
      </c>
      <c r="F11673" t="s">
        <v>4</v>
      </c>
      <c r="G11673" t="str">
        <f>""</f>
        <v/>
      </c>
    </row>
    <row r="11674" spans="1:7" x14ac:dyDescent="0.25">
      <c r="A11674" t="s">
        <v>8</v>
      </c>
      <c r="B11674" s="1" t="str">
        <f>"000255873 - RICH FDS CBB-SSS ARAMARK"</f>
        <v>000255873 - RICH FDS CBB-SSS ARAMARK</v>
      </c>
      <c r="C11674" t="s">
        <v>301</v>
      </c>
      <c r="D11674" s="1" t="str">
        <f t="shared" si="320"/>
        <v>PRG-1036749</v>
      </c>
      <c r="E11674" t="s">
        <v>368</v>
      </c>
      <c r="F11674" t="s">
        <v>4</v>
      </c>
      <c r="G11674" t="str">
        <f>""</f>
        <v/>
      </c>
    </row>
    <row r="11675" spans="1:7" x14ac:dyDescent="0.25">
      <c r="A11675" t="s">
        <v>8</v>
      </c>
      <c r="B11675" s="1" t="str">
        <f>"000257381 - RICH FOODS-SSS ARAMARK"</f>
        <v>000257381 - RICH FOODS-SSS ARAMARK</v>
      </c>
      <c r="C11675" t="s">
        <v>128</v>
      </c>
      <c r="D11675" s="1" t="str">
        <f t="shared" si="320"/>
        <v>PRG-1036749</v>
      </c>
      <c r="E11675" t="s">
        <v>368</v>
      </c>
      <c r="F11675" t="s">
        <v>4</v>
      </c>
      <c r="G11675" t="str">
        <f>""</f>
        <v/>
      </c>
    </row>
    <row r="11676" spans="1:7" x14ac:dyDescent="0.25">
      <c r="A11676" t="s">
        <v>8</v>
      </c>
      <c r="B11676" s="1" t="str">
        <f>"000262074 - USDA-RICH'S ARAMARK-NJ-100912"</f>
        <v>000262074 - USDA-RICH'S ARAMARK-NJ-100912</v>
      </c>
      <c r="C11676" t="s">
        <v>1982</v>
      </c>
      <c r="D11676" s="1" t="str">
        <f t="shared" si="320"/>
        <v>PRG-1036749</v>
      </c>
      <c r="E11676" t="s">
        <v>368</v>
      </c>
      <c r="F11676" t="s">
        <v>4</v>
      </c>
      <c r="G11676" t="str">
        <f>""</f>
        <v/>
      </c>
    </row>
    <row r="11677" spans="1:7" x14ac:dyDescent="0.25">
      <c r="A11677" t="s">
        <v>8</v>
      </c>
      <c r="B11677" s="1" t="str">
        <f>"000262350 - RICH FDS NCBB-SSS ARAMARK"</f>
        <v>000262350 - RICH FDS NCBB-SSS ARAMARK</v>
      </c>
      <c r="C11677" t="s">
        <v>300</v>
      </c>
      <c r="D11677" s="1" t="str">
        <f t="shared" si="320"/>
        <v>PRG-1036749</v>
      </c>
      <c r="E11677" t="s">
        <v>368</v>
      </c>
      <c r="F11677" t="s">
        <v>4</v>
      </c>
      <c r="G11677" t="str">
        <f>""</f>
        <v/>
      </c>
    </row>
    <row r="11678" spans="1:7" x14ac:dyDescent="0.25">
      <c r="A11678" t="s">
        <v>8</v>
      </c>
      <c r="B11678" s="1" t="str">
        <f>"000262351 - RICH FDS CBB-SSS ARAMARK"</f>
        <v>000262351 - RICH FDS CBB-SSS ARAMARK</v>
      </c>
      <c r="C11678" t="s">
        <v>301</v>
      </c>
      <c r="D11678" s="1" t="str">
        <f t="shared" si="320"/>
        <v>PRG-1036749</v>
      </c>
      <c r="E11678" t="s">
        <v>368</v>
      </c>
      <c r="F11678" t="s">
        <v>4</v>
      </c>
      <c r="G11678" t="str">
        <f>""</f>
        <v/>
      </c>
    </row>
    <row r="11679" spans="1:7" x14ac:dyDescent="0.25">
      <c r="A11679" t="s">
        <v>8</v>
      </c>
      <c r="B11679" s="1" t="str">
        <f>"000263573 - RICH FOODS-SSS ARAMARK"</f>
        <v>000263573 - RICH FOODS-SSS ARAMARK</v>
      </c>
      <c r="C11679" t="s">
        <v>128</v>
      </c>
      <c r="D11679" s="1" t="str">
        <f t="shared" si="320"/>
        <v>PRG-1036749</v>
      </c>
      <c r="E11679" t="s">
        <v>368</v>
      </c>
      <c r="F11679" t="s">
        <v>4</v>
      </c>
      <c r="G11679" t="str">
        <f>""</f>
        <v/>
      </c>
    </row>
    <row r="11680" spans="1:7" x14ac:dyDescent="0.25">
      <c r="A11680" t="s">
        <v>8</v>
      </c>
      <c r="B11680" s="1" t="str">
        <f>"000270922 - RICH FDS NCBB-SSS ARAMARK"</f>
        <v>000270922 - RICH FDS NCBB-SSS ARAMARK</v>
      </c>
      <c r="C11680" t="s">
        <v>300</v>
      </c>
      <c r="D11680" s="1" t="str">
        <f t="shared" si="320"/>
        <v>PRG-1036749</v>
      </c>
      <c r="E11680" t="s">
        <v>368</v>
      </c>
      <c r="F11680" t="s">
        <v>4</v>
      </c>
      <c r="G11680" t="str">
        <f>""</f>
        <v/>
      </c>
    </row>
    <row r="11681" spans="1:7" x14ac:dyDescent="0.25">
      <c r="A11681" t="s">
        <v>8</v>
      </c>
      <c r="B11681" s="1" t="str">
        <f>"000270923 - RICH FDS CBB-SSS ARAMARK"</f>
        <v>000270923 - RICH FDS CBB-SSS ARAMARK</v>
      </c>
      <c r="C11681" t="s">
        <v>301</v>
      </c>
      <c r="D11681" s="1" t="str">
        <f t="shared" si="320"/>
        <v>PRG-1036749</v>
      </c>
      <c r="E11681" t="s">
        <v>368</v>
      </c>
      <c r="F11681" t="s">
        <v>4</v>
      </c>
      <c r="G11681" t="str">
        <f>""</f>
        <v/>
      </c>
    </row>
    <row r="11682" spans="1:7" x14ac:dyDescent="0.25">
      <c r="A11682" t="s">
        <v>8</v>
      </c>
      <c r="B11682" s="1" t="str">
        <f>"000272169 - RICH FOODS-SSS ARAMARK"</f>
        <v>000272169 - RICH FOODS-SSS ARAMARK</v>
      </c>
      <c r="C11682" t="s">
        <v>128</v>
      </c>
      <c r="D11682" s="1" t="str">
        <f t="shared" ref="D11682:D11709" si="321">"PRG-1036749"</f>
        <v>PRG-1036749</v>
      </c>
      <c r="E11682" t="s">
        <v>368</v>
      </c>
      <c r="F11682" t="s">
        <v>4</v>
      </c>
      <c r="G11682" t="str">
        <f>""</f>
        <v/>
      </c>
    </row>
    <row r="11683" spans="1:7" x14ac:dyDescent="0.25">
      <c r="A11683" t="s">
        <v>8</v>
      </c>
      <c r="B11683" s="1" t="str">
        <f>"000274165 - RICH FDS NCBB-SSS ARAMARK"</f>
        <v>000274165 - RICH FDS NCBB-SSS ARAMARK</v>
      </c>
      <c r="C11683" t="s">
        <v>300</v>
      </c>
      <c r="D11683" s="1" t="str">
        <f t="shared" si="321"/>
        <v>PRG-1036749</v>
      </c>
      <c r="E11683" t="s">
        <v>368</v>
      </c>
      <c r="F11683" t="s">
        <v>4</v>
      </c>
      <c r="G11683" t="str">
        <f>""</f>
        <v/>
      </c>
    </row>
    <row r="11684" spans="1:7" x14ac:dyDescent="0.25">
      <c r="A11684" t="s">
        <v>8</v>
      </c>
      <c r="B11684" s="1" t="str">
        <f>"000274166 - RICH FDS CBB-SSS ARAMARK"</f>
        <v>000274166 - RICH FDS CBB-SSS ARAMARK</v>
      </c>
      <c r="C11684" t="s">
        <v>301</v>
      </c>
      <c r="D11684" s="1" t="str">
        <f t="shared" si="321"/>
        <v>PRG-1036749</v>
      </c>
      <c r="E11684" t="s">
        <v>368</v>
      </c>
      <c r="F11684" t="s">
        <v>4</v>
      </c>
      <c r="G11684" t="str">
        <f>""</f>
        <v/>
      </c>
    </row>
    <row r="11685" spans="1:7" x14ac:dyDescent="0.25">
      <c r="A11685" t="s">
        <v>8</v>
      </c>
      <c r="B11685" s="1" t="str">
        <f>"000275888 - RICH FOODS-SSS ARAMARK"</f>
        <v>000275888 - RICH FOODS-SSS ARAMARK</v>
      </c>
      <c r="C11685" t="s">
        <v>128</v>
      </c>
      <c r="D11685" s="1" t="str">
        <f t="shared" si="321"/>
        <v>PRG-1036749</v>
      </c>
      <c r="E11685" t="s">
        <v>368</v>
      </c>
      <c r="F11685" t="s">
        <v>4</v>
      </c>
      <c r="G11685" t="str">
        <f>""</f>
        <v/>
      </c>
    </row>
    <row r="11686" spans="1:7" x14ac:dyDescent="0.25">
      <c r="A11686" t="s">
        <v>8</v>
      </c>
      <c r="B11686" s="1" t="str">
        <f>"000277099 - RICH FDS NCBB-SSS ARAMARK"</f>
        <v>000277099 - RICH FDS NCBB-SSS ARAMARK</v>
      </c>
      <c r="C11686" t="s">
        <v>300</v>
      </c>
      <c r="D11686" s="1" t="str">
        <f t="shared" si="321"/>
        <v>PRG-1036749</v>
      </c>
      <c r="E11686" t="s">
        <v>368</v>
      </c>
      <c r="F11686" t="s">
        <v>4</v>
      </c>
      <c r="G11686" t="str">
        <f>""</f>
        <v/>
      </c>
    </row>
    <row r="11687" spans="1:7" x14ac:dyDescent="0.25">
      <c r="A11687" t="s">
        <v>8</v>
      </c>
      <c r="B11687" s="1" t="str">
        <f>"000277576 - RICH FDS NCBB-SSS ARAMARK"</f>
        <v>000277576 - RICH FDS NCBB-SSS ARAMARK</v>
      </c>
      <c r="C11687" t="s">
        <v>300</v>
      </c>
      <c r="D11687" s="1" t="str">
        <f t="shared" si="321"/>
        <v>PRG-1036749</v>
      </c>
      <c r="E11687" t="s">
        <v>368</v>
      </c>
      <c r="F11687" t="s">
        <v>4</v>
      </c>
      <c r="G11687" t="str">
        <f>""</f>
        <v/>
      </c>
    </row>
    <row r="11688" spans="1:7" x14ac:dyDescent="0.25">
      <c r="A11688" t="s">
        <v>8</v>
      </c>
      <c r="B11688" s="1" t="str">
        <f>"000277577 - RICH FDS CBB-SSS ARAMARK"</f>
        <v>000277577 - RICH FDS CBB-SSS ARAMARK</v>
      </c>
      <c r="C11688" t="s">
        <v>301</v>
      </c>
      <c r="D11688" s="1" t="str">
        <f t="shared" si="321"/>
        <v>PRG-1036749</v>
      </c>
      <c r="E11688" t="s">
        <v>368</v>
      </c>
      <c r="F11688" t="s">
        <v>4</v>
      </c>
      <c r="G11688" t="str">
        <f>""</f>
        <v/>
      </c>
    </row>
    <row r="11689" spans="1:7" x14ac:dyDescent="0.25">
      <c r="A11689" t="s">
        <v>8</v>
      </c>
      <c r="B11689" s="1" t="str">
        <f>"000278622 - RICH FOODS-SSS ARAMARK"</f>
        <v>000278622 - RICH FOODS-SSS ARAMARK</v>
      </c>
      <c r="C11689" t="s">
        <v>128</v>
      </c>
      <c r="D11689" s="1" t="str">
        <f t="shared" si="321"/>
        <v>PRG-1036749</v>
      </c>
      <c r="E11689" t="s">
        <v>368</v>
      </c>
      <c r="F11689" t="s">
        <v>4</v>
      </c>
      <c r="G11689" t="str">
        <f>""</f>
        <v/>
      </c>
    </row>
    <row r="11690" spans="1:7" x14ac:dyDescent="0.25">
      <c r="A11690" t="s">
        <v>8</v>
      </c>
      <c r="B11690" s="1" t="str">
        <f>"000278952 - RICH FDS CBB-SSS ARAMARK"</f>
        <v>000278952 - RICH FDS CBB-SSS ARAMARK</v>
      </c>
      <c r="C11690" t="s">
        <v>301</v>
      </c>
      <c r="D11690" s="1" t="str">
        <f t="shared" si="321"/>
        <v>PRG-1036749</v>
      </c>
      <c r="E11690" t="s">
        <v>368</v>
      </c>
      <c r="F11690" t="s">
        <v>4</v>
      </c>
      <c r="G11690" t="str">
        <f>""</f>
        <v/>
      </c>
    </row>
    <row r="11691" spans="1:7" x14ac:dyDescent="0.25">
      <c r="A11691" t="s">
        <v>8</v>
      </c>
      <c r="B11691" s="1" t="str">
        <f>"000280149 - RICH FOODS-SSS ARAMARK"</f>
        <v>000280149 - RICH FOODS-SSS ARAMARK</v>
      </c>
      <c r="C11691" t="s">
        <v>128</v>
      </c>
      <c r="D11691" s="1" t="str">
        <f t="shared" si="321"/>
        <v>PRG-1036749</v>
      </c>
      <c r="E11691" t="s">
        <v>368</v>
      </c>
      <c r="F11691" t="s">
        <v>4</v>
      </c>
      <c r="G11691" t="str">
        <f>""</f>
        <v/>
      </c>
    </row>
    <row r="11692" spans="1:7" x14ac:dyDescent="0.25">
      <c r="A11692" t="s">
        <v>8</v>
      </c>
      <c r="B11692" s="1" t="str">
        <f>"000280934 - RICH FDS NCBB-SSS ARAMARK"</f>
        <v>000280934 - RICH FDS NCBB-SSS ARAMARK</v>
      </c>
      <c r="C11692" t="s">
        <v>300</v>
      </c>
      <c r="D11692" s="1" t="str">
        <f t="shared" si="321"/>
        <v>PRG-1036749</v>
      </c>
      <c r="E11692" t="s">
        <v>368</v>
      </c>
      <c r="F11692" t="s">
        <v>4</v>
      </c>
      <c r="G11692" t="str">
        <f>""</f>
        <v/>
      </c>
    </row>
    <row r="11693" spans="1:7" x14ac:dyDescent="0.25">
      <c r="A11693" t="s">
        <v>8</v>
      </c>
      <c r="B11693" s="1" t="str">
        <f>"000280935 - RICH FDS CBB-SSS ARAMARK"</f>
        <v>000280935 - RICH FDS CBB-SSS ARAMARK</v>
      </c>
      <c r="C11693" t="s">
        <v>301</v>
      </c>
      <c r="D11693" s="1" t="str">
        <f t="shared" si="321"/>
        <v>PRG-1036749</v>
      </c>
      <c r="E11693" t="s">
        <v>368</v>
      </c>
      <c r="F11693" t="s">
        <v>4</v>
      </c>
      <c r="G11693" t="str">
        <f>""</f>
        <v/>
      </c>
    </row>
    <row r="11694" spans="1:7" x14ac:dyDescent="0.25">
      <c r="A11694" t="s">
        <v>8</v>
      </c>
      <c r="B11694" s="1" t="str">
        <f>"000281350 - RICH FDS NCBB-SSS ARAMARK"</f>
        <v>000281350 - RICH FDS NCBB-SSS ARAMARK</v>
      </c>
      <c r="C11694" t="s">
        <v>300</v>
      </c>
      <c r="D11694" s="1" t="str">
        <f t="shared" si="321"/>
        <v>PRG-1036749</v>
      </c>
      <c r="E11694" t="s">
        <v>368</v>
      </c>
      <c r="F11694" t="s">
        <v>4</v>
      </c>
      <c r="G11694" t="str">
        <f>""</f>
        <v/>
      </c>
    </row>
    <row r="11695" spans="1:7" x14ac:dyDescent="0.25">
      <c r="A11695" t="s">
        <v>8</v>
      </c>
      <c r="B11695" s="1" t="str">
        <f>"000281351 - RICH FDS CBB-SSS ARAMARK"</f>
        <v>000281351 - RICH FDS CBB-SSS ARAMARK</v>
      </c>
      <c r="C11695" t="s">
        <v>301</v>
      </c>
      <c r="D11695" s="1" t="str">
        <f t="shared" si="321"/>
        <v>PRG-1036749</v>
      </c>
      <c r="E11695" t="s">
        <v>368</v>
      </c>
      <c r="F11695" t="s">
        <v>4</v>
      </c>
      <c r="G11695" t="str">
        <f>""</f>
        <v/>
      </c>
    </row>
    <row r="11696" spans="1:7" x14ac:dyDescent="0.25">
      <c r="A11696" t="s">
        <v>8</v>
      </c>
      <c r="B11696" s="1" t="str">
        <f>"000285359 - RICH FDS NCBB-SSS ARAMARK"</f>
        <v>000285359 - RICH FDS NCBB-SSS ARAMARK</v>
      </c>
      <c r="C11696" t="s">
        <v>300</v>
      </c>
      <c r="D11696" s="1" t="str">
        <f t="shared" si="321"/>
        <v>PRG-1036749</v>
      </c>
      <c r="E11696" t="s">
        <v>368</v>
      </c>
      <c r="F11696" t="s">
        <v>4</v>
      </c>
      <c r="G11696" t="str">
        <f>""</f>
        <v/>
      </c>
    </row>
    <row r="11697" spans="1:7" x14ac:dyDescent="0.25">
      <c r="A11697" t="s">
        <v>8</v>
      </c>
      <c r="B11697" s="1" t="str">
        <f>"000285360 - RICH FDS CBB-SSS ARAMARK"</f>
        <v>000285360 - RICH FDS CBB-SSS ARAMARK</v>
      </c>
      <c r="C11697" t="s">
        <v>301</v>
      </c>
      <c r="D11697" s="1" t="str">
        <f t="shared" si="321"/>
        <v>PRG-1036749</v>
      </c>
      <c r="E11697" t="s">
        <v>368</v>
      </c>
      <c r="F11697" t="s">
        <v>4</v>
      </c>
      <c r="G11697" t="str">
        <f>""</f>
        <v/>
      </c>
    </row>
    <row r="11698" spans="1:7" x14ac:dyDescent="0.25">
      <c r="A11698" t="s">
        <v>8</v>
      </c>
      <c r="B11698" s="1" t="str">
        <f>"000316985 - RICH FDS NCBB-SSS ARAMARK"</f>
        <v>000316985 - RICH FDS NCBB-SSS ARAMARK</v>
      </c>
      <c r="C11698" t="s">
        <v>300</v>
      </c>
      <c r="D11698" s="1" t="str">
        <f t="shared" si="321"/>
        <v>PRG-1036749</v>
      </c>
      <c r="E11698" t="s">
        <v>368</v>
      </c>
      <c r="F11698" t="s">
        <v>4</v>
      </c>
      <c r="G11698" t="str">
        <f>""</f>
        <v/>
      </c>
    </row>
    <row r="11699" spans="1:7" x14ac:dyDescent="0.25">
      <c r="A11699" t="s">
        <v>8</v>
      </c>
      <c r="B11699" s="1" t="str">
        <f>"000319599 - RICH FOODS-SSS ARAMARK"</f>
        <v>000319599 - RICH FOODS-SSS ARAMARK</v>
      </c>
      <c r="C11699" t="s">
        <v>128</v>
      </c>
      <c r="D11699" s="1" t="str">
        <f t="shared" si="321"/>
        <v>PRG-1036749</v>
      </c>
      <c r="E11699" t="s">
        <v>368</v>
      </c>
      <c r="F11699" t="s">
        <v>4</v>
      </c>
      <c r="G11699" t="str">
        <f>""</f>
        <v/>
      </c>
    </row>
    <row r="11700" spans="1:7" x14ac:dyDescent="0.25">
      <c r="A11700" t="s">
        <v>8</v>
      </c>
      <c r="B11700" s="1" t="str">
        <f>"000332510 - RICH FDS NCBB-SSS ARAMARK"</f>
        <v>000332510 - RICH FDS NCBB-SSS ARAMARK</v>
      </c>
      <c r="C11700" t="s">
        <v>300</v>
      </c>
      <c r="D11700" s="1" t="str">
        <f t="shared" si="321"/>
        <v>PRG-1036749</v>
      </c>
      <c r="E11700" t="s">
        <v>368</v>
      </c>
      <c r="F11700" t="s">
        <v>4</v>
      </c>
      <c r="G11700" t="str">
        <f>""</f>
        <v/>
      </c>
    </row>
    <row r="11701" spans="1:7" x14ac:dyDescent="0.25">
      <c r="A11701" t="s">
        <v>8</v>
      </c>
      <c r="B11701" s="1" t="str">
        <f>"000332511 - RICH FDS CBB-SSS ARAMARK"</f>
        <v>000332511 - RICH FDS CBB-SSS ARAMARK</v>
      </c>
      <c r="C11701" t="s">
        <v>301</v>
      </c>
      <c r="D11701" s="1" t="str">
        <f t="shared" si="321"/>
        <v>PRG-1036749</v>
      </c>
      <c r="E11701" t="s">
        <v>368</v>
      </c>
      <c r="F11701" t="s">
        <v>4</v>
      </c>
      <c r="G11701" t="str">
        <f>""</f>
        <v/>
      </c>
    </row>
    <row r="11702" spans="1:7" x14ac:dyDescent="0.25">
      <c r="A11702" t="s">
        <v>8</v>
      </c>
      <c r="B11702" s="1" t="str">
        <f>"000334639 - RICH FOODS-SSS ARAMARK"</f>
        <v>000334639 - RICH FOODS-SSS ARAMARK</v>
      </c>
      <c r="C11702" t="s">
        <v>128</v>
      </c>
      <c r="D11702" s="1" t="str">
        <f t="shared" si="321"/>
        <v>PRG-1036749</v>
      </c>
      <c r="E11702" t="s">
        <v>368</v>
      </c>
      <c r="F11702" t="s">
        <v>4</v>
      </c>
      <c r="G11702" t="str">
        <f>""</f>
        <v/>
      </c>
    </row>
    <row r="11703" spans="1:7" x14ac:dyDescent="0.25">
      <c r="A11703" t="s">
        <v>8</v>
      </c>
      <c r="B11703" s="1" t="str">
        <f>"000339995 - RICH FOODS-SSS ARAMARK"</f>
        <v>000339995 - RICH FOODS-SSS ARAMARK</v>
      </c>
      <c r="C11703" t="s">
        <v>128</v>
      </c>
      <c r="D11703" s="1" t="str">
        <f t="shared" si="321"/>
        <v>PRG-1036749</v>
      </c>
      <c r="E11703" t="s">
        <v>368</v>
      </c>
      <c r="F11703" t="s">
        <v>4</v>
      </c>
      <c r="G11703" t="str">
        <f>""</f>
        <v/>
      </c>
    </row>
    <row r="11704" spans="1:7" x14ac:dyDescent="0.25">
      <c r="A11704" t="s">
        <v>8</v>
      </c>
      <c r="B11704" s="1" t="str">
        <f>"000344042 - RICH FDS NCBB-SSS ARAMARK"</f>
        <v>000344042 - RICH FDS NCBB-SSS ARAMARK</v>
      </c>
      <c r="C11704" t="s">
        <v>300</v>
      </c>
      <c r="D11704" s="1" t="str">
        <f t="shared" si="321"/>
        <v>PRG-1036749</v>
      </c>
      <c r="E11704" t="s">
        <v>368</v>
      </c>
      <c r="F11704" t="s">
        <v>4</v>
      </c>
      <c r="G11704" t="str">
        <f>""</f>
        <v/>
      </c>
    </row>
    <row r="11705" spans="1:7" x14ac:dyDescent="0.25">
      <c r="A11705" t="s">
        <v>8</v>
      </c>
      <c r="B11705" s="1" t="str">
        <f>"000344043 - RICH FDS CBB-SSS ARAMARK"</f>
        <v>000344043 - RICH FDS CBB-SSS ARAMARK</v>
      </c>
      <c r="C11705" t="s">
        <v>301</v>
      </c>
      <c r="D11705" s="1" t="str">
        <f t="shared" si="321"/>
        <v>PRG-1036749</v>
      </c>
      <c r="E11705" t="s">
        <v>368</v>
      </c>
      <c r="F11705" t="s">
        <v>4</v>
      </c>
      <c r="G11705" t="str">
        <f>""</f>
        <v/>
      </c>
    </row>
    <row r="11706" spans="1:7" x14ac:dyDescent="0.25">
      <c r="A11706" t="s">
        <v>8</v>
      </c>
      <c r="B11706" s="1" t="str">
        <f>"000346135 - RICH FOODS-SSS ARAMARK"</f>
        <v>000346135 - RICH FOODS-SSS ARAMARK</v>
      </c>
      <c r="C11706" t="s">
        <v>128</v>
      </c>
      <c r="D11706" s="1" t="str">
        <f t="shared" si="321"/>
        <v>PRG-1036749</v>
      </c>
      <c r="E11706" t="s">
        <v>368</v>
      </c>
      <c r="F11706" t="s">
        <v>4</v>
      </c>
      <c r="G11706" t="str">
        <f>""</f>
        <v/>
      </c>
    </row>
    <row r="11707" spans="1:7" x14ac:dyDescent="0.25">
      <c r="A11707" t="s">
        <v>8</v>
      </c>
      <c r="B11707" s="1" t="str">
        <f>"000347287 - "</f>
        <v xml:space="preserve">000347287 - </v>
      </c>
      <c r="D11707" s="1" t="str">
        <f t="shared" si="321"/>
        <v>PRG-1036749</v>
      </c>
      <c r="E11707" t="s">
        <v>368</v>
      </c>
      <c r="F11707" t="s">
        <v>4</v>
      </c>
      <c r="G11707" t="str">
        <f>""</f>
        <v/>
      </c>
    </row>
    <row r="11708" spans="1:7" x14ac:dyDescent="0.25">
      <c r="A11708" t="s">
        <v>8</v>
      </c>
      <c r="B11708" s="1" t="str">
        <f>"000347288 - "</f>
        <v xml:space="preserve">000347288 - </v>
      </c>
      <c r="D11708" s="1" t="str">
        <f t="shared" si="321"/>
        <v>PRG-1036749</v>
      </c>
      <c r="E11708" t="s">
        <v>368</v>
      </c>
      <c r="F11708" t="s">
        <v>4</v>
      </c>
      <c r="G11708" t="str">
        <f>""</f>
        <v/>
      </c>
    </row>
    <row r="11709" spans="1:7" x14ac:dyDescent="0.25">
      <c r="A11709" t="s">
        <v>8</v>
      </c>
      <c r="B11709" s="1" t="str">
        <f>"2000422284 - RICH FOODS VARIETY-ARAMARK SSS"</f>
        <v>2000422284 - RICH FOODS VARIETY-ARAMARK SSS</v>
      </c>
      <c r="C11709" t="s">
        <v>3989</v>
      </c>
      <c r="D11709" s="1" t="str">
        <f t="shared" si="321"/>
        <v>PRG-1036749</v>
      </c>
      <c r="E11709" t="s">
        <v>368</v>
      </c>
      <c r="F11709" t="s">
        <v>4</v>
      </c>
      <c r="G11709" t="str">
        <f>""</f>
        <v/>
      </c>
    </row>
    <row r="11710" spans="1:7" x14ac:dyDescent="0.25">
      <c r="A11710" t="s">
        <v>8</v>
      </c>
      <c r="B11710" s="1" t="str">
        <f>"000004748 - RICH FOODS-TOP GOLF"</f>
        <v>000004748 - RICH FOODS-TOP GOLF</v>
      </c>
      <c r="C11710" t="s">
        <v>203</v>
      </c>
      <c r="D11710" s="1" t="str">
        <f t="shared" ref="D11710:D11729" si="322">"PRG-1036755"</f>
        <v>PRG-1036755</v>
      </c>
      <c r="E11710" t="s">
        <v>204</v>
      </c>
      <c r="F11710" t="s">
        <v>4</v>
      </c>
      <c r="G11710" t="str">
        <f>""</f>
        <v/>
      </c>
    </row>
    <row r="11711" spans="1:7" x14ac:dyDescent="0.25">
      <c r="A11711" t="s">
        <v>8</v>
      </c>
      <c r="B11711" s="1" t="str">
        <f>"000007880 - RICH FOODS-TOP GOLF"</f>
        <v>000007880 - RICH FOODS-TOP GOLF</v>
      </c>
      <c r="C11711" t="s">
        <v>203</v>
      </c>
      <c r="D11711" s="1" t="str">
        <f t="shared" si="322"/>
        <v>PRG-1036755</v>
      </c>
      <c r="E11711" t="s">
        <v>204</v>
      </c>
      <c r="F11711" t="s">
        <v>4</v>
      </c>
      <c r="G11711" t="str">
        <f>""</f>
        <v/>
      </c>
    </row>
    <row r="11712" spans="1:7" x14ac:dyDescent="0.25">
      <c r="A11712" t="s">
        <v>8</v>
      </c>
      <c r="B11712" s="1" t="str">
        <f>"000016148 - "</f>
        <v xml:space="preserve">000016148 - </v>
      </c>
      <c r="D11712" s="1" t="str">
        <f t="shared" si="322"/>
        <v>PRG-1036755</v>
      </c>
      <c r="E11712" t="s">
        <v>204</v>
      </c>
      <c r="F11712" t="s">
        <v>4</v>
      </c>
      <c r="G11712" t="str">
        <f>""</f>
        <v/>
      </c>
    </row>
    <row r="11713" spans="1:7" x14ac:dyDescent="0.25">
      <c r="A11713" t="s">
        <v>8</v>
      </c>
      <c r="B11713" s="1" t="str">
        <f>"000237529 - RICH FOODS-TOP GOLF"</f>
        <v>000237529 - RICH FOODS-TOP GOLF</v>
      </c>
      <c r="C11713" t="s">
        <v>203</v>
      </c>
      <c r="D11713" s="1" t="str">
        <f t="shared" si="322"/>
        <v>PRG-1036755</v>
      </c>
      <c r="E11713" t="s">
        <v>204</v>
      </c>
      <c r="F11713" t="s">
        <v>4</v>
      </c>
      <c r="G11713" t="str">
        <f>""</f>
        <v/>
      </c>
    </row>
    <row r="11714" spans="1:7" x14ac:dyDescent="0.25">
      <c r="A11714" t="s">
        <v>8</v>
      </c>
      <c r="B11714" s="1" t="str">
        <f>"000255767 - RICH FOODS-TOP GOLF"</f>
        <v>000255767 - RICH FOODS-TOP GOLF</v>
      </c>
      <c r="C11714" t="s">
        <v>203</v>
      </c>
      <c r="D11714" s="1" t="str">
        <f t="shared" si="322"/>
        <v>PRG-1036755</v>
      </c>
      <c r="E11714" t="s">
        <v>204</v>
      </c>
      <c r="F11714" t="s">
        <v>4</v>
      </c>
      <c r="G11714" t="str">
        <f>""</f>
        <v/>
      </c>
    </row>
    <row r="11715" spans="1:7" x14ac:dyDescent="0.25">
      <c r="A11715" t="s">
        <v>8</v>
      </c>
      <c r="B11715" s="1" t="str">
        <f>"000264616 - RICH FOODS-TOP GOLF"</f>
        <v>000264616 - RICH FOODS-TOP GOLF</v>
      </c>
      <c r="C11715" t="s">
        <v>203</v>
      </c>
      <c r="D11715" s="1" t="str">
        <f t="shared" si="322"/>
        <v>PRG-1036755</v>
      </c>
      <c r="E11715" t="s">
        <v>204</v>
      </c>
      <c r="F11715" t="s">
        <v>4</v>
      </c>
      <c r="G11715" t="str">
        <f>""</f>
        <v/>
      </c>
    </row>
    <row r="11716" spans="1:7" x14ac:dyDescent="0.25">
      <c r="A11716" t="s">
        <v>8</v>
      </c>
      <c r="B11716" s="1" t="str">
        <f>"000265265 - RICH FOODS-TOP GOLF"</f>
        <v>000265265 - RICH FOODS-TOP GOLF</v>
      </c>
      <c r="C11716" t="s">
        <v>203</v>
      </c>
      <c r="D11716" s="1" t="str">
        <f t="shared" si="322"/>
        <v>PRG-1036755</v>
      </c>
      <c r="E11716" t="s">
        <v>204</v>
      </c>
      <c r="F11716" t="s">
        <v>4</v>
      </c>
      <c r="G11716" t="str">
        <f>""</f>
        <v/>
      </c>
    </row>
    <row r="11717" spans="1:7" x14ac:dyDescent="0.25">
      <c r="A11717" t="s">
        <v>8</v>
      </c>
      <c r="B11717" s="1" t="str">
        <f>"000275532 - RICH FOODS-TOP GOLF"</f>
        <v>000275532 - RICH FOODS-TOP GOLF</v>
      </c>
      <c r="C11717" t="s">
        <v>203</v>
      </c>
      <c r="D11717" s="1" t="str">
        <f t="shared" si="322"/>
        <v>PRG-1036755</v>
      </c>
      <c r="E11717" t="s">
        <v>204</v>
      </c>
      <c r="F11717" t="s">
        <v>4</v>
      </c>
      <c r="G11717" t="str">
        <f>""</f>
        <v/>
      </c>
    </row>
    <row r="11718" spans="1:7" x14ac:dyDescent="0.25">
      <c r="A11718" t="s">
        <v>8</v>
      </c>
      <c r="B11718" s="1" t="str">
        <f>"000277024 - RICH FOODS-TOP GOLF"</f>
        <v>000277024 - RICH FOODS-TOP GOLF</v>
      </c>
      <c r="C11718" t="s">
        <v>203</v>
      </c>
      <c r="D11718" s="1" t="str">
        <f t="shared" si="322"/>
        <v>PRG-1036755</v>
      </c>
      <c r="E11718" t="s">
        <v>204</v>
      </c>
      <c r="F11718" t="s">
        <v>4</v>
      </c>
      <c r="G11718" t="str">
        <f>""</f>
        <v/>
      </c>
    </row>
    <row r="11719" spans="1:7" x14ac:dyDescent="0.25">
      <c r="A11719" t="s">
        <v>8</v>
      </c>
      <c r="B11719" s="1" t="str">
        <f>"000281151 - RICH FOODS-TOP GOLF"</f>
        <v>000281151 - RICH FOODS-TOP GOLF</v>
      </c>
      <c r="C11719" t="s">
        <v>203</v>
      </c>
      <c r="D11719" s="1" t="str">
        <f t="shared" si="322"/>
        <v>PRG-1036755</v>
      </c>
      <c r="E11719" t="s">
        <v>204</v>
      </c>
      <c r="F11719" t="s">
        <v>4</v>
      </c>
      <c r="G11719" t="str">
        <f>""</f>
        <v/>
      </c>
    </row>
    <row r="11720" spans="1:7" x14ac:dyDescent="0.25">
      <c r="A11720" t="s">
        <v>8</v>
      </c>
      <c r="B11720" s="1" t="str">
        <f>"000290092 - RICH FOODS-TOP GOLF"</f>
        <v>000290092 - RICH FOODS-TOP GOLF</v>
      </c>
      <c r="C11720" t="s">
        <v>203</v>
      </c>
      <c r="D11720" s="1" t="str">
        <f t="shared" si="322"/>
        <v>PRG-1036755</v>
      </c>
      <c r="E11720" t="s">
        <v>204</v>
      </c>
      <c r="F11720" t="s">
        <v>4</v>
      </c>
      <c r="G11720" t="str">
        <f>""</f>
        <v/>
      </c>
    </row>
    <row r="11721" spans="1:7" x14ac:dyDescent="0.25">
      <c r="A11721" t="s">
        <v>8</v>
      </c>
      <c r="B11721" s="1" t="str">
        <f>"000310067 - RICH FOODS-TOP GOLF"</f>
        <v>000310067 - RICH FOODS-TOP GOLF</v>
      </c>
      <c r="C11721" t="s">
        <v>203</v>
      </c>
      <c r="D11721" s="1" t="str">
        <f t="shared" si="322"/>
        <v>PRG-1036755</v>
      </c>
      <c r="E11721" t="s">
        <v>204</v>
      </c>
      <c r="F11721" t="s">
        <v>4</v>
      </c>
      <c r="G11721" t="str">
        <f>""</f>
        <v/>
      </c>
    </row>
    <row r="11722" spans="1:7" x14ac:dyDescent="0.25">
      <c r="A11722" t="s">
        <v>8</v>
      </c>
      <c r="B11722" s="1" t="str">
        <f>"000326148 - "</f>
        <v xml:space="preserve">000326148 - </v>
      </c>
      <c r="D11722" s="1" t="str">
        <f t="shared" si="322"/>
        <v>PRG-1036755</v>
      </c>
      <c r="E11722" t="s">
        <v>204</v>
      </c>
      <c r="F11722" t="s">
        <v>4</v>
      </c>
      <c r="G11722" t="str">
        <f>""</f>
        <v/>
      </c>
    </row>
    <row r="11723" spans="1:7" x14ac:dyDescent="0.25">
      <c r="A11723" t="s">
        <v>8</v>
      </c>
      <c r="B11723" s="1" t="str">
        <f>"000332380 - RICH FOODS-TOP GOLF"</f>
        <v>000332380 - RICH FOODS-TOP GOLF</v>
      </c>
      <c r="C11723" t="s">
        <v>203</v>
      </c>
      <c r="D11723" s="1" t="str">
        <f t="shared" si="322"/>
        <v>PRG-1036755</v>
      </c>
      <c r="E11723" t="s">
        <v>204</v>
      </c>
      <c r="F11723" t="s">
        <v>4</v>
      </c>
      <c r="G11723" t="str">
        <f>""</f>
        <v/>
      </c>
    </row>
    <row r="11724" spans="1:7" x14ac:dyDescent="0.25">
      <c r="A11724" t="s">
        <v>8</v>
      </c>
      <c r="B11724" s="1" t="str">
        <f>"000337998 - RICH FOODS-TOP GOLF"</f>
        <v>000337998 - RICH FOODS-TOP GOLF</v>
      </c>
      <c r="C11724" t="s">
        <v>203</v>
      </c>
      <c r="D11724" s="1" t="str">
        <f t="shared" si="322"/>
        <v>PRG-1036755</v>
      </c>
      <c r="E11724" t="s">
        <v>204</v>
      </c>
      <c r="F11724" t="s">
        <v>4</v>
      </c>
      <c r="G11724" t="str">
        <f>""</f>
        <v/>
      </c>
    </row>
    <row r="11725" spans="1:7" x14ac:dyDescent="0.25">
      <c r="A11725" t="s">
        <v>8</v>
      </c>
      <c r="B11725" s="1" t="str">
        <f>"000343930 - RICH FOODS-TOP GOLF"</f>
        <v>000343930 - RICH FOODS-TOP GOLF</v>
      </c>
      <c r="C11725" t="s">
        <v>203</v>
      </c>
      <c r="D11725" s="1" t="str">
        <f t="shared" si="322"/>
        <v>PRG-1036755</v>
      </c>
      <c r="E11725" t="s">
        <v>204</v>
      </c>
      <c r="F11725" t="s">
        <v>4</v>
      </c>
      <c r="G11725" t="str">
        <f>""</f>
        <v/>
      </c>
    </row>
    <row r="11726" spans="1:7" x14ac:dyDescent="0.25">
      <c r="A11726" t="s">
        <v>8</v>
      </c>
      <c r="B11726" s="1" t="str">
        <f>"000347196 - RICH FOODS-TOP GOLF"</f>
        <v>000347196 - RICH FOODS-TOP GOLF</v>
      </c>
      <c r="C11726" t="s">
        <v>203</v>
      </c>
      <c r="D11726" s="1" t="str">
        <f t="shared" si="322"/>
        <v>PRG-1036755</v>
      </c>
      <c r="E11726" t="s">
        <v>204</v>
      </c>
      <c r="F11726" t="s">
        <v>4</v>
      </c>
      <c r="G11726" t="str">
        <f>""</f>
        <v/>
      </c>
    </row>
    <row r="11727" spans="1:7" x14ac:dyDescent="0.25">
      <c r="A11727" t="s">
        <v>8</v>
      </c>
      <c r="B11727" s="1" t="str">
        <f>"000361543 - RICH FOODS-TOP GOLF"</f>
        <v>000361543 - RICH FOODS-TOP GOLF</v>
      </c>
      <c r="C11727" t="s">
        <v>203</v>
      </c>
      <c r="D11727" s="1" t="str">
        <f t="shared" si="322"/>
        <v>PRG-1036755</v>
      </c>
      <c r="E11727" t="s">
        <v>204</v>
      </c>
      <c r="F11727" t="s">
        <v>4</v>
      </c>
      <c r="G11727" t="str">
        <f>""</f>
        <v/>
      </c>
    </row>
    <row r="11728" spans="1:7" x14ac:dyDescent="0.25">
      <c r="A11728" t="s">
        <v>8</v>
      </c>
      <c r="B11728" s="1" t="str">
        <f>"2000441345 - RICH FOODS-TOP GOLF"</f>
        <v>2000441345 - RICH FOODS-TOP GOLF</v>
      </c>
      <c r="C11728" t="s">
        <v>203</v>
      </c>
      <c r="D11728" s="1" t="str">
        <f t="shared" si="322"/>
        <v>PRG-1036755</v>
      </c>
      <c r="E11728" t="s">
        <v>204</v>
      </c>
      <c r="F11728" t="s">
        <v>4</v>
      </c>
      <c r="G11728" t="str">
        <f>""</f>
        <v/>
      </c>
    </row>
    <row r="11729" spans="1:7" x14ac:dyDescent="0.25">
      <c r="A11729" t="s">
        <v>8</v>
      </c>
      <c r="B11729" s="1" t="str">
        <f>"372640 - "</f>
        <v xml:space="preserve">372640 - </v>
      </c>
      <c r="D11729" s="1" t="str">
        <f t="shared" si="322"/>
        <v>PRG-1036755</v>
      </c>
      <c r="E11729" t="s">
        <v>204</v>
      </c>
      <c r="F11729" t="s">
        <v>4</v>
      </c>
      <c r="G11729" t="str">
        <f>""</f>
        <v/>
      </c>
    </row>
    <row r="11730" spans="1:7" x14ac:dyDescent="0.25">
      <c r="A11730" t="s">
        <v>8</v>
      </c>
      <c r="B11730" s="1" t="str">
        <f>"000135915 - RICH'S COUNTRY KITCHEN"</f>
        <v>000135915 - RICH'S COUNTRY KITCHEN</v>
      </c>
      <c r="C11730" t="s">
        <v>958</v>
      </c>
      <c r="D11730" s="1" t="str">
        <f>"PRG-1036768"</f>
        <v>PRG-1036768</v>
      </c>
      <c r="E11730" t="s">
        <v>450</v>
      </c>
      <c r="F11730" t="s">
        <v>4</v>
      </c>
      <c r="G11730" t="str">
        <f>""</f>
        <v/>
      </c>
    </row>
    <row r="11731" spans="1:7" x14ac:dyDescent="0.25">
      <c r="A11731" t="s">
        <v>8</v>
      </c>
      <c r="B11731" s="1" t="str">
        <f>"000332690 - RICHS-CC THE TEXAN"</f>
        <v>000332690 - RICHS-CC THE TEXAN</v>
      </c>
      <c r="C11731" t="s">
        <v>3359</v>
      </c>
      <c r="D11731" s="1" t="str">
        <f>"PRG-1036792"</f>
        <v>PRG-1036792</v>
      </c>
      <c r="E11731" t="s">
        <v>3360</v>
      </c>
      <c r="F11731" t="s">
        <v>4</v>
      </c>
      <c r="G11731" t="str">
        <f>""</f>
        <v/>
      </c>
    </row>
    <row r="11732" spans="1:7" x14ac:dyDescent="0.25">
      <c r="A11732" t="s">
        <v>8</v>
      </c>
      <c r="B11732" s="1" t="str">
        <f>"000332691 - RICHS-DC THE TEXAN"</f>
        <v>000332691 - RICHS-DC THE TEXAN</v>
      </c>
      <c r="C11732" t="s">
        <v>3361</v>
      </c>
      <c r="D11732" s="1" t="str">
        <f>"PRG-1036792"</f>
        <v>PRG-1036792</v>
      </c>
      <c r="E11732" t="s">
        <v>3360</v>
      </c>
      <c r="F11732" t="s">
        <v>4</v>
      </c>
      <c r="G11732" t="str">
        <f>""</f>
        <v/>
      </c>
    </row>
    <row r="11733" spans="1:7" x14ac:dyDescent="0.25">
      <c r="A11733" t="s">
        <v>8</v>
      </c>
      <c r="B11733" s="1" t="str">
        <f>"000137972 - RICH FOODS-GRANITE CITY"</f>
        <v>000137972 - RICH FOODS-GRANITE CITY</v>
      </c>
      <c r="C11733" t="s">
        <v>820</v>
      </c>
      <c r="D11733" s="1" t="str">
        <f t="shared" ref="D11733:D11749" si="323">"PRG-1036818"</f>
        <v>PRG-1036818</v>
      </c>
      <c r="E11733" t="s">
        <v>846</v>
      </c>
      <c r="F11733" t="s">
        <v>4</v>
      </c>
      <c r="G11733" t="str">
        <f>""</f>
        <v/>
      </c>
    </row>
    <row r="11734" spans="1:7" x14ac:dyDescent="0.25">
      <c r="A11734" t="s">
        <v>8</v>
      </c>
      <c r="B11734" s="1" t="str">
        <f>"000158984 - "</f>
        <v xml:space="preserve">000158984 - </v>
      </c>
      <c r="D11734" s="1" t="str">
        <f t="shared" si="323"/>
        <v>PRG-1036818</v>
      </c>
      <c r="E11734" t="s">
        <v>846</v>
      </c>
      <c r="F11734" t="s">
        <v>4</v>
      </c>
      <c r="G11734" t="str">
        <f>""</f>
        <v/>
      </c>
    </row>
    <row r="11735" spans="1:7" x14ac:dyDescent="0.25">
      <c r="A11735" t="s">
        <v>8</v>
      </c>
      <c r="B11735" s="1" t="str">
        <f>"000210164 - RICH FOODS NC BB-GRANITE CITY"</f>
        <v>000210164 - RICH FOODS NC BB-GRANITE CITY</v>
      </c>
      <c r="C11735" t="s">
        <v>893</v>
      </c>
      <c r="D11735" s="1" t="str">
        <f t="shared" si="323"/>
        <v>PRG-1036818</v>
      </c>
      <c r="E11735" t="s">
        <v>846</v>
      </c>
      <c r="F11735" t="s">
        <v>4</v>
      </c>
      <c r="G11735" t="str">
        <f>""</f>
        <v/>
      </c>
    </row>
    <row r="11736" spans="1:7" x14ac:dyDescent="0.25">
      <c r="A11736" t="s">
        <v>8</v>
      </c>
      <c r="B11736" s="1" t="str">
        <f>"000211815 - RICH FOODS C BB-GRANITE CITY"</f>
        <v>000211815 - RICH FOODS C BB-GRANITE CITY</v>
      </c>
      <c r="C11736" t="s">
        <v>898</v>
      </c>
      <c r="D11736" s="1" t="str">
        <f t="shared" si="323"/>
        <v>PRG-1036818</v>
      </c>
      <c r="E11736" t="s">
        <v>846</v>
      </c>
      <c r="F11736" t="s">
        <v>4</v>
      </c>
      <c r="G11736" t="str">
        <f>""</f>
        <v/>
      </c>
    </row>
    <row r="11737" spans="1:7" x14ac:dyDescent="0.25">
      <c r="A11737" t="s">
        <v>8</v>
      </c>
      <c r="B11737" s="1" t="str">
        <f>"000232421 - RICH FOODS-GRANITE CITY"</f>
        <v>000232421 - RICH FOODS-GRANITE CITY</v>
      </c>
      <c r="C11737" t="s">
        <v>820</v>
      </c>
      <c r="D11737" s="1" t="str">
        <f t="shared" si="323"/>
        <v>PRG-1036818</v>
      </c>
      <c r="E11737" t="s">
        <v>846</v>
      </c>
      <c r="F11737" t="s">
        <v>4</v>
      </c>
      <c r="G11737" t="str">
        <f>""</f>
        <v/>
      </c>
    </row>
    <row r="11738" spans="1:7" x14ac:dyDescent="0.25">
      <c r="A11738" t="s">
        <v>8</v>
      </c>
      <c r="B11738" s="1" t="str">
        <f>"000244708 - BB GRANITE FOB RICH"</f>
        <v>000244708 - BB GRANITE FOB RICH</v>
      </c>
      <c r="C11738" t="s">
        <v>1212</v>
      </c>
      <c r="D11738" s="1" t="str">
        <f t="shared" si="323"/>
        <v>PRG-1036818</v>
      </c>
      <c r="E11738" t="s">
        <v>846</v>
      </c>
      <c r="F11738" t="s">
        <v>4</v>
      </c>
      <c r="G11738" t="str">
        <f>""</f>
        <v/>
      </c>
    </row>
    <row r="11739" spans="1:7" x14ac:dyDescent="0.25">
      <c r="A11739" t="s">
        <v>8</v>
      </c>
      <c r="B11739" s="1" t="str">
        <f>"000249035 - BB GRANITE FOB RICH"</f>
        <v>000249035 - BB GRANITE FOB RICH</v>
      </c>
      <c r="C11739" t="s">
        <v>1212</v>
      </c>
      <c r="D11739" s="1" t="str">
        <f t="shared" si="323"/>
        <v>PRG-1036818</v>
      </c>
      <c r="E11739" t="s">
        <v>846</v>
      </c>
      <c r="F11739" t="s">
        <v>4</v>
      </c>
      <c r="G11739" t="str">
        <f>""</f>
        <v/>
      </c>
    </row>
    <row r="11740" spans="1:7" x14ac:dyDescent="0.25">
      <c r="A11740" t="s">
        <v>8</v>
      </c>
      <c r="B11740" s="1" t="str">
        <f>"000256830 - RICH FOODS-GRANITE CITY"</f>
        <v>000256830 - RICH FOODS-GRANITE CITY</v>
      </c>
      <c r="C11740" t="s">
        <v>820</v>
      </c>
      <c r="D11740" s="1" t="str">
        <f t="shared" si="323"/>
        <v>PRG-1036818</v>
      </c>
      <c r="E11740" t="s">
        <v>846</v>
      </c>
      <c r="F11740" t="s">
        <v>4</v>
      </c>
      <c r="G11740" t="str">
        <f>""</f>
        <v/>
      </c>
    </row>
    <row r="11741" spans="1:7" x14ac:dyDescent="0.25">
      <c r="A11741" t="s">
        <v>8</v>
      </c>
      <c r="B11741" s="1" t="str">
        <f>"000257758 - "</f>
        <v xml:space="preserve">000257758 - </v>
      </c>
      <c r="D11741" s="1" t="str">
        <f t="shared" si="323"/>
        <v>PRG-1036818</v>
      </c>
      <c r="E11741" t="s">
        <v>846</v>
      </c>
      <c r="F11741" t="s">
        <v>4</v>
      </c>
      <c r="G11741" t="str">
        <f>""</f>
        <v/>
      </c>
    </row>
    <row r="11742" spans="1:7" x14ac:dyDescent="0.25">
      <c r="A11742" t="s">
        <v>8</v>
      </c>
      <c r="B11742" s="1" t="str">
        <f>"000281778 - RICH FOODS-GRANITE CITY"</f>
        <v>000281778 - RICH FOODS-GRANITE CITY</v>
      </c>
      <c r="C11742" t="s">
        <v>820</v>
      </c>
      <c r="D11742" s="1" t="str">
        <f t="shared" si="323"/>
        <v>PRG-1036818</v>
      </c>
      <c r="E11742" t="s">
        <v>846</v>
      </c>
      <c r="F11742" t="s">
        <v>4</v>
      </c>
      <c r="G11742" t="str">
        <f>""</f>
        <v/>
      </c>
    </row>
    <row r="11743" spans="1:7" x14ac:dyDescent="0.25">
      <c r="A11743" t="s">
        <v>8</v>
      </c>
      <c r="B11743" s="1" t="str">
        <f>"000285939 - RICH FOODS-GRANITE CITY"</f>
        <v>000285939 - RICH FOODS-GRANITE CITY</v>
      </c>
      <c r="C11743" t="s">
        <v>820</v>
      </c>
      <c r="D11743" s="1" t="str">
        <f t="shared" si="323"/>
        <v>PRG-1036818</v>
      </c>
      <c r="E11743" t="s">
        <v>846</v>
      </c>
      <c r="F11743" t="s">
        <v>4</v>
      </c>
      <c r="G11743" t="str">
        <f>""</f>
        <v/>
      </c>
    </row>
    <row r="11744" spans="1:7" x14ac:dyDescent="0.25">
      <c r="A11744" t="s">
        <v>8</v>
      </c>
      <c r="B11744" s="1" t="str">
        <f>"000300412 - "</f>
        <v xml:space="preserve">000300412 - </v>
      </c>
      <c r="D11744" s="1" t="str">
        <f t="shared" si="323"/>
        <v>PRG-1036818</v>
      </c>
      <c r="E11744" t="s">
        <v>846</v>
      </c>
      <c r="F11744" t="s">
        <v>4</v>
      </c>
      <c r="G11744" t="str">
        <f>""</f>
        <v/>
      </c>
    </row>
    <row r="11745" spans="1:7" x14ac:dyDescent="0.25">
      <c r="A11745" t="s">
        <v>8</v>
      </c>
      <c r="B11745" s="1" t="str">
        <f>"000309814 - RICH FOODS-GRANITE CITY"</f>
        <v>000309814 - RICH FOODS-GRANITE CITY</v>
      </c>
      <c r="C11745" t="s">
        <v>820</v>
      </c>
      <c r="D11745" s="1" t="str">
        <f t="shared" si="323"/>
        <v>PRG-1036818</v>
      </c>
      <c r="E11745" t="s">
        <v>846</v>
      </c>
      <c r="F11745" t="s">
        <v>4</v>
      </c>
      <c r="G11745" t="str">
        <f>""</f>
        <v/>
      </c>
    </row>
    <row r="11746" spans="1:7" x14ac:dyDescent="0.25">
      <c r="A11746" t="s">
        <v>8</v>
      </c>
      <c r="B11746" s="1" t="str">
        <f>"000320942 - RICH FOODS-GRANITE CITY"</f>
        <v>000320942 - RICH FOODS-GRANITE CITY</v>
      </c>
      <c r="C11746" t="s">
        <v>820</v>
      </c>
      <c r="D11746" s="1" t="str">
        <f t="shared" si="323"/>
        <v>PRG-1036818</v>
      </c>
      <c r="E11746" t="s">
        <v>846</v>
      </c>
      <c r="F11746" t="s">
        <v>4</v>
      </c>
      <c r="G11746" t="str">
        <f>""</f>
        <v/>
      </c>
    </row>
    <row r="11747" spans="1:7" x14ac:dyDescent="0.25">
      <c r="A11747" t="s">
        <v>8</v>
      </c>
      <c r="B11747" s="1" t="str">
        <f>"000348289 - RICH FOODS-GRANITE CITY"</f>
        <v>000348289 - RICH FOODS-GRANITE CITY</v>
      </c>
      <c r="C11747" t="s">
        <v>820</v>
      </c>
      <c r="D11747" s="1" t="str">
        <f t="shared" si="323"/>
        <v>PRG-1036818</v>
      </c>
      <c r="E11747" t="s">
        <v>846</v>
      </c>
      <c r="F11747" t="s">
        <v>4</v>
      </c>
      <c r="G11747" t="str">
        <f>""</f>
        <v/>
      </c>
    </row>
    <row r="11748" spans="1:7" x14ac:dyDescent="0.25">
      <c r="A11748" t="s">
        <v>8</v>
      </c>
      <c r="B11748" s="1" t="str">
        <f>"000350755 - "</f>
        <v xml:space="preserve">000350755 - </v>
      </c>
      <c r="D11748" s="1" t="str">
        <f t="shared" si="323"/>
        <v>PRG-1036818</v>
      </c>
      <c r="E11748" t="s">
        <v>846</v>
      </c>
      <c r="F11748" t="s">
        <v>4</v>
      </c>
      <c r="G11748" t="str">
        <f>""</f>
        <v/>
      </c>
    </row>
    <row r="11749" spans="1:7" x14ac:dyDescent="0.25">
      <c r="A11749" t="s">
        <v>8</v>
      </c>
      <c r="B11749" s="1" t="str">
        <f>"000378150 - RICH FOODS-GRANITE CITY"</f>
        <v>000378150 - RICH FOODS-GRANITE CITY</v>
      </c>
      <c r="C11749" t="s">
        <v>820</v>
      </c>
      <c r="D11749" s="1" t="str">
        <f t="shared" si="323"/>
        <v>PRG-1036818</v>
      </c>
      <c r="E11749" t="s">
        <v>846</v>
      </c>
      <c r="F11749" t="s">
        <v>4</v>
      </c>
      <c r="G11749" t="str">
        <f>""</f>
        <v/>
      </c>
    </row>
    <row r="11750" spans="1:7" x14ac:dyDescent="0.25">
      <c r="A11750" t="s">
        <v>8</v>
      </c>
      <c r="B11750" s="1" t="str">
        <f>"000325321 - RICHS CASA DI BERTACCHI-SODEXO"</f>
        <v>000325321 - RICHS CASA DI BERTACCHI-SODEXO</v>
      </c>
      <c r="C11750" t="s">
        <v>121</v>
      </c>
      <c r="D11750" s="1" t="str">
        <f>"PRG-1036843"</f>
        <v>PRG-1036843</v>
      </c>
      <c r="E11750" t="s">
        <v>36</v>
      </c>
      <c r="F11750" t="s">
        <v>4</v>
      </c>
      <c r="G11750" t="str">
        <f>""</f>
        <v/>
      </c>
    </row>
    <row r="11751" spans="1:7" x14ac:dyDescent="0.25">
      <c r="A11751" t="s">
        <v>8</v>
      </c>
      <c r="B11751" s="1" t="str">
        <f>"2000273004 - CASA DI(MEATBALLS)-SODEXO"</f>
        <v>2000273004 - CASA DI(MEATBALLS)-SODEXO</v>
      </c>
      <c r="C11751" t="s">
        <v>3839</v>
      </c>
      <c r="D11751" s="1" t="str">
        <f>"PRG-1036843"</f>
        <v>PRG-1036843</v>
      </c>
      <c r="E11751" t="s">
        <v>36</v>
      </c>
      <c r="F11751" t="s">
        <v>4</v>
      </c>
      <c r="G11751" t="str">
        <f>""</f>
        <v/>
      </c>
    </row>
    <row r="11752" spans="1:7" x14ac:dyDescent="0.25">
      <c r="A11752" t="s">
        <v>8</v>
      </c>
      <c r="B11752" s="1" t="str">
        <f>"000343368 - "</f>
        <v xml:space="preserve">000343368 - </v>
      </c>
      <c r="D11752" s="1" t="str">
        <f>"PRG-1036901"</f>
        <v>PRG-1036901</v>
      </c>
      <c r="E11752" t="s">
        <v>3444</v>
      </c>
      <c r="F11752" t="s">
        <v>4</v>
      </c>
      <c r="G11752" t="str">
        <f>""</f>
        <v/>
      </c>
    </row>
    <row r="11753" spans="1:7" x14ac:dyDescent="0.25">
      <c r="A11753" t="s">
        <v>8</v>
      </c>
      <c r="B11753" s="1" t="str">
        <f>"000003653 - CASA DIBRTACHI PROTEIN-ARAMARK"</f>
        <v>000003653 - CASA DIBRTACHI PROTEIN-ARAMARK</v>
      </c>
      <c r="C11753" t="s">
        <v>122</v>
      </c>
      <c r="D11753" s="1" t="str">
        <f t="shared" ref="D11753:D11784" si="324">"PRG-1036911"</f>
        <v>PRG-1036911</v>
      </c>
      <c r="E11753" t="s">
        <v>184</v>
      </c>
      <c r="F11753" t="s">
        <v>4</v>
      </c>
      <c r="G11753" t="str">
        <f>""</f>
        <v/>
      </c>
    </row>
    <row r="11754" spans="1:7" x14ac:dyDescent="0.25">
      <c r="A11754" t="s">
        <v>8</v>
      </c>
      <c r="B11754" s="1" t="str">
        <f>"000006812 - CASA DIBRITACHI PROTEIN-ARMARK"</f>
        <v>000006812 - CASA DIBRITACHI PROTEIN-ARMARK</v>
      </c>
      <c r="C11754" t="s">
        <v>246</v>
      </c>
      <c r="D11754" s="1" t="str">
        <f t="shared" si="324"/>
        <v>PRG-1036911</v>
      </c>
      <c r="E11754" t="s">
        <v>184</v>
      </c>
      <c r="F11754" t="s">
        <v>4</v>
      </c>
      <c r="G11754" t="str">
        <f>""</f>
        <v/>
      </c>
    </row>
    <row r="11755" spans="1:7" x14ac:dyDescent="0.25">
      <c r="A11755" t="s">
        <v>8</v>
      </c>
      <c r="B11755" s="1" t="str">
        <f>"000007421 - CASA DIBRTACHI-SSS ARAMARK"</f>
        <v>000007421 - CASA DIBRTACHI-SSS ARAMARK</v>
      </c>
      <c r="C11755" t="s">
        <v>261</v>
      </c>
      <c r="D11755" s="1" t="str">
        <f t="shared" si="324"/>
        <v>PRG-1036911</v>
      </c>
      <c r="E11755" t="s">
        <v>184</v>
      </c>
      <c r="F11755" t="s">
        <v>4</v>
      </c>
      <c r="G11755" t="str">
        <f>""</f>
        <v/>
      </c>
    </row>
    <row r="11756" spans="1:7" x14ac:dyDescent="0.25">
      <c r="A11756" t="s">
        <v>8</v>
      </c>
      <c r="B11756" s="1" t="str">
        <f>"000007650 - CASA DIBRTACHI PROTEIN-ARAMARK"</f>
        <v>000007650 - CASA DIBRTACHI PROTEIN-ARAMARK</v>
      </c>
      <c r="C11756" t="s">
        <v>122</v>
      </c>
      <c r="D11756" s="1" t="str">
        <f t="shared" si="324"/>
        <v>PRG-1036911</v>
      </c>
      <c r="E11756" t="s">
        <v>184</v>
      </c>
      <c r="F11756" t="s">
        <v>4</v>
      </c>
      <c r="G11756" t="str">
        <f>""</f>
        <v/>
      </c>
    </row>
    <row r="11757" spans="1:7" x14ac:dyDescent="0.25">
      <c r="A11757" t="s">
        <v>8</v>
      </c>
      <c r="B11757" s="1" t="str">
        <f>"000008602 - "</f>
        <v xml:space="preserve">000008602 - </v>
      </c>
      <c r="D11757" s="1" t="str">
        <f t="shared" si="324"/>
        <v>PRG-1036911</v>
      </c>
      <c r="E11757" t="s">
        <v>184</v>
      </c>
      <c r="F11757" t="s">
        <v>4</v>
      </c>
      <c r="G11757" t="str">
        <f>""</f>
        <v/>
      </c>
    </row>
    <row r="11758" spans="1:7" x14ac:dyDescent="0.25">
      <c r="A11758" t="s">
        <v>8</v>
      </c>
      <c r="B11758" s="1" t="str">
        <f>"000013199 - CASA DIBRTACHI PROTEIN-ARAMARK"</f>
        <v>000013199 - CASA DIBRTACHI PROTEIN-ARAMARK</v>
      </c>
      <c r="C11758" t="s">
        <v>122</v>
      </c>
      <c r="D11758" s="1" t="str">
        <f t="shared" si="324"/>
        <v>PRG-1036911</v>
      </c>
      <c r="E11758" t="s">
        <v>184</v>
      </c>
      <c r="F11758" t="s">
        <v>4</v>
      </c>
      <c r="G11758" t="str">
        <f>""</f>
        <v/>
      </c>
    </row>
    <row r="11759" spans="1:7" x14ac:dyDescent="0.25">
      <c r="A11759" t="s">
        <v>8</v>
      </c>
      <c r="B11759" s="1" t="str">
        <f>"000015428 - CASA DIBRITACHI PROTEIN-ARMARK"</f>
        <v>000015428 - CASA DIBRITACHI PROTEIN-ARMARK</v>
      </c>
      <c r="C11759" t="s">
        <v>246</v>
      </c>
      <c r="D11759" s="1" t="str">
        <f t="shared" si="324"/>
        <v>PRG-1036911</v>
      </c>
      <c r="E11759" t="s">
        <v>184</v>
      </c>
      <c r="F11759" t="s">
        <v>4</v>
      </c>
      <c r="G11759" t="str">
        <f>""</f>
        <v/>
      </c>
    </row>
    <row r="11760" spans="1:7" x14ac:dyDescent="0.25">
      <c r="A11760" t="s">
        <v>8</v>
      </c>
      <c r="B11760" s="1" t="str">
        <f>"000015613 - "</f>
        <v xml:space="preserve">000015613 - </v>
      </c>
      <c r="D11760" s="1" t="str">
        <f t="shared" si="324"/>
        <v>PRG-1036911</v>
      </c>
      <c r="E11760" t="s">
        <v>184</v>
      </c>
      <c r="F11760" t="s">
        <v>4</v>
      </c>
      <c r="G11760" t="str">
        <f>""</f>
        <v/>
      </c>
    </row>
    <row r="11761" spans="1:7" x14ac:dyDescent="0.25">
      <c r="A11761" t="s">
        <v>8</v>
      </c>
      <c r="B11761" s="1" t="str">
        <f>"000056809 - CASA DIBRTACHI PROTEIN-ARAMARK"</f>
        <v>000056809 - CASA DIBRTACHI PROTEIN-ARAMARK</v>
      </c>
      <c r="C11761" t="s">
        <v>122</v>
      </c>
      <c r="D11761" s="1" t="str">
        <f t="shared" si="324"/>
        <v>PRG-1036911</v>
      </c>
      <c r="E11761" t="s">
        <v>184</v>
      </c>
      <c r="F11761" t="s">
        <v>4</v>
      </c>
      <c r="G11761" t="str">
        <f>""</f>
        <v/>
      </c>
    </row>
    <row r="11762" spans="1:7" x14ac:dyDescent="0.25">
      <c r="A11762" t="s">
        <v>8</v>
      </c>
      <c r="B11762" s="1" t="str">
        <f>"000059337 - CASA DIBRTACHI PROTEIN-ARAMARK"</f>
        <v>000059337 - CASA DIBRTACHI PROTEIN-ARAMARK</v>
      </c>
      <c r="C11762" t="s">
        <v>122</v>
      </c>
      <c r="D11762" s="1" t="str">
        <f t="shared" si="324"/>
        <v>PRG-1036911</v>
      </c>
      <c r="E11762" t="s">
        <v>184</v>
      </c>
      <c r="F11762" t="s">
        <v>4</v>
      </c>
      <c r="G11762" t="str">
        <f>""</f>
        <v/>
      </c>
    </row>
    <row r="11763" spans="1:7" x14ac:dyDescent="0.25">
      <c r="A11763" t="s">
        <v>8</v>
      </c>
      <c r="B11763" s="1" t="str">
        <f>"000059342 - CASA DIBRTACHI-SSS ARAMARK"</f>
        <v>000059342 - CASA DIBRTACHI-SSS ARAMARK</v>
      </c>
      <c r="C11763" t="s">
        <v>261</v>
      </c>
      <c r="D11763" s="1" t="str">
        <f t="shared" si="324"/>
        <v>PRG-1036911</v>
      </c>
      <c r="E11763" t="s">
        <v>184</v>
      </c>
      <c r="F11763" t="s">
        <v>4</v>
      </c>
      <c r="G11763" t="str">
        <f>""</f>
        <v/>
      </c>
    </row>
    <row r="11764" spans="1:7" x14ac:dyDescent="0.25">
      <c r="A11764" t="s">
        <v>8</v>
      </c>
      <c r="B11764" s="1" t="str">
        <f>"000073637 - CASA DIBRTACHI PROTEIN-ARAMARK"</f>
        <v>000073637 - CASA DIBRTACHI PROTEIN-ARAMARK</v>
      </c>
      <c r="C11764" t="s">
        <v>122</v>
      </c>
      <c r="D11764" s="1" t="str">
        <f t="shared" si="324"/>
        <v>PRG-1036911</v>
      </c>
      <c r="E11764" t="s">
        <v>184</v>
      </c>
      <c r="F11764" t="s">
        <v>4</v>
      </c>
      <c r="G11764" t="str">
        <f>""</f>
        <v/>
      </c>
    </row>
    <row r="11765" spans="1:7" x14ac:dyDescent="0.25">
      <c r="A11765" t="s">
        <v>8</v>
      </c>
      <c r="B11765" s="1" t="str">
        <f>"000130261 - CASA DIBRTACHI PROTEIN-ARAMARK"</f>
        <v>000130261 - CASA DIBRTACHI PROTEIN-ARAMARK</v>
      </c>
      <c r="C11765" t="s">
        <v>122</v>
      </c>
      <c r="D11765" s="1" t="str">
        <f t="shared" si="324"/>
        <v>PRG-1036911</v>
      </c>
      <c r="E11765" t="s">
        <v>184</v>
      </c>
      <c r="F11765" t="s">
        <v>4</v>
      </c>
      <c r="G11765" t="str">
        <f>""</f>
        <v/>
      </c>
    </row>
    <row r="11766" spans="1:7" x14ac:dyDescent="0.25">
      <c r="A11766" t="s">
        <v>8</v>
      </c>
      <c r="B11766" s="1" t="str">
        <f>"000134370 - CASA DIBRTACHI PROTEIN-ARAMARK"</f>
        <v>000134370 - CASA DIBRTACHI PROTEIN-ARAMARK</v>
      </c>
      <c r="C11766" t="s">
        <v>122</v>
      </c>
      <c r="D11766" s="1" t="str">
        <f t="shared" si="324"/>
        <v>PRG-1036911</v>
      </c>
      <c r="E11766" t="s">
        <v>184</v>
      </c>
      <c r="F11766" t="s">
        <v>4</v>
      </c>
      <c r="G11766" t="str">
        <f>""</f>
        <v/>
      </c>
    </row>
    <row r="11767" spans="1:7" x14ac:dyDescent="0.25">
      <c r="A11767" t="s">
        <v>8</v>
      </c>
      <c r="B11767" s="1" t="str">
        <f>"000134375 - CASA DIBRTACHI-SSS ARAMARK"</f>
        <v>000134375 - CASA DIBRTACHI-SSS ARAMARK</v>
      </c>
      <c r="C11767" t="s">
        <v>261</v>
      </c>
      <c r="D11767" s="1" t="str">
        <f t="shared" si="324"/>
        <v>PRG-1036911</v>
      </c>
      <c r="E11767" t="s">
        <v>184</v>
      </c>
      <c r="F11767" t="s">
        <v>4</v>
      </c>
      <c r="G11767" t="str">
        <f>""</f>
        <v/>
      </c>
    </row>
    <row r="11768" spans="1:7" x14ac:dyDescent="0.25">
      <c r="A11768" t="s">
        <v>8</v>
      </c>
      <c r="B11768" s="1" t="str">
        <f>"000151840 - CASA DIBRTACHI PROTEIN-ARAMARK"</f>
        <v>000151840 - CASA DIBRTACHI PROTEIN-ARAMARK</v>
      </c>
      <c r="C11768" t="s">
        <v>122</v>
      </c>
      <c r="D11768" s="1" t="str">
        <f t="shared" si="324"/>
        <v>PRG-1036911</v>
      </c>
      <c r="E11768" t="s">
        <v>184</v>
      </c>
      <c r="F11768" t="s">
        <v>4</v>
      </c>
      <c r="G11768" t="str">
        <f>""</f>
        <v/>
      </c>
    </row>
    <row r="11769" spans="1:7" x14ac:dyDescent="0.25">
      <c r="A11769" t="s">
        <v>8</v>
      </c>
      <c r="B11769" s="1" t="str">
        <f>"000155216 - "</f>
        <v xml:space="preserve">000155216 - </v>
      </c>
      <c r="D11769" s="1" t="str">
        <f t="shared" si="324"/>
        <v>PRG-1036911</v>
      </c>
      <c r="E11769" t="s">
        <v>184</v>
      </c>
      <c r="F11769" t="s">
        <v>4</v>
      </c>
      <c r="G11769" t="str">
        <f>""</f>
        <v/>
      </c>
    </row>
    <row r="11770" spans="1:7" x14ac:dyDescent="0.25">
      <c r="A11770" t="s">
        <v>8</v>
      </c>
      <c r="B11770" s="1" t="str">
        <f>"000159913 - CASA DIBRTACHI PROTEIN-ARAMARK"</f>
        <v>000159913 - CASA DIBRTACHI PROTEIN-ARAMARK</v>
      </c>
      <c r="C11770" t="s">
        <v>122</v>
      </c>
      <c r="D11770" s="1" t="str">
        <f t="shared" si="324"/>
        <v>PRG-1036911</v>
      </c>
      <c r="E11770" t="s">
        <v>184</v>
      </c>
      <c r="F11770" t="s">
        <v>4</v>
      </c>
      <c r="G11770" t="str">
        <f>""</f>
        <v/>
      </c>
    </row>
    <row r="11771" spans="1:7" x14ac:dyDescent="0.25">
      <c r="A11771" t="s">
        <v>8</v>
      </c>
      <c r="B11771" s="1" t="str">
        <f>"000178112 - "</f>
        <v xml:space="preserve">000178112 - </v>
      </c>
      <c r="D11771" s="1" t="str">
        <f t="shared" si="324"/>
        <v>PRG-1036911</v>
      </c>
      <c r="E11771" t="s">
        <v>184</v>
      </c>
      <c r="F11771" t="s">
        <v>4</v>
      </c>
      <c r="G11771" t="str">
        <f>""</f>
        <v/>
      </c>
    </row>
    <row r="11772" spans="1:7" x14ac:dyDescent="0.25">
      <c r="A11772" t="s">
        <v>8</v>
      </c>
      <c r="B11772" s="1" t="str">
        <f>"000220108 - CASA DIBRTACHI PROTEIN-ARAMARK"</f>
        <v>000220108 - CASA DIBRTACHI PROTEIN-ARAMARK</v>
      </c>
      <c r="C11772" t="s">
        <v>122</v>
      </c>
      <c r="D11772" s="1" t="str">
        <f t="shared" si="324"/>
        <v>PRG-1036911</v>
      </c>
      <c r="E11772" t="s">
        <v>184</v>
      </c>
      <c r="F11772" t="s">
        <v>4</v>
      </c>
      <c r="G11772" t="str">
        <f>""</f>
        <v/>
      </c>
    </row>
    <row r="11773" spans="1:7" x14ac:dyDescent="0.25">
      <c r="A11773" t="s">
        <v>8</v>
      </c>
      <c r="B11773" s="1" t="str">
        <f>"000224047 - CASA DIBRTACHI PROTEIN-ARAMARK"</f>
        <v>000224047 - CASA DIBRTACHI PROTEIN-ARAMARK</v>
      </c>
      <c r="C11773" t="s">
        <v>122</v>
      </c>
      <c r="D11773" s="1" t="str">
        <f t="shared" si="324"/>
        <v>PRG-1036911</v>
      </c>
      <c r="E11773" t="s">
        <v>184</v>
      </c>
      <c r="F11773" t="s">
        <v>4</v>
      </c>
      <c r="G11773" t="str">
        <f>""</f>
        <v/>
      </c>
    </row>
    <row r="11774" spans="1:7" x14ac:dyDescent="0.25">
      <c r="A11774" t="s">
        <v>8</v>
      </c>
      <c r="B11774" s="1" t="str">
        <f>"000227017 - CASA DIBRTACHI PROTEIN-ARAMARK"</f>
        <v>000227017 - CASA DIBRTACHI PROTEIN-ARAMARK</v>
      </c>
      <c r="C11774" t="s">
        <v>122</v>
      </c>
      <c r="D11774" s="1" t="str">
        <f t="shared" si="324"/>
        <v>PRG-1036911</v>
      </c>
      <c r="E11774" t="s">
        <v>184</v>
      </c>
      <c r="F11774" t="s">
        <v>4</v>
      </c>
      <c r="G11774" t="str">
        <f>""</f>
        <v/>
      </c>
    </row>
    <row r="11775" spans="1:7" x14ac:dyDescent="0.25">
      <c r="A11775" t="s">
        <v>8</v>
      </c>
      <c r="B11775" s="1" t="str">
        <f>"000235804 - CASA DIBRITACHI PROTEIN-ARMARK"</f>
        <v>000235804 - CASA DIBRITACHI PROTEIN-ARMARK</v>
      </c>
      <c r="C11775" t="s">
        <v>246</v>
      </c>
      <c r="D11775" s="1" t="str">
        <f t="shared" si="324"/>
        <v>PRG-1036911</v>
      </c>
      <c r="E11775" t="s">
        <v>184</v>
      </c>
      <c r="F11775" t="s">
        <v>4</v>
      </c>
      <c r="G11775" t="str">
        <f>""</f>
        <v/>
      </c>
    </row>
    <row r="11776" spans="1:7" x14ac:dyDescent="0.25">
      <c r="A11776" t="s">
        <v>8</v>
      </c>
      <c r="B11776" s="1" t="str">
        <f>"000235865 - CASA DIBRTACHI PROTEIN-ARAMARK"</f>
        <v>000235865 - CASA DIBRTACHI PROTEIN-ARAMARK</v>
      </c>
      <c r="C11776" t="s">
        <v>122</v>
      </c>
      <c r="D11776" s="1" t="str">
        <f t="shared" si="324"/>
        <v>PRG-1036911</v>
      </c>
      <c r="E11776" t="s">
        <v>184</v>
      </c>
      <c r="F11776" t="s">
        <v>4</v>
      </c>
      <c r="G11776" t="str">
        <f>""</f>
        <v/>
      </c>
    </row>
    <row r="11777" spans="1:7" x14ac:dyDescent="0.25">
      <c r="A11777" t="s">
        <v>8</v>
      </c>
      <c r="B11777" s="1" t="str">
        <f>"000243400 - CASA DIBRTACHI PROTEIN-ARAMARK"</f>
        <v>000243400 - CASA DIBRTACHI PROTEIN-ARAMARK</v>
      </c>
      <c r="C11777" t="s">
        <v>122</v>
      </c>
      <c r="D11777" s="1" t="str">
        <f t="shared" si="324"/>
        <v>PRG-1036911</v>
      </c>
      <c r="E11777" t="s">
        <v>184</v>
      </c>
      <c r="F11777" t="s">
        <v>4</v>
      </c>
      <c r="G11777" t="str">
        <f>""</f>
        <v/>
      </c>
    </row>
    <row r="11778" spans="1:7" x14ac:dyDescent="0.25">
      <c r="A11778" t="s">
        <v>8</v>
      </c>
      <c r="B11778" s="1" t="str">
        <f>"000243408 - CASA DIBRTACHI-SSS ARAMARK"</f>
        <v>000243408 - CASA DIBRTACHI-SSS ARAMARK</v>
      </c>
      <c r="C11778" t="s">
        <v>261</v>
      </c>
      <c r="D11778" s="1" t="str">
        <f t="shared" si="324"/>
        <v>PRG-1036911</v>
      </c>
      <c r="E11778" t="s">
        <v>184</v>
      </c>
      <c r="F11778" t="s">
        <v>4</v>
      </c>
      <c r="G11778" t="str">
        <f>""</f>
        <v/>
      </c>
    </row>
    <row r="11779" spans="1:7" x14ac:dyDescent="0.25">
      <c r="A11779" t="s">
        <v>8</v>
      </c>
      <c r="B11779" s="1" t="str">
        <f>"000246339 - CASA DIBRTACHI PROTEIN-ARAMARK"</f>
        <v>000246339 - CASA DIBRTACHI PROTEIN-ARAMARK</v>
      </c>
      <c r="C11779" t="s">
        <v>122</v>
      </c>
      <c r="D11779" s="1" t="str">
        <f t="shared" si="324"/>
        <v>PRG-1036911</v>
      </c>
      <c r="E11779" t="s">
        <v>184</v>
      </c>
      <c r="F11779" t="s">
        <v>4</v>
      </c>
      <c r="G11779" t="str">
        <f>""</f>
        <v/>
      </c>
    </row>
    <row r="11780" spans="1:7" x14ac:dyDescent="0.25">
      <c r="A11780" t="s">
        <v>8</v>
      </c>
      <c r="B11780" s="1" t="str">
        <f>"000248961 - CASA DIBRTACHI PROTEIN-ARAMARK"</f>
        <v>000248961 - CASA DIBRTACHI PROTEIN-ARAMARK</v>
      </c>
      <c r="C11780" t="s">
        <v>122</v>
      </c>
      <c r="D11780" s="1" t="str">
        <f t="shared" si="324"/>
        <v>PRG-1036911</v>
      </c>
      <c r="E11780" t="s">
        <v>184</v>
      </c>
      <c r="F11780" t="s">
        <v>4</v>
      </c>
      <c r="G11780" t="str">
        <f>""</f>
        <v/>
      </c>
    </row>
    <row r="11781" spans="1:7" x14ac:dyDescent="0.25">
      <c r="A11781" t="s">
        <v>8</v>
      </c>
      <c r="B11781" s="1" t="str">
        <f>"000248966 - CASA DIBRTACHI-SSS ARAMARK"</f>
        <v>000248966 - CASA DIBRTACHI-SSS ARAMARK</v>
      </c>
      <c r="C11781" t="s">
        <v>261</v>
      </c>
      <c r="D11781" s="1" t="str">
        <f t="shared" si="324"/>
        <v>PRG-1036911</v>
      </c>
      <c r="E11781" t="s">
        <v>184</v>
      </c>
      <c r="F11781" t="s">
        <v>4</v>
      </c>
      <c r="G11781" t="str">
        <f>""</f>
        <v/>
      </c>
    </row>
    <row r="11782" spans="1:7" x14ac:dyDescent="0.25">
      <c r="A11782" t="s">
        <v>8</v>
      </c>
      <c r="B11782" s="1" t="str">
        <f>"000250043 - CASA DIBRTACHI PROTEIN-ARAMARK"</f>
        <v>000250043 - CASA DIBRTACHI PROTEIN-ARAMARK</v>
      </c>
      <c r="C11782" t="s">
        <v>122</v>
      </c>
      <c r="D11782" s="1" t="str">
        <f t="shared" si="324"/>
        <v>PRG-1036911</v>
      </c>
      <c r="E11782" t="s">
        <v>184</v>
      </c>
      <c r="F11782" t="s">
        <v>4</v>
      </c>
      <c r="G11782" t="str">
        <f>""</f>
        <v/>
      </c>
    </row>
    <row r="11783" spans="1:7" x14ac:dyDescent="0.25">
      <c r="A11783" t="s">
        <v>8</v>
      </c>
      <c r="B11783" s="1" t="str">
        <f>"000251638 - CASA DIBRTACHI PROTEIN-ARAMARK"</f>
        <v>000251638 - CASA DIBRTACHI PROTEIN-ARAMARK</v>
      </c>
      <c r="C11783" t="s">
        <v>122</v>
      </c>
      <c r="D11783" s="1" t="str">
        <f t="shared" si="324"/>
        <v>PRG-1036911</v>
      </c>
      <c r="E11783" t="s">
        <v>184</v>
      </c>
      <c r="F11783" t="s">
        <v>4</v>
      </c>
      <c r="G11783" t="str">
        <f>""</f>
        <v/>
      </c>
    </row>
    <row r="11784" spans="1:7" x14ac:dyDescent="0.25">
      <c r="A11784" t="s">
        <v>8</v>
      </c>
      <c r="B11784" s="1" t="str">
        <f>"000251642 - CASA DIBRTACHI-SSS ARAMARK"</f>
        <v>000251642 - CASA DIBRTACHI-SSS ARAMARK</v>
      </c>
      <c r="C11784" t="s">
        <v>261</v>
      </c>
      <c r="D11784" s="1" t="str">
        <f t="shared" si="324"/>
        <v>PRG-1036911</v>
      </c>
      <c r="E11784" t="s">
        <v>184</v>
      </c>
      <c r="F11784" t="s">
        <v>4</v>
      </c>
      <c r="G11784" t="str">
        <f>""</f>
        <v/>
      </c>
    </row>
    <row r="11785" spans="1:7" x14ac:dyDescent="0.25">
      <c r="A11785" t="s">
        <v>8</v>
      </c>
      <c r="B11785" s="1" t="str">
        <f>"000253165 - CASA DIBRTACHI PROTEIN-ARAMARK"</f>
        <v>000253165 - CASA DIBRTACHI PROTEIN-ARAMARK</v>
      </c>
      <c r="C11785" t="s">
        <v>122</v>
      </c>
      <c r="D11785" s="1" t="str">
        <f t="shared" ref="D11785:D11816" si="325">"PRG-1036911"</f>
        <v>PRG-1036911</v>
      </c>
      <c r="E11785" t="s">
        <v>184</v>
      </c>
      <c r="F11785" t="s">
        <v>4</v>
      </c>
      <c r="G11785" t="str">
        <f>""</f>
        <v/>
      </c>
    </row>
    <row r="11786" spans="1:7" x14ac:dyDescent="0.25">
      <c r="A11786" t="s">
        <v>8</v>
      </c>
      <c r="B11786" s="1" t="str">
        <f>"000253173 - CASA DIBRTACHI-SSS ARAMARK"</f>
        <v>000253173 - CASA DIBRTACHI-SSS ARAMARK</v>
      </c>
      <c r="C11786" t="s">
        <v>261</v>
      </c>
      <c r="D11786" s="1" t="str">
        <f t="shared" si="325"/>
        <v>PRG-1036911</v>
      </c>
      <c r="E11786" t="s">
        <v>184</v>
      </c>
      <c r="F11786" t="s">
        <v>4</v>
      </c>
      <c r="G11786" t="str">
        <f>""</f>
        <v/>
      </c>
    </row>
    <row r="11787" spans="1:7" x14ac:dyDescent="0.25">
      <c r="A11787" t="s">
        <v>8</v>
      </c>
      <c r="B11787" s="1" t="str">
        <f>"000253246 - "</f>
        <v xml:space="preserve">000253246 - </v>
      </c>
      <c r="D11787" s="1" t="str">
        <f t="shared" si="325"/>
        <v>PRG-1036911</v>
      </c>
      <c r="E11787" t="s">
        <v>184</v>
      </c>
      <c r="F11787" t="s">
        <v>4</v>
      </c>
      <c r="G11787" t="str">
        <f>""</f>
        <v/>
      </c>
    </row>
    <row r="11788" spans="1:7" x14ac:dyDescent="0.25">
      <c r="A11788" t="s">
        <v>8</v>
      </c>
      <c r="B11788" s="1" t="str">
        <f>"000256470 - CASA DIBRTACHI PROTEIN-ARAMARK"</f>
        <v>000256470 - CASA DIBRTACHI PROTEIN-ARAMARK</v>
      </c>
      <c r="C11788" t="s">
        <v>122</v>
      </c>
      <c r="D11788" s="1" t="str">
        <f t="shared" si="325"/>
        <v>PRG-1036911</v>
      </c>
      <c r="E11788" t="s">
        <v>184</v>
      </c>
      <c r="F11788" t="s">
        <v>4</v>
      </c>
      <c r="G11788" t="str">
        <f>""</f>
        <v/>
      </c>
    </row>
    <row r="11789" spans="1:7" x14ac:dyDescent="0.25">
      <c r="A11789" t="s">
        <v>8</v>
      </c>
      <c r="B11789" s="1" t="str">
        <f>"000260324 - CASA DIBRTACHI PROTEIN-ARAMARK"</f>
        <v>000260324 - CASA DIBRTACHI PROTEIN-ARAMARK</v>
      </c>
      <c r="C11789" t="s">
        <v>122</v>
      </c>
      <c r="D11789" s="1" t="str">
        <f t="shared" si="325"/>
        <v>PRG-1036911</v>
      </c>
      <c r="E11789" t="s">
        <v>184</v>
      </c>
      <c r="F11789" t="s">
        <v>4</v>
      </c>
      <c r="G11789" t="str">
        <f>""</f>
        <v/>
      </c>
    </row>
    <row r="11790" spans="1:7" x14ac:dyDescent="0.25">
      <c r="A11790" t="s">
        <v>8</v>
      </c>
      <c r="B11790" s="1" t="str">
        <f>"000260329 - CASA DIBRTACHI-SSS ARAMARK"</f>
        <v>000260329 - CASA DIBRTACHI-SSS ARAMARK</v>
      </c>
      <c r="C11790" t="s">
        <v>261</v>
      </c>
      <c r="D11790" s="1" t="str">
        <f t="shared" si="325"/>
        <v>PRG-1036911</v>
      </c>
      <c r="E11790" t="s">
        <v>184</v>
      </c>
      <c r="F11790" t="s">
        <v>4</v>
      </c>
      <c r="G11790" t="str">
        <f>""</f>
        <v/>
      </c>
    </row>
    <row r="11791" spans="1:7" x14ac:dyDescent="0.25">
      <c r="A11791" t="s">
        <v>8</v>
      </c>
      <c r="B11791" s="1" t="str">
        <f>"000260551 - CASA DIBRITACHI PROTEIN-ARMARK"</f>
        <v>000260551 - CASA DIBRITACHI PROTEIN-ARMARK</v>
      </c>
      <c r="C11791" t="s">
        <v>246</v>
      </c>
      <c r="D11791" s="1" t="str">
        <f t="shared" si="325"/>
        <v>PRG-1036911</v>
      </c>
      <c r="E11791" t="s">
        <v>184</v>
      </c>
      <c r="F11791" t="s">
        <v>4</v>
      </c>
      <c r="G11791" t="str">
        <f>""</f>
        <v/>
      </c>
    </row>
    <row r="11792" spans="1:7" x14ac:dyDescent="0.25">
      <c r="A11792" t="s">
        <v>8</v>
      </c>
      <c r="B11792" s="1" t="str">
        <f>"000266669 - "</f>
        <v xml:space="preserve">000266669 - </v>
      </c>
      <c r="D11792" s="1" t="str">
        <f t="shared" si="325"/>
        <v>PRG-1036911</v>
      </c>
      <c r="E11792" t="s">
        <v>184</v>
      </c>
      <c r="F11792" t="s">
        <v>4</v>
      </c>
      <c r="G11792" t="str">
        <f>""</f>
        <v/>
      </c>
    </row>
    <row r="11793" spans="1:7" x14ac:dyDescent="0.25">
      <c r="A11793" t="s">
        <v>8</v>
      </c>
      <c r="B11793" s="1" t="str">
        <f>"000266674 - "</f>
        <v xml:space="preserve">000266674 - </v>
      </c>
      <c r="D11793" s="1" t="str">
        <f t="shared" si="325"/>
        <v>PRG-1036911</v>
      </c>
      <c r="E11793" t="s">
        <v>184</v>
      </c>
      <c r="F11793" t="s">
        <v>4</v>
      </c>
      <c r="G11793" t="str">
        <f>""</f>
        <v/>
      </c>
    </row>
    <row r="11794" spans="1:7" x14ac:dyDescent="0.25">
      <c r="A11794" t="s">
        <v>8</v>
      </c>
      <c r="B11794" s="1" t="str">
        <f>"000268056 - "</f>
        <v xml:space="preserve">000268056 - </v>
      </c>
      <c r="D11794" s="1" t="str">
        <f t="shared" si="325"/>
        <v>PRG-1036911</v>
      </c>
      <c r="E11794" t="s">
        <v>184</v>
      </c>
      <c r="F11794" t="s">
        <v>4</v>
      </c>
      <c r="G11794" t="str">
        <f>""</f>
        <v/>
      </c>
    </row>
    <row r="11795" spans="1:7" x14ac:dyDescent="0.25">
      <c r="A11795" t="s">
        <v>8</v>
      </c>
      <c r="B11795" s="1" t="str">
        <f>"000268843 - CASA DIBRTACHI PROTEIN-ARAMARK"</f>
        <v>000268843 - CASA DIBRTACHI PROTEIN-ARAMARK</v>
      </c>
      <c r="C11795" t="s">
        <v>122</v>
      </c>
      <c r="D11795" s="1" t="str">
        <f t="shared" si="325"/>
        <v>PRG-1036911</v>
      </c>
      <c r="E11795" t="s">
        <v>184</v>
      </c>
      <c r="F11795" t="s">
        <v>4</v>
      </c>
      <c r="G11795" t="str">
        <f>""</f>
        <v/>
      </c>
    </row>
    <row r="11796" spans="1:7" x14ac:dyDescent="0.25">
      <c r="A11796" t="s">
        <v>8</v>
      </c>
      <c r="B11796" s="1" t="str">
        <f>"000268851 - CASA DIBRTACHI-SSS ARAMARK"</f>
        <v>000268851 - CASA DIBRTACHI-SSS ARAMARK</v>
      </c>
      <c r="C11796" t="s">
        <v>261</v>
      </c>
      <c r="D11796" s="1" t="str">
        <f t="shared" si="325"/>
        <v>PRG-1036911</v>
      </c>
      <c r="E11796" t="s">
        <v>184</v>
      </c>
      <c r="F11796" t="s">
        <v>4</v>
      </c>
      <c r="G11796" t="str">
        <f>""</f>
        <v/>
      </c>
    </row>
    <row r="11797" spans="1:7" x14ac:dyDescent="0.25">
      <c r="A11797" t="s">
        <v>8</v>
      </c>
      <c r="B11797" s="1" t="str">
        <f>"000271430 - CASA DIBRTACHI PROTEIN-ARAMARK"</f>
        <v>000271430 - CASA DIBRTACHI PROTEIN-ARAMARK</v>
      </c>
      <c r="C11797" t="s">
        <v>122</v>
      </c>
      <c r="D11797" s="1" t="str">
        <f t="shared" si="325"/>
        <v>PRG-1036911</v>
      </c>
      <c r="E11797" t="s">
        <v>184</v>
      </c>
      <c r="F11797" t="s">
        <v>4</v>
      </c>
      <c r="G11797" t="str">
        <f>""</f>
        <v/>
      </c>
    </row>
    <row r="11798" spans="1:7" x14ac:dyDescent="0.25">
      <c r="A11798" t="s">
        <v>8</v>
      </c>
      <c r="B11798" s="1" t="str">
        <f>"000271435 - CASA DIBRTACHI-SSS ARAMARK"</f>
        <v>000271435 - CASA DIBRTACHI-SSS ARAMARK</v>
      </c>
      <c r="C11798" t="s">
        <v>261</v>
      </c>
      <c r="D11798" s="1" t="str">
        <f t="shared" si="325"/>
        <v>PRG-1036911</v>
      </c>
      <c r="E11798" t="s">
        <v>184</v>
      </c>
      <c r="F11798" t="s">
        <v>4</v>
      </c>
      <c r="G11798" t="str">
        <f>""</f>
        <v/>
      </c>
    </row>
    <row r="11799" spans="1:7" x14ac:dyDescent="0.25">
      <c r="A11799" t="s">
        <v>8</v>
      </c>
      <c r="B11799" s="1" t="str">
        <f>"000273468 - CASA DIBRTACHI PROTEIN-ARAMARK"</f>
        <v>000273468 - CASA DIBRTACHI PROTEIN-ARAMARK</v>
      </c>
      <c r="C11799" t="s">
        <v>122</v>
      </c>
      <c r="D11799" s="1" t="str">
        <f t="shared" si="325"/>
        <v>PRG-1036911</v>
      </c>
      <c r="E11799" t="s">
        <v>184</v>
      </c>
      <c r="F11799" t="s">
        <v>4</v>
      </c>
      <c r="G11799" t="str">
        <f>""</f>
        <v/>
      </c>
    </row>
    <row r="11800" spans="1:7" x14ac:dyDescent="0.25">
      <c r="A11800" t="s">
        <v>8</v>
      </c>
      <c r="B11800" s="1" t="str">
        <f>"000274584 - CASA DIBRTACHI PROTEIN-ARAMARK"</f>
        <v>000274584 - CASA DIBRTACHI PROTEIN-ARAMARK</v>
      </c>
      <c r="C11800" t="s">
        <v>122</v>
      </c>
      <c r="D11800" s="1" t="str">
        <f t="shared" si="325"/>
        <v>PRG-1036911</v>
      </c>
      <c r="E11800" t="s">
        <v>184</v>
      </c>
      <c r="F11800" t="s">
        <v>4</v>
      </c>
      <c r="G11800" t="str">
        <f>""</f>
        <v/>
      </c>
    </row>
    <row r="11801" spans="1:7" x14ac:dyDescent="0.25">
      <c r="A11801" t="s">
        <v>8</v>
      </c>
      <c r="B11801" s="1" t="str">
        <f>"000275061 - CASA DIBRTACHI PROTEIN-ARAMARK"</f>
        <v>000275061 - CASA DIBRTACHI PROTEIN-ARAMARK</v>
      </c>
      <c r="C11801" t="s">
        <v>122</v>
      </c>
      <c r="D11801" s="1" t="str">
        <f t="shared" si="325"/>
        <v>PRG-1036911</v>
      </c>
      <c r="E11801" t="s">
        <v>184</v>
      </c>
      <c r="F11801" t="s">
        <v>4</v>
      </c>
      <c r="G11801" t="str">
        <f>""</f>
        <v/>
      </c>
    </row>
    <row r="11802" spans="1:7" x14ac:dyDescent="0.25">
      <c r="A11802" t="s">
        <v>8</v>
      </c>
      <c r="B11802" s="1" t="str">
        <f>"000276625 - CASA DIBRTACHI PROTEIN-ARAMARK"</f>
        <v>000276625 - CASA DIBRTACHI PROTEIN-ARAMARK</v>
      </c>
      <c r="C11802" t="s">
        <v>122</v>
      </c>
      <c r="D11802" s="1" t="str">
        <f t="shared" si="325"/>
        <v>PRG-1036911</v>
      </c>
      <c r="E11802" t="s">
        <v>184</v>
      </c>
      <c r="F11802" t="s">
        <v>4</v>
      </c>
      <c r="G11802" t="str">
        <f>""</f>
        <v/>
      </c>
    </row>
    <row r="11803" spans="1:7" x14ac:dyDescent="0.25">
      <c r="A11803" t="s">
        <v>8</v>
      </c>
      <c r="B11803" s="1" t="str">
        <f>"000276718 - CASA DIBRTACHI PROTEIN-ARAMARK"</f>
        <v>000276718 - CASA DIBRTACHI PROTEIN-ARAMARK</v>
      </c>
      <c r="C11803" t="s">
        <v>122</v>
      </c>
      <c r="D11803" s="1" t="str">
        <f t="shared" si="325"/>
        <v>PRG-1036911</v>
      </c>
      <c r="E11803" t="s">
        <v>184</v>
      </c>
      <c r="F11803" t="s">
        <v>4</v>
      </c>
      <c r="G11803" t="str">
        <f>""</f>
        <v/>
      </c>
    </row>
    <row r="11804" spans="1:7" x14ac:dyDescent="0.25">
      <c r="A11804" t="s">
        <v>8</v>
      </c>
      <c r="B11804" s="1" t="str">
        <f>"000276725 - CASA DIBRTACHI-SSS ARAMARK"</f>
        <v>000276725 - CASA DIBRTACHI-SSS ARAMARK</v>
      </c>
      <c r="C11804" t="s">
        <v>261</v>
      </c>
      <c r="D11804" s="1" t="str">
        <f t="shared" si="325"/>
        <v>PRG-1036911</v>
      </c>
      <c r="E11804" t="s">
        <v>184</v>
      </c>
      <c r="F11804" t="s">
        <v>4</v>
      </c>
      <c r="G11804" t="str">
        <f>""</f>
        <v/>
      </c>
    </row>
    <row r="11805" spans="1:7" x14ac:dyDescent="0.25">
      <c r="A11805" t="s">
        <v>8</v>
      </c>
      <c r="B11805" s="1" t="str">
        <f>"000278626 - CASA DIBRTACHI PROTEIN-ARAMARK"</f>
        <v>000278626 - CASA DIBRTACHI PROTEIN-ARAMARK</v>
      </c>
      <c r="C11805" t="s">
        <v>122</v>
      </c>
      <c r="D11805" s="1" t="str">
        <f t="shared" si="325"/>
        <v>PRG-1036911</v>
      </c>
      <c r="E11805" t="s">
        <v>184</v>
      </c>
      <c r="F11805" t="s">
        <v>4</v>
      </c>
      <c r="G11805" t="str">
        <f>""</f>
        <v/>
      </c>
    </row>
    <row r="11806" spans="1:7" x14ac:dyDescent="0.25">
      <c r="A11806" t="s">
        <v>8</v>
      </c>
      <c r="B11806" s="1" t="str">
        <f>"000278631 - CASA DIBRTACHI-SSS ARAMARK"</f>
        <v>000278631 - CASA DIBRTACHI-SSS ARAMARK</v>
      </c>
      <c r="C11806" t="s">
        <v>261</v>
      </c>
      <c r="D11806" s="1" t="str">
        <f t="shared" si="325"/>
        <v>PRG-1036911</v>
      </c>
      <c r="E11806" t="s">
        <v>184</v>
      </c>
      <c r="F11806" t="s">
        <v>4</v>
      </c>
      <c r="G11806" t="str">
        <f>""</f>
        <v/>
      </c>
    </row>
    <row r="11807" spans="1:7" x14ac:dyDescent="0.25">
      <c r="A11807" t="s">
        <v>8</v>
      </c>
      <c r="B11807" s="1" t="str">
        <f>"000279040 - CASA DIBRTACHI PROTEIN-ARAMARK"</f>
        <v>000279040 - CASA DIBRTACHI PROTEIN-ARAMARK</v>
      </c>
      <c r="C11807" t="s">
        <v>122</v>
      </c>
      <c r="D11807" s="1" t="str">
        <f t="shared" si="325"/>
        <v>PRG-1036911</v>
      </c>
      <c r="E11807" t="s">
        <v>184</v>
      </c>
      <c r="F11807" t="s">
        <v>4</v>
      </c>
      <c r="G11807" t="str">
        <f>""</f>
        <v/>
      </c>
    </row>
    <row r="11808" spans="1:7" x14ac:dyDescent="0.25">
      <c r="A11808" t="s">
        <v>8</v>
      </c>
      <c r="B11808" s="1" t="str">
        <f>"000279046 - CASA DIBRTACHI-SSS ARAMARK"</f>
        <v>000279046 - CASA DIBRTACHI-SSS ARAMARK</v>
      </c>
      <c r="C11808" t="s">
        <v>261</v>
      </c>
      <c r="D11808" s="1" t="str">
        <f t="shared" si="325"/>
        <v>PRG-1036911</v>
      </c>
      <c r="E11808" t="s">
        <v>184</v>
      </c>
      <c r="F11808" t="s">
        <v>4</v>
      </c>
      <c r="G11808" t="str">
        <f>""</f>
        <v/>
      </c>
    </row>
    <row r="11809" spans="1:7" x14ac:dyDescent="0.25">
      <c r="A11809" t="s">
        <v>8</v>
      </c>
      <c r="B11809" s="1" t="str">
        <f>"000280968 - CASA DIBRTACHI PROTEIN-ARAMARK"</f>
        <v>000280968 - CASA DIBRTACHI PROTEIN-ARAMARK</v>
      </c>
      <c r="C11809" t="s">
        <v>122</v>
      </c>
      <c r="D11809" s="1" t="str">
        <f t="shared" si="325"/>
        <v>PRG-1036911</v>
      </c>
      <c r="E11809" t="s">
        <v>184</v>
      </c>
      <c r="F11809" t="s">
        <v>4</v>
      </c>
      <c r="G11809" t="str">
        <f>""</f>
        <v/>
      </c>
    </row>
    <row r="11810" spans="1:7" x14ac:dyDescent="0.25">
      <c r="A11810" t="s">
        <v>8</v>
      </c>
      <c r="B11810" s="1" t="str">
        <f>"000282939 - CASA DIBRTACHI PROTEIN-ARAMARK"</f>
        <v>000282939 - CASA DIBRTACHI PROTEIN-ARAMARK</v>
      </c>
      <c r="C11810" t="s">
        <v>122</v>
      </c>
      <c r="D11810" s="1" t="str">
        <f t="shared" si="325"/>
        <v>PRG-1036911</v>
      </c>
      <c r="E11810" t="s">
        <v>184</v>
      </c>
      <c r="F11810" t="s">
        <v>4</v>
      </c>
      <c r="G11810" t="str">
        <f>""</f>
        <v/>
      </c>
    </row>
    <row r="11811" spans="1:7" x14ac:dyDescent="0.25">
      <c r="A11811" t="s">
        <v>8</v>
      </c>
      <c r="B11811" s="1" t="str">
        <f>"000283857 - CASA DIBRITACHI PROTEIN-ARMARK"</f>
        <v>000283857 - CASA DIBRITACHI PROTEIN-ARMARK</v>
      </c>
      <c r="C11811" t="s">
        <v>246</v>
      </c>
      <c r="D11811" s="1" t="str">
        <f t="shared" si="325"/>
        <v>PRG-1036911</v>
      </c>
      <c r="E11811" t="s">
        <v>184</v>
      </c>
      <c r="F11811" t="s">
        <v>4</v>
      </c>
      <c r="G11811" t="str">
        <f>""</f>
        <v/>
      </c>
    </row>
    <row r="11812" spans="1:7" x14ac:dyDescent="0.25">
      <c r="A11812" t="s">
        <v>8</v>
      </c>
      <c r="B11812" s="1" t="str">
        <f>"000284370 - CASA DIBRITACHI PROTEIN-ARMARK"</f>
        <v>000284370 - CASA DIBRITACHI PROTEIN-ARMARK</v>
      </c>
      <c r="C11812" t="s">
        <v>246</v>
      </c>
      <c r="D11812" s="1" t="str">
        <f t="shared" si="325"/>
        <v>PRG-1036911</v>
      </c>
      <c r="E11812" t="s">
        <v>184</v>
      </c>
      <c r="F11812" t="s">
        <v>4</v>
      </c>
      <c r="G11812" t="str">
        <f>""</f>
        <v/>
      </c>
    </row>
    <row r="11813" spans="1:7" x14ac:dyDescent="0.25">
      <c r="A11813" t="s">
        <v>8</v>
      </c>
      <c r="B11813" s="1" t="str">
        <f>"000291710 - CASA DIBRITACHI PROTEIN-ARMARK"</f>
        <v>000291710 - CASA DIBRITACHI PROTEIN-ARMARK</v>
      </c>
      <c r="C11813" t="s">
        <v>246</v>
      </c>
      <c r="D11813" s="1" t="str">
        <f t="shared" si="325"/>
        <v>PRG-1036911</v>
      </c>
      <c r="E11813" t="s">
        <v>184</v>
      </c>
      <c r="F11813" t="s">
        <v>4</v>
      </c>
      <c r="G11813" t="str">
        <f>""</f>
        <v/>
      </c>
    </row>
    <row r="11814" spans="1:7" x14ac:dyDescent="0.25">
      <c r="A11814" t="s">
        <v>8</v>
      </c>
      <c r="B11814" s="1" t="str">
        <f>"000294776 - "</f>
        <v xml:space="preserve">000294776 - </v>
      </c>
      <c r="D11814" s="1" t="str">
        <f t="shared" si="325"/>
        <v>PRG-1036911</v>
      </c>
      <c r="E11814" t="s">
        <v>184</v>
      </c>
      <c r="F11814" t="s">
        <v>4</v>
      </c>
      <c r="G11814" t="str">
        <f>""</f>
        <v/>
      </c>
    </row>
    <row r="11815" spans="1:7" x14ac:dyDescent="0.25">
      <c r="A11815" t="s">
        <v>8</v>
      </c>
      <c r="B11815" s="1" t="str">
        <f>"000304136 - CASA DIBRTACHI PROTEIN-ARAMARK"</f>
        <v>000304136 - CASA DIBRTACHI PROTEIN-ARAMARK</v>
      </c>
      <c r="C11815" t="s">
        <v>122</v>
      </c>
      <c r="D11815" s="1" t="str">
        <f t="shared" si="325"/>
        <v>PRG-1036911</v>
      </c>
      <c r="E11815" t="s">
        <v>184</v>
      </c>
      <c r="F11815" t="s">
        <v>4</v>
      </c>
      <c r="G11815" t="str">
        <f>""</f>
        <v/>
      </c>
    </row>
    <row r="11816" spans="1:7" x14ac:dyDescent="0.25">
      <c r="A11816" t="s">
        <v>8</v>
      </c>
      <c r="B11816" s="1" t="str">
        <f>"000306808 - CASA DIBRTACHI PROTEIN-ARAMARK"</f>
        <v>000306808 - CASA DIBRTACHI PROTEIN-ARAMARK</v>
      </c>
      <c r="C11816" t="s">
        <v>122</v>
      </c>
      <c r="D11816" s="1" t="str">
        <f t="shared" si="325"/>
        <v>PRG-1036911</v>
      </c>
      <c r="E11816" t="s">
        <v>184</v>
      </c>
      <c r="F11816" t="s">
        <v>4</v>
      </c>
      <c r="G11816" t="str">
        <f>""</f>
        <v/>
      </c>
    </row>
    <row r="11817" spans="1:7" x14ac:dyDescent="0.25">
      <c r="A11817" t="s">
        <v>8</v>
      </c>
      <c r="B11817" s="1" t="str">
        <f>"000316304 - CASA DIBRTACHI PROTEIN-ARAMARK"</f>
        <v>000316304 - CASA DIBRTACHI PROTEIN-ARAMARK</v>
      </c>
      <c r="C11817" t="s">
        <v>122</v>
      </c>
      <c r="D11817" s="1" t="str">
        <f t="shared" ref="D11817:D11834" si="326">"PRG-1036911"</f>
        <v>PRG-1036911</v>
      </c>
      <c r="E11817" t="s">
        <v>184</v>
      </c>
      <c r="F11817" t="s">
        <v>4</v>
      </c>
      <c r="G11817" t="str">
        <f>""</f>
        <v/>
      </c>
    </row>
    <row r="11818" spans="1:7" x14ac:dyDescent="0.25">
      <c r="A11818" t="s">
        <v>8</v>
      </c>
      <c r="B11818" s="1" t="str">
        <f>"000316308 - CASA DIBRTACHI-SSS ARAMARK"</f>
        <v>000316308 - CASA DIBRTACHI-SSS ARAMARK</v>
      </c>
      <c r="C11818" t="s">
        <v>261</v>
      </c>
      <c r="D11818" s="1" t="str">
        <f t="shared" si="326"/>
        <v>PRG-1036911</v>
      </c>
      <c r="E11818" t="s">
        <v>184</v>
      </c>
      <c r="F11818" t="s">
        <v>4</v>
      </c>
      <c r="G11818" t="str">
        <f>""</f>
        <v/>
      </c>
    </row>
    <row r="11819" spans="1:7" x14ac:dyDescent="0.25">
      <c r="A11819" t="s">
        <v>8</v>
      </c>
      <c r="B11819" s="1" t="str">
        <f>"000323647 - "</f>
        <v xml:space="preserve">000323647 - </v>
      </c>
      <c r="D11819" s="1" t="str">
        <f t="shared" si="326"/>
        <v>PRG-1036911</v>
      </c>
      <c r="E11819" t="s">
        <v>184</v>
      </c>
      <c r="F11819" t="s">
        <v>4</v>
      </c>
      <c r="G11819" t="str">
        <f>""</f>
        <v/>
      </c>
    </row>
    <row r="11820" spans="1:7" x14ac:dyDescent="0.25">
      <c r="A11820" t="s">
        <v>8</v>
      </c>
      <c r="B11820" s="1" t="str">
        <f>"000328878 - CASA DIBRTACHI PROTEIN-ARAMARK"</f>
        <v>000328878 - CASA DIBRTACHI PROTEIN-ARAMARK</v>
      </c>
      <c r="C11820" t="s">
        <v>122</v>
      </c>
      <c r="D11820" s="1" t="str">
        <f t="shared" si="326"/>
        <v>PRG-1036911</v>
      </c>
      <c r="E11820" t="s">
        <v>184</v>
      </c>
      <c r="F11820" t="s">
        <v>4</v>
      </c>
      <c r="G11820" t="str">
        <f>""</f>
        <v/>
      </c>
    </row>
    <row r="11821" spans="1:7" x14ac:dyDescent="0.25">
      <c r="A11821" t="s">
        <v>8</v>
      </c>
      <c r="B11821" s="1" t="str">
        <f>"000328886 - CASA DIBRTACHI-SSS ARAMARK"</f>
        <v>000328886 - CASA DIBRTACHI-SSS ARAMARK</v>
      </c>
      <c r="C11821" t="s">
        <v>261</v>
      </c>
      <c r="D11821" s="1" t="str">
        <f t="shared" si="326"/>
        <v>PRG-1036911</v>
      </c>
      <c r="E11821" t="s">
        <v>184</v>
      </c>
      <c r="F11821" t="s">
        <v>4</v>
      </c>
      <c r="G11821" t="str">
        <f>""</f>
        <v/>
      </c>
    </row>
    <row r="11822" spans="1:7" x14ac:dyDescent="0.25">
      <c r="A11822" t="s">
        <v>8</v>
      </c>
      <c r="B11822" s="1" t="str">
        <f>"000335064 - CASA DIBRTACHI PROTEIN-ARAMARK"</f>
        <v>000335064 - CASA DIBRTACHI PROTEIN-ARAMARK</v>
      </c>
      <c r="C11822" t="s">
        <v>122</v>
      </c>
      <c r="D11822" s="1" t="str">
        <f t="shared" si="326"/>
        <v>PRG-1036911</v>
      </c>
      <c r="E11822" t="s">
        <v>184</v>
      </c>
      <c r="F11822" t="s">
        <v>4</v>
      </c>
      <c r="G11822" t="str">
        <f>""</f>
        <v/>
      </c>
    </row>
    <row r="11823" spans="1:7" x14ac:dyDescent="0.25">
      <c r="A11823" t="s">
        <v>8</v>
      </c>
      <c r="B11823" s="1" t="str">
        <f>"000335072 - CASA DIBRTACHI-SSS ARAMARK"</f>
        <v>000335072 - CASA DIBRTACHI-SSS ARAMARK</v>
      </c>
      <c r="C11823" t="s">
        <v>261</v>
      </c>
      <c r="D11823" s="1" t="str">
        <f t="shared" si="326"/>
        <v>PRG-1036911</v>
      </c>
      <c r="E11823" t="s">
        <v>184</v>
      </c>
      <c r="F11823" t="s">
        <v>4</v>
      </c>
      <c r="G11823" t="str">
        <f>""</f>
        <v/>
      </c>
    </row>
    <row r="11824" spans="1:7" x14ac:dyDescent="0.25">
      <c r="A11824" t="s">
        <v>8</v>
      </c>
      <c r="B11824" s="1" t="str">
        <f>"000340688 - CASA DIBRTACHI PROTEIN-ARAMARK"</f>
        <v>000340688 - CASA DIBRTACHI PROTEIN-ARAMARK</v>
      </c>
      <c r="C11824" t="s">
        <v>122</v>
      </c>
      <c r="D11824" s="1" t="str">
        <f t="shared" si="326"/>
        <v>PRG-1036911</v>
      </c>
      <c r="E11824" t="s">
        <v>184</v>
      </c>
      <c r="F11824" t="s">
        <v>4</v>
      </c>
      <c r="G11824" t="str">
        <f>""</f>
        <v/>
      </c>
    </row>
    <row r="11825" spans="1:7" x14ac:dyDescent="0.25">
      <c r="A11825" t="s">
        <v>8</v>
      </c>
      <c r="B11825" s="1" t="str">
        <f>"000340695 - CASA DIBRTACHI-SSS ARAMARK"</f>
        <v>000340695 - CASA DIBRTACHI-SSS ARAMARK</v>
      </c>
      <c r="C11825" t="s">
        <v>261</v>
      </c>
      <c r="D11825" s="1" t="str">
        <f t="shared" si="326"/>
        <v>PRG-1036911</v>
      </c>
      <c r="E11825" t="s">
        <v>184</v>
      </c>
      <c r="F11825" t="s">
        <v>4</v>
      </c>
      <c r="G11825" t="str">
        <f>""</f>
        <v/>
      </c>
    </row>
    <row r="11826" spans="1:7" x14ac:dyDescent="0.25">
      <c r="A11826" t="s">
        <v>8</v>
      </c>
      <c r="B11826" s="1" t="str">
        <f>"000344570 - "</f>
        <v xml:space="preserve">000344570 - </v>
      </c>
      <c r="D11826" s="1" t="str">
        <f t="shared" si="326"/>
        <v>PRG-1036911</v>
      </c>
      <c r="E11826" t="s">
        <v>184</v>
      </c>
      <c r="F11826" t="s">
        <v>4</v>
      </c>
      <c r="G11826" t="str">
        <f>""</f>
        <v/>
      </c>
    </row>
    <row r="11827" spans="1:7" x14ac:dyDescent="0.25">
      <c r="A11827" t="s">
        <v>8</v>
      </c>
      <c r="B11827" s="1" t="str">
        <f>"000344577 - "</f>
        <v xml:space="preserve">000344577 - </v>
      </c>
      <c r="D11827" s="1" t="str">
        <f t="shared" si="326"/>
        <v>PRG-1036911</v>
      </c>
      <c r="E11827" t="s">
        <v>184</v>
      </c>
      <c r="F11827" t="s">
        <v>4</v>
      </c>
      <c r="G11827" t="str">
        <f>""</f>
        <v/>
      </c>
    </row>
    <row r="11828" spans="1:7" x14ac:dyDescent="0.25">
      <c r="A11828" t="s">
        <v>8</v>
      </c>
      <c r="B11828" s="1" t="str">
        <f>"000344592 - CASA DIBRTACHI PROTEIN-ARAMARK"</f>
        <v>000344592 - CASA DIBRTACHI PROTEIN-ARAMARK</v>
      </c>
      <c r="C11828" t="s">
        <v>122</v>
      </c>
      <c r="D11828" s="1" t="str">
        <f t="shared" si="326"/>
        <v>PRG-1036911</v>
      </c>
      <c r="E11828" t="s">
        <v>184</v>
      </c>
      <c r="F11828" t="s">
        <v>4</v>
      </c>
      <c r="G11828" t="str">
        <f>""</f>
        <v/>
      </c>
    </row>
    <row r="11829" spans="1:7" x14ac:dyDescent="0.25">
      <c r="A11829" t="s">
        <v>8</v>
      </c>
      <c r="B11829" s="1" t="str">
        <f>"000349448 - "</f>
        <v xml:space="preserve">000349448 - </v>
      </c>
      <c r="D11829" s="1" t="str">
        <f t="shared" si="326"/>
        <v>PRG-1036911</v>
      </c>
      <c r="E11829" t="s">
        <v>184</v>
      </c>
      <c r="F11829" t="s">
        <v>4</v>
      </c>
      <c r="G11829" t="str">
        <f>""</f>
        <v/>
      </c>
    </row>
    <row r="11830" spans="1:7" x14ac:dyDescent="0.25">
      <c r="A11830" t="s">
        <v>8</v>
      </c>
      <c r="B11830" s="1" t="str">
        <f>"000356845 - "</f>
        <v xml:space="preserve">000356845 - </v>
      </c>
      <c r="D11830" s="1" t="str">
        <f t="shared" si="326"/>
        <v>PRG-1036911</v>
      </c>
      <c r="E11830" t="s">
        <v>184</v>
      </c>
      <c r="F11830" t="s">
        <v>4</v>
      </c>
      <c r="G11830" t="str">
        <f>""</f>
        <v/>
      </c>
    </row>
    <row r="11831" spans="1:7" x14ac:dyDescent="0.25">
      <c r="A11831" t="s">
        <v>8</v>
      </c>
      <c r="B11831" s="1" t="str">
        <f>"000358325 - CASA DIBRTACHI PROTEIN-ARAMARK"</f>
        <v>000358325 - CASA DIBRTACHI PROTEIN-ARAMARK</v>
      </c>
      <c r="C11831" t="s">
        <v>122</v>
      </c>
      <c r="D11831" s="1" t="str">
        <f t="shared" si="326"/>
        <v>PRG-1036911</v>
      </c>
      <c r="E11831" t="s">
        <v>184</v>
      </c>
      <c r="F11831" t="s">
        <v>4</v>
      </c>
      <c r="G11831" t="str">
        <f>""</f>
        <v/>
      </c>
    </row>
    <row r="11832" spans="1:7" x14ac:dyDescent="0.25">
      <c r="A11832" t="s">
        <v>8</v>
      </c>
      <c r="B11832" s="1" t="str">
        <f>"000371781 - CASA DIBRTACHI PROTEIN-ARAMARK"</f>
        <v>000371781 - CASA DIBRTACHI PROTEIN-ARAMARK</v>
      </c>
      <c r="C11832" t="s">
        <v>122</v>
      </c>
      <c r="D11832" s="1" t="str">
        <f t="shared" si="326"/>
        <v>PRG-1036911</v>
      </c>
      <c r="E11832" t="s">
        <v>184</v>
      </c>
      <c r="F11832" t="s">
        <v>4</v>
      </c>
      <c r="G11832" t="str">
        <f>""</f>
        <v/>
      </c>
    </row>
    <row r="11833" spans="1:7" x14ac:dyDescent="0.25">
      <c r="A11833" t="s">
        <v>8</v>
      </c>
      <c r="B11833" s="1" t="str">
        <f>"2000432708 - CASA DI BERTACCHI(RICH PRODUCTS)-AR"</f>
        <v>2000432708 - CASA DI BERTACCHI(RICH PRODUCTS)-AR</v>
      </c>
      <c r="C11833" t="s">
        <v>3893</v>
      </c>
      <c r="D11833" s="1" t="str">
        <f t="shared" si="326"/>
        <v>PRG-1036911</v>
      </c>
      <c r="E11833" t="s">
        <v>184</v>
      </c>
      <c r="F11833" t="s">
        <v>4</v>
      </c>
      <c r="G11833" t="str">
        <f>""</f>
        <v/>
      </c>
    </row>
    <row r="11834" spans="1:7" x14ac:dyDescent="0.25">
      <c r="A11834" t="s">
        <v>8</v>
      </c>
      <c r="B11834" s="1" t="str">
        <f>"2000433111 - CASA DI BERTACHI-ARAMARK SSS"</f>
        <v>2000433111 - CASA DI BERTACHI-ARAMARK SSS</v>
      </c>
      <c r="C11834" t="s">
        <v>4012</v>
      </c>
      <c r="D11834" s="1" t="str">
        <f t="shared" si="326"/>
        <v>PRG-1036911</v>
      </c>
      <c r="E11834" t="s">
        <v>184</v>
      </c>
      <c r="F11834" t="s">
        <v>4</v>
      </c>
      <c r="G11834" t="str">
        <f>""</f>
        <v/>
      </c>
    </row>
    <row r="11835" spans="1:7" x14ac:dyDescent="0.25">
      <c r="A11835" t="s">
        <v>8</v>
      </c>
      <c r="B11835" s="1" t="str">
        <f>"000148369 - RICH FOODS-GRANITE CITY"</f>
        <v>000148369 - RICH FOODS-GRANITE CITY</v>
      </c>
      <c r="C11835" t="s">
        <v>820</v>
      </c>
      <c r="D11835" s="1" t="str">
        <f>"PRG-1036937"</f>
        <v>PRG-1036937</v>
      </c>
      <c r="E11835" t="s">
        <v>1003</v>
      </c>
      <c r="F11835" t="s">
        <v>4</v>
      </c>
      <c r="G11835" t="str">
        <f>""</f>
        <v/>
      </c>
    </row>
    <row r="11836" spans="1:7" x14ac:dyDescent="0.25">
      <c r="A11836" t="s">
        <v>8</v>
      </c>
      <c r="B11836" s="1" t="str">
        <f>"000248072 - RICH FOODS-GRANITE CITY"</f>
        <v>000248072 - RICH FOODS-GRANITE CITY</v>
      </c>
      <c r="C11836" t="s">
        <v>820</v>
      </c>
      <c r="D11836" s="1" t="str">
        <f>"PRG-1036937"</f>
        <v>PRG-1036937</v>
      </c>
      <c r="E11836" t="s">
        <v>1003</v>
      </c>
      <c r="F11836" t="s">
        <v>4</v>
      </c>
      <c r="G11836" t="str">
        <f>""</f>
        <v/>
      </c>
    </row>
    <row r="11837" spans="1:7" x14ac:dyDescent="0.25">
      <c r="A11837" t="s">
        <v>8</v>
      </c>
      <c r="B11837" s="1" t="str">
        <f>"000278227 - RICH FOODS-GRANITE CITY"</f>
        <v>000278227 - RICH FOODS-GRANITE CITY</v>
      </c>
      <c r="C11837" t="s">
        <v>820</v>
      </c>
      <c r="D11837" s="1" t="str">
        <f>"PRG-1036937"</f>
        <v>PRG-1036937</v>
      </c>
      <c r="E11837" t="s">
        <v>1003</v>
      </c>
      <c r="F11837" t="s">
        <v>4</v>
      </c>
      <c r="G11837" t="str">
        <f>""</f>
        <v/>
      </c>
    </row>
    <row r="11838" spans="1:7" x14ac:dyDescent="0.25">
      <c r="A11838" t="s">
        <v>8</v>
      </c>
      <c r="B11838" s="1" t="str">
        <f>"000316331 - RICH FOODS-GRANITE CITY"</f>
        <v>000316331 - RICH FOODS-GRANITE CITY</v>
      </c>
      <c r="C11838" t="s">
        <v>820</v>
      </c>
      <c r="D11838" s="1" t="str">
        <f>"PRG-1036937"</f>
        <v>PRG-1036937</v>
      </c>
      <c r="E11838" t="s">
        <v>1003</v>
      </c>
      <c r="F11838" t="s">
        <v>4</v>
      </c>
      <c r="G11838" t="str">
        <f>""</f>
        <v/>
      </c>
    </row>
    <row r="11839" spans="1:7" x14ac:dyDescent="0.25">
      <c r="A11839" t="s">
        <v>8</v>
      </c>
      <c r="B11839" s="1" t="str">
        <f>"000369627 - RICH FOODS-GRANITE CITY"</f>
        <v>000369627 - RICH FOODS-GRANITE CITY</v>
      </c>
      <c r="C11839" t="s">
        <v>820</v>
      </c>
      <c r="D11839" s="1" t="str">
        <f>"PRG-1036937"</f>
        <v>PRG-1036937</v>
      </c>
      <c r="E11839" t="s">
        <v>1003</v>
      </c>
      <c r="F11839" t="s">
        <v>4</v>
      </c>
      <c r="G11839" t="str">
        <f>""</f>
        <v/>
      </c>
    </row>
    <row r="11840" spans="1:7" x14ac:dyDescent="0.25">
      <c r="A11840" t="s">
        <v>8</v>
      </c>
      <c r="B11840" s="1" t="str">
        <f>"000276709 - RICH'S OC BREWING CO"</f>
        <v>000276709 - RICH'S OC BREWING CO</v>
      </c>
      <c r="C11840" t="s">
        <v>2583</v>
      </c>
      <c r="D11840" s="1" t="str">
        <f>"PRG-1036938"</f>
        <v>PRG-1036938</v>
      </c>
      <c r="E11840" t="s">
        <v>2584</v>
      </c>
      <c r="F11840" t="s">
        <v>4</v>
      </c>
      <c r="G11840" t="str">
        <f>""</f>
        <v/>
      </c>
    </row>
    <row r="11841" spans="1:7" x14ac:dyDescent="0.25">
      <c r="A11841" t="s">
        <v>8</v>
      </c>
      <c r="B11841" s="1" t="str">
        <f>"2350B137"</f>
        <v>2350B137</v>
      </c>
      <c r="C11841" t="s">
        <v>4524</v>
      </c>
      <c r="D11841" s="1" t="str">
        <f>"PRG-1036948"</f>
        <v>PRG-1036948</v>
      </c>
      <c r="E11841" t="s">
        <v>4525</v>
      </c>
      <c r="F11841" t="s">
        <v>5</v>
      </c>
      <c r="G11841" t="str">
        <f>""</f>
        <v/>
      </c>
    </row>
    <row r="11842" spans="1:7" x14ac:dyDescent="0.25">
      <c r="A11842" t="s">
        <v>8</v>
      </c>
      <c r="B11842" s="1" t="str">
        <f>"3A07V201"</f>
        <v>3A07V201</v>
      </c>
      <c r="C11842" t="s">
        <v>4916</v>
      </c>
      <c r="D11842" s="1" t="str">
        <f>"PRG-1036951"</f>
        <v>PRG-1036951</v>
      </c>
      <c r="E11842" t="s">
        <v>4920</v>
      </c>
      <c r="F11842" t="s">
        <v>5</v>
      </c>
      <c r="G11842" t="str">
        <f>""</f>
        <v/>
      </c>
    </row>
    <row r="11843" spans="1:7" x14ac:dyDescent="0.25">
      <c r="A11843" t="s">
        <v>8</v>
      </c>
      <c r="B11843" s="1" t="str">
        <f>"3A07V202"</f>
        <v>3A07V202</v>
      </c>
      <c r="C11843" t="s">
        <v>4916</v>
      </c>
      <c r="D11843" s="1" t="str">
        <f>"PRG-1036951"</f>
        <v>PRG-1036951</v>
      </c>
      <c r="E11843" t="s">
        <v>4920</v>
      </c>
      <c r="F11843" t="s">
        <v>5</v>
      </c>
      <c r="G11843" t="str">
        <f>""</f>
        <v/>
      </c>
    </row>
    <row r="11844" spans="1:7" x14ac:dyDescent="0.25">
      <c r="A11844" t="s">
        <v>8</v>
      </c>
      <c r="B11844" s="1" t="str">
        <f>"S3V002K0"</f>
        <v>S3V002K0</v>
      </c>
      <c r="C11844" t="s">
        <v>5628</v>
      </c>
      <c r="D11844" s="1" t="str">
        <f>"PRG-1036958"</f>
        <v>PRG-1036958</v>
      </c>
      <c r="E11844" t="s">
        <v>5629</v>
      </c>
      <c r="F11844" t="s">
        <v>5</v>
      </c>
      <c r="G11844" t="str">
        <f>""</f>
        <v/>
      </c>
    </row>
    <row r="11845" spans="1:7" x14ac:dyDescent="0.25">
      <c r="A11845" t="s">
        <v>8</v>
      </c>
      <c r="B11845" s="1" t="str">
        <f>"000251997 - RICHS PANCAKE PLACE#1036962"</f>
        <v>000251997 - RICHS PANCAKE PLACE#1036962</v>
      </c>
      <c r="C11845" t="s">
        <v>2123</v>
      </c>
      <c r="D11845" s="1" t="str">
        <f>"PRG-1036962"</f>
        <v>PRG-1036962</v>
      </c>
      <c r="E11845" t="s">
        <v>2124</v>
      </c>
      <c r="F11845" t="s">
        <v>4</v>
      </c>
      <c r="G11845" t="str">
        <f>""</f>
        <v/>
      </c>
    </row>
    <row r="11846" spans="1:7" x14ac:dyDescent="0.25">
      <c r="A11846" t="s">
        <v>8</v>
      </c>
      <c r="B11846" s="1" t="str">
        <f>"000279251 - BWF-RICH'S $ OFF"</f>
        <v>000279251 - BWF-RICH'S $ OFF</v>
      </c>
      <c r="C11846" t="s">
        <v>2620</v>
      </c>
      <c r="D11846" s="1" t="str">
        <f>"PRG-1036970"</f>
        <v>PRG-1036970</v>
      </c>
      <c r="E11846" t="s">
        <v>2621</v>
      </c>
      <c r="F11846" t="s">
        <v>4</v>
      </c>
      <c r="G11846" t="str">
        <f>""</f>
        <v/>
      </c>
    </row>
    <row r="11847" spans="1:7" x14ac:dyDescent="0.25">
      <c r="A11847" t="s">
        <v>8</v>
      </c>
      <c r="B11847" s="1" t="str">
        <f>"000290945 - RICH DC-MIGHTY TACO"</f>
        <v>000290945 - RICH DC-MIGHTY TACO</v>
      </c>
      <c r="C11847" t="s">
        <v>2834</v>
      </c>
      <c r="D11847" s="1" t="str">
        <f>"PRG-1036974"</f>
        <v>PRG-1036974</v>
      </c>
      <c r="E11847" t="s">
        <v>2835</v>
      </c>
      <c r="F11847" t="s">
        <v>4</v>
      </c>
      <c r="G11847" t="str">
        <f>""</f>
        <v/>
      </c>
    </row>
    <row r="11848" spans="1:7" x14ac:dyDescent="0.25">
      <c r="A11848" t="s">
        <v>8</v>
      </c>
      <c r="B11848" s="1" t="str">
        <f>"000017476 - RICH'S PISA PIZZA"</f>
        <v>000017476 - RICH'S PISA PIZZA</v>
      </c>
      <c r="C11848" t="s">
        <v>382</v>
      </c>
      <c r="D11848" s="1" t="str">
        <f>"PRG-1037044"</f>
        <v>PRG-1037044</v>
      </c>
      <c r="E11848" t="s">
        <v>383</v>
      </c>
      <c r="F11848" t="s">
        <v>4</v>
      </c>
      <c r="G11848" t="str">
        <f>""</f>
        <v/>
      </c>
    </row>
    <row r="11849" spans="1:7" x14ac:dyDescent="0.25">
      <c r="A11849" t="s">
        <v>8</v>
      </c>
      <c r="B11849" s="1" t="str">
        <f>"000041243 - RICHS CASA DE BERTACCHI-SODEXO"</f>
        <v>000041243 - RICHS CASA DE BERTACCHI-SODEXO</v>
      </c>
      <c r="C11849" t="s">
        <v>409</v>
      </c>
      <c r="D11849" s="1" t="str">
        <f t="shared" ref="D11849:D11860" si="327">"PRG-1037077"</f>
        <v>PRG-1037077</v>
      </c>
      <c r="E11849" t="s">
        <v>36</v>
      </c>
      <c r="F11849" t="s">
        <v>4</v>
      </c>
      <c r="G11849" t="str">
        <f>""</f>
        <v/>
      </c>
    </row>
    <row r="11850" spans="1:7" x14ac:dyDescent="0.25">
      <c r="A11850" t="s">
        <v>8</v>
      </c>
      <c r="B11850" s="1" t="str">
        <f>"000120339 - RICHS CASA DI BERTACCHI-SODEXO"</f>
        <v>000120339 - RICHS CASA DI BERTACCHI-SODEXO</v>
      </c>
      <c r="C11850" t="s">
        <v>121</v>
      </c>
      <c r="D11850" s="1" t="str">
        <f t="shared" si="327"/>
        <v>PRG-1037077</v>
      </c>
      <c r="E11850" t="s">
        <v>36</v>
      </c>
      <c r="F11850" t="s">
        <v>4</v>
      </c>
      <c r="G11850" t="str">
        <f>""</f>
        <v/>
      </c>
    </row>
    <row r="11851" spans="1:7" x14ac:dyDescent="0.25">
      <c r="A11851" t="s">
        <v>8</v>
      </c>
      <c r="B11851" s="1" t="str">
        <f>"000142020 - RICHS CASA DI BERTACCHI-SODEXO"</f>
        <v>000142020 - RICHS CASA DI BERTACCHI-SODEXO</v>
      </c>
      <c r="C11851" t="s">
        <v>121</v>
      </c>
      <c r="D11851" s="1" t="str">
        <f t="shared" si="327"/>
        <v>PRG-1037077</v>
      </c>
      <c r="E11851" t="s">
        <v>36</v>
      </c>
      <c r="F11851" t="s">
        <v>4</v>
      </c>
      <c r="G11851" t="str">
        <f>""</f>
        <v/>
      </c>
    </row>
    <row r="11852" spans="1:7" x14ac:dyDescent="0.25">
      <c r="A11852" t="s">
        <v>8</v>
      </c>
      <c r="B11852" s="1" t="str">
        <f>"000150527 - RICHS CASA DI BERTACCHI-SODEXO"</f>
        <v>000150527 - RICHS CASA DI BERTACCHI-SODEXO</v>
      </c>
      <c r="C11852" t="s">
        <v>121</v>
      </c>
      <c r="D11852" s="1" t="str">
        <f t="shared" si="327"/>
        <v>PRG-1037077</v>
      </c>
      <c r="E11852" t="s">
        <v>36</v>
      </c>
      <c r="F11852" t="s">
        <v>4</v>
      </c>
      <c r="G11852" t="str">
        <f>""</f>
        <v/>
      </c>
    </row>
    <row r="11853" spans="1:7" x14ac:dyDescent="0.25">
      <c r="A11853" t="s">
        <v>8</v>
      </c>
      <c r="B11853" s="1" t="str">
        <f>"000174638 - RICHS CASA DI BERTACCHI-SODEXO"</f>
        <v>000174638 - RICHS CASA DI BERTACCHI-SODEXO</v>
      </c>
      <c r="C11853" t="s">
        <v>121</v>
      </c>
      <c r="D11853" s="1" t="str">
        <f t="shared" si="327"/>
        <v>PRG-1037077</v>
      </c>
      <c r="E11853" t="s">
        <v>36</v>
      </c>
      <c r="F11853" t="s">
        <v>4</v>
      </c>
      <c r="G11853" t="str">
        <f>""</f>
        <v/>
      </c>
    </row>
    <row r="11854" spans="1:7" x14ac:dyDescent="0.25">
      <c r="A11854" t="s">
        <v>8</v>
      </c>
      <c r="B11854" s="1" t="str">
        <f>"000264706 - RICHS CASA DE BERTACCHI-SODEXO"</f>
        <v>000264706 - RICHS CASA DE BERTACCHI-SODEXO</v>
      </c>
      <c r="C11854" t="s">
        <v>409</v>
      </c>
      <c r="D11854" s="1" t="str">
        <f t="shared" si="327"/>
        <v>PRG-1037077</v>
      </c>
      <c r="E11854" t="s">
        <v>36</v>
      </c>
      <c r="F11854" t="s">
        <v>4</v>
      </c>
      <c r="G11854" t="str">
        <f>""</f>
        <v/>
      </c>
    </row>
    <row r="11855" spans="1:7" x14ac:dyDescent="0.25">
      <c r="A11855" t="s">
        <v>8</v>
      </c>
      <c r="B11855" s="1" t="str">
        <f>"000265148 - RICHS CASA DI BERTACCHI-SODEXO"</f>
        <v>000265148 - RICHS CASA DI BERTACCHI-SODEXO</v>
      </c>
      <c r="C11855" t="s">
        <v>121</v>
      </c>
      <c r="D11855" s="1" t="str">
        <f t="shared" si="327"/>
        <v>PRG-1037077</v>
      </c>
      <c r="E11855" t="s">
        <v>36</v>
      </c>
      <c r="F11855" t="s">
        <v>4</v>
      </c>
      <c r="G11855" t="str">
        <f>""</f>
        <v/>
      </c>
    </row>
    <row r="11856" spans="1:7" x14ac:dyDescent="0.25">
      <c r="A11856" t="s">
        <v>8</v>
      </c>
      <c r="B11856" s="1" t="str">
        <f>"000270829 - RICHS CASA DE BERTACCHI-SODEXO"</f>
        <v>000270829 - RICHS CASA DE BERTACCHI-SODEXO</v>
      </c>
      <c r="C11856" t="s">
        <v>409</v>
      </c>
      <c r="D11856" s="1" t="str">
        <f t="shared" si="327"/>
        <v>PRG-1037077</v>
      </c>
      <c r="E11856" t="s">
        <v>36</v>
      </c>
      <c r="F11856" t="s">
        <v>4</v>
      </c>
      <c r="G11856" t="str">
        <f>""</f>
        <v/>
      </c>
    </row>
    <row r="11857" spans="1:7" x14ac:dyDescent="0.25">
      <c r="A11857" t="s">
        <v>8</v>
      </c>
      <c r="B11857" s="1" t="str">
        <f>"000276822 - RICHS CASA DE BERTACCHI-SODEXO"</f>
        <v>000276822 - RICHS CASA DE BERTACCHI-SODEXO</v>
      </c>
      <c r="C11857" t="s">
        <v>409</v>
      </c>
      <c r="D11857" s="1" t="str">
        <f t="shared" si="327"/>
        <v>PRG-1037077</v>
      </c>
      <c r="E11857" t="s">
        <v>36</v>
      </c>
      <c r="F11857" t="s">
        <v>4</v>
      </c>
      <c r="G11857" t="str">
        <f>""</f>
        <v/>
      </c>
    </row>
    <row r="11858" spans="1:7" x14ac:dyDescent="0.25">
      <c r="A11858" t="s">
        <v>8</v>
      </c>
      <c r="B11858" s="1" t="str">
        <f>"000292950 - RICHS CASA DE BERTACCHI-SODEXO"</f>
        <v>000292950 - RICHS CASA DE BERTACCHI-SODEXO</v>
      </c>
      <c r="C11858" t="s">
        <v>409</v>
      </c>
      <c r="D11858" s="1" t="str">
        <f t="shared" si="327"/>
        <v>PRG-1037077</v>
      </c>
      <c r="E11858" t="s">
        <v>36</v>
      </c>
      <c r="F11858" t="s">
        <v>4</v>
      </c>
      <c r="G11858" t="str">
        <f>""</f>
        <v/>
      </c>
    </row>
    <row r="11859" spans="1:7" x14ac:dyDescent="0.25">
      <c r="A11859" t="s">
        <v>8</v>
      </c>
      <c r="B11859" s="1" t="str">
        <f>"000378190 - RICHS CASA DE BERTACCHI-SODEXO"</f>
        <v>000378190 - RICHS CASA DE BERTACCHI-SODEXO</v>
      </c>
      <c r="C11859" t="s">
        <v>409</v>
      </c>
      <c r="D11859" s="1" t="str">
        <f t="shared" si="327"/>
        <v>PRG-1037077</v>
      </c>
      <c r="E11859" t="s">
        <v>36</v>
      </c>
      <c r="F11859" t="s">
        <v>4</v>
      </c>
      <c r="G11859" t="str">
        <f>""</f>
        <v/>
      </c>
    </row>
    <row r="11860" spans="1:7" x14ac:dyDescent="0.25">
      <c r="A11860" t="s">
        <v>8</v>
      </c>
      <c r="B11860" s="1" t="str">
        <f>"000408752 - RICHS CASA DE BERTACCHI-SODEXO"</f>
        <v>000408752 - RICHS CASA DE BERTACCHI-SODEXO</v>
      </c>
      <c r="C11860" t="s">
        <v>409</v>
      </c>
      <c r="D11860" s="1" t="str">
        <f t="shared" si="327"/>
        <v>PRG-1037077</v>
      </c>
      <c r="E11860" t="s">
        <v>36</v>
      </c>
      <c r="F11860" t="s">
        <v>4</v>
      </c>
      <c r="G11860" t="str">
        <f>""</f>
        <v/>
      </c>
    </row>
    <row r="11861" spans="1:7" x14ac:dyDescent="0.25">
      <c r="A11861" t="s">
        <v>8</v>
      </c>
      <c r="B11861" s="1" t="str">
        <f>"000279249 - DAILY GRIND FRONT ROYAL-RICH'S"</f>
        <v>000279249 - DAILY GRIND FRONT ROYAL-RICH'S</v>
      </c>
      <c r="C11861" t="s">
        <v>2618</v>
      </c>
      <c r="D11861" s="1" t="str">
        <f>"PRG-1037082"</f>
        <v>PRG-1037082</v>
      </c>
      <c r="E11861" t="s">
        <v>2619</v>
      </c>
      <c r="F11861" t="s">
        <v>4</v>
      </c>
      <c r="G11861" t="str">
        <f>""</f>
        <v/>
      </c>
    </row>
    <row r="11862" spans="1:7" x14ac:dyDescent="0.25">
      <c r="A11862" t="s">
        <v>8</v>
      </c>
      <c r="B11862" s="1" t="str">
        <f>"000004368 - RICH FOODS CBB-LANDRYS"</f>
        <v>000004368 - RICH FOODS CBB-LANDRYS</v>
      </c>
      <c r="C11862" t="s">
        <v>198</v>
      </c>
      <c r="D11862" s="1" t="str">
        <f t="shared" ref="D11862:D11906" si="328">"PRG-1037129"</f>
        <v>PRG-1037129</v>
      </c>
      <c r="E11862" t="s">
        <v>199</v>
      </c>
      <c r="F11862" t="s">
        <v>4</v>
      </c>
      <c r="G11862" t="str">
        <f>""</f>
        <v/>
      </c>
    </row>
    <row r="11863" spans="1:7" x14ac:dyDescent="0.25">
      <c r="A11863" t="s">
        <v>8</v>
      </c>
      <c r="B11863" s="1" t="str">
        <f>"000007699 - RICH FOODS-LANDRYS BAPA LOGIC"</f>
        <v>000007699 - RICH FOODS-LANDRYS BAPA LOGIC</v>
      </c>
      <c r="C11863" t="s">
        <v>260</v>
      </c>
      <c r="D11863" s="1" t="str">
        <f t="shared" si="328"/>
        <v>PRG-1037129</v>
      </c>
      <c r="E11863" t="s">
        <v>199</v>
      </c>
      <c r="F11863" t="s">
        <v>4</v>
      </c>
      <c r="G11863" t="str">
        <f>""</f>
        <v/>
      </c>
    </row>
    <row r="11864" spans="1:7" x14ac:dyDescent="0.25">
      <c r="A11864" t="s">
        <v>8</v>
      </c>
      <c r="B11864" s="1" t="str">
        <f>"000008252 - "</f>
        <v xml:space="preserve">000008252 - </v>
      </c>
      <c r="D11864" s="1" t="str">
        <f t="shared" si="328"/>
        <v>PRG-1037129</v>
      </c>
      <c r="E11864" t="s">
        <v>199</v>
      </c>
      <c r="F11864" t="s">
        <v>4</v>
      </c>
      <c r="G11864" t="str">
        <f>""</f>
        <v/>
      </c>
    </row>
    <row r="11865" spans="1:7" x14ac:dyDescent="0.25">
      <c r="A11865" t="s">
        <v>8</v>
      </c>
      <c r="B11865" s="1" t="str">
        <f>"000009366 - RICH FOODS-LANDRYS BAPA LOGIC"</f>
        <v>000009366 - RICH FOODS-LANDRYS BAPA LOGIC</v>
      </c>
      <c r="C11865" t="s">
        <v>260</v>
      </c>
      <c r="D11865" s="1" t="str">
        <f t="shared" si="328"/>
        <v>PRG-1037129</v>
      </c>
      <c r="E11865" t="s">
        <v>199</v>
      </c>
      <c r="F11865" t="s">
        <v>4</v>
      </c>
      <c r="G11865" t="str">
        <f>""</f>
        <v/>
      </c>
    </row>
    <row r="11866" spans="1:7" x14ac:dyDescent="0.25">
      <c r="A11866" t="s">
        <v>8</v>
      </c>
      <c r="B11866" s="1" t="str">
        <f>"000013705 - "</f>
        <v xml:space="preserve">000013705 - </v>
      </c>
      <c r="D11866" s="1" t="str">
        <f t="shared" si="328"/>
        <v>PRG-1037129</v>
      </c>
      <c r="E11866" t="s">
        <v>199</v>
      </c>
      <c r="F11866" t="s">
        <v>4</v>
      </c>
      <c r="G11866" t="str">
        <f>""</f>
        <v/>
      </c>
    </row>
    <row r="11867" spans="1:7" x14ac:dyDescent="0.25">
      <c r="A11867" t="s">
        <v>8</v>
      </c>
      <c r="B11867" s="1" t="str">
        <f>"000018293 - RICH FOODS-LANDRYS BAPA LOGIC"</f>
        <v>000018293 - RICH FOODS-LANDRYS BAPA LOGIC</v>
      </c>
      <c r="C11867" t="s">
        <v>260</v>
      </c>
      <c r="D11867" s="1" t="str">
        <f t="shared" si="328"/>
        <v>PRG-1037129</v>
      </c>
      <c r="E11867" t="s">
        <v>199</v>
      </c>
      <c r="F11867" t="s">
        <v>4</v>
      </c>
      <c r="G11867" t="str">
        <f>""</f>
        <v/>
      </c>
    </row>
    <row r="11868" spans="1:7" x14ac:dyDescent="0.25">
      <c r="A11868" t="s">
        <v>8</v>
      </c>
      <c r="B11868" s="1" t="str">
        <f>"000073349 - RICH FOODS NCBB-LANDRYS"</f>
        <v>000073349 - RICH FOODS NCBB-LANDRYS</v>
      </c>
      <c r="C11868" t="s">
        <v>201</v>
      </c>
      <c r="D11868" s="1" t="str">
        <f t="shared" si="328"/>
        <v>PRG-1037129</v>
      </c>
      <c r="E11868" t="s">
        <v>199</v>
      </c>
      <c r="F11868" t="s">
        <v>4</v>
      </c>
      <c r="G11868" t="str">
        <f>""</f>
        <v/>
      </c>
    </row>
    <row r="11869" spans="1:7" x14ac:dyDescent="0.25">
      <c r="A11869" t="s">
        <v>8</v>
      </c>
      <c r="B11869" s="1" t="str">
        <f>"000073350 - RICH FOODS CBB-LANDRYS"</f>
        <v>000073350 - RICH FOODS CBB-LANDRYS</v>
      </c>
      <c r="C11869" t="s">
        <v>198</v>
      </c>
      <c r="D11869" s="1" t="str">
        <f t="shared" si="328"/>
        <v>PRG-1037129</v>
      </c>
      <c r="E11869" t="s">
        <v>199</v>
      </c>
      <c r="F11869" t="s">
        <v>4</v>
      </c>
      <c r="G11869" t="str">
        <f>""</f>
        <v/>
      </c>
    </row>
    <row r="11870" spans="1:7" x14ac:dyDescent="0.25">
      <c r="A11870" t="s">
        <v>8</v>
      </c>
      <c r="B11870" s="1" t="str">
        <f>"000077839 - RICH FOODS-LANDRYS BAPA LOGIC"</f>
        <v>000077839 - RICH FOODS-LANDRYS BAPA LOGIC</v>
      </c>
      <c r="C11870" t="s">
        <v>260</v>
      </c>
      <c r="D11870" s="1" t="str">
        <f t="shared" si="328"/>
        <v>PRG-1037129</v>
      </c>
      <c r="E11870" t="s">
        <v>199</v>
      </c>
      <c r="F11870" t="s">
        <v>4</v>
      </c>
      <c r="G11870" t="str">
        <f>""</f>
        <v/>
      </c>
    </row>
    <row r="11871" spans="1:7" x14ac:dyDescent="0.25">
      <c r="A11871" t="s">
        <v>8</v>
      </c>
      <c r="B11871" s="1" t="str">
        <f>"000129986 - RICH FOODS CBB-LANDRYS"</f>
        <v>000129986 - RICH FOODS CBB-LANDRYS</v>
      </c>
      <c r="C11871" t="s">
        <v>198</v>
      </c>
      <c r="D11871" s="1" t="str">
        <f t="shared" si="328"/>
        <v>PRG-1037129</v>
      </c>
      <c r="E11871" t="s">
        <v>199</v>
      </c>
      <c r="F11871" t="s">
        <v>4</v>
      </c>
      <c r="G11871" t="str">
        <f>""</f>
        <v/>
      </c>
    </row>
    <row r="11872" spans="1:7" x14ac:dyDescent="0.25">
      <c r="A11872" t="s">
        <v>8</v>
      </c>
      <c r="B11872" s="1" t="str">
        <f>"000134021 - RICH FOODS-LANDRYS BAPA LOGIC"</f>
        <v>000134021 - RICH FOODS-LANDRYS BAPA LOGIC</v>
      </c>
      <c r="C11872" t="s">
        <v>260</v>
      </c>
      <c r="D11872" s="1" t="str">
        <f t="shared" si="328"/>
        <v>PRG-1037129</v>
      </c>
      <c r="E11872" t="s">
        <v>199</v>
      </c>
      <c r="F11872" t="s">
        <v>4</v>
      </c>
      <c r="G11872" t="str">
        <f>""</f>
        <v/>
      </c>
    </row>
    <row r="11873" spans="1:7" x14ac:dyDescent="0.25">
      <c r="A11873" t="s">
        <v>8</v>
      </c>
      <c r="B11873" s="1" t="str">
        <f>"000226649 - RICH FOODS NCBB-LANDRYS"</f>
        <v>000226649 - RICH FOODS NCBB-LANDRYS</v>
      </c>
      <c r="C11873" t="s">
        <v>201</v>
      </c>
      <c r="D11873" s="1" t="str">
        <f t="shared" si="328"/>
        <v>PRG-1037129</v>
      </c>
      <c r="E11873" t="s">
        <v>199</v>
      </c>
      <c r="F11873" t="s">
        <v>4</v>
      </c>
      <c r="G11873" t="str">
        <f>""</f>
        <v/>
      </c>
    </row>
    <row r="11874" spans="1:7" x14ac:dyDescent="0.25">
      <c r="A11874" t="s">
        <v>8</v>
      </c>
      <c r="B11874" s="1" t="str">
        <f>"000226650 - RICH FOODS CBB-LANDRYS"</f>
        <v>000226650 - RICH FOODS CBB-LANDRYS</v>
      </c>
      <c r="C11874" t="s">
        <v>198</v>
      </c>
      <c r="D11874" s="1" t="str">
        <f t="shared" si="328"/>
        <v>PRG-1037129</v>
      </c>
      <c r="E11874" t="s">
        <v>199</v>
      </c>
      <c r="F11874" t="s">
        <v>4</v>
      </c>
      <c r="G11874" t="str">
        <f>""</f>
        <v/>
      </c>
    </row>
    <row r="11875" spans="1:7" x14ac:dyDescent="0.25">
      <c r="A11875" t="s">
        <v>8</v>
      </c>
      <c r="B11875" s="1" t="str">
        <f>"000228879 - RICH FOODS-LANDRYS BAPA LOGIC"</f>
        <v>000228879 - RICH FOODS-LANDRYS BAPA LOGIC</v>
      </c>
      <c r="C11875" t="s">
        <v>260</v>
      </c>
      <c r="D11875" s="1" t="str">
        <f t="shared" si="328"/>
        <v>PRG-1037129</v>
      </c>
      <c r="E11875" t="s">
        <v>199</v>
      </c>
      <c r="F11875" t="s">
        <v>4</v>
      </c>
      <c r="G11875" t="str">
        <f>""</f>
        <v/>
      </c>
    </row>
    <row r="11876" spans="1:7" x14ac:dyDescent="0.25">
      <c r="A11876" t="s">
        <v>8</v>
      </c>
      <c r="B11876" s="1" t="str">
        <f>"000231077 - RICH FOODS-LANDRYS BAPA LOGIC"</f>
        <v>000231077 - RICH FOODS-LANDRYS BAPA LOGIC</v>
      </c>
      <c r="C11876" t="s">
        <v>260</v>
      </c>
      <c r="D11876" s="1" t="str">
        <f t="shared" si="328"/>
        <v>PRG-1037129</v>
      </c>
      <c r="E11876" t="s">
        <v>199</v>
      </c>
      <c r="F11876" t="s">
        <v>4</v>
      </c>
      <c r="G11876" t="str">
        <f>""</f>
        <v/>
      </c>
    </row>
    <row r="11877" spans="1:7" x14ac:dyDescent="0.25">
      <c r="A11877" t="s">
        <v>8</v>
      </c>
      <c r="B11877" s="1" t="str">
        <f>"000247614 - BB LANDRYS FOB RICH"</f>
        <v>000247614 - BB LANDRYS FOB RICH</v>
      </c>
      <c r="C11877" t="s">
        <v>1216</v>
      </c>
      <c r="D11877" s="1" t="str">
        <f t="shared" si="328"/>
        <v>PRG-1037129</v>
      </c>
      <c r="E11877" t="s">
        <v>199</v>
      </c>
      <c r="F11877" t="s">
        <v>4</v>
      </c>
      <c r="G11877" t="str">
        <f>""</f>
        <v/>
      </c>
    </row>
    <row r="11878" spans="1:7" x14ac:dyDescent="0.25">
      <c r="A11878" t="s">
        <v>8</v>
      </c>
      <c r="B11878" s="1" t="str">
        <f>"000248579 - RICH FOODS CBB-LANDRYS"</f>
        <v>000248579 - RICH FOODS CBB-LANDRYS</v>
      </c>
      <c r="C11878" t="s">
        <v>198</v>
      </c>
      <c r="D11878" s="1" t="str">
        <f t="shared" si="328"/>
        <v>PRG-1037129</v>
      </c>
      <c r="E11878" t="s">
        <v>199</v>
      </c>
      <c r="F11878" t="s">
        <v>4</v>
      </c>
      <c r="G11878" t="str">
        <f>""</f>
        <v/>
      </c>
    </row>
    <row r="11879" spans="1:7" x14ac:dyDescent="0.25">
      <c r="A11879" t="s">
        <v>8</v>
      </c>
      <c r="B11879" s="1" t="str">
        <f>"000253305 - RICH FOODS-LANDRYS BAPA LOGIC"</f>
        <v>000253305 - RICH FOODS-LANDRYS BAPA LOGIC</v>
      </c>
      <c r="C11879" t="s">
        <v>260</v>
      </c>
      <c r="D11879" s="1" t="str">
        <f t="shared" si="328"/>
        <v>PRG-1037129</v>
      </c>
      <c r="E11879" t="s">
        <v>199</v>
      </c>
      <c r="F11879" t="s">
        <v>4</v>
      </c>
      <c r="G11879" t="str">
        <f>""</f>
        <v/>
      </c>
    </row>
    <row r="11880" spans="1:7" x14ac:dyDescent="0.25">
      <c r="A11880" t="s">
        <v>8</v>
      </c>
      <c r="B11880" s="1" t="str">
        <f>"000255603 - RICH FOODS-LANDRYS BAPA LOGIC"</f>
        <v>000255603 - RICH FOODS-LANDRYS BAPA LOGIC</v>
      </c>
      <c r="C11880" t="s">
        <v>260</v>
      </c>
      <c r="D11880" s="1" t="str">
        <f t="shared" si="328"/>
        <v>PRG-1037129</v>
      </c>
      <c r="E11880" t="s">
        <v>199</v>
      </c>
      <c r="F11880" t="s">
        <v>4</v>
      </c>
      <c r="G11880" t="str">
        <f>""</f>
        <v/>
      </c>
    </row>
    <row r="11881" spans="1:7" x14ac:dyDescent="0.25">
      <c r="A11881" t="s">
        <v>8</v>
      </c>
      <c r="B11881" s="1" t="str">
        <f>"000256192 - RICH FOODS NCBB-LANDRYS"</f>
        <v>000256192 - RICH FOODS NCBB-LANDRYS</v>
      </c>
      <c r="C11881" t="s">
        <v>201</v>
      </c>
      <c r="D11881" s="1" t="str">
        <f t="shared" si="328"/>
        <v>PRG-1037129</v>
      </c>
      <c r="E11881" t="s">
        <v>199</v>
      </c>
      <c r="F11881" t="s">
        <v>4</v>
      </c>
      <c r="G11881" t="str">
        <f>""</f>
        <v/>
      </c>
    </row>
    <row r="11882" spans="1:7" x14ac:dyDescent="0.25">
      <c r="A11882" t="s">
        <v>8</v>
      </c>
      <c r="B11882" s="1" t="str">
        <f>"000257694 - RICH FOODS-LANDRYS BAPA LOGIC"</f>
        <v>000257694 - RICH FOODS-LANDRYS BAPA LOGIC</v>
      </c>
      <c r="C11882" t="s">
        <v>260</v>
      </c>
      <c r="D11882" s="1" t="str">
        <f t="shared" si="328"/>
        <v>PRG-1037129</v>
      </c>
      <c r="E11882" t="s">
        <v>199</v>
      </c>
      <c r="F11882" t="s">
        <v>4</v>
      </c>
      <c r="G11882" t="str">
        <f>""</f>
        <v/>
      </c>
    </row>
    <row r="11883" spans="1:7" x14ac:dyDescent="0.25">
      <c r="A11883" t="s">
        <v>8</v>
      </c>
      <c r="B11883" s="1" t="str">
        <f>"000260333 - RICH FOODS-LANDRYS BAPA LOGIC"</f>
        <v>000260333 - RICH FOODS-LANDRYS BAPA LOGIC</v>
      </c>
      <c r="C11883" t="s">
        <v>260</v>
      </c>
      <c r="D11883" s="1" t="str">
        <f t="shared" si="328"/>
        <v>PRG-1037129</v>
      </c>
      <c r="E11883" t="s">
        <v>199</v>
      </c>
      <c r="F11883" t="s">
        <v>4</v>
      </c>
      <c r="G11883" t="str">
        <f>""</f>
        <v/>
      </c>
    </row>
    <row r="11884" spans="1:7" x14ac:dyDescent="0.25">
      <c r="A11884" t="s">
        <v>8</v>
      </c>
      <c r="B11884" s="1" t="str">
        <f>"000262942 - RICH FOODS-LANDRYS BAPA LOGIC"</f>
        <v>000262942 - RICH FOODS-LANDRYS BAPA LOGIC</v>
      </c>
      <c r="C11884" t="s">
        <v>260</v>
      </c>
      <c r="D11884" s="1" t="str">
        <f t="shared" si="328"/>
        <v>PRG-1037129</v>
      </c>
      <c r="E11884" t="s">
        <v>199</v>
      </c>
      <c r="F11884" t="s">
        <v>4</v>
      </c>
      <c r="G11884" t="str">
        <f>""</f>
        <v/>
      </c>
    </row>
    <row r="11885" spans="1:7" x14ac:dyDescent="0.25">
      <c r="A11885" t="s">
        <v>8</v>
      </c>
      <c r="B11885" s="1" t="str">
        <f>"000276179 - RICH FOODS-LANDRYS BAPA LOGIC"</f>
        <v>000276179 - RICH FOODS-LANDRYS BAPA LOGIC</v>
      </c>
      <c r="C11885" t="s">
        <v>260</v>
      </c>
      <c r="D11885" s="1" t="str">
        <f t="shared" si="328"/>
        <v>PRG-1037129</v>
      </c>
      <c r="E11885" t="s">
        <v>199</v>
      </c>
      <c r="F11885" t="s">
        <v>4</v>
      </c>
      <c r="G11885" t="str">
        <f>""</f>
        <v/>
      </c>
    </row>
    <row r="11886" spans="1:7" x14ac:dyDescent="0.25">
      <c r="A11886" t="s">
        <v>8</v>
      </c>
      <c r="B11886" s="1" t="str">
        <f>"000280636 - RICH FOODS CBB-LANDRYS"</f>
        <v>000280636 - RICH FOODS CBB-LANDRYS</v>
      </c>
      <c r="C11886" t="s">
        <v>198</v>
      </c>
      <c r="D11886" s="1" t="str">
        <f t="shared" si="328"/>
        <v>PRG-1037129</v>
      </c>
      <c r="E11886" t="s">
        <v>199</v>
      </c>
      <c r="F11886" t="s">
        <v>4</v>
      </c>
      <c r="G11886" t="str">
        <f>""</f>
        <v/>
      </c>
    </row>
    <row r="11887" spans="1:7" x14ac:dyDescent="0.25">
      <c r="A11887" t="s">
        <v>8</v>
      </c>
      <c r="B11887" s="1" t="str">
        <f>"000282516 - RICH FOODS CBB-LANDRYS"</f>
        <v>000282516 - RICH FOODS CBB-LANDRYS</v>
      </c>
      <c r="C11887" t="s">
        <v>198</v>
      </c>
      <c r="D11887" s="1" t="str">
        <f t="shared" si="328"/>
        <v>PRG-1037129</v>
      </c>
      <c r="E11887" t="s">
        <v>199</v>
      </c>
      <c r="F11887" t="s">
        <v>4</v>
      </c>
      <c r="G11887" t="str">
        <f>""</f>
        <v/>
      </c>
    </row>
    <row r="11888" spans="1:7" x14ac:dyDescent="0.25">
      <c r="A11888" t="s">
        <v>8</v>
      </c>
      <c r="B11888" s="1" t="str">
        <f>"000284707 - RICH FOODS-LANDRYS BAPA LOGIC"</f>
        <v>000284707 - RICH FOODS-LANDRYS BAPA LOGIC</v>
      </c>
      <c r="C11888" t="s">
        <v>260</v>
      </c>
      <c r="D11888" s="1" t="str">
        <f t="shared" si="328"/>
        <v>PRG-1037129</v>
      </c>
      <c r="E11888" t="s">
        <v>199</v>
      </c>
      <c r="F11888" t="s">
        <v>4</v>
      </c>
      <c r="G11888" t="str">
        <f>""</f>
        <v/>
      </c>
    </row>
    <row r="11889" spans="1:7" x14ac:dyDescent="0.25">
      <c r="A11889" t="s">
        <v>8</v>
      </c>
      <c r="B11889" s="1" t="str">
        <f>"000287103 - RICH FOODS-LANDRYS BAPA LOGIC"</f>
        <v>000287103 - RICH FOODS-LANDRYS BAPA LOGIC</v>
      </c>
      <c r="C11889" t="s">
        <v>260</v>
      </c>
      <c r="D11889" s="1" t="str">
        <f t="shared" si="328"/>
        <v>PRG-1037129</v>
      </c>
      <c r="E11889" t="s">
        <v>199</v>
      </c>
      <c r="F11889" t="s">
        <v>4</v>
      </c>
      <c r="G11889" t="str">
        <f>""</f>
        <v/>
      </c>
    </row>
    <row r="11890" spans="1:7" x14ac:dyDescent="0.25">
      <c r="A11890" t="s">
        <v>8</v>
      </c>
      <c r="B11890" s="1" t="str">
        <f>"000308556 - RICH FOODS-LANDRYS BAPA LOGIC"</f>
        <v>000308556 - RICH FOODS-LANDRYS BAPA LOGIC</v>
      </c>
      <c r="C11890" t="s">
        <v>260</v>
      </c>
      <c r="D11890" s="1" t="str">
        <f t="shared" si="328"/>
        <v>PRG-1037129</v>
      </c>
      <c r="E11890" t="s">
        <v>199</v>
      </c>
      <c r="F11890" t="s">
        <v>4</v>
      </c>
      <c r="G11890" t="str">
        <f>""</f>
        <v/>
      </c>
    </row>
    <row r="11891" spans="1:7" x14ac:dyDescent="0.25">
      <c r="A11891" t="s">
        <v>8</v>
      </c>
      <c r="B11891" s="1" t="str">
        <f>"000323195 - "</f>
        <v xml:space="preserve">000323195 - </v>
      </c>
      <c r="D11891" s="1" t="str">
        <f t="shared" si="328"/>
        <v>PRG-1037129</v>
      </c>
      <c r="E11891" t="s">
        <v>199</v>
      </c>
      <c r="F11891" t="s">
        <v>4</v>
      </c>
      <c r="G11891" t="str">
        <f>""</f>
        <v/>
      </c>
    </row>
    <row r="11892" spans="1:7" x14ac:dyDescent="0.25">
      <c r="A11892" t="s">
        <v>8</v>
      </c>
      <c r="B11892" s="1" t="str">
        <f>"000323196 - "</f>
        <v xml:space="preserve">000323196 - </v>
      </c>
      <c r="D11892" s="1" t="str">
        <f t="shared" si="328"/>
        <v>PRG-1037129</v>
      </c>
      <c r="E11892" t="s">
        <v>199</v>
      </c>
      <c r="F11892" t="s">
        <v>4</v>
      </c>
      <c r="G11892" t="str">
        <f>""</f>
        <v/>
      </c>
    </row>
    <row r="11893" spans="1:7" x14ac:dyDescent="0.25">
      <c r="A11893" t="s">
        <v>8</v>
      </c>
      <c r="B11893" s="1" t="str">
        <f>"000328071 - "</f>
        <v xml:space="preserve">000328071 - </v>
      </c>
      <c r="D11893" s="1" t="str">
        <f t="shared" si="328"/>
        <v>PRG-1037129</v>
      </c>
      <c r="E11893" t="s">
        <v>199</v>
      </c>
      <c r="F11893" t="s">
        <v>4</v>
      </c>
      <c r="G11893" t="str">
        <f>""</f>
        <v/>
      </c>
    </row>
    <row r="11894" spans="1:7" x14ac:dyDescent="0.25">
      <c r="A11894" t="s">
        <v>8</v>
      </c>
      <c r="B11894" s="1" t="str">
        <f>"000334962 - RICH FOODS-LANDRYS BAPA LOGIC"</f>
        <v>000334962 - RICH FOODS-LANDRYS BAPA LOGIC</v>
      </c>
      <c r="C11894" t="s">
        <v>260</v>
      </c>
      <c r="D11894" s="1" t="str">
        <f t="shared" si="328"/>
        <v>PRG-1037129</v>
      </c>
      <c r="E11894" t="s">
        <v>199</v>
      </c>
      <c r="F11894" t="s">
        <v>4</v>
      </c>
      <c r="G11894" t="str">
        <f>""</f>
        <v/>
      </c>
    </row>
    <row r="11895" spans="1:7" x14ac:dyDescent="0.25">
      <c r="A11895" t="s">
        <v>8</v>
      </c>
      <c r="B11895" s="1" t="str">
        <f>"000340155 - RICH FOODS NCBB-LANDRYS"</f>
        <v>000340155 - RICH FOODS NCBB-LANDRYS</v>
      </c>
      <c r="C11895" t="s">
        <v>201</v>
      </c>
      <c r="D11895" s="1" t="str">
        <f t="shared" si="328"/>
        <v>PRG-1037129</v>
      </c>
      <c r="E11895" t="s">
        <v>199</v>
      </c>
      <c r="F11895" t="s">
        <v>4</v>
      </c>
      <c r="G11895" t="str">
        <f>""</f>
        <v/>
      </c>
    </row>
    <row r="11896" spans="1:7" x14ac:dyDescent="0.25">
      <c r="A11896" t="s">
        <v>8</v>
      </c>
      <c r="B11896" s="1" t="str">
        <f>"000340314 - RICH FOODS-LANDRYS BAPA LOGIC"</f>
        <v>000340314 - RICH FOODS-LANDRYS BAPA LOGIC</v>
      </c>
      <c r="C11896" t="s">
        <v>260</v>
      </c>
      <c r="D11896" s="1" t="str">
        <f t="shared" si="328"/>
        <v>PRG-1037129</v>
      </c>
      <c r="E11896" t="s">
        <v>199</v>
      </c>
      <c r="F11896" t="s">
        <v>4</v>
      </c>
      <c r="G11896" t="str">
        <f>""</f>
        <v/>
      </c>
    </row>
    <row r="11897" spans="1:7" x14ac:dyDescent="0.25">
      <c r="A11897" t="s">
        <v>8</v>
      </c>
      <c r="B11897" s="1" t="str">
        <f>"000346453 - RICH FOODS-LANDRYS BAPA LOGIC"</f>
        <v>000346453 - RICH FOODS-LANDRYS BAPA LOGIC</v>
      </c>
      <c r="C11897" t="s">
        <v>260</v>
      </c>
      <c r="D11897" s="1" t="str">
        <f t="shared" si="328"/>
        <v>PRG-1037129</v>
      </c>
      <c r="E11897" t="s">
        <v>199</v>
      </c>
      <c r="F11897" t="s">
        <v>4</v>
      </c>
      <c r="G11897" t="str">
        <f>""</f>
        <v/>
      </c>
    </row>
    <row r="11898" spans="1:7" x14ac:dyDescent="0.25">
      <c r="A11898" t="s">
        <v>8</v>
      </c>
      <c r="B11898" s="1" t="str">
        <f>"000347493 - RICH FOODS-LANDRYS BAPA LOGIC"</f>
        <v>000347493 - RICH FOODS-LANDRYS BAPA LOGIC</v>
      </c>
      <c r="C11898" t="s">
        <v>260</v>
      </c>
      <c r="D11898" s="1" t="str">
        <f t="shared" si="328"/>
        <v>PRG-1037129</v>
      </c>
      <c r="E11898" t="s">
        <v>199</v>
      </c>
      <c r="F11898" t="s">
        <v>4</v>
      </c>
      <c r="G11898" t="str">
        <f>""</f>
        <v/>
      </c>
    </row>
    <row r="11899" spans="1:7" x14ac:dyDescent="0.25">
      <c r="A11899" t="s">
        <v>8</v>
      </c>
      <c r="B11899" s="1" t="str">
        <f>"000349263 - "</f>
        <v xml:space="preserve">000349263 - </v>
      </c>
      <c r="D11899" s="1" t="str">
        <f t="shared" si="328"/>
        <v>PRG-1037129</v>
      </c>
      <c r="E11899" t="s">
        <v>199</v>
      </c>
      <c r="F11899" t="s">
        <v>4</v>
      </c>
      <c r="G11899" t="str">
        <f>""</f>
        <v/>
      </c>
    </row>
    <row r="11900" spans="1:7" x14ac:dyDescent="0.25">
      <c r="A11900" t="s">
        <v>8</v>
      </c>
      <c r="B11900" s="1" t="str">
        <f>"000349531 - RICH FOODS-LANDRYS BAPA LOGIC"</f>
        <v>000349531 - RICH FOODS-LANDRYS BAPA LOGIC</v>
      </c>
      <c r="C11900" t="s">
        <v>260</v>
      </c>
      <c r="D11900" s="1" t="str">
        <f t="shared" si="328"/>
        <v>PRG-1037129</v>
      </c>
      <c r="E11900" t="s">
        <v>199</v>
      </c>
      <c r="F11900" t="s">
        <v>4</v>
      </c>
      <c r="G11900" t="str">
        <f>""</f>
        <v/>
      </c>
    </row>
    <row r="11901" spans="1:7" x14ac:dyDescent="0.25">
      <c r="A11901" t="s">
        <v>8</v>
      </c>
      <c r="B11901" s="1" t="str">
        <f>"000359480 - "</f>
        <v xml:space="preserve">000359480 - </v>
      </c>
      <c r="D11901" s="1" t="str">
        <f t="shared" si="328"/>
        <v>PRG-1037129</v>
      </c>
      <c r="E11901" t="s">
        <v>199</v>
      </c>
      <c r="F11901" t="s">
        <v>4</v>
      </c>
      <c r="G11901" t="str">
        <f>""</f>
        <v/>
      </c>
    </row>
    <row r="11902" spans="1:7" x14ac:dyDescent="0.25">
      <c r="A11902" t="s">
        <v>8</v>
      </c>
      <c r="B11902" s="1" t="str">
        <f>"000376567 - RICH FOODS-LANDRYS BAPA LOGIC"</f>
        <v>000376567 - RICH FOODS-LANDRYS BAPA LOGIC</v>
      </c>
      <c r="C11902" t="s">
        <v>260</v>
      </c>
      <c r="D11902" s="1" t="str">
        <f t="shared" si="328"/>
        <v>PRG-1037129</v>
      </c>
      <c r="E11902" t="s">
        <v>199</v>
      </c>
      <c r="F11902" t="s">
        <v>4</v>
      </c>
      <c r="G11902" t="str">
        <f>""</f>
        <v/>
      </c>
    </row>
    <row r="11903" spans="1:7" x14ac:dyDescent="0.25">
      <c r="A11903" t="s">
        <v>8</v>
      </c>
      <c r="B11903" s="1" t="str">
        <f>"000388303 - "</f>
        <v xml:space="preserve">000388303 - </v>
      </c>
      <c r="D11903" s="1" t="str">
        <f t="shared" si="328"/>
        <v>PRG-1037129</v>
      </c>
      <c r="E11903" t="s">
        <v>199</v>
      </c>
      <c r="F11903" t="s">
        <v>4</v>
      </c>
      <c r="G11903" t="str">
        <f>""</f>
        <v/>
      </c>
    </row>
    <row r="11904" spans="1:7" x14ac:dyDescent="0.25">
      <c r="A11904" t="s">
        <v>8</v>
      </c>
      <c r="B11904" s="1" t="str">
        <f>"2000447268 - RICH-LANDRY'S"</f>
        <v>2000447268 - RICH-LANDRY'S</v>
      </c>
      <c r="C11904" t="s">
        <v>3889</v>
      </c>
      <c r="D11904" s="1" t="str">
        <f t="shared" si="328"/>
        <v>PRG-1037129</v>
      </c>
      <c r="E11904" t="s">
        <v>199</v>
      </c>
      <c r="F11904" t="s">
        <v>4</v>
      </c>
      <c r="G11904" t="str">
        <f>""</f>
        <v/>
      </c>
    </row>
    <row r="11905" spans="1:7" x14ac:dyDescent="0.25">
      <c r="A11905" t="s">
        <v>8</v>
      </c>
      <c r="B11905" s="1" t="str">
        <f>"355256 - "</f>
        <v xml:space="preserve">355256 - </v>
      </c>
      <c r="D11905" s="1" t="str">
        <f t="shared" si="328"/>
        <v>PRG-1037129</v>
      </c>
      <c r="E11905" t="s">
        <v>199</v>
      </c>
      <c r="F11905" t="s">
        <v>4</v>
      </c>
      <c r="G11905" t="str">
        <f>""</f>
        <v/>
      </c>
    </row>
    <row r="11906" spans="1:7" x14ac:dyDescent="0.25">
      <c r="A11906" t="s">
        <v>8</v>
      </c>
      <c r="B11906" s="1" t="str">
        <f>"366071 - "</f>
        <v xml:space="preserve">366071 - </v>
      </c>
      <c r="D11906" s="1" t="str">
        <f t="shared" si="328"/>
        <v>PRG-1037129</v>
      </c>
      <c r="E11906" t="s">
        <v>199</v>
      </c>
      <c r="F11906" t="s">
        <v>4</v>
      </c>
      <c r="G11906" t="str">
        <f>""</f>
        <v/>
      </c>
    </row>
    <row r="11907" spans="1:7" x14ac:dyDescent="0.25">
      <c r="A11907" t="s">
        <v>8</v>
      </c>
      <c r="B11907" s="1" t="str">
        <f>"000007101 - RICH FOODS - FOODBUY"</f>
        <v>000007101 - RICH FOODS - FOODBUY</v>
      </c>
      <c r="C11907" t="s">
        <v>146</v>
      </c>
      <c r="D11907" s="1" t="str">
        <f t="shared" ref="D11907:D11970" si="329">"PRG-1037161"</f>
        <v>PRG-1037161</v>
      </c>
      <c r="E11907" t="s">
        <v>147</v>
      </c>
      <c r="F11907" t="s">
        <v>4</v>
      </c>
      <c r="G11907" t="str">
        <f>""</f>
        <v/>
      </c>
    </row>
    <row r="11908" spans="1:7" x14ac:dyDescent="0.25">
      <c r="A11908" t="s">
        <v>8</v>
      </c>
      <c r="B11908" s="1" t="str">
        <f>"000007850 - CP-RICH FOODS BB-FOODBUY"</f>
        <v>000007850 - CP-RICH FOODS BB-FOODBUY</v>
      </c>
      <c r="C11908" t="s">
        <v>271</v>
      </c>
      <c r="D11908" s="1" t="str">
        <f t="shared" si="329"/>
        <v>PRG-1037161</v>
      </c>
      <c r="E11908" t="s">
        <v>147</v>
      </c>
      <c r="F11908" t="s">
        <v>4</v>
      </c>
      <c r="G11908" t="str">
        <f>""</f>
        <v/>
      </c>
    </row>
    <row r="11909" spans="1:7" x14ac:dyDescent="0.25">
      <c r="A11909" t="s">
        <v>8</v>
      </c>
      <c r="B11909" s="1" t="str">
        <f>"000009029 - RICH FOODS - FOODBUY"</f>
        <v>000009029 - RICH FOODS - FOODBUY</v>
      </c>
      <c r="C11909" t="s">
        <v>146</v>
      </c>
      <c r="D11909" s="1" t="str">
        <f t="shared" si="329"/>
        <v>PRG-1037161</v>
      </c>
      <c r="E11909" t="s">
        <v>147</v>
      </c>
      <c r="F11909" t="s">
        <v>4</v>
      </c>
      <c r="G11909" t="str">
        <f>""</f>
        <v/>
      </c>
    </row>
    <row r="11910" spans="1:7" x14ac:dyDescent="0.25">
      <c r="A11910" t="s">
        <v>8</v>
      </c>
      <c r="B11910" s="1" t="str">
        <f>"000009122 - RICH FOODS BB-FOODBUY"</f>
        <v>000009122 - RICH FOODS BB-FOODBUY</v>
      </c>
      <c r="C11910" t="s">
        <v>209</v>
      </c>
      <c r="D11910" s="1" t="str">
        <f t="shared" si="329"/>
        <v>PRG-1037161</v>
      </c>
      <c r="E11910" t="s">
        <v>147</v>
      </c>
      <c r="F11910" t="s">
        <v>4</v>
      </c>
      <c r="G11910" t="str">
        <f>""</f>
        <v/>
      </c>
    </row>
    <row r="11911" spans="1:7" x14ac:dyDescent="0.25">
      <c r="A11911" t="s">
        <v>8</v>
      </c>
      <c r="B11911" s="1" t="str">
        <f>"000009727 - CP RICH FOODS - FOODBUYUY AMM"</f>
        <v>000009727 - CP RICH FOODS - FOODBUYUY AMM</v>
      </c>
      <c r="C11911" t="s">
        <v>299</v>
      </c>
      <c r="D11911" s="1" t="str">
        <f t="shared" si="329"/>
        <v>PRG-1037161</v>
      </c>
      <c r="E11911" t="s">
        <v>147</v>
      </c>
      <c r="F11911" t="s">
        <v>4</v>
      </c>
      <c r="G11911" t="str">
        <f>""</f>
        <v/>
      </c>
    </row>
    <row r="11912" spans="1:7" x14ac:dyDescent="0.25">
      <c r="A11912" t="s">
        <v>8</v>
      </c>
      <c r="B11912" s="1" t="str">
        <f>"000010270 - CP RICH FOODS FOODBUY"</f>
        <v>000010270 - CP RICH FOODS FOODBUY</v>
      </c>
      <c r="C11912" t="s">
        <v>310</v>
      </c>
      <c r="D11912" s="1" t="str">
        <f t="shared" si="329"/>
        <v>PRG-1037161</v>
      </c>
      <c r="E11912" t="s">
        <v>147</v>
      </c>
      <c r="F11912" t="s">
        <v>4</v>
      </c>
      <c r="G11912" t="str">
        <f>""</f>
        <v/>
      </c>
    </row>
    <row r="11913" spans="1:7" x14ac:dyDescent="0.25">
      <c r="A11913" t="s">
        <v>8</v>
      </c>
      <c r="B11913" s="1" t="str">
        <f>"000010911 - RICH FOODS - FOODBUY"</f>
        <v>000010911 - RICH FOODS - FOODBUY</v>
      </c>
      <c r="C11913" t="s">
        <v>146</v>
      </c>
      <c r="D11913" s="1" t="str">
        <f t="shared" si="329"/>
        <v>PRG-1037161</v>
      </c>
      <c r="E11913" t="s">
        <v>147</v>
      </c>
      <c r="F11913" t="s">
        <v>4</v>
      </c>
      <c r="G11913" t="str">
        <f>""</f>
        <v/>
      </c>
    </row>
    <row r="11914" spans="1:7" x14ac:dyDescent="0.25">
      <c r="A11914" t="s">
        <v>8</v>
      </c>
      <c r="B11914" s="1" t="str">
        <f>"000011105 - RICH FOODS-FOODBUY"</f>
        <v>000011105 - RICH FOODS-FOODBUY</v>
      </c>
      <c r="C11914" t="s">
        <v>237</v>
      </c>
      <c r="D11914" s="1" t="str">
        <f t="shared" si="329"/>
        <v>PRG-1037161</v>
      </c>
      <c r="E11914" t="s">
        <v>147</v>
      </c>
      <c r="F11914" t="s">
        <v>4</v>
      </c>
      <c r="G11914" t="str">
        <f>""</f>
        <v/>
      </c>
    </row>
    <row r="11915" spans="1:7" x14ac:dyDescent="0.25">
      <c r="A11915" t="s">
        <v>8</v>
      </c>
      <c r="B11915" s="1" t="str">
        <f>"000012658 - RICH FOODS - FOODBUY"</f>
        <v>000012658 - RICH FOODS - FOODBUY</v>
      </c>
      <c r="C11915" t="s">
        <v>146</v>
      </c>
      <c r="D11915" s="1" t="str">
        <f t="shared" si="329"/>
        <v>PRG-1037161</v>
      </c>
      <c r="E11915" t="s">
        <v>147</v>
      </c>
      <c r="F11915" t="s">
        <v>4</v>
      </c>
      <c r="G11915" t="str">
        <f>""</f>
        <v/>
      </c>
    </row>
    <row r="11916" spans="1:7" x14ac:dyDescent="0.25">
      <c r="A11916" t="s">
        <v>8</v>
      </c>
      <c r="B11916" s="1" t="str">
        <f>"000012813 - RICH FOODS-FOODBUY"</f>
        <v>000012813 - RICH FOODS-FOODBUY</v>
      </c>
      <c r="C11916" t="s">
        <v>237</v>
      </c>
      <c r="D11916" s="1" t="str">
        <f t="shared" si="329"/>
        <v>PRG-1037161</v>
      </c>
      <c r="E11916" t="s">
        <v>147</v>
      </c>
      <c r="F11916" t="s">
        <v>4</v>
      </c>
      <c r="G11916" t="str">
        <f>""</f>
        <v/>
      </c>
    </row>
    <row r="11917" spans="1:7" x14ac:dyDescent="0.25">
      <c r="A11917" t="s">
        <v>8</v>
      </c>
      <c r="B11917" s="1" t="str">
        <f>"000013510 - "</f>
        <v xml:space="preserve">000013510 - </v>
      </c>
      <c r="D11917" s="1" t="str">
        <f t="shared" si="329"/>
        <v>PRG-1037161</v>
      </c>
      <c r="E11917" t="s">
        <v>147</v>
      </c>
      <c r="F11917" t="s">
        <v>4</v>
      </c>
      <c r="G11917" t="str">
        <f>""</f>
        <v/>
      </c>
    </row>
    <row r="11918" spans="1:7" x14ac:dyDescent="0.25">
      <c r="A11918" t="s">
        <v>8</v>
      </c>
      <c r="B11918" s="1" t="str">
        <f>"000014436 - RICH FOODS - FOODBUY"</f>
        <v>000014436 - RICH FOODS - FOODBUY</v>
      </c>
      <c r="C11918" t="s">
        <v>146</v>
      </c>
      <c r="D11918" s="1" t="str">
        <f t="shared" si="329"/>
        <v>PRG-1037161</v>
      </c>
      <c r="E11918" t="s">
        <v>147</v>
      </c>
      <c r="F11918" t="s">
        <v>4</v>
      </c>
      <c r="G11918" t="str">
        <f>""</f>
        <v/>
      </c>
    </row>
    <row r="11919" spans="1:7" x14ac:dyDescent="0.25">
      <c r="A11919" t="s">
        <v>8</v>
      </c>
      <c r="B11919" s="1" t="str">
        <f>"000015036 - RICH'S FOOD BAPA -FOODBUY"</f>
        <v>000015036 - RICH'S FOOD BAPA -FOODBUY</v>
      </c>
      <c r="C11919" t="s">
        <v>363</v>
      </c>
      <c r="D11919" s="1" t="str">
        <f t="shared" si="329"/>
        <v>PRG-1037161</v>
      </c>
      <c r="E11919" t="s">
        <v>147</v>
      </c>
      <c r="F11919" t="s">
        <v>4</v>
      </c>
      <c r="G11919" t="str">
        <f>""</f>
        <v/>
      </c>
    </row>
    <row r="11920" spans="1:7" x14ac:dyDescent="0.25">
      <c r="A11920" t="s">
        <v>8</v>
      </c>
      <c r="B11920" s="1" t="str">
        <f>"000015067 - RICH FOODS - FOODBUY"</f>
        <v>000015067 - RICH FOODS - FOODBUY</v>
      </c>
      <c r="C11920" t="s">
        <v>146</v>
      </c>
      <c r="D11920" s="1" t="str">
        <f t="shared" si="329"/>
        <v>PRG-1037161</v>
      </c>
      <c r="E11920" t="s">
        <v>147</v>
      </c>
      <c r="F11920" t="s">
        <v>4</v>
      </c>
      <c r="G11920" t="str">
        <f>""</f>
        <v/>
      </c>
    </row>
    <row r="11921" spans="1:7" x14ac:dyDescent="0.25">
      <c r="A11921" t="s">
        <v>8</v>
      </c>
      <c r="B11921" s="1" t="str">
        <f>"000015116 - "</f>
        <v xml:space="preserve">000015116 - </v>
      </c>
      <c r="D11921" s="1" t="str">
        <f t="shared" si="329"/>
        <v>PRG-1037161</v>
      </c>
      <c r="E11921" t="s">
        <v>147</v>
      </c>
      <c r="F11921" t="s">
        <v>4</v>
      </c>
      <c r="G11921" t="str">
        <f>""</f>
        <v/>
      </c>
    </row>
    <row r="11922" spans="1:7" x14ac:dyDescent="0.25">
      <c r="A11922" t="s">
        <v>8</v>
      </c>
      <c r="B11922" s="1" t="str">
        <f>"000015808 - RICH FOODS - FOODBUY"</f>
        <v>000015808 - RICH FOODS - FOODBUY</v>
      </c>
      <c r="C11922" t="s">
        <v>146</v>
      </c>
      <c r="D11922" s="1" t="str">
        <f t="shared" si="329"/>
        <v>PRG-1037161</v>
      </c>
      <c r="E11922" t="s">
        <v>147</v>
      </c>
      <c r="F11922" t="s">
        <v>4</v>
      </c>
      <c r="G11922" t="str">
        <f>""</f>
        <v/>
      </c>
    </row>
    <row r="11923" spans="1:7" x14ac:dyDescent="0.25">
      <c r="A11923" t="s">
        <v>8</v>
      </c>
      <c r="B11923" s="1" t="str">
        <f>"000017503 - "</f>
        <v xml:space="preserve">000017503 - </v>
      </c>
      <c r="D11923" s="1" t="str">
        <f t="shared" si="329"/>
        <v>PRG-1037161</v>
      </c>
      <c r="E11923" t="s">
        <v>147</v>
      </c>
      <c r="F11923" t="s">
        <v>4</v>
      </c>
      <c r="G11923" t="str">
        <f>""</f>
        <v/>
      </c>
    </row>
    <row r="11924" spans="1:7" x14ac:dyDescent="0.25">
      <c r="A11924" t="s">
        <v>8</v>
      </c>
      <c r="B11924" s="1" t="str">
        <f>"000017752 - "</f>
        <v xml:space="preserve">000017752 - </v>
      </c>
      <c r="D11924" s="1" t="str">
        <f t="shared" si="329"/>
        <v>PRG-1037161</v>
      </c>
      <c r="E11924" t="s">
        <v>147</v>
      </c>
      <c r="F11924" t="s">
        <v>4</v>
      </c>
      <c r="G11924" t="str">
        <f>""</f>
        <v/>
      </c>
    </row>
    <row r="11925" spans="1:7" x14ac:dyDescent="0.25">
      <c r="A11925" t="s">
        <v>8</v>
      </c>
      <c r="B11925" s="1" t="str">
        <f>"000018045 - RICH FOODS BB-FOODBUY"</f>
        <v>000018045 - RICH FOODS BB-FOODBUY</v>
      </c>
      <c r="C11925" t="s">
        <v>209</v>
      </c>
      <c r="D11925" s="1" t="str">
        <f t="shared" si="329"/>
        <v>PRG-1037161</v>
      </c>
      <c r="E11925" t="s">
        <v>147</v>
      </c>
      <c r="F11925" t="s">
        <v>4</v>
      </c>
      <c r="G11925" t="str">
        <f>""</f>
        <v/>
      </c>
    </row>
    <row r="11926" spans="1:7" x14ac:dyDescent="0.25">
      <c r="A11926" t="s">
        <v>8</v>
      </c>
      <c r="B11926" s="1" t="str">
        <f>"000018141 - CP RICH FOODS BB FOODBUY"</f>
        <v>000018141 - CP RICH FOODS BB FOODBUY</v>
      </c>
      <c r="C11926" t="s">
        <v>388</v>
      </c>
      <c r="D11926" s="1" t="str">
        <f t="shared" si="329"/>
        <v>PRG-1037161</v>
      </c>
      <c r="E11926" t="s">
        <v>147</v>
      </c>
      <c r="F11926" t="s">
        <v>4</v>
      </c>
      <c r="G11926" t="str">
        <f>""</f>
        <v/>
      </c>
    </row>
    <row r="11927" spans="1:7" x14ac:dyDescent="0.25">
      <c r="A11927" t="s">
        <v>8</v>
      </c>
      <c r="B11927" s="1" t="str">
        <f>"000018705 - "</f>
        <v xml:space="preserve">000018705 - </v>
      </c>
      <c r="D11927" s="1" t="str">
        <f t="shared" si="329"/>
        <v>PRG-1037161</v>
      </c>
      <c r="E11927" t="s">
        <v>147</v>
      </c>
      <c r="F11927" t="s">
        <v>4</v>
      </c>
      <c r="G11927" t="str">
        <f>""</f>
        <v/>
      </c>
    </row>
    <row r="11928" spans="1:7" x14ac:dyDescent="0.25">
      <c r="A11928" t="s">
        <v>8</v>
      </c>
      <c r="B11928" s="1" t="str">
        <f>"000018831 - RICH FOODS-FOODBUY"</f>
        <v>000018831 - RICH FOODS-FOODBUY</v>
      </c>
      <c r="C11928" t="s">
        <v>237</v>
      </c>
      <c r="D11928" s="1" t="str">
        <f t="shared" si="329"/>
        <v>PRG-1037161</v>
      </c>
      <c r="E11928" t="s">
        <v>147</v>
      </c>
      <c r="F11928" t="s">
        <v>4</v>
      </c>
      <c r="G11928" t="str">
        <f>""</f>
        <v/>
      </c>
    </row>
    <row r="11929" spans="1:7" x14ac:dyDescent="0.25">
      <c r="A11929" t="s">
        <v>8</v>
      </c>
      <c r="B11929" s="1" t="str">
        <f>"000018890 - "</f>
        <v xml:space="preserve">000018890 - </v>
      </c>
      <c r="D11929" s="1" t="str">
        <f t="shared" si="329"/>
        <v>PRG-1037161</v>
      </c>
      <c r="E11929" t="s">
        <v>147</v>
      </c>
      <c r="F11929" t="s">
        <v>4</v>
      </c>
      <c r="G11929" t="str">
        <f>""</f>
        <v/>
      </c>
    </row>
    <row r="11930" spans="1:7" x14ac:dyDescent="0.25">
      <c r="A11930" t="s">
        <v>8</v>
      </c>
      <c r="B11930" s="1" t="str">
        <f>"000019122 - "</f>
        <v xml:space="preserve">000019122 - </v>
      </c>
      <c r="D11930" s="1" t="str">
        <f t="shared" si="329"/>
        <v>PRG-1037161</v>
      </c>
      <c r="E11930" t="s">
        <v>147</v>
      </c>
      <c r="F11930" t="s">
        <v>4</v>
      </c>
      <c r="G11930" t="str">
        <f>""</f>
        <v/>
      </c>
    </row>
    <row r="11931" spans="1:7" x14ac:dyDescent="0.25">
      <c r="A11931" t="s">
        <v>8</v>
      </c>
      <c r="B11931" s="1" t="str">
        <f>"000019208 - RICH FOODS-FOODBUY"</f>
        <v>000019208 - RICH FOODS-FOODBUY</v>
      </c>
      <c r="C11931" t="s">
        <v>237</v>
      </c>
      <c r="D11931" s="1" t="str">
        <f t="shared" si="329"/>
        <v>PRG-1037161</v>
      </c>
      <c r="E11931" t="s">
        <v>147</v>
      </c>
      <c r="F11931" t="s">
        <v>4</v>
      </c>
      <c r="G11931" t="str">
        <f>""</f>
        <v/>
      </c>
    </row>
    <row r="11932" spans="1:7" x14ac:dyDescent="0.25">
      <c r="A11932" t="s">
        <v>8</v>
      </c>
      <c r="B11932" s="1" t="str">
        <f>"000019407 - "</f>
        <v xml:space="preserve">000019407 - </v>
      </c>
      <c r="D11932" s="1" t="str">
        <f t="shared" si="329"/>
        <v>PRG-1037161</v>
      </c>
      <c r="E11932" t="s">
        <v>147</v>
      </c>
      <c r="F11932" t="s">
        <v>4</v>
      </c>
      <c r="G11932" t="str">
        <f>""</f>
        <v/>
      </c>
    </row>
    <row r="11933" spans="1:7" x14ac:dyDescent="0.25">
      <c r="A11933" t="s">
        <v>8</v>
      </c>
      <c r="B11933" s="1" t="str">
        <f>"000019703 - RICH FOODS-FOODBUY"</f>
        <v>000019703 - RICH FOODS-FOODBUY</v>
      </c>
      <c r="C11933" t="s">
        <v>237</v>
      </c>
      <c r="D11933" s="1" t="str">
        <f t="shared" si="329"/>
        <v>PRG-1037161</v>
      </c>
      <c r="E11933" t="s">
        <v>147</v>
      </c>
      <c r="F11933" t="s">
        <v>4</v>
      </c>
      <c r="G11933" t="str">
        <f>""</f>
        <v/>
      </c>
    </row>
    <row r="11934" spans="1:7" x14ac:dyDescent="0.25">
      <c r="A11934" t="s">
        <v>8</v>
      </c>
      <c r="B11934" s="1" t="str">
        <f>"000019800 - RICH FOODS-FOODBUY"</f>
        <v>000019800 - RICH FOODS-FOODBUY</v>
      </c>
      <c r="C11934" t="s">
        <v>237</v>
      </c>
      <c r="D11934" s="1" t="str">
        <f t="shared" si="329"/>
        <v>PRG-1037161</v>
      </c>
      <c r="E11934" t="s">
        <v>147</v>
      </c>
      <c r="F11934" t="s">
        <v>4</v>
      </c>
      <c r="G11934" t="str">
        <f>""</f>
        <v/>
      </c>
    </row>
    <row r="11935" spans="1:7" x14ac:dyDescent="0.25">
      <c r="A11935" t="s">
        <v>8</v>
      </c>
      <c r="B11935" s="1" t="str">
        <f>"000019901 - RICH FOODS - FOODBUY"</f>
        <v>000019901 - RICH FOODS - FOODBUY</v>
      </c>
      <c r="C11935" t="s">
        <v>146</v>
      </c>
      <c r="D11935" s="1" t="str">
        <f t="shared" si="329"/>
        <v>PRG-1037161</v>
      </c>
      <c r="E11935" t="s">
        <v>147</v>
      </c>
      <c r="F11935" t="s">
        <v>4</v>
      </c>
      <c r="G11935" t="str">
        <f>""</f>
        <v/>
      </c>
    </row>
    <row r="11936" spans="1:7" x14ac:dyDescent="0.25">
      <c r="A11936" t="s">
        <v>8</v>
      </c>
      <c r="B11936" s="1" t="str">
        <f>"000020074 - CP RICH FOODS FOODBUY"</f>
        <v>000020074 - CP RICH FOODS FOODBUY</v>
      </c>
      <c r="C11936" t="s">
        <v>310</v>
      </c>
      <c r="D11936" s="1" t="str">
        <f t="shared" si="329"/>
        <v>PRG-1037161</v>
      </c>
      <c r="E11936" t="s">
        <v>147</v>
      </c>
      <c r="F11936" t="s">
        <v>4</v>
      </c>
      <c r="G11936" t="str">
        <f>""</f>
        <v/>
      </c>
    </row>
    <row r="11937" spans="1:7" x14ac:dyDescent="0.25">
      <c r="A11937" t="s">
        <v>8</v>
      </c>
      <c r="B11937" s="1" t="str">
        <f>"000021512 - RICH FOODS-FOODBUY"</f>
        <v>000021512 - RICH FOODS-FOODBUY</v>
      </c>
      <c r="C11937" t="s">
        <v>237</v>
      </c>
      <c r="D11937" s="1" t="str">
        <f t="shared" si="329"/>
        <v>PRG-1037161</v>
      </c>
      <c r="E11937" t="s">
        <v>147</v>
      </c>
      <c r="F11937" t="s">
        <v>4</v>
      </c>
      <c r="G11937" t="str">
        <f>""</f>
        <v/>
      </c>
    </row>
    <row r="11938" spans="1:7" x14ac:dyDescent="0.25">
      <c r="A11938" t="s">
        <v>8</v>
      </c>
      <c r="B11938" s="1" t="str">
        <f>"000022899 - RICH FOODS-FOODBUY"</f>
        <v>000022899 - RICH FOODS-FOODBUY</v>
      </c>
      <c r="C11938" t="s">
        <v>237</v>
      </c>
      <c r="D11938" s="1" t="str">
        <f t="shared" si="329"/>
        <v>PRG-1037161</v>
      </c>
      <c r="E11938" t="s">
        <v>147</v>
      </c>
      <c r="F11938" t="s">
        <v>4</v>
      </c>
      <c r="G11938" t="str">
        <f>""</f>
        <v/>
      </c>
    </row>
    <row r="11939" spans="1:7" x14ac:dyDescent="0.25">
      <c r="A11939" t="s">
        <v>8</v>
      </c>
      <c r="B11939" s="1" t="str">
        <f>"000023649 - "</f>
        <v xml:space="preserve">000023649 - </v>
      </c>
      <c r="D11939" s="1" t="str">
        <f t="shared" si="329"/>
        <v>PRG-1037161</v>
      </c>
      <c r="E11939" t="s">
        <v>147</v>
      </c>
      <c r="F11939" t="s">
        <v>4</v>
      </c>
      <c r="G11939" t="str">
        <f>""</f>
        <v/>
      </c>
    </row>
    <row r="11940" spans="1:7" x14ac:dyDescent="0.25">
      <c r="A11940" t="s">
        <v>8</v>
      </c>
      <c r="B11940" s="1" t="str">
        <f>"000024221 - RICH FOODS - FOODBUY"</f>
        <v>000024221 - RICH FOODS - FOODBUY</v>
      </c>
      <c r="C11940" t="s">
        <v>146</v>
      </c>
      <c r="D11940" s="1" t="str">
        <f t="shared" si="329"/>
        <v>PRG-1037161</v>
      </c>
      <c r="E11940" t="s">
        <v>147</v>
      </c>
      <c r="F11940" t="s">
        <v>4</v>
      </c>
      <c r="G11940" t="str">
        <f>""</f>
        <v/>
      </c>
    </row>
    <row r="11941" spans="1:7" x14ac:dyDescent="0.25">
      <c r="A11941" t="s">
        <v>8</v>
      </c>
      <c r="B11941" s="1" t="str">
        <f>"000027891 - RICH FOODS-FOODBUY"</f>
        <v>000027891 - RICH FOODS-FOODBUY</v>
      </c>
      <c r="C11941" t="s">
        <v>237</v>
      </c>
      <c r="D11941" s="1" t="str">
        <f t="shared" si="329"/>
        <v>PRG-1037161</v>
      </c>
      <c r="E11941" t="s">
        <v>147</v>
      </c>
      <c r="F11941" t="s">
        <v>4</v>
      </c>
      <c r="G11941" t="str">
        <f>""</f>
        <v/>
      </c>
    </row>
    <row r="11942" spans="1:7" x14ac:dyDescent="0.25">
      <c r="A11942" t="s">
        <v>8</v>
      </c>
      <c r="B11942" s="1" t="str">
        <f>"000029095 - "</f>
        <v xml:space="preserve">000029095 - </v>
      </c>
      <c r="D11942" s="1" t="str">
        <f t="shared" si="329"/>
        <v>PRG-1037161</v>
      </c>
      <c r="E11942" t="s">
        <v>147</v>
      </c>
      <c r="F11942" t="s">
        <v>4</v>
      </c>
      <c r="G11942" t="str">
        <f>""</f>
        <v/>
      </c>
    </row>
    <row r="11943" spans="1:7" x14ac:dyDescent="0.25">
      <c r="A11943" t="s">
        <v>8</v>
      </c>
      <c r="B11943" s="1" t="str">
        <f>"000029418 - RICH FOODS-FOODBUY"</f>
        <v>000029418 - RICH FOODS-FOODBUY</v>
      </c>
      <c r="C11943" t="s">
        <v>237</v>
      </c>
      <c r="D11943" s="1" t="str">
        <f t="shared" si="329"/>
        <v>PRG-1037161</v>
      </c>
      <c r="E11943" t="s">
        <v>147</v>
      </c>
      <c r="F11943" t="s">
        <v>4</v>
      </c>
      <c r="G11943" t="str">
        <f>""</f>
        <v/>
      </c>
    </row>
    <row r="11944" spans="1:7" x14ac:dyDescent="0.25">
      <c r="A11944" t="s">
        <v>8</v>
      </c>
      <c r="B11944" s="1" t="str">
        <f>"000029549 - RICH FOODS-FOODBUY"</f>
        <v>000029549 - RICH FOODS-FOODBUY</v>
      </c>
      <c r="C11944" t="s">
        <v>237</v>
      </c>
      <c r="D11944" s="1" t="str">
        <f t="shared" si="329"/>
        <v>PRG-1037161</v>
      </c>
      <c r="E11944" t="s">
        <v>147</v>
      </c>
      <c r="F11944" t="s">
        <v>4</v>
      </c>
      <c r="G11944" t="str">
        <f>""</f>
        <v/>
      </c>
    </row>
    <row r="11945" spans="1:7" x14ac:dyDescent="0.25">
      <c r="A11945" t="s">
        <v>8</v>
      </c>
      <c r="B11945" s="1" t="str">
        <f>"000030519 - RICH FOODS-FOODBUY"</f>
        <v>000030519 - RICH FOODS-FOODBUY</v>
      </c>
      <c r="C11945" t="s">
        <v>237</v>
      </c>
      <c r="D11945" s="1" t="str">
        <f t="shared" si="329"/>
        <v>PRG-1037161</v>
      </c>
      <c r="E11945" t="s">
        <v>147</v>
      </c>
      <c r="F11945" t="s">
        <v>4</v>
      </c>
      <c r="G11945" t="str">
        <f>""</f>
        <v/>
      </c>
    </row>
    <row r="11946" spans="1:7" x14ac:dyDescent="0.25">
      <c r="A11946" t="s">
        <v>8</v>
      </c>
      <c r="B11946" s="1" t="str">
        <f>"000030837 - RICH FOODS-FOODBUY"</f>
        <v>000030837 - RICH FOODS-FOODBUY</v>
      </c>
      <c r="C11946" t="s">
        <v>237</v>
      </c>
      <c r="D11946" s="1" t="str">
        <f t="shared" si="329"/>
        <v>PRG-1037161</v>
      </c>
      <c r="E11946" t="s">
        <v>147</v>
      </c>
      <c r="F11946" t="s">
        <v>4</v>
      </c>
      <c r="G11946" t="str">
        <f>""</f>
        <v/>
      </c>
    </row>
    <row r="11947" spans="1:7" x14ac:dyDescent="0.25">
      <c r="A11947" t="s">
        <v>8</v>
      </c>
      <c r="B11947" s="1" t="str">
        <f>"000034207 - RICH FOODS-FOODBUY"</f>
        <v>000034207 - RICH FOODS-FOODBUY</v>
      </c>
      <c r="C11947" t="s">
        <v>237</v>
      </c>
      <c r="D11947" s="1" t="str">
        <f t="shared" si="329"/>
        <v>PRG-1037161</v>
      </c>
      <c r="E11947" t="s">
        <v>147</v>
      </c>
      <c r="F11947" t="s">
        <v>4</v>
      </c>
      <c r="G11947" t="str">
        <f>""</f>
        <v/>
      </c>
    </row>
    <row r="11948" spans="1:7" x14ac:dyDescent="0.25">
      <c r="A11948" t="s">
        <v>8</v>
      </c>
      <c r="B11948" s="1" t="str">
        <f>"000037419 - RICH FOODS-FOODBUY"</f>
        <v>000037419 - RICH FOODS-FOODBUY</v>
      </c>
      <c r="C11948" t="s">
        <v>237</v>
      </c>
      <c r="D11948" s="1" t="str">
        <f t="shared" si="329"/>
        <v>PRG-1037161</v>
      </c>
      <c r="E11948" t="s">
        <v>147</v>
      </c>
      <c r="F11948" t="s">
        <v>4</v>
      </c>
      <c r="G11948" t="str">
        <f>""</f>
        <v/>
      </c>
    </row>
    <row r="11949" spans="1:7" x14ac:dyDescent="0.25">
      <c r="A11949" t="s">
        <v>8</v>
      </c>
      <c r="B11949" s="1" t="str">
        <f>"000037928 - RICH FOODS-FOODBUY"</f>
        <v>000037928 - RICH FOODS-FOODBUY</v>
      </c>
      <c r="C11949" t="s">
        <v>237</v>
      </c>
      <c r="D11949" s="1" t="str">
        <f t="shared" si="329"/>
        <v>PRG-1037161</v>
      </c>
      <c r="E11949" t="s">
        <v>147</v>
      </c>
      <c r="F11949" t="s">
        <v>4</v>
      </c>
      <c r="G11949" t="str">
        <f>""</f>
        <v/>
      </c>
    </row>
    <row r="11950" spans="1:7" x14ac:dyDescent="0.25">
      <c r="A11950" t="s">
        <v>8</v>
      </c>
      <c r="B11950" s="1" t="str">
        <f>"000037967 - RICH FOODS-FOODBUY"</f>
        <v>000037967 - RICH FOODS-FOODBUY</v>
      </c>
      <c r="C11950" t="s">
        <v>237</v>
      </c>
      <c r="D11950" s="1" t="str">
        <f t="shared" si="329"/>
        <v>PRG-1037161</v>
      </c>
      <c r="E11950" t="s">
        <v>147</v>
      </c>
      <c r="F11950" t="s">
        <v>4</v>
      </c>
      <c r="G11950" t="str">
        <f>""</f>
        <v/>
      </c>
    </row>
    <row r="11951" spans="1:7" x14ac:dyDescent="0.25">
      <c r="A11951" t="s">
        <v>8</v>
      </c>
      <c r="B11951" s="1" t="str">
        <f>"000039294 - RICH FOODS-FOODBUY"</f>
        <v>000039294 - RICH FOODS-FOODBUY</v>
      </c>
      <c r="C11951" t="s">
        <v>237</v>
      </c>
      <c r="D11951" s="1" t="str">
        <f t="shared" si="329"/>
        <v>PRG-1037161</v>
      </c>
      <c r="E11951" t="s">
        <v>147</v>
      </c>
      <c r="F11951" t="s">
        <v>4</v>
      </c>
      <c r="G11951" t="str">
        <f>""</f>
        <v/>
      </c>
    </row>
    <row r="11952" spans="1:7" x14ac:dyDescent="0.25">
      <c r="A11952" t="s">
        <v>8</v>
      </c>
      <c r="B11952" s="1" t="str">
        <f>"000039396 - RICH FOODS-FOODBUY"</f>
        <v>000039396 - RICH FOODS-FOODBUY</v>
      </c>
      <c r="C11952" t="s">
        <v>237</v>
      </c>
      <c r="D11952" s="1" t="str">
        <f t="shared" si="329"/>
        <v>PRG-1037161</v>
      </c>
      <c r="E11952" t="s">
        <v>147</v>
      </c>
      <c r="F11952" t="s">
        <v>4</v>
      </c>
      <c r="G11952" t="str">
        <f>""</f>
        <v/>
      </c>
    </row>
    <row r="11953" spans="1:7" x14ac:dyDescent="0.25">
      <c r="A11953" t="s">
        <v>8</v>
      </c>
      <c r="B11953" s="1" t="str">
        <f>"000042735 - RICH FOODS-FOODBUY"</f>
        <v>000042735 - RICH FOODS-FOODBUY</v>
      </c>
      <c r="C11953" t="s">
        <v>237</v>
      </c>
      <c r="D11953" s="1" t="str">
        <f t="shared" si="329"/>
        <v>PRG-1037161</v>
      </c>
      <c r="E11953" t="s">
        <v>147</v>
      </c>
      <c r="F11953" t="s">
        <v>4</v>
      </c>
      <c r="G11953" t="str">
        <f>""</f>
        <v/>
      </c>
    </row>
    <row r="11954" spans="1:7" x14ac:dyDescent="0.25">
      <c r="A11954" t="s">
        <v>8</v>
      </c>
      <c r="B11954" s="1" t="str">
        <f>"000043234 - "</f>
        <v xml:space="preserve">000043234 - </v>
      </c>
      <c r="D11954" s="1" t="str">
        <f t="shared" si="329"/>
        <v>PRG-1037161</v>
      </c>
      <c r="E11954" t="s">
        <v>147</v>
      </c>
      <c r="F11954" t="s">
        <v>4</v>
      </c>
      <c r="G11954" t="str">
        <f>""</f>
        <v/>
      </c>
    </row>
    <row r="11955" spans="1:7" x14ac:dyDescent="0.25">
      <c r="A11955" t="s">
        <v>8</v>
      </c>
      <c r="B11955" s="1" t="str">
        <f>"000043840 - RICH FOODS-FOODBUY"</f>
        <v>000043840 - RICH FOODS-FOODBUY</v>
      </c>
      <c r="C11955" t="s">
        <v>237</v>
      </c>
      <c r="D11955" s="1" t="str">
        <f t="shared" si="329"/>
        <v>PRG-1037161</v>
      </c>
      <c r="E11955" t="s">
        <v>147</v>
      </c>
      <c r="F11955" t="s">
        <v>4</v>
      </c>
      <c r="G11955" t="str">
        <f>""</f>
        <v/>
      </c>
    </row>
    <row r="11956" spans="1:7" x14ac:dyDescent="0.25">
      <c r="A11956" t="s">
        <v>8</v>
      </c>
      <c r="B11956" s="1" t="str">
        <f>"000060699 - CP RICH FOODS BB-FOODBUY"</f>
        <v>000060699 - CP RICH FOODS BB-FOODBUY</v>
      </c>
      <c r="C11956" t="s">
        <v>705</v>
      </c>
      <c r="D11956" s="1" t="str">
        <f t="shared" si="329"/>
        <v>PRG-1037161</v>
      </c>
      <c r="E11956" t="s">
        <v>147</v>
      </c>
      <c r="F11956" t="s">
        <v>4</v>
      </c>
      <c r="G11956" t="str">
        <f>""</f>
        <v/>
      </c>
    </row>
    <row r="11957" spans="1:7" x14ac:dyDescent="0.25">
      <c r="A11957" t="s">
        <v>8</v>
      </c>
      <c r="B11957" s="1" t="str">
        <f>"000061660 - RICH FOODS BB-FOODBUY"</f>
        <v>000061660 - RICH FOODS BB-FOODBUY</v>
      </c>
      <c r="C11957" t="s">
        <v>209</v>
      </c>
      <c r="D11957" s="1" t="str">
        <f t="shared" si="329"/>
        <v>PRG-1037161</v>
      </c>
      <c r="E11957" t="s">
        <v>147</v>
      </c>
      <c r="F11957" t="s">
        <v>4</v>
      </c>
      <c r="G11957" t="str">
        <f>""</f>
        <v/>
      </c>
    </row>
    <row r="11958" spans="1:7" x14ac:dyDescent="0.25">
      <c r="A11958" t="s">
        <v>8</v>
      </c>
      <c r="B11958" s="1" t="str">
        <f>"000062554 - CP RICH FOODS FOODBUY"</f>
        <v>000062554 - CP RICH FOODS FOODBUY</v>
      </c>
      <c r="C11958" t="s">
        <v>310</v>
      </c>
      <c r="D11958" s="1" t="str">
        <f t="shared" si="329"/>
        <v>PRG-1037161</v>
      </c>
      <c r="E11958" t="s">
        <v>147</v>
      </c>
      <c r="F11958" t="s">
        <v>4</v>
      </c>
      <c r="G11958" t="str">
        <f>""</f>
        <v/>
      </c>
    </row>
    <row r="11959" spans="1:7" x14ac:dyDescent="0.25">
      <c r="A11959" t="s">
        <v>8</v>
      </c>
      <c r="B11959" s="1" t="str">
        <f>"000062622 - RICH FOODS BB-FOODBUY"</f>
        <v>000062622 - RICH FOODS BB-FOODBUY</v>
      </c>
      <c r="C11959" t="s">
        <v>209</v>
      </c>
      <c r="D11959" s="1" t="str">
        <f t="shared" si="329"/>
        <v>PRG-1037161</v>
      </c>
      <c r="E11959" t="s">
        <v>147</v>
      </c>
      <c r="F11959" t="s">
        <v>4</v>
      </c>
      <c r="G11959" t="str">
        <f>""</f>
        <v/>
      </c>
    </row>
    <row r="11960" spans="1:7" x14ac:dyDescent="0.25">
      <c r="A11960" t="s">
        <v>8</v>
      </c>
      <c r="B11960" s="1" t="str">
        <f>"000063073 - RICH FOODS - FOODBUY"</f>
        <v>000063073 - RICH FOODS - FOODBUY</v>
      </c>
      <c r="C11960" t="s">
        <v>146</v>
      </c>
      <c r="D11960" s="1" t="str">
        <f t="shared" si="329"/>
        <v>PRG-1037161</v>
      </c>
      <c r="E11960" t="s">
        <v>147</v>
      </c>
      <c r="F11960" t="s">
        <v>4</v>
      </c>
      <c r="G11960" t="str">
        <f>""</f>
        <v/>
      </c>
    </row>
    <row r="11961" spans="1:7" x14ac:dyDescent="0.25">
      <c r="A11961" t="s">
        <v>8</v>
      </c>
      <c r="B11961" s="1" t="str">
        <f>"000064193 - RICH FOODS - FOODBUY"</f>
        <v>000064193 - RICH FOODS - FOODBUY</v>
      </c>
      <c r="C11961" t="s">
        <v>146</v>
      </c>
      <c r="D11961" s="1" t="str">
        <f t="shared" si="329"/>
        <v>PRG-1037161</v>
      </c>
      <c r="E11961" t="s">
        <v>147</v>
      </c>
      <c r="F11961" t="s">
        <v>4</v>
      </c>
      <c r="G11961" t="str">
        <f>""</f>
        <v/>
      </c>
    </row>
    <row r="11962" spans="1:7" x14ac:dyDescent="0.25">
      <c r="A11962" t="s">
        <v>8</v>
      </c>
      <c r="B11962" s="1" t="str">
        <f>"000065849 - RICH FOODS - FOODBUY"</f>
        <v>000065849 - RICH FOODS - FOODBUY</v>
      </c>
      <c r="C11962" t="s">
        <v>146</v>
      </c>
      <c r="D11962" s="1" t="str">
        <f t="shared" si="329"/>
        <v>PRG-1037161</v>
      </c>
      <c r="E11962" t="s">
        <v>147</v>
      </c>
      <c r="F11962" t="s">
        <v>4</v>
      </c>
      <c r="G11962" t="str">
        <f>""</f>
        <v/>
      </c>
    </row>
    <row r="11963" spans="1:7" x14ac:dyDescent="0.25">
      <c r="A11963" t="s">
        <v>8</v>
      </c>
      <c r="B11963" s="1" t="str">
        <f>"000067201 - RICH FOODS - FOODBUY"</f>
        <v>000067201 - RICH FOODS - FOODBUY</v>
      </c>
      <c r="C11963" t="s">
        <v>146</v>
      </c>
      <c r="D11963" s="1" t="str">
        <f t="shared" si="329"/>
        <v>PRG-1037161</v>
      </c>
      <c r="E11963" t="s">
        <v>147</v>
      </c>
      <c r="F11963" t="s">
        <v>4</v>
      </c>
      <c r="G11963" t="str">
        <f>""</f>
        <v/>
      </c>
    </row>
    <row r="11964" spans="1:7" x14ac:dyDescent="0.25">
      <c r="A11964" t="s">
        <v>8</v>
      </c>
      <c r="B11964" s="1" t="str">
        <f>"000068015 - RICH FOODS-FOODBUY"</f>
        <v>000068015 - RICH FOODS-FOODBUY</v>
      </c>
      <c r="C11964" t="s">
        <v>237</v>
      </c>
      <c r="D11964" s="1" t="str">
        <f t="shared" si="329"/>
        <v>PRG-1037161</v>
      </c>
      <c r="E11964" t="s">
        <v>147</v>
      </c>
      <c r="F11964" t="s">
        <v>4</v>
      </c>
      <c r="G11964" t="str">
        <f>""</f>
        <v/>
      </c>
    </row>
    <row r="11965" spans="1:7" x14ac:dyDescent="0.25">
      <c r="A11965" t="s">
        <v>8</v>
      </c>
      <c r="B11965" s="1" t="str">
        <f>"000069155 - RICH FOODS-FOODBUY"</f>
        <v>000069155 - RICH FOODS-FOODBUY</v>
      </c>
      <c r="C11965" t="s">
        <v>237</v>
      </c>
      <c r="D11965" s="1" t="str">
        <f t="shared" si="329"/>
        <v>PRG-1037161</v>
      </c>
      <c r="E11965" t="s">
        <v>147</v>
      </c>
      <c r="F11965" t="s">
        <v>4</v>
      </c>
      <c r="G11965" t="str">
        <f>""</f>
        <v/>
      </c>
    </row>
    <row r="11966" spans="1:7" x14ac:dyDescent="0.25">
      <c r="A11966" t="s">
        <v>8</v>
      </c>
      <c r="B11966" s="1" t="str">
        <f>"000069416 - RICH FOODS CC BAGELS AND BREW"</f>
        <v>000069416 - RICH FOODS CC BAGELS AND BREW</v>
      </c>
      <c r="C11966" t="s">
        <v>726</v>
      </c>
      <c r="D11966" s="1" t="str">
        <f t="shared" si="329"/>
        <v>PRG-1037161</v>
      </c>
      <c r="E11966" t="s">
        <v>147</v>
      </c>
      <c r="F11966" t="s">
        <v>4</v>
      </c>
      <c r="G11966" t="str">
        <f>""</f>
        <v/>
      </c>
    </row>
    <row r="11967" spans="1:7" x14ac:dyDescent="0.25">
      <c r="A11967" t="s">
        <v>8</v>
      </c>
      <c r="B11967" s="1" t="str">
        <f>"000069941 - RICH FOODS-FOODBUY"</f>
        <v>000069941 - RICH FOODS-FOODBUY</v>
      </c>
      <c r="C11967" t="s">
        <v>237</v>
      </c>
      <c r="D11967" s="1" t="str">
        <f t="shared" si="329"/>
        <v>PRG-1037161</v>
      </c>
      <c r="E11967" t="s">
        <v>147</v>
      </c>
      <c r="F11967" t="s">
        <v>4</v>
      </c>
      <c r="G11967" t="str">
        <f>""</f>
        <v/>
      </c>
    </row>
    <row r="11968" spans="1:7" x14ac:dyDescent="0.25">
      <c r="A11968" t="s">
        <v>8</v>
      </c>
      <c r="B11968" s="1" t="str">
        <f>"000070259 - RICH FOODS-FOODBUY"</f>
        <v>000070259 - RICH FOODS-FOODBUY</v>
      </c>
      <c r="C11968" t="s">
        <v>237</v>
      </c>
      <c r="D11968" s="1" t="str">
        <f t="shared" si="329"/>
        <v>PRG-1037161</v>
      </c>
      <c r="E11968" t="s">
        <v>147</v>
      </c>
      <c r="F11968" t="s">
        <v>4</v>
      </c>
      <c r="G11968" t="str">
        <f>""</f>
        <v/>
      </c>
    </row>
    <row r="11969" spans="1:7" x14ac:dyDescent="0.25">
      <c r="A11969" t="s">
        <v>8</v>
      </c>
      <c r="B11969" s="1" t="str">
        <f>"000071036 - RICH FOODS-FOODBUY"</f>
        <v>000071036 - RICH FOODS-FOODBUY</v>
      </c>
      <c r="C11969" t="s">
        <v>237</v>
      </c>
      <c r="D11969" s="1" t="str">
        <f t="shared" si="329"/>
        <v>PRG-1037161</v>
      </c>
      <c r="E11969" t="s">
        <v>147</v>
      </c>
      <c r="F11969" t="s">
        <v>4</v>
      </c>
      <c r="G11969" t="str">
        <f>""</f>
        <v/>
      </c>
    </row>
    <row r="11970" spans="1:7" x14ac:dyDescent="0.25">
      <c r="A11970" t="s">
        <v>8</v>
      </c>
      <c r="B11970" s="1" t="str">
        <f>"000071970 - RICH FOODS-FOODBUY"</f>
        <v>000071970 - RICH FOODS-FOODBUY</v>
      </c>
      <c r="C11970" t="s">
        <v>237</v>
      </c>
      <c r="D11970" s="1" t="str">
        <f t="shared" si="329"/>
        <v>PRG-1037161</v>
      </c>
      <c r="E11970" t="s">
        <v>147</v>
      </c>
      <c r="F11970" t="s">
        <v>4</v>
      </c>
      <c r="G11970" t="str">
        <f>""</f>
        <v/>
      </c>
    </row>
    <row r="11971" spans="1:7" x14ac:dyDescent="0.25">
      <c r="A11971" t="s">
        <v>8</v>
      </c>
      <c r="B11971" s="1" t="str">
        <f>"000074364 - RICH FOODS-FOODBUY"</f>
        <v>000074364 - RICH FOODS-FOODBUY</v>
      </c>
      <c r="C11971" t="s">
        <v>237</v>
      </c>
      <c r="D11971" s="1" t="str">
        <f t="shared" ref="D11971:D12034" si="330">"PRG-1037161"</f>
        <v>PRG-1037161</v>
      </c>
      <c r="E11971" t="s">
        <v>147</v>
      </c>
      <c r="F11971" t="s">
        <v>4</v>
      </c>
      <c r="G11971" t="str">
        <f>""</f>
        <v/>
      </c>
    </row>
    <row r="11972" spans="1:7" x14ac:dyDescent="0.25">
      <c r="A11972" t="s">
        <v>8</v>
      </c>
      <c r="B11972" s="1" t="str">
        <f>"000075605 - RICH FOODS-FOODBUY"</f>
        <v>000075605 - RICH FOODS-FOODBUY</v>
      </c>
      <c r="C11972" t="s">
        <v>237</v>
      </c>
      <c r="D11972" s="1" t="str">
        <f t="shared" si="330"/>
        <v>PRG-1037161</v>
      </c>
      <c r="E11972" t="s">
        <v>147</v>
      </c>
      <c r="F11972" t="s">
        <v>4</v>
      </c>
      <c r="G11972" t="str">
        <f>""</f>
        <v/>
      </c>
    </row>
    <row r="11973" spans="1:7" x14ac:dyDescent="0.25">
      <c r="A11973" t="s">
        <v>8</v>
      </c>
      <c r="B11973" s="1" t="str">
        <f>"000077264 - RICH FOODS-FOODBUY"</f>
        <v>000077264 - RICH FOODS-FOODBUY</v>
      </c>
      <c r="C11973" t="s">
        <v>237</v>
      </c>
      <c r="D11973" s="1" t="str">
        <f t="shared" si="330"/>
        <v>PRG-1037161</v>
      </c>
      <c r="E11973" t="s">
        <v>147</v>
      </c>
      <c r="F11973" t="s">
        <v>4</v>
      </c>
      <c r="G11973" t="str">
        <f>""</f>
        <v/>
      </c>
    </row>
    <row r="11974" spans="1:7" x14ac:dyDescent="0.25">
      <c r="A11974" t="s">
        <v>8</v>
      </c>
      <c r="B11974" s="1" t="str">
        <f>"000077637 - RICH FOODS BB-FOODBUY"</f>
        <v>000077637 - RICH FOODS BB-FOODBUY</v>
      </c>
      <c r="C11974" t="s">
        <v>209</v>
      </c>
      <c r="D11974" s="1" t="str">
        <f t="shared" si="330"/>
        <v>PRG-1037161</v>
      </c>
      <c r="E11974" t="s">
        <v>147</v>
      </c>
      <c r="F11974" t="s">
        <v>4</v>
      </c>
      <c r="G11974" t="str">
        <f>""</f>
        <v/>
      </c>
    </row>
    <row r="11975" spans="1:7" x14ac:dyDescent="0.25">
      <c r="A11975" t="s">
        <v>8</v>
      </c>
      <c r="B11975" s="1" t="str">
        <f>"000077732 - RICH FOODS-FOODBUY"</f>
        <v>000077732 - RICH FOODS-FOODBUY</v>
      </c>
      <c r="C11975" t="s">
        <v>237</v>
      </c>
      <c r="D11975" s="1" t="str">
        <f t="shared" si="330"/>
        <v>PRG-1037161</v>
      </c>
      <c r="E11975" t="s">
        <v>147</v>
      </c>
      <c r="F11975" t="s">
        <v>4</v>
      </c>
      <c r="G11975" t="str">
        <f>""</f>
        <v/>
      </c>
    </row>
    <row r="11976" spans="1:7" x14ac:dyDescent="0.25">
      <c r="A11976" t="s">
        <v>8</v>
      </c>
      <c r="B11976" s="1" t="str">
        <f>"000078622 - RICH FOODS-FOODBUY"</f>
        <v>000078622 - RICH FOODS-FOODBUY</v>
      </c>
      <c r="C11976" t="s">
        <v>237</v>
      </c>
      <c r="D11976" s="1" t="str">
        <f t="shared" si="330"/>
        <v>PRG-1037161</v>
      </c>
      <c r="E11976" t="s">
        <v>147</v>
      </c>
      <c r="F11976" t="s">
        <v>4</v>
      </c>
      <c r="G11976" t="str">
        <f>""</f>
        <v/>
      </c>
    </row>
    <row r="11977" spans="1:7" x14ac:dyDescent="0.25">
      <c r="A11977" t="s">
        <v>8</v>
      </c>
      <c r="B11977" s="1" t="str">
        <f>"000079156 - RICH FOODS - FOODBUY"</f>
        <v>000079156 - RICH FOODS - FOODBUY</v>
      </c>
      <c r="C11977" t="s">
        <v>146</v>
      </c>
      <c r="D11977" s="1" t="str">
        <f t="shared" si="330"/>
        <v>PRG-1037161</v>
      </c>
      <c r="E11977" t="s">
        <v>147</v>
      </c>
      <c r="F11977" t="s">
        <v>4</v>
      </c>
      <c r="G11977" t="str">
        <f>""</f>
        <v/>
      </c>
    </row>
    <row r="11978" spans="1:7" x14ac:dyDescent="0.25">
      <c r="A11978" t="s">
        <v>8</v>
      </c>
      <c r="B11978" s="1" t="str">
        <f>"000087087 - RICH FOODS-FOODBUY"</f>
        <v>000087087 - RICH FOODS-FOODBUY</v>
      </c>
      <c r="C11978" t="s">
        <v>237</v>
      </c>
      <c r="D11978" s="1" t="str">
        <f t="shared" si="330"/>
        <v>PRG-1037161</v>
      </c>
      <c r="E11978" t="s">
        <v>147</v>
      </c>
      <c r="F11978" t="s">
        <v>4</v>
      </c>
      <c r="G11978" t="str">
        <f>""</f>
        <v/>
      </c>
    </row>
    <row r="11979" spans="1:7" x14ac:dyDescent="0.25">
      <c r="A11979" t="s">
        <v>8</v>
      </c>
      <c r="B11979" s="1" t="str">
        <f>"000097707 - RICH FOODS-FOODBUY"</f>
        <v>000097707 - RICH FOODS-FOODBUY</v>
      </c>
      <c r="C11979" t="s">
        <v>237</v>
      </c>
      <c r="D11979" s="1" t="str">
        <f t="shared" si="330"/>
        <v>PRG-1037161</v>
      </c>
      <c r="E11979" t="s">
        <v>147</v>
      </c>
      <c r="F11979" t="s">
        <v>4</v>
      </c>
      <c r="G11979" t="str">
        <f>""</f>
        <v/>
      </c>
    </row>
    <row r="11980" spans="1:7" x14ac:dyDescent="0.25">
      <c r="A11980" t="s">
        <v>8</v>
      </c>
      <c r="B11980" s="1" t="str">
        <f>"000133842 - RICH FOODS BB-FOODBUY"</f>
        <v>000133842 - RICH FOODS BB-FOODBUY</v>
      </c>
      <c r="C11980" t="s">
        <v>209</v>
      </c>
      <c r="D11980" s="1" t="str">
        <f t="shared" si="330"/>
        <v>PRG-1037161</v>
      </c>
      <c r="E11980" t="s">
        <v>147</v>
      </c>
      <c r="F11980" t="s">
        <v>4</v>
      </c>
      <c r="G11980" t="str">
        <f>""</f>
        <v/>
      </c>
    </row>
    <row r="11981" spans="1:7" x14ac:dyDescent="0.25">
      <c r="A11981" t="s">
        <v>8</v>
      </c>
      <c r="B11981" s="1" t="str">
        <f>"000135275 - RICH FOODS - FOODBUY"</f>
        <v>000135275 - RICH FOODS - FOODBUY</v>
      </c>
      <c r="C11981" t="s">
        <v>146</v>
      </c>
      <c r="D11981" s="1" t="str">
        <f t="shared" si="330"/>
        <v>PRG-1037161</v>
      </c>
      <c r="E11981" t="s">
        <v>147</v>
      </c>
      <c r="F11981" t="s">
        <v>4</v>
      </c>
      <c r="G11981" t="str">
        <f>""</f>
        <v/>
      </c>
    </row>
    <row r="11982" spans="1:7" x14ac:dyDescent="0.25">
      <c r="A11982" t="s">
        <v>8</v>
      </c>
      <c r="B11982" s="1" t="str">
        <f>"000136892 - RICH FOODS BB-FOODBUY"</f>
        <v>000136892 - RICH FOODS BB-FOODBUY</v>
      </c>
      <c r="C11982" t="s">
        <v>209</v>
      </c>
      <c r="D11982" s="1" t="str">
        <f t="shared" si="330"/>
        <v>PRG-1037161</v>
      </c>
      <c r="E11982" t="s">
        <v>147</v>
      </c>
      <c r="F11982" t="s">
        <v>4</v>
      </c>
      <c r="G11982" t="str">
        <f>""</f>
        <v/>
      </c>
    </row>
    <row r="11983" spans="1:7" x14ac:dyDescent="0.25">
      <c r="A11983" t="s">
        <v>8</v>
      </c>
      <c r="B11983" s="1" t="str">
        <f>"000138047 - RICH FOODS - FOODBUY"</f>
        <v>000138047 - RICH FOODS - FOODBUY</v>
      </c>
      <c r="C11983" t="s">
        <v>146</v>
      </c>
      <c r="D11983" s="1" t="str">
        <f t="shared" si="330"/>
        <v>PRG-1037161</v>
      </c>
      <c r="E11983" t="s">
        <v>147</v>
      </c>
      <c r="F11983" t="s">
        <v>4</v>
      </c>
      <c r="G11983" t="str">
        <f>""</f>
        <v/>
      </c>
    </row>
    <row r="11984" spans="1:7" x14ac:dyDescent="0.25">
      <c r="A11984" t="s">
        <v>8</v>
      </c>
      <c r="B11984" s="1" t="str">
        <f>"000138384 - RICH FOODS - FOODBUY"</f>
        <v>000138384 - RICH FOODS - FOODBUY</v>
      </c>
      <c r="C11984" t="s">
        <v>146</v>
      </c>
      <c r="D11984" s="1" t="str">
        <f t="shared" si="330"/>
        <v>PRG-1037161</v>
      </c>
      <c r="E11984" t="s">
        <v>147</v>
      </c>
      <c r="F11984" t="s">
        <v>4</v>
      </c>
      <c r="G11984" t="str">
        <f>""</f>
        <v/>
      </c>
    </row>
    <row r="11985" spans="1:7" x14ac:dyDescent="0.25">
      <c r="A11985" t="s">
        <v>8</v>
      </c>
      <c r="B11985" s="1" t="str">
        <f>"000140630 - RICH FOODS - FOODBUY"</f>
        <v>000140630 - RICH FOODS - FOODBUY</v>
      </c>
      <c r="C11985" t="s">
        <v>146</v>
      </c>
      <c r="D11985" s="1" t="str">
        <f t="shared" si="330"/>
        <v>PRG-1037161</v>
      </c>
      <c r="E11985" t="s">
        <v>147</v>
      </c>
      <c r="F11985" t="s">
        <v>4</v>
      </c>
      <c r="G11985" t="str">
        <f>""</f>
        <v/>
      </c>
    </row>
    <row r="11986" spans="1:7" x14ac:dyDescent="0.25">
      <c r="A11986" t="s">
        <v>8</v>
      </c>
      <c r="B11986" s="1" t="str">
        <f>"000142360 - RICH FOODS-FOODBUY"</f>
        <v>000142360 - RICH FOODS-FOODBUY</v>
      </c>
      <c r="C11986" t="s">
        <v>237</v>
      </c>
      <c r="D11986" s="1" t="str">
        <f t="shared" si="330"/>
        <v>PRG-1037161</v>
      </c>
      <c r="E11986" t="s">
        <v>147</v>
      </c>
      <c r="F11986" t="s">
        <v>4</v>
      </c>
      <c r="G11986" t="str">
        <f>""</f>
        <v/>
      </c>
    </row>
    <row r="11987" spans="1:7" x14ac:dyDescent="0.25">
      <c r="A11987" t="s">
        <v>8</v>
      </c>
      <c r="B11987" s="1" t="str">
        <f>"000142643 - RICH FOODS-FOODBUY"</f>
        <v>000142643 - RICH FOODS-FOODBUY</v>
      </c>
      <c r="C11987" t="s">
        <v>237</v>
      </c>
      <c r="D11987" s="1" t="str">
        <f t="shared" si="330"/>
        <v>PRG-1037161</v>
      </c>
      <c r="E11987" t="s">
        <v>147</v>
      </c>
      <c r="F11987" t="s">
        <v>4</v>
      </c>
      <c r="G11987" t="str">
        <f>""</f>
        <v/>
      </c>
    </row>
    <row r="11988" spans="1:7" x14ac:dyDescent="0.25">
      <c r="A11988" t="s">
        <v>8</v>
      </c>
      <c r="B11988" s="1" t="str">
        <f>"000143463 - RICH FOODS-FOODBUY"</f>
        <v>000143463 - RICH FOODS-FOODBUY</v>
      </c>
      <c r="C11988" t="s">
        <v>237</v>
      </c>
      <c r="D11988" s="1" t="str">
        <f t="shared" si="330"/>
        <v>PRG-1037161</v>
      </c>
      <c r="E11988" t="s">
        <v>147</v>
      </c>
      <c r="F11988" t="s">
        <v>4</v>
      </c>
      <c r="G11988" t="str">
        <f>""</f>
        <v/>
      </c>
    </row>
    <row r="11989" spans="1:7" x14ac:dyDescent="0.25">
      <c r="A11989" t="s">
        <v>8</v>
      </c>
      <c r="B11989" s="1" t="str">
        <f>"000144253 - RICH FOODS-FOODBUY"</f>
        <v>000144253 - RICH FOODS-FOODBUY</v>
      </c>
      <c r="C11989" t="s">
        <v>237</v>
      </c>
      <c r="D11989" s="1" t="str">
        <f t="shared" si="330"/>
        <v>PRG-1037161</v>
      </c>
      <c r="E11989" t="s">
        <v>147</v>
      </c>
      <c r="F11989" t="s">
        <v>4</v>
      </c>
      <c r="G11989" t="str">
        <f>""</f>
        <v/>
      </c>
    </row>
    <row r="11990" spans="1:7" x14ac:dyDescent="0.25">
      <c r="A11990" t="s">
        <v>8</v>
      </c>
      <c r="B11990" s="1" t="str">
        <f>"000149119 - RICH FOODS-FOODBUY"</f>
        <v>000149119 - RICH FOODS-FOODBUY</v>
      </c>
      <c r="C11990" t="s">
        <v>237</v>
      </c>
      <c r="D11990" s="1" t="str">
        <f t="shared" si="330"/>
        <v>PRG-1037161</v>
      </c>
      <c r="E11990" t="s">
        <v>147</v>
      </c>
      <c r="F11990" t="s">
        <v>4</v>
      </c>
      <c r="G11990" t="str">
        <f>""</f>
        <v/>
      </c>
    </row>
    <row r="11991" spans="1:7" x14ac:dyDescent="0.25">
      <c r="A11991" t="s">
        <v>8</v>
      </c>
      <c r="B11991" s="1" t="str">
        <f>"000149922 - RICH FOODS BAPA-SSS ARAMARK"</f>
        <v>000149922 - RICH FOODS BAPA-SSS ARAMARK</v>
      </c>
      <c r="C11991" t="s">
        <v>373</v>
      </c>
      <c r="D11991" s="1" t="str">
        <f t="shared" si="330"/>
        <v>PRG-1037161</v>
      </c>
      <c r="E11991" t="s">
        <v>147</v>
      </c>
      <c r="F11991" t="s">
        <v>4</v>
      </c>
      <c r="G11991" t="str">
        <f>""</f>
        <v/>
      </c>
    </row>
    <row r="11992" spans="1:7" x14ac:dyDescent="0.25">
      <c r="A11992" t="s">
        <v>8</v>
      </c>
      <c r="B11992" s="1" t="str">
        <f>"000151010 - RICH FOODS-FOODBUY"</f>
        <v>000151010 - RICH FOODS-FOODBUY</v>
      </c>
      <c r="C11992" t="s">
        <v>237</v>
      </c>
      <c r="D11992" s="1" t="str">
        <f t="shared" si="330"/>
        <v>PRG-1037161</v>
      </c>
      <c r="E11992" t="s">
        <v>147</v>
      </c>
      <c r="F11992" t="s">
        <v>4</v>
      </c>
      <c r="G11992" t="str">
        <f>""</f>
        <v/>
      </c>
    </row>
    <row r="11993" spans="1:7" x14ac:dyDescent="0.25">
      <c r="A11993" t="s">
        <v>8</v>
      </c>
      <c r="B11993" s="1" t="str">
        <f>"000152000 - RICH FOODS-FOODBUY"</f>
        <v>000152000 - RICH FOODS-FOODBUY</v>
      </c>
      <c r="C11993" t="s">
        <v>237</v>
      </c>
      <c r="D11993" s="1" t="str">
        <f t="shared" si="330"/>
        <v>PRG-1037161</v>
      </c>
      <c r="E11993" t="s">
        <v>147</v>
      </c>
      <c r="F11993" t="s">
        <v>4</v>
      </c>
      <c r="G11993" t="str">
        <f>""</f>
        <v/>
      </c>
    </row>
    <row r="11994" spans="1:7" x14ac:dyDescent="0.25">
      <c r="A11994" t="s">
        <v>8</v>
      </c>
      <c r="B11994" s="1" t="str">
        <f>"000153745 - RICH FOODS RUTH CHRIS NCORE"</f>
        <v>000153745 - RICH FOODS RUTH CHRIS NCORE</v>
      </c>
      <c r="C11994" t="s">
        <v>1021</v>
      </c>
      <c r="D11994" s="1" t="str">
        <f t="shared" si="330"/>
        <v>PRG-1037161</v>
      </c>
      <c r="E11994" t="s">
        <v>147</v>
      </c>
      <c r="F11994" t="s">
        <v>4</v>
      </c>
      <c r="G11994" t="str">
        <f>""</f>
        <v/>
      </c>
    </row>
    <row r="11995" spans="1:7" x14ac:dyDescent="0.25">
      <c r="A11995" t="s">
        <v>8</v>
      </c>
      <c r="B11995" s="1" t="str">
        <f>"000153746 - RICH FDS CORE RUTH CHRIS"</f>
        <v>000153746 - RICH FDS CORE RUTH CHRIS</v>
      </c>
      <c r="C11995" t="s">
        <v>1022</v>
      </c>
      <c r="D11995" s="1" t="str">
        <f t="shared" si="330"/>
        <v>PRG-1037161</v>
      </c>
      <c r="E11995" t="s">
        <v>147</v>
      </c>
      <c r="F11995" t="s">
        <v>4</v>
      </c>
      <c r="G11995" t="str">
        <f>""</f>
        <v/>
      </c>
    </row>
    <row r="11996" spans="1:7" x14ac:dyDescent="0.25">
      <c r="A11996" t="s">
        <v>8</v>
      </c>
      <c r="B11996" s="1" t="str">
        <f>"000155192 - RICH FOODS BB-FOODBUY"</f>
        <v>000155192 - RICH FOODS BB-FOODBUY</v>
      </c>
      <c r="C11996" t="s">
        <v>209</v>
      </c>
      <c r="D11996" s="1" t="str">
        <f t="shared" si="330"/>
        <v>PRG-1037161</v>
      </c>
      <c r="E11996" t="s">
        <v>147</v>
      </c>
      <c r="F11996" t="s">
        <v>4</v>
      </c>
      <c r="G11996" t="str">
        <f>""</f>
        <v/>
      </c>
    </row>
    <row r="11997" spans="1:7" x14ac:dyDescent="0.25">
      <c r="A11997" t="s">
        <v>8</v>
      </c>
      <c r="B11997" s="1" t="str">
        <f>"000156683 - RICH FOODS - FOODBUY"</f>
        <v>000156683 - RICH FOODS - FOODBUY</v>
      </c>
      <c r="C11997" t="s">
        <v>146</v>
      </c>
      <c r="D11997" s="1" t="str">
        <f t="shared" si="330"/>
        <v>PRG-1037161</v>
      </c>
      <c r="E11997" t="s">
        <v>147</v>
      </c>
      <c r="F11997" t="s">
        <v>4</v>
      </c>
      <c r="G11997" t="str">
        <f>""</f>
        <v/>
      </c>
    </row>
    <row r="11998" spans="1:7" x14ac:dyDescent="0.25">
      <c r="A11998" t="s">
        <v>8</v>
      </c>
      <c r="B11998" s="1" t="str">
        <f>"000157777 - "</f>
        <v xml:space="preserve">000157777 - </v>
      </c>
      <c r="D11998" s="1" t="str">
        <f t="shared" si="330"/>
        <v>PRG-1037161</v>
      </c>
      <c r="E11998" t="s">
        <v>147</v>
      </c>
      <c r="F11998" t="s">
        <v>4</v>
      </c>
      <c r="G11998" t="str">
        <f>""</f>
        <v/>
      </c>
    </row>
    <row r="11999" spans="1:7" x14ac:dyDescent="0.25">
      <c r="A11999" t="s">
        <v>8</v>
      </c>
      <c r="B11999" s="1" t="str">
        <f>"000157889 - RICH FDS CC-RUTH CHRIS BAPA"</f>
        <v>000157889 - RICH FDS CC-RUTH CHRIS BAPA</v>
      </c>
      <c r="C11999" t="s">
        <v>1032</v>
      </c>
      <c r="D11999" s="1" t="str">
        <f t="shared" si="330"/>
        <v>PRG-1037161</v>
      </c>
      <c r="E11999" t="s">
        <v>147</v>
      </c>
      <c r="F11999" t="s">
        <v>4</v>
      </c>
      <c r="G11999" t="str">
        <f>""</f>
        <v/>
      </c>
    </row>
    <row r="12000" spans="1:7" x14ac:dyDescent="0.25">
      <c r="A12000" t="s">
        <v>8</v>
      </c>
      <c r="B12000" s="1" t="str">
        <f>"000159041 - "</f>
        <v xml:space="preserve">000159041 - </v>
      </c>
      <c r="D12000" s="1" t="str">
        <f t="shared" si="330"/>
        <v>PRG-1037161</v>
      </c>
      <c r="E12000" t="s">
        <v>147</v>
      </c>
      <c r="F12000" t="s">
        <v>4</v>
      </c>
      <c r="G12000" t="str">
        <f>""</f>
        <v/>
      </c>
    </row>
    <row r="12001" spans="1:7" x14ac:dyDescent="0.25">
      <c r="A12001" t="s">
        <v>8</v>
      </c>
      <c r="B12001" s="1" t="str">
        <f>"000159822 - RICH FOODS - FOODBUY"</f>
        <v>000159822 - RICH FOODS - FOODBUY</v>
      </c>
      <c r="C12001" t="s">
        <v>146</v>
      </c>
      <c r="D12001" s="1" t="str">
        <f t="shared" si="330"/>
        <v>PRG-1037161</v>
      </c>
      <c r="E12001" t="s">
        <v>147</v>
      </c>
      <c r="F12001" t="s">
        <v>4</v>
      </c>
      <c r="G12001" t="str">
        <f>""</f>
        <v/>
      </c>
    </row>
    <row r="12002" spans="1:7" x14ac:dyDescent="0.25">
      <c r="A12002" t="s">
        <v>8</v>
      </c>
      <c r="B12002" s="1" t="str">
        <f>"000161625 - "</f>
        <v xml:space="preserve">000161625 - </v>
      </c>
      <c r="D12002" s="1" t="str">
        <f t="shared" si="330"/>
        <v>PRG-1037161</v>
      </c>
      <c r="E12002" t="s">
        <v>147</v>
      </c>
      <c r="F12002" t="s">
        <v>4</v>
      </c>
      <c r="G12002" t="str">
        <f>""</f>
        <v/>
      </c>
    </row>
    <row r="12003" spans="1:7" x14ac:dyDescent="0.25">
      <c r="A12003" t="s">
        <v>8</v>
      </c>
      <c r="B12003" s="1" t="str">
        <f>"000162603 - RICH FOODS-FOODBUY"</f>
        <v>000162603 - RICH FOODS-FOODBUY</v>
      </c>
      <c r="C12003" t="s">
        <v>237</v>
      </c>
      <c r="D12003" s="1" t="str">
        <f t="shared" si="330"/>
        <v>PRG-1037161</v>
      </c>
      <c r="E12003" t="s">
        <v>147</v>
      </c>
      <c r="F12003" t="s">
        <v>4</v>
      </c>
      <c r="G12003" t="str">
        <f>""</f>
        <v/>
      </c>
    </row>
    <row r="12004" spans="1:7" x14ac:dyDescent="0.25">
      <c r="A12004" t="s">
        <v>8</v>
      </c>
      <c r="B12004" s="1" t="str">
        <f>"000163142 - "</f>
        <v xml:space="preserve">000163142 - </v>
      </c>
      <c r="D12004" s="1" t="str">
        <f t="shared" si="330"/>
        <v>PRG-1037161</v>
      </c>
      <c r="E12004" t="s">
        <v>147</v>
      </c>
      <c r="F12004" t="s">
        <v>4</v>
      </c>
      <c r="G12004" t="str">
        <f>""</f>
        <v/>
      </c>
    </row>
    <row r="12005" spans="1:7" x14ac:dyDescent="0.25">
      <c r="A12005" t="s">
        <v>8</v>
      </c>
      <c r="B12005" s="1" t="str">
        <f>"000163178 - "</f>
        <v xml:space="preserve">000163178 - </v>
      </c>
      <c r="D12005" s="1" t="str">
        <f t="shared" si="330"/>
        <v>PRG-1037161</v>
      </c>
      <c r="E12005" t="s">
        <v>147</v>
      </c>
      <c r="F12005" t="s">
        <v>4</v>
      </c>
      <c r="G12005" t="str">
        <f>""</f>
        <v/>
      </c>
    </row>
    <row r="12006" spans="1:7" x14ac:dyDescent="0.25">
      <c r="A12006" t="s">
        <v>8</v>
      </c>
      <c r="B12006" s="1" t="str">
        <f>"000164027 - RICH FOODS-FOODBUY"</f>
        <v>000164027 - RICH FOODS-FOODBUY</v>
      </c>
      <c r="C12006" t="s">
        <v>237</v>
      </c>
      <c r="D12006" s="1" t="str">
        <f t="shared" si="330"/>
        <v>PRG-1037161</v>
      </c>
      <c r="E12006" t="s">
        <v>147</v>
      </c>
      <c r="F12006" t="s">
        <v>4</v>
      </c>
      <c r="G12006" t="str">
        <f>""</f>
        <v/>
      </c>
    </row>
    <row r="12007" spans="1:7" x14ac:dyDescent="0.25">
      <c r="A12007" t="s">
        <v>8</v>
      </c>
      <c r="B12007" s="1" t="str">
        <f>"000164418 - "</f>
        <v xml:space="preserve">000164418 - </v>
      </c>
      <c r="D12007" s="1" t="str">
        <f t="shared" si="330"/>
        <v>PRG-1037161</v>
      </c>
      <c r="E12007" t="s">
        <v>147</v>
      </c>
      <c r="F12007" t="s">
        <v>4</v>
      </c>
      <c r="G12007" t="str">
        <f>""</f>
        <v/>
      </c>
    </row>
    <row r="12008" spans="1:7" x14ac:dyDescent="0.25">
      <c r="A12008" t="s">
        <v>8</v>
      </c>
      <c r="B12008" s="1" t="str">
        <f>"000164427 - "</f>
        <v xml:space="preserve">000164427 - </v>
      </c>
      <c r="D12008" s="1" t="str">
        <f t="shared" si="330"/>
        <v>PRG-1037161</v>
      </c>
      <c r="E12008" t="s">
        <v>147</v>
      </c>
      <c r="F12008" t="s">
        <v>4</v>
      </c>
      <c r="G12008" t="str">
        <f>""</f>
        <v/>
      </c>
    </row>
    <row r="12009" spans="1:7" x14ac:dyDescent="0.25">
      <c r="A12009" t="s">
        <v>8</v>
      </c>
      <c r="B12009" s="1" t="str">
        <f>"000164749 - RICH FOODS - FOODBUY"</f>
        <v>000164749 - RICH FOODS - FOODBUY</v>
      </c>
      <c r="C12009" t="s">
        <v>146</v>
      </c>
      <c r="D12009" s="1" t="str">
        <f t="shared" si="330"/>
        <v>PRG-1037161</v>
      </c>
      <c r="E12009" t="s">
        <v>147</v>
      </c>
      <c r="F12009" t="s">
        <v>4</v>
      </c>
      <c r="G12009" t="str">
        <f>""</f>
        <v/>
      </c>
    </row>
    <row r="12010" spans="1:7" x14ac:dyDescent="0.25">
      <c r="A12010" t="s">
        <v>8</v>
      </c>
      <c r="B12010" s="1" t="str">
        <f>"000165447 - RICH FDS CC-RUTH CHRIS BAPA"</f>
        <v>000165447 - RICH FDS CC-RUTH CHRIS BAPA</v>
      </c>
      <c r="C12010" t="s">
        <v>1032</v>
      </c>
      <c r="D12010" s="1" t="str">
        <f t="shared" si="330"/>
        <v>PRG-1037161</v>
      </c>
      <c r="E12010" t="s">
        <v>147</v>
      </c>
      <c r="F12010" t="s">
        <v>4</v>
      </c>
      <c r="G12010" t="str">
        <f>""</f>
        <v/>
      </c>
    </row>
    <row r="12011" spans="1:7" x14ac:dyDescent="0.25">
      <c r="A12011" t="s">
        <v>8</v>
      </c>
      <c r="B12011" s="1" t="str">
        <f>"000167646 - RICH FOODS - FOODBUY"</f>
        <v>000167646 - RICH FOODS - FOODBUY</v>
      </c>
      <c r="C12011" t="s">
        <v>146</v>
      </c>
      <c r="D12011" s="1" t="str">
        <f t="shared" si="330"/>
        <v>PRG-1037161</v>
      </c>
      <c r="E12011" t="s">
        <v>147</v>
      </c>
      <c r="F12011" t="s">
        <v>4</v>
      </c>
      <c r="G12011" t="str">
        <f>""</f>
        <v/>
      </c>
    </row>
    <row r="12012" spans="1:7" x14ac:dyDescent="0.25">
      <c r="A12012" t="s">
        <v>8</v>
      </c>
      <c r="B12012" s="1" t="str">
        <f>"000170043 - "</f>
        <v xml:space="preserve">000170043 - </v>
      </c>
      <c r="D12012" s="1" t="str">
        <f t="shared" si="330"/>
        <v>PRG-1037161</v>
      </c>
      <c r="E12012" t="s">
        <v>147</v>
      </c>
      <c r="F12012" t="s">
        <v>4</v>
      </c>
      <c r="G12012" t="str">
        <f>""</f>
        <v/>
      </c>
    </row>
    <row r="12013" spans="1:7" x14ac:dyDescent="0.25">
      <c r="A12013" t="s">
        <v>8</v>
      </c>
      <c r="B12013" s="1" t="str">
        <f>"000170299 - RICH FOODS-FOODBUY"</f>
        <v>000170299 - RICH FOODS-FOODBUY</v>
      </c>
      <c r="C12013" t="s">
        <v>237</v>
      </c>
      <c r="D12013" s="1" t="str">
        <f t="shared" si="330"/>
        <v>PRG-1037161</v>
      </c>
      <c r="E12013" t="s">
        <v>147</v>
      </c>
      <c r="F12013" t="s">
        <v>4</v>
      </c>
      <c r="G12013" t="str">
        <f>""</f>
        <v/>
      </c>
    </row>
    <row r="12014" spans="1:7" x14ac:dyDescent="0.25">
      <c r="A12014" t="s">
        <v>8</v>
      </c>
      <c r="B12014" s="1" t="str">
        <f>"000171130 - RICH FOODS-FOODBUY"</f>
        <v>000171130 - RICH FOODS-FOODBUY</v>
      </c>
      <c r="C12014" t="s">
        <v>237</v>
      </c>
      <c r="D12014" s="1" t="str">
        <f t="shared" si="330"/>
        <v>PRG-1037161</v>
      </c>
      <c r="E12014" t="s">
        <v>147</v>
      </c>
      <c r="F12014" t="s">
        <v>4</v>
      </c>
      <c r="G12014" t="str">
        <f>""</f>
        <v/>
      </c>
    </row>
    <row r="12015" spans="1:7" x14ac:dyDescent="0.25">
      <c r="A12015" t="s">
        <v>8</v>
      </c>
      <c r="B12015" s="1" t="str">
        <f>"000172131 - RICH FOODS-FOODBUY"</f>
        <v>000172131 - RICH FOODS-FOODBUY</v>
      </c>
      <c r="C12015" t="s">
        <v>237</v>
      </c>
      <c r="D12015" s="1" t="str">
        <f t="shared" si="330"/>
        <v>PRG-1037161</v>
      </c>
      <c r="E12015" t="s">
        <v>147</v>
      </c>
      <c r="F12015" t="s">
        <v>4</v>
      </c>
      <c r="G12015" t="str">
        <f>""</f>
        <v/>
      </c>
    </row>
    <row r="12016" spans="1:7" x14ac:dyDescent="0.25">
      <c r="A12016" t="s">
        <v>8</v>
      </c>
      <c r="B12016" s="1" t="str">
        <f>"000174120 - RICH FOODS-FOODBUY"</f>
        <v>000174120 - RICH FOODS-FOODBUY</v>
      </c>
      <c r="C12016" t="s">
        <v>237</v>
      </c>
      <c r="D12016" s="1" t="str">
        <f t="shared" si="330"/>
        <v>PRG-1037161</v>
      </c>
      <c r="E12016" t="s">
        <v>147</v>
      </c>
      <c r="F12016" t="s">
        <v>4</v>
      </c>
      <c r="G12016" t="str">
        <f>""</f>
        <v/>
      </c>
    </row>
    <row r="12017" spans="1:7" x14ac:dyDescent="0.25">
      <c r="A12017" t="s">
        <v>8</v>
      </c>
      <c r="B12017" s="1" t="str">
        <f>"000177677 - RICH FOODS-FOODBUY"</f>
        <v>000177677 - RICH FOODS-FOODBUY</v>
      </c>
      <c r="C12017" t="s">
        <v>237</v>
      </c>
      <c r="D12017" s="1" t="str">
        <f t="shared" si="330"/>
        <v>PRG-1037161</v>
      </c>
      <c r="E12017" t="s">
        <v>147</v>
      </c>
      <c r="F12017" t="s">
        <v>4</v>
      </c>
      <c r="G12017" t="str">
        <f>""</f>
        <v/>
      </c>
    </row>
    <row r="12018" spans="1:7" x14ac:dyDescent="0.25">
      <c r="A12018" t="s">
        <v>8</v>
      </c>
      <c r="B12018" s="1" t="str">
        <f>"000180590 - RICH FOODS-FOODBUY"</f>
        <v>000180590 - RICH FOODS-FOODBUY</v>
      </c>
      <c r="C12018" t="s">
        <v>237</v>
      </c>
      <c r="D12018" s="1" t="str">
        <f t="shared" si="330"/>
        <v>PRG-1037161</v>
      </c>
      <c r="E12018" t="s">
        <v>147</v>
      </c>
      <c r="F12018" t="s">
        <v>4</v>
      </c>
      <c r="G12018" t="str">
        <f>""</f>
        <v/>
      </c>
    </row>
    <row r="12019" spans="1:7" x14ac:dyDescent="0.25">
      <c r="A12019" t="s">
        <v>8</v>
      </c>
      <c r="B12019" s="1" t="str">
        <f>"000181658 - "</f>
        <v xml:space="preserve">000181658 - </v>
      </c>
      <c r="D12019" s="1" t="str">
        <f t="shared" si="330"/>
        <v>PRG-1037161</v>
      </c>
      <c r="E12019" t="s">
        <v>147</v>
      </c>
      <c r="F12019" t="s">
        <v>4</v>
      </c>
      <c r="G12019" t="str">
        <f>""</f>
        <v/>
      </c>
    </row>
    <row r="12020" spans="1:7" x14ac:dyDescent="0.25">
      <c r="A12020" t="s">
        <v>8</v>
      </c>
      <c r="B12020" s="1" t="str">
        <f>"000183050 - "</f>
        <v xml:space="preserve">000183050 - </v>
      </c>
      <c r="D12020" s="1" t="str">
        <f t="shared" si="330"/>
        <v>PRG-1037161</v>
      </c>
      <c r="E12020" t="s">
        <v>147</v>
      </c>
      <c r="F12020" t="s">
        <v>4</v>
      </c>
      <c r="G12020" t="str">
        <f>""</f>
        <v/>
      </c>
    </row>
    <row r="12021" spans="1:7" x14ac:dyDescent="0.25">
      <c r="A12021" t="s">
        <v>8</v>
      </c>
      <c r="B12021" s="1" t="str">
        <f>"000186223 - "</f>
        <v xml:space="preserve">000186223 - </v>
      </c>
      <c r="D12021" s="1" t="str">
        <f t="shared" si="330"/>
        <v>PRG-1037161</v>
      </c>
      <c r="E12021" t="s">
        <v>147</v>
      </c>
      <c r="F12021" t="s">
        <v>4</v>
      </c>
      <c r="G12021" t="str">
        <f>""</f>
        <v/>
      </c>
    </row>
    <row r="12022" spans="1:7" x14ac:dyDescent="0.25">
      <c r="A12022" t="s">
        <v>8</v>
      </c>
      <c r="B12022" s="1" t="str">
        <f>"000198908 - RICH FOODS-FOODBUY"</f>
        <v>000198908 - RICH FOODS-FOODBUY</v>
      </c>
      <c r="C12022" t="s">
        <v>237</v>
      </c>
      <c r="D12022" s="1" t="str">
        <f t="shared" si="330"/>
        <v>PRG-1037161</v>
      </c>
      <c r="E12022" t="s">
        <v>147</v>
      </c>
      <c r="F12022" t="s">
        <v>4</v>
      </c>
      <c r="G12022" t="str">
        <f>""</f>
        <v/>
      </c>
    </row>
    <row r="12023" spans="1:7" x14ac:dyDescent="0.25">
      <c r="A12023" t="s">
        <v>8</v>
      </c>
      <c r="B12023" s="1" t="str">
        <f>"000205328 - RICH FOODS - FOODBUY"</f>
        <v>000205328 - RICH FOODS - FOODBUY</v>
      </c>
      <c r="C12023" t="s">
        <v>146</v>
      </c>
      <c r="D12023" s="1" t="str">
        <f t="shared" si="330"/>
        <v>PRG-1037161</v>
      </c>
      <c r="E12023" t="s">
        <v>147</v>
      </c>
      <c r="F12023" t="s">
        <v>4</v>
      </c>
      <c r="G12023" t="str">
        <f>""</f>
        <v/>
      </c>
    </row>
    <row r="12024" spans="1:7" x14ac:dyDescent="0.25">
      <c r="A12024" t="s">
        <v>8</v>
      </c>
      <c r="B12024" s="1" t="str">
        <f>"000209660 - RICH FOODS-FOODBUY"</f>
        <v>000209660 - RICH FOODS-FOODBUY</v>
      </c>
      <c r="C12024" t="s">
        <v>237</v>
      </c>
      <c r="D12024" s="1" t="str">
        <f t="shared" si="330"/>
        <v>PRG-1037161</v>
      </c>
      <c r="E12024" t="s">
        <v>147</v>
      </c>
      <c r="F12024" t="s">
        <v>4</v>
      </c>
      <c r="G12024" t="str">
        <f>""</f>
        <v/>
      </c>
    </row>
    <row r="12025" spans="1:7" x14ac:dyDescent="0.25">
      <c r="A12025" t="s">
        <v>8</v>
      </c>
      <c r="B12025" s="1" t="str">
        <f>"000210479 - RICH FOODS-FOODBUY"</f>
        <v>000210479 - RICH FOODS-FOODBUY</v>
      </c>
      <c r="C12025" t="s">
        <v>237</v>
      </c>
      <c r="D12025" s="1" t="str">
        <f t="shared" si="330"/>
        <v>PRG-1037161</v>
      </c>
      <c r="E12025" t="s">
        <v>147</v>
      </c>
      <c r="F12025" t="s">
        <v>4</v>
      </c>
      <c r="G12025" t="str">
        <f>""</f>
        <v/>
      </c>
    </row>
    <row r="12026" spans="1:7" x14ac:dyDescent="0.25">
      <c r="A12026" t="s">
        <v>8</v>
      </c>
      <c r="B12026" s="1" t="str">
        <f>"000217290 - RICH FOODS-FOODBUY"</f>
        <v>000217290 - RICH FOODS-FOODBUY</v>
      </c>
      <c r="C12026" t="s">
        <v>237</v>
      </c>
      <c r="D12026" s="1" t="str">
        <f t="shared" si="330"/>
        <v>PRG-1037161</v>
      </c>
      <c r="E12026" t="s">
        <v>147</v>
      </c>
      <c r="F12026" t="s">
        <v>4</v>
      </c>
      <c r="G12026" t="str">
        <f>""</f>
        <v/>
      </c>
    </row>
    <row r="12027" spans="1:7" x14ac:dyDescent="0.25">
      <c r="A12027" t="s">
        <v>8</v>
      </c>
      <c r="B12027" s="1" t="str">
        <f>"000223625 - RICH FOODS BB-FOODBUY"</f>
        <v>000223625 - RICH FOODS BB-FOODBUY</v>
      </c>
      <c r="C12027" t="s">
        <v>209</v>
      </c>
      <c r="D12027" s="1" t="str">
        <f t="shared" si="330"/>
        <v>PRG-1037161</v>
      </c>
      <c r="E12027" t="s">
        <v>147</v>
      </c>
      <c r="F12027" t="s">
        <v>4</v>
      </c>
      <c r="G12027" t="str">
        <f>""</f>
        <v/>
      </c>
    </row>
    <row r="12028" spans="1:7" x14ac:dyDescent="0.25">
      <c r="A12028" t="s">
        <v>8</v>
      </c>
      <c r="B12028" s="1" t="str">
        <f>"000224384 - RICH FOODS FDBUY-U OF M (BB)"</f>
        <v>000224384 - RICH FOODS FDBUY-U OF M (BB)</v>
      </c>
      <c r="C12028" t="s">
        <v>1663</v>
      </c>
      <c r="D12028" s="1" t="str">
        <f t="shared" si="330"/>
        <v>PRG-1037161</v>
      </c>
      <c r="E12028" t="s">
        <v>147</v>
      </c>
      <c r="F12028" t="s">
        <v>4</v>
      </c>
      <c r="G12028" t="str">
        <f>""</f>
        <v/>
      </c>
    </row>
    <row r="12029" spans="1:7" x14ac:dyDescent="0.25">
      <c r="A12029" t="s">
        <v>8</v>
      </c>
      <c r="B12029" s="1" t="str">
        <f>"000225237 - RICH FOODS - FOODBUY"</f>
        <v>000225237 - RICH FOODS - FOODBUY</v>
      </c>
      <c r="C12029" t="s">
        <v>146</v>
      </c>
      <c r="D12029" s="1" t="str">
        <f t="shared" si="330"/>
        <v>PRG-1037161</v>
      </c>
      <c r="E12029" t="s">
        <v>147</v>
      </c>
      <c r="F12029" t="s">
        <v>4</v>
      </c>
      <c r="G12029" t="str">
        <f>""</f>
        <v/>
      </c>
    </row>
    <row r="12030" spans="1:7" x14ac:dyDescent="0.25">
      <c r="A12030" t="s">
        <v>8</v>
      </c>
      <c r="B12030" s="1" t="str">
        <f>"000226962 - RICH FD BB CR PURCHASING FBY"</f>
        <v>000226962 - RICH FD BB CR PURCHASING FBY</v>
      </c>
      <c r="C12030" t="s">
        <v>1700</v>
      </c>
      <c r="D12030" s="1" t="str">
        <f t="shared" si="330"/>
        <v>PRG-1037161</v>
      </c>
      <c r="E12030" t="s">
        <v>147</v>
      </c>
      <c r="F12030" t="s">
        <v>4</v>
      </c>
      <c r="G12030" t="str">
        <f>""</f>
        <v/>
      </c>
    </row>
    <row r="12031" spans="1:7" x14ac:dyDescent="0.25">
      <c r="A12031" t="s">
        <v>8</v>
      </c>
      <c r="B12031" s="1" t="str">
        <f>"000228648 - RICH FOODS BB-FOODBUY"</f>
        <v>000228648 - RICH FOODS BB-FOODBUY</v>
      </c>
      <c r="C12031" t="s">
        <v>209</v>
      </c>
      <c r="D12031" s="1" t="str">
        <f t="shared" si="330"/>
        <v>PRG-1037161</v>
      </c>
      <c r="E12031" t="s">
        <v>147</v>
      </c>
      <c r="F12031" t="s">
        <v>4</v>
      </c>
      <c r="G12031" t="str">
        <f>""</f>
        <v/>
      </c>
    </row>
    <row r="12032" spans="1:7" x14ac:dyDescent="0.25">
      <c r="A12032" t="s">
        <v>8</v>
      </c>
      <c r="B12032" s="1" t="str">
        <f>"000228755 - RICH FOODS - FOODBUY"</f>
        <v>000228755 - RICH FOODS - FOODBUY</v>
      </c>
      <c r="C12032" t="s">
        <v>146</v>
      </c>
      <c r="D12032" s="1" t="str">
        <f t="shared" si="330"/>
        <v>PRG-1037161</v>
      </c>
      <c r="E12032" t="s">
        <v>147</v>
      </c>
      <c r="F12032" t="s">
        <v>4</v>
      </c>
      <c r="G12032" t="str">
        <f>""</f>
        <v/>
      </c>
    </row>
    <row r="12033" spans="1:7" x14ac:dyDescent="0.25">
      <c r="A12033" t="s">
        <v>8</v>
      </c>
      <c r="B12033" s="1" t="str">
        <f>"000230322 - RICH FOODS - FOODBUY"</f>
        <v>000230322 - RICH FOODS - FOODBUY</v>
      </c>
      <c r="C12033" t="s">
        <v>146</v>
      </c>
      <c r="D12033" s="1" t="str">
        <f t="shared" si="330"/>
        <v>PRG-1037161</v>
      </c>
      <c r="E12033" t="s">
        <v>147</v>
      </c>
      <c r="F12033" t="s">
        <v>4</v>
      </c>
      <c r="G12033" t="str">
        <f>""</f>
        <v/>
      </c>
    </row>
    <row r="12034" spans="1:7" x14ac:dyDescent="0.25">
      <c r="A12034" t="s">
        <v>8</v>
      </c>
      <c r="B12034" s="1" t="str">
        <f>"000230571 - RICH FDS CR PURCHASING FBY"</f>
        <v>000230571 - RICH FDS CR PURCHASING FBY</v>
      </c>
      <c r="C12034" t="s">
        <v>1755</v>
      </c>
      <c r="D12034" s="1" t="str">
        <f t="shared" si="330"/>
        <v>PRG-1037161</v>
      </c>
      <c r="E12034" t="s">
        <v>147</v>
      </c>
      <c r="F12034" t="s">
        <v>4</v>
      </c>
      <c r="G12034" t="str">
        <f>""</f>
        <v/>
      </c>
    </row>
    <row r="12035" spans="1:7" x14ac:dyDescent="0.25">
      <c r="A12035" t="s">
        <v>8</v>
      </c>
      <c r="B12035" s="1" t="str">
        <f>"000230853 - RICH FOODS BB-FOODBUY"</f>
        <v>000230853 - RICH FOODS BB-FOODBUY</v>
      </c>
      <c r="C12035" t="s">
        <v>209</v>
      </c>
      <c r="D12035" s="1" t="str">
        <f t="shared" ref="D12035:D12098" si="331">"PRG-1037161"</f>
        <v>PRG-1037161</v>
      </c>
      <c r="E12035" t="s">
        <v>147</v>
      </c>
      <c r="F12035" t="s">
        <v>4</v>
      </c>
      <c r="G12035" t="str">
        <f>""</f>
        <v/>
      </c>
    </row>
    <row r="12036" spans="1:7" x14ac:dyDescent="0.25">
      <c r="A12036" t="s">
        <v>8</v>
      </c>
      <c r="B12036" s="1" t="str">
        <f>"000231529 - RICH FOODS-FOODBUY"</f>
        <v>000231529 - RICH FOODS-FOODBUY</v>
      </c>
      <c r="C12036" t="s">
        <v>237</v>
      </c>
      <c r="D12036" s="1" t="str">
        <f t="shared" si="331"/>
        <v>PRG-1037161</v>
      </c>
      <c r="E12036" t="s">
        <v>147</v>
      </c>
      <c r="F12036" t="s">
        <v>4</v>
      </c>
      <c r="G12036" t="str">
        <f>""</f>
        <v/>
      </c>
    </row>
    <row r="12037" spans="1:7" x14ac:dyDescent="0.25">
      <c r="A12037" t="s">
        <v>8</v>
      </c>
      <c r="B12037" s="1" t="str">
        <f>"000232512 - RICH FOODS - FOODBUY"</f>
        <v>000232512 - RICH FOODS - FOODBUY</v>
      </c>
      <c r="C12037" t="s">
        <v>146</v>
      </c>
      <c r="D12037" s="1" t="str">
        <f t="shared" si="331"/>
        <v>PRG-1037161</v>
      </c>
      <c r="E12037" t="s">
        <v>147</v>
      </c>
      <c r="F12037" t="s">
        <v>4</v>
      </c>
      <c r="G12037" t="str">
        <f>""</f>
        <v/>
      </c>
    </row>
    <row r="12038" spans="1:7" x14ac:dyDescent="0.25">
      <c r="A12038" t="s">
        <v>8</v>
      </c>
      <c r="B12038" s="1" t="str">
        <f>"000232770 - RICH FOODS-FOODBUY"</f>
        <v>000232770 - RICH FOODS-FOODBUY</v>
      </c>
      <c r="C12038" t="s">
        <v>237</v>
      </c>
      <c r="D12038" s="1" t="str">
        <f t="shared" si="331"/>
        <v>PRG-1037161</v>
      </c>
      <c r="E12038" t="s">
        <v>147</v>
      </c>
      <c r="F12038" t="s">
        <v>4</v>
      </c>
      <c r="G12038" t="str">
        <f>""</f>
        <v/>
      </c>
    </row>
    <row r="12039" spans="1:7" x14ac:dyDescent="0.25">
      <c r="A12039" t="s">
        <v>8</v>
      </c>
      <c r="B12039" s="1" t="str">
        <f>"000234055 - RICH FOODS - FOODBUY"</f>
        <v>000234055 - RICH FOODS - FOODBUY</v>
      </c>
      <c r="C12039" t="s">
        <v>146</v>
      </c>
      <c r="D12039" s="1" t="str">
        <f t="shared" si="331"/>
        <v>PRG-1037161</v>
      </c>
      <c r="E12039" t="s">
        <v>147</v>
      </c>
      <c r="F12039" t="s">
        <v>4</v>
      </c>
      <c r="G12039" t="str">
        <f>""</f>
        <v/>
      </c>
    </row>
    <row r="12040" spans="1:7" x14ac:dyDescent="0.25">
      <c r="A12040" t="s">
        <v>8</v>
      </c>
      <c r="B12040" s="1" t="str">
        <f>"000236116 - RICH FOODS - FOODBUY"</f>
        <v>000236116 - RICH FOODS - FOODBUY</v>
      </c>
      <c r="C12040" t="s">
        <v>146</v>
      </c>
      <c r="D12040" s="1" t="str">
        <f t="shared" si="331"/>
        <v>PRG-1037161</v>
      </c>
      <c r="E12040" t="s">
        <v>147</v>
      </c>
      <c r="F12040" t="s">
        <v>4</v>
      </c>
      <c r="G12040" t="str">
        <f>""</f>
        <v/>
      </c>
    </row>
    <row r="12041" spans="1:7" x14ac:dyDescent="0.25">
      <c r="A12041" t="s">
        <v>8</v>
      </c>
      <c r="B12041" s="1" t="str">
        <f>"000238471 - RICH FOODS BB-FOODBUY"</f>
        <v>000238471 - RICH FOODS BB-FOODBUY</v>
      </c>
      <c r="C12041" t="s">
        <v>209</v>
      </c>
      <c r="D12041" s="1" t="str">
        <f t="shared" si="331"/>
        <v>PRG-1037161</v>
      </c>
      <c r="E12041" t="s">
        <v>147</v>
      </c>
      <c r="F12041" t="s">
        <v>4</v>
      </c>
      <c r="G12041" t="str">
        <f>""</f>
        <v/>
      </c>
    </row>
    <row r="12042" spans="1:7" x14ac:dyDescent="0.25">
      <c r="A12042" t="s">
        <v>8</v>
      </c>
      <c r="B12042" s="1" t="str">
        <f>"000238687 - RICH FOODS-FOODBUY"</f>
        <v>000238687 - RICH FOODS-FOODBUY</v>
      </c>
      <c r="C12042" t="s">
        <v>237</v>
      </c>
      <c r="D12042" s="1" t="str">
        <f t="shared" si="331"/>
        <v>PRG-1037161</v>
      </c>
      <c r="E12042" t="s">
        <v>147</v>
      </c>
      <c r="F12042" t="s">
        <v>4</v>
      </c>
      <c r="G12042" t="str">
        <f>""</f>
        <v/>
      </c>
    </row>
    <row r="12043" spans="1:7" x14ac:dyDescent="0.25">
      <c r="A12043" t="s">
        <v>8</v>
      </c>
      <c r="B12043" s="1" t="str">
        <f>"000238762 - RICH FOODS BB-FOODBUY"</f>
        <v>000238762 - RICH FOODS BB-FOODBUY</v>
      </c>
      <c r="C12043" t="s">
        <v>209</v>
      </c>
      <c r="D12043" s="1" t="str">
        <f t="shared" si="331"/>
        <v>PRG-1037161</v>
      </c>
      <c r="E12043" t="s">
        <v>147</v>
      </c>
      <c r="F12043" t="s">
        <v>4</v>
      </c>
      <c r="G12043" t="str">
        <f>""</f>
        <v/>
      </c>
    </row>
    <row r="12044" spans="1:7" x14ac:dyDescent="0.25">
      <c r="A12044" t="s">
        <v>8</v>
      </c>
      <c r="B12044" s="1" t="str">
        <f>"000239648 - RICH FOODS-FOODBUY"</f>
        <v>000239648 - RICH FOODS-FOODBUY</v>
      </c>
      <c r="C12044" t="s">
        <v>237</v>
      </c>
      <c r="D12044" s="1" t="str">
        <f t="shared" si="331"/>
        <v>PRG-1037161</v>
      </c>
      <c r="E12044" t="s">
        <v>147</v>
      </c>
      <c r="F12044" t="s">
        <v>4</v>
      </c>
      <c r="G12044" t="str">
        <f>""</f>
        <v/>
      </c>
    </row>
    <row r="12045" spans="1:7" x14ac:dyDescent="0.25">
      <c r="A12045" t="s">
        <v>8</v>
      </c>
      <c r="B12045" s="1" t="str">
        <f>"000239664 - RICH FOODS - FOODBUY"</f>
        <v>000239664 - RICH FOODS - FOODBUY</v>
      </c>
      <c r="C12045" t="s">
        <v>146</v>
      </c>
      <c r="D12045" s="1" t="str">
        <f t="shared" si="331"/>
        <v>PRG-1037161</v>
      </c>
      <c r="E12045" t="s">
        <v>147</v>
      </c>
      <c r="F12045" t="s">
        <v>4</v>
      </c>
      <c r="G12045" t="str">
        <f>""</f>
        <v/>
      </c>
    </row>
    <row r="12046" spans="1:7" x14ac:dyDescent="0.25">
      <c r="A12046" t="s">
        <v>8</v>
      </c>
      <c r="B12046" s="1" t="str">
        <f>"000240871 - RICH FOODS-FOODBUY"</f>
        <v>000240871 - RICH FOODS-FOODBUY</v>
      </c>
      <c r="C12046" t="s">
        <v>237</v>
      </c>
      <c r="D12046" s="1" t="str">
        <f t="shared" si="331"/>
        <v>PRG-1037161</v>
      </c>
      <c r="E12046" t="s">
        <v>147</v>
      </c>
      <c r="F12046" t="s">
        <v>4</v>
      </c>
      <c r="G12046" t="str">
        <f>""</f>
        <v/>
      </c>
    </row>
    <row r="12047" spans="1:7" x14ac:dyDescent="0.25">
      <c r="A12047" t="s">
        <v>8</v>
      </c>
      <c r="B12047" s="1" t="str">
        <f>"000242305 - RICH FOODS - FOODBUY"</f>
        <v>000242305 - RICH FOODS - FOODBUY</v>
      </c>
      <c r="C12047" t="s">
        <v>146</v>
      </c>
      <c r="D12047" s="1" t="str">
        <f t="shared" si="331"/>
        <v>PRG-1037161</v>
      </c>
      <c r="E12047" t="s">
        <v>147</v>
      </c>
      <c r="F12047" t="s">
        <v>4</v>
      </c>
      <c r="G12047" t="str">
        <f>""</f>
        <v/>
      </c>
    </row>
    <row r="12048" spans="1:7" x14ac:dyDescent="0.25">
      <c r="A12048" t="s">
        <v>8</v>
      </c>
      <c r="B12048" s="1" t="str">
        <f>"000243229 - RICH FOODS-FOODBUY"</f>
        <v>000243229 - RICH FOODS-FOODBUY</v>
      </c>
      <c r="C12048" t="s">
        <v>237</v>
      </c>
      <c r="D12048" s="1" t="str">
        <f t="shared" si="331"/>
        <v>PRG-1037161</v>
      </c>
      <c r="E12048" t="s">
        <v>147</v>
      </c>
      <c r="F12048" t="s">
        <v>4</v>
      </c>
      <c r="G12048" t="str">
        <f>""</f>
        <v/>
      </c>
    </row>
    <row r="12049" spans="1:7" x14ac:dyDescent="0.25">
      <c r="A12049" t="s">
        <v>8</v>
      </c>
      <c r="B12049" s="1" t="str">
        <f>"000243490 - RICH FOODS - FOODBUY"</f>
        <v>000243490 - RICH FOODS - FOODBUY</v>
      </c>
      <c r="C12049" t="s">
        <v>146</v>
      </c>
      <c r="D12049" s="1" t="str">
        <f t="shared" si="331"/>
        <v>PRG-1037161</v>
      </c>
      <c r="E12049" t="s">
        <v>147</v>
      </c>
      <c r="F12049" t="s">
        <v>4</v>
      </c>
      <c r="G12049" t="str">
        <f>""</f>
        <v/>
      </c>
    </row>
    <row r="12050" spans="1:7" x14ac:dyDescent="0.25">
      <c r="A12050" t="s">
        <v>8</v>
      </c>
      <c r="B12050" s="1" t="str">
        <f>"000244352 - RICH FOODS-FOODBUY"</f>
        <v>000244352 - RICH FOODS-FOODBUY</v>
      </c>
      <c r="C12050" t="s">
        <v>237</v>
      </c>
      <c r="D12050" s="1" t="str">
        <f t="shared" si="331"/>
        <v>PRG-1037161</v>
      </c>
      <c r="E12050" t="s">
        <v>147</v>
      </c>
      <c r="F12050" t="s">
        <v>4</v>
      </c>
      <c r="G12050" t="str">
        <f>""</f>
        <v/>
      </c>
    </row>
    <row r="12051" spans="1:7" x14ac:dyDescent="0.25">
      <c r="A12051" t="s">
        <v>8</v>
      </c>
      <c r="B12051" s="1" t="str">
        <f>"000245330 - RICH FOODS-FOODBUY"</f>
        <v>000245330 - RICH FOODS-FOODBUY</v>
      </c>
      <c r="C12051" t="s">
        <v>237</v>
      </c>
      <c r="D12051" s="1" t="str">
        <f t="shared" si="331"/>
        <v>PRG-1037161</v>
      </c>
      <c r="E12051" t="s">
        <v>147</v>
      </c>
      <c r="F12051" t="s">
        <v>4</v>
      </c>
      <c r="G12051" t="str">
        <f>""</f>
        <v/>
      </c>
    </row>
    <row r="12052" spans="1:7" x14ac:dyDescent="0.25">
      <c r="A12052" t="s">
        <v>8</v>
      </c>
      <c r="B12052" s="1" t="str">
        <f>"000246178 - RICH FOODS-FOODBUY"</f>
        <v>000246178 - RICH FOODS-FOODBUY</v>
      </c>
      <c r="C12052" t="s">
        <v>237</v>
      </c>
      <c r="D12052" s="1" t="str">
        <f t="shared" si="331"/>
        <v>PRG-1037161</v>
      </c>
      <c r="E12052" t="s">
        <v>147</v>
      </c>
      <c r="F12052" t="s">
        <v>4</v>
      </c>
      <c r="G12052" t="str">
        <f>""</f>
        <v/>
      </c>
    </row>
    <row r="12053" spans="1:7" x14ac:dyDescent="0.25">
      <c r="A12053" t="s">
        <v>8</v>
      </c>
      <c r="B12053" s="1" t="str">
        <f>"000246700 - RICH FOODS-FOODBUY"</f>
        <v>000246700 - RICH FOODS-FOODBUY</v>
      </c>
      <c r="C12053" t="s">
        <v>237</v>
      </c>
      <c r="D12053" s="1" t="str">
        <f t="shared" si="331"/>
        <v>PRG-1037161</v>
      </c>
      <c r="E12053" t="s">
        <v>147</v>
      </c>
      <c r="F12053" t="s">
        <v>4</v>
      </c>
      <c r="G12053" t="str">
        <f>""</f>
        <v/>
      </c>
    </row>
    <row r="12054" spans="1:7" x14ac:dyDescent="0.25">
      <c r="A12054" t="s">
        <v>8</v>
      </c>
      <c r="B12054" s="1" t="str">
        <f>"000247384 - RICH FOODS BB-FOODBUY"</f>
        <v>000247384 - RICH FOODS BB-FOODBUY</v>
      </c>
      <c r="C12054" t="s">
        <v>209</v>
      </c>
      <c r="D12054" s="1" t="str">
        <f t="shared" si="331"/>
        <v>PRG-1037161</v>
      </c>
      <c r="E12054" t="s">
        <v>147</v>
      </c>
      <c r="F12054" t="s">
        <v>4</v>
      </c>
      <c r="G12054" t="str">
        <f>""</f>
        <v/>
      </c>
    </row>
    <row r="12055" spans="1:7" x14ac:dyDescent="0.25">
      <c r="A12055" t="s">
        <v>8</v>
      </c>
      <c r="B12055" s="1" t="str">
        <f>"000247386 - BB FDBY FOB RICH"</f>
        <v>000247386 - BB FDBY FOB RICH</v>
      </c>
      <c r="C12055" t="s">
        <v>1248</v>
      </c>
      <c r="D12055" s="1" t="str">
        <f t="shared" si="331"/>
        <v>PRG-1037161</v>
      </c>
      <c r="E12055" t="s">
        <v>147</v>
      </c>
      <c r="F12055" t="s">
        <v>4</v>
      </c>
      <c r="G12055" t="str">
        <f>""</f>
        <v/>
      </c>
    </row>
    <row r="12056" spans="1:7" x14ac:dyDescent="0.25">
      <c r="A12056" t="s">
        <v>8</v>
      </c>
      <c r="B12056" s="1" t="str">
        <f>"000247772 - RICH FOODS-FOODBUY"</f>
        <v>000247772 - RICH FOODS-FOODBUY</v>
      </c>
      <c r="C12056" t="s">
        <v>237</v>
      </c>
      <c r="D12056" s="1" t="str">
        <f t="shared" si="331"/>
        <v>PRG-1037161</v>
      </c>
      <c r="E12056" t="s">
        <v>147</v>
      </c>
      <c r="F12056" t="s">
        <v>4</v>
      </c>
      <c r="G12056" t="str">
        <f>""</f>
        <v/>
      </c>
    </row>
    <row r="12057" spans="1:7" x14ac:dyDescent="0.25">
      <c r="A12057" t="s">
        <v>8</v>
      </c>
      <c r="B12057" s="1" t="str">
        <f>"000248840 - RICH FOODS BB-FOODBUY"</f>
        <v>000248840 - RICH FOODS BB-FOODBUY</v>
      </c>
      <c r="C12057" t="s">
        <v>209</v>
      </c>
      <c r="D12057" s="1" t="str">
        <f t="shared" si="331"/>
        <v>PRG-1037161</v>
      </c>
      <c r="E12057" t="s">
        <v>147</v>
      </c>
      <c r="F12057" t="s">
        <v>4</v>
      </c>
      <c r="G12057" t="str">
        <f>""</f>
        <v/>
      </c>
    </row>
    <row r="12058" spans="1:7" x14ac:dyDescent="0.25">
      <c r="A12058" t="s">
        <v>8</v>
      </c>
      <c r="B12058" s="1" t="str">
        <f>"000249110 - BB FDBY FOB RICH"</f>
        <v>000249110 - BB FDBY FOB RICH</v>
      </c>
      <c r="C12058" t="s">
        <v>1248</v>
      </c>
      <c r="D12058" s="1" t="str">
        <f t="shared" si="331"/>
        <v>PRG-1037161</v>
      </c>
      <c r="E12058" t="s">
        <v>147</v>
      </c>
      <c r="F12058" t="s">
        <v>4</v>
      </c>
      <c r="G12058" t="str">
        <f>""</f>
        <v/>
      </c>
    </row>
    <row r="12059" spans="1:7" x14ac:dyDescent="0.25">
      <c r="A12059" t="s">
        <v>8</v>
      </c>
      <c r="B12059" s="1" t="str">
        <f>"000249989 - RICH FOODS - FOODBUY"</f>
        <v>000249989 - RICH FOODS - FOODBUY</v>
      </c>
      <c r="C12059" t="s">
        <v>146</v>
      </c>
      <c r="D12059" s="1" t="str">
        <f t="shared" si="331"/>
        <v>PRG-1037161</v>
      </c>
      <c r="E12059" t="s">
        <v>147</v>
      </c>
      <c r="F12059" t="s">
        <v>4</v>
      </c>
      <c r="G12059" t="str">
        <f>""</f>
        <v/>
      </c>
    </row>
    <row r="12060" spans="1:7" x14ac:dyDescent="0.25">
      <c r="A12060" t="s">
        <v>8</v>
      </c>
      <c r="B12060" s="1" t="str">
        <f>"000250129 - RICH FOODS-FOODBUY"</f>
        <v>000250129 - RICH FOODS-FOODBUY</v>
      </c>
      <c r="C12060" t="s">
        <v>237</v>
      </c>
      <c r="D12060" s="1" t="str">
        <f t="shared" si="331"/>
        <v>PRG-1037161</v>
      </c>
      <c r="E12060" t="s">
        <v>147</v>
      </c>
      <c r="F12060" t="s">
        <v>4</v>
      </c>
      <c r="G12060" t="str">
        <f>""</f>
        <v/>
      </c>
    </row>
    <row r="12061" spans="1:7" x14ac:dyDescent="0.25">
      <c r="A12061" t="s">
        <v>8</v>
      </c>
      <c r="B12061" s="1" t="str">
        <f>"000250262 - RICH FOODS-FOODBUY"</f>
        <v>000250262 - RICH FOODS-FOODBUY</v>
      </c>
      <c r="C12061" t="s">
        <v>237</v>
      </c>
      <c r="D12061" s="1" t="str">
        <f t="shared" si="331"/>
        <v>PRG-1037161</v>
      </c>
      <c r="E12061" t="s">
        <v>147</v>
      </c>
      <c r="F12061" t="s">
        <v>4</v>
      </c>
      <c r="G12061" t="str">
        <f>""</f>
        <v/>
      </c>
    </row>
    <row r="12062" spans="1:7" x14ac:dyDescent="0.25">
      <c r="A12062" t="s">
        <v>8</v>
      </c>
      <c r="B12062" s="1" t="str">
        <f>"000250390 - BB FDBY FOB RICH"</f>
        <v>000250390 - BB FDBY FOB RICH</v>
      </c>
      <c r="C12062" t="s">
        <v>1248</v>
      </c>
      <c r="D12062" s="1" t="str">
        <f t="shared" si="331"/>
        <v>PRG-1037161</v>
      </c>
      <c r="E12062" t="s">
        <v>147</v>
      </c>
      <c r="F12062" t="s">
        <v>4</v>
      </c>
      <c r="G12062" t="str">
        <f>""</f>
        <v/>
      </c>
    </row>
    <row r="12063" spans="1:7" x14ac:dyDescent="0.25">
      <c r="A12063" t="s">
        <v>8</v>
      </c>
      <c r="B12063" s="1" t="str">
        <f>"000251138 - RICH FOODS-FOODBUY"</f>
        <v>000251138 - RICH FOODS-FOODBUY</v>
      </c>
      <c r="C12063" t="s">
        <v>237</v>
      </c>
      <c r="D12063" s="1" t="str">
        <f t="shared" si="331"/>
        <v>PRG-1037161</v>
      </c>
      <c r="E12063" t="s">
        <v>147</v>
      </c>
      <c r="F12063" t="s">
        <v>4</v>
      </c>
      <c r="G12063" t="str">
        <f>""</f>
        <v/>
      </c>
    </row>
    <row r="12064" spans="1:7" x14ac:dyDescent="0.25">
      <c r="A12064" t="s">
        <v>8</v>
      </c>
      <c r="B12064" s="1" t="str">
        <f>"000252281 - RICH FOODS-FOODBUY"</f>
        <v>000252281 - RICH FOODS-FOODBUY</v>
      </c>
      <c r="C12064" t="s">
        <v>237</v>
      </c>
      <c r="D12064" s="1" t="str">
        <f t="shared" si="331"/>
        <v>PRG-1037161</v>
      </c>
      <c r="E12064" t="s">
        <v>147</v>
      </c>
      <c r="F12064" t="s">
        <v>4</v>
      </c>
      <c r="G12064" t="str">
        <f>""</f>
        <v/>
      </c>
    </row>
    <row r="12065" spans="1:7" x14ac:dyDescent="0.25">
      <c r="A12065" t="s">
        <v>8</v>
      </c>
      <c r="B12065" s="1" t="str">
        <f>"000252452 - RICH FOODS BB-FOODBUY"</f>
        <v>000252452 - RICH FOODS BB-FOODBUY</v>
      </c>
      <c r="C12065" t="s">
        <v>209</v>
      </c>
      <c r="D12065" s="1" t="str">
        <f t="shared" si="331"/>
        <v>PRG-1037161</v>
      </c>
      <c r="E12065" t="s">
        <v>147</v>
      </c>
      <c r="F12065" t="s">
        <v>4</v>
      </c>
      <c r="G12065" t="str">
        <f>""</f>
        <v/>
      </c>
    </row>
    <row r="12066" spans="1:7" x14ac:dyDescent="0.25">
      <c r="A12066" t="s">
        <v>8</v>
      </c>
      <c r="B12066" s="1" t="str">
        <f>"000252518 - RICH FOODS - FOODBUY"</f>
        <v>000252518 - RICH FOODS - FOODBUY</v>
      </c>
      <c r="C12066" t="s">
        <v>146</v>
      </c>
      <c r="D12066" s="1" t="str">
        <f t="shared" si="331"/>
        <v>PRG-1037161</v>
      </c>
      <c r="E12066" t="s">
        <v>147</v>
      </c>
      <c r="F12066" t="s">
        <v>4</v>
      </c>
      <c r="G12066" t="str">
        <f>""</f>
        <v/>
      </c>
    </row>
    <row r="12067" spans="1:7" x14ac:dyDescent="0.25">
      <c r="A12067" t="s">
        <v>8</v>
      </c>
      <c r="B12067" s="1" t="str">
        <f>"000252826 - BB FDBY FOB RICH"</f>
        <v>000252826 - BB FDBY FOB RICH</v>
      </c>
      <c r="C12067" t="s">
        <v>1248</v>
      </c>
      <c r="D12067" s="1" t="str">
        <f t="shared" si="331"/>
        <v>PRG-1037161</v>
      </c>
      <c r="E12067" t="s">
        <v>147</v>
      </c>
      <c r="F12067" t="s">
        <v>4</v>
      </c>
      <c r="G12067" t="str">
        <f>""</f>
        <v/>
      </c>
    </row>
    <row r="12068" spans="1:7" x14ac:dyDescent="0.25">
      <c r="A12068" t="s">
        <v>8</v>
      </c>
      <c r="B12068" s="1" t="str">
        <f>"000252987 - RICH FOODS-FOODBUY"</f>
        <v>000252987 - RICH FOODS-FOODBUY</v>
      </c>
      <c r="C12068" t="s">
        <v>237</v>
      </c>
      <c r="D12068" s="1" t="str">
        <f t="shared" si="331"/>
        <v>PRG-1037161</v>
      </c>
      <c r="E12068" t="s">
        <v>147</v>
      </c>
      <c r="F12068" t="s">
        <v>4</v>
      </c>
      <c r="G12068" t="str">
        <f>""</f>
        <v/>
      </c>
    </row>
    <row r="12069" spans="1:7" x14ac:dyDescent="0.25">
      <c r="A12069" t="s">
        <v>8</v>
      </c>
      <c r="B12069" s="1" t="str">
        <f>"000253102 - RICH FOODS BB-FOODBUY"</f>
        <v>000253102 - RICH FOODS BB-FOODBUY</v>
      </c>
      <c r="C12069" t="s">
        <v>209</v>
      </c>
      <c r="D12069" s="1" t="str">
        <f t="shared" si="331"/>
        <v>PRG-1037161</v>
      </c>
      <c r="E12069" t="s">
        <v>147</v>
      </c>
      <c r="F12069" t="s">
        <v>4</v>
      </c>
      <c r="G12069" t="str">
        <f>""</f>
        <v/>
      </c>
    </row>
    <row r="12070" spans="1:7" x14ac:dyDescent="0.25">
      <c r="A12070" t="s">
        <v>8</v>
      </c>
      <c r="B12070" s="1" t="str">
        <f>"000253531 - RICH FOODS BB-FOODBUY"</f>
        <v>000253531 - RICH FOODS BB-FOODBUY</v>
      </c>
      <c r="C12070" t="s">
        <v>209</v>
      </c>
      <c r="D12070" s="1" t="str">
        <f t="shared" si="331"/>
        <v>PRG-1037161</v>
      </c>
      <c r="E12070" t="s">
        <v>147</v>
      </c>
      <c r="F12070" t="s">
        <v>4</v>
      </c>
      <c r="G12070" t="str">
        <f>""</f>
        <v/>
      </c>
    </row>
    <row r="12071" spans="1:7" x14ac:dyDescent="0.25">
      <c r="A12071" t="s">
        <v>8</v>
      </c>
      <c r="B12071" s="1" t="str">
        <f>"000253819 - RICH FOODS - FOODBUY"</f>
        <v>000253819 - RICH FOODS - FOODBUY</v>
      </c>
      <c r="C12071" t="s">
        <v>146</v>
      </c>
      <c r="D12071" s="1" t="str">
        <f t="shared" si="331"/>
        <v>PRG-1037161</v>
      </c>
      <c r="E12071" t="s">
        <v>147</v>
      </c>
      <c r="F12071" t="s">
        <v>4</v>
      </c>
      <c r="G12071" t="str">
        <f>""</f>
        <v/>
      </c>
    </row>
    <row r="12072" spans="1:7" x14ac:dyDescent="0.25">
      <c r="A12072" t="s">
        <v>8</v>
      </c>
      <c r="B12072" s="1" t="str">
        <f>"000254970 - RICH FOODS - FOODBUY"</f>
        <v>000254970 - RICH FOODS - FOODBUY</v>
      </c>
      <c r="C12072" t="s">
        <v>146</v>
      </c>
      <c r="D12072" s="1" t="str">
        <f t="shared" si="331"/>
        <v>PRG-1037161</v>
      </c>
      <c r="E12072" t="s">
        <v>147</v>
      </c>
      <c r="F12072" t="s">
        <v>4</v>
      </c>
      <c r="G12072" t="str">
        <f>""</f>
        <v/>
      </c>
    </row>
    <row r="12073" spans="1:7" x14ac:dyDescent="0.25">
      <c r="A12073" t="s">
        <v>8</v>
      </c>
      <c r="B12073" s="1" t="str">
        <f>"000255000 - RICH FOODS - FOODBUY"</f>
        <v>000255000 - RICH FOODS - FOODBUY</v>
      </c>
      <c r="C12073" t="s">
        <v>146</v>
      </c>
      <c r="D12073" s="1" t="str">
        <f t="shared" si="331"/>
        <v>PRG-1037161</v>
      </c>
      <c r="E12073" t="s">
        <v>147</v>
      </c>
      <c r="F12073" t="s">
        <v>4</v>
      </c>
      <c r="G12073" t="str">
        <f>""</f>
        <v/>
      </c>
    </row>
    <row r="12074" spans="1:7" x14ac:dyDescent="0.25">
      <c r="A12074" t="s">
        <v>8</v>
      </c>
      <c r="B12074" s="1" t="str">
        <f>"000255407 - RICH FOODS BB-FOODBUY"</f>
        <v>000255407 - RICH FOODS BB-FOODBUY</v>
      </c>
      <c r="C12074" t="s">
        <v>209</v>
      </c>
      <c r="D12074" s="1" t="str">
        <f t="shared" si="331"/>
        <v>PRG-1037161</v>
      </c>
      <c r="E12074" t="s">
        <v>147</v>
      </c>
      <c r="F12074" t="s">
        <v>4</v>
      </c>
      <c r="G12074" t="str">
        <f>""</f>
        <v/>
      </c>
    </row>
    <row r="12075" spans="1:7" x14ac:dyDescent="0.25">
      <c r="A12075" t="s">
        <v>8</v>
      </c>
      <c r="B12075" s="1" t="str">
        <f>"000255801 - RICH FOODS-FOODBUY"</f>
        <v>000255801 - RICH FOODS-FOODBUY</v>
      </c>
      <c r="C12075" t="s">
        <v>237</v>
      </c>
      <c r="D12075" s="1" t="str">
        <f t="shared" si="331"/>
        <v>PRG-1037161</v>
      </c>
      <c r="E12075" t="s">
        <v>147</v>
      </c>
      <c r="F12075" t="s">
        <v>4</v>
      </c>
      <c r="G12075" t="str">
        <f>""</f>
        <v/>
      </c>
    </row>
    <row r="12076" spans="1:7" x14ac:dyDescent="0.25">
      <c r="A12076" t="s">
        <v>8</v>
      </c>
      <c r="B12076" s="1" t="str">
        <f>"000255992 - BB FDBY FOB RICH"</f>
        <v>000255992 - BB FDBY FOB RICH</v>
      </c>
      <c r="C12076" t="s">
        <v>1248</v>
      </c>
      <c r="D12076" s="1" t="str">
        <f t="shared" si="331"/>
        <v>PRG-1037161</v>
      </c>
      <c r="E12076" t="s">
        <v>147</v>
      </c>
      <c r="F12076" t="s">
        <v>4</v>
      </c>
      <c r="G12076" t="str">
        <f>""</f>
        <v/>
      </c>
    </row>
    <row r="12077" spans="1:7" x14ac:dyDescent="0.25">
      <c r="A12077" t="s">
        <v>8</v>
      </c>
      <c r="B12077" s="1" t="str">
        <f>"000256364 - "</f>
        <v xml:space="preserve">000256364 - </v>
      </c>
      <c r="D12077" s="1" t="str">
        <f t="shared" si="331"/>
        <v>PRG-1037161</v>
      </c>
      <c r="E12077" t="s">
        <v>147</v>
      </c>
      <c r="F12077" t="s">
        <v>4</v>
      </c>
      <c r="G12077" t="str">
        <f>""</f>
        <v/>
      </c>
    </row>
    <row r="12078" spans="1:7" x14ac:dyDescent="0.25">
      <c r="A12078" t="s">
        <v>8</v>
      </c>
      <c r="B12078" s="1" t="str">
        <f>"000256848 - RICH FOODS - FOODBUY"</f>
        <v>000256848 - RICH FOODS - FOODBUY</v>
      </c>
      <c r="C12078" t="s">
        <v>146</v>
      </c>
      <c r="D12078" s="1" t="str">
        <f t="shared" si="331"/>
        <v>PRG-1037161</v>
      </c>
      <c r="E12078" t="s">
        <v>147</v>
      </c>
      <c r="F12078" t="s">
        <v>4</v>
      </c>
      <c r="G12078" t="str">
        <f>""</f>
        <v/>
      </c>
    </row>
    <row r="12079" spans="1:7" x14ac:dyDescent="0.25">
      <c r="A12079" t="s">
        <v>8</v>
      </c>
      <c r="B12079" s="1" t="str">
        <f>"000256915 - RICH FOODS - FOODBUY"</f>
        <v>000256915 - RICH FOODS - FOODBUY</v>
      </c>
      <c r="C12079" t="s">
        <v>146</v>
      </c>
      <c r="D12079" s="1" t="str">
        <f t="shared" si="331"/>
        <v>PRG-1037161</v>
      </c>
      <c r="E12079" t="s">
        <v>147</v>
      </c>
      <c r="F12079" t="s">
        <v>4</v>
      </c>
      <c r="G12079" t="str">
        <f>""</f>
        <v/>
      </c>
    </row>
    <row r="12080" spans="1:7" x14ac:dyDescent="0.25">
      <c r="A12080" t="s">
        <v>8</v>
      </c>
      <c r="B12080" s="1" t="str">
        <f>"000257249 - BB FDBY FOB RICHS"</f>
        <v>000257249 - BB FDBY FOB RICHS</v>
      </c>
      <c r="C12080" t="s">
        <v>1488</v>
      </c>
      <c r="D12080" s="1" t="str">
        <f t="shared" si="331"/>
        <v>PRG-1037161</v>
      </c>
      <c r="E12080" t="s">
        <v>147</v>
      </c>
      <c r="F12080" t="s">
        <v>4</v>
      </c>
      <c r="G12080" t="str">
        <f>""</f>
        <v/>
      </c>
    </row>
    <row r="12081" spans="1:7" x14ac:dyDescent="0.25">
      <c r="A12081" t="s">
        <v>8</v>
      </c>
      <c r="B12081" s="1" t="str">
        <f>"000257407 - RICH FOODS BB-FOODBUY"</f>
        <v>000257407 - RICH FOODS BB-FOODBUY</v>
      </c>
      <c r="C12081" t="s">
        <v>209</v>
      </c>
      <c r="D12081" s="1" t="str">
        <f t="shared" si="331"/>
        <v>PRG-1037161</v>
      </c>
      <c r="E12081" t="s">
        <v>147</v>
      </c>
      <c r="F12081" t="s">
        <v>4</v>
      </c>
      <c r="G12081" t="str">
        <f>""</f>
        <v/>
      </c>
    </row>
    <row r="12082" spans="1:7" x14ac:dyDescent="0.25">
      <c r="A12082" t="s">
        <v>8</v>
      </c>
      <c r="B12082" s="1" t="str">
        <f>"000257845 - RICH FOODS - FOODBUY"</f>
        <v>000257845 - RICH FOODS - FOODBUY</v>
      </c>
      <c r="C12082" t="s">
        <v>146</v>
      </c>
      <c r="D12082" s="1" t="str">
        <f t="shared" si="331"/>
        <v>PRG-1037161</v>
      </c>
      <c r="E12082" t="s">
        <v>147</v>
      </c>
      <c r="F12082" t="s">
        <v>4</v>
      </c>
      <c r="G12082" t="str">
        <f>""</f>
        <v/>
      </c>
    </row>
    <row r="12083" spans="1:7" x14ac:dyDescent="0.25">
      <c r="A12083" t="s">
        <v>8</v>
      </c>
      <c r="B12083" s="1" t="str">
        <f>"000258424 - BB FDBY FOB RICH"</f>
        <v>000258424 - BB FDBY FOB RICH</v>
      </c>
      <c r="C12083" t="s">
        <v>1248</v>
      </c>
      <c r="D12083" s="1" t="str">
        <f t="shared" si="331"/>
        <v>PRG-1037161</v>
      </c>
      <c r="E12083" t="s">
        <v>147</v>
      </c>
      <c r="F12083" t="s">
        <v>4</v>
      </c>
      <c r="G12083" t="str">
        <f>""</f>
        <v/>
      </c>
    </row>
    <row r="12084" spans="1:7" x14ac:dyDescent="0.25">
      <c r="A12084" t="s">
        <v>8</v>
      </c>
      <c r="B12084" s="1" t="str">
        <f>"000258572 - RICH FOODS - FOODBUY"</f>
        <v>000258572 - RICH FOODS - FOODBUY</v>
      </c>
      <c r="C12084" t="s">
        <v>146</v>
      </c>
      <c r="D12084" s="1" t="str">
        <f t="shared" si="331"/>
        <v>PRG-1037161</v>
      </c>
      <c r="E12084" t="s">
        <v>147</v>
      </c>
      <c r="F12084" t="s">
        <v>4</v>
      </c>
      <c r="G12084" t="str">
        <f>""</f>
        <v/>
      </c>
    </row>
    <row r="12085" spans="1:7" x14ac:dyDescent="0.25">
      <c r="A12085" t="s">
        <v>8</v>
      </c>
      <c r="B12085" s="1" t="str">
        <f>"000259122 - RICH FOODS - FOODBUY"</f>
        <v>000259122 - RICH FOODS - FOODBUY</v>
      </c>
      <c r="C12085" t="s">
        <v>146</v>
      </c>
      <c r="D12085" s="1" t="str">
        <f t="shared" si="331"/>
        <v>PRG-1037161</v>
      </c>
      <c r="E12085" t="s">
        <v>147</v>
      </c>
      <c r="F12085" t="s">
        <v>4</v>
      </c>
      <c r="G12085" t="str">
        <f>""</f>
        <v/>
      </c>
    </row>
    <row r="12086" spans="1:7" x14ac:dyDescent="0.25">
      <c r="A12086" t="s">
        <v>8</v>
      </c>
      <c r="B12086" s="1" t="str">
        <f>"000259252 - RICH FOODS - FOODBUY"</f>
        <v>000259252 - RICH FOODS - FOODBUY</v>
      </c>
      <c r="C12086" t="s">
        <v>146</v>
      </c>
      <c r="D12086" s="1" t="str">
        <f t="shared" si="331"/>
        <v>PRG-1037161</v>
      </c>
      <c r="E12086" t="s">
        <v>147</v>
      </c>
      <c r="F12086" t="s">
        <v>4</v>
      </c>
      <c r="G12086" t="str">
        <f>""</f>
        <v/>
      </c>
    </row>
    <row r="12087" spans="1:7" x14ac:dyDescent="0.25">
      <c r="A12087" t="s">
        <v>8</v>
      </c>
      <c r="B12087" s="1" t="str">
        <f>"000259258 - USDA RICH'S B198 100912 G039"</f>
        <v>000259258 - USDA RICH'S B198 100912 G039</v>
      </c>
      <c r="C12087" t="s">
        <v>2238</v>
      </c>
      <c r="D12087" s="1" t="str">
        <f t="shared" si="331"/>
        <v>PRG-1037161</v>
      </c>
      <c r="E12087" t="s">
        <v>147</v>
      </c>
      <c r="F12087" t="s">
        <v>4</v>
      </c>
      <c r="G12087" t="str">
        <f>""</f>
        <v/>
      </c>
    </row>
    <row r="12088" spans="1:7" x14ac:dyDescent="0.25">
      <c r="A12088" t="s">
        <v>8</v>
      </c>
      <c r="B12088" s="1" t="str">
        <f>"000260144 - RICH FOODS BB-FOODBUY"</f>
        <v>000260144 - RICH FOODS BB-FOODBUY</v>
      </c>
      <c r="C12088" t="s">
        <v>209</v>
      </c>
      <c r="D12088" s="1" t="str">
        <f t="shared" si="331"/>
        <v>PRG-1037161</v>
      </c>
      <c r="E12088" t="s">
        <v>147</v>
      </c>
      <c r="F12088" t="s">
        <v>4</v>
      </c>
      <c r="G12088" t="str">
        <f>""</f>
        <v/>
      </c>
    </row>
    <row r="12089" spans="1:7" x14ac:dyDescent="0.25">
      <c r="A12089" t="s">
        <v>8</v>
      </c>
      <c r="B12089" s="1" t="str">
        <f>"000260228 - RICH FOODS-FOODBUY"</f>
        <v>000260228 - RICH FOODS-FOODBUY</v>
      </c>
      <c r="C12089" t="s">
        <v>237</v>
      </c>
      <c r="D12089" s="1" t="str">
        <f t="shared" si="331"/>
        <v>PRG-1037161</v>
      </c>
      <c r="E12089" t="s">
        <v>147</v>
      </c>
      <c r="F12089" t="s">
        <v>4</v>
      </c>
      <c r="G12089" t="str">
        <f>""</f>
        <v/>
      </c>
    </row>
    <row r="12090" spans="1:7" x14ac:dyDescent="0.25">
      <c r="A12090" t="s">
        <v>8</v>
      </c>
      <c r="B12090" s="1" t="str">
        <f>"000260341 - RICH DC-SHORT STOP DELI"</f>
        <v>000260341 - RICH DC-SHORT STOP DELI</v>
      </c>
      <c r="C12090" t="s">
        <v>2261</v>
      </c>
      <c r="D12090" s="1" t="str">
        <f t="shared" si="331"/>
        <v>PRG-1037161</v>
      </c>
      <c r="E12090" t="s">
        <v>147</v>
      </c>
      <c r="F12090" t="s">
        <v>4</v>
      </c>
      <c r="G12090" t="str">
        <f>""</f>
        <v/>
      </c>
    </row>
    <row r="12091" spans="1:7" x14ac:dyDescent="0.25">
      <c r="A12091" t="s">
        <v>8</v>
      </c>
      <c r="B12091" s="1" t="str">
        <f>"000261013 - RICH FOODS-FOODBUY"</f>
        <v>000261013 - RICH FOODS-FOODBUY</v>
      </c>
      <c r="C12091" t="s">
        <v>237</v>
      </c>
      <c r="D12091" s="1" t="str">
        <f t="shared" si="331"/>
        <v>PRG-1037161</v>
      </c>
      <c r="E12091" t="s">
        <v>147</v>
      </c>
      <c r="F12091" t="s">
        <v>4</v>
      </c>
      <c r="G12091" t="str">
        <f>""</f>
        <v/>
      </c>
    </row>
    <row r="12092" spans="1:7" x14ac:dyDescent="0.25">
      <c r="A12092" t="s">
        <v>8</v>
      </c>
      <c r="B12092" s="1" t="str">
        <f>"000261514 - RICH FOODS-FOODBUY"</f>
        <v>000261514 - RICH FOODS-FOODBUY</v>
      </c>
      <c r="C12092" t="s">
        <v>237</v>
      </c>
      <c r="D12092" s="1" t="str">
        <f t="shared" si="331"/>
        <v>PRG-1037161</v>
      </c>
      <c r="E12092" t="s">
        <v>147</v>
      </c>
      <c r="F12092" t="s">
        <v>4</v>
      </c>
      <c r="G12092" t="str">
        <f>""</f>
        <v/>
      </c>
    </row>
    <row r="12093" spans="1:7" x14ac:dyDescent="0.25">
      <c r="A12093" t="s">
        <v>8</v>
      </c>
      <c r="B12093" s="1" t="str">
        <f>"000261617 - RICH FOODS-FOODBUY"</f>
        <v>000261617 - RICH FOODS-FOODBUY</v>
      </c>
      <c r="C12093" t="s">
        <v>237</v>
      </c>
      <c r="D12093" s="1" t="str">
        <f t="shared" si="331"/>
        <v>PRG-1037161</v>
      </c>
      <c r="E12093" t="s">
        <v>147</v>
      </c>
      <c r="F12093" t="s">
        <v>4</v>
      </c>
      <c r="G12093" t="str">
        <f>""</f>
        <v/>
      </c>
    </row>
    <row r="12094" spans="1:7" x14ac:dyDescent="0.25">
      <c r="A12094" t="s">
        <v>8</v>
      </c>
      <c r="B12094" s="1" t="str">
        <f>"000261676 - RICH FOODS - FOODBUY"</f>
        <v>000261676 - RICH FOODS - FOODBUY</v>
      </c>
      <c r="C12094" t="s">
        <v>146</v>
      </c>
      <c r="D12094" s="1" t="str">
        <f t="shared" si="331"/>
        <v>PRG-1037161</v>
      </c>
      <c r="E12094" t="s">
        <v>147</v>
      </c>
      <c r="F12094" t="s">
        <v>4</v>
      </c>
      <c r="G12094" t="str">
        <f>""</f>
        <v/>
      </c>
    </row>
    <row r="12095" spans="1:7" x14ac:dyDescent="0.25">
      <c r="A12095" t="s">
        <v>8</v>
      </c>
      <c r="B12095" s="1" t="str">
        <f>"000261769 - RICH FOODS RUTHS CHRIS (FDBY)"</f>
        <v>000261769 - RICH FOODS RUTHS CHRIS (FDBY)</v>
      </c>
      <c r="C12095" t="s">
        <v>2295</v>
      </c>
      <c r="D12095" s="1" t="str">
        <f t="shared" si="331"/>
        <v>PRG-1037161</v>
      </c>
      <c r="E12095" t="s">
        <v>147</v>
      </c>
      <c r="F12095" t="s">
        <v>4</v>
      </c>
      <c r="G12095" t="str">
        <f>""</f>
        <v/>
      </c>
    </row>
    <row r="12096" spans="1:7" x14ac:dyDescent="0.25">
      <c r="A12096" t="s">
        <v>8</v>
      </c>
      <c r="B12096" s="1" t="str">
        <f>"000262203 - RICH FDS FOODBUY CORE BB"</f>
        <v>000262203 - RICH FDS FOODBUY CORE BB</v>
      </c>
      <c r="C12096" t="s">
        <v>2311</v>
      </c>
      <c r="D12096" s="1" t="str">
        <f t="shared" si="331"/>
        <v>PRG-1037161</v>
      </c>
      <c r="E12096" t="s">
        <v>147</v>
      </c>
      <c r="F12096" t="s">
        <v>4</v>
      </c>
      <c r="G12096" t="str">
        <f>""</f>
        <v/>
      </c>
    </row>
    <row r="12097" spans="1:7" x14ac:dyDescent="0.25">
      <c r="A12097" t="s">
        <v>8</v>
      </c>
      <c r="B12097" s="1" t="str">
        <f>"000262492 - RICH FOODS-FOODBUY"</f>
        <v>000262492 - RICH FOODS-FOODBUY</v>
      </c>
      <c r="C12097" t="s">
        <v>237</v>
      </c>
      <c r="D12097" s="1" t="str">
        <f t="shared" si="331"/>
        <v>PRG-1037161</v>
      </c>
      <c r="E12097" t="s">
        <v>147</v>
      </c>
      <c r="F12097" t="s">
        <v>4</v>
      </c>
      <c r="G12097" t="str">
        <f>""</f>
        <v/>
      </c>
    </row>
    <row r="12098" spans="1:7" x14ac:dyDescent="0.25">
      <c r="A12098" t="s">
        <v>8</v>
      </c>
      <c r="B12098" s="1" t="str">
        <f>"000262812 - RICH FOODS-FOODBUY"</f>
        <v>000262812 - RICH FOODS-FOODBUY</v>
      </c>
      <c r="C12098" t="s">
        <v>237</v>
      </c>
      <c r="D12098" s="1" t="str">
        <f t="shared" si="331"/>
        <v>PRG-1037161</v>
      </c>
      <c r="E12098" t="s">
        <v>147</v>
      </c>
      <c r="F12098" t="s">
        <v>4</v>
      </c>
      <c r="G12098" t="str">
        <f>""</f>
        <v/>
      </c>
    </row>
    <row r="12099" spans="1:7" x14ac:dyDescent="0.25">
      <c r="A12099" t="s">
        <v>8</v>
      </c>
      <c r="B12099" s="1" t="str">
        <f>"000262946 - RICH FOODS RUTHS CHRIS (FDBY)"</f>
        <v>000262946 - RICH FOODS RUTHS CHRIS (FDBY)</v>
      </c>
      <c r="C12099" t="s">
        <v>2295</v>
      </c>
      <c r="D12099" s="1" t="str">
        <f t="shared" ref="D12099:D12162" si="332">"PRG-1037161"</f>
        <v>PRG-1037161</v>
      </c>
      <c r="E12099" t="s">
        <v>147</v>
      </c>
      <c r="F12099" t="s">
        <v>4</v>
      </c>
      <c r="G12099" t="str">
        <f>""</f>
        <v/>
      </c>
    </row>
    <row r="12100" spans="1:7" x14ac:dyDescent="0.25">
      <c r="A12100" t="s">
        <v>8</v>
      </c>
      <c r="B12100" s="1" t="str">
        <f>"000263070 - RICH FOODS - FOODBUY"</f>
        <v>000263070 - RICH FOODS - FOODBUY</v>
      </c>
      <c r="C12100" t="s">
        <v>146</v>
      </c>
      <c r="D12100" s="1" t="str">
        <f t="shared" si="332"/>
        <v>PRG-1037161</v>
      </c>
      <c r="E12100" t="s">
        <v>147</v>
      </c>
      <c r="F12100" t="s">
        <v>4</v>
      </c>
      <c r="G12100" t="str">
        <f>""</f>
        <v/>
      </c>
    </row>
    <row r="12101" spans="1:7" x14ac:dyDescent="0.25">
      <c r="A12101" t="s">
        <v>8</v>
      </c>
      <c r="B12101" s="1" t="str">
        <f>"000263360 - RICH FOODS-FOODBUY"</f>
        <v>000263360 - RICH FOODS-FOODBUY</v>
      </c>
      <c r="C12101" t="s">
        <v>237</v>
      </c>
      <c r="D12101" s="1" t="str">
        <f t="shared" si="332"/>
        <v>PRG-1037161</v>
      </c>
      <c r="E12101" t="s">
        <v>147</v>
      </c>
      <c r="F12101" t="s">
        <v>4</v>
      </c>
      <c r="G12101" t="str">
        <f>""</f>
        <v/>
      </c>
    </row>
    <row r="12102" spans="1:7" x14ac:dyDescent="0.25">
      <c r="A12102" t="s">
        <v>8</v>
      </c>
      <c r="B12102" s="1" t="str">
        <f>"000263361 - RICH FOODS-FOODBUY"</f>
        <v>000263361 - RICH FOODS-FOODBUY</v>
      </c>
      <c r="C12102" t="s">
        <v>237</v>
      </c>
      <c r="D12102" s="1" t="str">
        <f t="shared" si="332"/>
        <v>PRG-1037161</v>
      </c>
      <c r="E12102" t="s">
        <v>147</v>
      </c>
      <c r="F12102" t="s">
        <v>4</v>
      </c>
      <c r="G12102" t="str">
        <f>""</f>
        <v/>
      </c>
    </row>
    <row r="12103" spans="1:7" x14ac:dyDescent="0.25">
      <c r="A12103" t="s">
        <v>8</v>
      </c>
      <c r="B12103" s="1" t="str">
        <f>"000263595 - RICH FOODS BB-FOODBUY"</f>
        <v>000263595 - RICH FOODS BB-FOODBUY</v>
      </c>
      <c r="C12103" t="s">
        <v>209</v>
      </c>
      <c r="D12103" s="1" t="str">
        <f t="shared" si="332"/>
        <v>PRG-1037161</v>
      </c>
      <c r="E12103" t="s">
        <v>147</v>
      </c>
      <c r="F12103" t="s">
        <v>4</v>
      </c>
      <c r="G12103" t="str">
        <f>""</f>
        <v/>
      </c>
    </row>
    <row r="12104" spans="1:7" x14ac:dyDescent="0.25">
      <c r="A12104" t="s">
        <v>8</v>
      </c>
      <c r="B12104" s="1" t="str">
        <f>"000264261 - BB FDBY FOB RICH"</f>
        <v>000264261 - BB FDBY FOB RICH</v>
      </c>
      <c r="C12104" t="s">
        <v>1248</v>
      </c>
      <c r="D12104" s="1" t="str">
        <f t="shared" si="332"/>
        <v>PRG-1037161</v>
      </c>
      <c r="E12104" t="s">
        <v>147</v>
      </c>
      <c r="F12104" t="s">
        <v>4</v>
      </c>
      <c r="G12104" t="str">
        <f>""</f>
        <v/>
      </c>
    </row>
    <row r="12105" spans="1:7" x14ac:dyDescent="0.25">
      <c r="A12105" t="s">
        <v>8</v>
      </c>
      <c r="B12105" s="1" t="str">
        <f>"000264311 - "</f>
        <v xml:space="preserve">000264311 - </v>
      </c>
      <c r="D12105" s="1" t="str">
        <f t="shared" si="332"/>
        <v>PRG-1037161</v>
      </c>
      <c r="E12105" t="s">
        <v>147</v>
      </c>
      <c r="F12105" t="s">
        <v>4</v>
      </c>
      <c r="G12105" t="str">
        <f>""</f>
        <v/>
      </c>
    </row>
    <row r="12106" spans="1:7" x14ac:dyDescent="0.25">
      <c r="A12106" t="s">
        <v>8</v>
      </c>
      <c r="B12106" s="1" t="str">
        <f>"000264471 - RICH FOODS-FOODBUY"</f>
        <v>000264471 - RICH FOODS-FOODBUY</v>
      </c>
      <c r="C12106" t="s">
        <v>237</v>
      </c>
      <c r="D12106" s="1" t="str">
        <f t="shared" si="332"/>
        <v>PRG-1037161</v>
      </c>
      <c r="E12106" t="s">
        <v>147</v>
      </c>
      <c r="F12106" t="s">
        <v>4</v>
      </c>
      <c r="G12106" t="str">
        <f>""</f>
        <v/>
      </c>
    </row>
    <row r="12107" spans="1:7" x14ac:dyDescent="0.25">
      <c r="A12107" t="s">
        <v>8</v>
      </c>
      <c r="B12107" s="1" t="str">
        <f>"000264952 - RICH FOODS - FOODBUY"</f>
        <v>000264952 - RICH FOODS - FOODBUY</v>
      </c>
      <c r="C12107" t="s">
        <v>146</v>
      </c>
      <c r="D12107" s="1" t="str">
        <f t="shared" si="332"/>
        <v>PRG-1037161</v>
      </c>
      <c r="E12107" t="s">
        <v>147</v>
      </c>
      <c r="F12107" t="s">
        <v>4</v>
      </c>
      <c r="G12107" t="str">
        <f>""</f>
        <v/>
      </c>
    </row>
    <row r="12108" spans="1:7" x14ac:dyDescent="0.25">
      <c r="A12108" t="s">
        <v>8</v>
      </c>
      <c r="B12108" s="1" t="str">
        <f>"000264975 - RICH FOODS - FOODBUY"</f>
        <v>000264975 - RICH FOODS - FOODBUY</v>
      </c>
      <c r="C12108" t="s">
        <v>146</v>
      </c>
      <c r="D12108" s="1" t="str">
        <f t="shared" si="332"/>
        <v>PRG-1037161</v>
      </c>
      <c r="E12108" t="s">
        <v>147</v>
      </c>
      <c r="F12108" t="s">
        <v>4</v>
      </c>
      <c r="G12108" t="str">
        <f>""</f>
        <v/>
      </c>
    </row>
    <row r="12109" spans="1:7" x14ac:dyDescent="0.25">
      <c r="A12109" t="s">
        <v>8</v>
      </c>
      <c r="B12109" s="1" t="str">
        <f>"000265101 - "</f>
        <v xml:space="preserve">000265101 - </v>
      </c>
      <c r="D12109" s="1" t="str">
        <f t="shared" si="332"/>
        <v>PRG-1037161</v>
      </c>
      <c r="E12109" t="s">
        <v>147</v>
      </c>
      <c r="F12109" t="s">
        <v>4</v>
      </c>
      <c r="G12109" t="str">
        <f>""</f>
        <v/>
      </c>
    </row>
    <row r="12110" spans="1:7" x14ac:dyDescent="0.25">
      <c r="A12110" t="s">
        <v>8</v>
      </c>
      <c r="B12110" s="1" t="str">
        <f>"000265507 - RICH FOODS-FOODBUY"</f>
        <v>000265507 - RICH FOODS-FOODBUY</v>
      </c>
      <c r="C12110" t="s">
        <v>237</v>
      </c>
      <c r="D12110" s="1" t="str">
        <f t="shared" si="332"/>
        <v>PRG-1037161</v>
      </c>
      <c r="E12110" t="s">
        <v>147</v>
      </c>
      <c r="F12110" t="s">
        <v>4</v>
      </c>
      <c r="G12110" t="str">
        <f>""</f>
        <v/>
      </c>
    </row>
    <row r="12111" spans="1:7" x14ac:dyDescent="0.25">
      <c r="A12111" t="s">
        <v>8</v>
      </c>
      <c r="B12111" s="1" t="str">
        <f>"000265537 - RICH FOODS-FOODBUY"</f>
        <v>000265537 - RICH FOODS-FOODBUY</v>
      </c>
      <c r="C12111" t="s">
        <v>237</v>
      </c>
      <c r="D12111" s="1" t="str">
        <f t="shared" si="332"/>
        <v>PRG-1037161</v>
      </c>
      <c r="E12111" t="s">
        <v>147</v>
      </c>
      <c r="F12111" t="s">
        <v>4</v>
      </c>
      <c r="G12111" t="str">
        <f>""</f>
        <v/>
      </c>
    </row>
    <row r="12112" spans="1:7" x14ac:dyDescent="0.25">
      <c r="A12112" t="s">
        <v>8</v>
      </c>
      <c r="B12112" s="1" t="str">
        <f>"000265647 - RICH FOODS-FOODBUY"</f>
        <v>000265647 - RICH FOODS-FOODBUY</v>
      </c>
      <c r="C12112" t="s">
        <v>237</v>
      </c>
      <c r="D12112" s="1" t="str">
        <f t="shared" si="332"/>
        <v>PRG-1037161</v>
      </c>
      <c r="E12112" t="s">
        <v>147</v>
      </c>
      <c r="F12112" t="s">
        <v>4</v>
      </c>
      <c r="G12112" t="str">
        <f>""</f>
        <v/>
      </c>
    </row>
    <row r="12113" spans="1:7" x14ac:dyDescent="0.25">
      <c r="A12113" t="s">
        <v>8</v>
      </c>
      <c r="B12113" s="1" t="str">
        <f>"000266267 - RICH FOODS - FOODBUY"</f>
        <v>000266267 - RICH FOODS - FOODBUY</v>
      </c>
      <c r="C12113" t="s">
        <v>146</v>
      </c>
      <c r="D12113" s="1" t="str">
        <f t="shared" si="332"/>
        <v>PRG-1037161</v>
      </c>
      <c r="E12113" t="s">
        <v>147</v>
      </c>
      <c r="F12113" t="s">
        <v>4</v>
      </c>
      <c r="G12113" t="str">
        <f>""</f>
        <v/>
      </c>
    </row>
    <row r="12114" spans="1:7" x14ac:dyDescent="0.25">
      <c r="A12114" t="s">
        <v>8</v>
      </c>
      <c r="B12114" s="1" t="str">
        <f>"000266967 - RICH FOODS-FOODBUY"</f>
        <v>000266967 - RICH FOODS-FOODBUY</v>
      </c>
      <c r="C12114" t="s">
        <v>237</v>
      </c>
      <c r="D12114" s="1" t="str">
        <f t="shared" si="332"/>
        <v>PRG-1037161</v>
      </c>
      <c r="E12114" t="s">
        <v>147</v>
      </c>
      <c r="F12114" t="s">
        <v>4</v>
      </c>
      <c r="G12114" t="str">
        <f>""</f>
        <v/>
      </c>
    </row>
    <row r="12115" spans="1:7" x14ac:dyDescent="0.25">
      <c r="A12115" t="s">
        <v>8</v>
      </c>
      <c r="B12115" s="1" t="str">
        <f>"000267691 - BB FDBY FOB RICH"</f>
        <v>000267691 - BB FDBY FOB RICH</v>
      </c>
      <c r="C12115" t="s">
        <v>1248</v>
      </c>
      <c r="D12115" s="1" t="str">
        <f t="shared" si="332"/>
        <v>PRG-1037161</v>
      </c>
      <c r="E12115" t="s">
        <v>147</v>
      </c>
      <c r="F12115" t="s">
        <v>4</v>
      </c>
      <c r="G12115" t="str">
        <f>""</f>
        <v/>
      </c>
    </row>
    <row r="12116" spans="1:7" x14ac:dyDescent="0.25">
      <c r="A12116" t="s">
        <v>8</v>
      </c>
      <c r="B12116" s="1" t="str">
        <f>"000267930 - RICH FOODS-FOODBUY"</f>
        <v>000267930 - RICH FOODS-FOODBUY</v>
      </c>
      <c r="C12116" t="s">
        <v>237</v>
      </c>
      <c r="D12116" s="1" t="str">
        <f t="shared" si="332"/>
        <v>PRG-1037161</v>
      </c>
      <c r="E12116" t="s">
        <v>147</v>
      </c>
      <c r="F12116" t="s">
        <v>4</v>
      </c>
      <c r="G12116" t="str">
        <f>""</f>
        <v/>
      </c>
    </row>
    <row r="12117" spans="1:7" x14ac:dyDescent="0.25">
      <c r="A12117" t="s">
        <v>8</v>
      </c>
      <c r="B12117" s="1" t="str">
        <f>"000268023 - RICH FOODS - FOODBUY"</f>
        <v>000268023 - RICH FOODS - FOODBUY</v>
      </c>
      <c r="C12117" t="s">
        <v>146</v>
      </c>
      <c r="D12117" s="1" t="str">
        <f t="shared" si="332"/>
        <v>PRG-1037161</v>
      </c>
      <c r="E12117" t="s">
        <v>147</v>
      </c>
      <c r="F12117" t="s">
        <v>4</v>
      </c>
      <c r="G12117" t="str">
        <f>""</f>
        <v/>
      </c>
    </row>
    <row r="12118" spans="1:7" x14ac:dyDescent="0.25">
      <c r="A12118" t="s">
        <v>8</v>
      </c>
      <c r="B12118" s="1" t="str">
        <f>"000268328 - RICH FOODS-FOODBUY"</f>
        <v>000268328 - RICH FOODS-FOODBUY</v>
      </c>
      <c r="C12118" t="s">
        <v>237</v>
      </c>
      <c r="D12118" s="1" t="str">
        <f t="shared" si="332"/>
        <v>PRG-1037161</v>
      </c>
      <c r="E12118" t="s">
        <v>147</v>
      </c>
      <c r="F12118" t="s">
        <v>4</v>
      </c>
      <c r="G12118" t="str">
        <f>""</f>
        <v/>
      </c>
    </row>
    <row r="12119" spans="1:7" x14ac:dyDescent="0.25">
      <c r="A12119" t="s">
        <v>8</v>
      </c>
      <c r="B12119" s="1" t="str">
        <f>"000269080 - RICH FOODS-FOODBUY"</f>
        <v>000269080 - RICH FOODS-FOODBUY</v>
      </c>
      <c r="C12119" t="s">
        <v>237</v>
      </c>
      <c r="D12119" s="1" t="str">
        <f t="shared" si="332"/>
        <v>PRG-1037161</v>
      </c>
      <c r="E12119" t="s">
        <v>147</v>
      </c>
      <c r="F12119" t="s">
        <v>4</v>
      </c>
      <c r="G12119" t="str">
        <f>""</f>
        <v/>
      </c>
    </row>
    <row r="12120" spans="1:7" x14ac:dyDescent="0.25">
      <c r="A12120" t="s">
        <v>8</v>
      </c>
      <c r="B12120" s="1" t="str">
        <f>"000269212 - RICH FOODS-FOODBUY"</f>
        <v>000269212 - RICH FOODS-FOODBUY</v>
      </c>
      <c r="C12120" t="s">
        <v>237</v>
      </c>
      <c r="D12120" s="1" t="str">
        <f t="shared" si="332"/>
        <v>PRG-1037161</v>
      </c>
      <c r="E12120" t="s">
        <v>147</v>
      </c>
      <c r="F12120" t="s">
        <v>4</v>
      </c>
      <c r="G12120" t="str">
        <f>""</f>
        <v/>
      </c>
    </row>
    <row r="12121" spans="1:7" x14ac:dyDescent="0.25">
      <c r="A12121" t="s">
        <v>8</v>
      </c>
      <c r="B12121" s="1" t="str">
        <f>"000270496 - RICH FOODS-FOODBUY"</f>
        <v>000270496 - RICH FOODS-FOODBUY</v>
      </c>
      <c r="C12121" t="s">
        <v>237</v>
      </c>
      <c r="D12121" s="1" t="str">
        <f t="shared" si="332"/>
        <v>PRG-1037161</v>
      </c>
      <c r="E12121" t="s">
        <v>147</v>
      </c>
      <c r="F12121" t="s">
        <v>4</v>
      </c>
      <c r="G12121" t="str">
        <f>""</f>
        <v/>
      </c>
    </row>
    <row r="12122" spans="1:7" x14ac:dyDescent="0.25">
      <c r="A12122" t="s">
        <v>8</v>
      </c>
      <c r="B12122" s="1" t="str">
        <f>"000270647 - RICH RUTH CHRIS"</f>
        <v>000270647 - RICH RUTH CHRIS</v>
      </c>
      <c r="C12122" t="s">
        <v>2474</v>
      </c>
      <c r="D12122" s="1" t="str">
        <f t="shared" si="332"/>
        <v>PRG-1037161</v>
      </c>
      <c r="E12122" t="s">
        <v>147</v>
      </c>
      <c r="F12122" t="s">
        <v>4</v>
      </c>
      <c r="G12122" t="str">
        <f>""</f>
        <v/>
      </c>
    </row>
    <row r="12123" spans="1:7" x14ac:dyDescent="0.25">
      <c r="A12123" t="s">
        <v>8</v>
      </c>
      <c r="B12123" s="1" t="str">
        <f>"000270654 - RICH FOODS-FOODBUY"</f>
        <v>000270654 - RICH FOODS-FOODBUY</v>
      </c>
      <c r="C12123" t="s">
        <v>237</v>
      </c>
      <c r="D12123" s="1" t="str">
        <f t="shared" si="332"/>
        <v>PRG-1037161</v>
      </c>
      <c r="E12123" t="s">
        <v>147</v>
      </c>
      <c r="F12123" t="s">
        <v>4</v>
      </c>
      <c r="G12123" t="str">
        <f>""</f>
        <v/>
      </c>
    </row>
    <row r="12124" spans="1:7" x14ac:dyDescent="0.25">
      <c r="A12124" t="s">
        <v>8</v>
      </c>
      <c r="B12124" s="1" t="str">
        <f>"000270822 - RICH FOODS-FOODBUY"</f>
        <v>000270822 - RICH FOODS-FOODBUY</v>
      </c>
      <c r="C12124" t="s">
        <v>237</v>
      </c>
      <c r="D12124" s="1" t="str">
        <f t="shared" si="332"/>
        <v>PRG-1037161</v>
      </c>
      <c r="E12124" t="s">
        <v>147</v>
      </c>
      <c r="F12124" t="s">
        <v>4</v>
      </c>
      <c r="G12124" t="str">
        <f>""</f>
        <v/>
      </c>
    </row>
    <row r="12125" spans="1:7" x14ac:dyDescent="0.25">
      <c r="A12125" t="s">
        <v>8</v>
      </c>
      <c r="B12125" s="1" t="str">
        <f>"000271591 - RICH FOODS-FOODBUY"</f>
        <v>000271591 - RICH FOODS-FOODBUY</v>
      </c>
      <c r="C12125" t="s">
        <v>237</v>
      </c>
      <c r="D12125" s="1" t="str">
        <f t="shared" si="332"/>
        <v>PRG-1037161</v>
      </c>
      <c r="E12125" t="s">
        <v>147</v>
      </c>
      <c r="F12125" t="s">
        <v>4</v>
      </c>
      <c r="G12125" t="str">
        <f>""</f>
        <v/>
      </c>
    </row>
    <row r="12126" spans="1:7" x14ac:dyDescent="0.25">
      <c r="A12126" t="s">
        <v>8</v>
      </c>
      <c r="B12126" s="1" t="str">
        <f>"000271931 - RICH FOODS MAZZONE"</f>
        <v>000271931 - RICH FOODS MAZZONE</v>
      </c>
      <c r="C12126" t="s">
        <v>2496</v>
      </c>
      <c r="D12126" s="1" t="str">
        <f t="shared" si="332"/>
        <v>PRG-1037161</v>
      </c>
      <c r="E12126" t="s">
        <v>147</v>
      </c>
      <c r="F12126" t="s">
        <v>4</v>
      </c>
      <c r="G12126" t="str">
        <f>""</f>
        <v/>
      </c>
    </row>
    <row r="12127" spans="1:7" x14ac:dyDescent="0.25">
      <c r="A12127" t="s">
        <v>8</v>
      </c>
      <c r="B12127" s="1" t="str">
        <f>"000272119 - RICH FOODS-FOODBUY"</f>
        <v>000272119 - RICH FOODS-FOODBUY</v>
      </c>
      <c r="C12127" t="s">
        <v>237</v>
      </c>
      <c r="D12127" s="1" t="str">
        <f t="shared" si="332"/>
        <v>PRG-1037161</v>
      </c>
      <c r="E12127" t="s">
        <v>147</v>
      </c>
      <c r="F12127" t="s">
        <v>4</v>
      </c>
      <c r="G12127" t="str">
        <f>""</f>
        <v/>
      </c>
    </row>
    <row r="12128" spans="1:7" x14ac:dyDescent="0.25">
      <c r="A12128" t="s">
        <v>8</v>
      </c>
      <c r="B12128" s="1" t="str">
        <f>"000272188 - RICH FOODS BB-FOODBUY"</f>
        <v>000272188 - RICH FOODS BB-FOODBUY</v>
      </c>
      <c r="C12128" t="s">
        <v>209</v>
      </c>
      <c r="D12128" s="1" t="str">
        <f t="shared" si="332"/>
        <v>PRG-1037161</v>
      </c>
      <c r="E12128" t="s">
        <v>147</v>
      </c>
      <c r="F12128" t="s">
        <v>4</v>
      </c>
      <c r="G12128" t="str">
        <f>""</f>
        <v/>
      </c>
    </row>
    <row r="12129" spans="1:7" x14ac:dyDescent="0.25">
      <c r="A12129" t="s">
        <v>8</v>
      </c>
      <c r="B12129" s="1" t="str">
        <f>"000272303 - RICH FOODS-FOODBUY"</f>
        <v>000272303 - RICH FOODS-FOODBUY</v>
      </c>
      <c r="C12129" t="s">
        <v>237</v>
      </c>
      <c r="D12129" s="1" t="str">
        <f t="shared" si="332"/>
        <v>PRG-1037161</v>
      </c>
      <c r="E12129" t="s">
        <v>147</v>
      </c>
      <c r="F12129" t="s">
        <v>4</v>
      </c>
      <c r="G12129" t="str">
        <f>""</f>
        <v/>
      </c>
    </row>
    <row r="12130" spans="1:7" x14ac:dyDescent="0.25">
      <c r="A12130" t="s">
        <v>8</v>
      </c>
      <c r="B12130" s="1" t="str">
        <f>"000273148 - RICH FOODS-FOODBUY"</f>
        <v>000273148 - RICH FOODS-FOODBUY</v>
      </c>
      <c r="C12130" t="s">
        <v>237</v>
      </c>
      <c r="D12130" s="1" t="str">
        <f t="shared" si="332"/>
        <v>PRG-1037161</v>
      </c>
      <c r="E12130" t="s">
        <v>147</v>
      </c>
      <c r="F12130" t="s">
        <v>4</v>
      </c>
      <c r="G12130" t="str">
        <f>""</f>
        <v/>
      </c>
    </row>
    <row r="12131" spans="1:7" x14ac:dyDescent="0.25">
      <c r="A12131" t="s">
        <v>8</v>
      </c>
      <c r="B12131" s="1" t="str">
        <f>"000273282 - RICH FOODS-FOODBUY"</f>
        <v>000273282 - RICH FOODS-FOODBUY</v>
      </c>
      <c r="C12131" t="s">
        <v>237</v>
      </c>
      <c r="D12131" s="1" t="str">
        <f t="shared" si="332"/>
        <v>PRG-1037161</v>
      </c>
      <c r="E12131" t="s">
        <v>147</v>
      </c>
      <c r="F12131" t="s">
        <v>4</v>
      </c>
      <c r="G12131" t="str">
        <f>""</f>
        <v/>
      </c>
    </row>
    <row r="12132" spans="1:7" x14ac:dyDescent="0.25">
      <c r="A12132" t="s">
        <v>8</v>
      </c>
      <c r="B12132" s="1" t="str">
        <f>"000273363 - RICH FOODS - FOODBUY"</f>
        <v>000273363 - RICH FOODS - FOODBUY</v>
      </c>
      <c r="C12132" t="s">
        <v>146</v>
      </c>
      <c r="D12132" s="1" t="str">
        <f t="shared" si="332"/>
        <v>PRG-1037161</v>
      </c>
      <c r="E12132" t="s">
        <v>147</v>
      </c>
      <c r="F12132" t="s">
        <v>4</v>
      </c>
      <c r="G12132" t="str">
        <f>""</f>
        <v/>
      </c>
    </row>
    <row r="12133" spans="1:7" x14ac:dyDescent="0.25">
      <c r="A12133" t="s">
        <v>8</v>
      </c>
      <c r="B12133" s="1" t="str">
        <f>"000273527 - RICH FOODS - FOODBUY"</f>
        <v>000273527 - RICH FOODS - FOODBUY</v>
      </c>
      <c r="C12133" t="s">
        <v>146</v>
      </c>
      <c r="D12133" s="1" t="str">
        <f t="shared" si="332"/>
        <v>PRG-1037161</v>
      </c>
      <c r="E12133" t="s">
        <v>147</v>
      </c>
      <c r="F12133" t="s">
        <v>4</v>
      </c>
      <c r="G12133" t="str">
        <f>""</f>
        <v/>
      </c>
    </row>
    <row r="12134" spans="1:7" x14ac:dyDescent="0.25">
      <c r="A12134" t="s">
        <v>8</v>
      </c>
      <c r="B12134" s="1" t="str">
        <f>"000275032 - RICH FOODS-FOODBUY"</f>
        <v>000275032 - RICH FOODS-FOODBUY</v>
      </c>
      <c r="C12134" t="s">
        <v>237</v>
      </c>
      <c r="D12134" s="1" t="str">
        <f t="shared" si="332"/>
        <v>PRG-1037161</v>
      </c>
      <c r="E12134" t="s">
        <v>147</v>
      </c>
      <c r="F12134" t="s">
        <v>4</v>
      </c>
      <c r="G12134" t="str">
        <f>""</f>
        <v/>
      </c>
    </row>
    <row r="12135" spans="1:7" x14ac:dyDescent="0.25">
      <c r="A12135" t="s">
        <v>8</v>
      </c>
      <c r="B12135" s="1" t="str">
        <f>"000275118 - RICH FOODS-FOODBUY"</f>
        <v>000275118 - RICH FOODS-FOODBUY</v>
      </c>
      <c r="C12135" t="s">
        <v>237</v>
      </c>
      <c r="D12135" s="1" t="str">
        <f t="shared" si="332"/>
        <v>PRG-1037161</v>
      </c>
      <c r="E12135" t="s">
        <v>147</v>
      </c>
      <c r="F12135" t="s">
        <v>4</v>
      </c>
      <c r="G12135" t="str">
        <f>""</f>
        <v/>
      </c>
    </row>
    <row r="12136" spans="1:7" x14ac:dyDescent="0.25">
      <c r="A12136" t="s">
        <v>8</v>
      </c>
      <c r="B12136" s="1" t="str">
        <f>"000275952 - RICH FOODS BB-FOODBUY"</f>
        <v>000275952 - RICH FOODS BB-FOODBUY</v>
      </c>
      <c r="C12136" t="s">
        <v>209</v>
      </c>
      <c r="D12136" s="1" t="str">
        <f t="shared" si="332"/>
        <v>PRG-1037161</v>
      </c>
      <c r="E12136" t="s">
        <v>147</v>
      </c>
      <c r="F12136" t="s">
        <v>4</v>
      </c>
      <c r="G12136" t="str">
        <f>""</f>
        <v/>
      </c>
    </row>
    <row r="12137" spans="1:7" x14ac:dyDescent="0.25">
      <c r="A12137" t="s">
        <v>8</v>
      </c>
      <c r="B12137" s="1" t="str">
        <f>"000276474 - RICH FOODS - FOODBUY"</f>
        <v>000276474 - RICH FOODS - FOODBUY</v>
      </c>
      <c r="C12137" t="s">
        <v>146</v>
      </c>
      <c r="D12137" s="1" t="str">
        <f t="shared" si="332"/>
        <v>PRG-1037161</v>
      </c>
      <c r="E12137" t="s">
        <v>147</v>
      </c>
      <c r="F12137" t="s">
        <v>4</v>
      </c>
      <c r="G12137" t="str">
        <f>""</f>
        <v/>
      </c>
    </row>
    <row r="12138" spans="1:7" x14ac:dyDescent="0.25">
      <c r="A12138" t="s">
        <v>8</v>
      </c>
      <c r="B12138" s="1" t="str">
        <f>"000276634 - RICH FOODS-FOODBUY"</f>
        <v>000276634 - RICH FOODS-FOODBUY</v>
      </c>
      <c r="C12138" t="s">
        <v>237</v>
      </c>
      <c r="D12138" s="1" t="str">
        <f t="shared" si="332"/>
        <v>PRG-1037161</v>
      </c>
      <c r="E12138" t="s">
        <v>147</v>
      </c>
      <c r="F12138" t="s">
        <v>4</v>
      </c>
      <c r="G12138" t="str">
        <f>""</f>
        <v/>
      </c>
    </row>
    <row r="12139" spans="1:7" x14ac:dyDescent="0.25">
      <c r="A12139" t="s">
        <v>8</v>
      </c>
      <c r="B12139" s="1" t="str">
        <f>"000276890 - RICH FOODS BB-FOODBUY"</f>
        <v>000276890 - RICH FOODS BB-FOODBUY</v>
      </c>
      <c r="C12139" t="s">
        <v>209</v>
      </c>
      <c r="D12139" s="1" t="str">
        <f t="shared" si="332"/>
        <v>PRG-1037161</v>
      </c>
      <c r="E12139" t="s">
        <v>147</v>
      </c>
      <c r="F12139" t="s">
        <v>4</v>
      </c>
      <c r="G12139" t="str">
        <f>""</f>
        <v/>
      </c>
    </row>
    <row r="12140" spans="1:7" x14ac:dyDescent="0.25">
      <c r="A12140" t="s">
        <v>8</v>
      </c>
      <c r="B12140" s="1" t="str">
        <f>"000277004 - RICH FOODS-FOODBUY"</f>
        <v>000277004 - RICH FOODS-FOODBUY</v>
      </c>
      <c r="C12140" t="s">
        <v>237</v>
      </c>
      <c r="D12140" s="1" t="str">
        <f t="shared" si="332"/>
        <v>PRG-1037161</v>
      </c>
      <c r="E12140" t="s">
        <v>147</v>
      </c>
      <c r="F12140" t="s">
        <v>4</v>
      </c>
      <c r="G12140" t="str">
        <f>""</f>
        <v/>
      </c>
    </row>
    <row r="12141" spans="1:7" x14ac:dyDescent="0.25">
      <c r="A12141" t="s">
        <v>8</v>
      </c>
      <c r="B12141" s="1" t="str">
        <f>"000277217 - RICH FOODS - FOODBUY"</f>
        <v>000277217 - RICH FOODS - FOODBUY</v>
      </c>
      <c r="C12141" t="s">
        <v>146</v>
      </c>
      <c r="D12141" s="1" t="str">
        <f t="shared" si="332"/>
        <v>PRG-1037161</v>
      </c>
      <c r="E12141" t="s">
        <v>147</v>
      </c>
      <c r="F12141" t="s">
        <v>4</v>
      </c>
      <c r="G12141" t="str">
        <f>""</f>
        <v/>
      </c>
    </row>
    <row r="12142" spans="1:7" x14ac:dyDescent="0.25">
      <c r="A12142" t="s">
        <v>8</v>
      </c>
      <c r="B12142" s="1" t="str">
        <f>"000277765 - RICH FOODS - FOODBUY"</f>
        <v>000277765 - RICH FOODS - FOODBUY</v>
      </c>
      <c r="C12142" t="s">
        <v>146</v>
      </c>
      <c r="D12142" s="1" t="str">
        <f t="shared" si="332"/>
        <v>PRG-1037161</v>
      </c>
      <c r="E12142" t="s">
        <v>147</v>
      </c>
      <c r="F12142" t="s">
        <v>4</v>
      </c>
      <c r="G12142" t="str">
        <f>""</f>
        <v/>
      </c>
    </row>
    <row r="12143" spans="1:7" x14ac:dyDescent="0.25">
      <c r="A12143" t="s">
        <v>8</v>
      </c>
      <c r="B12143" s="1" t="str">
        <f>"000278296 - RICH FOODS - FOODBUY"</f>
        <v>000278296 - RICH FOODS - FOODBUY</v>
      </c>
      <c r="C12143" t="s">
        <v>146</v>
      </c>
      <c r="D12143" s="1" t="str">
        <f t="shared" si="332"/>
        <v>PRG-1037161</v>
      </c>
      <c r="E12143" t="s">
        <v>147</v>
      </c>
      <c r="F12143" t="s">
        <v>4</v>
      </c>
      <c r="G12143" t="str">
        <f>""</f>
        <v/>
      </c>
    </row>
    <row r="12144" spans="1:7" x14ac:dyDescent="0.25">
      <c r="A12144" t="s">
        <v>8</v>
      </c>
      <c r="B12144" s="1" t="str">
        <f>"000278653 - RICH FOODS BB-FOODBUY"</f>
        <v>000278653 - RICH FOODS BB-FOODBUY</v>
      </c>
      <c r="C12144" t="s">
        <v>209</v>
      </c>
      <c r="D12144" s="1" t="str">
        <f t="shared" si="332"/>
        <v>PRG-1037161</v>
      </c>
      <c r="E12144" t="s">
        <v>147</v>
      </c>
      <c r="F12144" t="s">
        <v>4</v>
      </c>
      <c r="G12144" t="str">
        <f>""</f>
        <v/>
      </c>
    </row>
    <row r="12145" spans="1:7" x14ac:dyDescent="0.25">
      <c r="A12145" t="s">
        <v>8</v>
      </c>
      <c r="B12145" s="1" t="str">
        <f>"000279188 - RICH FOODS BB-FOODBUY"</f>
        <v>000279188 - RICH FOODS BB-FOODBUY</v>
      </c>
      <c r="C12145" t="s">
        <v>209</v>
      </c>
      <c r="D12145" s="1" t="str">
        <f t="shared" si="332"/>
        <v>PRG-1037161</v>
      </c>
      <c r="E12145" t="s">
        <v>147</v>
      </c>
      <c r="F12145" t="s">
        <v>4</v>
      </c>
      <c r="G12145" t="str">
        <f>""</f>
        <v/>
      </c>
    </row>
    <row r="12146" spans="1:7" x14ac:dyDescent="0.25">
      <c r="A12146" t="s">
        <v>8</v>
      </c>
      <c r="B12146" s="1" t="str">
        <f>"000279440 - RICH FDS-BB-NCORE-RUTH CHRIS"</f>
        <v>000279440 - RICH FDS-BB-NCORE-RUTH CHRIS</v>
      </c>
      <c r="C12146" t="s">
        <v>2622</v>
      </c>
      <c r="D12146" s="1" t="str">
        <f t="shared" si="332"/>
        <v>PRG-1037161</v>
      </c>
      <c r="E12146" t="s">
        <v>147</v>
      </c>
      <c r="F12146" t="s">
        <v>4</v>
      </c>
      <c r="G12146" t="str">
        <f>""</f>
        <v/>
      </c>
    </row>
    <row r="12147" spans="1:7" x14ac:dyDescent="0.25">
      <c r="A12147" t="s">
        <v>8</v>
      </c>
      <c r="B12147" s="1" t="str">
        <f>"000279730 - RICH FOODS-FOODBUY"</f>
        <v>000279730 - RICH FOODS-FOODBUY</v>
      </c>
      <c r="C12147" t="s">
        <v>237</v>
      </c>
      <c r="D12147" s="1" t="str">
        <f t="shared" si="332"/>
        <v>PRG-1037161</v>
      </c>
      <c r="E12147" t="s">
        <v>147</v>
      </c>
      <c r="F12147" t="s">
        <v>4</v>
      </c>
      <c r="G12147" t="str">
        <f>""</f>
        <v/>
      </c>
    </row>
    <row r="12148" spans="1:7" x14ac:dyDescent="0.25">
      <c r="A12148" t="s">
        <v>8</v>
      </c>
      <c r="B12148" s="1" t="str">
        <f>"000279731 - RICH RUTH CHRIS"</f>
        <v>000279731 - RICH RUTH CHRIS</v>
      </c>
      <c r="C12148" t="s">
        <v>2474</v>
      </c>
      <c r="D12148" s="1" t="str">
        <f t="shared" si="332"/>
        <v>PRG-1037161</v>
      </c>
      <c r="E12148" t="s">
        <v>147</v>
      </c>
      <c r="F12148" t="s">
        <v>4</v>
      </c>
      <c r="G12148" t="str">
        <f>""</f>
        <v/>
      </c>
    </row>
    <row r="12149" spans="1:7" x14ac:dyDescent="0.25">
      <c r="A12149" t="s">
        <v>8</v>
      </c>
      <c r="B12149" s="1" t="str">
        <f>"000280290 - CPS   RICHS - 100912 FLOUR"</f>
        <v>000280290 - CPS   RICHS - 100912 FLOUR</v>
      </c>
      <c r="C12149" t="s">
        <v>2569</v>
      </c>
      <c r="D12149" s="1" t="str">
        <f t="shared" si="332"/>
        <v>PRG-1037161</v>
      </c>
      <c r="E12149" t="s">
        <v>147</v>
      </c>
      <c r="F12149" t="s">
        <v>4</v>
      </c>
      <c r="G12149" t="str">
        <f>""</f>
        <v/>
      </c>
    </row>
    <row r="12150" spans="1:7" x14ac:dyDescent="0.25">
      <c r="A12150" t="s">
        <v>8</v>
      </c>
      <c r="B12150" s="1" t="str">
        <f>"000280315 - RICH FOODS-FOODBUY"</f>
        <v>000280315 - RICH FOODS-FOODBUY</v>
      </c>
      <c r="C12150" t="s">
        <v>237</v>
      </c>
      <c r="D12150" s="1" t="str">
        <f t="shared" si="332"/>
        <v>PRG-1037161</v>
      </c>
      <c r="E12150" t="s">
        <v>147</v>
      </c>
      <c r="F12150" t="s">
        <v>4</v>
      </c>
      <c r="G12150" t="str">
        <f>""</f>
        <v/>
      </c>
    </row>
    <row r="12151" spans="1:7" x14ac:dyDescent="0.25">
      <c r="A12151" t="s">
        <v>8</v>
      </c>
      <c r="B12151" s="1" t="str">
        <f>"000280815 - RICH FOODS - FOODBUY"</f>
        <v>000280815 - RICH FOODS - FOODBUY</v>
      </c>
      <c r="C12151" t="s">
        <v>146</v>
      </c>
      <c r="D12151" s="1" t="str">
        <f t="shared" si="332"/>
        <v>PRG-1037161</v>
      </c>
      <c r="E12151" t="s">
        <v>147</v>
      </c>
      <c r="F12151" t="s">
        <v>4</v>
      </c>
      <c r="G12151" t="str">
        <f>""</f>
        <v/>
      </c>
    </row>
    <row r="12152" spans="1:7" x14ac:dyDescent="0.25">
      <c r="A12152" t="s">
        <v>8</v>
      </c>
      <c r="B12152" s="1" t="str">
        <f>"000280844 - RICH FOODS-FOODBUY"</f>
        <v>000280844 - RICH FOODS-FOODBUY</v>
      </c>
      <c r="C12152" t="s">
        <v>237</v>
      </c>
      <c r="D12152" s="1" t="str">
        <f t="shared" si="332"/>
        <v>PRG-1037161</v>
      </c>
      <c r="E12152" t="s">
        <v>147</v>
      </c>
      <c r="F12152" t="s">
        <v>4</v>
      </c>
      <c r="G12152" t="str">
        <f>""</f>
        <v/>
      </c>
    </row>
    <row r="12153" spans="1:7" x14ac:dyDescent="0.25">
      <c r="A12153" t="s">
        <v>8</v>
      </c>
      <c r="B12153" s="1" t="str">
        <f>"000280920 - RICH FOODS BB-FOODBUY"</f>
        <v>000280920 - RICH FOODS BB-FOODBUY</v>
      </c>
      <c r="C12153" t="s">
        <v>209</v>
      </c>
      <c r="D12153" s="1" t="str">
        <f t="shared" si="332"/>
        <v>PRG-1037161</v>
      </c>
      <c r="E12153" t="s">
        <v>147</v>
      </c>
      <c r="F12153" t="s">
        <v>4</v>
      </c>
      <c r="G12153" t="str">
        <f>""</f>
        <v/>
      </c>
    </row>
    <row r="12154" spans="1:7" x14ac:dyDescent="0.25">
      <c r="A12154" t="s">
        <v>8</v>
      </c>
      <c r="B12154" s="1" t="str">
        <f>"000281501 - RICH FOODS - FOODBUY"</f>
        <v>000281501 - RICH FOODS - FOODBUY</v>
      </c>
      <c r="C12154" t="s">
        <v>146</v>
      </c>
      <c r="D12154" s="1" t="str">
        <f t="shared" si="332"/>
        <v>PRG-1037161</v>
      </c>
      <c r="E12154" t="s">
        <v>147</v>
      </c>
      <c r="F12154" t="s">
        <v>4</v>
      </c>
      <c r="G12154" t="str">
        <f>""</f>
        <v/>
      </c>
    </row>
    <row r="12155" spans="1:7" x14ac:dyDescent="0.25">
      <c r="A12155" t="s">
        <v>8</v>
      </c>
      <c r="B12155" s="1" t="str">
        <f>"000281909 - RICH FOODS - FOODBUY"</f>
        <v>000281909 - RICH FOODS - FOODBUY</v>
      </c>
      <c r="C12155" t="s">
        <v>146</v>
      </c>
      <c r="D12155" s="1" t="str">
        <f t="shared" si="332"/>
        <v>PRG-1037161</v>
      </c>
      <c r="E12155" t="s">
        <v>147</v>
      </c>
      <c r="F12155" t="s">
        <v>4</v>
      </c>
      <c r="G12155" t="str">
        <f>""</f>
        <v/>
      </c>
    </row>
    <row r="12156" spans="1:7" x14ac:dyDescent="0.25">
      <c r="A12156" t="s">
        <v>8</v>
      </c>
      <c r="B12156" s="1" t="str">
        <f>"000281911 - RICH FOODS - FOODBUY"</f>
        <v>000281911 - RICH FOODS - FOODBUY</v>
      </c>
      <c r="C12156" t="s">
        <v>146</v>
      </c>
      <c r="D12156" s="1" t="str">
        <f t="shared" si="332"/>
        <v>PRG-1037161</v>
      </c>
      <c r="E12156" t="s">
        <v>147</v>
      </c>
      <c r="F12156" t="s">
        <v>4</v>
      </c>
      <c r="G12156" t="str">
        <f>""</f>
        <v/>
      </c>
    </row>
    <row r="12157" spans="1:7" x14ac:dyDescent="0.25">
      <c r="A12157" t="s">
        <v>8</v>
      </c>
      <c r="B12157" s="1" t="str">
        <f>"000282131 - RICH FOODS-FOODBUY"</f>
        <v>000282131 - RICH FOODS-FOODBUY</v>
      </c>
      <c r="C12157" t="s">
        <v>237</v>
      </c>
      <c r="D12157" s="1" t="str">
        <f t="shared" si="332"/>
        <v>PRG-1037161</v>
      </c>
      <c r="E12157" t="s">
        <v>147</v>
      </c>
      <c r="F12157" t="s">
        <v>4</v>
      </c>
      <c r="G12157" t="str">
        <f>""</f>
        <v/>
      </c>
    </row>
    <row r="12158" spans="1:7" x14ac:dyDescent="0.25">
      <c r="A12158" t="s">
        <v>8</v>
      </c>
      <c r="B12158" s="1" t="str">
        <f>"000282363 - RICH FOODS BB-FOODBUY"</f>
        <v>000282363 - RICH FOODS BB-FOODBUY</v>
      </c>
      <c r="C12158" t="s">
        <v>209</v>
      </c>
      <c r="D12158" s="1" t="str">
        <f t="shared" si="332"/>
        <v>PRG-1037161</v>
      </c>
      <c r="E12158" t="s">
        <v>147</v>
      </c>
      <c r="F12158" t="s">
        <v>4</v>
      </c>
      <c r="G12158" t="str">
        <f>""</f>
        <v/>
      </c>
    </row>
    <row r="12159" spans="1:7" x14ac:dyDescent="0.25">
      <c r="A12159" t="s">
        <v>8</v>
      </c>
      <c r="B12159" s="1" t="str">
        <f>"000282797 - RICH FOODS BB-FOODBUY"</f>
        <v>000282797 - RICH FOODS BB-FOODBUY</v>
      </c>
      <c r="C12159" t="s">
        <v>209</v>
      </c>
      <c r="D12159" s="1" t="str">
        <f t="shared" si="332"/>
        <v>PRG-1037161</v>
      </c>
      <c r="E12159" t="s">
        <v>147</v>
      </c>
      <c r="F12159" t="s">
        <v>4</v>
      </c>
      <c r="G12159" t="str">
        <f>""</f>
        <v/>
      </c>
    </row>
    <row r="12160" spans="1:7" x14ac:dyDescent="0.25">
      <c r="A12160" t="s">
        <v>8</v>
      </c>
      <c r="B12160" s="1" t="str">
        <f>"000283054 - RICH FOODS - FOODBUY"</f>
        <v>000283054 - RICH FOODS - FOODBUY</v>
      </c>
      <c r="C12160" t="s">
        <v>146</v>
      </c>
      <c r="D12160" s="1" t="str">
        <f t="shared" si="332"/>
        <v>PRG-1037161</v>
      </c>
      <c r="E12160" t="s">
        <v>147</v>
      </c>
      <c r="F12160" t="s">
        <v>4</v>
      </c>
      <c r="G12160" t="str">
        <f>""</f>
        <v/>
      </c>
    </row>
    <row r="12161" spans="1:7" x14ac:dyDescent="0.25">
      <c r="A12161" t="s">
        <v>8</v>
      </c>
      <c r="B12161" s="1" t="str">
        <f>"000283163 - RICH PRODUCT-(BAPA)-RUTH CHRIS"</f>
        <v>000283163 - RICH PRODUCT-(BAPA)-RUTH CHRIS</v>
      </c>
      <c r="C12161" t="s">
        <v>2682</v>
      </c>
      <c r="D12161" s="1" t="str">
        <f t="shared" si="332"/>
        <v>PRG-1037161</v>
      </c>
      <c r="E12161" t="s">
        <v>147</v>
      </c>
      <c r="F12161" t="s">
        <v>4</v>
      </c>
      <c r="G12161" t="str">
        <f>""</f>
        <v/>
      </c>
    </row>
    <row r="12162" spans="1:7" x14ac:dyDescent="0.25">
      <c r="A12162" t="s">
        <v>8</v>
      </c>
      <c r="B12162" s="1" t="str">
        <f>"000283914 - RICH FOODS - FOODBUY"</f>
        <v>000283914 - RICH FOODS - FOODBUY</v>
      </c>
      <c r="C12162" t="s">
        <v>146</v>
      </c>
      <c r="D12162" s="1" t="str">
        <f t="shared" si="332"/>
        <v>PRG-1037161</v>
      </c>
      <c r="E12162" t="s">
        <v>147</v>
      </c>
      <c r="F12162" t="s">
        <v>4</v>
      </c>
      <c r="G12162" t="str">
        <f>""</f>
        <v/>
      </c>
    </row>
    <row r="12163" spans="1:7" x14ac:dyDescent="0.25">
      <c r="A12163" t="s">
        <v>8</v>
      </c>
      <c r="B12163" s="1" t="str">
        <f>"000284179 - RICH FOODS - FOODBUY"</f>
        <v>000284179 - RICH FOODS - FOODBUY</v>
      </c>
      <c r="C12163" t="s">
        <v>146</v>
      </c>
      <c r="D12163" s="1" t="str">
        <f t="shared" ref="D12163:D12226" si="333">"PRG-1037161"</f>
        <v>PRG-1037161</v>
      </c>
      <c r="E12163" t="s">
        <v>147</v>
      </c>
      <c r="F12163" t="s">
        <v>4</v>
      </c>
      <c r="G12163" t="str">
        <f>""</f>
        <v/>
      </c>
    </row>
    <row r="12164" spans="1:7" x14ac:dyDescent="0.25">
      <c r="A12164" t="s">
        <v>8</v>
      </c>
      <c r="B12164" s="1" t="str">
        <f>"000284217 - RICH FOODS - FOODBUY"</f>
        <v>000284217 - RICH FOODS - FOODBUY</v>
      </c>
      <c r="C12164" t="s">
        <v>146</v>
      </c>
      <c r="D12164" s="1" t="str">
        <f t="shared" si="333"/>
        <v>PRG-1037161</v>
      </c>
      <c r="E12164" t="s">
        <v>147</v>
      </c>
      <c r="F12164" t="s">
        <v>4</v>
      </c>
      <c r="G12164" t="str">
        <f>""</f>
        <v/>
      </c>
    </row>
    <row r="12165" spans="1:7" x14ac:dyDescent="0.25">
      <c r="A12165" t="s">
        <v>8</v>
      </c>
      <c r="B12165" s="1" t="str">
        <f>"000284783 - RICH FOODS - FOODBUY"</f>
        <v>000284783 - RICH FOODS - FOODBUY</v>
      </c>
      <c r="C12165" t="s">
        <v>146</v>
      </c>
      <c r="D12165" s="1" t="str">
        <f t="shared" si="333"/>
        <v>PRG-1037161</v>
      </c>
      <c r="E12165" t="s">
        <v>147</v>
      </c>
      <c r="F12165" t="s">
        <v>4</v>
      </c>
      <c r="G12165" t="str">
        <f>""</f>
        <v/>
      </c>
    </row>
    <row r="12166" spans="1:7" x14ac:dyDescent="0.25">
      <c r="A12166" t="s">
        <v>8</v>
      </c>
      <c r="B12166" s="1" t="str">
        <f>"000285179 - RICH FOODS-FOODBUY"</f>
        <v>000285179 - RICH FOODS-FOODBUY</v>
      </c>
      <c r="C12166" t="s">
        <v>237</v>
      </c>
      <c r="D12166" s="1" t="str">
        <f t="shared" si="333"/>
        <v>PRG-1037161</v>
      </c>
      <c r="E12166" t="s">
        <v>147</v>
      </c>
      <c r="F12166" t="s">
        <v>4</v>
      </c>
      <c r="G12166" t="str">
        <f>""</f>
        <v/>
      </c>
    </row>
    <row r="12167" spans="1:7" x14ac:dyDescent="0.25">
      <c r="A12167" t="s">
        <v>8</v>
      </c>
      <c r="B12167" s="1" t="str">
        <f>"000285749 - RICH FOODS-FOODBUY"</f>
        <v>000285749 - RICH FOODS-FOODBUY</v>
      </c>
      <c r="C12167" t="s">
        <v>237</v>
      </c>
      <c r="D12167" s="1" t="str">
        <f t="shared" si="333"/>
        <v>PRG-1037161</v>
      </c>
      <c r="E12167" t="s">
        <v>147</v>
      </c>
      <c r="F12167" t="s">
        <v>4</v>
      </c>
      <c r="G12167" t="str">
        <f>""</f>
        <v/>
      </c>
    </row>
    <row r="12168" spans="1:7" x14ac:dyDescent="0.25">
      <c r="A12168" t="s">
        <v>8</v>
      </c>
      <c r="B12168" s="1" t="str">
        <f>"000285810 - RICH FOODS-CAMERON-MITCH-FDBY"</f>
        <v>000285810 - RICH FOODS-CAMERON-MITCH-FDBY</v>
      </c>
      <c r="C12168" t="s">
        <v>2727</v>
      </c>
      <c r="D12168" s="1" t="str">
        <f t="shared" si="333"/>
        <v>PRG-1037161</v>
      </c>
      <c r="E12168" t="s">
        <v>147</v>
      </c>
      <c r="F12168" t="s">
        <v>4</v>
      </c>
      <c r="G12168" t="str">
        <f>""</f>
        <v/>
      </c>
    </row>
    <row r="12169" spans="1:7" x14ac:dyDescent="0.25">
      <c r="A12169" t="s">
        <v>8</v>
      </c>
      <c r="B12169" s="1" t="str">
        <f>"000286017 - RICH FOODS - FOODBUY"</f>
        <v>000286017 - RICH FOODS - FOODBUY</v>
      </c>
      <c r="C12169" t="s">
        <v>146</v>
      </c>
      <c r="D12169" s="1" t="str">
        <f t="shared" si="333"/>
        <v>PRG-1037161</v>
      </c>
      <c r="E12169" t="s">
        <v>147</v>
      </c>
      <c r="F12169" t="s">
        <v>4</v>
      </c>
      <c r="G12169" t="str">
        <f>""</f>
        <v/>
      </c>
    </row>
    <row r="12170" spans="1:7" x14ac:dyDescent="0.25">
      <c r="A12170" t="s">
        <v>8</v>
      </c>
      <c r="B12170" s="1" t="str">
        <f>"000286900 - RICH FOODS BB-FOODBUY"</f>
        <v>000286900 - RICH FOODS BB-FOODBUY</v>
      </c>
      <c r="C12170" t="s">
        <v>209</v>
      </c>
      <c r="D12170" s="1" t="str">
        <f t="shared" si="333"/>
        <v>PRG-1037161</v>
      </c>
      <c r="E12170" t="s">
        <v>147</v>
      </c>
      <c r="F12170" t="s">
        <v>4</v>
      </c>
      <c r="G12170" t="str">
        <f>""</f>
        <v/>
      </c>
    </row>
    <row r="12171" spans="1:7" x14ac:dyDescent="0.25">
      <c r="A12171" t="s">
        <v>8</v>
      </c>
      <c r="B12171" s="1" t="str">
        <f>"000287089 - RICH FOODS-FOODBUY"</f>
        <v>000287089 - RICH FOODS-FOODBUY</v>
      </c>
      <c r="C12171" t="s">
        <v>237</v>
      </c>
      <c r="D12171" s="1" t="str">
        <f t="shared" si="333"/>
        <v>PRG-1037161</v>
      </c>
      <c r="E12171" t="s">
        <v>147</v>
      </c>
      <c r="F12171" t="s">
        <v>4</v>
      </c>
      <c r="G12171" t="str">
        <f>""</f>
        <v/>
      </c>
    </row>
    <row r="12172" spans="1:7" x14ac:dyDescent="0.25">
      <c r="A12172" t="s">
        <v>8</v>
      </c>
      <c r="B12172" s="1" t="str">
        <f>"000287107 - RICH FOODS - FOODBUY"</f>
        <v>000287107 - RICH FOODS - FOODBUY</v>
      </c>
      <c r="C12172" t="s">
        <v>146</v>
      </c>
      <c r="D12172" s="1" t="str">
        <f t="shared" si="333"/>
        <v>PRG-1037161</v>
      </c>
      <c r="E12172" t="s">
        <v>147</v>
      </c>
      <c r="F12172" t="s">
        <v>4</v>
      </c>
      <c r="G12172" t="str">
        <f>""</f>
        <v/>
      </c>
    </row>
    <row r="12173" spans="1:7" x14ac:dyDescent="0.25">
      <c r="A12173" t="s">
        <v>8</v>
      </c>
      <c r="B12173" s="1" t="str">
        <f>"000287209 - "</f>
        <v xml:space="preserve">000287209 - </v>
      </c>
      <c r="D12173" s="1" t="str">
        <f t="shared" si="333"/>
        <v>PRG-1037161</v>
      </c>
      <c r="E12173" t="s">
        <v>147</v>
      </c>
      <c r="F12173" t="s">
        <v>4</v>
      </c>
      <c r="G12173" t="str">
        <f>""</f>
        <v/>
      </c>
    </row>
    <row r="12174" spans="1:7" x14ac:dyDescent="0.25">
      <c r="A12174" t="s">
        <v>8</v>
      </c>
      <c r="B12174" s="1" t="str">
        <f>"000287392 - RICH FOODS - FOODBUY"</f>
        <v>000287392 - RICH FOODS - FOODBUY</v>
      </c>
      <c r="C12174" t="s">
        <v>146</v>
      </c>
      <c r="D12174" s="1" t="str">
        <f t="shared" si="333"/>
        <v>PRG-1037161</v>
      </c>
      <c r="E12174" t="s">
        <v>147</v>
      </c>
      <c r="F12174" t="s">
        <v>4</v>
      </c>
      <c r="G12174" t="str">
        <f>""</f>
        <v/>
      </c>
    </row>
    <row r="12175" spans="1:7" x14ac:dyDescent="0.25">
      <c r="A12175" t="s">
        <v>8</v>
      </c>
      <c r="B12175" s="1" t="str">
        <f>"000287462 - RICH FOODS - FOODBUY"</f>
        <v>000287462 - RICH FOODS - FOODBUY</v>
      </c>
      <c r="C12175" t="s">
        <v>146</v>
      </c>
      <c r="D12175" s="1" t="str">
        <f t="shared" si="333"/>
        <v>PRG-1037161</v>
      </c>
      <c r="E12175" t="s">
        <v>147</v>
      </c>
      <c r="F12175" t="s">
        <v>4</v>
      </c>
      <c r="G12175" t="str">
        <f>""</f>
        <v/>
      </c>
    </row>
    <row r="12176" spans="1:7" x14ac:dyDescent="0.25">
      <c r="A12176" t="s">
        <v>8</v>
      </c>
      <c r="B12176" s="1" t="str">
        <f>"000288167 - RICH FOODS-FOODBUY"</f>
        <v>000288167 - RICH FOODS-FOODBUY</v>
      </c>
      <c r="C12176" t="s">
        <v>237</v>
      </c>
      <c r="D12176" s="1" t="str">
        <f t="shared" si="333"/>
        <v>PRG-1037161</v>
      </c>
      <c r="E12176" t="s">
        <v>147</v>
      </c>
      <c r="F12176" t="s">
        <v>4</v>
      </c>
      <c r="G12176" t="str">
        <f>""</f>
        <v/>
      </c>
    </row>
    <row r="12177" spans="1:7" x14ac:dyDescent="0.25">
      <c r="A12177" t="s">
        <v>8</v>
      </c>
      <c r="B12177" s="1" t="str">
        <f>"000288530 - RICH FOODS - FOODBUY"</f>
        <v>000288530 - RICH FOODS - FOODBUY</v>
      </c>
      <c r="C12177" t="s">
        <v>146</v>
      </c>
      <c r="D12177" s="1" t="str">
        <f t="shared" si="333"/>
        <v>PRG-1037161</v>
      </c>
      <c r="E12177" t="s">
        <v>147</v>
      </c>
      <c r="F12177" t="s">
        <v>4</v>
      </c>
      <c r="G12177" t="str">
        <f>""</f>
        <v/>
      </c>
    </row>
    <row r="12178" spans="1:7" x14ac:dyDescent="0.25">
      <c r="A12178" t="s">
        <v>8</v>
      </c>
      <c r="B12178" s="1" t="str">
        <f>"000288537 - RICH FOODS-FOODBUY"</f>
        <v>000288537 - RICH FOODS-FOODBUY</v>
      </c>
      <c r="C12178" t="s">
        <v>237</v>
      </c>
      <c r="D12178" s="1" t="str">
        <f t="shared" si="333"/>
        <v>PRG-1037161</v>
      </c>
      <c r="E12178" t="s">
        <v>147</v>
      </c>
      <c r="F12178" t="s">
        <v>4</v>
      </c>
      <c r="G12178" t="str">
        <f>""</f>
        <v/>
      </c>
    </row>
    <row r="12179" spans="1:7" x14ac:dyDescent="0.25">
      <c r="A12179" t="s">
        <v>8</v>
      </c>
      <c r="B12179" s="1" t="str">
        <f>"000288885 - RICH FOODS-FOODBUY"</f>
        <v>000288885 - RICH FOODS-FOODBUY</v>
      </c>
      <c r="C12179" t="s">
        <v>237</v>
      </c>
      <c r="D12179" s="1" t="str">
        <f t="shared" si="333"/>
        <v>PRG-1037161</v>
      </c>
      <c r="E12179" t="s">
        <v>147</v>
      </c>
      <c r="F12179" t="s">
        <v>4</v>
      </c>
      <c r="G12179" t="str">
        <f>""</f>
        <v/>
      </c>
    </row>
    <row r="12180" spans="1:7" x14ac:dyDescent="0.25">
      <c r="A12180" t="s">
        <v>8</v>
      </c>
      <c r="B12180" s="1" t="str">
        <f>"000289249 - RICH FOODS-FOODBUY"</f>
        <v>000289249 - RICH FOODS-FOODBUY</v>
      </c>
      <c r="C12180" t="s">
        <v>237</v>
      </c>
      <c r="D12180" s="1" t="str">
        <f t="shared" si="333"/>
        <v>PRG-1037161</v>
      </c>
      <c r="E12180" t="s">
        <v>147</v>
      </c>
      <c r="F12180" t="s">
        <v>4</v>
      </c>
      <c r="G12180" t="str">
        <f>""</f>
        <v/>
      </c>
    </row>
    <row r="12181" spans="1:7" x14ac:dyDescent="0.25">
      <c r="A12181" t="s">
        <v>8</v>
      </c>
      <c r="B12181" s="1" t="str">
        <f>"000289302 - RICH FOODS-FOODBUY"</f>
        <v>000289302 - RICH FOODS-FOODBUY</v>
      </c>
      <c r="C12181" t="s">
        <v>237</v>
      </c>
      <c r="D12181" s="1" t="str">
        <f t="shared" si="333"/>
        <v>PRG-1037161</v>
      </c>
      <c r="E12181" t="s">
        <v>147</v>
      </c>
      <c r="F12181" t="s">
        <v>4</v>
      </c>
      <c r="G12181" t="str">
        <f>""</f>
        <v/>
      </c>
    </row>
    <row r="12182" spans="1:7" x14ac:dyDescent="0.25">
      <c r="A12182" t="s">
        <v>8</v>
      </c>
      <c r="B12182" s="1" t="str">
        <f>"000289483 - RICH FOODS - FOODBUY"</f>
        <v>000289483 - RICH FOODS - FOODBUY</v>
      </c>
      <c r="C12182" t="s">
        <v>146</v>
      </c>
      <c r="D12182" s="1" t="str">
        <f t="shared" si="333"/>
        <v>PRG-1037161</v>
      </c>
      <c r="E12182" t="s">
        <v>147</v>
      </c>
      <c r="F12182" t="s">
        <v>4</v>
      </c>
      <c r="G12182" t="str">
        <f>""</f>
        <v/>
      </c>
    </row>
    <row r="12183" spans="1:7" x14ac:dyDescent="0.25">
      <c r="A12183" t="s">
        <v>8</v>
      </c>
      <c r="B12183" s="1" t="str">
        <f>"000289857 - RICH FOODS-FOODBUY"</f>
        <v>000289857 - RICH FOODS-FOODBUY</v>
      </c>
      <c r="C12183" t="s">
        <v>237</v>
      </c>
      <c r="D12183" s="1" t="str">
        <f t="shared" si="333"/>
        <v>PRG-1037161</v>
      </c>
      <c r="E12183" t="s">
        <v>147</v>
      </c>
      <c r="F12183" t="s">
        <v>4</v>
      </c>
      <c r="G12183" t="str">
        <f>""</f>
        <v/>
      </c>
    </row>
    <row r="12184" spans="1:7" x14ac:dyDescent="0.25">
      <c r="A12184" t="s">
        <v>8</v>
      </c>
      <c r="B12184" s="1" t="str">
        <f>"000290200 - RICH FOODS-FOODBUY"</f>
        <v>000290200 - RICH FOODS-FOODBUY</v>
      </c>
      <c r="C12184" t="s">
        <v>237</v>
      </c>
      <c r="D12184" s="1" t="str">
        <f t="shared" si="333"/>
        <v>PRG-1037161</v>
      </c>
      <c r="E12184" t="s">
        <v>147</v>
      </c>
      <c r="F12184" t="s">
        <v>4</v>
      </c>
      <c r="G12184" t="str">
        <f>""</f>
        <v/>
      </c>
    </row>
    <row r="12185" spans="1:7" x14ac:dyDescent="0.25">
      <c r="A12185" t="s">
        <v>8</v>
      </c>
      <c r="B12185" s="1" t="str">
        <f>"000291186 - RICH FOODS-FOODBUY"</f>
        <v>000291186 - RICH FOODS-FOODBUY</v>
      </c>
      <c r="C12185" t="s">
        <v>237</v>
      </c>
      <c r="D12185" s="1" t="str">
        <f t="shared" si="333"/>
        <v>PRG-1037161</v>
      </c>
      <c r="E12185" t="s">
        <v>147</v>
      </c>
      <c r="F12185" t="s">
        <v>4</v>
      </c>
      <c r="G12185" t="str">
        <f>""</f>
        <v/>
      </c>
    </row>
    <row r="12186" spans="1:7" x14ac:dyDescent="0.25">
      <c r="A12186" t="s">
        <v>8</v>
      </c>
      <c r="B12186" s="1" t="str">
        <f>"000291335 - RICH FOODS-FOODBUY"</f>
        <v>000291335 - RICH FOODS-FOODBUY</v>
      </c>
      <c r="C12186" t="s">
        <v>237</v>
      </c>
      <c r="D12186" s="1" t="str">
        <f t="shared" si="333"/>
        <v>PRG-1037161</v>
      </c>
      <c r="E12186" t="s">
        <v>147</v>
      </c>
      <c r="F12186" t="s">
        <v>4</v>
      </c>
      <c r="G12186" t="str">
        <f>""</f>
        <v/>
      </c>
    </row>
    <row r="12187" spans="1:7" x14ac:dyDescent="0.25">
      <c r="A12187" t="s">
        <v>8</v>
      </c>
      <c r="B12187" s="1" t="str">
        <f>"000291378 - RICH FOODS-FOODBUY"</f>
        <v>000291378 - RICH FOODS-FOODBUY</v>
      </c>
      <c r="C12187" t="s">
        <v>237</v>
      </c>
      <c r="D12187" s="1" t="str">
        <f t="shared" si="333"/>
        <v>PRG-1037161</v>
      </c>
      <c r="E12187" t="s">
        <v>147</v>
      </c>
      <c r="F12187" t="s">
        <v>4</v>
      </c>
      <c r="G12187" t="str">
        <f>""</f>
        <v/>
      </c>
    </row>
    <row r="12188" spans="1:7" x14ac:dyDescent="0.25">
      <c r="A12188" t="s">
        <v>8</v>
      </c>
      <c r="B12188" s="1" t="str">
        <f>"000291960 - RICH FOODS-FOODBUY"</f>
        <v>000291960 - RICH FOODS-FOODBUY</v>
      </c>
      <c r="C12188" t="s">
        <v>237</v>
      </c>
      <c r="D12188" s="1" t="str">
        <f t="shared" si="333"/>
        <v>PRG-1037161</v>
      </c>
      <c r="E12188" t="s">
        <v>147</v>
      </c>
      <c r="F12188" t="s">
        <v>4</v>
      </c>
      <c r="G12188" t="str">
        <f>""</f>
        <v/>
      </c>
    </row>
    <row r="12189" spans="1:7" x14ac:dyDescent="0.25">
      <c r="A12189" t="s">
        <v>8</v>
      </c>
      <c r="B12189" s="1" t="str">
        <f>"000292041 - RICH FOODS - FOODBUY"</f>
        <v>000292041 - RICH FOODS - FOODBUY</v>
      </c>
      <c r="C12189" t="s">
        <v>146</v>
      </c>
      <c r="D12189" s="1" t="str">
        <f t="shared" si="333"/>
        <v>PRG-1037161</v>
      </c>
      <c r="E12189" t="s">
        <v>147</v>
      </c>
      <c r="F12189" t="s">
        <v>4</v>
      </c>
      <c r="G12189" t="str">
        <f>""</f>
        <v/>
      </c>
    </row>
    <row r="12190" spans="1:7" x14ac:dyDescent="0.25">
      <c r="A12190" t="s">
        <v>8</v>
      </c>
      <c r="B12190" s="1" t="str">
        <f>"000292293 - RICH FOODS-FOODBUY"</f>
        <v>000292293 - RICH FOODS-FOODBUY</v>
      </c>
      <c r="C12190" t="s">
        <v>237</v>
      </c>
      <c r="D12190" s="1" t="str">
        <f t="shared" si="333"/>
        <v>PRG-1037161</v>
      </c>
      <c r="E12190" t="s">
        <v>147</v>
      </c>
      <c r="F12190" t="s">
        <v>4</v>
      </c>
      <c r="G12190" t="str">
        <f>""</f>
        <v/>
      </c>
    </row>
    <row r="12191" spans="1:7" x14ac:dyDescent="0.25">
      <c r="A12191" t="s">
        <v>8</v>
      </c>
      <c r="B12191" s="1" t="str">
        <f>"000292947 - RICH FOODS-FOODBUY"</f>
        <v>000292947 - RICH FOODS-FOODBUY</v>
      </c>
      <c r="C12191" t="s">
        <v>237</v>
      </c>
      <c r="D12191" s="1" t="str">
        <f t="shared" si="333"/>
        <v>PRG-1037161</v>
      </c>
      <c r="E12191" t="s">
        <v>147</v>
      </c>
      <c r="F12191" t="s">
        <v>4</v>
      </c>
      <c r="G12191" t="str">
        <f>""</f>
        <v/>
      </c>
    </row>
    <row r="12192" spans="1:7" x14ac:dyDescent="0.25">
      <c r="A12192" t="s">
        <v>8</v>
      </c>
      <c r="B12192" s="1" t="str">
        <f>"000294236 - RICH RUTH CHRIS"</f>
        <v>000294236 - RICH RUTH CHRIS</v>
      </c>
      <c r="C12192" t="s">
        <v>2474</v>
      </c>
      <c r="D12192" s="1" t="str">
        <f t="shared" si="333"/>
        <v>PRG-1037161</v>
      </c>
      <c r="E12192" t="s">
        <v>147</v>
      </c>
      <c r="F12192" t="s">
        <v>4</v>
      </c>
      <c r="G12192" t="str">
        <f>""</f>
        <v/>
      </c>
    </row>
    <row r="12193" spans="1:7" x14ac:dyDescent="0.25">
      <c r="A12193" t="s">
        <v>8</v>
      </c>
      <c r="B12193" s="1" t="str">
        <f>"000294261 - RICH FOODS-FOODBUY"</f>
        <v>000294261 - RICH FOODS-FOODBUY</v>
      </c>
      <c r="C12193" t="s">
        <v>237</v>
      </c>
      <c r="D12193" s="1" t="str">
        <f t="shared" si="333"/>
        <v>PRG-1037161</v>
      </c>
      <c r="E12193" t="s">
        <v>147</v>
      </c>
      <c r="F12193" t="s">
        <v>4</v>
      </c>
      <c r="G12193" t="str">
        <f>""</f>
        <v/>
      </c>
    </row>
    <row r="12194" spans="1:7" x14ac:dyDescent="0.25">
      <c r="A12194" t="s">
        <v>8</v>
      </c>
      <c r="B12194" s="1" t="str">
        <f>"000294839 - RICH FOODS-FOODBUY"</f>
        <v>000294839 - RICH FOODS-FOODBUY</v>
      </c>
      <c r="C12194" t="s">
        <v>237</v>
      </c>
      <c r="D12194" s="1" t="str">
        <f t="shared" si="333"/>
        <v>PRG-1037161</v>
      </c>
      <c r="E12194" t="s">
        <v>147</v>
      </c>
      <c r="F12194" t="s">
        <v>4</v>
      </c>
      <c r="G12194" t="str">
        <f>""</f>
        <v/>
      </c>
    </row>
    <row r="12195" spans="1:7" x14ac:dyDescent="0.25">
      <c r="A12195" t="s">
        <v>8</v>
      </c>
      <c r="B12195" s="1" t="str">
        <f>"000294976 - RICH FOODS-FOODBUY"</f>
        <v>000294976 - RICH FOODS-FOODBUY</v>
      </c>
      <c r="C12195" t="s">
        <v>237</v>
      </c>
      <c r="D12195" s="1" t="str">
        <f t="shared" si="333"/>
        <v>PRG-1037161</v>
      </c>
      <c r="E12195" t="s">
        <v>147</v>
      </c>
      <c r="F12195" t="s">
        <v>4</v>
      </c>
      <c r="G12195" t="str">
        <f>""</f>
        <v/>
      </c>
    </row>
    <row r="12196" spans="1:7" x14ac:dyDescent="0.25">
      <c r="A12196" t="s">
        <v>8</v>
      </c>
      <c r="B12196" s="1" t="str">
        <f>"000295169 - RICH FOODS-FOODBUY"</f>
        <v>000295169 - RICH FOODS-FOODBUY</v>
      </c>
      <c r="C12196" t="s">
        <v>237</v>
      </c>
      <c r="D12196" s="1" t="str">
        <f t="shared" si="333"/>
        <v>PRG-1037161</v>
      </c>
      <c r="E12196" t="s">
        <v>147</v>
      </c>
      <c r="F12196" t="s">
        <v>4</v>
      </c>
      <c r="G12196" t="str">
        <f>""</f>
        <v/>
      </c>
    </row>
    <row r="12197" spans="1:7" x14ac:dyDescent="0.25">
      <c r="A12197" t="s">
        <v>8</v>
      </c>
      <c r="B12197" s="1" t="str">
        <f>"000296291 - RICH FOODS-FOODBUY"</f>
        <v>000296291 - RICH FOODS-FOODBUY</v>
      </c>
      <c r="C12197" t="s">
        <v>237</v>
      </c>
      <c r="D12197" s="1" t="str">
        <f t="shared" si="333"/>
        <v>PRG-1037161</v>
      </c>
      <c r="E12197" t="s">
        <v>147</v>
      </c>
      <c r="F12197" t="s">
        <v>4</v>
      </c>
      <c r="G12197" t="str">
        <f>""</f>
        <v/>
      </c>
    </row>
    <row r="12198" spans="1:7" x14ac:dyDescent="0.25">
      <c r="A12198" t="s">
        <v>8</v>
      </c>
      <c r="B12198" s="1" t="str">
        <f>"000297250 - RICH FOODS-FOODBUY"</f>
        <v>000297250 - RICH FOODS-FOODBUY</v>
      </c>
      <c r="C12198" t="s">
        <v>237</v>
      </c>
      <c r="D12198" s="1" t="str">
        <f t="shared" si="333"/>
        <v>PRG-1037161</v>
      </c>
      <c r="E12198" t="s">
        <v>147</v>
      </c>
      <c r="F12198" t="s">
        <v>4</v>
      </c>
      <c r="G12198" t="str">
        <f>""</f>
        <v/>
      </c>
    </row>
    <row r="12199" spans="1:7" x14ac:dyDescent="0.25">
      <c r="A12199" t="s">
        <v>8</v>
      </c>
      <c r="B12199" s="1" t="str">
        <f>"000298275 - RICH FOODS-FOODBUY"</f>
        <v>000298275 - RICH FOODS-FOODBUY</v>
      </c>
      <c r="C12199" t="s">
        <v>237</v>
      </c>
      <c r="D12199" s="1" t="str">
        <f t="shared" si="333"/>
        <v>PRG-1037161</v>
      </c>
      <c r="E12199" t="s">
        <v>147</v>
      </c>
      <c r="F12199" t="s">
        <v>4</v>
      </c>
      <c r="G12199" t="str">
        <f>""</f>
        <v/>
      </c>
    </row>
    <row r="12200" spans="1:7" x14ac:dyDescent="0.25">
      <c r="A12200" t="s">
        <v>8</v>
      </c>
      <c r="B12200" s="1" t="str">
        <f>"000298522 - RICH FOODS-FOODBUY"</f>
        <v>000298522 - RICH FOODS-FOODBUY</v>
      </c>
      <c r="C12200" t="s">
        <v>237</v>
      </c>
      <c r="D12200" s="1" t="str">
        <f t="shared" si="333"/>
        <v>PRG-1037161</v>
      </c>
      <c r="E12200" t="s">
        <v>147</v>
      </c>
      <c r="F12200" t="s">
        <v>4</v>
      </c>
      <c r="G12200" t="str">
        <f>""</f>
        <v/>
      </c>
    </row>
    <row r="12201" spans="1:7" x14ac:dyDescent="0.25">
      <c r="A12201" t="s">
        <v>8</v>
      </c>
      <c r="B12201" s="1" t="str">
        <f>"000298895 - "</f>
        <v xml:space="preserve">000298895 - </v>
      </c>
      <c r="D12201" s="1" t="str">
        <f t="shared" si="333"/>
        <v>PRG-1037161</v>
      </c>
      <c r="E12201" t="s">
        <v>147</v>
      </c>
      <c r="F12201" t="s">
        <v>4</v>
      </c>
      <c r="G12201" t="str">
        <f>""</f>
        <v/>
      </c>
    </row>
    <row r="12202" spans="1:7" x14ac:dyDescent="0.25">
      <c r="A12202" t="s">
        <v>8</v>
      </c>
      <c r="B12202" s="1" t="str">
        <f>"000300111 - RICH FOODS-FOODBUY"</f>
        <v>000300111 - RICH FOODS-FOODBUY</v>
      </c>
      <c r="C12202" t="s">
        <v>237</v>
      </c>
      <c r="D12202" s="1" t="str">
        <f t="shared" si="333"/>
        <v>PRG-1037161</v>
      </c>
      <c r="E12202" t="s">
        <v>147</v>
      </c>
      <c r="F12202" t="s">
        <v>4</v>
      </c>
      <c r="G12202" t="str">
        <f>""</f>
        <v/>
      </c>
    </row>
    <row r="12203" spans="1:7" x14ac:dyDescent="0.25">
      <c r="A12203" t="s">
        <v>8</v>
      </c>
      <c r="B12203" s="1" t="str">
        <f>"000300162 - RICH FOODS-FOODBUY"</f>
        <v>000300162 - RICH FOODS-FOODBUY</v>
      </c>
      <c r="C12203" t="s">
        <v>237</v>
      </c>
      <c r="D12203" s="1" t="str">
        <f t="shared" si="333"/>
        <v>PRG-1037161</v>
      </c>
      <c r="E12203" t="s">
        <v>147</v>
      </c>
      <c r="F12203" t="s">
        <v>4</v>
      </c>
      <c r="G12203" t="str">
        <f>""</f>
        <v/>
      </c>
    </row>
    <row r="12204" spans="1:7" x14ac:dyDescent="0.25">
      <c r="A12204" t="s">
        <v>8</v>
      </c>
      <c r="B12204" s="1" t="str">
        <f>"000300578 - RICH FOODS-FOODBUY"</f>
        <v>000300578 - RICH FOODS-FOODBUY</v>
      </c>
      <c r="C12204" t="s">
        <v>237</v>
      </c>
      <c r="D12204" s="1" t="str">
        <f t="shared" si="333"/>
        <v>PRG-1037161</v>
      </c>
      <c r="E12204" t="s">
        <v>147</v>
      </c>
      <c r="F12204" t="s">
        <v>4</v>
      </c>
      <c r="G12204" t="str">
        <f>""</f>
        <v/>
      </c>
    </row>
    <row r="12205" spans="1:7" x14ac:dyDescent="0.25">
      <c r="A12205" t="s">
        <v>8</v>
      </c>
      <c r="B12205" s="1" t="str">
        <f>"000301006 - RICH FOODS-FOODBUY"</f>
        <v>000301006 - RICH FOODS-FOODBUY</v>
      </c>
      <c r="C12205" t="s">
        <v>237</v>
      </c>
      <c r="D12205" s="1" t="str">
        <f t="shared" si="333"/>
        <v>PRG-1037161</v>
      </c>
      <c r="E12205" t="s">
        <v>147</v>
      </c>
      <c r="F12205" t="s">
        <v>4</v>
      </c>
      <c r="G12205" t="str">
        <f>""</f>
        <v/>
      </c>
    </row>
    <row r="12206" spans="1:7" x14ac:dyDescent="0.25">
      <c r="A12206" t="s">
        <v>8</v>
      </c>
      <c r="B12206" s="1" t="str">
        <f>"000301680 - RICH FOODS-FOODBUY"</f>
        <v>000301680 - RICH FOODS-FOODBUY</v>
      </c>
      <c r="C12206" t="s">
        <v>237</v>
      </c>
      <c r="D12206" s="1" t="str">
        <f t="shared" si="333"/>
        <v>PRG-1037161</v>
      </c>
      <c r="E12206" t="s">
        <v>147</v>
      </c>
      <c r="F12206" t="s">
        <v>4</v>
      </c>
      <c r="G12206" t="str">
        <f>""</f>
        <v/>
      </c>
    </row>
    <row r="12207" spans="1:7" x14ac:dyDescent="0.25">
      <c r="A12207" t="s">
        <v>8</v>
      </c>
      <c r="B12207" s="1" t="str">
        <f>"000304084 - RICH FOODS-FOODBUY"</f>
        <v>000304084 - RICH FOODS-FOODBUY</v>
      </c>
      <c r="C12207" t="s">
        <v>237</v>
      </c>
      <c r="D12207" s="1" t="str">
        <f t="shared" si="333"/>
        <v>PRG-1037161</v>
      </c>
      <c r="E12207" t="s">
        <v>147</v>
      </c>
      <c r="F12207" t="s">
        <v>4</v>
      </c>
      <c r="G12207" t="str">
        <f>""</f>
        <v/>
      </c>
    </row>
    <row r="12208" spans="1:7" x14ac:dyDescent="0.25">
      <c r="A12208" t="s">
        <v>8</v>
      </c>
      <c r="B12208" s="1" t="str">
        <f>"000304914 - RICH FOODS-FOODBUY"</f>
        <v>000304914 - RICH FOODS-FOODBUY</v>
      </c>
      <c r="C12208" t="s">
        <v>237</v>
      </c>
      <c r="D12208" s="1" t="str">
        <f t="shared" si="333"/>
        <v>PRG-1037161</v>
      </c>
      <c r="E12208" t="s">
        <v>147</v>
      </c>
      <c r="F12208" t="s">
        <v>4</v>
      </c>
      <c r="G12208" t="str">
        <f>""</f>
        <v/>
      </c>
    </row>
    <row r="12209" spans="1:7" x14ac:dyDescent="0.25">
      <c r="A12209" t="s">
        <v>8</v>
      </c>
      <c r="B12209" s="1" t="str">
        <f>"000306857 - RICH FOODS-FOODBUY"</f>
        <v>000306857 - RICH FOODS-FOODBUY</v>
      </c>
      <c r="C12209" t="s">
        <v>237</v>
      </c>
      <c r="D12209" s="1" t="str">
        <f t="shared" si="333"/>
        <v>PRG-1037161</v>
      </c>
      <c r="E12209" t="s">
        <v>147</v>
      </c>
      <c r="F12209" t="s">
        <v>4</v>
      </c>
      <c r="G12209" t="str">
        <f>""</f>
        <v/>
      </c>
    </row>
    <row r="12210" spans="1:7" x14ac:dyDescent="0.25">
      <c r="A12210" t="s">
        <v>8</v>
      </c>
      <c r="B12210" s="1" t="str">
        <f>"000308356 - RICH FOODS BB-FOODBUY"</f>
        <v>000308356 - RICH FOODS BB-FOODBUY</v>
      </c>
      <c r="C12210" t="s">
        <v>209</v>
      </c>
      <c r="D12210" s="1" t="str">
        <f t="shared" si="333"/>
        <v>PRG-1037161</v>
      </c>
      <c r="E12210" t="s">
        <v>147</v>
      </c>
      <c r="F12210" t="s">
        <v>4</v>
      </c>
      <c r="G12210" t="str">
        <f>""</f>
        <v/>
      </c>
    </row>
    <row r="12211" spans="1:7" x14ac:dyDescent="0.25">
      <c r="A12211" t="s">
        <v>8</v>
      </c>
      <c r="B12211" s="1" t="str">
        <f>"000309896 - RICH FOODS - FOODBUY"</f>
        <v>000309896 - RICH FOODS - FOODBUY</v>
      </c>
      <c r="C12211" t="s">
        <v>146</v>
      </c>
      <c r="D12211" s="1" t="str">
        <f t="shared" si="333"/>
        <v>PRG-1037161</v>
      </c>
      <c r="E12211" t="s">
        <v>147</v>
      </c>
      <c r="F12211" t="s">
        <v>4</v>
      </c>
      <c r="G12211" t="str">
        <f>""</f>
        <v/>
      </c>
    </row>
    <row r="12212" spans="1:7" x14ac:dyDescent="0.25">
      <c r="A12212" t="s">
        <v>8</v>
      </c>
      <c r="B12212" s="1" t="str">
        <f>"000311786 - RICH FOODS BB-FOODBUY"</f>
        <v>000311786 - RICH FOODS BB-FOODBUY</v>
      </c>
      <c r="C12212" t="s">
        <v>209</v>
      </c>
      <c r="D12212" s="1" t="str">
        <f t="shared" si="333"/>
        <v>PRG-1037161</v>
      </c>
      <c r="E12212" t="s">
        <v>147</v>
      </c>
      <c r="F12212" t="s">
        <v>4</v>
      </c>
      <c r="G12212" t="str">
        <f>""</f>
        <v/>
      </c>
    </row>
    <row r="12213" spans="1:7" x14ac:dyDescent="0.25">
      <c r="A12213" t="s">
        <v>8</v>
      </c>
      <c r="B12213" s="1" t="str">
        <f>"000313576 - RICH FOODS - FOODBUY"</f>
        <v>000313576 - RICH FOODS - FOODBUY</v>
      </c>
      <c r="C12213" t="s">
        <v>146</v>
      </c>
      <c r="D12213" s="1" t="str">
        <f t="shared" si="333"/>
        <v>PRG-1037161</v>
      </c>
      <c r="E12213" t="s">
        <v>147</v>
      </c>
      <c r="F12213" t="s">
        <v>4</v>
      </c>
      <c r="G12213" t="str">
        <f>""</f>
        <v/>
      </c>
    </row>
    <row r="12214" spans="1:7" x14ac:dyDescent="0.25">
      <c r="A12214" t="s">
        <v>8</v>
      </c>
      <c r="B12214" s="1" t="str">
        <f>"000313958 - RICH FOODS - FOODBUY"</f>
        <v>000313958 - RICH FOODS - FOODBUY</v>
      </c>
      <c r="C12214" t="s">
        <v>146</v>
      </c>
      <c r="D12214" s="1" t="str">
        <f t="shared" si="333"/>
        <v>PRG-1037161</v>
      </c>
      <c r="E12214" t="s">
        <v>147</v>
      </c>
      <c r="F12214" t="s">
        <v>4</v>
      </c>
      <c r="G12214" t="str">
        <f>""</f>
        <v/>
      </c>
    </row>
    <row r="12215" spans="1:7" x14ac:dyDescent="0.25">
      <c r="A12215" t="s">
        <v>8</v>
      </c>
      <c r="B12215" s="1" t="str">
        <f>"000317725 - RICH FOODS-FOODBUY"</f>
        <v>000317725 - RICH FOODS-FOODBUY</v>
      </c>
      <c r="C12215" t="s">
        <v>237</v>
      </c>
      <c r="D12215" s="1" t="str">
        <f t="shared" si="333"/>
        <v>PRG-1037161</v>
      </c>
      <c r="E12215" t="s">
        <v>147</v>
      </c>
      <c r="F12215" t="s">
        <v>4</v>
      </c>
      <c r="G12215" t="str">
        <f>""</f>
        <v/>
      </c>
    </row>
    <row r="12216" spans="1:7" x14ac:dyDescent="0.25">
      <c r="A12216" t="s">
        <v>8</v>
      </c>
      <c r="B12216" s="1" t="str">
        <f>"000318291 - RICH FOODS BB-FOODBUY"</f>
        <v>000318291 - RICH FOODS BB-FOODBUY</v>
      </c>
      <c r="C12216" t="s">
        <v>209</v>
      </c>
      <c r="D12216" s="1" t="str">
        <f t="shared" si="333"/>
        <v>PRG-1037161</v>
      </c>
      <c r="E12216" t="s">
        <v>147</v>
      </c>
      <c r="F12216" t="s">
        <v>4</v>
      </c>
      <c r="G12216" t="str">
        <f>""</f>
        <v/>
      </c>
    </row>
    <row r="12217" spans="1:7" x14ac:dyDescent="0.25">
      <c r="A12217" t="s">
        <v>8</v>
      </c>
      <c r="B12217" s="1" t="str">
        <f>"000318623 - RICH FOODS - FOODBUY"</f>
        <v>000318623 - RICH FOODS - FOODBUY</v>
      </c>
      <c r="C12217" t="s">
        <v>146</v>
      </c>
      <c r="D12217" s="1" t="str">
        <f t="shared" si="333"/>
        <v>PRG-1037161</v>
      </c>
      <c r="E12217" t="s">
        <v>147</v>
      </c>
      <c r="F12217" t="s">
        <v>4</v>
      </c>
      <c r="G12217" t="str">
        <f>""</f>
        <v/>
      </c>
    </row>
    <row r="12218" spans="1:7" x14ac:dyDescent="0.25">
      <c r="A12218" t="s">
        <v>8</v>
      </c>
      <c r="B12218" s="1" t="str">
        <f>"000319633 - RICH FOODS BB-FOODBUY"</f>
        <v>000319633 - RICH FOODS BB-FOODBUY</v>
      </c>
      <c r="C12218" t="s">
        <v>209</v>
      </c>
      <c r="D12218" s="1" t="str">
        <f t="shared" si="333"/>
        <v>PRG-1037161</v>
      </c>
      <c r="E12218" t="s">
        <v>147</v>
      </c>
      <c r="F12218" t="s">
        <v>4</v>
      </c>
      <c r="G12218" t="str">
        <f>""</f>
        <v/>
      </c>
    </row>
    <row r="12219" spans="1:7" x14ac:dyDescent="0.25">
      <c r="A12219" t="s">
        <v>8</v>
      </c>
      <c r="B12219" s="1" t="str">
        <f>"000319721 - RICH FOODS - FOODBUY"</f>
        <v>000319721 - RICH FOODS - FOODBUY</v>
      </c>
      <c r="C12219" t="s">
        <v>146</v>
      </c>
      <c r="D12219" s="1" t="str">
        <f t="shared" si="333"/>
        <v>PRG-1037161</v>
      </c>
      <c r="E12219" t="s">
        <v>147</v>
      </c>
      <c r="F12219" t="s">
        <v>4</v>
      </c>
      <c r="G12219" t="str">
        <f>""</f>
        <v/>
      </c>
    </row>
    <row r="12220" spans="1:7" x14ac:dyDescent="0.25">
      <c r="A12220" t="s">
        <v>8</v>
      </c>
      <c r="B12220" s="1" t="str">
        <f>"000320368 - RICH FOODS-FOODBUY"</f>
        <v>000320368 - RICH FOODS-FOODBUY</v>
      </c>
      <c r="C12220" t="s">
        <v>237</v>
      </c>
      <c r="D12220" s="1" t="str">
        <f t="shared" si="333"/>
        <v>PRG-1037161</v>
      </c>
      <c r="E12220" t="s">
        <v>147</v>
      </c>
      <c r="F12220" t="s">
        <v>4</v>
      </c>
      <c r="G12220" t="str">
        <f>""</f>
        <v/>
      </c>
    </row>
    <row r="12221" spans="1:7" x14ac:dyDescent="0.25">
      <c r="A12221" t="s">
        <v>8</v>
      </c>
      <c r="B12221" s="1" t="str">
        <f>"000321015 - RICH FOODS - FOODBUY"</f>
        <v>000321015 - RICH FOODS - FOODBUY</v>
      </c>
      <c r="C12221" t="s">
        <v>146</v>
      </c>
      <c r="D12221" s="1" t="str">
        <f t="shared" si="333"/>
        <v>PRG-1037161</v>
      </c>
      <c r="E12221" t="s">
        <v>147</v>
      </c>
      <c r="F12221" t="s">
        <v>4</v>
      </c>
      <c r="G12221" t="str">
        <f>""</f>
        <v/>
      </c>
    </row>
    <row r="12222" spans="1:7" x14ac:dyDescent="0.25">
      <c r="A12222" t="s">
        <v>8</v>
      </c>
      <c r="B12222" s="1" t="str">
        <f>"000322537 - RICH FOODS - FOODBUY"</f>
        <v>000322537 - RICH FOODS - FOODBUY</v>
      </c>
      <c r="C12222" t="s">
        <v>146</v>
      </c>
      <c r="D12222" s="1" t="str">
        <f t="shared" si="333"/>
        <v>PRG-1037161</v>
      </c>
      <c r="E12222" t="s">
        <v>147</v>
      </c>
      <c r="F12222" t="s">
        <v>4</v>
      </c>
      <c r="G12222" t="str">
        <f>""</f>
        <v/>
      </c>
    </row>
    <row r="12223" spans="1:7" x14ac:dyDescent="0.25">
      <c r="A12223" t="s">
        <v>8</v>
      </c>
      <c r="B12223" s="1" t="str">
        <f>"000324396 - RICH FOODS - FOODBUY"</f>
        <v>000324396 - RICH FOODS - FOODBUY</v>
      </c>
      <c r="C12223" t="s">
        <v>146</v>
      </c>
      <c r="D12223" s="1" t="str">
        <f t="shared" si="333"/>
        <v>PRG-1037161</v>
      </c>
      <c r="E12223" t="s">
        <v>147</v>
      </c>
      <c r="F12223" t="s">
        <v>4</v>
      </c>
      <c r="G12223" t="str">
        <f>""</f>
        <v/>
      </c>
    </row>
    <row r="12224" spans="1:7" x14ac:dyDescent="0.25">
      <c r="A12224" t="s">
        <v>8</v>
      </c>
      <c r="B12224" s="1" t="str">
        <f>"000324466 - RICH FOODS-FOODBUY"</f>
        <v>000324466 - RICH FOODS-FOODBUY</v>
      </c>
      <c r="C12224" t="s">
        <v>237</v>
      </c>
      <c r="D12224" s="1" t="str">
        <f t="shared" si="333"/>
        <v>PRG-1037161</v>
      </c>
      <c r="E12224" t="s">
        <v>147</v>
      </c>
      <c r="F12224" t="s">
        <v>4</v>
      </c>
      <c r="G12224" t="str">
        <f>""</f>
        <v/>
      </c>
    </row>
    <row r="12225" spans="1:7" x14ac:dyDescent="0.25">
      <c r="A12225" t="s">
        <v>8</v>
      </c>
      <c r="B12225" s="1" t="str">
        <f>"000324776 - RICH FOODS-FOODBUY"</f>
        <v>000324776 - RICH FOODS-FOODBUY</v>
      </c>
      <c r="C12225" t="s">
        <v>237</v>
      </c>
      <c r="D12225" s="1" t="str">
        <f t="shared" si="333"/>
        <v>PRG-1037161</v>
      </c>
      <c r="E12225" t="s">
        <v>147</v>
      </c>
      <c r="F12225" t="s">
        <v>4</v>
      </c>
      <c r="G12225" t="str">
        <f>""</f>
        <v/>
      </c>
    </row>
    <row r="12226" spans="1:7" x14ac:dyDescent="0.25">
      <c r="A12226" t="s">
        <v>8</v>
      </c>
      <c r="B12226" s="1" t="str">
        <f>"000325845 - RICH FOODS-FOODBUY"</f>
        <v>000325845 - RICH FOODS-FOODBUY</v>
      </c>
      <c r="C12226" t="s">
        <v>237</v>
      </c>
      <c r="D12226" s="1" t="str">
        <f t="shared" si="333"/>
        <v>PRG-1037161</v>
      </c>
      <c r="E12226" t="s">
        <v>147</v>
      </c>
      <c r="F12226" t="s">
        <v>4</v>
      </c>
      <c r="G12226" t="str">
        <f>""</f>
        <v/>
      </c>
    </row>
    <row r="12227" spans="1:7" x14ac:dyDescent="0.25">
      <c r="A12227" t="s">
        <v>8</v>
      </c>
      <c r="B12227" s="1" t="str">
        <f>"000326008 - RICH FOODS-FOODBUY"</f>
        <v>000326008 - RICH FOODS-FOODBUY</v>
      </c>
      <c r="C12227" t="s">
        <v>237</v>
      </c>
      <c r="D12227" s="1" t="str">
        <f t="shared" ref="D12227:D12290" si="334">"PRG-1037161"</f>
        <v>PRG-1037161</v>
      </c>
      <c r="E12227" t="s">
        <v>147</v>
      </c>
      <c r="F12227" t="s">
        <v>4</v>
      </c>
      <c r="G12227" t="str">
        <f>""</f>
        <v/>
      </c>
    </row>
    <row r="12228" spans="1:7" x14ac:dyDescent="0.25">
      <c r="A12228" t="s">
        <v>8</v>
      </c>
      <c r="B12228" s="1" t="str">
        <f>"000327208 - RICH FOODS-FOODBUY"</f>
        <v>000327208 - RICH FOODS-FOODBUY</v>
      </c>
      <c r="C12228" t="s">
        <v>237</v>
      </c>
      <c r="D12228" s="1" t="str">
        <f t="shared" si="334"/>
        <v>PRG-1037161</v>
      </c>
      <c r="E12228" t="s">
        <v>147</v>
      </c>
      <c r="F12228" t="s">
        <v>4</v>
      </c>
      <c r="G12228" t="str">
        <f>""</f>
        <v/>
      </c>
    </row>
    <row r="12229" spans="1:7" x14ac:dyDescent="0.25">
      <c r="A12229" t="s">
        <v>8</v>
      </c>
      <c r="B12229" s="1" t="str">
        <f>"000327852 - "</f>
        <v xml:space="preserve">000327852 - </v>
      </c>
      <c r="D12229" s="1" t="str">
        <f t="shared" si="334"/>
        <v>PRG-1037161</v>
      </c>
      <c r="E12229" t="s">
        <v>147</v>
      </c>
      <c r="F12229" t="s">
        <v>4</v>
      </c>
      <c r="G12229" t="str">
        <f>""</f>
        <v/>
      </c>
    </row>
    <row r="12230" spans="1:7" x14ac:dyDescent="0.25">
      <c r="A12230" t="s">
        <v>8</v>
      </c>
      <c r="B12230" s="1" t="str">
        <f>"000328270 - RICH FOODS-FOODBUY"</f>
        <v>000328270 - RICH FOODS-FOODBUY</v>
      </c>
      <c r="C12230" t="s">
        <v>237</v>
      </c>
      <c r="D12230" s="1" t="str">
        <f t="shared" si="334"/>
        <v>PRG-1037161</v>
      </c>
      <c r="E12230" t="s">
        <v>147</v>
      </c>
      <c r="F12230" t="s">
        <v>4</v>
      </c>
      <c r="G12230" t="str">
        <f>""</f>
        <v/>
      </c>
    </row>
    <row r="12231" spans="1:7" x14ac:dyDescent="0.25">
      <c r="A12231" t="s">
        <v>8</v>
      </c>
      <c r="B12231" s="1" t="str">
        <f>"000328923 - RICH FOODS-FOODBUY"</f>
        <v>000328923 - RICH FOODS-FOODBUY</v>
      </c>
      <c r="C12231" t="s">
        <v>237</v>
      </c>
      <c r="D12231" s="1" t="str">
        <f t="shared" si="334"/>
        <v>PRG-1037161</v>
      </c>
      <c r="E12231" t="s">
        <v>147</v>
      </c>
      <c r="F12231" t="s">
        <v>4</v>
      </c>
      <c r="G12231" t="str">
        <f>""</f>
        <v/>
      </c>
    </row>
    <row r="12232" spans="1:7" x14ac:dyDescent="0.25">
      <c r="A12232" t="s">
        <v>8</v>
      </c>
      <c r="B12232" s="1" t="str">
        <f>"000329479 - RICH FOODS-FOODBUY"</f>
        <v>000329479 - RICH FOODS-FOODBUY</v>
      </c>
      <c r="C12232" t="s">
        <v>237</v>
      </c>
      <c r="D12232" s="1" t="str">
        <f t="shared" si="334"/>
        <v>PRG-1037161</v>
      </c>
      <c r="E12232" t="s">
        <v>147</v>
      </c>
      <c r="F12232" t="s">
        <v>4</v>
      </c>
      <c r="G12232" t="str">
        <f>""</f>
        <v/>
      </c>
    </row>
    <row r="12233" spans="1:7" x14ac:dyDescent="0.25">
      <c r="A12233" t="s">
        <v>8</v>
      </c>
      <c r="B12233" s="1" t="str">
        <f>"000329611 - "</f>
        <v xml:space="preserve">000329611 - </v>
      </c>
      <c r="D12233" s="1" t="str">
        <f t="shared" si="334"/>
        <v>PRG-1037161</v>
      </c>
      <c r="E12233" t="s">
        <v>147</v>
      </c>
      <c r="F12233" t="s">
        <v>4</v>
      </c>
      <c r="G12233" t="str">
        <f>""</f>
        <v/>
      </c>
    </row>
    <row r="12234" spans="1:7" x14ac:dyDescent="0.25">
      <c r="A12234" t="s">
        <v>8</v>
      </c>
      <c r="B12234" s="1" t="str">
        <f>"000330183 - RICH FOODS - FOODBUY"</f>
        <v>000330183 - RICH FOODS - FOODBUY</v>
      </c>
      <c r="C12234" t="s">
        <v>146</v>
      </c>
      <c r="D12234" s="1" t="str">
        <f t="shared" si="334"/>
        <v>PRG-1037161</v>
      </c>
      <c r="E12234" t="s">
        <v>147</v>
      </c>
      <c r="F12234" t="s">
        <v>4</v>
      </c>
      <c r="G12234" t="str">
        <f>""</f>
        <v/>
      </c>
    </row>
    <row r="12235" spans="1:7" x14ac:dyDescent="0.25">
      <c r="A12235" t="s">
        <v>8</v>
      </c>
      <c r="B12235" s="1" t="str">
        <f>"000332775 - RICH FOODS BB-FDBY GAL. REST.G"</f>
        <v>000332775 - RICH FOODS BB-FDBY GAL. REST.G</v>
      </c>
      <c r="C12235" t="s">
        <v>3362</v>
      </c>
      <c r="D12235" s="1" t="str">
        <f t="shared" si="334"/>
        <v>PRG-1037161</v>
      </c>
      <c r="E12235" t="s">
        <v>147</v>
      </c>
      <c r="F12235" t="s">
        <v>4</v>
      </c>
      <c r="G12235" t="str">
        <f>""</f>
        <v/>
      </c>
    </row>
    <row r="12236" spans="1:7" x14ac:dyDescent="0.25">
      <c r="A12236" t="s">
        <v>8</v>
      </c>
      <c r="B12236" s="1" t="str">
        <f>"000333807 - "</f>
        <v xml:space="preserve">000333807 - </v>
      </c>
      <c r="D12236" s="1" t="str">
        <f t="shared" si="334"/>
        <v>PRG-1037161</v>
      </c>
      <c r="E12236" t="s">
        <v>147</v>
      </c>
      <c r="F12236" t="s">
        <v>4</v>
      </c>
      <c r="G12236" t="str">
        <f>""</f>
        <v/>
      </c>
    </row>
    <row r="12237" spans="1:7" x14ac:dyDescent="0.25">
      <c r="A12237" t="s">
        <v>8</v>
      </c>
      <c r="B12237" s="1" t="str">
        <f>"000334212 - RICH FOODS-FOODBUY"</f>
        <v>000334212 - RICH FOODS-FOODBUY</v>
      </c>
      <c r="C12237" t="s">
        <v>237</v>
      </c>
      <c r="D12237" s="1" t="str">
        <f t="shared" si="334"/>
        <v>PRG-1037161</v>
      </c>
      <c r="E12237" t="s">
        <v>147</v>
      </c>
      <c r="F12237" t="s">
        <v>4</v>
      </c>
      <c r="G12237" t="str">
        <f>""</f>
        <v/>
      </c>
    </row>
    <row r="12238" spans="1:7" x14ac:dyDescent="0.25">
      <c r="A12238" t="s">
        <v>8</v>
      </c>
      <c r="B12238" s="1" t="str">
        <f>"000334289 - RICH FOODS-FOODBUY"</f>
        <v>000334289 - RICH FOODS-FOODBUY</v>
      </c>
      <c r="C12238" t="s">
        <v>237</v>
      </c>
      <c r="D12238" s="1" t="str">
        <f t="shared" si="334"/>
        <v>PRG-1037161</v>
      </c>
      <c r="E12238" t="s">
        <v>147</v>
      </c>
      <c r="F12238" t="s">
        <v>4</v>
      </c>
      <c r="G12238" t="str">
        <f>""</f>
        <v/>
      </c>
    </row>
    <row r="12239" spans="1:7" x14ac:dyDescent="0.25">
      <c r="A12239" t="s">
        <v>8</v>
      </c>
      <c r="B12239" s="1" t="str">
        <f>"000334339 - RICH FOODS-FOODBUY"</f>
        <v>000334339 - RICH FOODS-FOODBUY</v>
      </c>
      <c r="C12239" t="s">
        <v>237</v>
      </c>
      <c r="D12239" s="1" t="str">
        <f t="shared" si="334"/>
        <v>PRG-1037161</v>
      </c>
      <c r="E12239" t="s">
        <v>147</v>
      </c>
      <c r="F12239" t="s">
        <v>4</v>
      </c>
      <c r="G12239" t="str">
        <f>""</f>
        <v/>
      </c>
    </row>
    <row r="12240" spans="1:7" x14ac:dyDescent="0.25">
      <c r="A12240" t="s">
        <v>8</v>
      </c>
      <c r="B12240" s="1" t="str">
        <f>"000334683 - RICH FOODS BB-FOODBUY"</f>
        <v>000334683 - RICH FOODS BB-FOODBUY</v>
      </c>
      <c r="C12240" t="s">
        <v>209</v>
      </c>
      <c r="D12240" s="1" t="str">
        <f t="shared" si="334"/>
        <v>PRG-1037161</v>
      </c>
      <c r="E12240" t="s">
        <v>147</v>
      </c>
      <c r="F12240" t="s">
        <v>4</v>
      </c>
      <c r="G12240" t="str">
        <f>""</f>
        <v/>
      </c>
    </row>
    <row r="12241" spans="1:7" x14ac:dyDescent="0.25">
      <c r="A12241" t="s">
        <v>8</v>
      </c>
      <c r="B12241" s="1" t="str">
        <f>"000335521 - RICH FOODS-FOODBUY"</f>
        <v>000335521 - RICH FOODS-FOODBUY</v>
      </c>
      <c r="C12241" t="s">
        <v>237</v>
      </c>
      <c r="D12241" s="1" t="str">
        <f t="shared" si="334"/>
        <v>PRG-1037161</v>
      </c>
      <c r="E12241" t="s">
        <v>147</v>
      </c>
      <c r="F12241" t="s">
        <v>4</v>
      </c>
      <c r="G12241" t="str">
        <f>""</f>
        <v/>
      </c>
    </row>
    <row r="12242" spans="1:7" x14ac:dyDescent="0.25">
      <c r="A12242" t="s">
        <v>8</v>
      </c>
      <c r="B12242" s="1" t="str">
        <f>"000336463 - RICH FOODS BAPA-SSS ARAMARK"</f>
        <v>000336463 - RICH FOODS BAPA-SSS ARAMARK</v>
      </c>
      <c r="C12242" t="s">
        <v>373</v>
      </c>
      <c r="D12242" s="1" t="str">
        <f t="shared" si="334"/>
        <v>PRG-1037161</v>
      </c>
      <c r="E12242" t="s">
        <v>147</v>
      </c>
      <c r="F12242" t="s">
        <v>4</v>
      </c>
      <c r="G12242" t="str">
        <f>""</f>
        <v/>
      </c>
    </row>
    <row r="12243" spans="1:7" x14ac:dyDescent="0.25">
      <c r="A12243" t="s">
        <v>8</v>
      </c>
      <c r="B12243" s="1" t="str">
        <f>"000336846 - RICH FOODS - FOODBUY"</f>
        <v>000336846 - RICH FOODS - FOODBUY</v>
      </c>
      <c r="C12243" t="s">
        <v>146</v>
      </c>
      <c r="D12243" s="1" t="str">
        <f t="shared" si="334"/>
        <v>PRG-1037161</v>
      </c>
      <c r="E12243" t="s">
        <v>147</v>
      </c>
      <c r="F12243" t="s">
        <v>4</v>
      </c>
      <c r="G12243" t="str">
        <f>""</f>
        <v/>
      </c>
    </row>
    <row r="12244" spans="1:7" x14ac:dyDescent="0.25">
      <c r="A12244" t="s">
        <v>8</v>
      </c>
      <c r="B12244" s="1" t="str">
        <f>"000337310 - RICH FDS-FDBUY CLTRWD MSTR"</f>
        <v>000337310 - RICH FDS-FDBUY CLTRWD MSTR</v>
      </c>
      <c r="C12244" t="s">
        <v>3415</v>
      </c>
      <c r="D12244" s="1" t="str">
        <f t="shared" si="334"/>
        <v>PRG-1037161</v>
      </c>
      <c r="E12244" t="s">
        <v>147</v>
      </c>
      <c r="F12244" t="s">
        <v>4</v>
      </c>
      <c r="G12244" t="str">
        <f>""</f>
        <v/>
      </c>
    </row>
    <row r="12245" spans="1:7" x14ac:dyDescent="0.25">
      <c r="A12245" t="s">
        <v>8</v>
      </c>
      <c r="B12245" s="1" t="str">
        <f>"000337505 - RICH FOODS-FOODBUY"</f>
        <v>000337505 - RICH FOODS-FOODBUY</v>
      </c>
      <c r="C12245" t="s">
        <v>237</v>
      </c>
      <c r="D12245" s="1" t="str">
        <f t="shared" si="334"/>
        <v>PRG-1037161</v>
      </c>
      <c r="E12245" t="s">
        <v>147</v>
      </c>
      <c r="F12245" t="s">
        <v>4</v>
      </c>
      <c r="G12245" t="str">
        <f>""</f>
        <v/>
      </c>
    </row>
    <row r="12246" spans="1:7" x14ac:dyDescent="0.25">
      <c r="A12246" t="s">
        <v>8</v>
      </c>
      <c r="B12246" s="1" t="str">
        <f>"000337663 - RICH FOODS-FOODBUY"</f>
        <v>000337663 - RICH FOODS-FOODBUY</v>
      </c>
      <c r="C12246" t="s">
        <v>237</v>
      </c>
      <c r="D12246" s="1" t="str">
        <f t="shared" si="334"/>
        <v>PRG-1037161</v>
      </c>
      <c r="E12246" t="s">
        <v>147</v>
      </c>
      <c r="F12246" t="s">
        <v>4</v>
      </c>
      <c r="G12246" t="str">
        <f>""</f>
        <v/>
      </c>
    </row>
    <row r="12247" spans="1:7" x14ac:dyDescent="0.25">
      <c r="A12247" t="s">
        <v>8</v>
      </c>
      <c r="B12247" s="1" t="str">
        <f>"000337782 - RICH FOODS-FOODBUY"</f>
        <v>000337782 - RICH FOODS-FOODBUY</v>
      </c>
      <c r="C12247" t="s">
        <v>237</v>
      </c>
      <c r="D12247" s="1" t="str">
        <f t="shared" si="334"/>
        <v>PRG-1037161</v>
      </c>
      <c r="E12247" t="s">
        <v>147</v>
      </c>
      <c r="F12247" t="s">
        <v>4</v>
      </c>
      <c r="G12247" t="str">
        <f>""</f>
        <v/>
      </c>
    </row>
    <row r="12248" spans="1:7" x14ac:dyDescent="0.25">
      <c r="A12248" t="s">
        <v>8</v>
      </c>
      <c r="B12248" s="1" t="str">
        <f>"000340028 - RICH FOODS BB-FOODBUY"</f>
        <v>000340028 - RICH FOODS BB-FOODBUY</v>
      </c>
      <c r="C12248" t="s">
        <v>209</v>
      </c>
      <c r="D12248" s="1" t="str">
        <f t="shared" si="334"/>
        <v>PRG-1037161</v>
      </c>
      <c r="E12248" t="s">
        <v>147</v>
      </c>
      <c r="F12248" t="s">
        <v>4</v>
      </c>
      <c r="G12248" t="str">
        <f>""</f>
        <v/>
      </c>
    </row>
    <row r="12249" spans="1:7" x14ac:dyDescent="0.25">
      <c r="A12249" t="s">
        <v>8</v>
      </c>
      <c r="B12249" s="1" t="str">
        <f>"000341977 - RICH FOODS - FOODBUY"</f>
        <v>000341977 - RICH FOODS - FOODBUY</v>
      </c>
      <c r="C12249" t="s">
        <v>146</v>
      </c>
      <c r="D12249" s="1" t="str">
        <f t="shared" si="334"/>
        <v>PRG-1037161</v>
      </c>
      <c r="E12249" t="s">
        <v>147</v>
      </c>
      <c r="F12249" t="s">
        <v>4</v>
      </c>
      <c r="G12249" t="str">
        <f>""</f>
        <v/>
      </c>
    </row>
    <row r="12250" spans="1:7" x14ac:dyDescent="0.25">
      <c r="A12250" t="s">
        <v>8</v>
      </c>
      <c r="B12250" s="1" t="str">
        <f>"000342076 - RICH FOODS - FOODBUY"</f>
        <v>000342076 - RICH FOODS - FOODBUY</v>
      </c>
      <c r="C12250" t="s">
        <v>146</v>
      </c>
      <c r="D12250" s="1" t="str">
        <f t="shared" si="334"/>
        <v>PRG-1037161</v>
      </c>
      <c r="E12250" t="s">
        <v>147</v>
      </c>
      <c r="F12250" t="s">
        <v>4</v>
      </c>
      <c r="G12250" t="str">
        <f>""</f>
        <v/>
      </c>
    </row>
    <row r="12251" spans="1:7" x14ac:dyDescent="0.25">
      <c r="A12251" t="s">
        <v>8</v>
      </c>
      <c r="B12251" s="1" t="str">
        <f>"000343681 - RICH FOODS - FOODBUY"</f>
        <v>000343681 - RICH FOODS - FOODBUY</v>
      </c>
      <c r="C12251" t="s">
        <v>146</v>
      </c>
      <c r="D12251" s="1" t="str">
        <f t="shared" si="334"/>
        <v>PRG-1037161</v>
      </c>
      <c r="E12251" t="s">
        <v>147</v>
      </c>
      <c r="F12251" t="s">
        <v>4</v>
      </c>
      <c r="G12251" t="str">
        <f>""</f>
        <v/>
      </c>
    </row>
    <row r="12252" spans="1:7" x14ac:dyDescent="0.25">
      <c r="A12252" t="s">
        <v>8</v>
      </c>
      <c r="B12252" s="1" t="str">
        <f>"000346178 - RICH FOODS BB-FOODBUY"</f>
        <v>000346178 - RICH FOODS BB-FOODBUY</v>
      </c>
      <c r="C12252" t="s">
        <v>209</v>
      </c>
      <c r="D12252" s="1" t="str">
        <f t="shared" si="334"/>
        <v>PRG-1037161</v>
      </c>
      <c r="E12252" t="s">
        <v>147</v>
      </c>
      <c r="F12252" t="s">
        <v>4</v>
      </c>
      <c r="G12252" t="str">
        <f>""</f>
        <v/>
      </c>
    </row>
    <row r="12253" spans="1:7" x14ac:dyDescent="0.25">
      <c r="A12253" t="s">
        <v>8</v>
      </c>
      <c r="B12253" s="1" t="str">
        <f>"000346363 - RICH FOODS-FOODBUY"</f>
        <v>000346363 - RICH FOODS-FOODBUY</v>
      </c>
      <c r="C12253" t="s">
        <v>237</v>
      </c>
      <c r="D12253" s="1" t="str">
        <f t="shared" si="334"/>
        <v>PRG-1037161</v>
      </c>
      <c r="E12253" t="s">
        <v>147</v>
      </c>
      <c r="F12253" t="s">
        <v>4</v>
      </c>
      <c r="G12253" t="str">
        <f>""</f>
        <v/>
      </c>
    </row>
    <row r="12254" spans="1:7" x14ac:dyDescent="0.25">
      <c r="A12254" t="s">
        <v>8</v>
      </c>
      <c r="B12254" s="1" t="str">
        <f>"000346722 - RICH FOODS - FOODBUY"</f>
        <v>000346722 - RICH FOODS - FOODBUY</v>
      </c>
      <c r="C12254" t="s">
        <v>146</v>
      </c>
      <c r="D12254" s="1" t="str">
        <f t="shared" si="334"/>
        <v>PRG-1037161</v>
      </c>
      <c r="E12254" t="s">
        <v>147</v>
      </c>
      <c r="F12254" t="s">
        <v>4</v>
      </c>
      <c r="G12254" t="str">
        <f>""</f>
        <v/>
      </c>
    </row>
    <row r="12255" spans="1:7" x14ac:dyDescent="0.25">
      <c r="A12255" t="s">
        <v>8</v>
      </c>
      <c r="B12255" s="1" t="str">
        <f>"000346789 - RICH FOODS-FOODBUY"</f>
        <v>000346789 - RICH FOODS-FOODBUY</v>
      </c>
      <c r="C12255" t="s">
        <v>237</v>
      </c>
      <c r="D12255" s="1" t="str">
        <f t="shared" si="334"/>
        <v>PRG-1037161</v>
      </c>
      <c r="E12255" t="s">
        <v>147</v>
      </c>
      <c r="F12255" t="s">
        <v>4</v>
      </c>
      <c r="G12255" t="str">
        <f>""</f>
        <v/>
      </c>
    </row>
    <row r="12256" spans="1:7" x14ac:dyDescent="0.25">
      <c r="A12256" t="s">
        <v>8</v>
      </c>
      <c r="B12256" s="1" t="str">
        <f>"000347419 - RICH FOODS-FOODBUY"</f>
        <v>000347419 - RICH FOODS-FOODBUY</v>
      </c>
      <c r="C12256" t="s">
        <v>237</v>
      </c>
      <c r="D12256" s="1" t="str">
        <f t="shared" si="334"/>
        <v>PRG-1037161</v>
      </c>
      <c r="E12256" t="s">
        <v>147</v>
      </c>
      <c r="F12256" t="s">
        <v>4</v>
      </c>
      <c r="G12256" t="str">
        <f>""</f>
        <v/>
      </c>
    </row>
    <row r="12257" spans="1:7" x14ac:dyDescent="0.25">
      <c r="A12257" t="s">
        <v>8</v>
      </c>
      <c r="B12257" s="1" t="str">
        <f>"000348393 - RICH FOODS - FOODBUY"</f>
        <v>000348393 - RICH FOODS - FOODBUY</v>
      </c>
      <c r="C12257" t="s">
        <v>146</v>
      </c>
      <c r="D12257" s="1" t="str">
        <f t="shared" si="334"/>
        <v>PRG-1037161</v>
      </c>
      <c r="E12257" t="s">
        <v>147</v>
      </c>
      <c r="F12257" t="s">
        <v>4</v>
      </c>
      <c r="G12257" t="str">
        <f>""</f>
        <v/>
      </c>
    </row>
    <row r="12258" spans="1:7" x14ac:dyDescent="0.25">
      <c r="A12258" t="s">
        <v>8</v>
      </c>
      <c r="B12258" s="1" t="str">
        <f>"000348774 - RICH FOODS-FOODBUY"</f>
        <v>000348774 - RICH FOODS-FOODBUY</v>
      </c>
      <c r="C12258" t="s">
        <v>237</v>
      </c>
      <c r="D12258" s="1" t="str">
        <f t="shared" si="334"/>
        <v>PRG-1037161</v>
      </c>
      <c r="E12258" t="s">
        <v>147</v>
      </c>
      <c r="F12258" t="s">
        <v>4</v>
      </c>
      <c r="G12258" t="str">
        <f>""</f>
        <v/>
      </c>
    </row>
    <row r="12259" spans="1:7" x14ac:dyDescent="0.25">
      <c r="A12259" t="s">
        <v>8</v>
      </c>
      <c r="B12259" s="1" t="str">
        <f>"000349298 - RICH FOODS BB-FOODBUY"</f>
        <v>000349298 - RICH FOODS BB-FOODBUY</v>
      </c>
      <c r="C12259" t="s">
        <v>209</v>
      </c>
      <c r="D12259" s="1" t="str">
        <f t="shared" si="334"/>
        <v>PRG-1037161</v>
      </c>
      <c r="E12259" t="s">
        <v>147</v>
      </c>
      <c r="F12259" t="s">
        <v>4</v>
      </c>
      <c r="G12259" t="str">
        <f>""</f>
        <v/>
      </c>
    </row>
    <row r="12260" spans="1:7" x14ac:dyDescent="0.25">
      <c r="A12260" t="s">
        <v>8</v>
      </c>
      <c r="B12260" s="1" t="str">
        <f>"000350562 - RICH FOODS-FOODBUY"</f>
        <v>000350562 - RICH FOODS-FOODBUY</v>
      </c>
      <c r="C12260" t="s">
        <v>237</v>
      </c>
      <c r="D12260" s="1" t="str">
        <f t="shared" si="334"/>
        <v>PRG-1037161</v>
      </c>
      <c r="E12260" t="s">
        <v>147</v>
      </c>
      <c r="F12260" t="s">
        <v>4</v>
      </c>
      <c r="G12260" t="str">
        <f>""</f>
        <v/>
      </c>
    </row>
    <row r="12261" spans="1:7" x14ac:dyDescent="0.25">
      <c r="A12261" t="s">
        <v>8</v>
      </c>
      <c r="B12261" s="1" t="str">
        <f>"000350803 - RICH FOODS-FOODBUY"</f>
        <v>000350803 - RICH FOODS-FOODBUY</v>
      </c>
      <c r="C12261" t="s">
        <v>237</v>
      </c>
      <c r="D12261" s="1" t="str">
        <f t="shared" si="334"/>
        <v>PRG-1037161</v>
      </c>
      <c r="E12261" t="s">
        <v>147</v>
      </c>
      <c r="F12261" t="s">
        <v>4</v>
      </c>
      <c r="G12261" t="str">
        <f>""</f>
        <v/>
      </c>
    </row>
    <row r="12262" spans="1:7" x14ac:dyDescent="0.25">
      <c r="A12262" t="s">
        <v>8</v>
      </c>
      <c r="B12262" s="1" t="str">
        <f>"000350859 - "</f>
        <v xml:space="preserve">000350859 - </v>
      </c>
      <c r="D12262" s="1" t="str">
        <f t="shared" si="334"/>
        <v>PRG-1037161</v>
      </c>
      <c r="E12262" t="s">
        <v>147</v>
      </c>
      <c r="F12262" t="s">
        <v>4</v>
      </c>
      <c r="G12262" t="str">
        <f>""</f>
        <v/>
      </c>
    </row>
    <row r="12263" spans="1:7" x14ac:dyDescent="0.25">
      <c r="A12263" t="s">
        <v>8</v>
      </c>
      <c r="B12263" s="1" t="str">
        <f>"000351060 - RICH FOODS - FOODBUY"</f>
        <v>000351060 - RICH FOODS - FOODBUY</v>
      </c>
      <c r="C12263" t="s">
        <v>146</v>
      </c>
      <c r="D12263" s="1" t="str">
        <f t="shared" si="334"/>
        <v>PRG-1037161</v>
      </c>
      <c r="E12263" t="s">
        <v>147</v>
      </c>
      <c r="F12263" t="s">
        <v>4</v>
      </c>
      <c r="G12263" t="str">
        <f>""</f>
        <v/>
      </c>
    </row>
    <row r="12264" spans="1:7" x14ac:dyDescent="0.25">
      <c r="A12264" t="s">
        <v>8</v>
      </c>
      <c r="B12264" s="1" t="str">
        <f>"000351256 - RICH FOODS-FOODBUY"</f>
        <v>000351256 - RICH FOODS-FOODBUY</v>
      </c>
      <c r="C12264" t="s">
        <v>237</v>
      </c>
      <c r="D12264" s="1" t="str">
        <f t="shared" si="334"/>
        <v>PRG-1037161</v>
      </c>
      <c r="E12264" t="s">
        <v>147</v>
      </c>
      <c r="F12264" t="s">
        <v>4</v>
      </c>
      <c r="G12264" t="str">
        <f>""</f>
        <v/>
      </c>
    </row>
    <row r="12265" spans="1:7" x14ac:dyDescent="0.25">
      <c r="A12265" t="s">
        <v>8</v>
      </c>
      <c r="B12265" s="1" t="str">
        <f>"000352333 - RICH FOODS-FOODBUY"</f>
        <v>000352333 - RICH FOODS-FOODBUY</v>
      </c>
      <c r="C12265" t="s">
        <v>237</v>
      </c>
      <c r="D12265" s="1" t="str">
        <f t="shared" si="334"/>
        <v>PRG-1037161</v>
      </c>
      <c r="E12265" t="s">
        <v>147</v>
      </c>
      <c r="F12265" t="s">
        <v>4</v>
      </c>
      <c r="G12265" t="str">
        <f>""</f>
        <v/>
      </c>
    </row>
    <row r="12266" spans="1:7" x14ac:dyDescent="0.25">
      <c r="A12266" t="s">
        <v>8</v>
      </c>
      <c r="B12266" s="1" t="str">
        <f>"000352757 - RICH FOODS-FOODBUY"</f>
        <v>000352757 - RICH FOODS-FOODBUY</v>
      </c>
      <c r="C12266" t="s">
        <v>237</v>
      </c>
      <c r="D12266" s="1" t="str">
        <f t="shared" si="334"/>
        <v>PRG-1037161</v>
      </c>
      <c r="E12266" t="s">
        <v>147</v>
      </c>
      <c r="F12266" t="s">
        <v>4</v>
      </c>
      <c r="G12266" t="str">
        <f>""</f>
        <v/>
      </c>
    </row>
    <row r="12267" spans="1:7" x14ac:dyDescent="0.25">
      <c r="A12267" t="s">
        <v>8</v>
      </c>
      <c r="B12267" s="1" t="str">
        <f>"000353583 - RICH FOODS  RUTH CHRIS"</f>
        <v>000353583 - RICH FOODS  RUTH CHRIS</v>
      </c>
      <c r="C12267" t="s">
        <v>3538</v>
      </c>
      <c r="D12267" s="1" t="str">
        <f t="shared" si="334"/>
        <v>PRG-1037161</v>
      </c>
      <c r="E12267" t="s">
        <v>147</v>
      </c>
      <c r="F12267" t="s">
        <v>4</v>
      </c>
      <c r="G12267" t="str">
        <f>""</f>
        <v/>
      </c>
    </row>
    <row r="12268" spans="1:7" x14ac:dyDescent="0.25">
      <c r="A12268" t="s">
        <v>8</v>
      </c>
      <c r="B12268" s="1" t="str">
        <f>"000353699 - RICH FOODS - FOODBUY"</f>
        <v>000353699 - RICH FOODS - FOODBUY</v>
      </c>
      <c r="C12268" t="s">
        <v>146</v>
      </c>
      <c r="D12268" s="1" t="str">
        <f t="shared" si="334"/>
        <v>PRG-1037161</v>
      </c>
      <c r="E12268" t="s">
        <v>147</v>
      </c>
      <c r="F12268" t="s">
        <v>4</v>
      </c>
      <c r="G12268" t="str">
        <f>""</f>
        <v/>
      </c>
    </row>
    <row r="12269" spans="1:7" x14ac:dyDescent="0.25">
      <c r="A12269" t="s">
        <v>8</v>
      </c>
      <c r="B12269" s="1" t="str">
        <f>"000353842 - RICH FOODS-FOODBUY"</f>
        <v>000353842 - RICH FOODS-FOODBUY</v>
      </c>
      <c r="C12269" t="s">
        <v>237</v>
      </c>
      <c r="D12269" s="1" t="str">
        <f t="shared" si="334"/>
        <v>PRG-1037161</v>
      </c>
      <c r="E12269" t="s">
        <v>147</v>
      </c>
      <c r="F12269" t="s">
        <v>4</v>
      </c>
      <c r="G12269" t="str">
        <f>""</f>
        <v/>
      </c>
    </row>
    <row r="12270" spans="1:7" x14ac:dyDescent="0.25">
      <c r="A12270" t="s">
        <v>8</v>
      </c>
      <c r="B12270" s="1" t="str">
        <f>"000355006 - "</f>
        <v xml:space="preserve">000355006 - </v>
      </c>
      <c r="D12270" s="1" t="str">
        <f t="shared" si="334"/>
        <v>PRG-1037161</v>
      </c>
      <c r="E12270" t="s">
        <v>147</v>
      </c>
      <c r="F12270" t="s">
        <v>4</v>
      </c>
      <c r="G12270" t="str">
        <f>""</f>
        <v/>
      </c>
    </row>
    <row r="12271" spans="1:7" x14ac:dyDescent="0.25">
      <c r="A12271" t="s">
        <v>8</v>
      </c>
      <c r="B12271" s="1" t="str">
        <f>"000355129 - RICH FOODS - FOODBUY"</f>
        <v>000355129 - RICH FOODS - FOODBUY</v>
      </c>
      <c r="C12271" t="s">
        <v>146</v>
      </c>
      <c r="D12271" s="1" t="str">
        <f t="shared" si="334"/>
        <v>PRG-1037161</v>
      </c>
      <c r="E12271" t="s">
        <v>147</v>
      </c>
      <c r="F12271" t="s">
        <v>4</v>
      </c>
      <c r="G12271" t="str">
        <f>""</f>
        <v/>
      </c>
    </row>
    <row r="12272" spans="1:7" x14ac:dyDescent="0.25">
      <c r="A12272" t="s">
        <v>8</v>
      </c>
      <c r="B12272" s="1" t="str">
        <f>"000357031 - RICH FOODS - FOODBUY"</f>
        <v>000357031 - RICH FOODS - FOODBUY</v>
      </c>
      <c r="C12272" t="s">
        <v>146</v>
      </c>
      <c r="D12272" s="1" t="str">
        <f t="shared" si="334"/>
        <v>PRG-1037161</v>
      </c>
      <c r="E12272" t="s">
        <v>147</v>
      </c>
      <c r="F12272" t="s">
        <v>4</v>
      </c>
      <c r="G12272" t="str">
        <f>""</f>
        <v/>
      </c>
    </row>
    <row r="12273" spans="1:7" x14ac:dyDescent="0.25">
      <c r="A12273" t="s">
        <v>8</v>
      </c>
      <c r="B12273" s="1" t="str">
        <f>"000358068 - RICH FOODS-FOODBUY"</f>
        <v>000358068 - RICH FOODS-FOODBUY</v>
      </c>
      <c r="C12273" t="s">
        <v>237</v>
      </c>
      <c r="D12273" s="1" t="str">
        <f t="shared" si="334"/>
        <v>PRG-1037161</v>
      </c>
      <c r="E12273" t="s">
        <v>147</v>
      </c>
      <c r="F12273" t="s">
        <v>4</v>
      </c>
      <c r="G12273" t="str">
        <f>""</f>
        <v/>
      </c>
    </row>
    <row r="12274" spans="1:7" x14ac:dyDescent="0.25">
      <c r="A12274" t="s">
        <v>8</v>
      </c>
      <c r="B12274" s="1" t="str">
        <f>"000358293 - RICH FOODS-FOODBUY"</f>
        <v>000358293 - RICH FOODS-FOODBUY</v>
      </c>
      <c r="C12274" t="s">
        <v>237</v>
      </c>
      <c r="D12274" s="1" t="str">
        <f t="shared" si="334"/>
        <v>PRG-1037161</v>
      </c>
      <c r="E12274" t="s">
        <v>147</v>
      </c>
      <c r="F12274" t="s">
        <v>4</v>
      </c>
      <c r="G12274" t="str">
        <f>""</f>
        <v/>
      </c>
    </row>
    <row r="12275" spans="1:7" x14ac:dyDescent="0.25">
      <c r="A12275" t="s">
        <v>8</v>
      </c>
      <c r="B12275" s="1" t="str">
        <f>"000358458 - RICH FOODS-FOODBUY"</f>
        <v>000358458 - RICH FOODS-FOODBUY</v>
      </c>
      <c r="C12275" t="s">
        <v>237</v>
      </c>
      <c r="D12275" s="1" t="str">
        <f t="shared" si="334"/>
        <v>PRG-1037161</v>
      </c>
      <c r="E12275" t="s">
        <v>147</v>
      </c>
      <c r="F12275" t="s">
        <v>4</v>
      </c>
      <c r="G12275" t="str">
        <f>""</f>
        <v/>
      </c>
    </row>
    <row r="12276" spans="1:7" x14ac:dyDescent="0.25">
      <c r="A12276" t="s">
        <v>8</v>
      </c>
      <c r="B12276" s="1" t="str">
        <f>"000359241 - "</f>
        <v xml:space="preserve">000359241 - </v>
      </c>
      <c r="D12276" s="1" t="str">
        <f t="shared" si="334"/>
        <v>PRG-1037161</v>
      </c>
      <c r="E12276" t="s">
        <v>147</v>
      </c>
      <c r="F12276" t="s">
        <v>4</v>
      </c>
      <c r="G12276" t="str">
        <f>""</f>
        <v/>
      </c>
    </row>
    <row r="12277" spans="1:7" x14ac:dyDescent="0.25">
      <c r="A12277" t="s">
        <v>8</v>
      </c>
      <c r="B12277" s="1" t="str">
        <f>"000359657 - RICH FOODS-FOODBUY"</f>
        <v>000359657 - RICH FOODS-FOODBUY</v>
      </c>
      <c r="C12277" t="s">
        <v>237</v>
      </c>
      <c r="D12277" s="1" t="str">
        <f t="shared" si="334"/>
        <v>PRG-1037161</v>
      </c>
      <c r="E12277" t="s">
        <v>147</v>
      </c>
      <c r="F12277" t="s">
        <v>4</v>
      </c>
      <c r="G12277" t="str">
        <f>""</f>
        <v/>
      </c>
    </row>
    <row r="12278" spans="1:7" x14ac:dyDescent="0.25">
      <c r="A12278" t="s">
        <v>8</v>
      </c>
      <c r="B12278" s="1" t="str">
        <f>"000360036 - RICH FOODS-FOODBUY"</f>
        <v>000360036 - RICH FOODS-FOODBUY</v>
      </c>
      <c r="C12278" t="s">
        <v>237</v>
      </c>
      <c r="D12278" s="1" t="str">
        <f t="shared" si="334"/>
        <v>PRG-1037161</v>
      </c>
      <c r="E12278" t="s">
        <v>147</v>
      </c>
      <c r="F12278" t="s">
        <v>4</v>
      </c>
      <c r="G12278" t="str">
        <f>""</f>
        <v/>
      </c>
    </row>
    <row r="12279" spans="1:7" x14ac:dyDescent="0.25">
      <c r="A12279" t="s">
        <v>8</v>
      </c>
      <c r="B12279" s="1" t="str">
        <f>"000360756 - RICH FOODS-FOODBUY"</f>
        <v>000360756 - RICH FOODS-FOODBUY</v>
      </c>
      <c r="C12279" t="s">
        <v>237</v>
      </c>
      <c r="D12279" s="1" t="str">
        <f t="shared" si="334"/>
        <v>PRG-1037161</v>
      </c>
      <c r="E12279" t="s">
        <v>147</v>
      </c>
      <c r="F12279" t="s">
        <v>4</v>
      </c>
      <c r="G12279" t="str">
        <f>""</f>
        <v/>
      </c>
    </row>
    <row r="12280" spans="1:7" x14ac:dyDescent="0.25">
      <c r="A12280" t="s">
        <v>8</v>
      </c>
      <c r="B12280" s="1" t="str">
        <f>"000360881 - RICH FOODS-FOODBUY"</f>
        <v>000360881 - RICH FOODS-FOODBUY</v>
      </c>
      <c r="C12280" t="s">
        <v>237</v>
      </c>
      <c r="D12280" s="1" t="str">
        <f t="shared" si="334"/>
        <v>PRG-1037161</v>
      </c>
      <c r="E12280" t="s">
        <v>147</v>
      </c>
      <c r="F12280" t="s">
        <v>4</v>
      </c>
      <c r="G12280" t="str">
        <f>""</f>
        <v/>
      </c>
    </row>
    <row r="12281" spans="1:7" x14ac:dyDescent="0.25">
      <c r="A12281" t="s">
        <v>8</v>
      </c>
      <c r="B12281" s="1" t="str">
        <f>"000361070 - "</f>
        <v xml:space="preserve">000361070 - </v>
      </c>
      <c r="D12281" s="1" t="str">
        <f t="shared" si="334"/>
        <v>PRG-1037161</v>
      </c>
      <c r="E12281" t="s">
        <v>147</v>
      </c>
      <c r="F12281" t="s">
        <v>4</v>
      </c>
      <c r="G12281" t="str">
        <f>""</f>
        <v/>
      </c>
    </row>
    <row r="12282" spans="1:7" x14ac:dyDescent="0.25">
      <c r="A12282" t="s">
        <v>8</v>
      </c>
      <c r="B12282" s="1" t="str">
        <f>"000361403 - "</f>
        <v xml:space="preserve">000361403 - </v>
      </c>
      <c r="D12282" s="1" t="str">
        <f t="shared" si="334"/>
        <v>PRG-1037161</v>
      </c>
      <c r="E12282" t="s">
        <v>147</v>
      </c>
      <c r="F12282" t="s">
        <v>4</v>
      </c>
      <c r="G12282" t="str">
        <f>""</f>
        <v/>
      </c>
    </row>
    <row r="12283" spans="1:7" x14ac:dyDescent="0.25">
      <c r="A12283" t="s">
        <v>8</v>
      </c>
      <c r="B12283" s="1" t="str">
        <f>"000361646 - RICH FOODS-FOODBUY"</f>
        <v>000361646 - RICH FOODS-FOODBUY</v>
      </c>
      <c r="C12283" t="s">
        <v>237</v>
      </c>
      <c r="D12283" s="1" t="str">
        <f t="shared" si="334"/>
        <v>PRG-1037161</v>
      </c>
      <c r="E12283" t="s">
        <v>147</v>
      </c>
      <c r="F12283" t="s">
        <v>4</v>
      </c>
      <c r="G12283" t="str">
        <f>""</f>
        <v/>
      </c>
    </row>
    <row r="12284" spans="1:7" x14ac:dyDescent="0.25">
      <c r="A12284" t="s">
        <v>8</v>
      </c>
      <c r="B12284" s="1" t="str">
        <f>"000362517 - "</f>
        <v xml:space="preserve">000362517 - </v>
      </c>
      <c r="D12284" s="1" t="str">
        <f t="shared" si="334"/>
        <v>PRG-1037161</v>
      </c>
      <c r="E12284" t="s">
        <v>147</v>
      </c>
      <c r="F12284" t="s">
        <v>4</v>
      </c>
      <c r="G12284" t="str">
        <f>""</f>
        <v/>
      </c>
    </row>
    <row r="12285" spans="1:7" x14ac:dyDescent="0.25">
      <c r="A12285" t="s">
        <v>8</v>
      </c>
      <c r="B12285" s="1" t="str">
        <f>"000362595 - "</f>
        <v xml:space="preserve">000362595 - </v>
      </c>
      <c r="D12285" s="1" t="str">
        <f t="shared" si="334"/>
        <v>PRG-1037161</v>
      </c>
      <c r="E12285" t="s">
        <v>147</v>
      </c>
      <c r="F12285" t="s">
        <v>4</v>
      </c>
      <c r="G12285" t="str">
        <f>""</f>
        <v/>
      </c>
    </row>
    <row r="12286" spans="1:7" x14ac:dyDescent="0.25">
      <c r="A12286" t="s">
        <v>8</v>
      </c>
      <c r="B12286" s="1" t="str">
        <f>"000362709 - RICH FOODS-FOODBUY"</f>
        <v>000362709 - RICH FOODS-FOODBUY</v>
      </c>
      <c r="C12286" t="s">
        <v>237</v>
      </c>
      <c r="D12286" s="1" t="str">
        <f t="shared" si="334"/>
        <v>PRG-1037161</v>
      </c>
      <c r="E12286" t="s">
        <v>147</v>
      </c>
      <c r="F12286" t="s">
        <v>4</v>
      </c>
      <c r="G12286" t="str">
        <f>""</f>
        <v/>
      </c>
    </row>
    <row r="12287" spans="1:7" x14ac:dyDescent="0.25">
      <c r="A12287" t="s">
        <v>8</v>
      </c>
      <c r="B12287" s="1" t="str">
        <f>"000363182 - "</f>
        <v xml:space="preserve">000363182 - </v>
      </c>
      <c r="D12287" s="1" t="str">
        <f t="shared" si="334"/>
        <v>PRG-1037161</v>
      </c>
      <c r="E12287" t="s">
        <v>147</v>
      </c>
      <c r="F12287" t="s">
        <v>4</v>
      </c>
      <c r="G12287" t="str">
        <f>""</f>
        <v/>
      </c>
    </row>
    <row r="12288" spans="1:7" x14ac:dyDescent="0.25">
      <c r="A12288" t="s">
        <v>8</v>
      </c>
      <c r="B12288" s="1" t="str">
        <f>"000363691 - RICH FOODS BB-FOODBUY"</f>
        <v>000363691 - RICH FOODS BB-FOODBUY</v>
      </c>
      <c r="C12288" t="s">
        <v>209</v>
      </c>
      <c r="D12288" s="1" t="str">
        <f t="shared" si="334"/>
        <v>PRG-1037161</v>
      </c>
      <c r="E12288" t="s">
        <v>147</v>
      </c>
      <c r="F12288" t="s">
        <v>4</v>
      </c>
      <c r="G12288" t="str">
        <f>""</f>
        <v/>
      </c>
    </row>
    <row r="12289" spans="1:7" x14ac:dyDescent="0.25">
      <c r="A12289" t="s">
        <v>8</v>
      </c>
      <c r="B12289" s="1" t="str">
        <f>"000364100 - RICH FOODS-FOODBUY"</f>
        <v>000364100 - RICH FOODS-FOODBUY</v>
      </c>
      <c r="C12289" t="s">
        <v>237</v>
      </c>
      <c r="D12289" s="1" t="str">
        <f t="shared" si="334"/>
        <v>PRG-1037161</v>
      </c>
      <c r="E12289" t="s">
        <v>147</v>
      </c>
      <c r="F12289" t="s">
        <v>4</v>
      </c>
      <c r="G12289" t="str">
        <f>""</f>
        <v/>
      </c>
    </row>
    <row r="12290" spans="1:7" x14ac:dyDescent="0.25">
      <c r="A12290" t="s">
        <v>8</v>
      </c>
      <c r="B12290" s="1" t="str">
        <f>"000365217 - "</f>
        <v xml:space="preserve">000365217 - </v>
      </c>
      <c r="D12290" s="1" t="str">
        <f t="shared" si="334"/>
        <v>PRG-1037161</v>
      </c>
      <c r="E12290" t="s">
        <v>147</v>
      </c>
      <c r="F12290" t="s">
        <v>4</v>
      </c>
      <c r="G12290" t="str">
        <f>""</f>
        <v/>
      </c>
    </row>
    <row r="12291" spans="1:7" x14ac:dyDescent="0.25">
      <c r="A12291" t="s">
        <v>8</v>
      </c>
      <c r="B12291" s="1" t="str">
        <f>"000365686 - RICH FOODS-FOODBUY"</f>
        <v>000365686 - RICH FOODS-FOODBUY</v>
      </c>
      <c r="C12291" t="s">
        <v>237</v>
      </c>
      <c r="D12291" s="1" t="str">
        <f t="shared" ref="D12291:D12345" si="335">"PRG-1037161"</f>
        <v>PRG-1037161</v>
      </c>
      <c r="E12291" t="s">
        <v>147</v>
      </c>
      <c r="F12291" t="s">
        <v>4</v>
      </c>
      <c r="G12291" t="str">
        <f>""</f>
        <v/>
      </c>
    </row>
    <row r="12292" spans="1:7" x14ac:dyDescent="0.25">
      <c r="A12292" t="s">
        <v>8</v>
      </c>
      <c r="B12292" s="1" t="str">
        <f>"000365732 - RICH FOODS - FOODBUY"</f>
        <v>000365732 - RICH FOODS - FOODBUY</v>
      </c>
      <c r="C12292" t="s">
        <v>146</v>
      </c>
      <c r="D12292" s="1" t="str">
        <f t="shared" si="335"/>
        <v>PRG-1037161</v>
      </c>
      <c r="E12292" t="s">
        <v>147</v>
      </c>
      <c r="F12292" t="s">
        <v>4</v>
      </c>
      <c r="G12292" t="str">
        <f>""</f>
        <v/>
      </c>
    </row>
    <row r="12293" spans="1:7" x14ac:dyDescent="0.25">
      <c r="A12293" t="s">
        <v>8</v>
      </c>
      <c r="B12293" s="1" t="str">
        <f>"000366047 - RICH FOODS-FOODBUY"</f>
        <v>000366047 - RICH FOODS-FOODBUY</v>
      </c>
      <c r="C12293" t="s">
        <v>237</v>
      </c>
      <c r="D12293" s="1" t="str">
        <f t="shared" si="335"/>
        <v>PRG-1037161</v>
      </c>
      <c r="E12293" t="s">
        <v>147</v>
      </c>
      <c r="F12293" t="s">
        <v>4</v>
      </c>
      <c r="G12293" t="str">
        <f>""</f>
        <v/>
      </c>
    </row>
    <row r="12294" spans="1:7" x14ac:dyDescent="0.25">
      <c r="A12294" t="s">
        <v>8</v>
      </c>
      <c r="B12294" s="1" t="str">
        <f>"000366312 - RICH FOODS-FOODBUY"</f>
        <v>000366312 - RICH FOODS-FOODBUY</v>
      </c>
      <c r="C12294" t="s">
        <v>237</v>
      </c>
      <c r="D12294" s="1" t="str">
        <f t="shared" si="335"/>
        <v>PRG-1037161</v>
      </c>
      <c r="E12294" t="s">
        <v>147</v>
      </c>
      <c r="F12294" t="s">
        <v>4</v>
      </c>
      <c r="G12294" t="str">
        <f>""</f>
        <v/>
      </c>
    </row>
    <row r="12295" spans="1:7" x14ac:dyDescent="0.25">
      <c r="A12295" t="s">
        <v>8</v>
      </c>
      <c r="B12295" s="1" t="str">
        <f>"000366431 - RICH FOODS-FOODBUY"</f>
        <v>000366431 - RICH FOODS-FOODBUY</v>
      </c>
      <c r="C12295" t="s">
        <v>237</v>
      </c>
      <c r="D12295" s="1" t="str">
        <f t="shared" si="335"/>
        <v>PRG-1037161</v>
      </c>
      <c r="E12295" t="s">
        <v>147</v>
      </c>
      <c r="F12295" t="s">
        <v>4</v>
      </c>
      <c r="G12295" t="str">
        <f>""</f>
        <v/>
      </c>
    </row>
    <row r="12296" spans="1:7" x14ac:dyDescent="0.25">
      <c r="A12296" t="s">
        <v>8</v>
      </c>
      <c r="B12296" s="1" t="str">
        <f>"000367348 - "</f>
        <v xml:space="preserve">000367348 - </v>
      </c>
      <c r="D12296" s="1" t="str">
        <f t="shared" si="335"/>
        <v>PRG-1037161</v>
      </c>
      <c r="E12296" t="s">
        <v>147</v>
      </c>
      <c r="F12296" t="s">
        <v>4</v>
      </c>
      <c r="G12296" t="str">
        <f>""</f>
        <v/>
      </c>
    </row>
    <row r="12297" spans="1:7" x14ac:dyDescent="0.25">
      <c r="A12297" t="s">
        <v>8</v>
      </c>
      <c r="B12297" s="1" t="str">
        <f>"000367796 - RICH FOODS-FOODBUY"</f>
        <v>000367796 - RICH FOODS-FOODBUY</v>
      </c>
      <c r="C12297" t="s">
        <v>237</v>
      </c>
      <c r="D12297" s="1" t="str">
        <f t="shared" si="335"/>
        <v>PRG-1037161</v>
      </c>
      <c r="E12297" t="s">
        <v>147</v>
      </c>
      <c r="F12297" t="s">
        <v>4</v>
      </c>
      <c r="G12297" t="str">
        <f>""</f>
        <v/>
      </c>
    </row>
    <row r="12298" spans="1:7" x14ac:dyDescent="0.25">
      <c r="A12298" t="s">
        <v>8</v>
      </c>
      <c r="B12298" s="1" t="str">
        <f>"000368008 - RICH FOODS-FOODBUY"</f>
        <v>000368008 - RICH FOODS-FOODBUY</v>
      </c>
      <c r="C12298" t="s">
        <v>237</v>
      </c>
      <c r="D12298" s="1" t="str">
        <f t="shared" si="335"/>
        <v>PRG-1037161</v>
      </c>
      <c r="E12298" t="s">
        <v>147</v>
      </c>
      <c r="F12298" t="s">
        <v>4</v>
      </c>
      <c r="G12298" t="str">
        <f>""</f>
        <v/>
      </c>
    </row>
    <row r="12299" spans="1:7" x14ac:dyDescent="0.25">
      <c r="A12299" t="s">
        <v>8</v>
      </c>
      <c r="B12299" s="1" t="str">
        <f>"000369292 - "</f>
        <v xml:space="preserve">000369292 - </v>
      </c>
      <c r="D12299" s="1" t="str">
        <f t="shared" si="335"/>
        <v>PRG-1037161</v>
      </c>
      <c r="E12299" t="s">
        <v>147</v>
      </c>
      <c r="F12299" t="s">
        <v>4</v>
      </c>
      <c r="G12299" t="str">
        <f>""</f>
        <v/>
      </c>
    </row>
    <row r="12300" spans="1:7" x14ac:dyDescent="0.25">
      <c r="A12300" t="s">
        <v>8</v>
      </c>
      <c r="B12300" s="1" t="str">
        <f>"000369756 - RICH FOODS-FOODBUY"</f>
        <v>000369756 - RICH FOODS-FOODBUY</v>
      </c>
      <c r="C12300" t="s">
        <v>237</v>
      </c>
      <c r="D12300" s="1" t="str">
        <f t="shared" si="335"/>
        <v>PRG-1037161</v>
      </c>
      <c r="E12300" t="s">
        <v>147</v>
      </c>
      <c r="F12300" t="s">
        <v>4</v>
      </c>
      <c r="G12300" t="str">
        <f>""</f>
        <v/>
      </c>
    </row>
    <row r="12301" spans="1:7" x14ac:dyDescent="0.25">
      <c r="A12301" t="s">
        <v>8</v>
      </c>
      <c r="B12301" s="1" t="str">
        <f>"000370588 - RICH FOODS - FOODBUY"</f>
        <v>000370588 - RICH FOODS - FOODBUY</v>
      </c>
      <c r="C12301" t="s">
        <v>146</v>
      </c>
      <c r="D12301" s="1" t="str">
        <f t="shared" si="335"/>
        <v>PRG-1037161</v>
      </c>
      <c r="E12301" t="s">
        <v>147</v>
      </c>
      <c r="F12301" t="s">
        <v>4</v>
      </c>
      <c r="G12301" t="str">
        <f>""</f>
        <v/>
      </c>
    </row>
    <row r="12302" spans="1:7" x14ac:dyDescent="0.25">
      <c r="A12302" t="s">
        <v>8</v>
      </c>
      <c r="B12302" s="1" t="str">
        <f>"000371030 - RICH FOODS-FOODBUY"</f>
        <v>000371030 - RICH FOODS-FOODBUY</v>
      </c>
      <c r="C12302" t="s">
        <v>237</v>
      </c>
      <c r="D12302" s="1" t="str">
        <f t="shared" si="335"/>
        <v>PRG-1037161</v>
      </c>
      <c r="E12302" t="s">
        <v>147</v>
      </c>
      <c r="F12302" t="s">
        <v>4</v>
      </c>
      <c r="G12302" t="str">
        <f>""</f>
        <v/>
      </c>
    </row>
    <row r="12303" spans="1:7" x14ac:dyDescent="0.25">
      <c r="A12303" t="s">
        <v>8</v>
      </c>
      <c r="B12303" s="1" t="str">
        <f>"000371056 - RICH FOODS-FOODBUY"</f>
        <v>000371056 - RICH FOODS-FOODBUY</v>
      </c>
      <c r="C12303" t="s">
        <v>237</v>
      </c>
      <c r="D12303" s="1" t="str">
        <f t="shared" si="335"/>
        <v>PRG-1037161</v>
      </c>
      <c r="E12303" t="s">
        <v>147</v>
      </c>
      <c r="F12303" t="s">
        <v>4</v>
      </c>
      <c r="G12303" t="str">
        <f>""</f>
        <v/>
      </c>
    </row>
    <row r="12304" spans="1:7" x14ac:dyDescent="0.25">
      <c r="A12304" t="s">
        <v>8</v>
      </c>
      <c r="B12304" s="1" t="str">
        <f>"000371793 - RICH FOODS-FOODBUY"</f>
        <v>000371793 - RICH FOODS-FOODBUY</v>
      </c>
      <c r="C12304" t="s">
        <v>237</v>
      </c>
      <c r="D12304" s="1" t="str">
        <f t="shared" si="335"/>
        <v>PRG-1037161</v>
      </c>
      <c r="E12304" t="s">
        <v>147</v>
      </c>
      <c r="F12304" t="s">
        <v>4</v>
      </c>
      <c r="G12304" t="str">
        <f>""</f>
        <v/>
      </c>
    </row>
    <row r="12305" spans="1:7" x14ac:dyDescent="0.25">
      <c r="A12305" t="s">
        <v>8</v>
      </c>
      <c r="B12305" s="1" t="str">
        <f>"000373591 - RICH FOODS-FOODBUY"</f>
        <v>000373591 - RICH FOODS-FOODBUY</v>
      </c>
      <c r="C12305" t="s">
        <v>237</v>
      </c>
      <c r="D12305" s="1" t="str">
        <f t="shared" si="335"/>
        <v>PRG-1037161</v>
      </c>
      <c r="E12305" t="s">
        <v>147</v>
      </c>
      <c r="F12305" t="s">
        <v>4</v>
      </c>
      <c r="G12305" t="str">
        <f>""</f>
        <v/>
      </c>
    </row>
    <row r="12306" spans="1:7" x14ac:dyDescent="0.25">
      <c r="A12306" t="s">
        <v>8</v>
      </c>
      <c r="B12306" s="1" t="str">
        <f>"000374445 - RICH FOODS-FOODBUY"</f>
        <v>000374445 - RICH FOODS-FOODBUY</v>
      </c>
      <c r="C12306" t="s">
        <v>237</v>
      </c>
      <c r="D12306" s="1" t="str">
        <f t="shared" si="335"/>
        <v>PRG-1037161</v>
      </c>
      <c r="E12306" t="s">
        <v>147</v>
      </c>
      <c r="F12306" t="s">
        <v>4</v>
      </c>
      <c r="G12306" t="str">
        <f>""</f>
        <v/>
      </c>
    </row>
    <row r="12307" spans="1:7" x14ac:dyDescent="0.25">
      <c r="A12307" t="s">
        <v>8</v>
      </c>
      <c r="B12307" s="1" t="str">
        <f>"000375019 - RICH FOODS-FOODBUY"</f>
        <v>000375019 - RICH FOODS-FOODBUY</v>
      </c>
      <c r="C12307" t="s">
        <v>237</v>
      </c>
      <c r="D12307" s="1" t="str">
        <f t="shared" si="335"/>
        <v>PRG-1037161</v>
      </c>
      <c r="E12307" t="s">
        <v>147</v>
      </c>
      <c r="F12307" t="s">
        <v>4</v>
      </c>
      <c r="G12307" t="str">
        <f>""</f>
        <v/>
      </c>
    </row>
    <row r="12308" spans="1:7" x14ac:dyDescent="0.25">
      <c r="A12308" t="s">
        <v>8</v>
      </c>
      <c r="B12308" s="1" t="str">
        <f>"000375109 - RICH FOODS-FOODBUY"</f>
        <v>000375109 - RICH FOODS-FOODBUY</v>
      </c>
      <c r="C12308" t="s">
        <v>237</v>
      </c>
      <c r="D12308" s="1" t="str">
        <f t="shared" si="335"/>
        <v>PRG-1037161</v>
      </c>
      <c r="E12308" t="s">
        <v>147</v>
      </c>
      <c r="F12308" t="s">
        <v>4</v>
      </c>
      <c r="G12308" t="str">
        <f>""</f>
        <v/>
      </c>
    </row>
    <row r="12309" spans="1:7" x14ac:dyDescent="0.25">
      <c r="A12309" t="s">
        <v>8</v>
      </c>
      <c r="B12309" s="1" t="str">
        <f>"000375654 - RICH FOODS-FOODBUY"</f>
        <v>000375654 - RICH FOODS-FOODBUY</v>
      </c>
      <c r="C12309" t="s">
        <v>237</v>
      </c>
      <c r="D12309" s="1" t="str">
        <f t="shared" si="335"/>
        <v>PRG-1037161</v>
      </c>
      <c r="E12309" t="s">
        <v>147</v>
      </c>
      <c r="F12309" t="s">
        <v>4</v>
      </c>
      <c r="G12309" t="str">
        <f>""</f>
        <v/>
      </c>
    </row>
    <row r="12310" spans="1:7" x14ac:dyDescent="0.25">
      <c r="A12310" t="s">
        <v>8</v>
      </c>
      <c r="B12310" s="1" t="str">
        <f>"000376294 - RICH FOODS BB-FOODBUY"</f>
        <v>000376294 - RICH FOODS BB-FOODBUY</v>
      </c>
      <c r="C12310" t="s">
        <v>209</v>
      </c>
      <c r="D12310" s="1" t="str">
        <f t="shared" si="335"/>
        <v>PRG-1037161</v>
      </c>
      <c r="E12310" t="s">
        <v>147</v>
      </c>
      <c r="F12310" t="s">
        <v>4</v>
      </c>
      <c r="G12310" t="str">
        <f>""</f>
        <v/>
      </c>
    </row>
    <row r="12311" spans="1:7" x14ac:dyDescent="0.25">
      <c r="A12311" t="s">
        <v>8</v>
      </c>
      <c r="B12311" s="1" t="str">
        <f>"000376549 - RICH FOODS-FOODBUY"</f>
        <v>000376549 - RICH FOODS-FOODBUY</v>
      </c>
      <c r="C12311" t="s">
        <v>237</v>
      </c>
      <c r="D12311" s="1" t="str">
        <f t="shared" si="335"/>
        <v>PRG-1037161</v>
      </c>
      <c r="E12311" t="s">
        <v>147</v>
      </c>
      <c r="F12311" t="s">
        <v>4</v>
      </c>
      <c r="G12311" t="str">
        <f>""</f>
        <v/>
      </c>
    </row>
    <row r="12312" spans="1:7" x14ac:dyDescent="0.25">
      <c r="A12312" t="s">
        <v>8</v>
      </c>
      <c r="B12312" s="1" t="str">
        <f>"000378273 - RICH FOODS - FOODBUY"</f>
        <v>000378273 - RICH FOODS - FOODBUY</v>
      </c>
      <c r="C12312" t="s">
        <v>146</v>
      </c>
      <c r="D12312" s="1" t="str">
        <f t="shared" si="335"/>
        <v>PRG-1037161</v>
      </c>
      <c r="E12312" t="s">
        <v>147</v>
      </c>
      <c r="F12312" t="s">
        <v>4</v>
      </c>
      <c r="G12312" t="str">
        <f>""</f>
        <v/>
      </c>
    </row>
    <row r="12313" spans="1:7" x14ac:dyDescent="0.25">
      <c r="A12313" t="s">
        <v>8</v>
      </c>
      <c r="B12313" s="1" t="str">
        <f>"000381711 - RICH FOODS-FOODBUY"</f>
        <v>000381711 - RICH FOODS-FOODBUY</v>
      </c>
      <c r="C12313" t="s">
        <v>237</v>
      </c>
      <c r="D12313" s="1" t="str">
        <f t="shared" si="335"/>
        <v>PRG-1037161</v>
      </c>
      <c r="E12313" t="s">
        <v>147</v>
      </c>
      <c r="F12313" t="s">
        <v>4</v>
      </c>
      <c r="G12313" t="str">
        <f>""</f>
        <v/>
      </c>
    </row>
    <row r="12314" spans="1:7" x14ac:dyDescent="0.25">
      <c r="A12314" t="s">
        <v>8</v>
      </c>
      <c r="B12314" s="1" t="str">
        <f>"000382306 - RICH FOODS-FOODBUY"</f>
        <v>000382306 - RICH FOODS-FOODBUY</v>
      </c>
      <c r="C12314" t="s">
        <v>237</v>
      </c>
      <c r="D12314" s="1" t="str">
        <f t="shared" si="335"/>
        <v>PRG-1037161</v>
      </c>
      <c r="E12314" t="s">
        <v>147</v>
      </c>
      <c r="F12314" t="s">
        <v>4</v>
      </c>
      <c r="G12314" t="str">
        <f>""</f>
        <v/>
      </c>
    </row>
    <row r="12315" spans="1:7" x14ac:dyDescent="0.25">
      <c r="A12315" t="s">
        <v>8</v>
      </c>
      <c r="B12315" s="1" t="str">
        <f>"000382758 - RICH FOODS - FOODBUY"</f>
        <v>000382758 - RICH FOODS - FOODBUY</v>
      </c>
      <c r="C12315" t="s">
        <v>146</v>
      </c>
      <c r="D12315" s="1" t="str">
        <f t="shared" si="335"/>
        <v>PRG-1037161</v>
      </c>
      <c r="E12315" t="s">
        <v>147</v>
      </c>
      <c r="F12315" t="s">
        <v>4</v>
      </c>
      <c r="G12315" t="str">
        <f>""</f>
        <v/>
      </c>
    </row>
    <row r="12316" spans="1:7" x14ac:dyDescent="0.25">
      <c r="A12316" t="s">
        <v>8</v>
      </c>
      <c r="B12316" s="1" t="str">
        <f>"000383833 - RICH FOODS-FOODBUY"</f>
        <v>000383833 - RICH FOODS-FOODBUY</v>
      </c>
      <c r="C12316" t="s">
        <v>237</v>
      </c>
      <c r="D12316" s="1" t="str">
        <f t="shared" si="335"/>
        <v>PRG-1037161</v>
      </c>
      <c r="E12316" t="s">
        <v>147</v>
      </c>
      <c r="F12316" t="s">
        <v>4</v>
      </c>
      <c r="G12316" t="str">
        <f>""</f>
        <v/>
      </c>
    </row>
    <row r="12317" spans="1:7" x14ac:dyDescent="0.25">
      <c r="A12317" t="s">
        <v>8</v>
      </c>
      <c r="B12317" s="1" t="str">
        <f>"000386586 - RICH FOODS-FOODBUY"</f>
        <v>000386586 - RICH FOODS-FOODBUY</v>
      </c>
      <c r="C12317" t="s">
        <v>237</v>
      </c>
      <c r="D12317" s="1" t="str">
        <f t="shared" si="335"/>
        <v>PRG-1037161</v>
      </c>
      <c r="E12317" t="s">
        <v>147</v>
      </c>
      <c r="F12317" t="s">
        <v>4</v>
      </c>
      <c r="G12317" t="str">
        <f>""</f>
        <v/>
      </c>
    </row>
    <row r="12318" spans="1:7" x14ac:dyDescent="0.25">
      <c r="A12318" t="s">
        <v>8</v>
      </c>
      <c r="B12318" s="1" t="str">
        <f>"000387751 - "</f>
        <v xml:space="preserve">000387751 - </v>
      </c>
      <c r="D12318" s="1" t="str">
        <f t="shared" si="335"/>
        <v>PRG-1037161</v>
      </c>
      <c r="E12318" t="s">
        <v>147</v>
      </c>
      <c r="F12318" t="s">
        <v>4</v>
      </c>
      <c r="G12318" t="str">
        <f>""</f>
        <v/>
      </c>
    </row>
    <row r="12319" spans="1:7" x14ac:dyDescent="0.25">
      <c r="A12319" t="s">
        <v>8</v>
      </c>
      <c r="B12319" s="1" t="str">
        <f>"000388090 - RICH FOODS-FOODBUY"</f>
        <v>000388090 - RICH FOODS-FOODBUY</v>
      </c>
      <c r="C12319" t="s">
        <v>237</v>
      </c>
      <c r="D12319" s="1" t="str">
        <f t="shared" si="335"/>
        <v>PRG-1037161</v>
      </c>
      <c r="E12319" t="s">
        <v>147</v>
      </c>
      <c r="F12319" t="s">
        <v>4</v>
      </c>
      <c r="G12319" t="str">
        <f>""</f>
        <v/>
      </c>
    </row>
    <row r="12320" spans="1:7" x14ac:dyDescent="0.25">
      <c r="A12320" t="s">
        <v>8</v>
      </c>
      <c r="B12320" s="1" t="str">
        <f>"000389385 - RICH FOODS-FOODBUY"</f>
        <v>000389385 - RICH FOODS-FOODBUY</v>
      </c>
      <c r="C12320" t="s">
        <v>237</v>
      </c>
      <c r="D12320" s="1" t="str">
        <f t="shared" si="335"/>
        <v>PRG-1037161</v>
      </c>
      <c r="E12320" t="s">
        <v>147</v>
      </c>
      <c r="F12320" t="s">
        <v>4</v>
      </c>
      <c r="G12320" t="str">
        <f>""</f>
        <v/>
      </c>
    </row>
    <row r="12321" spans="1:7" x14ac:dyDescent="0.25">
      <c r="A12321" t="s">
        <v>8</v>
      </c>
      <c r="B12321" s="1" t="str">
        <f>"000389584 - "</f>
        <v xml:space="preserve">000389584 - </v>
      </c>
      <c r="D12321" s="1" t="str">
        <f t="shared" si="335"/>
        <v>PRG-1037161</v>
      </c>
      <c r="E12321" t="s">
        <v>147</v>
      </c>
      <c r="F12321" t="s">
        <v>4</v>
      </c>
      <c r="G12321" t="str">
        <f>""</f>
        <v/>
      </c>
    </row>
    <row r="12322" spans="1:7" x14ac:dyDescent="0.25">
      <c r="A12322" t="s">
        <v>8</v>
      </c>
      <c r="B12322" s="1" t="str">
        <f>"000389750 - RICH FOODS-FOODBUY"</f>
        <v>000389750 - RICH FOODS-FOODBUY</v>
      </c>
      <c r="C12322" t="s">
        <v>237</v>
      </c>
      <c r="D12322" s="1" t="str">
        <f t="shared" si="335"/>
        <v>PRG-1037161</v>
      </c>
      <c r="E12322" t="s">
        <v>147</v>
      </c>
      <c r="F12322" t="s">
        <v>4</v>
      </c>
      <c r="G12322" t="str">
        <f>""</f>
        <v/>
      </c>
    </row>
    <row r="12323" spans="1:7" x14ac:dyDescent="0.25">
      <c r="A12323" t="s">
        <v>8</v>
      </c>
      <c r="B12323" s="1" t="str">
        <f>"000390321 - RICH FOODS BB-FOODBUY"</f>
        <v>000390321 - RICH FOODS BB-FOODBUY</v>
      </c>
      <c r="C12323" t="s">
        <v>209</v>
      </c>
      <c r="D12323" s="1" t="str">
        <f t="shared" si="335"/>
        <v>PRG-1037161</v>
      </c>
      <c r="E12323" t="s">
        <v>147</v>
      </c>
      <c r="F12323" t="s">
        <v>4</v>
      </c>
      <c r="G12323" t="str">
        <f>""</f>
        <v/>
      </c>
    </row>
    <row r="12324" spans="1:7" x14ac:dyDescent="0.25">
      <c r="A12324" t="s">
        <v>8</v>
      </c>
      <c r="B12324" s="1" t="str">
        <f>"000390910 - RICH FOODS-FOODBUY"</f>
        <v>000390910 - RICH FOODS-FOODBUY</v>
      </c>
      <c r="C12324" t="s">
        <v>237</v>
      </c>
      <c r="D12324" s="1" t="str">
        <f t="shared" si="335"/>
        <v>PRG-1037161</v>
      </c>
      <c r="E12324" t="s">
        <v>147</v>
      </c>
      <c r="F12324" t="s">
        <v>4</v>
      </c>
      <c r="G12324" t="str">
        <f>""</f>
        <v/>
      </c>
    </row>
    <row r="12325" spans="1:7" x14ac:dyDescent="0.25">
      <c r="A12325" t="s">
        <v>8</v>
      </c>
      <c r="B12325" s="1" t="str">
        <f>"000392109 - RICH FOODS - FOODBUY"</f>
        <v>000392109 - RICH FOODS - FOODBUY</v>
      </c>
      <c r="C12325" t="s">
        <v>146</v>
      </c>
      <c r="D12325" s="1" t="str">
        <f t="shared" si="335"/>
        <v>PRG-1037161</v>
      </c>
      <c r="E12325" t="s">
        <v>147</v>
      </c>
      <c r="F12325" t="s">
        <v>4</v>
      </c>
      <c r="G12325" t="str">
        <f>""</f>
        <v/>
      </c>
    </row>
    <row r="12326" spans="1:7" x14ac:dyDescent="0.25">
      <c r="A12326" t="s">
        <v>8</v>
      </c>
      <c r="B12326" s="1" t="str">
        <f>"000392956 - "</f>
        <v xml:space="preserve">000392956 - </v>
      </c>
      <c r="D12326" s="1" t="str">
        <f t="shared" si="335"/>
        <v>PRG-1037161</v>
      </c>
      <c r="E12326" t="s">
        <v>147</v>
      </c>
      <c r="F12326" t="s">
        <v>4</v>
      </c>
      <c r="G12326" t="str">
        <f>""</f>
        <v/>
      </c>
    </row>
    <row r="12327" spans="1:7" x14ac:dyDescent="0.25">
      <c r="A12327" t="s">
        <v>8</v>
      </c>
      <c r="B12327" s="1" t="str">
        <f>"000395826 - RICH FOODS-FOODBUY"</f>
        <v>000395826 - RICH FOODS-FOODBUY</v>
      </c>
      <c r="C12327" t="s">
        <v>237</v>
      </c>
      <c r="D12327" s="1" t="str">
        <f t="shared" si="335"/>
        <v>PRG-1037161</v>
      </c>
      <c r="E12327" t="s">
        <v>147</v>
      </c>
      <c r="F12327" t="s">
        <v>4</v>
      </c>
      <c r="G12327" t="str">
        <f>""</f>
        <v/>
      </c>
    </row>
    <row r="12328" spans="1:7" x14ac:dyDescent="0.25">
      <c r="A12328" t="s">
        <v>8</v>
      </c>
      <c r="B12328" s="1" t="str">
        <f>"000397024 - RICH FOODS - FOODBUY"</f>
        <v>000397024 - RICH FOODS - FOODBUY</v>
      </c>
      <c r="C12328" t="s">
        <v>146</v>
      </c>
      <c r="D12328" s="1" t="str">
        <f t="shared" si="335"/>
        <v>PRG-1037161</v>
      </c>
      <c r="E12328" t="s">
        <v>147</v>
      </c>
      <c r="F12328" t="s">
        <v>4</v>
      </c>
      <c r="G12328" t="str">
        <f>""</f>
        <v/>
      </c>
    </row>
    <row r="12329" spans="1:7" x14ac:dyDescent="0.25">
      <c r="A12329" t="s">
        <v>8</v>
      </c>
      <c r="B12329" s="1" t="str">
        <f>"000397612 - RICH FOODS-FOODBUY"</f>
        <v>000397612 - RICH FOODS-FOODBUY</v>
      </c>
      <c r="C12329" t="s">
        <v>237</v>
      </c>
      <c r="D12329" s="1" t="str">
        <f t="shared" si="335"/>
        <v>PRG-1037161</v>
      </c>
      <c r="E12329" t="s">
        <v>147</v>
      </c>
      <c r="F12329" t="s">
        <v>4</v>
      </c>
      <c r="G12329" t="str">
        <f>""</f>
        <v/>
      </c>
    </row>
    <row r="12330" spans="1:7" x14ac:dyDescent="0.25">
      <c r="A12330" t="s">
        <v>8</v>
      </c>
      <c r="B12330" s="1" t="str">
        <f>"000400591 - RICH FOODS-FOODBUY"</f>
        <v>000400591 - RICH FOODS-FOODBUY</v>
      </c>
      <c r="C12330" t="s">
        <v>237</v>
      </c>
      <c r="D12330" s="1" t="str">
        <f t="shared" si="335"/>
        <v>PRG-1037161</v>
      </c>
      <c r="E12330" t="s">
        <v>147</v>
      </c>
      <c r="F12330" t="s">
        <v>4</v>
      </c>
      <c r="G12330" t="str">
        <f>""</f>
        <v/>
      </c>
    </row>
    <row r="12331" spans="1:7" x14ac:dyDescent="0.25">
      <c r="A12331" t="s">
        <v>8</v>
      </c>
      <c r="B12331" s="1" t="str">
        <f>"000400871 - RICH FOODS-FOODBUY"</f>
        <v>000400871 - RICH FOODS-FOODBUY</v>
      </c>
      <c r="C12331" t="s">
        <v>237</v>
      </c>
      <c r="D12331" s="1" t="str">
        <f t="shared" si="335"/>
        <v>PRG-1037161</v>
      </c>
      <c r="E12331" t="s">
        <v>147</v>
      </c>
      <c r="F12331" t="s">
        <v>4</v>
      </c>
      <c r="G12331" t="str">
        <f>""</f>
        <v/>
      </c>
    </row>
    <row r="12332" spans="1:7" x14ac:dyDescent="0.25">
      <c r="A12332" t="s">
        <v>8</v>
      </c>
      <c r="B12332" s="1" t="str">
        <f>"000401957 - RICH FOODS-FOODBUY"</f>
        <v>000401957 - RICH FOODS-FOODBUY</v>
      </c>
      <c r="C12332" t="s">
        <v>237</v>
      </c>
      <c r="D12332" s="1" t="str">
        <f t="shared" si="335"/>
        <v>PRG-1037161</v>
      </c>
      <c r="E12332" t="s">
        <v>147</v>
      </c>
      <c r="F12332" t="s">
        <v>4</v>
      </c>
      <c r="G12332" t="str">
        <f>""</f>
        <v/>
      </c>
    </row>
    <row r="12333" spans="1:7" x14ac:dyDescent="0.25">
      <c r="A12333" t="s">
        <v>8</v>
      </c>
      <c r="B12333" s="1" t="str">
        <f>"000407025 - RICH FOODS-FOODBUY"</f>
        <v>000407025 - RICH FOODS-FOODBUY</v>
      </c>
      <c r="C12333" t="s">
        <v>237</v>
      </c>
      <c r="D12333" s="1" t="str">
        <f t="shared" si="335"/>
        <v>PRG-1037161</v>
      </c>
      <c r="E12333" t="s">
        <v>147</v>
      </c>
      <c r="F12333" t="s">
        <v>4</v>
      </c>
      <c r="G12333" t="str">
        <f>""</f>
        <v/>
      </c>
    </row>
    <row r="12334" spans="1:7" x14ac:dyDescent="0.25">
      <c r="A12334" t="s">
        <v>8</v>
      </c>
      <c r="B12334" s="1" t="str">
        <f>"000415154 - RICH FOODS-FOODBUY"</f>
        <v>000415154 - RICH FOODS-FOODBUY</v>
      </c>
      <c r="C12334" t="s">
        <v>237</v>
      </c>
      <c r="D12334" s="1" t="str">
        <f t="shared" si="335"/>
        <v>PRG-1037161</v>
      </c>
      <c r="E12334" t="s">
        <v>147</v>
      </c>
      <c r="F12334" t="s">
        <v>4</v>
      </c>
      <c r="G12334" t="str">
        <f>""</f>
        <v/>
      </c>
    </row>
    <row r="12335" spans="1:7" x14ac:dyDescent="0.25">
      <c r="A12335" t="s">
        <v>8</v>
      </c>
      <c r="B12335" s="1" t="str">
        <f>"2000444420 - RICH FDS-FOODBUY COMP COMM"</f>
        <v>2000444420 - RICH FDS-FOODBUY COMP COMM</v>
      </c>
      <c r="C12335" t="s">
        <v>3831</v>
      </c>
      <c r="D12335" s="1" t="str">
        <f t="shared" si="335"/>
        <v>PRG-1037161</v>
      </c>
      <c r="E12335" t="s">
        <v>147</v>
      </c>
      <c r="F12335" t="s">
        <v>4</v>
      </c>
      <c r="G12335" t="str">
        <f>""</f>
        <v/>
      </c>
    </row>
    <row r="12336" spans="1:7" x14ac:dyDescent="0.25">
      <c r="A12336" t="s">
        <v>8</v>
      </c>
      <c r="B12336" s="1" t="str">
        <f>"2000454010 - RICH FDS-FOODBUY COMP COMM"</f>
        <v>2000454010 - RICH FDS-FOODBUY COMP COMM</v>
      </c>
      <c r="C12336" t="s">
        <v>3831</v>
      </c>
      <c r="D12336" s="1" t="str">
        <f t="shared" si="335"/>
        <v>PRG-1037161</v>
      </c>
      <c r="E12336" t="s">
        <v>147</v>
      </c>
      <c r="F12336" t="s">
        <v>4</v>
      </c>
      <c r="G12336" t="str">
        <f>""</f>
        <v/>
      </c>
    </row>
    <row r="12337" spans="1:7" x14ac:dyDescent="0.25">
      <c r="A12337" t="s">
        <v>8</v>
      </c>
      <c r="B12337" s="1" t="str">
        <f>"2000462481 - RICH FDS-FOODBUY COMP COMM"</f>
        <v>2000462481 - RICH FDS-FOODBUY COMP COMM</v>
      </c>
      <c r="C12337" t="s">
        <v>3831</v>
      </c>
      <c r="D12337" s="1" t="str">
        <f t="shared" si="335"/>
        <v>PRG-1037161</v>
      </c>
      <c r="E12337" t="s">
        <v>147</v>
      </c>
      <c r="F12337" t="s">
        <v>4</v>
      </c>
      <c r="G12337" t="str">
        <f>""</f>
        <v/>
      </c>
    </row>
    <row r="12338" spans="1:7" x14ac:dyDescent="0.25">
      <c r="A12338" t="s">
        <v>8</v>
      </c>
      <c r="B12338" s="1" t="str">
        <f>"280844 - "</f>
        <v xml:space="preserve">280844 - </v>
      </c>
      <c r="D12338" s="1" t="str">
        <f t="shared" si="335"/>
        <v>PRG-1037161</v>
      </c>
      <c r="E12338" t="s">
        <v>147</v>
      </c>
      <c r="F12338" t="s">
        <v>4</v>
      </c>
      <c r="G12338" t="str">
        <f>""</f>
        <v/>
      </c>
    </row>
    <row r="12339" spans="1:7" x14ac:dyDescent="0.25">
      <c r="A12339" t="s">
        <v>8</v>
      </c>
      <c r="B12339" s="1" t="str">
        <f>"366312 - "</f>
        <v xml:space="preserve">366312 - </v>
      </c>
      <c r="D12339" s="1" t="str">
        <f t="shared" si="335"/>
        <v>PRG-1037161</v>
      </c>
      <c r="E12339" t="s">
        <v>147</v>
      </c>
      <c r="F12339" t="s">
        <v>4</v>
      </c>
      <c r="G12339" t="str">
        <f>""</f>
        <v/>
      </c>
    </row>
    <row r="12340" spans="1:7" x14ac:dyDescent="0.25">
      <c r="A12340" t="s">
        <v>8</v>
      </c>
      <c r="B12340" s="1" t="str">
        <f>"6026K823"</f>
        <v>6026K823</v>
      </c>
      <c r="C12340" t="s">
        <v>5093</v>
      </c>
      <c r="D12340" s="1" t="str">
        <f t="shared" si="335"/>
        <v>PRG-1037161</v>
      </c>
      <c r="E12340" t="s">
        <v>147</v>
      </c>
      <c r="F12340" t="s">
        <v>5</v>
      </c>
      <c r="G12340" t="str">
        <f>""</f>
        <v/>
      </c>
    </row>
    <row r="12341" spans="1:7" x14ac:dyDescent="0.25">
      <c r="A12341" t="s">
        <v>8</v>
      </c>
      <c r="B12341" s="1" t="str">
        <f>"6026PR79"</f>
        <v>6026PR79</v>
      </c>
      <c r="C12341" t="s">
        <v>5114</v>
      </c>
      <c r="D12341" s="1" t="str">
        <f t="shared" si="335"/>
        <v>PRG-1037161</v>
      </c>
      <c r="E12341" t="s">
        <v>147</v>
      </c>
      <c r="F12341" t="s">
        <v>5</v>
      </c>
      <c r="G12341" t="str">
        <f>""</f>
        <v/>
      </c>
    </row>
    <row r="12342" spans="1:7" x14ac:dyDescent="0.25">
      <c r="A12342" t="s">
        <v>8</v>
      </c>
      <c r="B12342" s="1" t="str">
        <f>"S1Z020J0"</f>
        <v>S1Z020J0</v>
      </c>
      <c r="C12342" t="s">
        <v>5333</v>
      </c>
      <c r="D12342" s="1" t="str">
        <f t="shared" si="335"/>
        <v>PRG-1037161</v>
      </c>
      <c r="E12342" t="s">
        <v>147</v>
      </c>
      <c r="F12342" t="s">
        <v>5</v>
      </c>
      <c r="G12342" t="str">
        <f>""</f>
        <v/>
      </c>
    </row>
    <row r="12343" spans="1:7" x14ac:dyDescent="0.25">
      <c r="A12343" t="s">
        <v>8</v>
      </c>
      <c r="B12343" s="1" t="str">
        <f>"S1Z0OA60"</f>
        <v>S1Z0OA60</v>
      </c>
      <c r="C12343" t="s">
        <v>5425</v>
      </c>
      <c r="D12343" s="1" t="str">
        <f t="shared" si="335"/>
        <v>PRG-1037161</v>
      </c>
      <c r="E12343" t="s">
        <v>147</v>
      </c>
      <c r="F12343" t="s">
        <v>5</v>
      </c>
      <c r="G12343" t="str">
        <f>""</f>
        <v/>
      </c>
    </row>
    <row r="12344" spans="1:7" x14ac:dyDescent="0.25">
      <c r="A12344" t="s">
        <v>8</v>
      </c>
      <c r="B12344" s="1" t="str">
        <f>"S1Z0OF50"</f>
        <v>S1Z0OF50</v>
      </c>
      <c r="C12344" t="s">
        <v>5425</v>
      </c>
      <c r="D12344" s="1" t="str">
        <f t="shared" si="335"/>
        <v>PRG-1037161</v>
      </c>
      <c r="E12344" t="s">
        <v>147</v>
      </c>
      <c r="F12344" t="s">
        <v>5</v>
      </c>
      <c r="G12344" t="str">
        <f>""</f>
        <v/>
      </c>
    </row>
    <row r="12345" spans="1:7" x14ac:dyDescent="0.25">
      <c r="A12345" t="s">
        <v>8</v>
      </c>
      <c r="B12345" s="1" t="str">
        <f>"S1Z0OIK0"</f>
        <v>S1Z0OIK0</v>
      </c>
      <c r="C12345" t="s">
        <v>5425</v>
      </c>
      <c r="D12345" s="1" t="str">
        <f t="shared" si="335"/>
        <v>PRG-1037161</v>
      </c>
      <c r="E12345" t="s">
        <v>147</v>
      </c>
      <c r="F12345" t="s">
        <v>5</v>
      </c>
      <c r="G12345" t="str">
        <f>""</f>
        <v/>
      </c>
    </row>
    <row r="12346" spans="1:7" x14ac:dyDescent="0.25">
      <c r="A12346" t="s">
        <v>8</v>
      </c>
      <c r="B12346" s="1" t="str">
        <f>"000299945 - "</f>
        <v xml:space="preserve">000299945 - </v>
      </c>
      <c r="D12346" s="1" t="str">
        <f>"PRG-1037162"</f>
        <v>PRG-1037162</v>
      </c>
      <c r="E12346" t="s">
        <v>2965</v>
      </c>
      <c r="F12346" t="s">
        <v>4</v>
      </c>
      <c r="G12346" t="str">
        <f>""</f>
        <v/>
      </c>
    </row>
    <row r="12347" spans="1:7" x14ac:dyDescent="0.25">
      <c r="A12347" t="s">
        <v>8</v>
      </c>
      <c r="B12347" s="1" t="str">
        <f>"000377888 - RICH PRODCUTS TREASURE ISLAND"</f>
        <v>000377888 - RICH PRODCUTS TREASURE ISLAND</v>
      </c>
      <c r="C12347" t="s">
        <v>3003</v>
      </c>
      <c r="D12347" s="1" t="str">
        <f>"PRG-1037218"</f>
        <v>PRG-1037218</v>
      </c>
      <c r="E12347" t="s">
        <v>3004</v>
      </c>
      <c r="F12347" t="s">
        <v>4</v>
      </c>
      <c r="G12347" t="str">
        <f>""</f>
        <v/>
      </c>
    </row>
    <row r="12348" spans="1:7" x14ac:dyDescent="0.25">
      <c r="A12348" t="s">
        <v>8</v>
      </c>
      <c r="B12348" s="1" t="str">
        <f>"000290984 - RICH DC-MIGHTY TACO"</f>
        <v>000290984 - RICH DC-MIGHTY TACO</v>
      </c>
      <c r="C12348" t="s">
        <v>2834</v>
      </c>
      <c r="D12348" s="1" t="str">
        <f>"PRG-1037229"</f>
        <v>PRG-1037229</v>
      </c>
      <c r="E12348" t="s">
        <v>2836</v>
      </c>
      <c r="F12348" t="s">
        <v>4</v>
      </c>
      <c r="G12348" t="str">
        <f>""</f>
        <v/>
      </c>
    </row>
    <row r="12349" spans="1:7" x14ac:dyDescent="0.25">
      <c r="A12349" t="s">
        <v>8</v>
      </c>
      <c r="B12349" s="1" t="str">
        <f>"000011386 - RICH FOOD-NUTRITION SYSTEMS"</f>
        <v>000011386 - RICH FOOD-NUTRITION SYSTEMS</v>
      </c>
      <c r="C12349" t="s">
        <v>324</v>
      </c>
      <c r="D12349" s="1" t="str">
        <f t="shared" ref="D12349:D12357" si="336">"PRG-1037357"</f>
        <v>PRG-1037357</v>
      </c>
      <c r="E12349" t="s">
        <v>325</v>
      </c>
      <c r="F12349" t="s">
        <v>4</v>
      </c>
      <c r="G12349" t="str">
        <f>""</f>
        <v/>
      </c>
    </row>
    <row r="12350" spans="1:7" x14ac:dyDescent="0.25">
      <c r="A12350" t="s">
        <v>8</v>
      </c>
      <c r="B12350" s="1" t="str">
        <f>"000163648 - RICH FOOD-NUTRITION SYSTEMS"</f>
        <v>000163648 - RICH FOOD-NUTRITION SYSTEMS</v>
      </c>
      <c r="C12350" t="s">
        <v>324</v>
      </c>
      <c r="D12350" s="1" t="str">
        <f t="shared" si="336"/>
        <v>PRG-1037357</v>
      </c>
      <c r="E12350" t="s">
        <v>325</v>
      </c>
      <c r="F12350" t="s">
        <v>4</v>
      </c>
      <c r="G12350" t="str">
        <f>""</f>
        <v/>
      </c>
    </row>
    <row r="12351" spans="1:7" x14ac:dyDescent="0.25">
      <c r="A12351" t="s">
        <v>8</v>
      </c>
      <c r="B12351" s="1" t="str">
        <f>"000165811 - RICH FOODS-NUTRITION SYS"</f>
        <v>000165811 - RICH FOODS-NUTRITION SYS</v>
      </c>
      <c r="C12351" t="s">
        <v>337</v>
      </c>
      <c r="D12351" s="1" t="str">
        <f t="shared" si="336"/>
        <v>PRG-1037357</v>
      </c>
      <c r="E12351" t="s">
        <v>325</v>
      </c>
      <c r="F12351" t="s">
        <v>4</v>
      </c>
      <c r="G12351" t="str">
        <f>""</f>
        <v/>
      </c>
    </row>
    <row r="12352" spans="1:7" x14ac:dyDescent="0.25">
      <c r="A12352" t="s">
        <v>8</v>
      </c>
      <c r="B12352" s="1" t="str">
        <f>"000223935 - RICH FOOD-NUTRITION SYSTEMS"</f>
        <v>000223935 - RICH FOOD-NUTRITION SYSTEMS</v>
      </c>
      <c r="C12352" t="s">
        <v>324</v>
      </c>
      <c r="D12352" s="1" t="str">
        <f t="shared" si="336"/>
        <v>PRG-1037357</v>
      </c>
      <c r="E12352" t="s">
        <v>325</v>
      </c>
      <c r="F12352" t="s">
        <v>4</v>
      </c>
      <c r="G12352" t="str">
        <f>""</f>
        <v/>
      </c>
    </row>
    <row r="12353" spans="1:7" x14ac:dyDescent="0.25">
      <c r="A12353" t="s">
        <v>8</v>
      </c>
      <c r="B12353" s="1" t="str">
        <f>"000249027 - RICH FOOD-NUTRITION SYSTEMS"</f>
        <v>000249027 - RICH FOOD-NUTRITION SYSTEMS</v>
      </c>
      <c r="C12353" t="s">
        <v>324</v>
      </c>
      <c r="D12353" s="1" t="str">
        <f t="shared" si="336"/>
        <v>PRG-1037357</v>
      </c>
      <c r="E12353" t="s">
        <v>325</v>
      </c>
      <c r="F12353" t="s">
        <v>4</v>
      </c>
      <c r="G12353" t="str">
        <f>""</f>
        <v/>
      </c>
    </row>
    <row r="12354" spans="1:7" x14ac:dyDescent="0.25">
      <c r="A12354" t="s">
        <v>8</v>
      </c>
      <c r="B12354" s="1" t="str">
        <f>"000250866 - RICH FOODS-NUTRITION SYS"</f>
        <v>000250866 - RICH FOODS-NUTRITION SYS</v>
      </c>
      <c r="C12354" t="s">
        <v>337</v>
      </c>
      <c r="D12354" s="1" t="str">
        <f t="shared" si="336"/>
        <v>PRG-1037357</v>
      </c>
      <c r="E12354" t="s">
        <v>325</v>
      </c>
      <c r="F12354" t="s">
        <v>4</v>
      </c>
      <c r="G12354" t="str">
        <f>""</f>
        <v/>
      </c>
    </row>
    <row r="12355" spans="1:7" x14ac:dyDescent="0.25">
      <c r="A12355" t="s">
        <v>8</v>
      </c>
      <c r="B12355" s="1" t="str">
        <f>"000260428 - RICH FOOD-NUTRITION SYSTEMS"</f>
        <v>000260428 - RICH FOOD-NUTRITION SYSTEMS</v>
      </c>
      <c r="C12355" t="s">
        <v>324</v>
      </c>
      <c r="D12355" s="1" t="str">
        <f t="shared" si="336"/>
        <v>PRG-1037357</v>
      </c>
      <c r="E12355" t="s">
        <v>325</v>
      </c>
      <c r="F12355" t="s">
        <v>4</v>
      </c>
      <c r="G12355" t="str">
        <f>""</f>
        <v/>
      </c>
    </row>
    <row r="12356" spans="1:7" x14ac:dyDescent="0.25">
      <c r="A12356" t="s">
        <v>8</v>
      </c>
      <c r="B12356" s="1" t="str">
        <f>"000262797 - RICH FOODS-NUTRITION SYS"</f>
        <v>000262797 - RICH FOODS-NUTRITION SYS</v>
      </c>
      <c r="C12356" t="s">
        <v>337</v>
      </c>
      <c r="D12356" s="1" t="str">
        <f t="shared" si="336"/>
        <v>PRG-1037357</v>
      </c>
      <c r="E12356" t="s">
        <v>325</v>
      </c>
      <c r="F12356" t="s">
        <v>4</v>
      </c>
      <c r="G12356" t="str">
        <f>""</f>
        <v/>
      </c>
    </row>
    <row r="12357" spans="1:7" x14ac:dyDescent="0.25">
      <c r="A12357" t="s">
        <v>8</v>
      </c>
      <c r="B12357" s="1" t="str">
        <f>"000366197 - RICH FOODS-NUTRITION SYS"</f>
        <v>000366197 - RICH FOODS-NUTRITION SYS</v>
      </c>
      <c r="C12357" t="s">
        <v>337</v>
      </c>
      <c r="D12357" s="1" t="str">
        <f t="shared" si="336"/>
        <v>PRG-1037357</v>
      </c>
      <c r="E12357" t="s">
        <v>325</v>
      </c>
      <c r="F12357" t="s">
        <v>4</v>
      </c>
      <c r="G12357" t="str">
        <f>""</f>
        <v/>
      </c>
    </row>
    <row r="12358" spans="1:7" x14ac:dyDescent="0.25">
      <c r="A12358" t="s">
        <v>8</v>
      </c>
      <c r="B12358" s="1" t="str">
        <f>"000299380 - "</f>
        <v xml:space="preserve">000299380 - </v>
      </c>
      <c r="D12358" s="1" t="str">
        <f>"PRG-1037358"</f>
        <v>PRG-1037358</v>
      </c>
      <c r="E12358" t="s">
        <v>2952</v>
      </c>
      <c r="F12358" t="s">
        <v>4</v>
      </c>
      <c r="G12358" t="str">
        <f>""</f>
        <v/>
      </c>
    </row>
    <row r="12359" spans="1:7" x14ac:dyDescent="0.25">
      <c r="A12359" t="s">
        <v>8</v>
      </c>
      <c r="B12359" s="1" t="str">
        <f>"000299420 - RICH MALLORYS"</f>
        <v>000299420 - RICH MALLORYS</v>
      </c>
      <c r="C12359" t="s">
        <v>2953</v>
      </c>
      <c r="D12359" s="1" t="str">
        <f>"PRG-1037359"</f>
        <v>PRG-1037359</v>
      </c>
      <c r="E12359" t="s">
        <v>2954</v>
      </c>
      <c r="F12359" t="s">
        <v>4</v>
      </c>
      <c r="G12359" t="str">
        <f>""</f>
        <v/>
      </c>
    </row>
    <row r="12360" spans="1:7" x14ac:dyDescent="0.25">
      <c r="A12360" t="s">
        <v>8</v>
      </c>
      <c r="B12360" s="1" t="str">
        <f>"000062246 - RICHS PRODUCTS JIMMYS FAMOUS"</f>
        <v>000062246 - RICHS PRODUCTS JIMMYS FAMOUS</v>
      </c>
      <c r="C12360" t="s">
        <v>695</v>
      </c>
      <c r="D12360" s="1" t="str">
        <f>"PRG-1037365"</f>
        <v>PRG-1037365</v>
      </c>
      <c r="E12360" t="s">
        <v>696</v>
      </c>
      <c r="F12360" t="s">
        <v>4</v>
      </c>
      <c r="G12360" t="str">
        <f>""</f>
        <v/>
      </c>
    </row>
    <row r="12361" spans="1:7" x14ac:dyDescent="0.25">
      <c r="A12361" t="s">
        <v>8</v>
      </c>
      <c r="B12361" s="1" t="str">
        <f>"000299897 - "</f>
        <v xml:space="preserve">000299897 - </v>
      </c>
      <c r="D12361" s="1" t="str">
        <f>"PRG-1037386"</f>
        <v>PRG-1037386</v>
      </c>
      <c r="E12361" t="s">
        <v>2964</v>
      </c>
      <c r="F12361" t="s">
        <v>4</v>
      </c>
      <c r="G12361" t="str">
        <f>""</f>
        <v/>
      </c>
    </row>
    <row r="12362" spans="1:7" x14ac:dyDescent="0.25">
      <c r="A12362" t="s">
        <v>8</v>
      </c>
      <c r="B12362" s="1" t="str">
        <f>"000000731 - RICH FOODS-COLD STONE CREAMERY"</f>
        <v>000000731 - RICH FOODS-COLD STONE CREAMERY</v>
      </c>
      <c r="C12362" t="s">
        <v>68</v>
      </c>
      <c r="D12362" s="1" t="str">
        <f t="shared" ref="D12362:D12391" si="337">"PRG-1037460"</f>
        <v>PRG-1037460</v>
      </c>
      <c r="E12362" t="s">
        <v>69</v>
      </c>
      <c r="F12362" t="s">
        <v>4</v>
      </c>
      <c r="G12362" t="str">
        <f>""</f>
        <v/>
      </c>
    </row>
    <row r="12363" spans="1:7" x14ac:dyDescent="0.25">
      <c r="A12363" t="s">
        <v>8</v>
      </c>
      <c r="B12363" s="1" t="str">
        <f>"000008834 - RICH FOODS-BETTERCREME-COLDSTO"</f>
        <v>000008834 - RICH FOODS-BETTERCREME-COLDSTO</v>
      </c>
      <c r="C12363" t="s">
        <v>286</v>
      </c>
      <c r="D12363" s="1" t="str">
        <f t="shared" si="337"/>
        <v>PRG-1037460</v>
      </c>
      <c r="E12363" t="s">
        <v>69</v>
      </c>
      <c r="F12363" t="s">
        <v>4</v>
      </c>
      <c r="G12363" t="str">
        <f>""</f>
        <v/>
      </c>
    </row>
    <row r="12364" spans="1:7" x14ac:dyDescent="0.25">
      <c r="A12364" t="s">
        <v>8</v>
      </c>
      <c r="B12364" s="1" t="str">
        <f>"000012185 - RICH FOODS BETTERCREME-COLDSTO"</f>
        <v>000012185 - RICH FOODS BETTERCREME-COLDSTO</v>
      </c>
      <c r="C12364" t="s">
        <v>319</v>
      </c>
      <c r="D12364" s="1" t="str">
        <f t="shared" si="337"/>
        <v>PRG-1037460</v>
      </c>
      <c r="E12364" t="s">
        <v>69</v>
      </c>
      <c r="F12364" t="s">
        <v>4</v>
      </c>
      <c r="G12364" t="str">
        <f>""</f>
        <v/>
      </c>
    </row>
    <row r="12365" spans="1:7" x14ac:dyDescent="0.25">
      <c r="A12365" t="s">
        <v>8</v>
      </c>
      <c r="B12365" s="1" t="str">
        <f>"000015256 - BETTERCREME-RICH FDS COLDSTONE"</f>
        <v>000015256 - BETTERCREME-RICH FDS COLDSTONE</v>
      </c>
      <c r="C12365" t="s">
        <v>364</v>
      </c>
      <c r="D12365" s="1" t="str">
        <f t="shared" si="337"/>
        <v>PRG-1037460</v>
      </c>
      <c r="E12365" t="s">
        <v>69</v>
      </c>
      <c r="F12365" t="s">
        <v>4</v>
      </c>
      <c r="G12365" t="str">
        <f>""</f>
        <v/>
      </c>
    </row>
    <row r="12366" spans="1:7" x14ac:dyDescent="0.25">
      <c r="A12366" t="s">
        <v>8</v>
      </c>
      <c r="B12366" s="1" t="str">
        <f>"000017721 - RICH FOODS BETTERCREME-COLDSTO"</f>
        <v>000017721 - RICH FOODS BETTERCREME-COLDSTO</v>
      </c>
      <c r="C12366" t="s">
        <v>319</v>
      </c>
      <c r="D12366" s="1" t="str">
        <f t="shared" si="337"/>
        <v>PRG-1037460</v>
      </c>
      <c r="E12366" t="s">
        <v>69</v>
      </c>
      <c r="F12366" t="s">
        <v>4</v>
      </c>
      <c r="G12366" t="str">
        <f>""</f>
        <v/>
      </c>
    </row>
    <row r="12367" spans="1:7" x14ac:dyDescent="0.25">
      <c r="A12367" t="s">
        <v>8</v>
      </c>
      <c r="B12367" s="1" t="str">
        <f>"000017781 - RICH FOODS-BETTERCREME-COLDSTO"</f>
        <v>000017781 - RICH FOODS-BETTERCREME-COLDSTO</v>
      </c>
      <c r="C12367" t="s">
        <v>286</v>
      </c>
      <c r="D12367" s="1" t="str">
        <f t="shared" si="337"/>
        <v>PRG-1037460</v>
      </c>
      <c r="E12367" t="s">
        <v>69</v>
      </c>
      <c r="F12367" t="s">
        <v>4</v>
      </c>
      <c r="G12367" t="str">
        <f>""</f>
        <v/>
      </c>
    </row>
    <row r="12368" spans="1:7" x14ac:dyDescent="0.25">
      <c r="A12368" t="s">
        <v>8</v>
      </c>
      <c r="B12368" s="1" t="str">
        <f>"000017845 - RICH FOODS-CBB-COLDSTONE"</f>
        <v>000017845 - RICH FOODS-CBB-COLDSTONE</v>
      </c>
      <c r="C12368" t="s">
        <v>287</v>
      </c>
      <c r="D12368" s="1" t="str">
        <f t="shared" si="337"/>
        <v>PRG-1037460</v>
      </c>
      <c r="E12368" t="s">
        <v>69</v>
      </c>
      <c r="F12368" t="s">
        <v>4</v>
      </c>
      <c r="G12368" t="str">
        <f>""</f>
        <v/>
      </c>
    </row>
    <row r="12369" spans="1:7" x14ac:dyDescent="0.25">
      <c r="A12369" t="s">
        <v>8</v>
      </c>
      <c r="B12369" s="1" t="str">
        <f>"000021435 - RICH FOODS BETTERCREME-COLDSTO"</f>
        <v>000021435 - RICH FOODS BETTERCREME-COLDSTO</v>
      </c>
      <c r="C12369" t="s">
        <v>319</v>
      </c>
      <c r="D12369" s="1" t="str">
        <f t="shared" si="337"/>
        <v>PRG-1037460</v>
      </c>
      <c r="E12369" t="s">
        <v>69</v>
      </c>
      <c r="F12369" t="s">
        <v>4</v>
      </c>
      <c r="G12369" t="str">
        <f>""</f>
        <v/>
      </c>
    </row>
    <row r="12370" spans="1:7" x14ac:dyDescent="0.25">
      <c r="A12370" t="s">
        <v>8</v>
      </c>
      <c r="B12370" s="1" t="str">
        <f>"000061483 - RICH FOODS-BETTERCREME-COLDSTO"</f>
        <v>000061483 - RICH FOODS-BETTERCREME-COLDSTO</v>
      </c>
      <c r="C12370" t="s">
        <v>286</v>
      </c>
      <c r="D12370" s="1" t="str">
        <f t="shared" si="337"/>
        <v>PRG-1037460</v>
      </c>
      <c r="E12370" t="s">
        <v>69</v>
      </c>
      <c r="F12370" t="s">
        <v>4</v>
      </c>
      <c r="G12370" t="str">
        <f>""</f>
        <v/>
      </c>
    </row>
    <row r="12371" spans="1:7" x14ac:dyDescent="0.25">
      <c r="A12371" t="s">
        <v>8</v>
      </c>
      <c r="B12371" s="1" t="str">
        <f>"000061531 - RICH FOODS-CBB-COLDSTONE"</f>
        <v>000061531 - RICH FOODS-CBB-COLDSTONE</v>
      </c>
      <c r="C12371" t="s">
        <v>287</v>
      </c>
      <c r="D12371" s="1" t="str">
        <f t="shared" si="337"/>
        <v>PRG-1037460</v>
      </c>
      <c r="E12371" t="s">
        <v>69</v>
      </c>
      <c r="F12371" t="s">
        <v>4</v>
      </c>
      <c r="G12371" t="str">
        <f>""</f>
        <v/>
      </c>
    </row>
    <row r="12372" spans="1:7" x14ac:dyDescent="0.25">
      <c r="A12372" t="s">
        <v>8</v>
      </c>
      <c r="B12372" s="1" t="str">
        <f>"000063998 - RICH FOODS BETTERCREME-COLDSTO"</f>
        <v>000063998 - RICH FOODS BETTERCREME-COLDSTO</v>
      </c>
      <c r="C12372" t="s">
        <v>319</v>
      </c>
      <c r="D12372" s="1" t="str">
        <f t="shared" si="337"/>
        <v>PRG-1037460</v>
      </c>
      <c r="E12372" t="s">
        <v>69</v>
      </c>
      <c r="F12372" t="s">
        <v>4</v>
      </c>
      <c r="G12372" t="str">
        <f>""</f>
        <v/>
      </c>
    </row>
    <row r="12373" spans="1:7" x14ac:dyDescent="0.25">
      <c r="A12373" t="s">
        <v>8</v>
      </c>
      <c r="B12373" s="1" t="str">
        <f>"000136700 - RICH FOODS-BETTERCREME-COLDSTO"</f>
        <v>000136700 - RICH FOODS-BETTERCREME-COLDSTO</v>
      </c>
      <c r="C12373" t="s">
        <v>286</v>
      </c>
      <c r="D12373" s="1" t="str">
        <f t="shared" si="337"/>
        <v>PRG-1037460</v>
      </c>
      <c r="E12373" t="s">
        <v>69</v>
      </c>
      <c r="F12373" t="s">
        <v>4</v>
      </c>
      <c r="G12373" t="str">
        <f>""</f>
        <v/>
      </c>
    </row>
    <row r="12374" spans="1:7" x14ac:dyDescent="0.25">
      <c r="A12374" t="s">
        <v>8</v>
      </c>
      <c r="B12374" s="1" t="str">
        <f>"000136743 - RICHS BRD&amp;ROLL NCORE BB-SODEXO"</f>
        <v>000136743 - RICHS BRD&amp;ROLL NCORE BB-SODEXO</v>
      </c>
      <c r="C12374" t="s">
        <v>569</v>
      </c>
      <c r="D12374" s="1" t="str">
        <f t="shared" si="337"/>
        <v>PRG-1037460</v>
      </c>
      <c r="E12374" t="s">
        <v>69</v>
      </c>
      <c r="F12374" t="s">
        <v>4</v>
      </c>
      <c r="G12374" t="str">
        <f>""</f>
        <v/>
      </c>
    </row>
    <row r="12375" spans="1:7" x14ac:dyDescent="0.25">
      <c r="A12375" t="s">
        <v>8</v>
      </c>
      <c r="B12375" s="1" t="str">
        <f>"000138867 - RICH FOODS BETTERCREME-COLDSTO"</f>
        <v>000138867 - RICH FOODS BETTERCREME-COLDSTO</v>
      </c>
      <c r="C12375" t="s">
        <v>319</v>
      </c>
      <c r="D12375" s="1" t="str">
        <f t="shared" si="337"/>
        <v>PRG-1037460</v>
      </c>
      <c r="E12375" t="s">
        <v>69</v>
      </c>
      <c r="F12375" t="s">
        <v>4</v>
      </c>
      <c r="G12375" t="str">
        <f>""</f>
        <v/>
      </c>
    </row>
    <row r="12376" spans="1:7" x14ac:dyDescent="0.25">
      <c r="A12376" t="s">
        <v>8</v>
      </c>
      <c r="B12376" s="1" t="str">
        <f>"000247148 - RICH FOODS-BETTERCREME-COLDSTO"</f>
        <v>000247148 - RICH FOODS-BETTERCREME-COLDSTO</v>
      </c>
      <c r="C12376" t="s">
        <v>286</v>
      </c>
      <c r="D12376" s="1" t="str">
        <f t="shared" si="337"/>
        <v>PRG-1037460</v>
      </c>
      <c r="E12376" t="s">
        <v>69</v>
      </c>
      <c r="F12376" t="s">
        <v>4</v>
      </c>
      <c r="G12376" t="str">
        <f>""</f>
        <v/>
      </c>
    </row>
    <row r="12377" spans="1:7" x14ac:dyDescent="0.25">
      <c r="A12377" t="s">
        <v>8</v>
      </c>
      <c r="B12377" s="1" t="str">
        <f>"000247204 - RICH FOODS-CBB-COLDSTONE"</f>
        <v>000247204 - RICH FOODS-CBB-COLDSTONE</v>
      </c>
      <c r="C12377" t="s">
        <v>287</v>
      </c>
      <c r="D12377" s="1" t="str">
        <f t="shared" si="337"/>
        <v>PRG-1037460</v>
      </c>
      <c r="E12377" t="s">
        <v>69</v>
      </c>
      <c r="F12377" t="s">
        <v>4</v>
      </c>
      <c r="G12377" t="str">
        <f>""</f>
        <v/>
      </c>
    </row>
    <row r="12378" spans="1:7" x14ac:dyDescent="0.25">
      <c r="A12378" t="s">
        <v>8</v>
      </c>
      <c r="B12378" s="1" t="str">
        <f>"000250477 - BB COLDSTONE FOB BETTERCREME"</f>
        <v>000250477 - BB COLDSTONE FOB BETTERCREME</v>
      </c>
      <c r="C12378" t="s">
        <v>2095</v>
      </c>
      <c r="D12378" s="1" t="str">
        <f t="shared" si="337"/>
        <v>PRG-1037460</v>
      </c>
      <c r="E12378" t="s">
        <v>69</v>
      </c>
      <c r="F12378" t="s">
        <v>4</v>
      </c>
      <c r="G12378" t="str">
        <f>""</f>
        <v/>
      </c>
    </row>
    <row r="12379" spans="1:7" x14ac:dyDescent="0.25">
      <c r="A12379" t="s">
        <v>8</v>
      </c>
      <c r="B12379" s="1" t="str">
        <f>"000252260 - RICH FOODS-BETTERCREME-COLDSTO"</f>
        <v>000252260 - RICH FOODS-BETTERCREME-COLDSTO</v>
      </c>
      <c r="C12379" t="s">
        <v>286</v>
      </c>
      <c r="D12379" s="1" t="str">
        <f t="shared" si="337"/>
        <v>PRG-1037460</v>
      </c>
      <c r="E12379" t="s">
        <v>69</v>
      </c>
      <c r="F12379" t="s">
        <v>4</v>
      </c>
      <c r="G12379" t="str">
        <f>""</f>
        <v/>
      </c>
    </row>
    <row r="12380" spans="1:7" x14ac:dyDescent="0.25">
      <c r="A12380" t="s">
        <v>8</v>
      </c>
      <c r="B12380" s="1" t="str">
        <f>"000252300 - RICH FOODS-CBB-COLDSTONE"</f>
        <v>000252300 - RICH FOODS-CBB-COLDSTONE</v>
      </c>
      <c r="C12380" t="s">
        <v>287</v>
      </c>
      <c r="D12380" s="1" t="str">
        <f t="shared" si="337"/>
        <v>PRG-1037460</v>
      </c>
      <c r="E12380" t="s">
        <v>69</v>
      </c>
      <c r="F12380" t="s">
        <v>4</v>
      </c>
      <c r="G12380" t="str">
        <f>""</f>
        <v/>
      </c>
    </row>
    <row r="12381" spans="1:7" x14ac:dyDescent="0.25">
      <c r="A12381" t="s">
        <v>8</v>
      </c>
      <c r="B12381" s="1" t="str">
        <f>"000254891 - RICH FOODS BETTERCREME-COLDSTO"</f>
        <v>000254891 - RICH FOODS BETTERCREME-COLDSTO</v>
      </c>
      <c r="C12381" t="s">
        <v>319</v>
      </c>
      <c r="D12381" s="1" t="str">
        <f t="shared" si="337"/>
        <v>PRG-1037460</v>
      </c>
      <c r="E12381" t="s">
        <v>69</v>
      </c>
      <c r="F12381" t="s">
        <v>4</v>
      </c>
      <c r="G12381" t="str">
        <f>""</f>
        <v/>
      </c>
    </row>
    <row r="12382" spans="1:7" x14ac:dyDescent="0.25">
      <c r="A12382" t="s">
        <v>8</v>
      </c>
      <c r="B12382" s="1" t="str">
        <f>"000268186 - RICH FOODS BETTERCREME-COLDSTO"</f>
        <v>000268186 - RICH FOODS BETTERCREME-COLDSTO</v>
      </c>
      <c r="C12382" t="s">
        <v>319</v>
      </c>
      <c r="D12382" s="1" t="str">
        <f t="shared" si="337"/>
        <v>PRG-1037460</v>
      </c>
      <c r="E12382" t="s">
        <v>69</v>
      </c>
      <c r="F12382" t="s">
        <v>4</v>
      </c>
      <c r="G12382" t="str">
        <f>""</f>
        <v/>
      </c>
    </row>
    <row r="12383" spans="1:7" x14ac:dyDescent="0.25">
      <c r="A12383" t="s">
        <v>8</v>
      </c>
      <c r="B12383" s="1" t="str">
        <f>"000319436 - RICH FOODS-BETTERCREME-COLDSTO"</f>
        <v>000319436 - RICH FOODS-BETTERCREME-COLDSTO</v>
      </c>
      <c r="C12383" t="s">
        <v>286</v>
      </c>
      <c r="D12383" s="1" t="str">
        <f t="shared" si="337"/>
        <v>PRG-1037460</v>
      </c>
      <c r="E12383" t="s">
        <v>69</v>
      </c>
      <c r="F12383" t="s">
        <v>4</v>
      </c>
      <c r="G12383" t="str">
        <f>""</f>
        <v/>
      </c>
    </row>
    <row r="12384" spans="1:7" x14ac:dyDescent="0.25">
      <c r="A12384" t="s">
        <v>8</v>
      </c>
      <c r="B12384" s="1" t="str">
        <f>"000322177 - RICH FOODS BETTERCREME-COLDSTO"</f>
        <v>000322177 - RICH FOODS BETTERCREME-COLDSTO</v>
      </c>
      <c r="C12384" t="s">
        <v>319</v>
      </c>
      <c r="D12384" s="1" t="str">
        <f t="shared" si="337"/>
        <v>PRG-1037460</v>
      </c>
      <c r="E12384" t="s">
        <v>69</v>
      </c>
      <c r="F12384" t="s">
        <v>4</v>
      </c>
      <c r="G12384" t="str">
        <f>""</f>
        <v/>
      </c>
    </row>
    <row r="12385" spans="1:7" x14ac:dyDescent="0.25">
      <c r="A12385" t="s">
        <v>8</v>
      </c>
      <c r="B12385" s="1" t="str">
        <f>"000345865 - RICH FOODS-BETTERCREME-COLDSTO"</f>
        <v>000345865 - RICH FOODS-BETTERCREME-COLDSTO</v>
      </c>
      <c r="C12385" t="s">
        <v>286</v>
      </c>
      <c r="D12385" s="1" t="str">
        <f t="shared" si="337"/>
        <v>PRG-1037460</v>
      </c>
      <c r="E12385" t="s">
        <v>69</v>
      </c>
      <c r="F12385" t="s">
        <v>4</v>
      </c>
      <c r="G12385" t="str">
        <f>""</f>
        <v/>
      </c>
    </row>
    <row r="12386" spans="1:7" x14ac:dyDescent="0.25">
      <c r="A12386" t="s">
        <v>8</v>
      </c>
      <c r="B12386" s="1" t="str">
        <f>"000345932 - RICH FOODS-CBB-COLDSTONE"</f>
        <v>000345932 - RICH FOODS-CBB-COLDSTONE</v>
      </c>
      <c r="C12386" t="s">
        <v>287</v>
      </c>
      <c r="D12386" s="1" t="str">
        <f t="shared" si="337"/>
        <v>PRG-1037460</v>
      </c>
      <c r="E12386" t="s">
        <v>69</v>
      </c>
      <c r="F12386" t="s">
        <v>4</v>
      </c>
      <c r="G12386" t="str">
        <f>""</f>
        <v/>
      </c>
    </row>
    <row r="12387" spans="1:7" x14ac:dyDescent="0.25">
      <c r="A12387" t="s">
        <v>8</v>
      </c>
      <c r="B12387" s="1" t="str">
        <f>"000350204 - RICH FOODS BETTERCREME-COLDSTO"</f>
        <v>000350204 - RICH FOODS BETTERCREME-COLDSTO</v>
      </c>
      <c r="C12387" t="s">
        <v>319</v>
      </c>
      <c r="D12387" s="1" t="str">
        <f t="shared" si="337"/>
        <v>PRG-1037460</v>
      </c>
      <c r="E12387" t="s">
        <v>69</v>
      </c>
      <c r="F12387" t="s">
        <v>4</v>
      </c>
      <c r="G12387" t="str">
        <f>""</f>
        <v/>
      </c>
    </row>
    <row r="12388" spans="1:7" x14ac:dyDescent="0.25">
      <c r="A12388" t="s">
        <v>8</v>
      </c>
      <c r="B12388" s="1" t="str">
        <f>"000376069 - RICH FOODS-BETTERCREME-COLDSTO"</f>
        <v>000376069 - RICH FOODS-BETTERCREME-COLDSTO</v>
      </c>
      <c r="C12388" t="s">
        <v>286</v>
      </c>
      <c r="D12388" s="1" t="str">
        <f t="shared" si="337"/>
        <v>PRG-1037460</v>
      </c>
      <c r="E12388" t="s">
        <v>69</v>
      </c>
      <c r="F12388" t="s">
        <v>4</v>
      </c>
      <c r="G12388" t="str">
        <f>""</f>
        <v/>
      </c>
    </row>
    <row r="12389" spans="1:7" x14ac:dyDescent="0.25">
      <c r="A12389" t="s">
        <v>8</v>
      </c>
      <c r="B12389" s="1" t="str">
        <f>"000376120 - RICH FOODS-CBB-COLDSTONE"</f>
        <v>000376120 - RICH FOODS-CBB-COLDSTONE</v>
      </c>
      <c r="C12389" t="s">
        <v>287</v>
      </c>
      <c r="D12389" s="1" t="str">
        <f t="shared" si="337"/>
        <v>PRG-1037460</v>
      </c>
      <c r="E12389" t="s">
        <v>69</v>
      </c>
      <c r="F12389" t="s">
        <v>4</v>
      </c>
      <c r="G12389" t="str">
        <f>""</f>
        <v/>
      </c>
    </row>
    <row r="12390" spans="1:7" x14ac:dyDescent="0.25">
      <c r="A12390" t="s">
        <v>8</v>
      </c>
      <c r="B12390" s="1" t="str">
        <f>"000379902 - RICH FOODS BETTERCREME-COLDSTO"</f>
        <v>000379902 - RICH FOODS BETTERCREME-COLDSTO</v>
      </c>
      <c r="C12390" t="s">
        <v>319</v>
      </c>
      <c r="D12390" s="1" t="str">
        <f t="shared" si="337"/>
        <v>PRG-1037460</v>
      </c>
      <c r="E12390" t="s">
        <v>69</v>
      </c>
      <c r="F12390" t="s">
        <v>4</v>
      </c>
      <c r="G12390" t="str">
        <f>""</f>
        <v/>
      </c>
    </row>
    <row r="12391" spans="1:7" x14ac:dyDescent="0.25">
      <c r="A12391" t="s">
        <v>8</v>
      </c>
      <c r="B12391" s="1" t="str">
        <f>"2000431150 - RICH FOODS-COLD STONE CREAMERY"</f>
        <v>2000431150 - RICH FOODS-COLD STONE CREAMERY</v>
      </c>
      <c r="C12391" t="s">
        <v>68</v>
      </c>
      <c r="D12391" s="1" t="str">
        <f t="shared" si="337"/>
        <v>PRG-1037460</v>
      </c>
      <c r="E12391" t="s">
        <v>69</v>
      </c>
      <c r="F12391" t="s">
        <v>4</v>
      </c>
      <c r="G12391" t="str">
        <f>""</f>
        <v/>
      </c>
    </row>
    <row r="12392" spans="1:7" x14ac:dyDescent="0.25">
      <c r="A12392" t="s">
        <v>8</v>
      </c>
      <c r="B12392" s="1" t="str">
        <f>"000316883 - RICH PRODUCTS-GRIST BEER HALL"</f>
        <v>000316883 - RICH PRODUCTS-GRIST BEER HALL</v>
      </c>
      <c r="C12392" t="s">
        <v>3194</v>
      </c>
      <c r="D12392" s="1" t="str">
        <f>"PRG-1037511"</f>
        <v>PRG-1037511</v>
      </c>
      <c r="E12392" t="s">
        <v>3195</v>
      </c>
      <c r="F12392" t="s">
        <v>4</v>
      </c>
      <c r="G12392" t="str">
        <f>""</f>
        <v/>
      </c>
    </row>
    <row r="12393" spans="1:7" x14ac:dyDescent="0.25">
      <c r="A12393" t="s">
        <v>8</v>
      </c>
      <c r="B12393" s="1" t="str">
        <f>"000260448 - RICH FOODS-JOHNNY ROCKETS"</f>
        <v>000260448 - RICH FOODS-JOHNNY ROCKETS</v>
      </c>
      <c r="C12393" t="s">
        <v>2262</v>
      </c>
      <c r="D12393" s="1" t="str">
        <f>"PRG-1037713"</f>
        <v>PRG-1037713</v>
      </c>
      <c r="E12393" t="s">
        <v>2263</v>
      </c>
      <c r="F12393" t="s">
        <v>4</v>
      </c>
      <c r="G12393" t="str">
        <f>""</f>
        <v/>
      </c>
    </row>
    <row r="12394" spans="1:7" x14ac:dyDescent="0.25">
      <c r="A12394" t="s">
        <v>8</v>
      </c>
      <c r="B12394" s="1" t="str">
        <f>"S1Z0QYD0"</f>
        <v>S1Z0QYD0</v>
      </c>
      <c r="C12394" t="s">
        <v>5436</v>
      </c>
      <c r="D12394" s="1" t="str">
        <f>"PRG-1037888"</f>
        <v>PRG-1037888</v>
      </c>
      <c r="E12394" t="s">
        <v>5437</v>
      </c>
      <c r="F12394" t="s">
        <v>5</v>
      </c>
      <c r="G12394" t="str">
        <f>""</f>
        <v/>
      </c>
    </row>
    <row r="12395" spans="1:7" x14ac:dyDescent="0.25">
      <c r="A12395" t="s">
        <v>8</v>
      </c>
      <c r="B12395" s="1" t="str">
        <f>"000242326 - RICHS REBOUNDERZ"</f>
        <v>000242326 - RICHS REBOUNDERZ</v>
      </c>
      <c r="C12395" t="s">
        <v>1938</v>
      </c>
      <c r="D12395" s="1" t="str">
        <f>"PRG-1037894"</f>
        <v>PRG-1037894</v>
      </c>
      <c r="E12395" t="s">
        <v>1939</v>
      </c>
      <c r="F12395" t="s">
        <v>4</v>
      </c>
      <c r="G12395" t="str">
        <f>""</f>
        <v/>
      </c>
    </row>
    <row r="12396" spans="1:7" x14ac:dyDescent="0.25">
      <c r="A12396" t="s">
        <v>8</v>
      </c>
      <c r="B12396" s="1" t="str">
        <f>"000242325 - RICHS DIRTY DICKS"</f>
        <v>000242325 - RICHS DIRTY DICKS</v>
      </c>
      <c r="C12396" t="s">
        <v>1936</v>
      </c>
      <c r="D12396" s="1" t="str">
        <f>"PRG-1037917"</f>
        <v>PRG-1037917</v>
      </c>
      <c r="E12396" t="s">
        <v>1937</v>
      </c>
      <c r="F12396" t="s">
        <v>4</v>
      </c>
      <c r="G12396" t="str">
        <f>""</f>
        <v/>
      </c>
    </row>
    <row r="12397" spans="1:7" x14ac:dyDescent="0.25">
      <c r="A12397" t="s">
        <v>8</v>
      </c>
      <c r="B12397" s="1" t="str">
        <f>"000316863 - RICH PRODUCTS-EXTREME CRAZE"</f>
        <v>000316863 - RICH PRODUCTS-EXTREME CRAZE</v>
      </c>
      <c r="C12397" t="s">
        <v>3192</v>
      </c>
      <c r="D12397" s="1" t="str">
        <f>"PRG-1037928"</f>
        <v>PRG-1037928</v>
      </c>
      <c r="E12397" t="s">
        <v>3193</v>
      </c>
      <c r="F12397" t="s">
        <v>4</v>
      </c>
      <c r="G12397" t="str">
        <f>""</f>
        <v/>
      </c>
    </row>
    <row r="12398" spans="1:7" x14ac:dyDescent="0.25">
      <c r="A12398" t="s">
        <v>8</v>
      </c>
      <c r="B12398" s="1" t="str">
        <f>"000255750 - RICHS LA SURES  #1037938"</f>
        <v>000255750 - RICHS LA SURES  #1037938</v>
      </c>
      <c r="C12398" t="s">
        <v>2174</v>
      </c>
      <c r="D12398" s="1" t="str">
        <f>"PRG-1037938"</f>
        <v>PRG-1037938</v>
      </c>
      <c r="E12398" t="s">
        <v>2175</v>
      </c>
      <c r="F12398" t="s">
        <v>4</v>
      </c>
      <c r="G12398" t="str">
        <f>""</f>
        <v/>
      </c>
    </row>
    <row r="12399" spans="1:7" x14ac:dyDescent="0.25">
      <c r="A12399" t="s">
        <v>8</v>
      </c>
      <c r="B12399" s="1" t="str">
        <f>"000346518 - RICH PRODUCTS BUC-EES"</f>
        <v>000346518 - RICH PRODUCTS BUC-EES</v>
      </c>
      <c r="C12399" t="s">
        <v>3196</v>
      </c>
      <c r="D12399" s="1" t="str">
        <f>"PRG-1037980"</f>
        <v>PRG-1037980</v>
      </c>
      <c r="E12399" t="s">
        <v>3351</v>
      </c>
      <c r="F12399" t="s">
        <v>4</v>
      </c>
      <c r="G12399" t="str">
        <f>""</f>
        <v/>
      </c>
    </row>
    <row r="12400" spans="1:7" x14ac:dyDescent="0.25">
      <c r="A12400" t="s">
        <v>8</v>
      </c>
      <c r="B12400" s="1" t="str">
        <f>"000346785 - RICH PRODUCTS BUC-EES"</f>
        <v>000346785 - RICH PRODUCTS BUC-EES</v>
      </c>
      <c r="C12400" t="s">
        <v>3196</v>
      </c>
      <c r="D12400" s="1" t="str">
        <f>"PRG-1037980"</f>
        <v>PRG-1037980</v>
      </c>
      <c r="E12400" t="s">
        <v>3351</v>
      </c>
      <c r="F12400" t="s">
        <v>4</v>
      </c>
      <c r="G12400" t="str">
        <f>""</f>
        <v/>
      </c>
    </row>
    <row r="12401" spans="1:7" x14ac:dyDescent="0.25">
      <c r="A12401" t="s">
        <v>8</v>
      </c>
      <c r="B12401" s="1" t="str">
        <f>"000345656 - RICH FOODS SILVER PALACE"</f>
        <v>000345656 - RICH FOODS SILVER PALACE</v>
      </c>
      <c r="C12401" t="s">
        <v>3460</v>
      </c>
      <c r="D12401" s="1" t="str">
        <f>"PRG-1038006"</f>
        <v>PRG-1038006</v>
      </c>
      <c r="E12401" t="s">
        <v>3461</v>
      </c>
      <c r="F12401" t="s">
        <v>4</v>
      </c>
      <c r="G12401" t="str">
        <f>""</f>
        <v/>
      </c>
    </row>
    <row r="12402" spans="1:7" x14ac:dyDescent="0.25">
      <c r="A12402" t="s">
        <v>8</v>
      </c>
      <c r="B12402" s="1" t="str">
        <f>"000354947 - BALTIMORE COUNTRY CLUB RICHS"</f>
        <v>000354947 - BALTIMORE COUNTRY CLUB RICHS</v>
      </c>
      <c r="C12402" t="s">
        <v>3551</v>
      </c>
      <c r="D12402" s="1" t="str">
        <f>"PRG-1038016"</f>
        <v>PRG-1038016</v>
      </c>
      <c r="E12402" t="s">
        <v>3552</v>
      </c>
      <c r="F12402" t="s">
        <v>4</v>
      </c>
      <c r="G12402" t="str">
        <f>""</f>
        <v/>
      </c>
    </row>
    <row r="12403" spans="1:7" x14ac:dyDescent="0.25">
      <c r="A12403" t="s">
        <v>8</v>
      </c>
      <c r="B12403" s="1" t="str">
        <f>"000187615 - RICHS PINCO"</f>
        <v>000187615 - RICHS PINCO</v>
      </c>
      <c r="C12403" t="s">
        <v>1184</v>
      </c>
      <c r="D12403" s="1" t="str">
        <f>"PRG-1038040"</f>
        <v>PRG-1038040</v>
      </c>
      <c r="E12403" t="s">
        <v>1185</v>
      </c>
      <c r="F12403" t="s">
        <v>4</v>
      </c>
      <c r="G12403" t="str">
        <f>""</f>
        <v/>
      </c>
    </row>
    <row r="12404" spans="1:7" x14ac:dyDescent="0.25">
      <c r="A12404" t="s">
        <v>8</v>
      </c>
      <c r="B12404" s="1" t="str">
        <f>"000256374 - RICHS DANIELS PIGGLY WIGGLY"</f>
        <v>000256374 - RICHS DANIELS PIGGLY WIGGLY</v>
      </c>
      <c r="C12404" t="s">
        <v>2182</v>
      </c>
      <c r="D12404" s="1" t="str">
        <f>"PRG-1038047"</f>
        <v>PRG-1038047</v>
      </c>
      <c r="E12404" t="s">
        <v>2183</v>
      </c>
      <c r="F12404" t="s">
        <v>4</v>
      </c>
      <c r="G12404" t="str">
        <f>""</f>
        <v/>
      </c>
    </row>
    <row r="12405" spans="1:7" x14ac:dyDescent="0.25">
      <c r="A12405" t="s">
        <v>8</v>
      </c>
      <c r="B12405" s="1" t="str">
        <f>"000334656 - RICH PROD FOB PBC SCHLS"</f>
        <v>000334656 - RICH PROD FOB PBC SCHLS</v>
      </c>
      <c r="C12405" t="s">
        <v>3172</v>
      </c>
      <c r="D12405" s="1" t="str">
        <f>"PRG-1038065"</f>
        <v>PRG-1038065</v>
      </c>
      <c r="E12405" t="s">
        <v>3385</v>
      </c>
      <c r="F12405" t="s">
        <v>4</v>
      </c>
      <c r="G12405" t="str">
        <f>""</f>
        <v/>
      </c>
    </row>
    <row r="12406" spans="1:7" x14ac:dyDescent="0.25">
      <c r="A12406" t="s">
        <v>8</v>
      </c>
      <c r="B12406" s="1" t="str">
        <f>"000339947 - RICHS PBC USDA 110244"</f>
        <v>000339947 - RICHS PBC USDA 110244</v>
      </c>
      <c r="C12406" t="s">
        <v>2493</v>
      </c>
      <c r="D12406" s="1" t="str">
        <f>"PRG-1038065"</f>
        <v>PRG-1038065</v>
      </c>
      <c r="E12406" t="s">
        <v>3385</v>
      </c>
      <c r="F12406" t="s">
        <v>4</v>
      </c>
      <c r="G12406" t="str">
        <f>""</f>
        <v/>
      </c>
    </row>
    <row r="12407" spans="1:7" x14ac:dyDescent="0.25">
      <c r="A12407" t="s">
        <v>8</v>
      </c>
      <c r="B12407" s="1" t="str">
        <f>"334656 - RICH PROD FOB PBC SCHLS"</f>
        <v>334656 - RICH PROD FOB PBC SCHLS</v>
      </c>
      <c r="C12407" t="s">
        <v>3172</v>
      </c>
      <c r="D12407" s="1" t="str">
        <f>"PRG-1038065"</f>
        <v>PRG-1038065</v>
      </c>
      <c r="E12407" t="s">
        <v>3385</v>
      </c>
      <c r="F12407" t="s">
        <v>4</v>
      </c>
      <c r="G12407" t="str">
        <f>""</f>
        <v/>
      </c>
    </row>
    <row r="12408" spans="1:7" x14ac:dyDescent="0.25">
      <c r="A12408" t="s">
        <v>8</v>
      </c>
      <c r="B12408" s="1" t="str">
        <f>"000269288 - RICH - RESA6"</f>
        <v>000269288 - RICH - RESA6</v>
      </c>
      <c r="C12408" t="s">
        <v>2453</v>
      </c>
      <c r="D12408" s="1" t="str">
        <f>"PRG-1038135"</f>
        <v>PRG-1038135</v>
      </c>
      <c r="E12408" t="s">
        <v>2454</v>
      </c>
      <c r="F12408" t="s">
        <v>4</v>
      </c>
      <c r="G12408" t="str">
        <f>""</f>
        <v/>
      </c>
    </row>
    <row r="12409" spans="1:7" x14ac:dyDescent="0.25">
      <c r="A12409" t="s">
        <v>8</v>
      </c>
      <c r="B12409" s="1" t="str">
        <f>"000258681 - RICH BOLD CITY SUBS"</f>
        <v>000258681 - RICH BOLD CITY SUBS</v>
      </c>
      <c r="C12409" t="s">
        <v>2217</v>
      </c>
      <c r="D12409" s="1" t="str">
        <f>"PRG-1038172"</f>
        <v>PRG-1038172</v>
      </c>
      <c r="E12409" t="s">
        <v>2218</v>
      </c>
      <c r="F12409" t="s">
        <v>4</v>
      </c>
      <c r="G12409" t="str">
        <f>""</f>
        <v/>
      </c>
    </row>
    <row r="12410" spans="1:7" x14ac:dyDescent="0.25">
      <c r="A12410" t="s">
        <v>8</v>
      </c>
      <c r="B12410" s="1" t="str">
        <f>"000256973 - RICHS PIT ROW #1038225"</f>
        <v>000256973 - RICHS PIT ROW #1038225</v>
      </c>
      <c r="C12410" t="s">
        <v>2200</v>
      </c>
      <c r="D12410" s="1" t="str">
        <f>"PRG-1038225"</f>
        <v>PRG-1038225</v>
      </c>
      <c r="E12410" t="s">
        <v>2201</v>
      </c>
      <c r="F12410" t="s">
        <v>4</v>
      </c>
      <c r="G12410" t="str">
        <f>""</f>
        <v/>
      </c>
    </row>
    <row r="12411" spans="1:7" x14ac:dyDescent="0.25">
      <c r="A12411" t="s">
        <v>8</v>
      </c>
      <c r="B12411" s="1" t="str">
        <f>"000308231 - RICH'S ORANGEVILLE IL 16 17"</f>
        <v>000308231 - RICH'S ORANGEVILLE IL 16 17</v>
      </c>
      <c r="C12411" t="s">
        <v>3080</v>
      </c>
      <c r="D12411" s="1" t="str">
        <f>"PRG-1038244"</f>
        <v>PRG-1038244</v>
      </c>
      <c r="E12411" t="s">
        <v>3081</v>
      </c>
      <c r="F12411" t="s">
        <v>4</v>
      </c>
      <c r="G12411" t="str">
        <f>""</f>
        <v/>
      </c>
    </row>
    <row r="12412" spans="1:7" x14ac:dyDescent="0.25">
      <c r="A12412" t="s">
        <v>8</v>
      </c>
      <c r="B12412" s="1" t="str">
        <f>"3170K370"</f>
        <v>3170K370</v>
      </c>
      <c r="C12412" t="s">
        <v>4747</v>
      </c>
      <c r="D12412" s="1" t="str">
        <f>"PRG-1038278"</f>
        <v>PRG-1038278</v>
      </c>
      <c r="E12412" t="s">
        <v>4748</v>
      </c>
      <c r="F12412" t="s">
        <v>5</v>
      </c>
      <c r="G12412" t="str">
        <f>""</f>
        <v/>
      </c>
    </row>
    <row r="12413" spans="1:7" x14ac:dyDescent="0.25">
      <c r="A12413" t="s">
        <v>8</v>
      </c>
      <c r="B12413" s="1" t="str">
        <f>"000282123 - RICH LAZY RIVER SALOON"</f>
        <v>000282123 - RICH LAZY RIVER SALOON</v>
      </c>
      <c r="C12413" t="s">
        <v>2665</v>
      </c>
      <c r="D12413" s="1" t="str">
        <f>"PRG-1038281"</f>
        <v>PRG-1038281</v>
      </c>
      <c r="E12413" t="s">
        <v>2666</v>
      </c>
      <c r="F12413" t="s">
        <v>4</v>
      </c>
      <c r="G12413" t="str">
        <f>""</f>
        <v/>
      </c>
    </row>
    <row r="12414" spans="1:7" x14ac:dyDescent="0.25">
      <c r="A12414" t="s">
        <v>8</v>
      </c>
      <c r="B12414" s="1" t="str">
        <f>"000243743 - RICHS VA BEACH SCHL GRP"</f>
        <v>000243743 - RICHS VA BEACH SCHL GRP</v>
      </c>
      <c r="C12414" t="s">
        <v>1715</v>
      </c>
      <c r="D12414" s="1" t="str">
        <f>"PRG-1038375"</f>
        <v>PRG-1038375</v>
      </c>
      <c r="E12414" t="s">
        <v>1959</v>
      </c>
      <c r="F12414" t="s">
        <v>4</v>
      </c>
      <c r="G12414" t="str">
        <f>""</f>
        <v/>
      </c>
    </row>
    <row r="12415" spans="1:7" x14ac:dyDescent="0.25">
      <c r="A12415" t="s">
        <v>8</v>
      </c>
      <c r="B12415" s="1" t="str">
        <f>"000085540 - RICH SBCUSD FRZN"</f>
        <v>000085540 - RICH SBCUSD FRZN</v>
      </c>
      <c r="C12415" t="s">
        <v>708</v>
      </c>
      <c r="D12415" s="1" t="str">
        <f>"PRG-1038386"</f>
        <v>PRG-1038386</v>
      </c>
      <c r="E12415" t="s">
        <v>762</v>
      </c>
      <c r="F12415" t="s">
        <v>4</v>
      </c>
      <c r="G12415" t="str">
        <f>""</f>
        <v/>
      </c>
    </row>
    <row r="12416" spans="1:7" x14ac:dyDescent="0.25">
      <c r="A12416" t="s">
        <v>8</v>
      </c>
      <c r="B12416" s="1" t="str">
        <f>"000394283 - RICH SDUSD 17-024 2017-18"</f>
        <v>000394283 - RICH SDUSD 17-024 2017-18</v>
      </c>
      <c r="C12416" t="s">
        <v>3692</v>
      </c>
      <c r="D12416" s="1" t="str">
        <f>"PRG-1038400"</f>
        <v>PRG-1038400</v>
      </c>
      <c r="E12416" t="s">
        <v>3693</v>
      </c>
      <c r="F12416" t="s">
        <v>4</v>
      </c>
      <c r="G12416" t="str">
        <f>""</f>
        <v/>
      </c>
    </row>
    <row r="12417" spans="1:7" x14ac:dyDescent="0.25">
      <c r="A12417" t="s">
        <v>8</v>
      </c>
      <c r="B12417" s="1" t="str">
        <f>"000394407 - RICH CAJON USD 17-18"</f>
        <v>000394407 - RICH CAJON USD 17-18</v>
      </c>
      <c r="C12417" t="s">
        <v>3694</v>
      </c>
      <c r="D12417" s="1" t="str">
        <f>"PRG-1038430"</f>
        <v>PRG-1038430</v>
      </c>
      <c r="E12417" t="s">
        <v>3695</v>
      </c>
      <c r="F12417" t="s">
        <v>4</v>
      </c>
      <c r="G12417" t="str">
        <f>""</f>
        <v/>
      </c>
    </row>
    <row r="12418" spans="1:7" x14ac:dyDescent="0.25">
      <c r="A12418" t="s">
        <v>8</v>
      </c>
      <c r="B12418" s="1" t="str">
        <f>"000017381 - RICHS SILVER CITY SCHOOLS"</f>
        <v>000017381 - RICHS SILVER CITY SCHOOLS</v>
      </c>
      <c r="C12418" t="s">
        <v>379</v>
      </c>
      <c r="D12418" s="1" t="str">
        <f>"PRG-1038433"</f>
        <v>PRG-1038433</v>
      </c>
      <c r="E12418" t="s">
        <v>380</v>
      </c>
      <c r="F12418" t="s">
        <v>4</v>
      </c>
      <c r="G12418" t="str">
        <f>""</f>
        <v/>
      </c>
    </row>
    <row r="12419" spans="1:7" x14ac:dyDescent="0.25">
      <c r="A12419" t="s">
        <v>8</v>
      </c>
      <c r="B12419" s="1" t="str">
        <f>"000372588 - RICH PROPERING PALS"</f>
        <v>000372588 - RICH PROPERING PALS</v>
      </c>
      <c r="C12419" t="s">
        <v>3629</v>
      </c>
      <c r="D12419" s="1" t="str">
        <f>"PRG-1038446"</f>
        <v>PRG-1038446</v>
      </c>
      <c r="E12419" t="s">
        <v>3630</v>
      </c>
      <c r="F12419" t="s">
        <v>4</v>
      </c>
      <c r="G12419" t="str">
        <f>""</f>
        <v/>
      </c>
    </row>
    <row r="12420" spans="1:7" x14ac:dyDescent="0.25">
      <c r="A12420" t="s">
        <v>8</v>
      </c>
      <c r="B12420" s="1" t="str">
        <f>"372588 - RICH PROPERING PALS"</f>
        <v>372588 - RICH PROPERING PALS</v>
      </c>
      <c r="C12420" t="s">
        <v>3629</v>
      </c>
      <c r="D12420" s="1" t="str">
        <f>"PRG-1038446"</f>
        <v>PRG-1038446</v>
      </c>
      <c r="E12420" t="s">
        <v>3630</v>
      </c>
      <c r="F12420" t="s">
        <v>4</v>
      </c>
      <c r="G12420" t="str">
        <f>""</f>
        <v/>
      </c>
    </row>
    <row r="12421" spans="1:7" x14ac:dyDescent="0.25">
      <c r="A12421" t="s">
        <v>8</v>
      </c>
      <c r="B12421" s="1" t="str">
        <f>"000163076 - RICH PRODUCTS - NCCNPA"</f>
        <v>000163076 - RICH PRODUCTS - NCCNPA</v>
      </c>
      <c r="C12421" t="s">
        <v>1046</v>
      </c>
      <c r="D12421" s="1" t="str">
        <f>"PRG-1038454"</f>
        <v>PRG-1038454</v>
      </c>
      <c r="E12421" t="s">
        <v>1047</v>
      </c>
      <c r="F12421" t="s">
        <v>4</v>
      </c>
      <c r="G12421" t="str">
        <f>""</f>
        <v/>
      </c>
    </row>
    <row r="12422" spans="1:7" x14ac:dyDescent="0.25">
      <c r="A12422" t="s">
        <v>8</v>
      </c>
      <c r="B12422" s="1" t="str">
        <f>"000239084 - RICHS NC SCHOOLS"</f>
        <v>000239084 - RICHS NC SCHOOLS</v>
      </c>
      <c r="C12422" t="s">
        <v>1890</v>
      </c>
      <c r="D12422" s="1" t="str">
        <f>"PRG-1038454"</f>
        <v>PRG-1038454</v>
      </c>
      <c r="E12422" t="s">
        <v>1047</v>
      </c>
      <c r="F12422" t="s">
        <v>4</v>
      </c>
      <c r="G12422" t="str">
        <f>""</f>
        <v/>
      </c>
    </row>
    <row r="12423" spans="1:7" x14ac:dyDescent="0.25">
      <c r="A12423" t="s">
        <v>8</v>
      </c>
      <c r="B12423" s="1" t="str">
        <f>"000292179 - RICH PRODUCTS-NCCNPA 17 18"</f>
        <v>000292179 - RICH PRODUCTS-NCCNPA 17 18</v>
      </c>
      <c r="C12423" t="s">
        <v>2858</v>
      </c>
      <c r="D12423" s="1" t="str">
        <f>"PRG-1038454"</f>
        <v>PRG-1038454</v>
      </c>
      <c r="E12423" t="s">
        <v>1047</v>
      </c>
      <c r="F12423" t="s">
        <v>4</v>
      </c>
      <c r="G12423" t="str">
        <f>""</f>
        <v/>
      </c>
    </row>
    <row r="12424" spans="1:7" x14ac:dyDescent="0.25">
      <c r="A12424" t="s">
        <v>8</v>
      </c>
      <c r="B12424" s="1" t="str">
        <f>"000002502 - RICHS CASA DI BERTACCHI-SODEXO"</f>
        <v>000002502 - RICHS CASA DI BERTACCHI-SODEXO</v>
      </c>
      <c r="C12424" t="s">
        <v>121</v>
      </c>
      <c r="D12424" s="1" t="str">
        <f t="shared" ref="D12424:D12448" si="338">"PRG-1038468"</f>
        <v>PRG-1038468</v>
      </c>
      <c r="E12424" t="s">
        <v>36</v>
      </c>
      <c r="F12424" t="s">
        <v>4</v>
      </c>
      <c r="G12424" t="str">
        <f>""</f>
        <v/>
      </c>
    </row>
    <row r="12425" spans="1:7" x14ac:dyDescent="0.25">
      <c r="A12425" t="s">
        <v>8</v>
      </c>
      <c r="B12425" s="1" t="str">
        <f>"000002843 - RICHS CASA DI BERTACCHI-SODEXO"</f>
        <v>000002843 - RICHS CASA DI BERTACCHI-SODEXO</v>
      </c>
      <c r="C12425" t="s">
        <v>121</v>
      </c>
      <c r="D12425" s="1" t="str">
        <f t="shared" si="338"/>
        <v>PRG-1038468</v>
      </c>
      <c r="E12425" t="s">
        <v>36</v>
      </c>
      <c r="F12425" t="s">
        <v>4</v>
      </c>
      <c r="G12425" t="str">
        <f>""</f>
        <v/>
      </c>
    </row>
    <row r="12426" spans="1:7" x14ac:dyDescent="0.25">
      <c r="A12426" t="s">
        <v>8</v>
      </c>
      <c r="B12426" s="1" t="str">
        <f>"000004323 - RICHS CASA DI BERTACCHI-SODEXO"</f>
        <v>000004323 - RICHS CASA DI BERTACCHI-SODEXO</v>
      </c>
      <c r="C12426" t="s">
        <v>121</v>
      </c>
      <c r="D12426" s="1" t="str">
        <f t="shared" si="338"/>
        <v>PRG-1038468</v>
      </c>
      <c r="E12426" t="s">
        <v>36</v>
      </c>
      <c r="F12426" t="s">
        <v>4</v>
      </c>
      <c r="G12426" t="str">
        <f>""</f>
        <v/>
      </c>
    </row>
    <row r="12427" spans="1:7" x14ac:dyDescent="0.25">
      <c r="A12427" t="s">
        <v>8</v>
      </c>
      <c r="B12427" s="1" t="str">
        <f>"000004437 - RICHS CASA DI BERTACCHI-SODEXO"</f>
        <v>000004437 - RICHS CASA DI BERTACCHI-SODEXO</v>
      </c>
      <c r="C12427" t="s">
        <v>121</v>
      </c>
      <c r="D12427" s="1" t="str">
        <f t="shared" si="338"/>
        <v>PRG-1038468</v>
      </c>
      <c r="E12427" t="s">
        <v>36</v>
      </c>
      <c r="F12427" t="s">
        <v>4</v>
      </c>
      <c r="G12427" t="str">
        <f>""</f>
        <v/>
      </c>
    </row>
    <row r="12428" spans="1:7" x14ac:dyDescent="0.25">
      <c r="A12428" t="s">
        <v>8</v>
      </c>
      <c r="B12428" s="1" t="str">
        <f>"000006874 - RICHS CASA DI BERTACCHI-SODEXO"</f>
        <v>000006874 - RICHS CASA DI BERTACCHI-SODEXO</v>
      </c>
      <c r="C12428" t="s">
        <v>121</v>
      </c>
      <c r="D12428" s="1" t="str">
        <f t="shared" si="338"/>
        <v>PRG-1038468</v>
      </c>
      <c r="E12428" t="s">
        <v>36</v>
      </c>
      <c r="F12428" t="s">
        <v>4</v>
      </c>
      <c r="G12428" t="str">
        <f>""</f>
        <v/>
      </c>
    </row>
    <row r="12429" spans="1:7" x14ac:dyDescent="0.25">
      <c r="A12429" t="s">
        <v>8</v>
      </c>
      <c r="B12429" s="1" t="str">
        <f>"000210051 - RICHS CASA DI BERTACCHI-SODEXO"</f>
        <v>000210051 - RICHS CASA DI BERTACCHI-SODEXO</v>
      </c>
      <c r="C12429" t="s">
        <v>121</v>
      </c>
      <c r="D12429" s="1" t="str">
        <f t="shared" si="338"/>
        <v>PRG-1038468</v>
      </c>
      <c r="E12429" t="s">
        <v>36</v>
      </c>
      <c r="F12429" t="s">
        <v>4</v>
      </c>
      <c r="G12429" t="str">
        <f>""</f>
        <v/>
      </c>
    </row>
    <row r="12430" spans="1:7" x14ac:dyDescent="0.25">
      <c r="A12430" t="s">
        <v>8</v>
      </c>
      <c r="B12430" s="1" t="str">
        <f>"000212282 - RICHS CASA DI BERTACCHI-SODEXO"</f>
        <v>000212282 - RICHS CASA DI BERTACCHI-SODEXO</v>
      </c>
      <c r="C12430" t="s">
        <v>121</v>
      </c>
      <c r="D12430" s="1" t="str">
        <f t="shared" si="338"/>
        <v>PRG-1038468</v>
      </c>
      <c r="E12430" t="s">
        <v>36</v>
      </c>
      <c r="F12430" t="s">
        <v>4</v>
      </c>
      <c r="G12430" t="str">
        <f>""</f>
        <v/>
      </c>
    </row>
    <row r="12431" spans="1:7" x14ac:dyDescent="0.25">
      <c r="A12431" t="s">
        <v>8</v>
      </c>
      <c r="B12431" s="1" t="str">
        <f>"000227381 - RICHS CASA DI BERTACCHI-SODEXO"</f>
        <v>000227381 - RICHS CASA DI BERTACCHI-SODEXO</v>
      </c>
      <c r="C12431" t="s">
        <v>121</v>
      </c>
      <c r="D12431" s="1" t="str">
        <f t="shared" si="338"/>
        <v>PRG-1038468</v>
      </c>
      <c r="E12431" t="s">
        <v>36</v>
      </c>
      <c r="F12431" t="s">
        <v>4</v>
      </c>
      <c r="G12431" t="str">
        <f>""</f>
        <v/>
      </c>
    </row>
    <row r="12432" spans="1:7" x14ac:dyDescent="0.25">
      <c r="A12432" t="s">
        <v>8</v>
      </c>
      <c r="B12432" s="1" t="str">
        <f>"000238457 - RICHS CASA DI BERTACCHI-SODEXO"</f>
        <v>000238457 - RICHS CASA DI BERTACCHI-SODEXO</v>
      </c>
      <c r="C12432" t="s">
        <v>121</v>
      </c>
      <c r="D12432" s="1" t="str">
        <f t="shared" si="338"/>
        <v>PRG-1038468</v>
      </c>
      <c r="E12432" t="s">
        <v>36</v>
      </c>
      <c r="F12432" t="s">
        <v>4</v>
      </c>
      <c r="G12432" t="str">
        <f>""</f>
        <v/>
      </c>
    </row>
    <row r="12433" spans="1:7" x14ac:dyDescent="0.25">
      <c r="A12433" t="s">
        <v>8</v>
      </c>
      <c r="B12433" s="1" t="str">
        <f>"000239927 - RICHS CASA DI BERTACCHI-SODEXO"</f>
        <v>000239927 - RICHS CASA DI BERTACCHI-SODEXO</v>
      </c>
      <c r="C12433" t="s">
        <v>121</v>
      </c>
      <c r="D12433" s="1" t="str">
        <f t="shared" si="338"/>
        <v>PRG-1038468</v>
      </c>
      <c r="E12433" t="s">
        <v>36</v>
      </c>
      <c r="F12433" t="s">
        <v>4</v>
      </c>
      <c r="G12433" t="str">
        <f>""</f>
        <v/>
      </c>
    </row>
    <row r="12434" spans="1:7" x14ac:dyDescent="0.25">
      <c r="A12434" t="s">
        <v>8</v>
      </c>
      <c r="B12434" s="1" t="str">
        <f>"000241983 - RICHS CASA DI BERTACCHI-SODEXO"</f>
        <v>000241983 - RICHS CASA DI BERTACCHI-SODEXO</v>
      </c>
      <c r="C12434" t="s">
        <v>121</v>
      </c>
      <c r="D12434" s="1" t="str">
        <f t="shared" si="338"/>
        <v>PRG-1038468</v>
      </c>
      <c r="E12434" t="s">
        <v>36</v>
      </c>
      <c r="F12434" t="s">
        <v>4</v>
      </c>
      <c r="G12434" t="str">
        <f>""</f>
        <v/>
      </c>
    </row>
    <row r="12435" spans="1:7" x14ac:dyDescent="0.25">
      <c r="A12435" t="s">
        <v>8</v>
      </c>
      <c r="B12435" s="1" t="str">
        <f>"000246655 - RICHS CASA DI BERTACCHI-SODEXO"</f>
        <v>000246655 - RICHS CASA DI BERTACCHI-SODEXO</v>
      </c>
      <c r="C12435" t="s">
        <v>121</v>
      </c>
      <c r="D12435" s="1" t="str">
        <f t="shared" si="338"/>
        <v>PRG-1038468</v>
      </c>
      <c r="E12435" t="s">
        <v>36</v>
      </c>
      <c r="F12435" t="s">
        <v>4</v>
      </c>
      <c r="G12435" t="str">
        <f>""</f>
        <v/>
      </c>
    </row>
    <row r="12436" spans="1:7" x14ac:dyDescent="0.25">
      <c r="A12436" t="s">
        <v>8</v>
      </c>
      <c r="B12436" s="1" t="str">
        <f>"000251207 - RICHS CASA DI BERTACCHI-SODEXO"</f>
        <v>000251207 - RICHS CASA DI BERTACCHI-SODEXO</v>
      </c>
      <c r="C12436" t="s">
        <v>121</v>
      </c>
      <c r="D12436" s="1" t="str">
        <f t="shared" si="338"/>
        <v>PRG-1038468</v>
      </c>
      <c r="E12436" t="s">
        <v>36</v>
      </c>
      <c r="F12436" t="s">
        <v>4</v>
      </c>
      <c r="G12436" t="str">
        <f>""</f>
        <v/>
      </c>
    </row>
    <row r="12437" spans="1:7" x14ac:dyDescent="0.25">
      <c r="A12437" t="s">
        <v>8</v>
      </c>
      <c r="B12437" s="1" t="str">
        <f>"000258879 - RICHS CASA DI BERTACCHI-SODEXO"</f>
        <v>000258879 - RICHS CASA DI BERTACCHI-SODEXO</v>
      </c>
      <c r="C12437" t="s">
        <v>121</v>
      </c>
      <c r="D12437" s="1" t="str">
        <f t="shared" si="338"/>
        <v>PRG-1038468</v>
      </c>
      <c r="E12437" t="s">
        <v>36</v>
      </c>
      <c r="F12437" t="s">
        <v>4</v>
      </c>
      <c r="G12437" t="str">
        <f>""</f>
        <v/>
      </c>
    </row>
    <row r="12438" spans="1:7" x14ac:dyDescent="0.25">
      <c r="A12438" t="s">
        <v>8</v>
      </c>
      <c r="B12438" s="1" t="str">
        <f>"000258985 - RICHS CASA DI BERTACCHI-SODEXO"</f>
        <v>000258985 - RICHS CASA DI BERTACCHI-SODEXO</v>
      </c>
      <c r="C12438" t="s">
        <v>121</v>
      </c>
      <c r="D12438" s="1" t="str">
        <f t="shared" si="338"/>
        <v>PRG-1038468</v>
      </c>
      <c r="E12438" t="s">
        <v>36</v>
      </c>
      <c r="F12438" t="s">
        <v>4</v>
      </c>
      <c r="G12438" t="str">
        <f>""</f>
        <v/>
      </c>
    </row>
    <row r="12439" spans="1:7" x14ac:dyDescent="0.25">
      <c r="A12439" t="s">
        <v>8</v>
      </c>
      <c r="B12439" s="1" t="str">
        <f>"000263846 - RICHS CASA DI BERTACCHI-SODEXO"</f>
        <v>000263846 - RICHS CASA DI BERTACCHI-SODEXO</v>
      </c>
      <c r="C12439" t="s">
        <v>121</v>
      </c>
      <c r="D12439" s="1" t="str">
        <f t="shared" si="338"/>
        <v>PRG-1038468</v>
      </c>
      <c r="E12439" t="s">
        <v>36</v>
      </c>
      <c r="F12439" t="s">
        <v>4</v>
      </c>
      <c r="G12439" t="str">
        <f>""</f>
        <v/>
      </c>
    </row>
    <row r="12440" spans="1:7" x14ac:dyDescent="0.25">
      <c r="A12440" t="s">
        <v>8</v>
      </c>
      <c r="B12440" s="1" t="str">
        <f>"000268524 - RICHS CASA DI BERTACCHI-SODEXO"</f>
        <v>000268524 - RICHS CASA DI BERTACCHI-SODEXO</v>
      </c>
      <c r="C12440" t="s">
        <v>121</v>
      </c>
      <c r="D12440" s="1" t="str">
        <f t="shared" si="338"/>
        <v>PRG-1038468</v>
      </c>
      <c r="E12440" t="s">
        <v>36</v>
      </c>
      <c r="F12440" t="s">
        <v>4</v>
      </c>
      <c r="G12440" t="str">
        <f>""</f>
        <v/>
      </c>
    </row>
    <row r="12441" spans="1:7" x14ac:dyDescent="0.25">
      <c r="A12441" t="s">
        <v>8</v>
      </c>
      <c r="B12441" s="1" t="str">
        <f>"000270930 - RICHS CASA DI BERTACCHI-SODEXO"</f>
        <v>000270930 - RICHS CASA DI BERTACCHI-SODEXO</v>
      </c>
      <c r="C12441" t="s">
        <v>121</v>
      </c>
      <c r="D12441" s="1" t="str">
        <f t="shared" si="338"/>
        <v>PRG-1038468</v>
      </c>
      <c r="E12441" t="s">
        <v>36</v>
      </c>
      <c r="F12441" t="s">
        <v>4</v>
      </c>
      <c r="G12441" t="str">
        <f>""</f>
        <v/>
      </c>
    </row>
    <row r="12442" spans="1:7" x14ac:dyDescent="0.25">
      <c r="A12442" t="s">
        <v>8</v>
      </c>
      <c r="B12442" s="1" t="str">
        <f>"000271348 - RICHS CASA DI BERTACCHI-SODEXO"</f>
        <v>000271348 - RICHS CASA DI BERTACCHI-SODEXO</v>
      </c>
      <c r="C12442" t="s">
        <v>121</v>
      </c>
      <c r="D12442" s="1" t="str">
        <f t="shared" si="338"/>
        <v>PRG-1038468</v>
      </c>
      <c r="E12442" t="s">
        <v>36</v>
      </c>
      <c r="F12442" t="s">
        <v>4</v>
      </c>
      <c r="G12442" t="str">
        <f>""</f>
        <v/>
      </c>
    </row>
    <row r="12443" spans="1:7" x14ac:dyDescent="0.25">
      <c r="A12443" t="s">
        <v>8</v>
      </c>
      <c r="B12443" s="1" t="str">
        <f>"000293304 - RICHS CASA DI BERTACCHI-SODEXO"</f>
        <v>000293304 - RICHS CASA DI BERTACCHI-SODEXO</v>
      </c>
      <c r="C12443" t="s">
        <v>121</v>
      </c>
      <c r="D12443" s="1" t="str">
        <f t="shared" si="338"/>
        <v>PRG-1038468</v>
      </c>
      <c r="E12443" t="s">
        <v>36</v>
      </c>
      <c r="F12443" t="s">
        <v>4</v>
      </c>
      <c r="G12443" t="str">
        <f>""</f>
        <v/>
      </c>
    </row>
    <row r="12444" spans="1:7" x14ac:dyDescent="0.25">
      <c r="A12444" t="s">
        <v>8</v>
      </c>
      <c r="B12444" s="1" t="str">
        <f>"000303092 - RICHS CASA DI BERTACCHI-SODEXO"</f>
        <v>000303092 - RICHS CASA DI BERTACCHI-SODEXO</v>
      </c>
      <c r="C12444" t="s">
        <v>121</v>
      </c>
      <c r="D12444" s="1" t="str">
        <f t="shared" si="338"/>
        <v>PRG-1038468</v>
      </c>
      <c r="E12444" t="s">
        <v>36</v>
      </c>
      <c r="F12444" t="s">
        <v>4</v>
      </c>
      <c r="G12444" t="str">
        <f>""</f>
        <v/>
      </c>
    </row>
    <row r="12445" spans="1:7" x14ac:dyDescent="0.25">
      <c r="A12445" t="s">
        <v>8</v>
      </c>
      <c r="B12445" s="1" t="str">
        <f>"000313025 - RICHS CASA DI BERTACCHI-SODEXO"</f>
        <v>000313025 - RICHS CASA DI BERTACCHI-SODEXO</v>
      </c>
      <c r="C12445" t="s">
        <v>121</v>
      </c>
      <c r="D12445" s="1" t="str">
        <f t="shared" si="338"/>
        <v>PRG-1038468</v>
      </c>
      <c r="E12445" t="s">
        <v>36</v>
      </c>
      <c r="F12445" t="s">
        <v>4</v>
      </c>
      <c r="G12445" t="str">
        <f>""</f>
        <v/>
      </c>
    </row>
    <row r="12446" spans="1:7" x14ac:dyDescent="0.25">
      <c r="A12446" t="s">
        <v>8</v>
      </c>
      <c r="B12446" s="1" t="str">
        <f>"000343982 - RICHS CASA DI BERTACCHI-SODEXO"</f>
        <v>000343982 - RICHS CASA DI BERTACCHI-SODEXO</v>
      </c>
      <c r="C12446" t="s">
        <v>121</v>
      </c>
      <c r="D12446" s="1" t="str">
        <f t="shared" si="338"/>
        <v>PRG-1038468</v>
      </c>
      <c r="E12446" t="s">
        <v>36</v>
      </c>
      <c r="F12446" t="s">
        <v>4</v>
      </c>
      <c r="G12446" t="str">
        <f>""</f>
        <v/>
      </c>
    </row>
    <row r="12447" spans="1:7" x14ac:dyDescent="0.25">
      <c r="A12447" t="s">
        <v>8</v>
      </c>
      <c r="B12447" s="1" t="str">
        <f>"000372911 - RICHS CASA DI BERTACCHI-SODEXO"</f>
        <v>000372911 - RICHS CASA DI BERTACCHI-SODEXO</v>
      </c>
      <c r="C12447" t="s">
        <v>121</v>
      </c>
      <c r="D12447" s="1" t="str">
        <f t="shared" si="338"/>
        <v>PRG-1038468</v>
      </c>
      <c r="E12447" t="s">
        <v>36</v>
      </c>
      <c r="F12447" t="s">
        <v>4</v>
      </c>
      <c r="G12447" t="str">
        <f>""</f>
        <v/>
      </c>
    </row>
    <row r="12448" spans="1:7" x14ac:dyDescent="0.25">
      <c r="A12448" t="s">
        <v>8</v>
      </c>
      <c r="B12448" s="1" t="str">
        <f>"366498 - "</f>
        <v xml:space="preserve">366498 - </v>
      </c>
      <c r="D12448" s="1" t="str">
        <f t="shared" si="338"/>
        <v>PRG-1038468</v>
      </c>
      <c r="E12448" t="s">
        <v>36</v>
      </c>
      <c r="F12448" t="s">
        <v>4</v>
      </c>
      <c r="G12448" t="str">
        <f>""</f>
        <v/>
      </c>
    </row>
    <row r="12449" spans="1:7" x14ac:dyDescent="0.25">
      <c r="A12449" t="s">
        <v>8</v>
      </c>
      <c r="B12449" s="1" t="str">
        <f>"000351749 - RICH FDS TAHER SPIN"</f>
        <v>000351749 - RICH FDS TAHER SPIN</v>
      </c>
      <c r="C12449" t="s">
        <v>3347</v>
      </c>
      <c r="D12449" s="1" t="str">
        <f>"PRG-1038503"</f>
        <v>PRG-1038503</v>
      </c>
      <c r="E12449" t="s">
        <v>115</v>
      </c>
      <c r="F12449" t="s">
        <v>4</v>
      </c>
      <c r="G12449" t="str">
        <f>""</f>
        <v/>
      </c>
    </row>
    <row r="12450" spans="1:7" x14ac:dyDescent="0.25">
      <c r="A12450" t="s">
        <v>8</v>
      </c>
      <c r="B12450" s="1" t="str">
        <f>"000386732 - RICH PRODUCTS TAHER"</f>
        <v>000386732 - RICH PRODUCTS TAHER</v>
      </c>
      <c r="C12450" t="s">
        <v>3500</v>
      </c>
      <c r="D12450" s="1" t="str">
        <f>"PRG-1038503"</f>
        <v>PRG-1038503</v>
      </c>
      <c r="E12450" t="s">
        <v>115</v>
      </c>
      <c r="F12450" t="s">
        <v>4</v>
      </c>
      <c r="G12450" t="str">
        <f>""</f>
        <v/>
      </c>
    </row>
    <row r="12451" spans="1:7" x14ac:dyDescent="0.25">
      <c r="A12451" t="s">
        <v>8</v>
      </c>
      <c r="B12451" s="1" t="str">
        <f>"000351389 - RICH-COLLIER CO SCHOOLS"</f>
        <v>000351389 - RICH-COLLIER CO SCHOOLS</v>
      </c>
      <c r="C12451" t="s">
        <v>3511</v>
      </c>
      <c r="D12451" s="1" t="str">
        <f>"PRG-1038507"</f>
        <v>PRG-1038507</v>
      </c>
      <c r="E12451" t="s">
        <v>3512</v>
      </c>
      <c r="F12451" t="s">
        <v>4</v>
      </c>
      <c r="G12451" t="str">
        <f>""</f>
        <v/>
      </c>
    </row>
    <row r="12452" spans="1:7" x14ac:dyDescent="0.25">
      <c r="A12452" t="s">
        <v>8</v>
      </c>
      <c r="B12452" s="1" t="str">
        <f>"000012885 - RCH 100912"</f>
        <v>000012885 - RCH 100912</v>
      </c>
      <c r="C12452" t="s">
        <v>224</v>
      </c>
      <c r="D12452" s="1" t="str">
        <f t="shared" ref="D12452:D12483" si="339">"PRG-1038548"</f>
        <v>PRG-1038548</v>
      </c>
      <c r="E12452" t="s">
        <v>338</v>
      </c>
      <c r="F12452" t="s">
        <v>4</v>
      </c>
      <c r="G12452" t="str">
        <f>""</f>
        <v/>
      </c>
    </row>
    <row r="12453" spans="1:7" x14ac:dyDescent="0.25">
      <c r="A12453" t="s">
        <v>8</v>
      </c>
      <c r="B12453" s="1" t="str">
        <f>"000013703 - RCH 100912"</f>
        <v>000013703 - RCH 100912</v>
      </c>
      <c r="C12453" t="s">
        <v>224</v>
      </c>
      <c r="D12453" s="1" t="str">
        <f t="shared" si="339"/>
        <v>PRG-1038548</v>
      </c>
      <c r="E12453" t="s">
        <v>338</v>
      </c>
      <c r="F12453" t="s">
        <v>4</v>
      </c>
      <c r="G12453" t="str">
        <f>""</f>
        <v/>
      </c>
    </row>
    <row r="12454" spans="1:7" x14ac:dyDescent="0.25">
      <c r="A12454" t="s">
        <v>8</v>
      </c>
      <c r="B12454" s="1" t="str">
        <f>"000023140 - RCH 110244"</f>
        <v>000023140 - RCH 110244</v>
      </c>
      <c r="C12454" t="s">
        <v>420</v>
      </c>
      <c r="D12454" s="1" t="str">
        <f t="shared" si="339"/>
        <v>PRG-1038548</v>
      </c>
      <c r="E12454" t="s">
        <v>338</v>
      </c>
      <c r="F12454" t="s">
        <v>4</v>
      </c>
      <c r="G12454" t="str">
        <f>""</f>
        <v/>
      </c>
    </row>
    <row r="12455" spans="1:7" x14ac:dyDescent="0.25">
      <c r="A12455" t="s">
        <v>8</v>
      </c>
      <c r="B12455" s="1" t="str">
        <f>"000023187 - RCH 100912"</f>
        <v>000023187 - RCH 100912</v>
      </c>
      <c r="C12455" t="s">
        <v>224</v>
      </c>
      <c r="D12455" s="1" t="str">
        <f t="shared" si="339"/>
        <v>PRG-1038548</v>
      </c>
      <c r="E12455" t="s">
        <v>338</v>
      </c>
      <c r="F12455" t="s">
        <v>4</v>
      </c>
      <c r="G12455" t="str">
        <f>""</f>
        <v/>
      </c>
    </row>
    <row r="12456" spans="1:7" x14ac:dyDescent="0.25">
      <c r="A12456" t="s">
        <v>8</v>
      </c>
      <c r="B12456" s="1" t="str">
        <f>"000027615 - RCH 100912"</f>
        <v>000027615 - RCH 100912</v>
      </c>
      <c r="C12456" t="s">
        <v>224</v>
      </c>
      <c r="D12456" s="1" t="str">
        <f t="shared" si="339"/>
        <v>PRG-1038548</v>
      </c>
      <c r="E12456" t="s">
        <v>338</v>
      </c>
      <c r="F12456" t="s">
        <v>4</v>
      </c>
      <c r="G12456" t="str">
        <f>""</f>
        <v/>
      </c>
    </row>
    <row r="12457" spans="1:7" x14ac:dyDescent="0.25">
      <c r="A12457" t="s">
        <v>8</v>
      </c>
      <c r="B12457" s="1" t="str">
        <f>"000029859 - RCH 100912"</f>
        <v>000029859 - RCH 100912</v>
      </c>
      <c r="C12457" t="s">
        <v>224</v>
      </c>
      <c r="D12457" s="1" t="str">
        <f t="shared" si="339"/>
        <v>PRG-1038548</v>
      </c>
      <c r="E12457" t="s">
        <v>338</v>
      </c>
      <c r="F12457" t="s">
        <v>4</v>
      </c>
      <c r="G12457" t="str">
        <f>""</f>
        <v/>
      </c>
    </row>
    <row r="12458" spans="1:7" x14ac:dyDescent="0.25">
      <c r="A12458" t="s">
        <v>8</v>
      </c>
      <c r="B12458" s="1" t="str">
        <f>"000029861 - RCH 110244"</f>
        <v>000029861 - RCH 110244</v>
      </c>
      <c r="C12458" t="s">
        <v>420</v>
      </c>
      <c r="D12458" s="1" t="str">
        <f t="shared" si="339"/>
        <v>PRG-1038548</v>
      </c>
      <c r="E12458" t="s">
        <v>338</v>
      </c>
      <c r="F12458" t="s">
        <v>4</v>
      </c>
      <c r="G12458" t="str">
        <f>""</f>
        <v/>
      </c>
    </row>
    <row r="12459" spans="1:7" x14ac:dyDescent="0.25">
      <c r="A12459" t="s">
        <v>8</v>
      </c>
      <c r="B12459" s="1" t="str">
        <f>"000031131 - RCH 100912"</f>
        <v>000031131 - RCH 100912</v>
      </c>
      <c r="C12459" t="s">
        <v>224</v>
      </c>
      <c r="D12459" s="1" t="str">
        <f t="shared" si="339"/>
        <v>PRG-1038548</v>
      </c>
      <c r="E12459" t="s">
        <v>338</v>
      </c>
      <c r="F12459" t="s">
        <v>4</v>
      </c>
      <c r="G12459" t="str">
        <f>""</f>
        <v/>
      </c>
    </row>
    <row r="12460" spans="1:7" x14ac:dyDescent="0.25">
      <c r="A12460" t="s">
        <v>8</v>
      </c>
      <c r="B12460" s="1" t="str">
        <f>"000033975 - "</f>
        <v xml:space="preserve">000033975 - </v>
      </c>
      <c r="D12460" s="1" t="str">
        <f t="shared" si="339"/>
        <v>PRG-1038548</v>
      </c>
      <c r="E12460" t="s">
        <v>338</v>
      </c>
      <c r="F12460" t="s">
        <v>4</v>
      </c>
      <c r="G12460" t="str">
        <f>""</f>
        <v/>
      </c>
    </row>
    <row r="12461" spans="1:7" x14ac:dyDescent="0.25">
      <c r="A12461" t="s">
        <v>8</v>
      </c>
      <c r="B12461" s="1" t="str">
        <f>"000034230 - RCH 100912"</f>
        <v>000034230 - RCH 100912</v>
      </c>
      <c r="C12461" t="s">
        <v>224</v>
      </c>
      <c r="D12461" s="1" t="str">
        <f t="shared" si="339"/>
        <v>PRG-1038548</v>
      </c>
      <c r="E12461" t="s">
        <v>338</v>
      </c>
      <c r="F12461" t="s">
        <v>4</v>
      </c>
      <c r="G12461" t="str">
        <f>""</f>
        <v/>
      </c>
    </row>
    <row r="12462" spans="1:7" x14ac:dyDescent="0.25">
      <c r="A12462" t="s">
        <v>8</v>
      </c>
      <c r="B12462" s="1" t="str">
        <f>"000034905 - RCH 100912"</f>
        <v>000034905 - RCH 100912</v>
      </c>
      <c r="C12462" t="s">
        <v>224</v>
      </c>
      <c r="D12462" s="1" t="str">
        <f t="shared" si="339"/>
        <v>PRG-1038548</v>
      </c>
      <c r="E12462" t="s">
        <v>338</v>
      </c>
      <c r="F12462" t="s">
        <v>4</v>
      </c>
      <c r="G12462" t="str">
        <f>""</f>
        <v/>
      </c>
    </row>
    <row r="12463" spans="1:7" x14ac:dyDescent="0.25">
      <c r="A12463" t="s">
        <v>8</v>
      </c>
      <c r="B12463" s="1" t="str">
        <f>"000042327 - RCH 100912"</f>
        <v>000042327 - RCH 100912</v>
      </c>
      <c r="C12463" t="s">
        <v>224</v>
      </c>
      <c r="D12463" s="1" t="str">
        <f t="shared" si="339"/>
        <v>PRG-1038548</v>
      </c>
      <c r="E12463" t="s">
        <v>338</v>
      </c>
      <c r="F12463" t="s">
        <v>4</v>
      </c>
      <c r="G12463" t="str">
        <f>""</f>
        <v/>
      </c>
    </row>
    <row r="12464" spans="1:7" x14ac:dyDescent="0.25">
      <c r="A12464" t="s">
        <v>8</v>
      </c>
      <c r="B12464" s="1" t="str">
        <f>"000072104 - RICHES 110244 CHEESE"</f>
        <v>000072104 - RICHES 110244 CHEESE</v>
      </c>
      <c r="C12464" t="s">
        <v>737</v>
      </c>
      <c r="D12464" s="1" t="str">
        <f t="shared" si="339"/>
        <v>PRG-1038548</v>
      </c>
      <c r="E12464" t="s">
        <v>338</v>
      </c>
      <c r="F12464" t="s">
        <v>4</v>
      </c>
      <c r="G12464" t="str">
        <f>""</f>
        <v/>
      </c>
    </row>
    <row r="12465" spans="1:7" x14ac:dyDescent="0.25">
      <c r="A12465" t="s">
        <v>8</v>
      </c>
      <c r="B12465" s="1" t="str">
        <f>"000072541 - RICHES 110244 CHEESE"</f>
        <v>000072541 - RICHES 110244 CHEESE</v>
      </c>
      <c r="C12465" t="s">
        <v>737</v>
      </c>
      <c r="D12465" s="1" t="str">
        <f t="shared" si="339"/>
        <v>PRG-1038548</v>
      </c>
      <c r="E12465" t="s">
        <v>338</v>
      </c>
      <c r="F12465" t="s">
        <v>4</v>
      </c>
      <c r="G12465" t="str">
        <f>""</f>
        <v/>
      </c>
    </row>
    <row r="12466" spans="1:7" x14ac:dyDescent="0.25">
      <c r="A12466" t="s">
        <v>8</v>
      </c>
      <c r="B12466" s="1" t="str">
        <f>"000073808 - RICHES 110244 CHEESE"</f>
        <v>000073808 - RICHES 110244 CHEESE</v>
      </c>
      <c r="C12466" t="s">
        <v>737</v>
      </c>
      <c r="D12466" s="1" t="str">
        <f t="shared" si="339"/>
        <v>PRG-1038548</v>
      </c>
      <c r="E12466" t="s">
        <v>338</v>
      </c>
      <c r="F12466" t="s">
        <v>4</v>
      </c>
      <c r="G12466" t="str">
        <f>""</f>
        <v/>
      </c>
    </row>
    <row r="12467" spans="1:7" x14ac:dyDescent="0.25">
      <c r="A12467" t="s">
        <v>8</v>
      </c>
      <c r="B12467" s="1" t="str">
        <f>"000074389 - RICHES 110244 CHEESE"</f>
        <v>000074389 - RICHES 110244 CHEESE</v>
      </c>
      <c r="C12467" t="s">
        <v>737</v>
      </c>
      <c r="D12467" s="1" t="str">
        <f t="shared" si="339"/>
        <v>PRG-1038548</v>
      </c>
      <c r="E12467" t="s">
        <v>338</v>
      </c>
      <c r="F12467" t="s">
        <v>4</v>
      </c>
      <c r="G12467" t="str">
        <f>""</f>
        <v/>
      </c>
    </row>
    <row r="12468" spans="1:7" x14ac:dyDescent="0.25">
      <c r="A12468" t="s">
        <v>8</v>
      </c>
      <c r="B12468" s="1" t="str">
        <f>"000074633 - RICHES 100912 DOUGH"</f>
        <v>000074633 - RICHES 100912 DOUGH</v>
      </c>
      <c r="C12468" t="s">
        <v>736</v>
      </c>
      <c r="D12468" s="1" t="str">
        <f t="shared" si="339"/>
        <v>PRG-1038548</v>
      </c>
      <c r="E12468" t="s">
        <v>338</v>
      </c>
      <c r="F12468" t="s">
        <v>4</v>
      </c>
      <c r="G12468" t="str">
        <f>""</f>
        <v/>
      </c>
    </row>
    <row r="12469" spans="1:7" x14ac:dyDescent="0.25">
      <c r="A12469" t="s">
        <v>8</v>
      </c>
      <c r="B12469" s="1" t="str">
        <f>"000074635 - RICHES 110244 CHEESE"</f>
        <v>000074635 - RICHES 110244 CHEESE</v>
      </c>
      <c r="C12469" t="s">
        <v>737</v>
      </c>
      <c r="D12469" s="1" t="str">
        <f t="shared" si="339"/>
        <v>PRG-1038548</v>
      </c>
      <c r="E12469" t="s">
        <v>338</v>
      </c>
      <c r="F12469" t="s">
        <v>4</v>
      </c>
      <c r="G12469" t="str">
        <f>""</f>
        <v/>
      </c>
    </row>
    <row r="12470" spans="1:7" x14ac:dyDescent="0.25">
      <c r="A12470" t="s">
        <v>8</v>
      </c>
      <c r="B12470" s="1" t="str">
        <f>"000075425 - RICHES 110244 CHEESE"</f>
        <v>000075425 - RICHES 110244 CHEESE</v>
      </c>
      <c r="C12470" t="s">
        <v>737</v>
      </c>
      <c r="D12470" s="1" t="str">
        <f t="shared" si="339"/>
        <v>PRG-1038548</v>
      </c>
      <c r="E12470" t="s">
        <v>338</v>
      </c>
      <c r="F12470" t="s">
        <v>4</v>
      </c>
      <c r="G12470" t="str">
        <f>""</f>
        <v/>
      </c>
    </row>
    <row r="12471" spans="1:7" x14ac:dyDescent="0.25">
      <c r="A12471" t="s">
        <v>8</v>
      </c>
      <c r="B12471" s="1" t="str">
        <f>"000076742 - RICHES 110244 CHEESE"</f>
        <v>000076742 - RICHES 110244 CHEESE</v>
      </c>
      <c r="C12471" t="s">
        <v>737</v>
      </c>
      <c r="D12471" s="1" t="str">
        <f t="shared" si="339"/>
        <v>PRG-1038548</v>
      </c>
      <c r="E12471" t="s">
        <v>338</v>
      </c>
      <c r="F12471" t="s">
        <v>4</v>
      </c>
      <c r="G12471" t="str">
        <f>""</f>
        <v/>
      </c>
    </row>
    <row r="12472" spans="1:7" x14ac:dyDescent="0.25">
      <c r="A12472" t="s">
        <v>8</v>
      </c>
      <c r="B12472" s="1" t="str">
        <f>"000077098 - RICHES 110244 CHEESE"</f>
        <v>000077098 - RICHES 110244 CHEESE</v>
      </c>
      <c r="C12472" t="s">
        <v>737</v>
      </c>
      <c r="D12472" s="1" t="str">
        <f t="shared" si="339"/>
        <v>PRG-1038548</v>
      </c>
      <c r="E12472" t="s">
        <v>338</v>
      </c>
      <c r="F12472" t="s">
        <v>4</v>
      </c>
      <c r="G12472" t="str">
        <f>""</f>
        <v/>
      </c>
    </row>
    <row r="12473" spans="1:7" x14ac:dyDescent="0.25">
      <c r="A12473" t="s">
        <v>8</v>
      </c>
      <c r="B12473" s="1" t="str">
        <f>"000080498 - RICHES 100912 DOUGH"</f>
        <v>000080498 - RICHES 100912 DOUGH</v>
      </c>
      <c r="C12473" t="s">
        <v>736</v>
      </c>
      <c r="D12473" s="1" t="str">
        <f t="shared" si="339"/>
        <v>PRG-1038548</v>
      </c>
      <c r="E12473" t="s">
        <v>338</v>
      </c>
      <c r="F12473" t="s">
        <v>4</v>
      </c>
      <c r="G12473" t="str">
        <f>""</f>
        <v/>
      </c>
    </row>
    <row r="12474" spans="1:7" x14ac:dyDescent="0.25">
      <c r="A12474" t="s">
        <v>8</v>
      </c>
      <c r="B12474" s="1" t="str">
        <f>"000080500 - RICHES 110244 CHEESE"</f>
        <v>000080500 - RICHES 110244 CHEESE</v>
      </c>
      <c r="C12474" t="s">
        <v>737</v>
      </c>
      <c r="D12474" s="1" t="str">
        <f t="shared" si="339"/>
        <v>PRG-1038548</v>
      </c>
      <c r="E12474" t="s">
        <v>338</v>
      </c>
      <c r="F12474" t="s">
        <v>4</v>
      </c>
      <c r="G12474" t="str">
        <f>""</f>
        <v/>
      </c>
    </row>
    <row r="12475" spans="1:7" x14ac:dyDescent="0.25">
      <c r="A12475" t="s">
        <v>8</v>
      </c>
      <c r="B12475" s="1" t="str">
        <f>"000081441 - RICHES 110244 CHEESE"</f>
        <v>000081441 - RICHES 110244 CHEESE</v>
      </c>
      <c r="C12475" t="s">
        <v>737</v>
      </c>
      <c r="D12475" s="1" t="str">
        <f t="shared" si="339"/>
        <v>PRG-1038548</v>
      </c>
      <c r="E12475" t="s">
        <v>338</v>
      </c>
      <c r="F12475" t="s">
        <v>4</v>
      </c>
      <c r="G12475" t="str">
        <f>""</f>
        <v/>
      </c>
    </row>
    <row r="12476" spans="1:7" x14ac:dyDescent="0.25">
      <c r="A12476" t="s">
        <v>8</v>
      </c>
      <c r="B12476" s="1" t="str">
        <f>"000081442 - RICHES 100912 DOUGH"</f>
        <v>000081442 - RICHES 100912 DOUGH</v>
      </c>
      <c r="C12476" t="s">
        <v>736</v>
      </c>
      <c r="D12476" s="1" t="str">
        <f t="shared" si="339"/>
        <v>PRG-1038548</v>
      </c>
      <c r="E12476" t="s">
        <v>338</v>
      </c>
      <c r="F12476" t="s">
        <v>4</v>
      </c>
      <c r="G12476" t="str">
        <f>""</f>
        <v/>
      </c>
    </row>
    <row r="12477" spans="1:7" x14ac:dyDescent="0.25">
      <c r="A12477" t="s">
        <v>8</v>
      </c>
      <c r="B12477" s="1" t="str">
        <f>"000082799 - RICHES 100912 DOUGH"</f>
        <v>000082799 - RICHES 100912 DOUGH</v>
      </c>
      <c r="C12477" t="s">
        <v>736</v>
      </c>
      <c r="D12477" s="1" t="str">
        <f t="shared" si="339"/>
        <v>PRG-1038548</v>
      </c>
      <c r="E12477" t="s">
        <v>338</v>
      </c>
      <c r="F12477" t="s">
        <v>4</v>
      </c>
      <c r="G12477" t="str">
        <f>""</f>
        <v/>
      </c>
    </row>
    <row r="12478" spans="1:7" x14ac:dyDescent="0.25">
      <c r="A12478" t="s">
        <v>8</v>
      </c>
      <c r="B12478" s="1" t="str">
        <f>"000082802 - RICHES 110244 CHEESE"</f>
        <v>000082802 - RICHES 110244 CHEESE</v>
      </c>
      <c r="C12478" t="s">
        <v>737</v>
      </c>
      <c r="D12478" s="1" t="str">
        <f t="shared" si="339"/>
        <v>PRG-1038548</v>
      </c>
      <c r="E12478" t="s">
        <v>338</v>
      </c>
      <c r="F12478" t="s">
        <v>4</v>
      </c>
      <c r="G12478" t="str">
        <f>""</f>
        <v/>
      </c>
    </row>
    <row r="12479" spans="1:7" x14ac:dyDescent="0.25">
      <c r="A12479" t="s">
        <v>8</v>
      </c>
      <c r="B12479" s="1" t="str">
        <f>"000083317 - RICHES 100912 DOUGH"</f>
        <v>000083317 - RICHES 100912 DOUGH</v>
      </c>
      <c r="C12479" t="s">
        <v>736</v>
      </c>
      <c r="D12479" s="1" t="str">
        <f t="shared" si="339"/>
        <v>PRG-1038548</v>
      </c>
      <c r="E12479" t="s">
        <v>338</v>
      </c>
      <c r="F12479" t="s">
        <v>4</v>
      </c>
      <c r="G12479" t="str">
        <f>""</f>
        <v/>
      </c>
    </row>
    <row r="12480" spans="1:7" x14ac:dyDescent="0.25">
      <c r="A12480" t="s">
        <v>8</v>
      </c>
      <c r="B12480" s="1" t="str">
        <f>"000085247 - RICH 110244 CHEESE"</f>
        <v>000085247 - RICH 110244 CHEESE</v>
      </c>
      <c r="C12480" t="s">
        <v>761</v>
      </c>
      <c r="D12480" s="1" t="str">
        <f t="shared" si="339"/>
        <v>PRG-1038548</v>
      </c>
      <c r="E12480" t="s">
        <v>338</v>
      </c>
      <c r="F12480" t="s">
        <v>4</v>
      </c>
      <c r="G12480" t="str">
        <f>""</f>
        <v/>
      </c>
    </row>
    <row r="12481" spans="1:7" x14ac:dyDescent="0.25">
      <c r="A12481" t="s">
        <v>8</v>
      </c>
      <c r="B12481" s="1" t="str">
        <f>"000086542 - RICHES 110244 CHEESE"</f>
        <v>000086542 - RICHES 110244 CHEESE</v>
      </c>
      <c r="C12481" t="s">
        <v>737</v>
      </c>
      <c r="D12481" s="1" t="str">
        <f t="shared" si="339"/>
        <v>PRG-1038548</v>
      </c>
      <c r="E12481" t="s">
        <v>338</v>
      </c>
      <c r="F12481" t="s">
        <v>4</v>
      </c>
      <c r="G12481" t="str">
        <f>""</f>
        <v/>
      </c>
    </row>
    <row r="12482" spans="1:7" x14ac:dyDescent="0.25">
      <c r="A12482" t="s">
        <v>8</v>
      </c>
      <c r="B12482" s="1" t="str">
        <f>"000086544 - RICHES 100912 DOUGH"</f>
        <v>000086544 - RICHES 100912 DOUGH</v>
      </c>
      <c r="C12482" t="s">
        <v>736</v>
      </c>
      <c r="D12482" s="1" t="str">
        <f t="shared" si="339"/>
        <v>PRG-1038548</v>
      </c>
      <c r="E12482" t="s">
        <v>338</v>
      </c>
      <c r="F12482" t="s">
        <v>4</v>
      </c>
      <c r="G12482" t="str">
        <f>""</f>
        <v/>
      </c>
    </row>
    <row r="12483" spans="1:7" x14ac:dyDescent="0.25">
      <c r="A12483" t="s">
        <v>8</v>
      </c>
      <c r="B12483" s="1" t="str">
        <f>"000087267 - RICHES 100912 DOUGH"</f>
        <v>000087267 - RICHES 100912 DOUGH</v>
      </c>
      <c r="C12483" t="s">
        <v>736</v>
      </c>
      <c r="D12483" s="1" t="str">
        <f t="shared" si="339"/>
        <v>PRG-1038548</v>
      </c>
      <c r="E12483" t="s">
        <v>338</v>
      </c>
      <c r="F12483" t="s">
        <v>4</v>
      </c>
      <c r="G12483" t="str">
        <f>""</f>
        <v/>
      </c>
    </row>
    <row r="12484" spans="1:7" x14ac:dyDescent="0.25">
      <c r="A12484" t="s">
        <v>8</v>
      </c>
      <c r="B12484" s="1" t="str">
        <f>"000087343 - RICHES.100912 DOUGH"</f>
        <v>000087343 - RICHES.100912 DOUGH</v>
      </c>
      <c r="C12484" t="s">
        <v>769</v>
      </c>
      <c r="D12484" s="1" t="str">
        <f t="shared" ref="D12484:D12515" si="340">"PRG-1038548"</f>
        <v>PRG-1038548</v>
      </c>
      <c r="E12484" t="s">
        <v>338</v>
      </c>
      <c r="F12484" t="s">
        <v>4</v>
      </c>
      <c r="G12484" t="str">
        <f>""</f>
        <v/>
      </c>
    </row>
    <row r="12485" spans="1:7" x14ac:dyDescent="0.25">
      <c r="A12485" t="s">
        <v>8</v>
      </c>
      <c r="B12485" s="1" t="str">
        <f>"000087344 - RICHES 110244 CHEESE"</f>
        <v>000087344 - RICHES 110244 CHEESE</v>
      </c>
      <c r="C12485" t="s">
        <v>737</v>
      </c>
      <c r="D12485" s="1" t="str">
        <f t="shared" si="340"/>
        <v>PRG-1038548</v>
      </c>
      <c r="E12485" t="s">
        <v>338</v>
      </c>
      <c r="F12485" t="s">
        <v>4</v>
      </c>
      <c r="G12485" t="str">
        <f>""</f>
        <v/>
      </c>
    </row>
    <row r="12486" spans="1:7" x14ac:dyDescent="0.25">
      <c r="A12486" t="s">
        <v>8</v>
      </c>
      <c r="B12486" s="1" t="str">
        <f>"000087560 - RICHES 110244 CHEESE"</f>
        <v>000087560 - RICHES 110244 CHEESE</v>
      </c>
      <c r="C12486" t="s">
        <v>737</v>
      </c>
      <c r="D12486" s="1" t="str">
        <f t="shared" si="340"/>
        <v>PRG-1038548</v>
      </c>
      <c r="E12486" t="s">
        <v>338</v>
      </c>
      <c r="F12486" t="s">
        <v>4</v>
      </c>
      <c r="G12486" t="str">
        <f>""</f>
        <v/>
      </c>
    </row>
    <row r="12487" spans="1:7" x14ac:dyDescent="0.25">
      <c r="A12487" t="s">
        <v>8</v>
      </c>
      <c r="B12487" s="1" t="str">
        <f>"000087563 - RICHES 100912 DOUGH"</f>
        <v>000087563 - RICHES 100912 DOUGH</v>
      </c>
      <c r="C12487" t="s">
        <v>736</v>
      </c>
      <c r="D12487" s="1" t="str">
        <f t="shared" si="340"/>
        <v>PRG-1038548</v>
      </c>
      <c r="E12487" t="s">
        <v>338</v>
      </c>
      <c r="F12487" t="s">
        <v>4</v>
      </c>
      <c r="G12487" t="str">
        <f>""</f>
        <v/>
      </c>
    </row>
    <row r="12488" spans="1:7" x14ac:dyDescent="0.25">
      <c r="A12488" t="s">
        <v>8</v>
      </c>
      <c r="B12488" s="1" t="str">
        <f>"000088692 - RICHES 110244 CHEESE"</f>
        <v>000088692 - RICHES 110244 CHEESE</v>
      </c>
      <c r="C12488" t="s">
        <v>737</v>
      </c>
      <c r="D12488" s="1" t="str">
        <f t="shared" si="340"/>
        <v>PRG-1038548</v>
      </c>
      <c r="E12488" t="s">
        <v>338</v>
      </c>
      <c r="F12488" t="s">
        <v>4</v>
      </c>
      <c r="G12488" t="str">
        <f>""</f>
        <v/>
      </c>
    </row>
    <row r="12489" spans="1:7" x14ac:dyDescent="0.25">
      <c r="A12489" t="s">
        <v>8</v>
      </c>
      <c r="B12489" s="1" t="str">
        <f>"000088693 - RICHES 100912 DOUGH"</f>
        <v>000088693 - RICHES 100912 DOUGH</v>
      </c>
      <c r="C12489" t="s">
        <v>736</v>
      </c>
      <c r="D12489" s="1" t="str">
        <f t="shared" si="340"/>
        <v>PRG-1038548</v>
      </c>
      <c r="E12489" t="s">
        <v>338</v>
      </c>
      <c r="F12489" t="s">
        <v>4</v>
      </c>
      <c r="G12489" t="str">
        <f>""</f>
        <v/>
      </c>
    </row>
    <row r="12490" spans="1:7" x14ac:dyDescent="0.25">
      <c r="A12490" t="s">
        <v>8</v>
      </c>
      <c r="B12490" s="1" t="str">
        <f>"000143386 - USDA RICH PRODUCTS 100912"</f>
        <v>000143386 - USDA RICH PRODUCTS 100912</v>
      </c>
      <c r="C12490" t="s">
        <v>922</v>
      </c>
      <c r="D12490" s="1" t="str">
        <f t="shared" si="340"/>
        <v>PRG-1038548</v>
      </c>
      <c r="E12490" t="s">
        <v>338</v>
      </c>
      <c r="F12490" t="s">
        <v>4</v>
      </c>
      <c r="G12490" t="str">
        <f>""</f>
        <v/>
      </c>
    </row>
    <row r="12491" spans="1:7" x14ac:dyDescent="0.25">
      <c r="A12491" t="s">
        <v>8</v>
      </c>
      <c r="B12491" s="1" t="str">
        <f>"000164326 - RICHS -PENDER B198"</f>
        <v>000164326 - RICHS -PENDER B198</v>
      </c>
      <c r="C12491" t="s">
        <v>1054</v>
      </c>
      <c r="D12491" s="1" t="str">
        <f t="shared" si="340"/>
        <v>PRG-1038548</v>
      </c>
      <c r="E12491" t="s">
        <v>338</v>
      </c>
      <c r="F12491" t="s">
        <v>4</v>
      </c>
      <c r="G12491" t="str">
        <f>""</f>
        <v/>
      </c>
    </row>
    <row r="12492" spans="1:7" x14ac:dyDescent="0.25">
      <c r="A12492" t="s">
        <v>8</v>
      </c>
      <c r="B12492" s="1" t="str">
        <f>"000210588 - RICH'S B198 USDA NOI 2017 2018"</f>
        <v>000210588 - RICH'S B198 USDA NOI 2017 2018</v>
      </c>
      <c r="C12492" t="s">
        <v>1432</v>
      </c>
      <c r="D12492" s="1" t="str">
        <f t="shared" si="340"/>
        <v>PRG-1038548</v>
      </c>
      <c r="E12492" t="s">
        <v>338</v>
      </c>
      <c r="F12492" t="s">
        <v>4</v>
      </c>
      <c r="G12492" t="str">
        <f>""</f>
        <v/>
      </c>
    </row>
    <row r="12493" spans="1:7" x14ac:dyDescent="0.25">
      <c r="A12493" t="s">
        <v>8</v>
      </c>
      <c r="B12493" s="1" t="str">
        <f>"000210590 - RICH'S B077 USDA NOI 2017 2018"</f>
        <v>000210590 - RICH'S B077 USDA NOI 2017 2018</v>
      </c>
      <c r="C12493" t="s">
        <v>1433</v>
      </c>
      <c r="D12493" s="1" t="str">
        <f t="shared" si="340"/>
        <v>PRG-1038548</v>
      </c>
      <c r="E12493" t="s">
        <v>338</v>
      </c>
      <c r="F12493" t="s">
        <v>4</v>
      </c>
      <c r="G12493" t="str">
        <f>""</f>
        <v/>
      </c>
    </row>
    <row r="12494" spans="1:7" x14ac:dyDescent="0.25">
      <c r="A12494" t="s">
        <v>8</v>
      </c>
      <c r="B12494" s="1" t="str">
        <f>"000211597 - RICH'S B198 NOI P2 2017 2018"</f>
        <v>000211597 - RICH'S B198 NOI P2 2017 2018</v>
      </c>
      <c r="C12494" t="s">
        <v>1453</v>
      </c>
      <c r="D12494" s="1" t="str">
        <f t="shared" si="340"/>
        <v>PRG-1038548</v>
      </c>
      <c r="E12494" t="s">
        <v>338</v>
      </c>
      <c r="F12494" t="s">
        <v>4</v>
      </c>
      <c r="G12494" t="str">
        <f>""</f>
        <v/>
      </c>
    </row>
    <row r="12495" spans="1:7" x14ac:dyDescent="0.25">
      <c r="A12495" t="s">
        <v>8</v>
      </c>
      <c r="B12495" s="1" t="str">
        <f>"000211665 - RICH'S B198 NOI P3 2017 2018"</f>
        <v>000211665 - RICH'S B198 NOI P3 2017 2018</v>
      </c>
      <c r="C12495" t="s">
        <v>1455</v>
      </c>
      <c r="D12495" s="1" t="str">
        <f t="shared" si="340"/>
        <v>PRG-1038548</v>
      </c>
      <c r="E12495" t="s">
        <v>338</v>
      </c>
      <c r="F12495" t="s">
        <v>4</v>
      </c>
      <c r="G12495" t="str">
        <f>""</f>
        <v/>
      </c>
    </row>
    <row r="12496" spans="1:7" x14ac:dyDescent="0.25">
      <c r="A12496" t="s">
        <v>8</v>
      </c>
      <c r="B12496" s="1" t="str">
        <f>"000212881 - RICH'S B198 NOI  P4 2017 18"</f>
        <v>000212881 - RICH'S B198 NOI  P4 2017 18</v>
      </c>
      <c r="C12496" t="s">
        <v>1471</v>
      </c>
      <c r="D12496" s="1" t="str">
        <f t="shared" si="340"/>
        <v>PRG-1038548</v>
      </c>
      <c r="E12496" t="s">
        <v>338</v>
      </c>
      <c r="F12496" t="s">
        <v>4</v>
      </c>
      <c r="G12496" t="str">
        <f>""</f>
        <v/>
      </c>
    </row>
    <row r="12497" spans="1:7" x14ac:dyDescent="0.25">
      <c r="A12497" t="s">
        <v>8</v>
      </c>
      <c r="B12497" s="1" t="str">
        <f>"000213371 - RICH'S B198 5 NOI 2017-2018"</f>
        <v>000213371 - RICH'S B198 5 NOI 2017-2018</v>
      </c>
      <c r="C12497" t="s">
        <v>1477</v>
      </c>
      <c r="D12497" s="1" t="str">
        <f t="shared" si="340"/>
        <v>PRG-1038548</v>
      </c>
      <c r="E12497" t="s">
        <v>338</v>
      </c>
      <c r="F12497" t="s">
        <v>4</v>
      </c>
      <c r="G12497" t="str">
        <f>""</f>
        <v/>
      </c>
    </row>
    <row r="12498" spans="1:7" x14ac:dyDescent="0.25">
      <c r="A12498" t="s">
        <v>8</v>
      </c>
      <c r="B12498" s="1" t="str">
        <f>"000213706 - RICH'S B198 P6 NOI 2017 2018"</f>
        <v>000213706 - RICH'S B198 P6 NOI 2017 2018</v>
      </c>
      <c r="C12498" t="s">
        <v>1481</v>
      </c>
      <c r="D12498" s="1" t="str">
        <f t="shared" si="340"/>
        <v>PRG-1038548</v>
      </c>
      <c r="E12498" t="s">
        <v>338</v>
      </c>
      <c r="F12498" t="s">
        <v>4</v>
      </c>
      <c r="G12498" t="str">
        <f>""</f>
        <v/>
      </c>
    </row>
    <row r="12499" spans="1:7" x14ac:dyDescent="0.25">
      <c r="A12499" t="s">
        <v>8</v>
      </c>
      <c r="B12499" s="1" t="str">
        <f>"000234271 - RICHS 100912 FLOUR BREAD MILK"</f>
        <v>000234271 - RICHS 100912 FLOUR BREAD MILK</v>
      </c>
      <c r="C12499" t="s">
        <v>1820</v>
      </c>
      <c r="D12499" s="1" t="str">
        <f t="shared" si="340"/>
        <v>PRG-1038548</v>
      </c>
      <c r="E12499" t="s">
        <v>338</v>
      </c>
      <c r="F12499" t="s">
        <v>4</v>
      </c>
      <c r="G12499" t="str">
        <f>""</f>
        <v/>
      </c>
    </row>
    <row r="12500" spans="1:7" x14ac:dyDescent="0.25">
      <c r="A12500" t="s">
        <v>8</v>
      </c>
      <c r="B12500" s="1" t="str">
        <f>"000234275 - RICHS 100912 FLOUR BREAD MILK"</f>
        <v>000234275 - RICHS 100912 FLOUR BREAD MILK</v>
      </c>
      <c r="C12500" t="s">
        <v>1820</v>
      </c>
      <c r="D12500" s="1" t="str">
        <f t="shared" si="340"/>
        <v>PRG-1038548</v>
      </c>
      <c r="E12500" t="s">
        <v>338</v>
      </c>
      <c r="F12500" t="s">
        <v>4</v>
      </c>
      <c r="G12500" t="str">
        <f>""</f>
        <v/>
      </c>
    </row>
    <row r="12501" spans="1:7" x14ac:dyDescent="0.25">
      <c r="A12501" t="s">
        <v>8</v>
      </c>
      <c r="B12501" s="1" t="str">
        <f>"000241299 - RICHS FLOUR B198R"</f>
        <v>000241299 - RICHS FLOUR B198R</v>
      </c>
      <c r="C12501" t="s">
        <v>1161</v>
      </c>
      <c r="D12501" s="1" t="str">
        <f t="shared" si="340"/>
        <v>PRG-1038548</v>
      </c>
      <c r="E12501" t="s">
        <v>338</v>
      </c>
      <c r="F12501" t="s">
        <v>4</v>
      </c>
      <c r="G12501" t="str">
        <f>""</f>
        <v/>
      </c>
    </row>
    <row r="12502" spans="1:7" x14ac:dyDescent="0.25">
      <c r="A12502" t="s">
        <v>8</v>
      </c>
      <c r="B12502" s="1" t="str">
        <f>"000255630 - USDA 100912 RICH PRODUCTS - IL"</f>
        <v>000255630 - USDA 100912 RICH PRODUCTS - IL</v>
      </c>
      <c r="C12502" t="s">
        <v>1213</v>
      </c>
      <c r="D12502" s="1" t="str">
        <f t="shared" si="340"/>
        <v>PRG-1038548</v>
      </c>
      <c r="E12502" t="s">
        <v>338</v>
      </c>
      <c r="F12502" t="s">
        <v>4</v>
      </c>
      <c r="G12502" t="str">
        <f>""</f>
        <v/>
      </c>
    </row>
    <row r="12503" spans="1:7" x14ac:dyDescent="0.25">
      <c r="A12503" t="s">
        <v>8</v>
      </c>
      <c r="B12503" s="1" t="str">
        <f>"000263099 - RICH PRODUCTS-BAPA B198"</f>
        <v>000263099 - RICH PRODUCTS-BAPA B198</v>
      </c>
      <c r="C12503" t="s">
        <v>2158</v>
      </c>
      <c r="D12503" s="1" t="str">
        <f t="shared" si="340"/>
        <v>PRG-1038548</v>
      </c>
      <c r="E12503" t="s">
        <v>338</v>
      </c>
      <c r="F12503" t="s">
        <v>4</v>
      </c>
      <c r="G12503" t="str">
        <f>""</f>
        <v/>
      </c>
    </row>
    <row r="12504" spans="1:7" x14ac:dyDescent="0.25">
      <c r="A12504" t="s">
        <v>8</v>
      </c>
      <c r="B12504" s="1" t="str">
        <f>"000263101 - RICH PRODUCTS-BAPA B198"</f>
        <v>000263101 - RICH PRODUCTS-BAPA B198</v>
      </c>
      <c r="C12504" t="s">
        <v>2158</v>
      </c>
      <c r="D12504" s="1" t="str">
        <f t="shared" si="340"/>
        <v>PRG-1038548</v>
      </c>
      <c r="E12504" t="s">
        <v>338</v>
      </c>
      <c r="F12504" t="s">
        <v>4</v>
      </c>
      <c r="G12504" t="str">
        <f>""</f>
        <v/>
      </c>
    </row>
    <row r="12505" spans="1:7" x14ac:dyDescent="0.25">
      <c r="A12505" t="s">
        <v>8</v>
      </c>
      <c r="B12505" s="1" t="str">
        <f>"000263102 - RICH PRODUCTS-BAPA B198"</f>
        <v>000263102 - RICH PRODUCTS-BAPA B198</v>
      </c>
      <c r="C12505" t="s">
        <v>2158</v>
      </c>
      <c r="D12505" s="1" t="str">
        <f t="shared" si="340"/>
        <v>PRG-1038548</v>
      </c>
      <c r="E12505" t="s">
        <v>338</v>
      </c>
      <c r="F12505" t="s">
        <v>4</v>
      </c>
      <c r="G12505" t="str">
        <f>""</f>
        <v/>
      </c>
    </row>
    <row r="12506" spans="1:7" x14ac:dyDescent="0.25">
      <c r="A12506" t="s">
        <v>8</v>
      </c>
      <c r="B12506" s="1" t="str">
        <f>"000263447 - USDA 100912 RICH PRODUCTS"</f>
        <v>000263447 - USDA 100912 RICH PRODUCTS</v>
      </c>
      <c r="C12506" t="s">
        <v>1660</v>
      </c>
      <c r="D12506" s="1" t="str">
        <f t="shared" si="340"/>
        <v>PRG-1038548</v>
      </c>
      <c r="E12506" t="s">
        <v>338</v>
      </c>
      <c r="F12506" t="s">
        <v>4</v>
      </c>
      <c r="G12506" t="str">
        <f>""</f>
        <v/>
      </c>
    </row>
    <row r="12507" spans="1:7" x14ac:dyDescent="0.25">
      <c r="A12507" t="s">
        <v>8</v>
      </c>
      <c r="B12507" s="1" t="str">
        <f>"000265197 - RICHS WHSE DEL COMM FP"</f>
        <v>000265197 - RICHS WHSE DEL COMM FP</v>
      </c>
      <c r="C12507" t="s">
        <v>2381</v>
      </c>
      <c r="D12507" s="1" t="str">
        <f t="shared" si="340"/>
        <v>PRG-1038548</v>
      </c>
      <c r="E12507" t="s">
        <v>338</v>
      </c>
      <c r="F12507" t="s">
        <v>4</v>
      </c>
      <c r="G12507" t="str">
        <f>""</f>
        <v/>
      </c>
    </row>
    <row r="12508" spans="1:7" x14ac:dyDescent="0.25">
      <c r="A12508" t="s">
        <v>8</v>
      </c>
      <c r="B12508" s="1" t="str">
        <f>"000267308 - USDA RICHS ARA NJ - 100912"</f>
        <v>000267308 - USDA RICHS ARA NJ - 100912</v>
      </c>
      <c r="C12508" t="s">
        <v>2419</v>
      </c>
      <c r="D12508" s="1" t="str">
        <f t="shared" si="340"/>
        <v>PRG-1038548</v>
      </c>
      <c r="E12508" t="s">
        <v>338</v>
      </c>
      <c r="F12508" t="s">
        <v>4</v>
      </c>
      <c r="G12508" t="str">
        <f>""</f>
        <v/>
      </c>
    </row>
    <row r="12509" spans="1:7" x14ac:dyDescent="0.25">
      <c r="A12509" t="s">
        <v>8</v>
      </c>
      <c r="B12509" s="1" t="str">
        <f>"000279926 - USDA RICH'S B077 J012"</f>
        <v>000279926 - USDA RICH'S B077 J012</v>
      </c>
      <c r="C12509" t="s">
        <v>2633</v>
      </c>
      <c r="D12509" s="1" t="str">
        <f t="shared" si="340"/>
        <v>PRG-1038548</v>
      </c>
      <c r="E12509" t="s">
        <v>338</v>
      </c>
      <c r="F12509" t="s">
        <v>4</v>
      </c>
      <c r="G12509" t="str">
        <f>""</f>
        <v/>
      </c>
    </row>
    <row r="12510" spans="1:7" x14ac:dyDescent="0.25">
      <c r="A12510" t="s">
        <v>8</v>
      </c>
      <c r="B12510" s="1" t="str">
        <f>"000279936 - USDA RICH'S B077 J035"</f>
        <v>000279936 - USDA RICH'S B077 J035</v>
      </c>
      <c r="C12510" t="s">
        <v>2634</v>
      </c>
      <c r="D12510" s="1" t="str">
        <f t="shared" si="340"/>
        <v>PRG-1038548</v>
      </c>
      <c r="E12510" t="s">
        <v>338</v>
      </c>
      <c r="F12510" t="s">
        <v>4</v>
      </c>
      <c r="G12510" t="str">
        <f>""</f>
        <v/>
      </c>
    </row>
    <row r="12511" spans="1:7" x14ac:dyDescent="0.25">
      <c r="A12511" t="s">
        <v>8</v>
      </c>
      <c r="B12511" s="1" t="str">
        <f>"000279942 - USDA RICH'S B077 G053"</f>
        <v>000279942 - USDA RICH'S B077 G053</v>
      </c>
      <c r="C12511" t="s">
        <v>2636</v>
      </c>
      <c r="D12511" s="1" t="str">
        <f t="shared" si="340"/>
        <v>PRG-1038548</v>
      </c>
      <c r="E12511" t="s">
        <v>338</v>
      </c>
      <c r="F12511" t="s">
        <v>4</v>
      </c>
      <c r="G12511" t="str">
        <f>""</f>
        <v/>
      </c>
    </row>
    <row r="12512" spans="1:7" x14ac:dyDescent="0.25">
      <c r="A12512" t="s">
        <v>8</v>
      </c>
      <c r="B12512" s="1" t="str">
        <f>"000280448 - USDA RICH'S B077 G035"</f>
        <v>000280448 - USDA RICH'S B077 G035</v>
      </c>
      <c r="C12512" t="s">
        <v>2640</v>
      </c>
      <c r="D12512" s="1" t="str">
        <f t="shared" si="340"/>
        <v>PRG-1038548</v>
      </c>
      <c r="E12512" t="s">
        <v>338</v>
      </c>
      <c r="F12512" t="s">
        <v>4</v>
      </c>
      <c r="G12512" t="str">
        <f>""</f>
        <v/>
      </c>
    </row>
    <row r="12513" spans="1:7" x14ac:dyDescent="0.25">
      <c r="A12513" t="s">
        <v>8</v>
      </c>
      <c r="B12513" s="1" t="str">
        <f>"000281170 - USDA RICHS ARA NJ - 100912"</f>
        <v>000281170 - USDA RICHS ARA NJ - 100912</v>
      </c>
      <c r="C12513" t="s">
        <v>2419</v>
      </c>
      <c r="D12513" s="1" t="str">
        <f t="shared" si="340"/>
        <v>PRG-1038548</v>
      </c>
      <c r="E12513" t="s">
        <v>338</v>
      </c>
      <c r="F12513" t="s">
        <v>4</v>
      </c>
      <c r="G12513" t="str">
        <f>""</f>
        <v/>
      </c>
    </row>
    <row r="12514" spans="1:7" x14ac:dyDescent="0.25">
      <c r="A12514" t="s">
        <v>8</v>
      </c>
      <c r="B12514" s="1" t="str">
        <f>"000282037 - USDA RICH'S B077 G006"</f>
        <v>000282037 - USDA RICH'S B077 G006</v>
      </c>
      <c r="C12514" t="s">
        <v>2662</v>
      </c>
      <c r="D12514" s="1" t="str">
        <f t="shared" si="340"/>
        <v>PRG-1038548</v>
      </c>
      <c r="E12514" t="s">
        <v>338</v>
      </c>
      <c r="F12514" t="s">
        <v>4</v>
      </c>
      <c r="G12514" t="str">
        <f>""</f>
        <v/>
      </c>
    </row>
    <row r="12515" spans="1:7" x14ac:dyDescent="0.25">
      <c r="A12515" t="s">
        <v>8</v>
      </c>
      <c r="B12515" s="1" t="str">
        <f>"000283474 - USDA-RICH ARA LOWELL"</f>
        <v>000283474 - USDA-RICH ARA LOWELL</v>
      </c>
      <c r="C12515" t="s">
        <v>2687</v>
      </c>
      <c r="D12515" s="1" t="str">
        <f t="shared" si="340"/>
        <v>PRG-1038548</v>
      </c>
      <c r="E12515" t="s">
        <v>338</v>
      </c>
      <c r="F12515" t="s">
        <v>4</v>
      </c>
      <c r="G12515" t="str">
        <f>""</f>
        <v/>
      </c>
    </row>
    <row r="12516" spans="1:7" x14ac:dyDescent="0.25">
      <c r="A12516" t="s">
        <v>8</v>
      </c>
      <c r="B12516" s="1" t="str">
        <f>"000284506 - RICH SDX QACPS NOI"</f>
        <v>000284506 - RICH SDX QACPS NOI</v>
      </c>
      <c r="C12516" t="s">
        <v>2706</v>
      </c>
      <c r="D12516" s="1" t="str">
        <f t="shared" ref="D12516:D12547" si="341">"PRG-1038548"</f>
        <v>PRG-1038548</v>
      </c>
      <c r="E12516" t="s">
        <v>338</v>
      </c>
      <c r="F12516" t="s">
        <v>4</v>
      </c>
      <c r="G12516" t="str">
        <f>""</f>
        <v/>
      </c>
    </row>
    <row r="12517" spans="1:7" x14ac:dyDescent="0.25">
      <c r="A12517" t="s">
        <v>8</v>
      </c>
      <c r="B12517" s="1" t="str">
        <f>"000285963 - USDA RICHS ARA NY - 100912"</f>
        <v>000285963 - USDA RICHS ARA NY - 100912</v>
      </c>
      <c r="C12517" t="s">
        <v>2420</v>
      </c>
      <c r="D12517" s="1" t="str">
        <f t="shared" si="341"/>
        <v>PRG-1038548</v>
      </c>
      <c r="E12517" t="s">
        <v>338</v>
      </c>
      <c r="F12517" t="s">
        <v>4</v>
      </c>
      <c r="G12517" t="str">
        <f>""</f>
        <v/>
      </c>
    </row>
    <row r="12518" spans="1:7" x14ac:dyDescent="0.25">
      <c r="A12518" t="s">
        <v>8</v>
      </c>
      <c r="B12518" s="1" t="str">
        <f>"000286714 - RICH'S NOI SOMERSET 100912"</f>
        <v>000286714 - RICH'S NOI SOMERSET 100912</v>
      </c>
      <c r="C12518" t="s">
        <v>2746</v>
      </c>
      <c r="D12518" s="1" t="str">
        <f t="shared" si="341"/>
        <v>PRG-1038548</v>
      </c>
      <c r="E12518" t="s">
        <v>338</v>
      </c>
      <c r="F12518" t="s">
        <v>4</v>
      </c>
      <c r="G12518" t="str">
        <f>""</f>
        <v/>
      </c>
    </row>
    <row r="12519" spans="1:7" x14ac:dyDescent="0.25">
      <c r="A12519" t="s">
        <v>8</v>
      </c>
      <c r="B12519" s="1" t="str">
        <f>"000287833 - RCH-100912-NOI"</f>
        <v>000287833 - RCH-100912-NOI</v>
      </c>
      <c r="C12519" t="s">
        <v>1918</v>
      </c>
      <c r="D12519" s="1" t="str">
        <f t="shared" si="341"/>
        <v>PRG-1038548</v>
      </c>
      <c r="E12519" t="s">
        <v>338</v>
      </c>
      <c r="F12519" t="s">
        <v>4</v>
      </c>
      <c r="G12519" t="str">
        <f>""</f>
        <v/>
      </c>
    </row>
    <row r="12520" spans="1:7" x14ac:dyDescent="0.25">
      <c r="A12520" t="s">
        <v>8</v>
      </c>
      <c r="B12520" s="1" t="str">
        <f>"000288226 - RICH WORCESTER NOI 100912"</f>
        <v>000288226 - RICH WORCESTER NOI 100912</v>
      </c>
      <c r="C12520" t="s">
        <v>2778</v>
      </c>
      <c r="D12520" s="1" t="str">
        <f t="shared" si="341"/>
        <v>PRG-1038548</v>
      </c>
      <c r="E12520" t="s">
        <v>338</v>
      </c>
      <c r="F12520" t="s">
        <v>4</v>
      </c>
      <c r="G12520" t="str">
        <f>""</f>
        <v/>
      </c>
    </row>
    <row r="12521" spans="1:7" x14ac:dyDescent="0.25">
      <c r="A12521" t="s">
        <v>8</v>
      </c>
      <c r="B12521" s="1" t="str">
        <f>"000290523 - USDA RICH PRD SY17 18  B198"</f>
        <v>000290523 - USDA RICH PRD SY17 18  B198</v>
      </c>
      <c r="C12521" t="s">
        <v>2830</v>
      </c>
      <c r="D12521" s="1" t="str">
        <f t="shared" si="341"/>
        <v>PRG-1038548</v>
      </c>
      <c r="E12521" t="s">
        <v>338</v>
      </c>
      <c r="F12521" t="s">
        <v>4</v>
      </c>
      <c r="G12521" t="str">
        <f>""</f>
        <v/>
      </c>
    </row>
    <row r="12522" spans="1:7" x14ac:dyDescent="0.25">
      <c r="A12522" t="s">
        <v>8</v>
      </c>
      <c r="B12522" s="1" t="str">
        <f>"000291264 - USDA RICH'S B077 110244 J105"</f>
        <v>000291264 - USDA RICH'S B077 110244 J105</v>
      </c>
      <c r="C12522" t="s">
        <v>2843</v>
      </c>
      <c r="D12522" s="1" t="str">
        <f t="shared" si="341"/>
        <v>PRG-1038548</v>
      </c>
      <c r="E12522" t="s">
        <v>338</v>
      </c>
      <c r="F12522" t="s">
        <v>4</v>
      </c>
      <c r="G12522" t="str">
        <f>""</f>
        <v/>
      </c>
    </row>
    <row r="12523" spans="1:7" x14ac:dyDescent="0.25">
      <c r="A12523" t="s">
        <v>8</v>
      </c>
      <c r="B12523" s="1" t="str">
        <f>"000291379 - USDA RICH CSD SWANSEA K-12"</f>
        <v>000291379 - USDA RICH CSD SWANSEA K-12</v>
      </c>
      <c r="C12523" t="s">
        <v>2845</v>
      </c>
      <c r="D12523" s="1" t="str">
        <f t="shared" si="341"/>
        <v>PRG-1038548</v>
      </c>
      <c r="E12523" t="s">
        <v>338</v>
      </c>
      <c r="F12523" t="s">
        <v>4</v>
      </c>
      <c r="G12523" t="str">
        <f>""</f>
        <v/>
      </c>
    </row>
    <row r="12524" spans="1:7" x14ac:dyDescent="0.25">
      <c r="A12524" t="s">
        <v>8</v>
      </c>
      <c r="B12524" s="1" t="str">
        <f>"000291613 - RICH'S   100912 FLOUR BREAD"</f>
        <v>000291613 - RICH'S   100912 FLOUR BREAD</v>
      </c>
      <c r="C12524" t="s">
        <v>2744</v>
      </c>
      <c r="D12524" s="1" t="str">
        <f t="shared" si="341"/>
        <v>PRG-1038548</v>
      </c>
      <c r="E12524" t="s">
        <v>338</v>
      </c>
      <c r="F12524" t="s">
        <v>4</v>
      </c>
      <c r="G12524" t="str">
        <f>""</f>
        <v/>
      </c>
    </row>
    <row r="12525" spans="1:7" x14ac:dyDescent="0.25">
      <c r="A12525" t="s">
        <v>8</v>
      </c>
      <c r="B12525" s="1" t="str">
        <f>"000291615 - RICH'S   110244 MOZZARELLA"</f>
        <v>000291615 - RICH'S   110244 MOZZARELLA</v>
      </c>
      <c r="C12525" t="s">
        <v>2745</v>
      </c>
      <c r="D12525" s="1" t="str">
        <f t="shared" si="341"/>
        <v>PRG-1038548</v>
      </c>
      <c r="E12525" t="s">
        <v>338</v>
      </c>
      <c r="F12525" t="s">
        <v>4</v>
      </c>
      <c r="G12525" t="str">
        <f>""</f>
        <v/>
      </c>
    </row>
    <row r="12526" spans="1:7" x14ac:dyDescent="0.25">
      <c r="A12526" t="s">
        <v>8</v>
      </c>
      <c r="B12526" s="1" t="str">
        <f>"000292362 - RICH PRODUCTS 100912 NOI"</f>
        <v>000292362 - RICH PRODUCTS 100912 NOI</v>
      </c>
      <c r="C12526" t="s">
        <v>2481</v>
      </c>
      <c r="D12526" s="1" t="str">
        <f t="shared" si="341"/>
        <v>PRG-1038548</v>
      </c>
      <c r="E12526" t="s">
        <v>338</v>
      </c>
      <c r="F12526" t="s">
        <v>4</v>
      </c>
      <c r="G12526" t="str">
        <f>""</f>
        <v/>
      </c>
    </row>
    <row r="12527" spans="1:7" x14ac:dyDescent="0.25">
      <c r="A12527" t="s">
        <v>8</v>
      </c>
      <c r="B12527" s="1" t="str">
        <f>"000292594 - RICH'S   100912 FLOUR BREAD"</f>
        <v>000292594 - RICH'S   100912 FLOUR BREAD</v>
      </c>
      <c r="C12527" t="s">
        <v>2744</v>
      </c>
      <c r="D12527" s="1" t="str">
        <f t="shared" si="341"/>
        <v>PRG-1038548</v>
      </c>
      <c r="E12527" t="s">
        <v>338</v>
      </c>
      <c r="F12527" t="s">
        <v>4</v>
      </c>
      <c r="G12527" t="str">
        <f>""</f>
        <v/>
      </c>
    </row>
    <row r="12528" spans="1:7" x14ac:dyDescent="0.25">
      <c r="A12528" t="s">
        <v>8</v>
      </c>
      <c r="B12528" s="1" t="str">
        <f>"000292595 - RICH'S   110244 MOZZARELLA"</f>
        <v>000292595 - RICH'S   110244 MOZZARELLA</v>
      </c>
      <c r="C12528" t="s">
        <v>2745</v>
      </c>
      <c r="D12528" s="1" t="str">
        <f t="shared" si="341"/>
        <v>PRG-1038548</v>
      </c>
      <c r="E12528" t="s">
        <v>338</v>
      </c>
      <c r="F12528" t="s">
        <v>4</v>
      </c>
      <c r="G12528" t="str">
        <f>""</f>
        <v/>
      </c>
    </row>
    <row r="12529" spans="1:7" x14ac:dyDescent="0.25">
      <c r="A12529" t="s">
        <v>8</v>
      </c>
      <c r="B12529" s="1" t="str">
        <f>"000295547 - RICH PRODUCTS 110244 NOI"</f>
        <v>000295547 - RICH PRODUCTS 110244 NOI</v>
      </c>
      <c r="C12529" t="s">
        <v>2901</v>
      </c>
      <c r="D12529" s="1" t="str">
        <f t="shared" si="341"/>
        <v>PRG-1038548</v>
      </c>
      <c r="E12529" t="s">
        <v>338</v>
      </c>
      <c r="F12529" t="s">
        <v>4</v>
      </c>
      <c r="G12529" t="str">
        <f>""</f>
        <v/>
      </c>
    </row>
    <row r="12530" spans="1:7" x14ac:dyDescent="0.25">
      <c r="A12530" t="s">
        <v>8</v>
      </c>
      <c r="B12530" s="1" t="str">
        <f>"000297332 - USDA RICH PROD 100912 NOI"</f>
        <v>000297332 - USDA RICH PROD 100912 NOI</v>
      </c>
      <c r="C12530" t="s">
        <v>2923</v>
      </c>
      <c r="D12530" s="1" t="str">
        <f t="shared" si="341"/>
        <v>PRG-1038548</v>
      </c>
      <c r="E12530" t="s">
        <v>338</v>
      </c>
      <c r="F12530" t="s">
        <v>4</v>
      </c>
      <c r="G12530" t="str">
        <f>""</f>
        <v/>
      </c>
    </row>
    <row r="12531" spans="1:7" x14ac:dyDescent="0.25">
      <c r="A12531" t="s">
        <v>8</v>
      </c>
      <c r="B12531" s="1" t="str">
        <f>"000297333 - USDA RICH PROD 110244 NOI"</f>
        <v>000297333 - USDA RICH PROD 110244 NOI</v>
      </c>
      <c r="C12531" t="s">
        <v>2924</v>
      </c>
      <c r="D12531" s="1" t="str">
        <f t="shared" si="341"/>
        <v>PRG-1038548</v>
      </c>
      <c r="E12531" t="s">
        <v>338</v>
      </c>
      <c r="F12531" t="s">
        <v>4</v>
      </c>
      <c r="G12531" t="str">
        <f>""</f>
        <v/>
      </c>
    </row>
    <row r="12532" spans="1:7" x14ac:dyDescent="0.25">
      <c r="A12532" t="s">
        <v>8</v>
      </c>
      <c r="B12532" s="1" t="str">
        <f>"000301247 - USDA RICH MFS  B198"</f>
        <v>000301247 - USDA RICH MFS  B198</v>
      </c>
      <c r="C12532" t="s">
        <v>2980</v>
      </c>
      <c r="D12532" s="1" t="str">
        <f t="shared" si="341"/>
        <v>PRG-1038548</v>
      </c>
      <c r="E12532" t="s">
        <v>338</v>
      </c>
      <c r="F12532" t="s">
        <v>4</v>
      </c>
      <c r="G12532" t="str">
        <f>""</f>
        <v/>
      </c>
    </row>
    <row r="12533" spans="1:7" x14ac:dyDescent="0.25">
      <c r="A12533" t="s">
        <v>8</v>
      </c>
      <c r="B12533" s="1" t="str">
        <f>"000301634 - RICH'S   100912 FLOUR BREAD"</f>
        <v>000301634 - RICH'S   100912 FLOUR BREAD</v>
      </c>
      <c r="C12533" t="s">
        <v>2744</v>
      </c>
      <c r="D12533" s="1" t="str">
        <f t="shared" si="341"/>
        <v>PRG-1038548</v>
      </c>
      <c r="E12533" t="s">
        <v>338</v>
      </c>
      <c r="F12533" t="s">
        <v>4</v>
      </c>
      <c r="G12533" t="str">
        <f>""</f>
        <v/>
      </c>
    </row>
    <row r="12534" spans="1:7" x14ac:dyDescent="0.25">
      <c r="A12534" t="s">
        <v>8</v>
      </c>
      <c r="B12534" s="1" t="str">
        <f>"000301636 - RICH'S   110244 MOZZARELLA"</f>
        <v>000301636 - RICH'S   110244 MOZZARELLA</v>
      </c>
      <c r="C12534" t="s">
        <v>2745</v>
      </c>
      <c r="D12534" s="1" t="str">
        <f t="shared" si="341"/>
        <v>PRG-1038548</v>
      </c>
      <c r="E12534" t="s">
        <v>338</v>
      </c>
      <c r="F12534" t="s">
        <v>4</v>
      </c>
      <c r="G12534" t="str">
        <f>""</f>
        <v/>
      </c>
    </row>
    <row r="12535" spans="1:7" x14ac:dyDescent="0.25">
      <c r="A12535" t="s">
        <v>8</v>
      </c>
      <c r="B12535" s="1" t="str">
        <f>"000301796 - USDA RICH PRD SY17 18  B198"</f>
        <v>000301796 - USDA RICH PRD SY17 18  B198</v>
      </c>
      <c r="C12535" t="s">
        <v>2830</v>
      </c>
      <c r="D12535" s="1" t="str">
        <f t="shared" si="341"/>
        <v>PRG-1038548</v>
      </c>
      <c r="E12535" t="s">
        <v>338</v>
      </c>
      <c r="F12535" t="s">
        <v>4</v>
      </c>
      <c r="G12535" t="str">
        <f>""</f>
        <v/>
      </c>
    </row>
    <row r="12536" spans="1:7" x14ac:dyDescent="0.25">
      <c r="A12536" t="s">
        <v>8</v>
      </c>
      <c r="B12536" s="1" t="str">
        <f>"000304125 - RICH'S   100912 FLOUR BREAD"</f>
        <v>000304125 - RICH'S   100912 FLOUR BREAD</v>
      </c>
      <c r="C12536" t="s">
        <v>2744</v>
      </c>
      <c r="D12536" s="1" t="str">
        <f t="shared" si="341"/>
        <v>PRG-1038548</v>
      </c>
      <c r="E12536" t="s">
        <v>338</v>
      </c>
      <c r="F12536" t="s">
        <v>4</v>
      </c>
      <c r="G12536" t="str">
        <f>""</f>
        <v/>
      </c>
    </row>
    <row r="12537" spans="1:7" x14ac:dyDescent="0.25">
      <c r="A12537" t="s">
        <v>8</v>
      </c>
      <c r="B12537" s="1" t="str">
        <f>"000304126 - RICH'S   110244 MOZZARELLA"</f>
        <v>000304126 - RICH'S   110244 MOZZARELLA</v>
      </c>
      <c r="C12537" t="s">
        <v>2745</v>
      </c>
      <c r="D12537" s="1" t="str">
        <f t="shared" si="341"/>
        <v>PRG-1038548</v>
      </c>
      <c r="E12537" t="s">
        <v>338</v>
      </c>
      <c r="F12537" t="s">
        <v>4</v>
      </c>
      <c r="G12537" t="str">
        <f>""</f>
        <v/>
      </c>
    </row>
    <row r="12538" spans="1:7" x14ac:dyDescent="0.25">
      <c r="A12538" t="s">
        <v>8</v>
      </c>
      <c r="B12538" s="1" t="str">
        <f>"000306295 - RICH'S   100912 FLOUR BREAD"</f>
        <v>000306295 - RICH'S   100912 FLOUR BREAD</v>
      </c>
      <c r="C12538" t="s">
        <v>2744</v>
      </c>
      <c r="D12538" s="1" t="str">
        <f t="shared" si="341"/>
        <v>PRG-1038548</v>
      </c>
      <c r="E12538" t="s">
        <v>338</v>
      </c>
      <c r="F12538" t="s">
        <v>4</v>
      </c>
      <c r="G12538" t="str">
        <f>""</f>
        <v/>
      </c>
    </row>
    <row r="12539" spans="1:7" x14ac:dyDescent="0.25">
      <c r="A12539" t="s">
        <v>8</v>
      </c>
      <c r="B12539" s="1" t="str">
        <f>"000307503 - RICH'S   100912 FLOUR BREAD"</f>
        <v>000307503 - RICH'S   100912 FLOUR BREAD</v>
      </c>
      <c r="C12539" t="s">
        <v>2744</v>
      </c>
      <c r="D12539" s="1" t="str">
        <f t="shared" si="341"/>
        <v>PRG-1038548</v>
      </c>
      <c r="E12539" t="s">
        <v>338</v>
      </c>
      <c r="F12539" t="s">
        <v>4</v>
      </c>
      <c r="G12539" t="str">
        <f>""</f>
        <v/>
      </c>
    </row>
    <row r="12540" spans="1:7" x14ac:dyDescent="0.25">
      <c r="A12540" t="s">
        <v>8</v>
      </c>
      <c r="B12540" s="1" t="str">
        <f>"000307504 - RICH'S   110244 MOZZARELLA"</f>
        <v>000307504 - RICH'S   110244 MOZZARELLA</v>
      </c>
      <c r="C12540" t="s">
        <v>2745</v>
      </c>
      <c r="D12540" s="1" t="str">
        <f t="shared" si="341"/>
        <v>PRG-1038548</v>
      </c>
      <c r="E12540" t="s">
        <v>338</v>
      </c>
      <c r="F12540" t="s">
        <v>4</v>
      </c>
      <c r="G12540" t="str">
        <f>""</f>
        <v/>
      </c>
    </row>
    <row r="12541" spans="1:7" x14ac:dyDescent="0.25">
      <c r="A12541" t="s">
        <v>8</v>
      </c>
      <c r="B12541" s="1" t="str">
        <f>"000339130 - RICH CORPORATION NOI FY18"</f>
        <v>000339130 - RICH CORPORATION NOI FY18</v>
      </c>
      <c r="C12541" t="s">
        <v>3432</v>
      </c>
      <c r="D12541" s="1" t="str">
        <f t="shared" si="341"/>
        <v>PRG-1038548</v>
      </c>
      <c r="E12541" t="s">
        <v>338</v>
      </c>
      <c r="F12541" t="s">
        <v>4</v>
      </c>
      <c r="G12541" t="str">
        <f>""</f>
        <v/>
      </c>
    </row>
    <row r="12542" spans="1:7" x14ac:dyDescent="0.25">
      <c r="A12542" t="s">
        <v>8</v>
      </c>
      <c r="B12542" s="1" t="str">
        <f>"000351154 - USDA   RICHS 100912"</f>
        <v>000351154 - USDA   RICHS 100912</v>
      </c>
      <c r="C12542" t="s">
        <v>3509</v>
      </c>
      <c r="D12542" s="1" t="str">
        <f t="shared" si="341"/>
        <v>PRG-1038548</v>
      </c>
      <c r="E12542" t="s">
        <v>338</v>
      </c>
      <c r="F12542" t="s">
        <v>4</v>
      </c>
      <c r="G12542" t="str">
        <f>""</f>
        <v/>
      </c>
    </row>
    <row r="12543" spans="1:7" x14ac:dyDescent="0.25">
      <c r="A12543" t="s">
        <v>8</v>
      </c>
      <c r="B12543" s="1" t="str">
        <f>"000351165 - USDA   RICHS 100193"</f>
        <v>000351165 - USDA   RICHS 100193</v>
      </c>
      <c r="C12543" t="s">
        <v>3510</v>
      </c>
      <c r="D12543" s="1" t="str">
        <f t="shared" si="341"/>
        <v>PRG-1038548</v>
      </c>
      <c r="E12543" t="s">
        <v>338</v>
      </c>
      <c r="F12543" t="s">
        <v>4</v>
      </c>
      <c r="G12543" t="str">
        <f>""</f>
        <v/>
      </c>
    </row>
    <row r="12544" spans="1:7" x14ac:dyDescent="0.25">
      <c r="A12544" t="s">
        <v>8</v>
      </c>
      <c r="B12544" s="1" t="str">
        <f>"000351499 - RICH CORPORATION NOI FY18"</f>
        <v>000351499 - RICH CORPORATION NOI FY18</v>
      </c>
      <c r="C12544" t="s">
        <v>3432</v>
      </c>
      <c r="D12544" s="1" t="str">
        <f t="shared" si="341"/>
        <v>PRG-1038548</v>
      </c>
      <c r="E12544" t="s">
        <v>338</v>
      </c>
      <c r="F12544" t="s">
        <v>4</v>
      </c>
      <c r="G12544" t="str">
        <f>""</f>
        <v/>
      </c>
    </row>
    <row r="12545" spans="1:7" x14ac:dyDescent="0.25">
      <c r="A12545" t="s">
        <v>8</v>
      </c>
      <c r="B12545" s="1" t="str">
        <f>"000354020 - RICHS - 100912 FLOUR"</f>
        <v>000354020 - RICHS - 100912 FLOUR</v>
      </c>
      <c r="C12545" t="s">
        <v>2568</v>
      </c>
      <c r="D12545" s="1" t="str">
        <f t="shared" si="341"/>
        <v>PRG-1038548</v>
      </c>
      <c r="E12545" t="s">
        <v>338</v>
      </c>
      <c r="F12545" t="s">
        <v>4</v>
      </c>
      <c r="G12545" t="str">
        <f>""</f>
        <v/>
      </c>
    </row>
    <row r="12546" spans="1:7" x14ac:dyDescent="0.25">
      <c r="A12546" t="s">
        <v>8</v>
      </c>
      <c r="B12546" s="1" t="str">
        <f>"000357105 - USDA   RICHS 100193"</f>
        <v>000357105 - USDA   RICHS 100193</v>
      </c>
      <c r="C12546" t="s">
        <v>3510</v>
      </c>
      <c r="D12546" s="1" t="str">
        <f t="shared" si="341"/>
        <v>PRG-1038548</v>
      </c>
      <c r="E12546" t="s">
        <v>338</v>
      </c>
      <c r="F12546" t="s">
        <v>4</v>
      </c>
      <c r="G12546" t="str">
        <f>""</f>
        <v/>
      </c>
    </row>
    <row r="12547" spans="1:7" x14ac:dyDescent="0.25">
      <c r="A12547" t="s">
        <v>8</v>
      </c>
      <c r="B12547" s="1" t="str">
        <f>"000357596 - RICHS - 100912 FLOUR"</f>
        <v>000357596 - RICHS - 100912 FLOUR</v>
      </c>
      <c r="C12547" t="s">
        <v>2568</v>
      </c>
      <c r="D12547" s="1" t="str">
        <f t="shared" si="341"/>
        <v>PRG-1038548</v>
      </c>
      <c r="E12547" t="s">
        <v>338</v>
      </c>
      <c r="F12547" t="s">
        <v>4</v>
      </c>
      <c r="G12547" t="str">
        <f>""</f>
        <v/>
      </c>
    </row>
    <row r="12548" spans="1:7" x14ac:dyDescent="0.25">
      <c r="A12548" t="s">
        <v>8</v>
      </c>
      <c r="B12548" s="1" t="str">
        <f>"000357964 - RICH CORPORATION NOI FY18"</f>
        <v>000357964 - RICH CORPORATION NOI FY18</v>
      </c>
      <c r="C12548" t="s">
        <v>3432</v>
      </c>
      <c r="D12548" s="1" t="str">
        <f t="shared" ref="D12548:D12579" si="342">"PRG-1038548"</f>
        <v>PRG-1038548</v>
      </c>
      <c r="E12548" t="s">
        <v>338</v>
      </c>
      <c r="F12548" t="s">
        <v>4</v>
      </c>
      <c r="G12548" t="str">
        <f>""</f>
        <v/>
      </c>
    </row>
    <row r="12549" spans="1:7" x14ac:dyDescent="0.25">
      <c r="A12549" t="s">
        <v>8</v>
      </c>
      <c r="B12549" s="1" t="str">
        <f>"000357965 - RICH CORPORATION NOI FY18"</f>
        <v>000357965 - RICH CORPORATION NOI FY18</v>
      </c>
      <c r="C12549" t="s">
        <v>3432</v>
      </c>
      <c r="D12549" s="1" t="str">
        <f t="shared" si="342"/>
        <v>PRG-1038548</v>
      </c>
      <c r="E12549" t="s">
        <v>338</v>
      </c>
      <c r="F12549" t="s">
        <v>4</v>
      </c>
      <c r="G12549" t="str">
        <f>""</f>
        <v/>
      </c>
    </row>
    <row r="12550" spans="1:7" x14ac:dyDescent="0.25">
      <c r="A12550" t="s">
        <v>8</v>
      </c>
      <c r="B12550" s="1" t="str">
        <f>"000358805 - CPS  RICHS - 100912 FLOUR"</f>
        <v>000358805 - CPS  RICHS - 100912 FLOUR</v>
      </c>
      <c r="C12550" t="s">
        <v>3573</v>
      </c>
      <c r="D12550" s="1" t="str">
        <f t="shared" si="342"/>
        <v>PRG-1038548</v>
      </c>
      <c r="E12550" t="s">
        <v>338</v>
      </c>
      <c r="F12550" t="s">
        <v>4</v>
      </c>
      <c r="G12550" t="str">
        <f>""</f>
        <v/>
      </c>
    </row>
    <row r="12551" spans="1:7" x14ac:dyDescent="0.25">
      <c r="A12551" t="s">
        <v>8</v>
      </c>
      <c r="B12551" s="1" t="str">
        <f>"000359145 - CPS  RICHS - 100912 FLOUR"</f>
        <v>000359145 - CPS  RICHS - 100912 FLOUR</v>
      </c>
      <c r="C12551" t="s">
        <v>3573</v>
      </c>
      <c r="D12551" s="1" t="str">
        <f t="shared" si="342"/>
        <v>PRG-1038548</v>
      </c>
      <c r="E12551" t="s">
        <v>338</v>
      </c>
      <c r="F12551" t="s">
        <v>4</v>
      </c>
      <c r="G12551" t="str">
        <f>""</f>
        <v/>
      </c>
    </row>
    <row r="12552" spans="1:7" x14ac:dyDescent="0.25">
      <c r="A12552" t="s">
        <v>8</v>
      </c>
      <c r="B12552" s="1" t="str">
        <f>"000359969 - RICHS - 100912 FLOUR"</f>
        <v>000359969 - RICHS - 100912 FLOUR</v>
      </c>
      <c r="C12552" t="s">
        <v>2568</v>
      </c>
      <c r="D12552" s="1" t="str">
        <f t="shared" si="342"/>
        <v>PRG-1038548</v>
      </c>
      <c r="E12552" t="s">
        <v>338</v>
      </c>
      <c r="F12552" t="s">
        <v>4</v>
      </c>
      <c r="G12552" t="str">
        <f>""</f>
        <v/>
      </c>
    </row>
    <row r="12553" spans="1:7" x14ac:dyDescent="0.25">
      <c r="A12553" t="s">
        <v>8</v>
      </c>
      <c r="B12553" s="1" t="str">
        <f>"000360938 - RICHS - 100912 FLOUR"</f>
        <v>000360938 - RICHS - 100912 FLOUR</v>
      </c>
      <c r="C12553" t="s">
        <v>2568</v>
      </c>
      <c r="D12553" s="1" t="str">
        <f t="shared" si="342"/>
        <v>PRG-1038548</v>
      </c>
      <c r="E12553" t="s">
        <v>338</v>
      </c>
      <c r="F12553" t="s">
        <v>4</v>
      </c>
      <c r="G12553" t="str">
        <f>""</f>
        <v/>
      </c>
    </row>
    <row r="12554" spans="1:7" x14ac:dyDescent="0.25">
      <c r="A12554" t="s">
        <v>8</v>
      </c>
      <c r="B12554" s="1" t="str">
        <f>"000361411 - RICHS - 100912 FLOUR"</f>
        <v>000361411 - RICHS - 100912 FLOUR</v>
      </c>
      <c r="C12554" t="s">
        <v>2568</v>
      </c>
      <c r="D12554" s="1" t="str">
        <f t="shared" si="342"/>
        <v>PRG-1038548</v>
      </c>
      <c r="E12554" t="s">
        <v>338</v>
      </c>
      <c r="F12554" t="s">
        <v>4</v>
      </c>
      <c r="G12554" t="str">
        <f>""</f>
        <v/>
      </c>
    </row>
    <row r="12555" spans="1:7" x14ac:dyDescent="0.25">
      <c r="A12555" t="s">
        <v>8</v>
      </c>
      <c r="B12555" s="1" t="str">
        <f>"000361412 - CPS  RICHS - 100912 FLOUR"</f>
        <v>000361412 - CPS  RICHS - 100912 FLOUR</v>
      </c>
      <c r="C12555" t="s">
        <v>3573</v>
      </c>
      <c r="D12555" s="1" t="str">
        <f t="shared" si="342"/>
        <v>PRG-1038548</v>
      </c>
      <c r="E12555" t="s">
        <v>338</v>
      </c>
      <c r="F12555" t="s">
        <v>4</v>
      </c>
      <c r="G12555" t="str">
        <f>""</f>
        <v/>
      </c>
    </row>
    <row r="12556" spans="1:7" x14ac:dyDescent="0.25">
      <c r="A12556" t="s">
        <v>8</v>
      </c>
      <c r="B12556" s="1" t="str">
        <f>"000361413 - RICHS - 110244"</f>
        <v>000361413 - RICHS - 110244</v>
      </c>
      <c r="C12556" t="s">
        <v>3585</v>
      </c>
      <c r="D12556" s="1" t="str">
        <f t="shared" si="342"/>
        <v>PRG-1038548</v>
      </c>
      <c r="E12556" t="s">
        <v>338</v>
      </c>
      <c r="F12556" t="s">
        <v>4</v>
      </c>
      <c r="G12556" t="str">
        <f>""</f>
        <v/>
      </c>
    </row>
    <row r="12557" spans="1:7" x14ac:dyDescent="0.25">
      <c r="A12557" t="s">
        <v>8</v>
      </c>
      <c r="B12557" s="1" t="str">
        <f>"000361823 - CPS  RICHS - 100912 FLOUR"</f>
        <v>000361823 - CPS  RICHS - 100912 FLOUR</v>
      </c>
      <c r="C12557" t="s">
        <v>3573</v>
      </c>
      <c r="D12557" s="1" t="str">
        <f t="shared" si="342"/>
        <v>PRG-1038548</v>
      </c>
      <c r="E12557" t="s">
        <v>338</v>
      </c>
      <c r="F12557" t="s">
        <v>4</v>
      </c>
      <c r="G12557" t="str">
        <f>""</f>
        <v/>
      </c>
    </row>
    <row r="12558" spans="1:7" x14ac:dyDescent="0.25">
      <c r="A12558" t="s">
        <v>8</v>
      </c>
      <c r="B12558" s="1" t="str">
        <f>"000361909 - RICHS - 100912 FLOUR"</f>
        <v>000361909 - RICHS - 100912 FLOUR</v>
      </c>
      <c r="C12558" t="s">
        <v>2568</v>
      </c>
      <c r="D12558" s="1" t="str">
        <f t="shared" si="342"/>
        <v>PRG-1038548</v>
      </c>
      <c r="E12558" t="s">
        <v>338</v>
      </c>
      <c r="F12558" t="s">
        <v>4</v>
      </c>
      <c r="G12558" t="str">
        <f>""</f>
        <v/>
      </c>
    </row>
    <row r="12559" spans="1:7" x14ac:dyDescent="0.25">
      <c r="A12559" t="s">
        <v>8</v>
      </c>
      <c r="B12559" s="1" t="str">
        <f>"000363771 - CPS  RICHS-100912 FLOUR"</f>
        <v>000363771 - CPS  RICHS-100912 FLOUR</v>
      </c>
      <c r="C12559" t="s">
        <v>3595</v>
      </c>
      <c r="D12559" s="1" t="str">
        <f t="shared" si="342"/>
        <v>PRG-1038548</v>
      </c>
      <c r="E12559" t="s">
        <v>338</v>
      </c>
      <c r="F12559" t="s">
        <v>4</v>
      </c>
      <c r="G12559" t="str">
        <f>""</f>
        <v/>
      </c>
    </row>
    <row r="12560" spans="1:7" x14ac:dyDescent="0.25">
      <c r="A12560" t="s">
        <v>8</v>
      </c>
      <c r="B12560" s="1" t="str">
        <f>"000368385 - USDA   RICHS 100193"</f>
        <v>000368385 - USDA   RICHS 100193</v>
      </c>
      <c r="C12560" t="s">
        <v>3510</v>
      </c>
      <c r="D12560" s="1" t="str">
        <f t="shared" si="342"/>
        <v>PRG-1038548</v>
      </c>
      <c r="E12560" t="s">
        <v>338</v>
      </c>
      <c r="F12560" t="s">
        <v>4</v>
      </c>
      <c r="G12560" t="str">
        <f>""</f>
        <v/>
      </c>
    </row>
    <row r="12561" spans="1:7" x14ac:dyDescent="0.25">
      <c r="A12561" t="s">
        <v>8</v>
      </c>
      <c r="B12561" s="1" t="str">
        <f>"000368410 - RICHS - 110244"</f>
        <v>000368410 - RICHS - 110244</v>
      </c>
      <c r="C12561" t="s">
        <v>3585</v>
      </c>
      <c r="D12561" s="1" t="str">
        <f t="shared" si="342"/>
        <v>PRG-1038548</v>
      </c>
      <c r="E12561" t="s">
        <v>338</v>
      </c>
      <c r="F12561" t="s">
        <v>4</v>
      </c>
      <c r="G12561" t="str">
        <f>""</f>
        <v/>
      </c>
    </row>
    <row r="12562" spans="1:7" x14ac:dyDescent="0.25">
      <c r="A12562" t="s">
        <v>8</v>
      </c>
      <c r="B12562" s="1" t="str">
        <f>"000369370 - CPS  RICHS-100912 FLOUR NEW"</f>
        <v>000369370 - CPS  RICHS-100912 FLOUR NEW</v>
      </c>
      <c r="C12562" t="s">
        <v>3620</v>
      </c>
      <c r="D12562" s="1" t="str">
        <f t="shared" si="342"/>
        <v>PRG-1038548</v>
      </c>
      <c r="E12562" t="s">
        <v>338</v>
      </c>
      <c r="F12562" t="s">
        <v>4</v>
      </c>
      <c r="G12562" t="str">
        <f>""</f>
        <v/>
      </c>
    </row>
    <row r="12563" spans="1:7" x14ac:dyDescent="0.25">
      <c r="A12563" t="s">
        <v>8</v>
      </c>
      <c r="B12563" s="1" t="str">
        <f>"000369391 - RICHS-100912 FLOUR"</f>
        <v>000369391 - RICHS-100912 FLOUR</v>
      </c>
      <c r="C12563" t="s">
        <v>3621</v>
      </c>
      <c r="D12563" s="1" t="str">
        <f t="shared" si="342"/>
        <v>PRG-1038548</v>
      </c>
      <c r="E12563" t="s">
        <v>338</v>
      </c>
      <c r="F12563" t="s">
        <v>4</v>
      </c>
      <c r="G12563" t="str">
        <f>""</f>
        <v/>
      </c>
    </row>
    <row r="12564" spans="1:7" x14ac:dyDescent="0.25">
      <c r="A12564" t="s">
        <v>8</v>
      </c>
      <c r="B12564" s="1" t="str">
        <f>"000372115 - CPS  RICHS-100912 FLOUR"</f>
        <v>000372115 - CPS  RICHS-100912 FLOUR</v>
      </c>
      <c r="C12564" t="s">
        <v>3628</v>
      </c>
      <c r="D12564" s="1" t="str">
        <f t="shared" si="342"/>
        <v>PRG-1038548</v>
      </c>
      <c r="E12564" t="s">
        <v>338</v>
      </c>
      <c r="F12564" t="s">
        <v>4</v>
      </c>
      <c r="G12564" t="str">
        <f>""</f>
        <v/>
      </c>
    </row>
    <row r="12565" spans="1:7" x14ac:dyDescent="0.25">
      <c r="A12565" t="s">
        <v>8</v>
      </c>
      <c r="B12565" s="1" t="str">
        <f>"000375042 - RICHS-100912 FLOUR"</f>
        <v>000375042 - RICHS-100912 FLOUR</v>
      </c>
      <c r="C12565" t="s">
        <v>3621</v>
      </c>
      <c r="D12565" s="1" t="str">
        <f t="shared" si="342"/>
        <v>PRG-1038548</v>
      </c>
      <c r="E12565" t="s">
        <v>338</v>
      </c>
      <c r="F12565" t="s">
        <v>4</v>
      </c>
      <c r="G12565" t="str">
        <f>""</f>
        <v/>
      </c>
    </row>
    <row r="12566" spans="1:7" x14ac:dyDescent="0.25">
      <c r="A12566" t="s">
        <v>8</v>
      </c>
      <c r="B12566" s="1" t="str">
        <f>"000375096 - CPS  RICHS-100912 FLOUR"</f>
        <v>000375096 - CPS  RICHS-100912 FLOUR</v>
      </c>
      <c r="C12566" t="s">
        <v>3628</v>
      </c>
      <c r="D12566" s="1" t="str">
        <f t="shared" si="342"/>
        <v>PRG-1038548</v>
      </c>
      <c r="E12566" t="s">
        <v>338</v>
      </c>
      <c r="F12566" t="s">
        <v>4</v>
      </c>
      <c r="G12566" t="str">
        <f>""</f>
        <v/>
      </c>
    </row>
    <row r="12567" spans="1:7" x14ac:dyDescent="0.25">
      <c r="A12567" t="s">
        <v>8</v>
      </c>
      <c r="B12567" s="1" t="str">
        <f>"000376612 - RICHS-100912 FLOUR"</f>
        <v>000376612 - RICHS-100912 FLOUR</v>
      </c>
      <c r="C12567" t="s">
        <v>3621</v>
      </c>
      <c r="D12567" s="1" t="str">
        <f t="shared" si="342"/>
        <v>PRG-1038548</v>
      </c>
      <c r="E12567" t="s">
        <v>338</v>
      </c>
      <c r="F12567" t="s">
        <v>4</v>
      </c>
      <c r="G12567" t="str">
        <f>""</f>
        <v/>
      </c>
    </row>
    <row r="12568" spans="1:7" x14ac:dyDescent="0.25">
      <c r="A12568" t="s">
        <v>8</v>
      </c>
      <c r="B12568" s="1" t="str">
        <f>"000377593 - RICHS-100912 FLOUR"</f>
        <v>000377593 - RICHS-100912 FLOUR</v>
      </c>
      <c r="C12568" t="s">
        <v>3621</v>
      </c>
      <c r="D12568" s="1" t="str">
        <f t="shared" si="342"/>
        <v>PRG-1038548</v>
      </c>
      <c r="E12568" t="s">
        <v>338</v>
      </c>
      <c r="F12568" t="s">
        <v>4</v>
      </c>
      <c r="G12568" t="str">
        <f>""</f>
        <v/>
      </c>
    </row>
    <row r="12569" spans="1:7" x14ac:dyDescent="0.25">
      <c r="A12569" t="s">
        <v>8</v>
      </c>
      <c r="B12569" s="1" t="str">
        <f>"000379443 - RICHS-100912 FLOUR"</f>
        <v>000379443 - RICHS-100912 FLOUR</v>
      </c>
      <c r="C12569" t="s">
        <v>3621</v>
      </c>
      <c r="D12569" s="1" t="str">
        <f t="shared" si="342"/>
        <v>PRG-1038548</v>
      </c>
      <c r="E12569" t="s">
        <v>338</v>
      </c>
      <c r="F12569" t="s">
        <v>4</v>
      </c>
      <c r="G12569" t="str">
        <f>""</f>
        <v/>
      </c>
    </row>
    <row r="12570" spans="1:7" x14ac:dyDescent="0.25">
      <c r="A12570" t="s">
        <v>8</v>
      </c>
      <c r="B12570" s="1" t="str">
        <f>"000381546 - RICHS-100912 FLOUR"</f>
        <v>000381546 - RICHS-100912 FLOUR</v>
      </c>
      <c r="C12570" t="s">
        <v>3621</v>
      </c>
      <c r="D12570" s="1" t="str">
        <f t="shared" si="342"/>
        <v>PRG-1038548</v>
      </c>
      <c r="E12570" t="s">
        <v>338</v>
      </c>
      <c r="F12570" t="s">
        <v>4</v>
      </c>
      <c r="G12570" t="str">
        <f>""</f>
        <v/>
      </c>
    </row>
    <row r="12571" spans="1:7" x14ac:dyDescent="0.25">
      <c r="A12571" t="s">
        <v>8</v>
      </c>
      <c r="B12571" s="1" t="str">
        <f>"000381967 - CPS  RICHS-100912 FLOUR"</f>
        <v>000381967 - CPS  RICHS-100912 FLOUR</v>
      </c>
      <c r="C12571" t="s">
        <v>3628</v>
      </c>
      <c r="D12571" s="1" t="str">
        <f t="shared" si="342"/>
        <v>PRG-1038548</v>
      </c>
      <c r="E12571" t="s">
        <v>338</v>
      </c>
      <c r="F12571" t="s">
        <v>4</v>
      </c>
      <c r="G12571" t="str">
        <f>""</f>
        <v/>
      </c>
    </row>
    <row r="12572" spans="1:7" x14ac:dyDescent="0.25">
      <c r="A12572" t="s">
        <v>8</v>
      </c>
      <c r="B12572" s="1" t="str">
        <f>"000384211 - "</f>
        <v xml:space="preserve">000384211 - </v>
      </c>
      <c r="D12572" s="1" t="str">
        <f t="shared" si="342"/>
        <v>PRG-1038548</v>
      </c>
      <c r="E12572" t="s">
        <v>338</v>
      </c>
      <c r="F12572" t="s">
        <v>4</v>
      </c>
      <c r="G12572" t="str">
        <f>""</f>
        <v/>
      </c>
    </row>
    <row r="12573" spans="1:7" x14ac:dyDescent="0.25">
      <c r="A12573" t="s">
        <v>8</v>
      </c>
      <c r="B12573" s="1" t="str">
        <f>"000388588 - RCH 100912"</f>
        <v>000388588 - RCH 100912</v>
      </c>
      <c r="C12573" t="s">
        <v>224</v>
      </c>
      <c r="D12573" s="1" t="str">
        <f t="shared" si="342"/>
        <v>PRG-1038548</v>
      </c>
      <c r="E12573" t="s">
        <v>338</v>
      </c>
      <c r="F12573" t="s">
        <v>4</v>
      </c>
      <c r="G12573" t="str">
        <f>""</f>
        <v/>
      </c>
    </row>
    <row r="12574" spans="1:7" x14ac:dyDescent="0.25">
      <c r="A12574" t="s">
        <v>8</v>
      </c>
      <c r="B12574" s="1" t="str">
        <f>"000390647 - RCH 100912"</f>
        <v>000390647 - RCH 100912</v>
      </c>
      <c r="C12574" t="s">
        <v>224</v>
      </c>
      <c r="D12574" s="1" t="str">
        <f t="shared" si="342"/>
        <v>PRG-1038548</v>
      </c>
      <c r="E12574" t="s">
        <v>338</v>
      </c>
      <c r="F12574" t="s">
        <v>4</v>
      </c>
      <c r="G12574" t="str">
        <f>""</f>
        <v/>
      </c>
    </row>
    <row r="12575" spans="1:7" x14ac:dyDescent="0.25">
      <c r="A12575" t="s">
        <v>8</v>
      </c>
      <c r="B12575" s="1" t="str">
        <f>"000391101 - RCH 100912"</f>
        <v>000391101 - RCH 100912</v>
      </c>
      <c r="C12575" t="s">
        <v>224</v>
      </c>
      <c r="D12575" s="1" t="str">
        <f t="shared" si="342"/>
        <v>PRG-1038548</v>
      </c>
      <c r="E12575" t="s">
        <v>338</v>
      </c>
      <c r="F12575" t="s">
        <v>4</v>
      </c>
      <c r="G12575" t="str">
        <f>""</f>
        <v/>
      </c>
    </row>
    <row r="12576" spans="1:7" x14ac:dyDescent="0.25">
      <c r="A12576" t="s">
        <v>8</v>
      </c>
      <c r="B12576" s="1" t="str">
        <f>"000393493 - RCH 110244"</f>
        <v>000393493 - RCH 110244</v>
      </c>
      <c r="C12576" t="s">
        <v>420</v>
      </c>
      <c r="D12576" s="1" t="str">
        <f t="shared" si="342"/>
        <v>PRG-1038548</v>
      </c>
      <c r="E12576" t="s">
        <v>338</v>
      </c>
      <c r="F12576" t="s">
        <v>4</v>
      </c>
      <c r="G12576" t="str">
        <f>""</f>
        <v/>
      </c>
    </row>
    <row r="12577" spans="1:7" x14ac:dyDescent="0.25">
      <c r="A12577" t="s">
        <v>8</v>
      </c>
      <c r="B12577" s="1" t="str">
        <f>"000397838 - RCH 100912"</f>
        <v>000397838 - RCH 100912</v>
      </c>
      <c r="C12577" t="s">
        <v>224</v>
      </c>
      <c r="D12577" s="1" t="str">
        <f t="shared" si="342"/>
        <v>PRG-1038548</v>
      </c>
      <c r="E12577" t="s">
        <v>338</v>
      </c>
      <c r="F12577" t="s">
        <v>4</v>
      </c>
      <c r="G12577" t="str">
        <f>""</f>
        <v/>
      </c>
    </row>
    <row r="12578" spans="1:7" x14ac:dyDescent="0.25">
      <c r="A12578" t="s">
        <v>8</v>
      </c>
      <c r="B12578" s="1" t="str">
        <f>"000399286 - RCH 100912"</f>
        <v>000399286 - RCH 100912</v>
      </c>
      <c r="C12578" t="s">
        <v>224</v>
      </c>
      <c r="D12578" s="1" t="str">
        <f t="shared" si="342"/>
        <v>PRG-1038548</v>
      </c>
      <c r="E12578" t="s">
        <v>338</v>
      </c>
      <c r="F12578" t="s">
        <v>4</v>
      </c>
      <c r="G12578" t="str">
        <f>""</f>
        <v/>
      </c>
    </row>
    <row r="12579" spans="1:7" x14ac:dyDescent="0.25">
      <c r="A12579" t="s">
        <v>8</v>
      </c>
      <c r="B12579" s="1" t="str">
        <f>"000399894 - RCH 100912"</f>
        <v>000399894 - RCH 100912</v>
      </c>
      <c r="C12579" t="s">
        <v>224</v>
      </c>
      <c r="D12579" s="1" t="str">
        <f t="shared" si="342"/>
        <v>PRG-1038548</v>
      </c>
      <c r="E12579" t="s">
        <v>338</v>
      </c>
      <c r="F12579" t="s">
        <v>4</v>
      </c>
      <c r="G12579" t="str">
        <f>""</f>
        <v/>
      </c>
    </row>
    <row r="12580" spans="1:7" x14ac:dyDescent="0.25">
      <c r="A12580" t="s">
        <v>8</v>
      </c>
      <c r="B12580" s="1" t="str">
        <f>"0009520 - "</f>
        <v xml:space="preserve">0009520 - </v>
      </c>
      <c r="D12580" s="1" t="str">
        <f t="shared" ref="D12580:D12611" si="343">"PRG-1038548"</f>
        <v>PRG-1038548</v>
      </c>
      <c r="E12580" t="s">
        <v>338</v>
      </c>
      <c r="F12580" t="s">
        <v>4</v>
      </c>
      <c r="G12580" t="str">
        <f>""</f>
        <v/>
      </c>
    </row>
    <row r="12581" spans="1:7" x14ac:dyDescent="0.25">
      <c r="A12581" t="s">
        <v>8</v>
      </c>
      <c r="B12581" s="1" t="str">
        <f>"S2H00KQ2"</f>
        <v>S2H00KQ2</v>
      </c>
      <c r="C12581" t="s">
        <v>5490</v>
      </c>
      <c r="D12581" s="1" t="str">
        <f t="shared" si="343"/>
        <v>PRG-1038548</v>
      </c>
      <c r="E12581" t="s">
        <v>338</v>
      </c>
      <c r="F12581" t="s">
        <v>5</v>
      </c>
      <c r="G12581" t="str">
        <f>""</f>
        <v/>
      </c>
    </row>
    <row r="12582" spans="1:7" x14ac:dyDescent="0.25">
      <c r="A12582" t="s">
        <v>8</v>
      </c>
      <c r="B12582" s="1" t="str">
        <f>"S2H00KQ6"</f>
        <v>S2H00KQ6</v>
      </c>
      <c r="C12582" t="s">
        <v>5494</v>
      </c>
      <c r="D12582" s="1" t="str">
        <f t="shared" si="343"/>
        <v>PRG-1038548</v>
      </c>
      <c r="E12582" t="s">
        <v>338</v>
      </c>
      <c r="F12582" t="s">
        <v>5</v>
      </c>
      <c r="G12582" t="str">
        <f>""</f>
        <v/>
      </c>
    </row>
    <row r="12583" spans="1:7" x14ac:dyDescent="0.25">
      <c r="A12583" t="s">
        <v>8</v>
      </c>
      <c r="B12583" s="1" t="str">
        <f>"S2H00KQ8"</f>
        <v>S2H00KQ8</v>
      </c>
      <c r="C12583" t="s">
        <v>5496</v>
      </c>
      <c r="D12583" s="1" t="str">
        <f t="shared" si="343"/>
        <v>PRG-1038548</v>
      </c>
      <c r="E12583" t="s">
        <v>338</v>
      </c>
      <c r="F12583" t="s">
        <v>5</v>
      </c>
      <c r="G12583" t="str">
        <f>""</f>
        <v/>
      </c>
    </row>
    <row r="12584" spans="1:7" x14ac:dyDescent="0.25">
      <c r="A12584" t="s">
        <v>8</v>
      </c>
      <c r="B12584" s="1" t="str">
        <f>"S2J01KO4"</f>
        <v>S2J01KO4</v>
      </c>
      <c r="C12584" t="s">
        <v>5554</v>
      </c>
      <c r="D12584" s="1" t="str">
        <f t="shared" si="343"/>
        <v>PRG-1038548</v>
      </c>
      <c r="E12584" t="s">
        <v>338</v>
      </c>
      <c r="F12584" t="s">
        <v>5</v>
      </c>
      <c r="G12584" t="str">
        <f>""</f>
        <v/>
      </c>
    </row>
    <row r="12585" spans="1:7" x14ac:dyDescent="0.25">
      <c r="A12585" t="s">
        <v>8</v>
      </c>
      <c r="B12585" s="1" t="str">
        <f>"S2J01KO5"</f>
        <v>S2J01KO5</v>
      </c>
      <c r="C12585" t="s">
        <v>5555</v>
      </c>
      <c r="D12585" s="1" t="str">
        <f t="shared" si="343"/>
        <v>PRG-1038548</v>
      </c>
      <c r="E12585" t="s">
        <v>338</v>
      </c>
      <c r="F12585" t="s">
        <v>5</v>
      </c>
      <c r="G12585" t="str">
        <f>""</f>
        <v/>
      </c>
    </row>
    <row r="12586" spans="1:7" x14ac:dyDescent="0.25">
      <c r="A12586" t="s">
        <v>8</v>
      </c>
      <c r="B12586" s="1" t="str">
        <f>"S2J01KO6"</f>
        <v>S2J01KO6</v>
      </c>
      <c r="C12586" t="s">
        <v>5556</v>
      </c>
      <c r="D12586" s="1" t="str">
        <f t="shared" si="343"/>
        <v>PRG-1038548</v>
      </c>
      <c r="E12586" t="s">
        <v>338</v>
      </c>
      <c r="F12586" t="s">
        <v>5</v>
      </c>
      <c r="G12586" t="str">
        <f>""</f>
        <v/>
      </c>
    </row>
    <row r="12587" spans="1:7" x14ac:dyDescent="0.25">
      <c r="A12587" t="s">
        <v>8</v>
      </c>
      <c r="B12587" s="1" t="str">
        <f>"S2J01KO7"</f>
        <v>S2J01KO7</v>
      </c>
      <c r="C12587" t="s">
        <v>5557</v>
      </c>
      <c r="D12587" s="1" t="str">
        <f t="shared" si="343"/>
        <v>PRG-1038548</v>
      </c>
      <c r="E12587" t="s">
        <v>338</v>
      </c>
      <c r="F12587" t="s">
        <v>5</v>
      </c>
      <c r="G12587" t="str">
        <f>""</f>
        <v/>
      </c>
    </row>
    <row r="12588" spans="1:7" x14ac:dyDescent="0.25">
      <c r="A12588" t="s">
        <v>8</v>
      </c>
      <c r="B12588" s="1" t="str">
        <f>"S2J01KOC"</f>
        <v>S2J01KOC</v>
      </c>
      <c r="C12588" t="s">
        <v>5560</v>
      </c>
      <c r="D12588" s="1" t="str">
        <f t="shared" si="343"/>
        <v>PRG-1038548</v>
      </c>
      <c r="E12588" t="s">
        <v>338</v>
      </c>
      <c r="F12588" t="s">
        <v>5</v>
      </c>
      <c r="G12588" t="str">
        <f>""</f>
        <v/>
      </c>
    </row>
    <row r="12589" spans="1:7" x14ac:dyDescent="0.25">
      <c r="A12589" t="s">
        <v>8</v>
      </c>
      <c r="B12589" s="1" t="str">
        <f>"S2J01KOE"</f>
        <v>S2J01KOE</v>
      </c>
      <c r="C12589" t="s">
        <v>5562</v>
      </c>
      <c r="D12589" s="1" t="str">
        <f t="shared" si="343"/>
        <v>PRG-1038548</v>
      </c>
      <c r="E12589" t="s">
        <v>338</v>
      </c>
      <c r="F12589" t="s">
        <v>5</v>
      </c>
      <c r="G12589" t="str">
        <f>""</f>
        <v/>
      </c>
    </row>
    <row r="12590" spans="1:7" x14ac:dyDescent="0.25">
      <c r="A12590" t="s">
        <v>8</v>
      </c>
      <c r="B12590" s="1" t="str">
        <f>"S2J01KOG"</f>
        <v>S2J01KOG</v>
      </c>
      <c r="C12590" t="s">
        <v>5563</v>
      </c>
      <c r="D12590" s="1" t="str">
        <f t="shared" si="343"/>
        <v>PRG-1038548</v>
      </c>
      <c r="E12590" t="s">
        <v>338</v>
      </c>
      <c r="F12590" t="s">
        <v>5</v>
      </c>
      <c r="G12590" t="str">
        <f>""</f>
        <v/>
      </c>
    </row>
    <row r="12591" spans="1:7" x14ac:dyDescent="0.25">
      <c r="A12591" t="s">
        <v>8</v>
      </c>
      <c r="B12591" s="1" t="str">
        <f>"S2J01KOJ"</f>
        <v>S2J01KOJ</v>
      </c>
      <c r="C12591" t="s">
        <v>5565</v>
      </c>
      <c r="D12591" s="1" t="str">
        <f t="shared" si="343"/>
        <v>PRG-1038548</v>
      </c>
      <c r="E12591" t="s">
        <v>338</v>
      </c>
      <c r="F12591" t="s">
        <v>5</v>
      </c>
      <c r="G12591" t="str">
        <f>""</f>
        <v/>
      </c>
    </row>
    <row r="12592" spans="1:7" x14ac:dyDescent="0.25">
      <c r="A12592" t="s">
        <v>8</v>
      </c>
      <c r="B12592" s="1" t="str">
        <f>"S2J01KOK"</f>
        <v>S2J01KOK</v>
      </c>
      <c r="C12592" t="s">
        <v>5566</v>
      </c>
      <c r="D12592" s="1" t="str">
        <f t="shared" si="343"/>
        <v>PRG-1038548</v>
      </c>
      <c r="E12592" t="s">
        <v>338</v>
      </c>
      <c r="F12592" t="s">
        <v>5</v>
      </c>
      <c r="G12592" t="str">
        <f>""</f>
        <v/>
      </c>
    </row>
    <row r="12593" spans="1:7" x14ac:dyDescent="0.25">
      <c r="A12593" t="s">
        <v>8</v>
      </c>
      <c r="B12593" s="1" t="str">
        <f>"S2J01KOL"</f>
        <v>S2J01KOL</v>
      </c>
      <c r="C12593" t="s">
        <v>5567</v>
      </c>
      <c r="D12593" s="1" t="str">
        <f t="shared" si="343"/>
        <v>PRG-1038548</v>
      </c>
      <c r="E12593" t="s">
        <v>338</v>
      </c>
      <c r="F12593" t="s">
        <v>5</v>
      </c>
      <c r="G12593" t="str">
        <f>""</f>
        <v/>
      </c>
    </row>
    <row r="12594" spans="1:7" x14ac:dyDescent="0.25">
      <c r="A12594" t="s">
        <v>8</v>
      </c>
      <c r="B12594" s="1" t="str">
        <f>"S3V00F20"</f>
        <v>S3V00F20</v>
      </c>
      <c r="C12594" t="s">
        <v>5642</v>
      </c>
      <c r="D12594" s="1" t="str">
        <f t="shared" si="343"/>
        <v>PRG-1038548</v>
      </c>
      <c r="E12594" t="s">
        <v>338</v>
      </c>
      <c r="F12594" t="s">
        <v>5</v>
      </c>
      <c r="G12594" t="str">
        <f>""</f>
        <v/>
      </c>
    </row>
    <row r="12595" spans="1:7" x14ac:dyDescent="0.25">
      <c r="A12595" t="s">
        <v>8</v>
      </c>
      <c r="B12595" s="1" t="str">
        <f>"S4V01FV3"</f>
        <v>S4V01FV3</v>
      </c>
      <c r="C12595" t="s">
        <v>5790</v>
      </c>
      <c r="D12595" s="1" t="str">
        <f t="shared" si="343"/>
        <v>PRG-1038548</v>
      </c>
      <c r="E12595" t="s">
        <v>338</v>
      </c>
      <c r="F12595" t="s">
        <v>5</v>
      </c>
      <c r="G12595" t="str">
        <f>""</f>
        <v/>
      </c>
    </row>
    <row r="12596" spans="1:7" x14ac:dyDescent="0.25">
      <c r="A12596" t="s">
        <v>8</v>
      </c>
      <c r="B12596" s="1" t="str">
        <f>"S5I036Q3"</f>
        <v>S5I036Q3</v>
      </c>
      <c r="C12596" t="s">
        <v>5887</v>
      </c>
      <c r="D12596" s="1" t="str">
        <f t="shared" si="343"/>
        <v>PRG-1038548</v>
      </c>
      <c r="E12596" t="s">
        <v>338</v>
      </c>
      <c r="F12596" t="s">
        <v>5</v>
      </c>
      <c r="G12596" t="str">
        <f>""</f>
        <v/>
      </c>
    </row>
    <row r="12597" spans="1:7" x14ac:dyDescent="0.25">
      <c r="A12597" t="s">
        <v>8</v>
      </c>
      <c r="B12597" s="1" t="str">
        <f>"S5I036Q4"</f>
        <v>S5I036Q4</v>
      </c>
      <c r="C12597" t="s">
        <v>5888</v>
      </c>
      <c r="D12597" s="1" t="str">
        <f t="shared" si="343"/>
        <v>PRG-1038548</v>
      </c>
      <c r="E12597" t="s">
        <v>338</v>
      </c>
      <c r="F12597" t="s">
        <v>5</v>
      </c>
      <c r="G12597" t="str">
        <f>""</f>
        <v/>
      </c>
    </row>
    <row r="12598" spans="1:7" x14ac:dyDescent="0.25">
      <c r="A12598" t="s">
        <v>8</v>
      </c>
      <c r="B12598" s="1" t="str">
        <f>"S5I036Q7"</f>
        <v>S5I036Q7</v>
      </c>
      <c r="C12598" t="s">
        <v>5891</v>
      </c>
      <c r="D12598" s="1" t="str">
        <f t="shared" si="343"/>
        <v>PRG-1038548</v>
      </c>
      <c r="E12598" t="s">
        <v>338</v>
      </c>
      <c r="F12598" t="s">
        <v>5</v>
      </c>
      <c r="G12598" t="str">
        <f>""</f>
        <v/>
      </c>
    </row>
    <row r="12599" spans="1:7" x14ac:dyDescent="0.25">
      <c r="A12599" t="s">
        <v>8</v>
      </c>
      <c r="B12599" s="1" t="str">
        <f>"S5I036Q9"</f>
        <v>S5I036Q9</v>
      </c>
      <c r="C12599" t="s">
        <v>5893</v>
      </c>
      <c r="D12599" s="1" t="str">
        <f t="shared" si="343"/>
        <v>PRG-1038548</v>
      </c>
      <c r="E12599" t="s">
        <v>338</v>
      </c>
      <c r="F12599" t="s">
        <v>5</v>
      </c>
      <c r="G12599" t="str">
        <f>""</f>
        <v/>
      </c>
    </row>
    <row r="12600" spans="1:7" x14ac:dyDescent="0.25">
      <c r="A12600" t="s">
        <v>8</v>
      </c>
      <c r="B12600" s="1" t="str">
        <f>"S5I036QA"</f>
        <v>S5I036QA</v>
      </c>
      <c r="C12600" t="s">
        <v>5894</v>
      </c>
      <c r="D12600" s="1" t="str">
        <f t="shared" si="343"/>
        <v>PRG-1038548</v>
      </c>
      <c r="E12600" t="s">
        <v>338</v>
      </c>
      <c r="F12600" t="s">
        <v>5</v>
      </c>
      <c r="G12600" t="str">
        <f>""</f>
        <v/>
      </c>
    </row>
    <row r="12601" spans="1:7" x14ac:dyDescent="0.25">
      <c r="A12601" t="s">
        <v>8</v>
      </c>
      <c r="B12601" s="1" t="str">
        <f>"S5Z00RQ0"</f>
        <v>S5Z00RQ0</v>
      </c>
      <c r="C12601" t="s">
        <v>5953</v>
      </c>
      <c r="D12601" s="1" t="str">
        <f t="shared" si="343"/>
        <v>PRG-1038548</v>
      </c>
      <c r="E12601" t="s">
        <v>338</v>
      </c>
      <c r="F12601" t="s">
        <v>5</v>
      </c>
      <c r="G12601" t="str">
        <f>""</f>
        <v/>
      </c>
    </row>
    <row r="12602" spans="1:7" x14ac:dyDescent="0.25">
      <c r="A12602" t="s">
        <v>8</v>
      </c>
      <c r="B12602" s="1" t="str">
        <f>"S6B03VW0"</f>
        <v>S6B03VW0</v>
      </c>
      <c r="C12602" t="s">
        <v>6007</v>
      </c>
      <c r="D12602" s="1" t="str">
        <f t="shared" si="343"/>
        <v>PRG-1038548</v>
      </c>
      <c r="E12602" t="s">
        <v>338</v>
      </c>
      <c r="F12602" t="s">
        <v>5</v>
      </c>
      <c r="G12602" t="str">
        <f>""</f>
        <v/>
      </c>
    </row>
    <row r="12603" spans="1:7" x14ac:dyDescent="0.25">
      <c r="A12603" t="s">
        <v>8</v>
      </c>
      <c r="B12603" s="1" t="str">
        <f>"S6B03VW3"</f>
        <v>S6B03VW3</v>
      </c>
      <c r="C12603" t="s">
        <v>6010</v>
      </c>
      <c r="D12603" s="1" t="str">
        <f t="shared" si="343"/>
        <v>PRG-1038548</v>
      </c>
      <c r="E12603" t="s">
        <v>338</v>
      </c>
      <c r="F12603" t="s">
        <v>5</v>
      </c>
      <c r="G12603" t="str">
        <f>""</f>
        <v/>
      </c>
    </row>
    <row r="12604" spans="1:7" x14ac:dyDescent="0.25">
      <c r="A12604" t="s">
        <v>8</v>
      </c>
      <c r="B12604" s="1" t="str">
        <f>"S6B03VW6"</f>
        <v>S6B03VW6</v>
      </c>
      <c r="C12604" t="s">
        <v>6013</v>
      </c>
      <c r="D12604" s="1" t="str">
        <f t="shared" si="343"/>
        <v>PRG-1038548</v>
      </c>
      <c r="E12604" t="s">
        <v>338</v>
      </c>
      <c r="F12604" t="s">
        <v>5</v>
      </c>
      <c r="G12604" t="str">
        <f>""</f>
        <v/>
      </c>
    </row>
    <row r="12605" spans="1:7" x14ac:dyDescent="0.25">
      <c r="A12605" t="s">
        <v>8</v>
      </c>
      <c r="B12605" s="1" t="str">
        <f>"S6D00PD0"</f>
        <v>S6D00PD0</v>
      </c>
      <c r="C12605" t="s">
        <v>6038</v>
      </c>
      <c r="D12605" s="1" t="str">
        <f t="shared" si="343"/>
        <v>PRG-1038548</v>
      </c>
      <c r="E12605" t="s">
        <v>338</v>
      </c>
      <c r="F12605" t="s">
        <v>5</v>
      </c>
      <c r="G12605" t="str">
        <f>""</f>
        <v/>
      </c>
    </row>
    <row r="12606" spans="1:7" x14ac:dyDescent="0.25">
      <c r="A12606" t="s">
        <v>8</v>
      </c>
      <c r="B12606" s="1" t="str">
        <f>"S6D00PD1"</f>
        <v>S6D00PD1</v>
      </c>
      <c r="C12606" t="s">
        <v>6039</v>
      </c>
      <c r="D12606" s="1" t="str">
        <f t="shared" si="343"/>
        <v>PRG-1038548</v>
      </c>
      <c r="E12606" t="s">
        <v>338</v>
      </c>
      <c r="F12606" t="s">
        <v>5</v>
      </c>
      <c r="G12606" t="str">
        <f>""</f>
        <v/>
      </c>
    </row>
    <row r="12607" spans="1:7" x14ac:dyDescent="0.25">
      <c r="A12607" t="s">
        <v>8</v>
      </c>
      <c r="B12607" s="1" t="str">
        <f>"S6D00PD2"</f>
        <v>S6D00PD2</v>
      </c>
      <c r="C12607" t="s">
        <v>6040</v>
      </c>
      <c r="D12607" s="1" t="str">
        <f t="shared" si="343"/>
        <v>PRG-1038548</v>
      </c>
      <c r="E12607" t="s">
        <v>338</v>
      </c>
      <c r="F12607" t="s">
        <v>5</v>
      </c>
      <c r="G12607" t="str">
        <f>""</f>
        <v/>
      </c>
    </row>
    <row r="12608" spans="1:7" x14ac:dyDescent="0.25">
      <c r="A12608" t="s">
        <v>8</v>
      </c>
      <c r="B12608" s="1" t="str">
        <f>"S6F00DP2"</f>
        <v>S6F00DP2</v>
      </c>
      <c r="C12608" t="s">
        <v>6043</v>
      </c>
      <c r="D12608" s="1" t="str">
        <f t="shared" si="343"/>
        <v>PRG-1038548</v>
      </c>
      <c r="E12608" t="s">
        <v>338</v>
      </c>
      <c r="F12608" t="s">
        <v>5</v>
      </c>
      <c r="G12608" t="str">
        <f>""</f>
        <v/>
      </c>
    </row>
    <row r="12609" spans="1:7" x14ac:dyDescent="0.25">
      <c r="A12609" t="s">
        <v>8</v>
      </c>
      <c r="B12609" s="1" t="str">
        <f>"S6F00DP3"</f>
        <v>S6F00DP3</v>
      </c>
      <c r="C12609" t="s">
        <v>6044</v>
      </c>
      <c r="D12609" s="1" t="str">
        <f t="shared" si="343"/>
        <v>PRG-1038548</v>
      </c>
      <c r="E12609" t="s">
        <v>338</v>
      </c>
      <c r="F12609" t="s">
        <v>5</v>
      </c>
      <c r="G12609" t="str">
        <f>""</f>
        <v/>
      </c>
    </row>
    <row r="12610" spans="1:7" x14ac:dyDescent="0.25">
      <c r="A12610" t="s">
        <v>8</v>
      </c>
      <c r="B12610" s="1" t="str">
        <f>"S6F00DP4"</f>
        <v>S6F00DP4</v>
      </c>
      <c r="C12610" t="s">
        <v>6045</v>
      </c>
      <c r="D12610" s="1" t="str">
        <f t="shared" si="343"/>
        <v>PRG-1038548</v>
      </c>
      <c r="E12610" t="s">
        <v>338</v>
      </c>
      <c r="F12610" t="s">
        <v>5</v>
      </c>
      <c r="G12610" t="str">
        <f>""</f>
        <v/>
      </c>
    </row>
    <row r="12611" spans="1:7" x14ac:dyDescent="0.25">
      <c r="A12611" t="s">
        <v>8</v>
      </c>
      <c r="B12611" s="1" t="str">
        <f>"S6F00DP6"</f>
        <v>S6F00DP6</v>
      </c>
      <c r="C12611" t="s">
        <v>6046</v>
      </c>
      <c r="D12611" s="1" t="str">
        <f t="shared" si="343"/>
        <v>PRG-1038548</v>
      </c>
      <c r="E12611" t="s">
        <v>338</v>
      </c>
      <c r="F12611" t="s">
        <v>5</v>
      </c>
      <c r="G12611" t="str">
        <f>""</f>
        <v/>
      </c>
    </row>
    <row r="12612" spans="1:7" x14ac:dyDescent="0.25">
      <c r="A12612" t="s">
        <v>8</v>
      </c>
      <c r="B12612" s="1" t="str">
        <f>"S6F00DP7"</f>
        <v>S6F00DP7</v>
      </c>
      <c r="C12612" t="s">
        <v>6047</v>
      </c>
      <c r="D12612" s="1" t="str">
        <f t="shared" ref="D12612:D12624" si="344">"PRG-1038548"</f>
        <v>PRG-1038548</v>
      </c>
      <c r="E12612" t="s">
        <v>338</v>
      </c>
      <c r="F12612" t="s">
        <v>5</v>
      </c>
      <c r="G12612" t="str">
        <f>""</f>
        <v/>
      </c>
    </row>
    <row r="12613" spans="1:7" x14ac:dyDescent="0.25">
      <c r="A12613" t="s">
        <v>8</v>
      </c>
      <c r="B12613" s="1" t="str">
        <f>"S6F00DP8"</f>
        <v>S6F00DP8</v>
      </c>
      <c r="C12613" t="s">
        <v>6048</v>
      </c>
      <c r="D12613" s="1" t="str">
        <f t="shared" si="344"/>
        <v>PRG-1038548</v>
      </c>
      <c r="E12613" t="s">
        <v>338</v>
      </c>
      <c r="F12613" t="s">
        <v>5</v>
      </c>
      <c r="G12613" t="str">
        <f>""</f>
        <v/>
      </c>
    </row>
    <row r="12614" spans="1:7" x14ac:dyDescent="0.25">
      <c r="A12614" t="s">
        <v>8</v>
      </c>
      <c r="B12614" s="1" t="str">
        <f>"S6J04AJ1"</f>
        <v>S6J04AJ1</v>
      </c>
      <c r="C12614" t="s">
        <v>6128</v>
      </c>
      <c r="D12614" s="1" t="str">
        <f t="shared" si="344"/>
        <v>PRG-1038548</v>
      </c>
      <c r="E12614" t="s">
        <v>338</v>
      </c>
      <c r="F12614" t="s">
        <v>5</v>
      </c>
      <c r="G12614" t="str">
        <f>""</f>
        <v/>
      </c>
    </row>
    <row r="12615" spans="1:7" x14ac:dyDescent="0.25">
      <c r="A12615" t="s">
        <v>8</v>
      </c>
      <c r="B12615" s="1" t="str">
        <f>"S6J04AJ5"</f>
        <v>S6J04AJ5</v>
      </c>
      <c r="C12615" t="s">
        <v>6132</v>
      </c>
      <c r="D12615" s="1" t="str">
        <f t="shared" si="344"/>
        <v>PRG-1038548</v>
      </c>
      <c r="E12615" t="s">
        <v>338</v>
      </c>
      <c r="F12615" t="s">
        <v>5</v>
      </c>
      <c r="G12615" t="str">
        <f>""</f>
        <v/>
      </c>
    </row>
    <row r="12616" spans="1:7" x14ac:dyDescent="0.25">
      <c r="A12616" t="s">
        <v>8</v>
      </c>
      <c r="B12616" s="1" t="str">
        <f>"S8N015O0"</f>
        <v>S8N015O0</v>
      </c>
      <c r="C12616" t="s">
        <v>6263</v>
      </c>
      <c r="D12616" s="1" t="str">
        <f t="shared" si="344"/>
        <v>PRG-1038548</v>
      </c>
      <c r="E12616" t="s">
        <v>338</v>
      </c>
      <c r="F12616" t="s">
        <v>5</v>
      </c>
      <c r="G12616" t="str">
        <f>""</f>
        <v/>
      </c>
    </row>
    <row r="12617" spans="1:7" x14ac:dyDescent="0.25">
      <c r="A12617" t="s">
        <v>8</v>
      </c>
      <c r="B12617" s="1" t="str">
        <f>"S8N015O1"</f>
        <v>S8N015O1</v>
      </c>
      <c r="C12617" t="s">
        <v>6264</v>
      </c>
      <c r="D12617" s="1" t="str">
        <f t="shared" si="344"/>
        <v>PRG-1038548</v>
      </c>
      <c r="E12617" t="s">
        <v>338</v>
      </c>
      <c r="F12617" t="s">
        <v>5</v>
      </c>
      <c r="G12617" t="str">
        <f>""</f>
        <v/>
      </c>
    </row>
    <row r="12618" spans="1:7" x14ac:dyDescent="0.25">
      <c r="A12618" t="s">
        <v>8</v>
      </c>
      <c r="B12618" s="1" t="str">
        <f>"S8N015O5"</f>
        <v>S8N015O5</v>
      </c>
      <c r="C12618" t="s">
        <v>6268</v>
      </c>
      <c r="D12618" s="1" t="str">
        <f t="shared" si="344"/>
        <v>PRG-1038548</v>
      </c>
      <c r="E12618" t="s">
        <v>338</v>
      </c>
      <c r="F12618" t="s">
        <v>5</v>
      </c>
      <c r="G12618" t="str">
        <f>""</f>
        <v/>
      </c>
    </row>
    <row r="12619" spans="1:7" x14ac:dyDescent="0.25">
      <c r="A12619" t="s">
        <v>8</v>
      </c>
      <c r="B12619" s="1" t="str">
        <f>"S8N015O6"</f>
        <v>S8N015O6</v>
      </c>
      <c r="C12619" t="s">
        <v>6269</v>
      </c>
      <c r="D12619" s="1" t="str">
        <f t="shared" si="344"/>
        <v>PRG-1038548</v>
      </c>
      <c r="E12619" t="s">
        <v>338</v>
      </c>
      <c r="F12619" t="s">
        <v>5</v>
      </c>
      <c r="G12619" t="str">
        <f>""</f>
        <v/>
      </c>
    </row>
    <row r="12620" spans="1:7" x14ac:dyDescent="0.25">
      <c r="A12620" t="s">
        <v>8</v>
      </c>
      <c r="B12620" s="1" t="str">
        <f>"S8N01EH0"</f>
        <v>S8N01EH0</v>
      </c>
      <c r="C12620" t="s">
        <v>6270</v>
      </c>
      <c r="D12620" s="1" t="str">
        <f t="shared" si="344"/>
        <v>PRG-1038548</v>
      </c>
      <c r="E12620" t="s">
        <v>338</v>
      </c>
      <c r="F12620" t="s">
        <v>5</v>
      </c>
      <c r="G12620" t="str">
        <f>""</f>
        <v/>
      </c>
    </row>
    <row r="12621" spans="1:7" x14ac:dyDescent="0.25">
      <c r="A12621" t="s">
        <v>8</v>
      </c>
      <c r="B12621" s="1" t="str">
        <f>"S9D01463"</f>
        <v>S9D01463</v>
      </c>
      <c r="C12621" t="s">
        <v>6355</v>
      </c>
      <c r="D12621" s="1" t="str">
        <f t="shared" si="344"/>
        <v>PRG-1038548</v>
      </c>
      <c r="E12621" t="s">
        <v>338</v>
      </c>
      <c r="F12621" t="s">
        <v>5</v>
      </c>
      <c r="G12621" t="str">
        <f>""</f>
        <v/>
      </c>
    </row>
    <row r="12622" spans="1:7" x14ac:dyDescent="0.25">
      <c r="A12622" t="s">
        <v>8</v>
      </c>
      <c r="B12622" s="1" t="str">
        <f>"T4V001E3"</f>
        <v>T4V001E3</v>
      </c>
      <c r="C12622" t="s">
        <v>6458</v>
      </c>
      <c r="D12622" s="1" t="str">
        <f t="shared" si="344"/>
        <v>PRG-1038548</v>
      </c>
      <c r="E12622" t="s">
        <v>338</v>
      </c>
      <c r="F12622" t="s">
        <v>5</v>
      </c>
      <c r="G12622" t="str">
        <f>""</f>
        <v/>
      </c>
    </row>
    <row r="12623" spans="1:7" x14ac:dyDescent="0.25">
      <c r="A12623" t="s">
        <v>8</v>
      </c>
      <c r="B12623" s="1" t="str">
        <f>"T4V001E5"</f>
        <v>T4V001E5</v>
      </c>
      <c r="C12623" t="s">
        <v>5574</v>
      </c>
      <c r="D12623" s="1" t="str">
        <f t="shared" si="344"/>
        <v>PRG-1038548</v>
      </c>
      <c r="E12623" t="s">
        <v>338</v>
      </c>
      <c r="F12623" t="s">
        <v>5</v>
      </c>
      <c r="G12623" t="str">
        <f>""</f>
        <v/>
      </c>
    </row>
    <row r="12624" spans="1:7" x14ac:dyDescent="0.25">
      <c r="A12624" t="s">
        <v>8</v>
      </c>
      <c r="B12624" s="1" t="str">
        <f>"T4V001G3"</f>
        <v>T4V001G3</v>
      </c>
      <c r="C12624" t="s">
        <v>6459</v>
      </c>
      <c r="D12624" s="1" t="str">
        <f t="shared" si="344"/>
        <v>PRG-1038548</v>
      </c>
      <c r="E12624" t="s">
        <v>338</v>
      </c>
      <c r="F12624" t="s">
        <v>5</v>
      </c>
      <c r="G12624" t="str">
        <f>""</f>
        <v/>
      </c>
    </row>
    <row r="12625" spans="1:7" x14ac:dyDescent="0.25">
      <c r="A12625" t="s">
        <v>8</v>
      </c>
      <c r="B12625" s="1" t="str">
        <f>"000356855 - RICH PRODUCTS KLEIN ISD"</f>
        <v>000356855 - RICH PRODUCTS KLEIN ISD</v>
      </c>
      <c r="C12625" t="s">
        <v>3280</v>
      </c>
      <c r="D12625" s="1" t="str">
        <f>"PRG-1038600"</f>
        <v>PRG-1038600</v>
      </c>
      <c r="E12625" t="s">
        <v>3564</v>
      </c>
      <c r="F12625" t="s">
        <v>4</v>
      </c>
      <c r="G12625" t="str">
        <f>""</f>
        <v/>
      </c>
    </row>
    <row r="12626" spans="1:7" x14ac:dyDescent="0.25">
      <c r="A12626" t="s">
        <v>8</v>
      </c>
      <c r="B12626" s="1" t="str">
        <f>"000281922 - GROVE PARK 17 RICH PRODUCTS CO"</f>
        <v>000281922 - GROVE PARK 17 RICH PRODUCTS CO</v>
      </c>
      <c r="C12626" t="s">
        <v>2658</v>
      </c>
      <c r="D12626" s="1" t="str">
        <f>"PRG-1038621"</f>
        <v>PRG-1038621</v>
      </c>
      <c r="E12626" t="s">
        <v>2659</v>
      </c>
      <c r="F12626" t="s">
        <v>4</v>
      </c>
      <c r="G12626" t="str">
        <f>""</f>
        <v/>
      </c>
    </row>
    <row r="12627" spans="1:7" x14ac:dyDescent="0.25">
      <c r="A12627" t="s">
        <v>8</v>
      </c>
      <c r="B12627" s="1" t="str">
        <f>"000332913 - RICH PRODUCTS OCNC"</f>
        <v>000332913 - RICH PRODUCTS OCNC</v>
      </c>
      <c r="C12627" t="s">
        <v>2849</v>
      </c>
      <c r="D12627" s="1" t="str">
        <f>"PRG-1038645"</f>
        <v>PRG-1038645</v>
      </c>
      <c r="E12627" t="s">
        <v>3363</v>
      </c>
      <c r="F12627" t="s">
        <v>4</v>
      </c>
      <c r="G12627" t="str">
        <f>""</f>
        <v/>
      </c>
    </row>
    <row r="12628" spans="1:7" x14ac:dyDescent="0.25">
      <c r="A12628" t="s">
        <v>8</v>
      </c>
      <c r="B12628" s="1" t="str">
        <f>"000339639 - RICH OCNC"</f>
        <v>000339639 - RICH OCNC</v>
      </c>
      <c r="C12628" t="s">
        <v>3434</v>
      </c>
      <c r="D12628" s="1" t="str">
        <f>"PRG-1038645"</f>
        <v>PRG-1038645</v>
      </c>
      <c r="E12628" t="s">
        <v>3363</v>
      </c>
      <c r="F12628" t="s">
        <v>4</v>
      </c>
      <c r="G12628" t="str">
        <f>""</f>
        <v/>
      </c>
    </row>
    <row r="12629" spans="1:7" x14ac:dyDescent="0.25">
      <c r="A12629" t="s">
        <v>8</v>
      </c>
      <c r="B12629" s="1" t="str">
        <f>"6026HW95"</f>
        <v>6026HW95</v>
      </c>
      <c r="C12629" t="s">
        <v>5084</v>
      </c>
      <c r="D12629" s="1" t="str">
        <f>"PRG-1038655"</f>
        <v>PRG-1038655</v>
      </c>
      <c r="E12629" t="s">
        <v>4206</v>
      </c>
      <c r="F12629" t="s">
        <v>5</v>
      </c>
      <c r="G12629" t="str">
        <f>""</f>
        <v/>
      </c>
    </row>
    <row r="12630" spans="1:7" x14ac:dyDescent="0.25">
      <c r="A12630" t="s">
        <v>8</v>
      </c>
      <c r="B12630" s="1" t="str">
        <f>"6026S413"</f>
        <v>6026S413</v>
      </c>
      <c r="C12630" t="s">
        <v>5142</v>
      </c>
      <c r="D12630" s="1" t="str">
        <f>"PRG-1038655"</f>
        <v>PRG-1038655</v>
      </c>
      <c r="E12630" t="s">
        <v>4206</v>
      </c>
      <c r="F12630" t="s">
        <v>5</v>
      </c>
      <c r="G12630" t="str">
        <f>""</f>
        <v/>
      </c>
    </row>
    <row r="12631" spans="1:7" x14ac:dyDescent="0.25">
      <c r="A12631" t="s">
        <v>8</v>
      </c>
      <c r="B12631" s="1" t="str">
        <f>"6026S419"</f>
        <v>6026S419</v>
      </c>
      <c r="C12631" t="s">
        <v>5145</v>
      </c>
      <c r="D12631" s="1" t="str">
        <f>"PRG-1038655"</f>
        <v>PRG-1038655</v>
      </c>
      <c r="E12631" t="s">
        <v>4206</v>
      </c>
      <c r="F12631" t="s">
        <v>5</v>
      </c>
      <c r="G12631" t="str">
        <f>""</f>
        <v/>
      </c>
    </row>
    <row r="12632" spans="1:7" x14ac:dyDescent="0.25">
      <c r="A12632" t="s">
        <v>8</v>
      </c>
      <c r="B12632" s="1" t="str">
        <f>"S1Z04KW0"</f>
        <v>S1Z04KW0</v>
      </c>
      <c r="C12632" t="s">
        <v>5337</v>
      </c>
      <c r="D12632" s="1" t="str">
        <f>"PRG-1038655"</f>
        <v>PRG-1038655</v>
      </c>
      <c r="E12632" t="s">
        <v>4206</v>
      </c>
      <c r="F12632" t="s">
        <v>5</v>
      </c>
      <c r="G12632" t="str">
        <f>""</f>
        <v/>
      </c>
    </row>
    <row r="12633" spans="1:7" x14ac:dyDescent="0.25">
      <c r="A12633" t="s">
        <v>8</v>
      </c>
      <c r="B12633" s="1" t="str">
        <f>"000394704 - "</f>
        <v xml:space="preserve">000394704 - </v>
      </c>
      <c r="D12633" s="1" t="str">
        <f>"PRG-1038660"</f>
        <v>PRG-1038660</v>
      </c>
      <c r="E12633" t="s">
        <v>3698</v>
      </c>
      <c r="F12633" t="s">
        <v>4</v>
      </c>
      <c r="G12633" t="str">
        <f>""</f>
        <v/>
      </c>
    </row>
    <row r="12634" spans="1:7" x14ac:dyDescent="0.25">
      <c r="A12634" t="s">
        <v>8</v>
      </c>
      <c r="B12634" s="1" t="str">
        <f>"S9D00D40"</f>
        <v>S9D00D40</v>
      </c>
      <c r="C12634" t="s">
        <v>6331</v>
      </c>
      <c r="D12634" s="1" t="str">
        <f>"PRG-1038666"</f>
        <v>PRG-1038666</v>
      </c>
      <c r="E12634" t="s">
        <v>6333</v>
      </c>
      <c r="F12634" t="s">
        <v>5</v>
      </c>
      <c r="G12634" t="str">
        <f>""</f>
        <v/>
      </c>
    </row>
    <row r="12635" spans="1:7" x14ac:dyDescent="0.25">
      <c r="A12635" t="s">
        <v>8</v>
      </c>
      <c r="B12635" s="1" t="str">
        <f>"S9D00LB0"</f>
        <v>S9D00LB0</v>
      </c>
      <c r="C12635" t="s">
        <v>6337</v>
      </c>
      <c r="D12635" s="1" t="str">
        <f>"PRG-1038667"</f>
        <v>PRG-1038667</v>
      </c>
      <c r="E12635" t="s">
        <v>6338</v>
      </c>
      <c r="F12635" t="s">
        <v>5</v>
      </c>
      <c r="G12635" t="str">
        <f>""</f>
        <v/>
      </c>
    </row>
    <row r="12636" spans="1:7" x14ac:dyDescent="0.25">
      <c r="A12636" t="s">
        <v>8</v>
      </c>
      <c r="B12636" s="1" t="str">
        <f>"S9D015O0"</f>
        <v>S9D015O0</v>
      </c>
      <c r="C12636" t="s">
        <v>6359</v>
      </c>
      <c r="D12636" s="1" t="str">
        <f>"PRG-1038667"</f>
        <v>PRG-1038667</v>
      </c>
      <c r="E12636" t="s">
        <v>6338</v>
      </c>
      <c r="F12636" t="s">
        <v>5</v>
      </c>
      <c r="G12636" t="str">
        <f>""</f>
        <v/>
      </c>
    </row>
    <row r="12637" spans="1:7" x14ac:dyDescent="0.25">
      <c r="A12637" t="s">
        <v>8</v>
      </c>
      <c r="B12637" s="1" t="str">
        <f>"000397285 - RICH PRODUCTS SAN MARCOS USD"</f>
        <v>000397285 - RICH PRODUCTS SAN MARCOS USD</v>
      </c>
      <c r="C12637" t="s">
        <v>3712</v>
      </c>
      <c r="D12637" s="1" t="str">
        <f>"PRG-1038682"</f>
        <v>PRG-1038682</v>
      </c>
      <c r="E12637" t="s">
        <v>3713</v>
      </c>
      <c r="F12637" t="s">
        <v>4</v>
      </c>
      <c r="G12637" t="str">
        <f>""</f>
        <v/>
      </c>
    </row>
    <row r="12638" spans="1:7" x14ac:dyDescent="0.25">
      <c r="A12638" t="s">
        <v>8</v>
      </c>
      <c r="B12638" s="1" t="str">
        <f>"000000200 - RICH'S PRODUCTS-K-12 SCHOOL BL"</f>
        <v>000000200 - RICH'S PRODUCTS-K-12 SCHOOL BL</v>
      </c>
      <c r="C12638" t="s">
        <v>18</v>
      </c>
      <c r="D12638" s="1" t="str">
        <f t="shared" ref="D12638:D12669" si="345">"PRG-1038695"</f>
        <v>PRG-1038695</v>
      </c>
      <c r="E12638" t="s">
        <v>19</v>
      </c>
      <c r="F12638" t="s">
        <v>4</v>
      </c>
      <c r="G12638" t="str">
        <f>""</f>
        <v/>
      </c>
    </row>
    <row r="12639" spans="1:7" x14ac:dyDescent="0.25">
      <c r="A12639" t="s">
        <v>8</v>
      </c>
      <c r="B12639" s="1" t="str">
        <f>"000007457 - RICH'S K-12 SCHOOL DEAL"</f>
        <v>000007457 - RICH'S K-12 SCHOOL DEAL</v>
      </c>
      <c r="C12639" t="s">
        <v>262</v>
      </c>
      <c r="D12639" s="1" t="str">
        <f t="shared" si="345"/>
        <v>PRG-1038695</v>
      </c>
      <c r="E12639" t="s">
        <v>19</v>
      </c>
      <c r="F12639" t="s">
        <v>4</v>
      </c>
      <c r="G12639" t="str">
        <f>""</f>
        <v/>
      </c>
    </row>
    <row r="12640" spans="1:7" x14ac:dyDescent="0.25">
      <c r="A12640" t="s">
        <v>8</v>
      </c>
      <c r="B12640" s="1" t="str">
        <f>"000008438 - RICH FOODS SCHOOL BLANKET"</f>
        <v>000008438 - RICH FOODS SCHOOL BLANKET</v>
      </c>
      <c r="C12640" t="s">
        <v>279</v>
      </c>
      <c r="D12640" s="1" t="str">
        <f t="shared" si="345"/>
        <v>PRG-1038695</v>
      </c>
      <c r="E12640" t="s">
        <v>19</v>
      </c>
      <c r="F12640" t="s">
        <v>4</v>
      </c>
      <c r="G12640" t="str">
        <f>""</f>
        <v/>
      </c>
    </row>
    <row r="12641" spans="1:7" x14ac:dyDescent="0.25">
      <c r="A12641" t="s">
        <v>8</v>
      </c>
      <c r="B12641" s="1" t="str">
        <f>"000012494 - RICH'S K12 BLANKET BID"</f>
        <v>000012494 - RICH'S K12 BLANKET BID</v>
      </c>
      <c r="C12641" t="s">
        <v>336</v>
      </c>
      <c r="D12641" s="1" t="str">
        <f t="shared" si="345"/>
        <v>PRG-1038695</v>
      </c>
      <c r="E12641" t="s">
        <v>19</v>
      </c>
      <c r="F12641" t="s">
        <v>4</v>
      </c>
      <c r="G12641" t="str">
        <f>""</f>
        <v/>
      </c>
    </row>
    <row r="12642" spans="1:7" x14ac:dyDescent="0.25">
      <c r="A12642" t="s">
        <v>8</v>
      </c>
      <c r="B12642" s="1" t="str">
        <f>"000013614 - RICH'S SCHOOL BLANKET 2017 18"</f>
        <v>000013614 - RICH'S SCHOOL BLANKET 2017 18</v>
      </c>
      <c r="C12642" t="s">
        <v>348</v>
      </c>
      <c r="D12642" s="1" t="str">
        <f t="shared" si="345"/>
        <v>PRG-1038695</v>
      </c>
      <c r="E12642" t="s">
        <v>19</v>
      </c>
      <c r="F12642" t="s">
        <v>4</v>
      </c>
      <c r="G12642" t="str">
        <f>""</f>
        <v/>
      </c>
    </row>
    <row r="12643" spans="1:7" x14ac:dyDescent="0.25">
      <c r="A12643" t="s">
        <v>8</v>
      </c>
      <c r="B12643" s="1" t="str">
        <f>"000019474 - RICH'S BLANKET SCHOOLS"</f>
        <v>000019474 - RICH'S BLANKET SCHOOLS</v>
      </c>
      <c r="C12643" t="s">
        <v>394</v>
      </c>
      <c r="D12643" s="1" t="str">
        <f t="shared" si="345"/>
        <v>PRG-1038695</v>
      </c>
      <c r="E12643" t="s">
        <v>19</v>
      </c>
      <c r="F12643" t="s">
        <v>4</v>
      </c>
      <c r="G12643" t="str">
        <f>""</f>
        <v/>
      </c>
    </row>
    <row r="12644" spans="1:7" x14ac:dyDescent="0.25">
      <c r="A12644" t="s">
        <v>8</v>
      </c>
      <c r="B12644" s="1" t="str">
        <f>"000035812 - BLANKET BID SY17-18 RICHS PROD"</f>
        <v>000035812 - BLANKET BID SY17-18 RICHS PROD</v>
      </c>
      <c r="C12644" t="s">
        <v>533</v>
      </c>
      <c r="D12644" s="1" t="str">
        <f t="shared" si="345"/>
        <v>PRG-1038695</v>
      </c>
      <c r="E12644" t="s">
        <v>19</v>
      </c>
      <c r="F12644" t="s">
        <v>4</v>
      </c>
      <c r="G12644" t="str">
        <f>""</f>
        <v/>
      </c>
    </row>
    <row r="12645" spans="1:7" x14ac:dyDescent="0.25">
      <c r="A12645" t="s">
        <v>8</v>
      </c>
      <c r="B12645" s="1" t="str">
        <f>"000040244 - LITTLE FALLS SCHS RICHS"</f>
        <v>000040244 - LITTLE FALLS SCHS RICHS</v>
      </c>
      <c r="C12645" t="s">
        <v>578</v>
      </c>
      <c r="D12645" s="1" t="str">
        <f t="shared" si="345"/>
        <v>PRG-1038695</v>
      </c>
      <c r="E12645" t="s">
        <v>19</v>
      </c>
      <c r="F12645" t="s">
        <v>4</v>
      </c>
      <c r="G12645" t="str">
        <f>""</f>
        <v/>
      </c>
    </row>
    <row r="12646" spans="1:7" x14ac:dyDescent="0.25">
      <c r="A12646" t="s">
        <v>8</v>
      </c>
      <c r="B12646" s="1" t="str">
        <f>"000072103 - RICHES 100912 DOUGH"</f>
        <v>000072103 - RICHES 100912 DOUGH</v>
      </c>
      <c r="C12646" t="s">
        <v>736</v>
      </c>
      <c r="D12646" s="1" t="str">
        <f t="shared" si="345"/>
        <v>PRG-1038695</v>
      </c>
      <c r="E12646" t="s">
        <v>19</v>
      </c>
      <c r="F12646" t="s">
        <v>4</v>
      </c>
      <c r="G12646" t="str">
        <f>""</f>
        <v/>
      </c>
    </row>
    <row r="12647" spans="1:7" x14ac:dyDescent="0.25">
      <c r="A12647" t="s">
        <v>8</v>
      </c>
      <c r="B12647" s="1" t="str">
        <f>"000072540 - RICHES 100912 DOUGH"</f>
        <v>000072540 - RICHES 100912 DOUGH</v>
      </c>
      <c r="C12647" t="s">
        <v>736</v>
      </c>
      <c r="D12647" s="1" t="str">
        <f t="shared" si="345"/>
        <v>PRG-1038695</v>
      </c>
      <c r="E12647" t="s">
        <v>19</v>
      </c>
      <c r="F12647" t="s">
        <v>4</v>
      </c>
      <c r="G12647" t="str">
        <f>""</f>
        <v/>
      </c>
    </row>
    <row r="12648" spans="1:7" x14ac:dyDescent="0.25">
      <c r="A12648" t="s">
        <v>8</v>
      </c>
      <c r="B12648" s="1" t="str">
        <f>"000073807 - RICHES 100912 DOUGH"</f>
        <v>000073807 - RICHES 100912 DOUGH</v>
      </c>
      <c r="C12648" t="s">
        <v>736</v>
      </c>
      <c r="D12648" s="1" t="str">
        <f t="shared" si="345"/>
        <v>PRG-1038695</v>
      </c>
      <c r="E12648" t="s">
        <v>19</v>
      </c>
      <c r="F12648" t="s">
        <v>4</v>
      </c>
      <c r="G12648" t="str">
        <f>""</f>
        <v/>
      </c>
    </row>
    <row r="12649" spans="1:7" x14ac:dyDescent="0.25">
      <c r="A12649" t="s">
        <v>8</v>
      </c>
      <c r="B12649" s="1" t="str">
        <f>"000140750 - RICHS CC BLANKET SCHOOL"</f>
        <v>000140750 - RICHS CC BLANKET SCHOOL</v>
      </c>
      <c r="C12649" t="s">
        <v>980</v>
      </c>
      <c r="D12649" s="1" t="str">
        <f t="shared" si="345"/>
        <v>PRG-1038695</v>
      </c>
      <c r="E12649" t="s">
        <v>19</v>
      </c>
      <c r="F12649" t="s">
        <v>4</v>
      </c>
      <c r="G12649" t="str">
        <f>""</f>
        <v/>
      </c>
    </row>
    <row r="12650" spans="1:7" x14ac:dyDescent="0.25">
      <c r="A12650" t="s">
        <v>8</v>
      </c>
      <c r="B12650" s="1" t="str">
        <f>"000162568 - RICH PRODUCTS FARGO SCHOOLS"</f>
        <v>000162568 - RICH PRODUCTS FARGO SCHOOLS</v>
      </c>
      <c r="C12650" t="s">
        <v>1043</v>
      </c>
      <c r="D12650" s="1" t="str">
        <f t="shared" si="345"/>
        <v>PRG-1038695</v>
      </c>
      <c r="E12650" t="s">
        <v>19</v>
      </c>
      <c r="F12650" t="s">
        <v>4</v>
      </c>
      <c r="G12650" t="str">
        <f>""</f>
        <v/>
      </c>
    </row>
    <row r="12651" spans="1:7" x14ac:dyDescent="0.25">
      <c r="A12651" t="s">
        <v>8</v>
      </c>
      <c r="B12651" s="1" t="str">
        <f>"000164325 - RICHS- WAKE B077"</f>
        <v>000164325 - RICHS- WAKE B077</v>
      </c>
      <c r="C12651" t="s">
        <v>1053</v>
      </c>
      <c r="D12651" s="1" t="str">
        <f t="shared" si="345"/>
        <v>PRG-1038695</v>
      </c>
      <c r="E12651" t="s">
        <v>19</v>
      </c>
      <c r="F12651" t="s">
        <v>4</v>
      </c>
      <c r="G12651" t="str">
        <f>""</f>
        <v/>
      </c>
    </row>
    <row r="12652" spans="1:7" x14ac:dyDescent="0.25">
      <c r="A12652" t="s">
        <v>8</v>
      </c>
      <c r="B12652" s="1" t="str">
        <f>"000170187 - RICH PRODUCTS-BLANKET"</f>
        <v>000170187 - RICH PRODUCTS-BLANKET</v>
      </c>
      <c r="C12652" t="s">
        <v>1044</v>
      </c>
      <c r="D12652" s="1" t="str">
        <f t="shared" si="345"/>
        <v>PRG-1038695</v>
      </c>
      <c r="E12652" t="s">
        <v>19</v>
      </c>
      <c r="F12652" t="s">
        <v>4</v>
      </c>
      <c r="G12652" t="str">
        <f>""</f>
        <v/>
      </c>
    </row>
    <row r="12653" spans="1:7" x14ac:dyDescent="0.25">
      <c r="A12653" t="s">
        <v>8</v>
      </c>
      <c r="B12653" s="1" t="str">
        <f>"000205263 - RICH'S K12"</f>
        <v>000205263 - RICH'S K12</v>
      </c>
      <c r="C12653" t="s">
        <v>1359</v>
      </c>
      <c r="D12653" s="1" t="str">
        <f t="shared" si="345"/>
        <v>PRG-1038695</v>
      </c>
      <c r="E12653" t="s">
        <v>19</v>
      </c>
      <c r="F12653" t="s">
        <v>4</v>
      </c>
      <c r="G12653" t="str">
        <f>""</f>
        <v/>
      </c>
    </row>
    <row r="12654" spans="1:7" x14ac:dyDescent="0.25">
      <c r="A12654" t="s">
        <v>8</v>
      </c>
      <c r="B12654" s="1" t="str">
        <f>"000205267 - RICH'S   K-12"</f>
        <v>000205267 - RICH'S   K-12</v>
      </c>
      <c r="C12654" t="s">
        <v>1360</v>
      </c>
      <c r="D12654" s="1" t="str">
        <f t="shared" si="345"/>
        <v>PRG-1038695</v>
      </c>
      <c r="E12654" t="s">
        <v>19</v>
      </c>
      <c r="F12654" t="s">
        <v>4</v>
      </c>
      <c r="G12654" t="str">
        <f>""</f>
        <v/>
      </c>
    </row>
    <row r="12655" spans="1:7" x14ac:dyDescent="0.25">
      <c r="A12655" t="s">
        <v>8</v>
      </c>
      <c r="B12655" s="1" t="str">
        <f>"000211326 - RICHS   NCBG"</f>
        <v>000211326 - RICHS   NCBG</v>
      </c>
      <c r="C12655" t="s">
        <v>1447</v>
      </c>
      <c r="D12655" s="1" t="str">
        <f t="shared" si="345"/>
        <v>PRG-1038695</v>
      </c>
      <c r="E12655" t="s">
        <v>19</v>
      </c>
      <c r="F12655" t="s">
        <v>4</v>
      </c>
      <c r="G12655" t="str">
        <f>""</f>
        <v/>
      </c>
    </row>
    <row r="12656" spans="1:7" x14ac:dyDescent="0.25">
      <c r="A12656" t="s">
        <v>8</v>
      </c>
      <c r="B12656" s="1" t="str">
        <f>"000225217 - RICHS NC SCHOOLS NC201607962"</f>
        <v>000225217 - RICHS NC SCHOOLS NC201607962</v>
      </c>
      <c r="C12656" t="s">
        <v>1673</v>
      </c>
      <c r="D12656" s="1" t="str">
        <f t="shared" si="345"/>
        <v>PRG-1038695</v>
      </c>
      <c r="E12656" t="s">
        <v>19</v>
      </c>
      <c r="F12656" t="s">
        <v>4</v>
      </c>
      <c r="G12656" t="str">
        <f>""</f>
        <v/>
      </c>
    </row>
    <row r="12657" spans="1:7" x14ac:dyDescent="0.25">
      <c r="A12657" t="s">
        <v>8</v>
      </c>
      <c r="B12657" s="1" t="str">
        <f>"000226215 - BL201708970 SCHL BLNKT--RICHS"</f>
        <v>000226215 - BL201708970 SCHL BLNKT--RICHS</v>
      </c>
      <c r="C12657" t="s">
        <v>1686</v>
      </c>
      <c r="D12657" s="1" t="str">
        <f t="shared" si="345"/>
        <v>PRG-1038695</v>
      </c>
      <c r="E12657" t="s">
        <v>19</v>
      </c>
      <c r="F12657" t="s">
        <v>4</v>
      </c>
      <c r="G12657" t="str">
        <f>""</f>
        <v/>
      </c>
    </row>
    <row r="12658" spans="1:7" x14ac:dyDescent="0.25">
      <c r="A12658" t="s">
        <v>8</v>
      </c>
      <c r="B12658" s="1" t="str">
        <f>"000233803 - MILLINGTON LAKELAND--RICHS"</f>
        <v>000233803 - MILLINGTON LAKELAND--RICHS</v>
      </c>
      <c r="C12658" t="s">
        <v>1812</v>
      </c>
      <c r="D12658" s="1" t="str">
        <f t="shared" si="345"/>
        <v>PRG-1038695</v>
      </c>
      <c r="E12658" t="s">
        <v>19</v>
      </c>
      <c r="F12658" t="s">
        <v>4</v>
      </c>
      <c r="G12658" t="str">
        <f>""</f>
        <v/>
      </c>
    </row>
    <row r="12659" spans="1:7" x14ac:dyDescent="0.25">
      <c r="A12659" t="s">
        <v>8</v>
      </c>
      <c r="B12659" s="1" t="str">
        <f>"000237138 - NAT'L BLANKET SCHOOLS RICH"</f>
        <v>000237138 - NAT'L BLANKET SCHOOLS RICH</v>
      </c>
      <c r="C12659" t="s">
        <v>1140</v>
      </c>
      <c r="D12659" s="1" t="str">
        <f t="shared" si="345"/>
        <v>PRG-1038695</v>
      </c>
      <c r="E12659" t="s">
        <v>19</v>
      </c>
      <c r="F12659" t="s">
        <v>4</v>
      </c>
      <c r="G12659" t="str">
        <f>""</f>
        <v/>
      </c>
    </row>
    <row r="12660" spans="1:7" x14ac:dyDescent="0.25">
      <c r="A12660" t="s">
        <v>8</v>
      </c>
      <c r="B12660" s="1" t="str">
        <f>"000239376 - RICHS VANC SCHLS BL201708970"</f>
        <v>000239376 - RICHS VANC SCHLS BL201708970</v>
      </c>
      <c r="C12660" t="s">
        <v>1897</v>
      </c>
      <c r="D12660" s="1" t="str">
        <f t="shared" si="345"/>
        <v>PRG-1038695</v>
      </c>
      <c r="E12660" t="s">
        <v>19</v>
      </c>
      <c r="F12660" t="s">
        <v>4</v>
      </c>
      <c r="G12660" t="str">
        <f>""</f>
        <v/>
      </c>
    </row>
    <row r="12661" spans="1:7" x14ac:dyDescent="0.25">
      <c r="A12661" t="s">
        <v>8</v>
      </c>
      <c r="B12661" s="1" t="str">
        <f>"000239984 - RICHS CHESTER SCHLS 201708941"</f>
        <v>000239984 - RICHS CHESTER SCHLS 201708941</v>
      </c>
      <c r="C12661" t="s">
        <v>1902</v>
      </c>
      <c r="D12661" s="1" t="str">
        <f t="shared" si="345"/>
        <v>PRG-1038695</v>
      </c>
      <c r="E12661" t="s">
        <v>19</v>
      </c>
      <c r="F12661" t="s">
        <v>4</v>
      </c>
      <c r="G12661" t="str">
        <f>""</f>
        <v/>
      </c>
    </row>
    <row r="12662" spans="1:7" x14ac:dyDescent="0.25">
      <c r="A12662" t="s">
        <v>8</v>
      </c>
      <c r="B12662" s="1" t="str">
        <f>"000241065 - SPARC RICH PRODUCTS"</f>
        <v>000241065 - SPARC RICH PRODUCTS</v>
      </c>
      <c r="C12662" t="s">
        <v>1916</v>
      </c>
      <c r="D12662" s="1" t="str">
        <f t="shared" si="345"/>
        <v>PRG-1038695</v>
      </c>
      <c r="E12662" t="s">
        <v>19</v>
      </c>
      <c r="F12662" t="s">
        <v>4</v>
      </c>
      <c r="G12662" t="str">
        <f>""</f>
        <v/>
      </c>
    </row>
    <row r="12663" spans="1:7" x14ac:dyDescent="0.25">
      <c r="A12663" t="s">
        <v>8</v>
      </c>
      <c r="B12663" s="1" t="str">
        <f>"000245343 - RICHS GLOUCESTER SCHLS"</f>
        <v>000245343 - RICHS GLOUCESTER SCHLS</v>
      </c>
      <c r="C12663" t="s">
        <v>2000</v>
      </c>
      <c r="D12663" s="1" t="str">
        <f t="shared" si="345"/>
        <v>PRG-1038695</v>
      </c>
      <c r="E12663" t="s">
        <v>19</v>
      </c>
      <c r="F12663" t="s">
        <v>4</v>
      </c>
      <c r="G12663" t="str">
        <f>""</f>
        <v/>
      </c>
    </row>
    <row r="12664" spans="1:7" x14ac:dyDescent="0.25">
      <c r="A12664" t="s">
        <v>8</v>
      </c>
      <c r="B12664" s="1" t="str">
        <f>"000245448 - RICH-SIMPLIFIED CULINARY"</f>
        <v>000245448 - RICH-SIMPLIFIED CULINARY</v>
      </c>
      <c r="C12664" t="s">
        <v>1334</v>
      </c>
      <c r="D12664" s="1" t="str">
        <f t="shared" si="345"/>
        <v>PRG-1038695</v>
      </c>
      <c r="E12664" t="s">
        <v>19</v>
      </c>
      <c r="F12664" t="s">
        <v>4</v>
      </c>
      <c r="G12664" t="str">
        <f>""</f>
        <v/>
      </c>
    </row>
    <row r="12665" spans="1:7" x14ac:dyDescent="0.25">
      <c r="A12665" t="s">
        <v>8</v>
      </c>
      <c r="B12665" s="1" t="str">
        <f>"000252197 - BLNKTSCHL  RICHS"</f>
        <v>000252197 - BLNKTSCHL  RICHS</v>
      </c>
      <c r="C12665" t="s">
        <v>1869</v>
      </c>
      <c r="D12665" s="1" t="str">
        <f t="shared" si="345"/>
        <v>PRG-1038695</v>
      </c>
      <c r="E12665" t="s">
        <v>19</v>
      </c>
      <c r="F12665" t="s">
        <v>4</v>
      </c>
      <c r="G12665" t="str">
        <f>""</f>
        <v/>
      </c>
    </row>
    <row r="12666" spans="1:7" x14ac:dyDescent="0.25">
      <c r="A12666" t="s">
        <v>8</v>
      </c>
      <c r="B12666" s="1" t="str">
        <f>"000252675 - RICHS K-12 SCHOOL  2017-8970"</f>
        <v>000252675 - RICHS K-12 SCHOOL  2017-8970</v>
      </c>
      <c r="C12666" t="s">
        <v>2130</v>
      </c>
      <c r="D12666" s="1" t="str">
        <f t="shared" si="345"/>
        <v>PRG-1038695</v>
      </c>
      <c r="E12666" t="s">
        <v>19</v>
      </c>
      <c r="F12666" t="s">
        <v>4</v>
      </c>
      <c r="G12666" t="str">
        <f>""</f>
        <v/>
      </c>
    </row>
    <row r="12667" spans="1:7" x14ac:dyDescent="0.25">
      <c r="A12667" t="s">
        <v>8</v>
      </c>
      <c r="B12667" s="1" t="str">
        <f>"000256549 - RICH-BAPA   APC SCHOOLS"</f>
        <v>000256549 - RICH-BAPA   APC SCHOOLS</v>
      </c>
      <c r="C12667" t="s">
        <v>2185</v>
      </c>
      <c r="D12667" s="1" t="str">
        <f t="shared" si="345"/>
        <v>PRG-1038695</v>
      </c>
      <c r="E12667" t="s">
        <v>19</v>
      </c>
      <c r="F12667" t="s">
        <v>4</v>
      </c>
      <c r="G12667" t="str">
        <f>""</f>
        <v/>
      </c>
    </row>
    <row r="12668" spans="1:7" x14ac:dyDescent="0.25">
      <c r="A12668" t="s">
        <v>8</v>
      </c>
      <c r="B12668" s="1" t="str">
        <f>"000265371 - RICHS CAFE SERVICES"</f>
        <v>000265371 - RICHS CAFE SERVICES</v>
      </c>
      <c r="C12668" t="s">
        <v>1429</v>
      </c>
      <c r="D12668" s="1" t="str">
        <f t="shared" si="345"/>
        <v>PRG-1038695</v>
      </c>
      <c r="E12668" t="s">
        <v>19</v>
      </c>
      <c r="F12668" t="s">
        <v>4</v>
      </c>
      <c r="G12668" t="str">
        <f>""</f>
        <v/>
      </c>
    </row>
    <row r="12669" spans="1:7" x14ac:dyDescent="0.25">
      <c r="A12669" t="s">
        <v>8</v>
      </c>
      <c r="B12669" s="1" t="str">
        <f>"000273384 - RICH PRODUCTS K-12 BLANKET"</f>
        <v>000273384 - RICH PRODUCTS K-12 BLANKET</v>
      </c>
      <c r="C12669" t="s">
        <v>1712</v>
      </c>
      <c r="D12669" s="1" t="str">
        <f t="shared" si="345"/>
        <v>PRG-1038695</v>
      </c>
      <c r="E12669" t="s">
        <v>19</v>
      </c>
      <c r="F12669" t="s">
        <v>4</v>
      </c>
      <c r="G12669" t="str">
        <f>""</f>
        <v/>
      </c>
    </row>
    <row r="12670" spans="1:7" x14ac:dyDescent="0.25">
      <c r="A12670" t="s">
        <v>8</v>
      </c>
      <c r="B12670" s="1" t="str">
        <f>"000277214 - RICHS PROD OGS"</f>
        <v>000277214 - RICHS PROD OGS</v>
      </c>
      <c r="C12670" t="s">
        <v>2595</v>
      </c>
      <c r="D12670" s="1" t="str">
        <f t="shared" ref="D12670:D12701" si="346">"PRG-1038695"</f>
        <v>PRG-1038695</v>
      </c>
      <c r="E12670" t="s">
        <v>19</v>
      </c>
      <c r="F12670" t="s">
        <v>4</v>
      </c>
      <c r="G12670" t="str">
        <f>""</f>
        <v/>
      </c>
    </row>
    <row r="12671" spans="1:7" x14ac:dyDescent="0.25">
      <c r="A12671" t="s">
        <v>8</v>
      </c>
      <c r="B12671" s="1" t="str">
        <f>"000277263 - RICHS SCHOOL BLANKET"</f>
        <v>000277263 - RICHS SCHOOL BLANKET</v>
      </c>
      <c r="C12671" t="s">
        <v>1711</v>
      </c>
      <c r="D12671" s="1" t="str">
        <f t="shared" si="346"/>
        <v>PRG-1038695</v>
      </c>
      <c r="E12671" t="s">
        <v>19</v>
      </c>
      <c r="F12671" t="s">
        <v>4</v>
      </c>
      <c r="G12671" t="str">
        <f>""</f>
        <v/>
      </c>
    </row>
    <row r="12672" spans="1:7" x14ac:dyDescent="0.25">
      <c r="A12672" t="s">
        <v>8</v>
      </c>
      <c r="B12672" s="1" t="str">
        <f>"000279627 - RICH'S BLANKET DELIVERED"</f>
        <v>000279627 - RICH'S BLANKET DELIVERED</v>
      </c>
      <c r="C12672" t="s">
        <v>2630</v>
      </c>
      <c r="D12672" s="1" t="str">
        <f t="shared" si="346"/>
        <v>PRG-1038695</v>
      </c>
      <c r="E12672" t="s">
        <v>19</v>
      </c>
      <c r="F12672" t="s">
        <v>4</v>
      </c>
      <c r="G12672" t="str">
        <f>""</f>
        <v/>
      </c>
    </row>
    <row r="12673" spans="1:7" x14ac:dyDescent="0.25">
      <c r="A12673" t="s">
        <v>8</v>
      </c>
      <c r="B12673" s="1" t="str">
        <f>"000287477 - RICH-UPC"</f>
        <v>000287477 - RICH-UPC</v>
      </c>
      <c r="C12673" t="s">
        <v>2762</v>
      </c>
      <c r="D12673" s="1" t="str">
        <f t="shared" si="346"/>
        <v>PRG-1038695</v>
      </c>
      <c r="E12673" t="s">
        <v>19</v>
      </c>
      <c r="F12673" t="s">
        <v>4</v>
      </c>
      <c r="G12673" t="str">
        <f>""</f>
        <v/>
      </c>
    </row>
    <row r="12674" spans="1:7" x14ac:dyDescent="0.25">
      <c r="A12674" t="s">
        <v>8</v>
      </c>
      <c r="B12674" s="1" t="str">
        <f>"000287620 - RICH-MASON"</f>
        <v>000287620 - RICH-MASON</v>
      </c>
      <c r="C12674" t="s">
        <v>2764</v>
      </c>
      <c r="D12674" s="1" t="str">
        <f t="shared" si="346"/>
        <v>PRG-1038695</v>
      </c>
      <c r="E12674" t="s">
        <v>19</v>
      </c>
      <c r="F12674" t="s">
        <v>4</v>
      </c>
      <c r="G12674" t="str">
        <f>""</f>
        <v/>
      </c>
    </row>
    <row r="12675" spans="1:7" x14ac:dyDescent="0.25">
      <c r="A12675" t="s">
        <v>8</v>
      </c>
      <c r="B12675" s="1" t="str">
        <f>"000289179 - RICH SCHOOL BLANKET"</f>
        <v>000289179 - RICH SCHOOL BLANKET</v>
      </c>
      <c r="C12675" t="s">
        <v>1139</v>
      </c>
      <c r="D12675" s="1" t="str">
        <f t="shared" si="346"/>
        <v>PRG-1038695</v>
      </c>
      <c r="E12675" t="s">
        <v>19</v>
      </c>
      <c r="F12675" t="s">
        <v>4</v>
      </c>
      <c r="G12675" t="str">
        <f>""</f>
        <v/>
      </c>
    </row>
    <row r="12676" spans="1:7" x14ac:dyDescent="0.25">
      <c r="A12676" t="s">
        <v>8</v>
      </c>
      <c r="B12676" s="1" t="str">
        <f>"000289746 - RICHS CC-K-12"</f>
        <v>000289746 - RICHS CC-K-12</v>
      </c>
      <c r="C12676" t="s">
        <v>2032</v>
      </c>
      <c r="D12676" s="1" t="str">
        <f t="shared" si="346"/>
        <v>PRG-1038695</v>
      </c>
      <c r="E12676" t="s">
        <v>19</v>
      </c>
      <c r="F12676" t="s">
        <v>4</v>
      </c>
      <c r="G12676" t="str">
        <f>""</f>
        <v/>
      </c>
    </row>
    <row r="12677" spans="1:7" x14ac:dyDescent="0.25">
      <c r="A12677" t="s">
        <v>8</v>
      </c>
      <c r="B12677" s="1" t="str">
        <f>"000290117 - RICH PRODUCT   K12 BLANKET"</f>
        <v>000290117 - RICH PRODUCT   K12 BLANKET</v>
      </c>
      <c r="C12677" t="s">
        <v>1831</v>
      </c>
      <c r="D12677" s="1" t="str">
        <f t="shared" si="346"/>
        <v>PRG-1038695</v>
      </c>
      <c r="E12677" t="s">
        <v>19</v>
      </c>
      <c r="F12677" t="s">
        <v>4</v>
      </c>
      <c r="G12677" t="str">
        <f>""</f>
        <v/>
      </c>
    </row>
    <row r="12678" spans="1:7" x14ac:dyDescent="0.25">
      <c r="A12678" t="s">
        <v>8</v>
      </c>
      <c r="B12678" s="1" t="str">
        <f>"000298436 - RICH K-12 SCH BID(NC ITEMS)"</f>
        <v>000298436 - RICH K-12 SCH BID(NC ITEMS)</v>
      </c>
      <c r="C12678" t="s">
        <v>2606</v>
      </c>
      <c r="D12678" s="1" t="str">
        <f t="shared" si="346"/>
        <v>PRG-1038695</v>
      </c>
      <c r="E12678" t="s">
        <v>19</v>
      </c>
      <c r="F12678" t="s">
        <v>4</v>
      </c>
      <c r="G12678" t="str">
        <f>""</f>
        <v/>
      </c>
    </row>
    <row r="12679" spans="1:7" x14ac:dyDescent="0.25">
      <c r="A12679" t="s">
        <v>8</v>
      </c>
      <c r="B12679" s="1" t="str">
        <f>"000306108 - RICHS  NE ESU"</f>
        <v>000306108 - RICHS  NE ESU</v>
      </c>
      <c r="C12679" t="s">
        <v>3037</v>
      </c>
      <c r="D12679" s="1" t="str">
        <f t="shared" si="346"/>
        <v>PRG-1038695</v>
      </c>
      <c r="E12679" t="s">
        <v>19</v>
      </c>
      <c r="F12679" t="s">
        <v>4</v>
      </c>
      <c r="G12679" t="str">
        <f>""</f>
        <v/>
      </c>
    </row>
    <row r="12680" spans="1:7" x14ac:dyDescent="0.25">
      <c r="A12680" t="s">
        <v>8</v>
      </c>
      <c r="B12680" s="1" t="str">
        <f>"000306111 - RICHS  K-12"</f>
        <v>000306111 - RICHS  K-12</v>
      </c>
      <c r="C12680" t="s">
        <v>3040</v>
      </c>
      <c r="D12680" s="1" t="str">
        <f t="shared" si="346"/>
        <v>PRG-1038695</v>
      </c>
      <c r="E12680" t="s">
        <v>19</v>
      </c>
      <c r="F12680" t="s">
        <v>4</v>
      </c>
      <c r="G12680" t="str">
        <f>""</f>
        <v/>
      </c>
    </row>
    <row r="12681" spans="1:7" x14ac:dyDescent="0.25">
      <c r="A12681" t="s">
        <v>8</v>
      </c>
      <c r="B12681" s="1" t="str">
        <f>"000307346 - RICHS CC-K-12"</f>
        <v>000307346 - RICHS CC-K-12</v>
      </c>
      <c r="C12681" t="s">
        <v>2032</v>
      </c>
      <c r="D12681" s="1" t="str">
        <f t="shared" si="346"/>
        <v>PRG-1038695</v>
      </c>
      <c r="E12681" t="s">
        <v>19</v>
      </c>
      <c r="F12681" t="s">
        <v>4</v>
      </c>
      <c r="G12681" t="str">
        <f>""</f>
        <v/>
      </c>
    </row>
    <row r="12682" spans="1:7" x14ac:dyDescent="0.25">
      <c r="A12682" t="s">
        <v>8</v>
      </c>
      <c r="B12682" s="1" t="str">
        <f>"000310514 - RICH DRUMMOND SCHL"</f>
        <v>000310514 - RICH DRUMMOND SCHL</v>
      </c>
      <c r="C12682" t="s">
        <v>3108</v>
      </c>
      <c r="D12682" s="1" t="str">
        <f t="shared" si="346"/>
        <v>PRG-1038695</v>
      </c>
      <c r="E12682" t="s">
        <v>19</v>
      </c>
      <c r="F12682" t="s">
        <v>4</v>
      </c>
      <c r="G12682" t="str">
        <f>""</f>
        <v/>
      </c>
    </row>
    <row r="12683" spans="1:7" x14ac:dyDescent="0.25">
      <c r="A12683" t="s">
        <v>8</v>
      </c>
      <c r="B12683" s="1" t="str">
        <f>"000320454 - RICH'S BLNKT 17 18"</f>
        <v>000320454 - RICH'S BLNKT 17 18</v>
      </c>
      <c r="C12683" t="s">
        <v>3239</v>
      </c>
      <c r="D12683" s="1" t="str">
        <f t="shared" si="346"/>
        <v>PRG-1038695</v>
      </c>
      <c r="E12683" t="s">
        <v>19</v>
      </c>
      <c r="F12683" t="s">
        <v>4</v>
      </c>
      <c r="G12683" t="str">
        <f>""</f>
        <v/>
      </c>
    </row>
    <row r="12684" spans="1:7" x14ac:dyDescent="0.25">
      <c r="A12684" t="s">
        <v>8</v>
      </c>
      <c r="B12684" s="1" t="str">
        <f>"000321649 - RICHS K12 BLANKET"</f>
        <v>000321649 - RICHS K12 BLANKET</v>
      </c>
      <c r="C12684" t="s">
        <v>3249</v>
      </c>
      <c r="D12684" s="1" t="str">
        <f t="shared" si="346"/>
        <v>PRG-1038695</v>
      </c>
      <c r="E12684" t="s">
        <v>19</v>
      </c>
      <c r="F12684" t="s">
        <v>4</v>
      </c>
      <c r="G12684" t="str">
        <f>""</f>
        <v/>
      </c>
    </row>
    <row r="12685" spans="1:7" x14ac:dyDescent="0.25">
      <c r="A12685" t="s">
        <v>8</v>
      </c>
      <c r="B12685" s="1" t="str">
        <f>"000322159 - RICH PROD NAT'L SCHOOL BLNKT"</f>
        <v>000322159 - RICH PROD NAT'L SCHOOL BLNKT</v>
      </c>
      <c r="C12685" t="s">
        <v>2703</v>
      </c>
      <c r="D12685" s="1" t="str">
        <f t="shared" si="346"/>
        <v>PRG-1038695</v>
      </c>
      <c r="E12685" t="s">
        <v>19</v>
      </c>
      <c r="F12685" t="s">
        <v>4</v>
      </c>
      <c r="G12685" t="str">
        <f>""</f>
        <v/>
      </c>
    </row>
    <row r="12686" spans="1:7" x14ac:dyDescent="0.25">
      <c r="A12686" t="s">
        <v>8</v>
      </c>
      <c r="B12686" s="1" t="str">
        <f>"000326442 - RICH ADAMS SCHOOL"</f>
        <v>000326442 - RICH ADAMS SCHOOL</v>
      </c>
      <c r="C12686" t="s">
        <v>3299</v>
      </c>
      <c r="D12686" s="1" t="str">
        <f t="shared" si="346"/>
        <v>PRG-1038695</v>
      </c>
      <c r="E12686" t="s">
        <v>19</v>
      </c>
      <c r="F12686" t="s">
        <v>4</v>
      </c>
      <c r="G12686" t="str">
        <f>""</f>
        <v/>
      </c>
    </row>
    <row r="12687" spans="1:7" x14ac:dyDescent="0.25">
      <c r="A12687" t="s">
        <v>8</v>
      </c>
      <c r="B12687" s="1" t="str">
        <f>"000328306 - RICHS ANTIGO SCHOOLS"</f>
        <v>000328306 - RICHS ANTIGO SCHOOLS</v>
      </c>
      <c r="C12687" t="s">
        <v>3315</v>
      </c>
      <c r="D12687" s="1" t="str">
        <f t="shared" si="346"/>
        <v>PRG-1038695</v>
      </c>
      <c r="E12687" t="s">
        <v>19</v>
      </c>
      <c r="F12687" t="s">
        <v>4</v>
      </c>
      <c r="G12687" t="str">
        <f>""</f>
        <v/>
      </c>
    </row>
    <row r="12688" spans="1:7" x14ac:dyDescent="0.25">
      <c r="A12688" t="s">
        <v>8</v>
      </c>
      <c r="B12688" s="1" t="str">
        <f>"000328475 - RICHS 100912 BELOIT SCHLS"</f>
        <v>000328475 - RICHS 100912 BELOIT SCHLS</v>
      </c>
      <c r="C12688" t="s">
        <v>3317</v>
      </c>
      <c r="D12688" s="1" t="str">
        <f t="shared" si="346"/>
        <v>PRG-1038695</v>
      </c>
      <c r="E12688" t="s">
        <v>19</v>
      </c>
      <c r="F12688" t="s">
        <v>4</v>
      </c>
      <c r="G12688" t="str">
        <f>""</f>
        <v/>
      </c>
    </row>
    <row r="12689" spans="1:7" x14ac:dyDescent="0.25">
      <c r="A12689" t="s">
        <v>8</v>
      </c>
      <c r="B12689" s="1" t="str">
        <f>"000328476 - RICHS 100912 STERLING SCHLS"</f>
        <v>000328476 - RICHS 100912 STERLING SCHLS</v>
      </c>
      <c r="C12689" t="s">
        <v>3318</v>
      </c>
      <c r="D12689" s="1" t="str">
        <f t="shared" si="346"/>
        <v>PRG-1038695</v>
      </c>
      <c r="E12689" t="s">
        <v>19</v>
      </c>
      <c r="F12689" t="s">
        <v>4</v>
      </c>
      <c r="G12689" t="str">
        <f>""</f>
        <v/>
      </c>
    </row>
    <row r="12690" spans="1:7" x14ac:dyDescent="0.25">
      <c r="A12690" t="s">
        <v>8</v>
      </c>
      <c r="B12690" s="1" t="str">
        <f>"000328477 - RICHS 100912 CEDARBURG SCHLS"</f>
        <v>000328477 - RICHS 100912 CEDARBURG SCHLS</v>
      </c>
      <c r="C12690" t="s">
        <v>3319</v>
      </c>
      <c r="D12690" s="1" t="str">
        <f t="shared" si="346"/>
        <v>PRG-1038695</v>
      </c>
      <c r="E12690" t="s">
        <v>19</v>
      </c>
      <c r="F12690" t="s">
        <v>4</v>
      </c>
      <c r="G12690" t="str">
        <f>""</f>
        <v/>
      </c>
    </row>
    <row r="12691" spans="1:7" x14ac:dyDescent="0.25">
      <c r="A12691" t="s">
        <v>8</v>
      </c>
      <c r="B12691" s="1" t="str">
        <f>"000328478 - RICHS 100912 FOND DU LAC SCHLS"</f>
        <v>000328478 - RICHS 100912 FOND DU LAC SCHLS</v>
      </c>
      <c r="C12691" t="s">
        <v>3320</v>
      </c>
      <c r="D12691" s="1" t="str">
        <f t="shared" si="346"/>
        <v>PRG-1038695</v>
      </c>
      <c r="E12691" t="s">
        <v>19</v>
      </c>
      <c r="F12691" t="s">
        <v>4</v>
      </c>
      <c r="G12691" t="str">
        <f>""</f>
        <v/>
      </c>
    </row>
    <row r="12692" spans="1:7" x14ac:dyDescent="0.25">
      <c r="A12692" t="s">
        <v>8</v>
      </c>
      <c r="B12692" s="1" t="str">
        <f>"000328479 - RICHS 100912 MEQUON THIEN SCHL"</f>
        <v>000328479 - RICHS 100912 MEQUON THIEN SCHL</v>
      </c>
      <c r="C12692" t="s">
        <v>3321</v>
      </c>
      <c r="D12692" s="1" t="str">
        <f t="shared" si="346"/>
        <v>PRG-1038695</v>
      </c>
      <c r="E12692" t="s">
        <v>19</v>
      </c>
      <c r="F12692" t="s">
        <v>4</v>
      </c>
      <c r="G12692" t="str">
        <f>""</f>
        <v/>
      </c>
    </row>
    <row r="12693" spans="1:7" x14ac:dyDescent="0.25">
      <c r="A12693" t="s">
        <v>8</v>
      </c>
      <c r="B12693" s="1" t="str">
        <f>"000328480 - RICHS 100912 N FOND DU LACSCHL"</f>
        <v>000328480 - RICHS 100912 N FOND DU LACSCHL</v>
      </c>
      <c r="C12693" t="s">
        <v>3322</v>
      </c>
      <c r="D12693" s="1" t="str">
        <f t="shared" si="346"/>
        <v>PRG-1038695</v>
      </c>
      <c r="E12693" t="s">
        <v>19</v>
      </c>
      <c r="F12693" t="s">
        <v>4</v>
      </c>
      <c r="G12693" t="str">
        <f>""</f>
        <v/>
      </c>
    </row>
    <row r="12694" spans="1:7" x14ac:dyDescent="0.25">
      <c r="A12694" t="s">
        <v>8</v>
      </c>
      <c r="B12694" s="1" t="str">
        <f>"000328481 - RICHS 100912 REEDSBURG SCHLS"</f>
        <v>000328481 - RICHS 100912 REEDSBURG SCHLS</v>
      </c>
      <c r="C12694" t="s">
        <v>3323</v>
      </c>
      <c r="D12694" s="1" t="str">
        <f t="shared" si="346"/>
        <v>PRG-1038695</v>
      </c>
      <c r="E12694" t="s">
        <v>19</v>
      </c>
      <c r="F12694" t="s">
        <v>4</v>
      </c>
      <c r="G12694" t="str">
        <f>""</f>
        <v/>
      </c>
    </row>
    <row r="12695" spans="1:7" x14ac:dyDescent="0.25">
      <c r="A12695" t="s">
        <v>8</v>
      </c>
      <c r="B12695" s="1" t="str">
        <f>"000329172 - RICHS 100912 WAUPACA SCHL"</f>
        <v>000329172 - RICHS 100912 WAUPACA SCHL</v>
      </c>
      <c r="C12695" t="s">
        <v>3333</v>
      </c>
      <c r="D12695" s="1" t="str">
        <f t="shared" si="346"/>
        <v>PRG-1038695</v>
      </c>
      <c r="E12695" t="s">
        <v>19</v>
      </c>
      <c r="F12695" t="s">
        <v>4</v>
      </c>
      <c r="G12695" t="str">
        <f>""</f>
        <v/>
      </c>
    </row>
    <row r="12696" spans="1:7" x14ac:dyDescent="0.25">
      <c r="A12696" t="s">
        <v>8</v>
      </c>
      <c r="B12696" s="1" t="str">
        <f>"000332171 - RICHS 100912 FOND DU LAC SCHLS"</f>
        <v>000332171 - RICHS 100912 FOND DU LAC SCHLS</v>
      </c>
      <c r="C12696" t="s">
        <v>3320</v>
      </c>
      <c r="D12696" s="1" t="str">
        <f t="shared" si="346"/>
        <v>PRG-1038695</v>
      </c>
      <c r="E12696" t="s">
        <v>19</v>
      </c>
      <c r="F12696" t="s">
        <v>4</v>
      </c>
      <c r="G12696" t="str">
        <f>""</f>
        <v/>
      </c>
    </row>
    <row r="12697" spans="1:7" x14ac:dyDescent="0.25">
      <c r="A12697" t="s">
        <v>8</v>
      </c>
      <c r="B12697" s="1" t="str">
        <f>"000333483 - RICHS 100912 STERLING SCHLS"</f>
        <v>000333483 - RICHS 100912 STERLING SCHLS</v>
      </c>
      <c r="C12697" t="s">
        <v>3318</v>
      </c>
      <c r="D12697" s="1" t="str">
        <f t="shared" si="346"/>
        <v>PRG-1038695</v>
      </c>
      <c r="E12697" t="s">
        <v>19</v>
      </c>
      <c r="F12697" t="s">
        <v>4</v>
      </c>
      <c r="G12697" t="str">
        <f>""</f>
        <v/>
      </c>
    </row>
    <row r="12698" spans="1:7" x14ac:dyDescent="0.25">
      <c r="A12698" t="s">
        <v>8</v>
      </c>
      <c r="B12698" s="1" t="str">
        <f>"000333976 - RICHS 100912 BELOIT SCHLS"</f>
        <v>000333976 - RICHS 100912 BELOIT SCHLS</v>
      </c>
      <c r="C12698" t="s">
        <v>3317</v>
      </c>
      <c r="D12698" s="1" t="str">
        <f t="shared" si="346"/>
        <v>PRG-1038695</v>
      </c>
      <c r="E12698" t="s">
        <v>19</v>
      </c>
      <c r="F12698" t="s">
        <v>4</v>
      </c>
      <c r="G12698" t="str">
        <f>""</f>
        <v/>
      </c>
    </row>
    <row r="12699" spans="1:7" x14ac:dyDescent="0.25">
      <c r="A12699" t="s">
        <v>8</v>
      </c>
      <c r="B12699" s="1" t="str">
        <f>"000335277 - RICH PRODUCTS  EMPIRE USD"</f>
        <v>000335277 - RICH PRODUCTS  EMPIRE USD</v>
      </c>
      <c r="C12699" t="s">
        <v>2330</v>
      </c>
      <c r="D12699" s="1" t="str">
        <f t="shared" si="346"/>
        <v>PRG-1038695</v>
      </c>
      <c r="E12699" t="s">
        <v>19</v>
      </c>
      <c r="F12699" t="s">
        <v>4</v>
      </c>
      <c r="G12699" t="str">
        <f>""</f>
        <v/>
      </c>
    </row>
    <row r="12700" spans="1:7" x14ac:dyDescent="0.25">
      <c r="A12700" t="s">
        <v>8</v>
      </c>
      <c r="B12700" s="1" t="str">
        <f>"000338919 - RICHS 100912 STERLING SCHLS"</f>
        <v>000338919 - RICHS 100912 STERLING SCHLS</v>
      </c>
      <c r="C12700" t="s">
        <v>3318</v>
      </c>
      <c r="D12700" s="1" t="str">
        <f t="shared" si="346"/>
        <v>PRG-1038695</v>
      </c>
      <c r="E12700" t="s">
        <v>19</v>
      </c>
      <c r="F12700" t="s">
        <v>4</v>
      </c>
      <c r="G12700" t="str">
        <f>""</f>
        <v/>
      </c>
    </row>
    <row r="12701" spans="1:7" x14ac:dyDescent="0.25">
      <c r="A12701" t="s">
        <v>8</v>
      </c>
      <c r="B12701" s="1" t="str">
        <f>"000339894 - RICHS 100912 N FOND DU LACSCHL"</f>
        <v>000339894 - RICHS 100912 N FOND DU LACSCHL</v>
      </c>
      <c r="C12701" t="s">
        <v>3322</v>
      </c>
      <c r="D12701" s="1" t="str">
        <f t="shared" si="346"/>
        <v>PRG-1038695</v>
      </c>
      <c r="E12701" t="s">
        <v>19</v>
      </c>
      <c r="F12701" t="s">
        <v>4</v>
      </c>
      <c r="G12701" t="str">
        <f>""</f>
        <v/>
      </c>
    </row>
    <row r="12702" spans="1:7" x14ac:dyDescent="0.25">
      <c r="A12702" t="s">
        <v>8</v>
      </c>
      <c r="B12702" s="1" t="str">
        <f>"000355819 - RICHS KCK SCHOOLS"</f>
        <v>000355819 - RICHS KCK SCHOOLS</v>
      </c>
      <c r="C12702" t="s">
        <v>3558</v>
      </c>
      <c r="D12702" s="1" t="str">
        <f t="shared" ref="D12702:D12733" si="347">"PRG-1038695"</f>
        <v>PRG-1038695</v>
      </c>
      <c r="E12702" t="s">
        <v>19</v>
      </c>
      <c r="F12702" t="s">
        <v>4</v>
      </c>
      <c r="G12702" t="str">
        <f>""</f>
        <v/>
      </c>
    </row>
    <row r="12703" spans="1:7" x14ac:dyDescent="0.25">
      <c r="A12703" t="s">
        <v>8</v>
      </c>
      <c r="B12703" s="1" t="str">
        <f>"000357538 - RICH'S BLANKET BID"</f>
        <v>000357538 - RICH'S BLANKET BID</v>
      </c>
      <c r="C12703" t="s">
        <v>3567</v>
      </c>
      <c r="D12703" s="1" t="str">
        <f t="shared" si="347"/>
        <v>PRG-1038695</v>
      </c>
      <c r="E12703" t="s">
        <v>19</v>
      </c>
      <c r="F12703" t="s">
        <v>4</v>
      </c>
      <c r="G12703" t="str">
        <f>""</f>
        <v/>
      </c>
    </row>
    <row r="12704" spans="1:7" x14ac:dyDescent="0.25">
      <c r="A12704" t="s">
        <v>8</v>
      </c>
      <c r="B12704" s="1" t="str">
        <f>"000359551 - RICH + BLANKET"</f>
        <v>000359551 - RICH + BLANKET</v>
      </c>
      <c r="C12704" t="s">
        <v>2912</v>
      </c>
      <c r="D12704" s="1" t="str">
        <f t="shared" si="347"/>
        <v>PRG-1038695</v>
      </c>
      <c r="E12704" t="s">
        <v>19</v>
      </c>
      <c r="F12704" t="s">
        <v>4</v>
      </c>
      <c r="G12704" t="str">
        <f>""</f>
        <v/>
      </c>
    </row>
    <row r="12705" spans="1:7" x14ac:dyDescent="0.25">
      <c r="A12705" t="s">
        <v>8</v>
      </c>
      <c r="B12705" s="1" t="str">
        <f>"000368256 - RICH'S K12 SCHL BLNKT"</f>
        <v>000368256 - RICH'S K12 SCHL BLNKT</v>
      </c>
      <c r="C12705" t="s">
        <v>3615</v>
      </c>
      <c r="D12705" s="1" t="str">
        <f t="shared" si="347"/>
        <v>PRG-1038695</v>
      </c>
      <c r="E12705" t="s">
        <v>19</v>
      </c>
      <c r="F12705" t="s">
        <v>4</v>
      </c>
      <c r="G12705" t="str">
        <f>""</f>
        <v/>
      </c>
    </row>
    <row r="12706" spans="1:7" x14ac:dyDescent="0.25">
      <c r="A12706" t="s">
        <v>8</v>
      </c>
      <c r="B12706" s="1" t="str">
        <f>"000376126 - RICH PRODUCTS ALL SCHOOLS BAPA"</f>
        <v>000376126 - RICH PRODUCTS ALL SCHOOLS BAPA</v>
      </c>
      <c r="C12706" t="s">
        <v>3641</v>
      </c>
      <c r="D12706" s="1" t="str">
        <f t="shared" si="347"/>
        <v>PRG-1038695</v>
      </c>
      <c r="E12706" t="s">
        <v>19</v>
      </c>
      <c r="F12706" t="s">
        <v>4</v>
      </c>
      <c r="G12706" t="str">
        <f>""</f>
        <v/>
      </c>
    </row>
    <row r="12707" spans="1:7" x14ac:dyDescent="0.25">
      <c r="A12707" t="s">
        <v>8</v>
      </c>
      <c r="B12707" s="1" t="str">
        <f>"000376509 - RICHS VICTORIA ISD"</f>
        <v>000376509 - RICHS VICTORIA ISD</v>
      </c>
      <c r="C12707" t="s">
        <v>3270</v>
      </c>
      <c r="D12707" s="1" t="str">
        <f t="shared" si="347"/>
        <v>PRG-1038695</v>
      </c>
      <c r="E12707" t="s">
        <v>19</v>
      </c>
      <c r="F12707" t="s">
        <v>4</v>
      </c>
      <c r="G12707" t="str">
        <f>""</f>
        <v/>
      </c>
    </row>
    <row r="12708" spans="1:7" x14ac:dyDescent="0.25">
      <c r="A12708" t="s">
        <v>8</v>
      </c>
      <c r="B12708" s="1" t="str">
        <f>"000377489 - RICH LEES SUMMIT SCHOOLS"</f>
        <v>000377489 - RICH LEES SUMMIT SCHOOLS</v>
      </c>
      <c r="C12708" t="s">
        <v>3646</v>
      </c>
      <c r="D12708" s="1" t="str">
        <f t="shared" si="347"/>
        <v>PRG-1038695</v>
      </c>
      <c r="E12708" t="s">
        <v>19</v>
      </c>
      <c r="F12708" t="s">
        <v>4</v>
      </c>
      <c r="G12708" t="str">
        <f>""</f>
        <v/>
      </c>
    </row>
    <row r="12709" spans="1:7" x14ac:dyDescent="0.25">
      <c r="A12709" t="s">
        <v>8</v>
      </c>
      <c r="B12709" s="1" t="str">
        <f>"000396282 - RICH IV CO OP 2017-2018"</f>
        <v>000396282 - RICH IV CO OP 2017-2018</v>
      </c>
      <c r="C12709" t="s">
        <v>3710</v>
      </c>
      <c r="D12709" s="1" t="str">
        <f t="shared" si="347"/>
        <v>PRG-1038695</v>
      </c>
      <c r="E12709" t="s">
        <v>19</v>
      </c>
      <c r="F12709" t="s">
        <v>4</v>
      </c>
      <c r="G12709" t="str">
        <f>""</f>
        <v/>
      </c>
    </row>
    <row r="12710" spans="1:7" x14ac:dyDescent="0.25">
      <c r="A12710" t="s">
        <v>8</v>
      </c>
      <c r="B12710" s="1" t="str">
        <f>"0248B115"</f>
        <v>0248B115</v>
      </c>
      <c r="C12710" t="s">
        <v>3757</v>
      </c>
      <c r="D12710" s="1" t="str">
        <f t="shared" si="347"/>
        <v>PRG-1038695</v>
      </c>
      <c r="E12710" t="s">
        <v>19</v>
      </c>
      <c r="F12710" t="s">
        <v>5</v>
      </c>
      <c r="G12710" t="str">
        <f>""</f>
        <v/>
      </c>
    </row>
    <row r="12711" spans="1:7" x14ac:dyDescent="0.25">
      <c r="A12711" t="s">
        <v>8</v>
      </c>
      <c r="B12711" s="1" t="str">
        <f>"0248B117"</f>
        <v>0248B117</v>
      </c>
      <c r="C12711" t="s">
        <v>3758</v>
      </c>
      <c r="D12711" s="1" t="str">
        <f t="shared" si="347"/>
        <v>PRG-1038695</v>
      </c>
      <c r="E12711" t="s">
        <v>19</v>
      </c>
      <c r="F12711" t="s">
        <v>5</v>
      </c>
      <c r="G12711" t="str">
        <f>""</f>
        <v/>
      </c>
    </row>
    <row r="12712" spans="1:7" x14ac:dyDescent="0.25">
      <c r="A12712" t="s">
        <v>8</v>
      </c>
      <c r="B12712" s="1" t="str">
        <f>"10541846"</f>
        <v>10541846</v>
      </c>
      <c r="C12712" t="s">
        <v>3766</v>
      </c>
      <c r="D12712" s="1" t="str">
        <f t="shared" si="347"/>
        <v>PRG-1038695</v>
      </c>
      <c r="E12712" t="s">
        <v>19</v>
      </c>
      <c r="F12712" t="s">
        <v>5</v>
      </c>
      <c r="G12712" t="str">
        <f>""</f>
        <v/>
      </c>
    </row>
    <row r="12713" spans="1:7" x14ac:dyDescent="0.25">
      <c r="A12713" t="s">
        <v>8</v>
      </c>
      <c r="B12713" s="1" t="str">
        <f>"205263 - RICH'S K12"</f>
        <v>205263 - RICH'S K12</v>
      </c>
      <c r="C12713" t="s">
        <v>1359</v>
      </c>
      <c r="D12713" s="1" t="str">
        <f t="shared" si="347"/>
        <v>PRG-1038695</v>
      </c>
      <c r="E12713" t="s">
        <v>19</v>
      </c>
      <c r="F12713" t="s">
        <v>4</v>
      </c>
      <c r="G12713" t="str">
        <f>""</f>
        <v/>
      </c>
    </row>
    <row r="12714" spans="1:7" x14ac:dyDescent="0.25">
      <c r="A12714" t="s">
        <v>8</v>
      </c>
      <c r="B12714" s="1" t="str">
        <f>"21100531"</f>
        <v>21100531</v>
      </c>
      <c r="C12714" t="s">
        <v>4110</v>
      </c>
      <c r="D12714" s="1" t="str">
        <f t="shared" si="347"/>
        <v>PRG-1038695</v>
      </c>
      <c r="E12714" t="s">
        <v>19</v>
      </c>
      <c r="F12714" t="s">
        <v>5</v>
      </c>
      <c r="G12714" t="str">
        <f>""</f>
        <v/>
      </c>
    </row>
    <row r="12715" spans="1:7" x14ac:dyDescent="0.25">
      <c r="A12715" t="s">
        <v>8</v>
      </c>
      <c r="B12715" s="1" t="str">
        <f>"21405356"</f>
        <v>21405356</v>
      </c>
      <c r="C12715" t="s">
        <v>4162</v>
      </c>
      <c r="D12715" s="1" t="str">
        <f t="shared" si="347"/>
        <v>PRG-1038695</v>
      </c>
      <c r="E12715" t="s">
        <v>19</v>
      </c>
      <c r="F12715" t="s">
        <v>5</v>
      </c>
      <c r="G12715" t="str">
        <f>""</f>
        <v/>
      </c>
    </row>
    <row r="12716" spans="1:7" x14ac:dyDescent="0.25">
      <c r="A12716" t="s">
        <v>8</v>
      </c>
      <c r="B12716" s="1" t="str">
        <f>"21407717"</f>
        <v>21407717</v>
      </c>
      <c r="C12716" t="s">
        <v>4164</v>
      </c>
      <c r="D12716" s="1" t="str">
        <f t="shared" si="347"/>
        <v>PRG-1038695</v>
      </c>
      <c r="E12716" t="s">
        <v>19</v>
      </c>
      <c r="F12716" t="s">
        <v>5</v>
      </c>
      <c r="G12716" t="str">
        <f>""</f>
        <v/>
      </c>
    </row>
    <row r="12717" spans="1:7" x14ac:dyDescent="0.25">
      <c r="A12717" t="s">
        <v>8</v>
      </c>
      <c r="B12717" s="1" t="str">
        <f>"2140B944"</f>
        <v>2140B944</v>
      </c>
      <c r="C12717" t="s">
        <v>4170</v>
      </c>
      <c r="D12717" s="1" t="str">
        <f t="shared" si="347"/>
        <v>PRG-1038695</v>
      </c>
      <c r="E12717" t="s">
        <v>19</v>
      </c>
      <c r="F12717" t="s">
        <v>5</v>
      </c>
      <c r="G12717" t="str">
        <f>""</f>
        <v/>
      </c>
    </row>
    <row r="12718" spans="1:7" x14ac:dyDescent="0.25">
      <c r="A12718" t="s">
        <v>8</v>
      </c>
      <c r="B12718" s="1" t="str">
        <f>"22407013"</f>
        <v>22407013</v>
      </c>
      <c r="C12718" t="s">
        <v>4318</v>
      </c>
      <c r="D12718" s="1" t="str">
        <f t="shared" si="347"/>
        <v>PRG-1038695</v>
      </c>
      <c r="E12718" t="s">
        <v>19</v>
      </c>
      <c r="F12718" t="s">
        <v>5</v>
      </c>
      <c r="G12718" t="str">
        <f>""</f>
        <v/>
      </c>
    </row>
    <row r="12719" spans="1:7" x14ac:dyDescent="0.25">
      <c r="A12719" t="s">
        <v>8</v>
      </c>
      <c r="B12719" s="1" t="str">
        <f>"225015F8"</f>
        <v>225015F8</v>
      </c>
      <c r="C12719" t="s">
        <v>4340</v>
      </c>
      <c r="D12719" s="1" t="str">
        <f t="shared" si="347"/>
        <v>PRG-1038695</v>
      </c>
      <c r="E12719" t="s">
        <v>19</v>
      </c>
      <c r="F12719" t="s">
        <v>5</v>
      </c>
      <c r="G12719" t="str">
        <f>""</f>
        <v/>
      </c>
    </row>
    <row r="12720" spans="1:7" x14ac:dyDescent="0.25">
      <c r="A12720" t="s">
        <v>8</v>
      </c>
      <c r="B12720" s="1" t="str">
        <f>"2250G118"</f>
        <v>2250G118</v>
      </c>
      <c r="C12720" t="s">
        <v>4376</v>
      </c>
      <c r="D12720" s="1" t="str">
        <f t="shared" si="347"/>
        <v>PRG-1038695</v>
      </c>
      <c r="E12720" t="s">
        <v>19</v>
      </c>
      <c r="F12720" t="s">
        <v>5</v>
      </c>
      <c r="G12720" t="str">
        <f>""</f>
        <v/>
      </c>
    </row>
    <row r="12721" spans="1:7" x14ac:dyDescent="0.25">
      <c r="A12721" t="s">
        <v>8</v>
      </c>
      <c r="B12721" s="1" t="str">
        <f>"22605564"</f>
        <v>22605564</v>
      </c>
      <c r="C12721" t="s">
        <v>4426</v>
      </c>
      <c r="D12721" s="1" t="str">
        <f t="shared" si="347"/>
        <v>PRG-1038695</v>
      </c>
      <c r="E12721" t="s">
        <v>19</v>
      </c>
      <c r="F12721" t="s">
        <v>5</v>
      </c>
      <c r="G12721" t="str">
        <f>""</f>
        <v/>
      </c>
    </row>
    <row r="12722" spans="1:7" x14ac:dyDescent="0.25">
      <c r="A12722" t="s">
        <v>8</v>
      </c>
      <c r="B12722" s="1" t="str">
        <f>"22605567"</f>
        <v>22605567</v>
      </c>
      <c r="C12722" t="s">
        <v>4429</v>
      </c>
      <c r="D12722" s="1" t="str">
        <f t="shared" si="347"/>
        <v>PRG-1038695</v>
      </c>
      <c r="E12722" t="s">
        <v>19</v>
      </c>
      <c r="F12722" t="s">
        <v>5</v>
      </c>
      <c r="G12722" t="str">
        <f>""</f>
        <v/>
      </c>
    </row>
    <row r="12723" spans="1:7" x14ac:dyDescent="0.25">
      <c r="A12723" t="s">
        <v>8</v>
      </c>
      <c r="B12723" s="1" t="str">
        <f>"22606196"</f>
        <v>22606196</v>
      </c>
      <c r="C12723" t="s">
        <v>4438</v>
      </c>
      <c r="D12723" s="1" t="str">
        <f t="shared" si="347"/>
        <v>PRG-1038695</v>
      </c>
      <c r="E12723" t="s">
        <v>19</v>
      </c>
      <c r="F12723" t="s">
        <v>5</v>
      </c>
      <c r="G12723" t="str">
        <f>""</f>
        <v/>
      </c>
    </row>
    <row r="12724" spans="1:7" x14ac:dyDescent="0.25">
      <c r="A12724" t="s">
        <v>8</v>
      </c>
      <c r="B12724" s="1" t="str">
        <f>"2260B243"</f>
        <v>2260B243</v>
      </c>
      <c r="C12724" t="s">
        <v>4453</v>
      </c>
      <c r="D12724" s="1" t="str">
        <f t="shared" si="347"/>
        <v>PRG-1038695</v>
      </c>
      <c r="E12724" t="s">
        <v>19</v>
      </c>
      <c r="F12724" t="s">
        <v>5</v>
      </c>
      <c r="G12724" t="str">
        <f>""</f>
        <v/>
      </c>
    </row>
    <row r="12725" spans="1:7" x14ac:dyDescent="0.25">
      <c r="A12725" t="s">
        <v>8</v>
      </c>
      <c r="B12725" s="1" t="str">
        <f>"2260H782"</f>
        <v>2260H782</v>
      </c>
      <c r="C12725" t="s">
        <v>4472</v>
      </c>
      <c r="D12725" s="1" t="str">
        <f t="shared" si="347"/>
        <v>PRG-1038695</v>
      </c>
      <c r="E12725" t="s">
        <v>19</v>
      </c>
      <c r="F12725" t="s">
        <v>5</v>
      </c>
      <c r="G12725" t="str">
        <f>""</f>
        <v/>
      </c>
    </row>
    <row r="12726" spans="1:7" x14ac:dyDescent="0.25">
      <c r="A12726" t="s">
        <v>8</v>
      </c>
      <c r="B12726" s="1" t="str">
        <f>"23502946"</f>
        <v>23502946</v>
      </c>
      <c r="C12726" t="s">
        <v>4506</v>
      </c>
      <c r="D12726" s="1" t="str">
        <f t="shared" si="347"/>
        <v>PRG-1038695</v>
      </c>
      <c r="E12726" t="s">
        <v>19</v>
      </c>
      <c r="F12726" t="s">
        <v>5</v>
      </c>
      <c r="G12726" t="str">
        <f>""</f>
        <v/>
      </c>
    </row>
    <row r="12727" spans="1:7" x14ac:dyDescent="0.25">
      <c r="A12727" t="s">
        <v>8</v>
      </c>
      <c r="B12727" s="1" t="str">
        <f>"2350A347"</f>
        <v>2350A347</v>
      </c>
      <c r="C12727" t="s">
        <v>4522</v>
      </c>
      <c r="D12727" s="1" t="str">
        <f t="shared" si="347"/>
        <v>PRG-1038695</v>
      </c>
      <c r="E12727" t="s">
        <v>19</v>
      </c>
      <c r="F12727" t="s">
        <v>5</v>
      </c>
      <c r="G12727" t="str">
        <f>""</f>
        <v/>
      </c>
    </row>
    <row r="12728" spans="1:7" x14ac:dyDescent="0.25">
      <c r="A12728" t="s">
        <v>8</v>
      </c>
      <c r="B12728" s="1" t="str">
        <f>"2350A929"</f>
        <v>2350A929</v>
      </c>
      <c r="C12728" t="s">
        <v>4523</v>
      </c>
      <c r="D12728" s="1" t="str">
        <f t="shared" si="347"/>
        <v>PRG-1038695</v>
      </c>
      <c r="E12728" t="s">
        <v>19</v>
      </c>
      <c r="F12728" t="s">
        <v>5</v>
      </c>
      <c r="G12728" t="str">
        <f>""</f>
        <v/>
      </c>
    </row>
    <row r="12729" spans="1:7" x14ac:dyDescent="0.25">
      <c r="A12729" t="s">
        <v>8</v>
      </c>
      <c r="B12729" s="1" t="str">
        <f>"2350E177"</f>
        <v>2350E177</v>
      </c>
      <c r="C12729" t="s">
        <v>4528</v>
      </c>
      <c r="D12729" s="1" t="str">
        <f t="shared" si="347"/>
        <v>PRG-1038695</v>
      </c>
      <c r="E12729" t="s">
        <v>19</v>
      </c>
      <c r="F12729" t="s">
        <v>5</v>
      </c>
      <c r="G12729" t="str">
        <f>""</f>
        <v/>
      </c>
    </row>
    <row r="12730" spans="1:7" x14ac:dyDescent="0.25">
      <c r="A12730" t="s">
        <v>8</v>
      </c>
      <c r="B12730" s="1" t="str">
        <f>"2370D032"</f>
        <v>2370D032</v>
      </c>
      <c r="C12730" t="s">
        <v>4557</v>
      </c>
      <c r="D12730" s="1" t="str">
        <f t="shared" si="347"/>
        <v>PRG-1038695</v>
      </c>
      <c r="E12730" t="s">
        <v>19</v>
      </c>
      <c r="F12730" t="s">
        <v>5</v>
      </c>
      <c r="G12730" t="str">
        <f>""</f>
        <v/>
      </c>
    </row>
    <row r="12731" spans="1:7" x14ac:dyDescent="0.25">
      <c r="A12731" t="s">
        <v>8</v>
      </c>
      <c r="B12731" s="1" t="str">
        <f>"3170J840"</f>
        <v>3170J840</v>
      </c>
      <c r="C12731" t="s">
        <v>4741</v>
      </c>
      <c r="D12731" s="1" t="str">
        <f t="shared" si="347"/>
        <v>PRG-1038695</v>
      </c>
      <c r="E12731" t="s">
        <v>19</v>
      </c>
      <c r="F12731" t="s">
        <v>5</v>
      </c>
      <c r="G12731" t="str">
        <f>""</f>
        <v/>
      </c>
    </row>
    <row r="12732" spans="1:7" x14ac:dyDescent="0.25">
      <c r="A12732" t="s">
        <v>8</v>
      </c>
      <c r="B12732" s="1" t="str">
        <f>"3170P483"</f>
        <v>3170P483</v>
      </c>
      <c r="C12732" t="s">
        <v>4760</v>
      </c>
      <c r="D12732" s="1" t="str">
        <f t="shared" si="347"/>
        <v>PRG-1038695</v>
      </c>
      <c r="E12732" t="s">
        <v>19</v>
      </c>
      <c r="F12732" t="s">
        <v>5</v>
      </c>
      <c r="G12732" t="str">
        <f>""</f>
        <v/>
      </c>
    </row>
    <row r="12733" spans="1:7" x14ac:dyDescent="0.25">
      <c r="A12733" t="s">
        <v>8</v>
      </c>
      <c r="B12733" s="1" t="str">
        <f>"3170P772"</f>
        <v>3170P772</v>
      </c>
      <c r="C12733" t="s">
        <v>4761</v>
      </c>
      <c r="D12733" s="1" t="str">
        <f t="shared" si="347"/>
        <v>PRG-1038695</v>
      </c>
      <c r="E12733" t="s">
        <v>19</v>
      </c>
      <c r="F12733" t="s">
        <v>5</v>
      </c>
      <c r="G12733" t="str">
        <f>""</f>
        <v/>
      </c>
    </row>
    <row r="12734" spans="1:7" x14ac:dyDescent="0.25">
      <c r="A12734" t="s">
        <v>8</v>
      </c>
      <c r="B12734" s="1" t="str">
        <f>"3170T926"</f>
        <v>3170T926</v>
      </c>
      <c r="C12734" t="s">
        <v>4773</v>
      </c>
      <c r="D12734" s="1" t="str">
        <f t="shared" ref="D12734:D12765" si="348">"PRG-1038695"</f>
        <v>PRG-1038695</v>
      </c>
      <c r="E12734" t="s">
        <v>19</v>
      </c>
      <c r="F12734" t="s">
        <v>5</v>
      </c>
      <c r="G12734" t="str">
        <f>""</f>
        <v/>
      </c>
    </row>
    <row r="12735" spans="1:7" x14ac:dyDescent="0.25">
      <c r="A12735" t="s">
        <v>8</v>
      </c>
      <c r="B12735" s="1" t="str">
        <f>"3170W783"</f>
        <v>3170W783</v>
      </c>
      <c r="C12735" t="s">
        <v>4787</v>
      </c>
      <c r="D12735" s="1" t="str">
        <f t="shared" si="348"/>
        <v>PRG-1038695</v>
      </c>
      <c r="E12735" t="s">
        <v>19</v>
      </c>
      <c r="F12735" t="s">
        <v>5</v>
      </c>
      <c r="G12735" t="str">
        <f>""</f>
        <v/>
      </c>
    </row>
    <row r="12736" spans="1:7" x14ac:dyDescent="0.25">
      <c r="A12736" t="s">
        <v>8</v>
      </c>
      <c r="B12736" s="1" t="str">
        <f>"3170Y307"</f>
        <v>3170Y307</v>
      </c>
      <c r="C12736" t="s">
        <v>4790</v>
      </c>
      <c r="D12736" s="1" t="str">
        <f t="shared" si="348"/>
        <v>PRG-1038695</v>
      </c>
      <c r="E12736" t="s">
        <v>19</v>
      </c>
      <c r="F12736" t="s">
        <v>5</v>
      </c>
      <c r="G12736" t="str">
        <f>""</f>
        <v/>
      </c>
    </row>
    <row r="12737" spans="1:7" x14ac:dyDescent="0.25">
      <c r="A12737" t="s">
        <v>8</v>
      </c>
      <c r="B12737" s="1" t="str">
        <f>"32301505"</f>
        <v>32301505</v>
      </c>
      <c r="C12737" t="s">
        <v>4836</v>
      </c>
      <c r="D12737" s="1" t="str">
        <f t="shared" si="348"/>
        <v>PRG-1038695</v>
      </c>
      <c r="E12737" t="s">
        <v>19</v>
      </c>
      <c r="F12737" t="s">
        <v>5</v>
      </c>
      <c r="G12737" t="str">
        <f>""</f>
        <v/>
      </c>
    </row>
    <row r="12738" spans="1:7" x14ac:dyDescent="0.25">
      <c r="A12738" t="s">
        <v>8</v>
      </c>
      <c r="B12738" s="1" t="str">
        <f>"32302298"</f>
        <v>32302298</v>
      </c>
      <c r="C12738" t="s">
        <v>4850</v>
      </c>
      <c r="D12738" s="1" t="str">
        <f t="shared" si="348"/>
        <v>PRG-1038695</v>
      </c>
      <c r="E12738" t="s">
        <v>19</v>
      </c>
      <c r="F12738" t="s">
        <v>5</v>
      </c>
      <c r="G12738" t="str">
        <f>""</f>
        <v/>
      </c>
    </row>
    <row r="12739" spans="1:7" x14ac:dyDescent="0.25">
      <c r="A12739" t="s">
        <v>8</v>
      </c>
      <c r="B12739" s="1" t="str">
        <f>"3230A407"</f>
        <v>3230A407</v>
      </c>
      <c r="C12739" t="s">
        <v>4895</v>
      </c>
      <c r="D12739" s="1" t="str">
        <f t="shared" si="348"/>
        <v>PRG-1038695</v>
      </c>
      <c r="E12739" t="s">
        <v>19</v>
      </c>
      <c r="F12739" t="s">
        <v>5</v>
      </c>
      <c r="G12739" t="str">
        <f>""</f>
        <v/>
      </c>
    </row>
    <row r="12740" spans="1:7" x14ac:dyDescent="0.25">
      <c r="A12740" t="s">
        <v>8</v>
      </c>
      <c r="B12740" s="1" t="str">
        <f>"3230C178"</f>
        <v>3230C178</v>
      </c>
      <c r="C12740" t="s">
        <v>4897</v>
      </c>
      <c r="D12740" s="1" t="str">
        <f t="shared" si="348"/>
        <v>PRG-1038695</v>
      </c>
      <c r="E12740" t="s">
        <v>19</v>
      </c>
      <c r="F12740" t="s">
        <v>5</v>
      </c>
      <c r="G12740" t="str">
        <f>""</f>
        <v/>
      </c>
    </row>
    <row r="12741" spans="1:7" x14ac:dyDescent="0.25">
      <c r="A12741" t="s">
        <v>8</v>
      </c>
      <c r="B12741" s="1" t="str">
        <f>"S2L00260"</f>
        <v>S2L00260</v>
      </c>
      <c r="C12741" t="s">
        <v>5579</v>
      </c>
      <c r="D12741" s="1" t="str">
        <f t="shared" si="348"/>
        <v>PRG-1038695</v>
      </c>
      <c r="E12741" t="s">
        <v>19</v>
      </c>
      <c r="F12741" t="s">
        <v>5</v>
      </c>
      <c r="G12741" t="str">
        <f>""</f>
        <v/>
      </c>
    </row>
    <row r="12742" spans="1:7" x14ac:dyDescent="0.25">
      <c r="A12742" t="s">
        <v>8</v>
      </c>
      <c r="B12742" s="1" t="str">
        <f>"S2R00AP0"</f>
        <v>S2R00AP0</v>
      </c>
      <c r="C12742" t="s">
        <v>5584</v>
      </c>
      <c r="D12742" s="1" t="str">
        <f t="shared" si="348"/>
        <v>PRG-1038695</v>
      </c>
      <c r="E12742" t="s">
        <v>19</v>
      </c>
      <c r="F12742" t="s">
        <v>5</v>
      </c>
      <c r="G12742" t="str">
        <f>""</f>
        <v/>
      </c>
    </row>
    <row r="12743" spans="1:7" x14ac:dyDescent="0.25">
      <c r="A12743" t="s">
        <v>8</v>
      </c>
      <c r="B12743" s="1" t="str">
        <f>"S3D00G30"</f>
        <v>S3D00G30</v>
      </c>
      <c r="C12743" t="s">
        <v>5591</v>
      </c>
      <c r="D12743" s="1" t="str">
        <f t="shared" si="348"/>
        <v>PRG-1038695</v>
      </c>
      <c r="E12743" t="s">
        <v>19</v>
      </c>
      <c r="F12743" t="s">
        <v>5</v>
      </c>
      <c r="G12743" t="str">
        <f>""</f>
        <v/>
      </c>
    </row>
    <row r="12744" spans="1:7" x14ac:dyDescent="0.25">
      <c r="A12744" t="s">
        <v>8</v>
      </c>
      <c r="B12744" s="1" t="str">
        <f>"S3F01NW0"</f>
        <v>S3F01NW0</v>
      </c>
      <c r="C12744" t="s">
        <v>5601</v>
      </c>
      <c r="D12744" s="1" t="str">
        <f t="shared" si="348"/>
        <v>PRG-1038695</v>
      </c>
      <c r="E12744" t="s">
        <v>19</v>
      </c>
      <c r="F12744" t="s">
        <v>5</v>
      </c>
      <c r="G12744" t="str">
        <f>""</f>
        <v/>
      </c>
    </row>
    <row r="12745" spans="1:7" x14ac:dyDescent="0.25">
      <c r="A12745" t="s">
        <v>8</v>
      </c>
      <c r="B12745" s="1" t="str">
        <f>"S3V00GM0"</f>
        <v>S3V00GM0</v>
      </c>
      <c r="C12745" t="s">
        <v>5644</v>
      </c>
      <c r="D12745" s="1" t="str">
        <f t="shared" si="348"/>
        <v>PRG-1038695</v>
      </c>
      <c r="E12745" t="s">
        <v>19</v>
      </c>
      <c r="F12745" t="s">
        <v>5</v>
      </c>
      <c r="G12745" t="str">
        <f>""</f>
        <v/>
      </c>
    </row>
    <row r="12746" spans="1:7" x14ac:dyDescent="0.25">
      <c r="A12746" t="s">
        <v>8</v>
      </c>
      <c r="B12746" s="1" t="str">
        <f>"S4C014V0"</f>
        <v>S4C014V0</v>
      </c>
      <c r="C12746" t="s">
        <v>5703</v>
      </c>
      <c r="D12746" s="1" t="str">
        <f t="shared" si="348"/>
        <v>PRG-1038695</v>
      </c>
      <c r="E12746" t="s">
        <v>19</v>
      </c>
      <c r="F12746" t="s">
        <v>5</v>
      </c>
      <c r="G12746" t="str">
        <f>""</f>
        <v/>
      </c>
    </row>
    <row r="12747" spans="1:7" x14ac:dyDescent="0.25">
      <c r="A12747" t="s">
        <v>8</v>
      </c>
      <c r="B12747" s="1" t="str">
        <f>"S5D003T0"</f>
        <v>S5D003T0</v>
      </c>
      <c r="C12747" t="s">
        <v>5792</v>
      </c>
      <c r="D12747" s="1" t="str">
        <f t="shared" si="348"/>
        <v>PRG-1038695</v>
      </c>
      <c r="E12747" t="s">
        <v>19</v>
      </c>
      <c r="F12747" t="s">
        <v>5</v>
      </c>
      <c r="G12747" t="str">
        <f>""</f>
        <v/>
      </c>
    </row>
    <row r="12748" spans="1:7" x14ac:dyDescent="0.25">
      <c r="A12748" t="s">
        <v>8</v>
      </c>
      <c r="B12748" s="1" t="str">
        <f>"S5D01RW0"</f>
        <v>S5D01RW0</v>
      </c>
      <c r="C12748" t="s">
        <v>5797</v>
      </c>
      <c r="D12748" s="1" t="str">
        <f t="shared" si="348"/>
        <v>PRG-1038695</v>
      </c>
      <c r="E12748" t="s">
        <v>19</v>
      </c>
      <c r="F12748" t="s">
        <v>5</v>
      </c>
      <c r="G12748" t="str">
        <f>""</f>
        <v/>
      </c>
    </row>
    <row r="12749" spans="1:7" x14ac:dyDescent="0.25">
      <c r="A12749" t="s">
        <v>8</v>
      </c>
      <c r="B12749" s="1" t="str">
        <f>"S5D04T60"</f>
        <v>S5D04T60</v>
      </c>
      <c r="C12749" t="s">
        <v>5805</v>
      </c>
      <c r="D12749" s="1" t="str">
        <f t="shared" si="348"/>
        <v>PRG-1038695</v>
      </c>
      <c r="E12749" t="s">
        <v>19</v>
      </c>
      <c r="F12749" t="s">
        <v>5</v>
      </c>
      <c r="G12749" t="str">
        <f>""</f>
        <v/>
      </c>
    </row>
    <row r="12750" spans="1:7" x14ac:dyDescent="0.25">
      <c r="A12750" t="s">
        <v>8</v>
      </c>
      <c r="B12750" s="1" t="str">
        <f>"S5D04W80"</f>
        <v>S5D04W80</v>
      </c>
      <c r="C12750" t="s">
        <v>5806</v>
      </c>
      <c r="D12750" s="1" t="str">
        <f t="shared" si="348"/>
        <v>PRG-1038695</v>
      </c>
      <c r="E12750" t="s">
        <v>19</v>
      </c>
      <c r="F12750" t="s">
        <v>5</v>
      </c>
      <c r="G12750" t="str">
        <f>""</f>
        <v/>
      </c>
    </row>
    <row r="12751" spans="1:7" x14ac:dyDescent="0.25">
      <c r="A12751" t="s">
        <v>8</v>
      </c>
      <c r="B12751" s="1" t="str">
        <f>"S5G00P50"</f>
        <v>S5G00P50</v>
      </c>
      <c r="C12751" t="s">
        <v>5828</v>
      </c>
      <c r="D12751" s="1" t="str">
        <f t="shared" si="348"/>
        <v>PRG-1038695</v>
      </c>
      <c r="E12751" t="s">
        <v>19</v>
      </c>
      <c r="F12751" t="s">
        <v>5</v>
      </c>
      <c r="G12751" t="str">
        <f>""</f>
        <v/>
      </c>
    </row>
    <row r="12752" spans="1:7" x14ac:dyDescent="0.25">
      <c r="A12752" t="s">
        <v>8</v>
      </c>
      <c r="B12752" s="1" t="str">
        <f>"S5G013K0"</f>
        <v>S5G013K0</v>
      </c>
      <c r="C12752" t="s">
        <v>5832</v>
      </c>
      <c r="D12752" s="1" t="str">
        <f t="shared" si="348"/>
        <v>PRG-1038695</v>
      </c>
      <c r="E12752" t="s">
        <v>19</v>
      </c>
      <c r="F12752" t="s">
        <v>5</v>
      </c>
      <c r="G12752" t="str">
        <f>""</f>
        <v/>
      </c>
    </row>
    <row r="12753" spans="1:7" x14ac:dyDescent="0.25">
      <c r="A12753" t="s">
        <v>8</v>
      </c>
      <c r="B12753" s="1" t="str">
        <f>"S5G016D0"</f>
        <v>S5G016D0</v>
      </c>
      <c r="C12753" t="s">
        <v>5833</v>
      </c>
      <c r="D12753" s="1" t="str">
        <f t="shared" si="348"/>
        <v>PRG-1038695</v>
      </c>
      <c r="E12753" t="s">
        <v>19</v>
      </c>
      <c r="F12753" t="s">
        <v>5</v>
      </c>
      <c r="G12753" t="str">
        <f>""</f>
        <v/>
      </c>
    </row>
    <row r="12754" spans="1:7" x14ac:dyDescent="0.25">
      <c r="A12754" t="s">
        <v>8</v>
      </c>
      <c r="B12754" s="1" t="str">
        <f>"S5G01BX0"</f>
        <v>S5G01BX0</v>
      </c>
      <c r="C12754" t="s">
        <v>5834</v>
      </c>
      <c r="D12754" s="1" t="str">
        <f t="shared" si="348"/>
        <v>PRG-1038695</v>
      </c>
      <c r="E12754" t="s">
        <v>19</v>
      </c>
      <c r="F12754" t="s">
        <v>5</v>
      </c>
      <c r="G12754" t="str">
        <f>""</f>
        <v/>
      </c>
    </row>
    <row r="12755" spans="1:7" x14ac:dyDescent="0.25">
      <c r="A12755" t="s">
        <v>8</v>
      </c>
      <c r="B12755" s="1" t="str">
        <f>"S5G01HA0"</f>
        <v>S5G01HA0</v>
      </c>
      <c r="C12755" t="s">
        <v>5835</v>
      </c>
      <c r="D12755" s="1" t="str">
        <f t="shared" si="348"/>
        <v>PRG-1038695</v>
      </c>
      <c r="E12755" t="s">
        <v>19</v>
      </c>
      <c r="F12755" t="s">
        <v>5</v>
      </c>
      <c r="G12755" t="str">
        <f>""</f>
        <v/>
      </c>
    </row>
    <row r="12756" spans="1:7" x14ac:dyDescent="0.25">
      <c r="A12756" t="s">
        <v>8</v>
      </c>
      <c r="B12756" s="1" t="str">
        <f>"S5I00AR0"</f>
        <v>S5I00AR0</v>
      </c>
      <c r="C12756" t="s">
        <v>5837</v>
      </c>
      <c r="D12756" s="1" t="str">
        <f t="shared" si="348"/>
        <v>PRG-1038695</v>
      </c>
      <c r="E12756" t="s">
        <v>19</v>
      </c>
      <c r="F12756" t="s">
        <v>5</v>
      </c>
      <c r="G12756" t="str">
        <f>""</f>
        <v/>
      </c>
    </row>
    <row r="12757" spans="1:7" x14ac:dyDescent="0.25">
      <c r="A12757" t="s">
        <v>8</v>
      </c>
      <c r="B12757" s="1" t="str">
        <f>"S5Y00E00"</f>
        <v>S5Y00E00</v>
      </c>
      <c r="C12757" t="s">
        <v>5938</v>
      </c>
      <c r="D12757" s="1" t="str">
        <f t="shared" si="348"/>
        <v>PRG-1038695</v>
      </c>
      <c r="E12757" t="s">
        <v>19</v>
      </c>
      <c r="F12757" t="s">
        <v>5</v>
      </c>
      <c r="G12757" t="str">
        <f>""</f>
        <v/>
      </c>
    </row>
    <row r="12758" spans="1:7" x14ac:dyDescent="0.25">
      <c r="A12758" t="s">
        <v>8</v>
      </c>
      <c r="B12758" s="1" t="str">
        <f>"S6B01VC0"</f>
        <v>S6B01VC0</v>
      </c>
      <c r="C12758" t="s">
        <v>5993</v>
      </c>
      <c r="D12758" s="1" t="str">
        <f t="shared" si="348"/>
        <v>PRG-1038695</v>
      </c>
      <c r="E12758" t="s">
        <v>19</v>
      </c>
      <c r="F12758" t="s">
        <v>5</v>
      </c>
      <c r="G12758" t="str">
        <f>""</f>
        <v/>
      </c>
    </row>
    <row r="12759" spans="1:7" x14ac:dyDescent="0.25">
      <c r="A12759" t="s">
        <v>8</v>
      </c>
      <c r="B12759" s="1" t="str">
        <f>"S6B02520"</f>
        <v>S6B02520</v>
      </c>
      <c r="C12759" t="s">
        <v>5995</v>
      </c>
      <c r="D12759" s="1" t="str">
        <f t="shared" si="348"/>
        <v>PRG-1038695</v>
      </c>
      <c r="E12759" t="s">
        <v>19</v>
      </c>
      <c r="F12759" t="s">
        <v>5</v>
      </c>
      <c r="G12759" t="str">
        <f>""</f>
        <v/>
      </c>
    </row>
    <row r="12760" spans="1:7" x14ac:dyDescent="0.25">
      <c r="A12760" t="s">
        <v>8</v>
      </c>
      <c r="B12760" s="1" t="str">
        <f>"S6B02J60"</f>
        <v>S6B02J60</v>
      </c>
      <c r="C12760" t="s">
        <v>5997</v>
      </c>
      <c r="D12760" s="1" t="str">
        <f t="shared" si="348"/>
        <v>PRG-1038695</v>
      </c>
      <c r="E12760" t="s">
        <v>19</v>
      </c>
      <c r="F12760" t="s">
        <v>5</v>
      </c>
      <c r="G12760" t="str">
        <f>""</f>
        <v/>
      </c>
    </row>
    <row r="12761" spans="1:7" x14ac:dyDescent="0.25">
      <c r="A12761" t="s">
        <v>8</v>
      </c>
      <c r="B12761" s="1" t="str">
        <f>"S6B02WN0"</f>
        <v>S6B02WN0</v>
      </c>
      <c r="C12761" t="s">
        <v>6000</v>
      </c>
      <c r="D12761" s="1" t="str">
        <f t="shared" si="348"/>
        <v>PRG-1038695</v>
      </c>
      <c r="E12761" t="s">
        <v>19</v>
      </c>
      <c r="F12761" t="s">
        <v>5</v>
      </c>
      <c r="G12761" t="str">
        <f>""</f>
        <v/>
      </c>
    </row>
    <row r="12762" spans="1:7" x14ac:dyDescent="0.25">
      <c r="A12762" t="s">
        <v>8</v>
      </c>
      <c r="B12762" s="1" t="str">
        <f>"S6B03CQ0"</f>
        <v>S6B03CQ0</v>
      </c>
      <c r="C12762" t="s">
        <v>6004</v>
      </c>
      <c r="D12762" s="1" t="str">
        <f t="shared" si="348"/>
        <v>PRG-1038695</v>
      </c>
      <c r="E12762" t="s">
        <v>19</v>
      </c>
      <c r="F12762" t="s">
        <v>5</v>
      </c>
      <c r="G12762" t="str">
        <f>""</f>
        <v/>
      </c>
    </row>
    <row r="12763" spans="1:7" x14ac:dyDescent="0.25">
      <c r="A12763" t="s">
        <v>8</v>
      </c>
      <c r="B12763" s="1" t="str">
        <f>"S6B048I0"</f>
        <v>S6B048I0</v>
      </c>
      <c r="C12763" t="s">
        <v>6015</v>
      </c>
      <c r="D12763" s="1" t="str">
        <f t="shared" si="348"/>
        <v>PRG-1038695</v>
      </c>
      <c r="E12763" t="s">
        <v>19</v>
      </c>
      <c r="F12763" t="s">
        <v>5</v>
      </c>
      <c r="G12763" t="str">
        <f>""</f>
        <v/>
      </c>
    </row>
    <row r="12764" spans="1:7" x14ac:dyDescent="0.25">
      <c r="A12764" t="s">
        <v>8</v>
      </c>
      <c r="B12764" s="1" t="str">
        <f>"S6D002Y0"</f>
        <v>S6D002Y0</v>
      </c>
      <c r="C12764" t="s">
        <v>6020</v>
      </c>
      <c r="D12764" s="1" t="str">
        <f t="shared" si="348"/>
        <v>PRG-1038695</v>
      </c>
      <c r="E12764" t="s">
        <v>19</v>
      </c>
      <c r="F12764" t="s">
        <v>5</v>
      </c>
      <c r="G12764" t="str">
        <f>""</f>
        <v/>
      </c>
    </row>
    <row r="12765" spans="1:7" x14ac:dyDescent="0.25">
      <c r="A12765" t="s">
        <v>8</v>
      </c>
      <c r="B12765" s="1" t="str">
        <f>"S6D00CH0"</f>
        <v>S6D00CH0</v>
      </c>
      <c r="C12765" t="s">
        <v>6031</v>
      </c>
      <c r="D12765" s="1" t="str">
        <f t="shared" si="348"/>
        <v>PRG-1038695</v>
      </c>
      <c r="E12765" t="s">
        <v>19</v>
      </c>
      <c r="F12765" t="s">
        <v>5</v>
      </c>
      <c r="G12765" t="str">
        <f>""</f>
        <v/>
      </c>
    </row>
    <row r="12766" spans="1:7" x14ac:dyDescent="0.25">
      <c r="A12766" t="s">
        <v>8</v>
      </c>
      <c r="B12766" s="1" t="str">
        <f>"S6D00FB0"</f>
        <v>S6D00FB0</v>
      </c>
      <c r="C12766" t="s">
        <v>6034</v>
      </c>
      <c r="D12766" s="1" t="str">
        <f t="shared" ref="D12766:D12784" si="349">"PRG-1038695"</f>
        <v>PRG-1038695</v>
      </c>
      <c r="E12766" t="s">
        <v>19</v>
      </c>
      <c r="F12766" t="s">
        <v>5</v>
      </c>
      <c r="G12766" t="str">
        <f>""</f>
        <v/>
      </c>
    </row>
    <row r="12767" spans="1:7" x14ac:dyDescent="0.25">
      <c r="A12767" t="s">
        <v>8</v>
      </c>
      <c r="B12767" s="1" t="str">
        <f>"S6D00K90"</f>
        <v>S6D00K90</v>
      </c>
      <c r="C12767" t="s">
        <v>6037</v>
      </c>
      <c r="D12767" s="1" t="str">
        <f t="shared" si="349"/>
        <v>PRG-1038695</v>
      </c>
      <c r="E12767" t="s">
        <v>19</v>
      </c>
      <c r="F12767" t="s">
        <v>5</v>
      </c>
      <c r="G12767" t="str">
        <f>""</f>
        <v/>
      </c>
    </row>
    <row r="12768" spans="1:7" x14ac:dyDescent="0.25">
      <c r="A12768" t="s">
        <v>8</v>
      </c>
      <c r="B12768" s="1" t="str">
        <f>"S6I011U0"</f>
        <v>S6I011U0</v>
      </c>
      <c r="C12768" t="s">
        <v>6088</v>
      </c>
      <c r="D12768" s="1" t="str">
        <f t="shared" si="349"/>
        <v>PRG-1038695</v>
      </c>
      <c r="E12768" t="s">
        <v>19</v>
      </c>
      <c r="F12768" t="s">
        <v>5</v>
      </c>
      <c r="G12768" t="str">
        <f>""</f>
        <v/>
      </c>
    </row>
    <row r="12769" spans="1:7" x14ac:dyDescent="0.25">
      <c r="A12769" t="s">
        <v>8</v>
      </c>
      <c r="B12769" s="1" t="str">
        <f>"S6J017K0"</f>
        <v>S6J017K0</v>
      </c>
      <c r="C12769" t="s">
        <v>6112</v>
      </c>
      <c r="D12769" s="1" t="str">
        <f t="shared" si="349"/>
        <v>PRG-1038695</v>
      </c>
      <c r="E12769" t="s">
        <v>19</v>
      </c>
      <c r="F12769" t="s">
        <v>5</v>
      </c>
      <c r="G12769" t="str">
        <f>""</f>
        <v/>
      </c>
    </row>
    <row r="12770" spans="1:7" x14ac:dyDescent="0.25">
      <c r="A12770" t="s">
        <v>8</v>
      </c>
      <c r="B12770" s="1" t="str">
        <f>"S6J03NC0"</f>
        <v>S6J03NC0</v>
      </c>
      <c r="C12770" t="s">
        <v>6126</v>
      </c>
      <c r="D12770" s="1" t="str">
        <f t="shared" si="349"/>
        <v>PRG-1038695</v>
      </c>
      <c r="E12770" t="s">
        <v>19</v>
      </c>
      <c r="F12770" t="s">
        <v>5</v>
      </c>
      <c r="G12770" t="str">
        <f>""</f>
        <v/>
      </c>
    </row>
    <row r="12771" spans="1:7" x14ac:dyDescent="0.25">
      <c r="A12771" t="s">
        <v>8</v>
      </c>
      <c r="B12771" s="1" t="str">
        <f>"S6J04RW0"</f>
        <v>S6J04RW0</v>
      </c>
      <c r="C12771" t="s">
        <v>6149</v>
      </c>
      <c r="D12771" s="1" t="str">
        <f t="shared" si="349"/>
        <v>PRG-1038695</v>
      </c>
      <c r="E12771" t="s">
        <v>19</v>
      </c>
      <c r="F12771" t="s">
        <v>5</v>
      </c>
      <c r="G12771" t="str">
        <f>""</f>
        <v/>
      </c>
    </row>
    <row r="12772" spans="1:7" x14ac:dyDescent="0.25">
      <c r="A12772" t="s">
        <v>8</v>
      </c>
      <c r="B12772" s="1" t="str">
        <f>"S6J064S0"</f>
        <v>S6J064S0</v>
      </c>
      <c r="C12772" t="s">
        <v>6167</v>
      </c>
      <c r="D12772" s="1" t="str">
        <f t="shared" si="349"/>
        <v>PRG-1038695</v>
      </c>
      <c r="E12772" t="s">
        <v>19</v>
      </c>
      <c r="F12772" t="s">
        <v>5</v>
      </c>
      <c r="G12772" t="str">
        <f>""</f>
        <v/>
      </c>
    </row>
    <row r="12773" spans="1:7" x14ac:dyDescent="0.25">
      <c r="A12773" t="s">
        <v>8</v>
      </c>
      <c r="B12773" s="1" t="str">
        <f>"S6J067S0"</f>
        <v>S6J067S0</v>
      </c>
      <c r="C12773" t="s">
        <v>6168</v>
      </c>
      <c r="D12773" s="1" t="str">
        <f t="shared" si="349"/>
        <v>PRG-1038695</v>
      </c>
      <c r="E12773" t="s">
        <v>19</v>
      </c>
      <c r="F12773" t="s">
        <v>5</v>
      </c>
      <c r="G12773" t="str">
        <f>""</f>
        <v/>
      </c>
    </row>
    <row r="12774" spans="1:7" x14ac:dyDescent="0.25">
      <c r="A12774" t="s">
        <v>8</v>
      </c>
      <c r="B12774" s="1" t="str">
        <f>"S6J07600"</f>
        <v>S6J07600</v>
      </c>
      <c r="C12774" t="s">
        <v>6172</v>
      </c>
      <c r="D12774" s="1" t="str">
        <f t="shared" si="349"/>
        <v>PRG-1038695</v>
      </c>
      <c r="E12774" t="s">
        <v>19</v>
      </c>
      <c r="F12774" t="s">
        <v>5</v>
      </c>
      <c r="G12774" t="str">
        <f>""</f>
        <v/>
      </c>
    </row>
    <row r="12775" spans="1:7" x14ac:dyDescent="0.25">
      <c r="A12775" t="s">
        <v>8</v>
      </c>
      <c r="B12775" s="1" t="str">
        <f>"S6J07GN0"</f>
        <v>S6J07GN0</v>
      </c>
      <c r="C12775" t="s">
        <v>6174</v>
      </c>
      <c r="D12775" s="1" t="str">
        <f t="shared" si="349"/>
        <v>PRG-1038695</v>
      </c>
      <c r="E12775" t="s">
        <v>19</v>
      </c>
      <c r="F12775" t="s">
        <v>5</v>
      </c>
      <c r="G12775" t="str">
        <f>""</f>
        <v/>
      </c>
    </row>
    <row r="12776" spans="1:7" x14ac:dyDescent="0.25">
      <c r="A12776" t="s">
        <v>8</v>
      </c>
      <c r="B12776" s="1" t="str">
        <f>"S6J08Y60"</f>
        <v>S6J08Y60</v>
      </c>
      <c r="C12776" t="s">
        <v>6178</v>
      </c>
      <c r="D12776" s="1" t="str">
        <f t="shared" si="349"/>
        <v>PRG-1038695</v>
      </c>
      <c r="E12776" t="s">
        <v>19</v>
      </c>
      <c r="F12776" t="s">
        <v>5</v>
      </c>
      <c r="G12776" t="str">
        <f>""</f>
        <v/>
      </c>
    </row>
    <row r="12777" spans="1:7" x14ac:dyDescent="0.25">
      <c r="A12777" t="s">
        <v>8</v>
      </c>
      <c r="B12777" s="1" t="str">
        <f>"S6J09CZ0"</f>
        <v>S6J09CZ0</v>
      </c>
      <c r="C12777" t="s">
        <v>6180</v>
      </c>
      <c r="D12777" s="1" t="str">
        <f t="shared" si="349"/>
        <v>PRG-1038695</v>
      </c>
      <c r="E12777" t="s">
        <v>19</v>
      </c>
      <c r="F12777" t="s">
        <v>5</v>
      </c>
      <c r="G12777" t="str">
        <f>""</f>
        <v/>
      </c>
    </row>
    <row r="12778" spans="1:7" x14ac:dyDescent="0.25">
      <c r="A12778" t="s">
        <v>8</v>
      </c>
      <c r="B12778" s="1" t="str">
        <f>"S6J0A750"</f>
        <v>S6J0A750</v>
      </c>
      <c r="C12778" t="s">
        <v>6184</v>
      </c>
      <c r="D12778" s="1" t="str">
        <f t="shared" si="349"/>
        <v>PRG-1038695</v>
      </c>
      <c r="E12778" t="s">
        <v>19</v>
      </c>
      <c r="F12778" t="s">
        <v>5</v>
      </c>
      <c r="G12778" t="str">
        <f>""</f>
        <v/>
      </c>
    </row>
    <row r="12779" spans="1:7" x14ac:dyDescent="0.25">
      <c r="A12779" t="s">
        <v>8</v>
      </c>
      <c r="B12779" s="1" t="str">
        <f>"S6J0C190"</f>
        <v>S6J0C190</v>
      </c>
      <c r="C12779" t="s">
        <v>6187</v>
      </c>
      <c r="D12779" s="1" t="str">
        <f t="shared" si="349"/>
        <v>PRG-1038695</v>
      </c>
      <c r="E12779" t="s">
        <v>19</v>
      </c>
      <c r="F12779" t="s">
        <v>5</v>
      </c>
      <c r="G12779" t="str">
        <f>""</f>
        <v/>
      </c>
    </row>
    <row r="12780" spans="1:7" x14ac:dyDescent="0.25">
      <c r="A12780" t="s">
        <v>8</v>
      </c>
      <c r="B12780" s="1" t="str">
        <f>"S6J0CSE0"</f>
        <v>S6J0CSE0</v>
      </c>
      <c r="C12780" t="s">
        <v>6188</v>
      </c>
      <c r="D12780" s="1" t="str">
        <f t="shared" si="349"/>
        <v>PRG-1038695</v>
      </c>
      <c r="E12780" t="s">
        <v>19</v>
      </c>
      <c r="F12780" t="s">
        <v>5</v>
      </c>
      <c r="G12780" t="str">
        <f>""</f>
        <v/>
      </c>
    </row>
    <row r="12781" spans="1:7" x14ac:dyDescent="0.25">
      <c r="A12781" t="s">
        <v>8</v>
      </c>
      <c r="B12781" s="1" t="str">
        <f>"S6J0D3M0"</f>
        <v>S6J0D3M0</v>
      </c>
      <c r="C12781" t="s">
        <v>6190</v>
      </c>
      <c r="D12781" s="1" t="str">
        <f t="shared" si="349"/>
        <v>PRG-1038695</v>
      </c>
      <c r="E12781" t="s">
        <v>19</v>
      </c>
      <c r="F12781" t="s">
        <v>5</v>
      </c>
      <c r="G12781" t="str">
        <f>""</f>
        <v/>
      </c>
    </row>
    <row r="12782" spans="1:7" x14ac:dyDescent="0.25">
      <c r="A12782" t="s">
        <v>8</v>
      </c>
      <c r="B12782" s="1" t="str">
        <f>"S9U01RM0"</f>
        <v>S9U01RM0</v>
      </c>
      <c r="C12782" t="s">
        <v>6382</v>
      </c>
      <c r="D12782" s="1" t="str">
        <f t="shared" si="349"/>
        <v>PRG-1038695</v>
      </c>
      <c r="E12782" t="s">
        <v>19</v>
      </c>
      <c r="F12782" t="s">
        <v>5</v>
      </c>
      <c r="G12782" t="str">
        <f>""</f>
        <v/>
      </c>
    </row>
    <row r="12783" spans="1:7" x14ac:dyDescent="0.25">
      <c r="A12783" t="s">
        <v>8</v>
      </c>
      <c r="B12783" s="1" t="str">
        <f>"T4C0001Z"</f>
        <v>T4C0001Z</v>
      </c>
      <c r="C12783" t="s">
        <v>6430</v>
      </c>
      <c r="D12783" s="1" t="str">
        <f t="shared" si="349"/>
        <v>PRG-1038695</v>
      </c>
      <c r="E12783" t="s">
        <v>19</v>
      </c>
      <c r="F12783" t="s">
        <v>5</v>
      </c>
      <c r="G12783" t="str">
        <f>""</f>
        <v/>
      </c>
    </row>
    <row r="12784" spans="1:7" x14ac:dyDescent="0.25">
      <c r="A12784" t="s">
        <v>8</v>
      </c>
      <c r="B12784" s="1" t="str">
        <f>"T4C00027"</f>
        <v>T4C00027</v>
      </c>
      <c r="C12784" t="s">
        <v>6431</v>
      </c>
      <c r="D12784" s="1" t="str">
        <f t="shared" si="349"/>
        <v>PRG-1038695</v>
      </c>
      <c r="E12784" t="s">
        <v>19</v>
      </c>
      <c r="F12784" t="s">
        <v>5</v>
      </c>
      <c r="G12784" t="str">
        <f>""</f>
        <v/>
      </c>
    </row>
    <row r="12785" spans="1:7" x14ac:dyDescent="0.25">
      <c r="A12785" t="s">
        <v>8</v>
      </c>
      <c r="B12785" s="1" t="str">
        <f>"S5O00TQ0"</f>
        <v>S5O00TQ0</v>
      </c>
      <c r="C12785" t="s">
        <v>5922</v>
      </c>
      <c r="D12785" s="1" t="str">
        <f>"PRG-1038726"</f>
        <v>PRG-1038726</v>
      </c>
      <c r="E12785" t="s">
        <v>5923</v>
      </c>
      <c r="F12785" t="s">
        <v>5</v>
      </c>
      <c r="G12785" t="str">
        <f>""</f>
        <v/>
      </c>
    </row>
    <row r="12786" spans="1:7" x14ac:dyDescent="0.25">
      <c r="A12786" t="s">
        <v>8</v>
      </c>
      <c r="B12786" s="1" t="str">
        <f>"000029397 - RICH FOODS BAPA-SSS ARAMARK"</f>
        <v>000029397 - RICH FOODS BAPA-SSS ARAMARK</v>
      </c>
      <c r="C12786" t="s">
        <v>373</v>
      </c>
      <c r="D12786" s="1" t="str">
        <f t="shared" ref="D12786:D12817" si="350">"PRG-1038800"</f>
        <v>PRG-1038800</v>
      </c>
      <c r="E12786" t="s">
        <v>129</v>
      </c>
      <c r="F12786" t="s">
        <v>4</v>
      </c>
      <c r="G12786" t="str">
        <f>""</f>
        <v/>
      </c>
    </row>
    <row r="12787" spans="1:7" x14ac:dyDescent="0.25">
      <c r="A12787" t="s">
        <v>8</v>
      </c>
      <c r="B12787" s="1" t="str">
        <f>"000030840 - RICH FOODS BAPA-SSS ARAMARK"</f>
        <v>000030840 - RICH FOODS BAPA-SSS ARAMARK</v>
      </c>
      <c r="C12787" t="s">
        <v>373</v>
      </c>
      <c r="D12787" s="1" t="str">
        <f t="shared" si="350"/>
        <v>PRG-1038800</v>
      </c>
      <c r="E12787" t="s">
        <v>129</v>
      </c>
      <c r="F12787" t="s">
        <v>4</v>
      </c>
      <c r="G12787" t="str">
        <f>""</f>
        <v/>
      </c>
    </row>
    <row r="12788" spans="1:7" x14ac:dyDescent="0.25">
      <c r="A12788" t="s">
        <v>8</v>
      </c>
      <c r="B12788" s="1" t="str">
        <f>"000033166 - "</f>
        <v xml:space="preserve">000033166 - </v>
      </c>
      <c r="D12788" s="1" t="str">
        <f t="shared" si="350"/>
        <v>PRG-1038800</v>
      </c>
      <c r="E12788" t="s">
        <v>129</v>
      </c>
      <c r="F12788" t="s">
        <v>4</v>
      </c>
      <c r="G12788" t="str">
        <f>""</f>
        <v/>
      </c>
    </row>
    <row r="12789" spans="1:7" x14ac:dyDescent="0.25">
      <c r="A12789" t="s">
        <v>8</v>
      </c>
      <c r="B12789" s="1" t="str">
        <f>"000037730 - RICH FOODS BAPA-SSS ARAMARK"</f>
        <v>000037730 - RICH FOODS BAPA-SSS ARAMARK</v>
      </c>
      <c r="C12789" t="s">
        <v>373</v>
      </c>
      <c r="D12789" s="1" t="str">
        <f t="shared" si="350"/>
        <v>PRG-1038800</v>
      </c>
      <c r="E12789" t="s">
        <v>129</v>
      </c>
      <c r="F12789" t="s">
        <v>4</v>
      </c>
      <c r="G12789" t="str">
        <f>""</f>
        <v/>
      </c>
    </row>
    <row r="12790" spans="1:7" x14ac:dyDescent="0.25">
      <c r="A12790" t="s">
        <v>8</v>
      </c>
      <c r="B12790" s="1" t="str">
        <f>"000037793 - RICH FOODS BAPA-SSS ARAMARK"</f>
        <v>000037793 - RICH FOODS BAPA-SSS ARAMARK</v>
      </c>
      <c r="C12790" t="s">
        <v>373</v>
      </c>
      <c r="D12790" s="1" t="str">
        <f t="shared" si="350"/>
        <v>PRG-1038800</v>
      </c>
      <c r="E12790" t="s">
        <v>129</v>
      </c>
      <c r="F12790" t="s">
        <v>4</v>
      </c>
      <c r="G12790" t="str">
        <f>""</f>
        <v/>
      </c>
    </row>
    <row r="12791" spans="1:7" x14ac:dyDescent="0.25">
      <c r="A12791" t="s">
        <v>8</v>
      </c>
      <c r="B12791" s="1" t="str">
        <f>"000039159 - RICH FOODS BAPA-SSS ARAMARK"</f>
        <v>000039159 - RICH FOODS BAPA-SSS ARAMARK</v>
      </c>
      <c r="C12791" t="s">
        <v>373</v>
      </c>
      <c r="D12791" s="1" t="str">
        <f t="shared" si="350"/>
        <v>PRG-1038800</v>
      </c>
      <c r="E12791" t="s">
        <v>129</v>
      </c>
      <c r="F12791" t="s">
        <v>4</v>
      </c>
      <c r="G12791" t="str">
        <f>""</f>
        <v/>
      </c>
    </row>
    <row r="12792" spans="1:7" x14ac:dyDescent="0.25">
      <c r="A12792" t="s">
        <v>8</v>
      </c>
      <c r="B12792" s="1" t="str">
        <f>"000039913 - RICH FOODS BAPA-SSS ARAMARK"</f>
        <v>000039913 - RICH FOODS BAPA-SSS ARAMARK</v>
      </c>
      <c r="C12792" t="s">
        <v>373</v>
      </c>
      <c r="D12792" s="1" t="str">
        <f t="shared" si="350"/>
        <v>PRG-1038800</v>
      </c>
      <c r="E12792" t="s">
        <v>129</v>
      </c>
      <c r="F12792" t="s">
        <v>4</v>
      </c>
      <c r="G12792" t="str">
        <f>""</f>
        <v/>
      </c>
    </row>
    <row r="12793" spans="1:7" x14ac:dyDescent="0.25">
      <c r="A12793" t="s">
        <v>8</v>
      </c>
      <c r="B12793" s="1" t="str">
        <f>"000070319 - RICH FOODS BAPA-SSS ARAMARK"</f>
        <v>000070319 - RICH FOODS BAPA-SSS ARAMARK</v>
      </c>
      <c r="C12793" t="s">
        <v>373</v>
      </c>
      <c r="D12793" s="1" t="str">
        <f t="shared" si="350"/>
        <v>PRG-1038800</v>
      </c>
      <c r="E12793" t="s">
        <v>129</v>
      </c>
      <c r="F12793" t="s">
        <v>4</v>
      </c>
      <c r="G12793" t="str">
        <f>""</f>
        <v/>
      </c>
    </row>
    <row r="12794" spans="1:7" x14ac:dyDescent="0.25">
      <c r="A12794" t="s">
        <v>8</v>
      </c>
      <c r="B12794" s="1" t="str">
        <f>"000076530 - RICH FOODS BAPA-SSS ARAMARK"</f>
        <v>000076530 - RICH FOODS BAPA-SSS ARAMARK</v>
      </c>
      <c r="C12794" t="s">
        <v>373</v>
      </c>
      <c r="D12794" s="1" t="str">
        <f t="shared" si="350"/>
        <v>PRG-1038800</v>
      </c>
      <c r="E12794" t="s">
        <v>129</v>
      </c>
      <c r="F12794" t="s">
        <v>4</v>
      </c>
      <c r="G12794" t="str">
        <f>""</f>
        <v/>
      </c>
    </row>
    <row r="12795" spans="1:7" x14ac:dyDescent="0.25">
      <c r="A12795" t="s">
        <v>8</v>
      </c>
      <c r="B12795" s="1" t="str">
        <f>"000079652 - RICH FOODS BAPA-SSS ARAMARK"</f>
        <v>000079652 - RICH FOODS BAPA-SSS ARAMARK</v>
      </c>
      <c r="C12795" t="s">
        <v>373</v>
      </c>
      <c r="D12795" s="1" t="str">
        <f t="shared" si="350"/>
        <v>PRG-1038800</v>
      </c>
      <c r="E12795" t="s">
        <v>129</v>
      </c>
      <c r="F12795" t="s">
        <v>4</v>
      </c>
      <c r="G12795" t="str">
        <f>""</f>
        <v/>
      </c>
    </row>
    <row r="12796" spans="1:7" x14ac:dyDescent="0.25">
      <c r="A12796" t="s">
        <v>8</v>
      </c>
      <c r="B12796" s="1" t="str">
        <f>"000081068 - RICH FOODS BAPA-SSS ARAMARK"</f>
        <v>000081068 - RICH FOODS BAPA-SSS ARAMARK</v>
      </c>
      <c r="C12796" t="s">
        <v>373</v>
      </c>
      <c r="D12796" s="1" t="str">
        <f t="shared" si="350"/>
        <v>PRG-1038800</v>
      </c>
      <c r="E12796" t="s">
        <v>129</v>
      </c>
      <c r="F12796" t="s">
        <v>4</v>
      </c>
      <c r="G12796" t="str">
        <f>""</f>
        <v/>
      </c>
    </row>
    <row r="12797" spans="1:7" x14ac:dyDescent="0.25">
      <c r="A12797" t="s">
        <v>8</v>
      </c>
      <c r="B12797" s="1" t="str">
        <f>"000082444 - RICH FOODS BAPA-SSS ARAMARK"</f>
        <v>000082444 - RICH FOODS BAPA-SSS ARAMARK</v>
      </c>
      <c r="C12797" t="s">
        <v>373</v>
      </c>
      <c r="D12797" s="1" t="str">
        <f t="shared" si="350"/>
        <v>PRG-1038800</v>
      </c>
      <c r="E12797" t="s">
        <v>129</v>
      </c>
      <c r="F12797" t="s">
        <v>4</v>
      </c>
      <c r="G12797" t="str">
        <f>""</f>
        <v/>
      </c>
    </row>
    <row r="12798" spans="1:7" x14ac:dyDescent="0.25">
      <c r="A12798" t="s">
        <v>8</v>
      </c>
      <c r="B12798" s="1" t="str">
        <f>"000139343 - RICH FOODS BAPA-SSS ARAMARK"</f>
        <v>000139343 - RICH FOODS BAPA-SSS ARAMARK</v>
      </c>
      <c r="C12798" t="s">
        <v>373</v>
      </c>
      <c r="D12798" s="1" t="str">
        <f t="shared" si="350"/>
        <v>PRG-1038800</v>
      </c>
      <c r="E12798" t="s">
        <v>129</v>
      </c>
      <c r="F12798" t="s">
        <v>4</v>
      </c>
      <c r="G12798" t="str">
        <f>""</f>
        <v/>
      </c>
    </row>
    <row r="12799" spans="1:7" x14ac:dyDescent="0.25">
      <c r="A12799" t="s">
        <v>8</v>
      </c>
      <c r="B12799" s="1" t="str">
        <f>"000141305 - RICH FOODS BAPA-SSS ARAMARK"</f>
        <v>000141305 - RICH FOODS BAPA-SSS ARAMARK</v>
      </c>
      <c r="C12799" t="s">
        <v>373</v>
      </c>
      <c r="D12799" s="1" t="str">
        <f t="shared" si="350"/>
        <v>PRG-1038800</v>
      </c>
      <c r="E12799" t="s">
        <v>129</v>
      </c>
      <c r="F12799" t="s">
        <v>4</v>
      </c>
      <c r="G12799" t="str">
        <f>""</f>
        <v/>
      </c>
    </row>
    <row r="12800" spans="1:7" x14ac:dyDescent="0.25">
      <c r="A12800" t="s">
        <v>8</v>
      </c>
      <c r="B12800" s="1" t="str">
        <f>"000141615 - RICH FOODS BAPA-SSS ARAMARK"</f>
        <v>000141615 - RICH FOODS BAPA-SSS ARAMARK</v>
      </c>
      <c r="C12800" t="s">
        <v>373</v>
      </c>
      <c r="D12800" s="1" t="str">
        <f t="shared" si="350"/>
        <v>PRG-1038800</v>
      </c>
      <c r="E12800" t="s">
        <v>129</v>
      </c>
      <c r="F12800" t="s">
        <v>4</v>
      </c>
      <c r="G12800" t="str">
        <f>""</f>
        <v/>
      </c>
    </row>
    <row r="12801" spans="1:7" x14ac:dyDescent="0.25">
      <c r="A12801" t="s">
        <v>8</v>
      </c>
      <c r="B12801" s="1" t="str">
        <f>"000142907 - RICH FOODS BAPA-SSS ARAMARK"</f>
        <v>000142907 - RICH FOODS BAPA-SSS ARAMARK</v>
      </c>
      <c r="C12801" t="s">
        <v>373</v>
      </c>
      <c r="D12801" s="1" t="str">
        <f t="shared" si="350"/>
        <v>PRG-1038800</v>
      </c>
      <c r="E12801" t="s">
        <v>129</v>
      </c>
      <c r="F12801" t="s">
        <v>4</v>
      </c>
      <c r="G12801" t="str">
        <f>""</f>
        <v/>
      </c>
    </row>
    <row r="12802" spans="1:7" x14ac:dyDescent="0.25">
      <c r="A12802" t="s">
        <v>8</v>
      </c>
      <c r="B12802" s="1" t="str">
        <f>"000144831 - RICH FOODS BAPA-MAIN ARAMARK"</f>
        <v>000144831 - RICH FOODS BAPA-MAIN ARAMARK</v>
      </c>
      <c r="C12802" t="s">
        <v>320</v>
      </c>
      <c r="D12802" s="1" t="str">
        <f t="shared" si="350"/>
        <v>PRG-1038800</v>
      </c>
      <c r="E12802" t="s">
        <v>129</v>
      </c>
      <c r="F12802" t="s">
        <v>4</v>
      </c>
      <c r="G12802" t="str">
        <f>""</f>
        <v/>
      </c>
    </row>
    <row r="12803" spans="1:7" x14ac:dyDescent="0.25">
      <c r="A12803" t="s">
        <v>8</v>
      </c>
      <c r="B12803" s="1" t="str">
        <f>"000145729 - RICH FOODS BAPA-SSS ARAMARK"</f>
        <v>000145729 - RICH FOODS BAPA-SSS ARAMARK</v>
      </c>
      <c r="C12803" t="s">
        <v>373</v>
      </c>
      <c r="D12803" s="1" t="str">
        <f t="shared" si="350"/>
        <v>PRG-1038800</v>
      </c>
      <c r="E12803" t="s">
        <v>129</v>
      </c>
      <c r="F12803" t="s">
        <v>4</v>
      </c>
      <c r="G12803" t="str">
        <f>""</f>
        <v/>
      </c>
    </row>
    <row r="12804" spans="1:7" x14ac:dyDescent="0.25">
      <c r="A12804" t="s">
        <v>8</v>
      </c>
      <c r="B12804" s="1" t="str">
        <f>"000147627 - RICH FOODS BAPA-SSS ARAMARK"</f>
        <v>000147627 - RICH FOODS BAPA-SSS ARAMARK</v>
      </c>
      <c r="C12804" t="s">
        <v>373</v>
      </c>
      <c r="D12804" s="1" t="str">
        <f t="shared" si="350"/>
        <v>PRG-1038800</v>
      </c>
      <c r="E12804" t="s">
        <v>129</v>
      </c>
      <c r="F12804" t="s">
        <v>4</v>
      </c>
      <c r="G12804" t="str">
        <f>""</f>
        <v/>
      </c>
    </row>
    <row r="12805" spans="1:7" x14ac:dyDescent="0.25">
      <c r="A12805" t="s">
        <v>8</v>
      </c>
      <c r="B12805" s="1" t="str">
        <f>"000150880 - RICH FOODS BAPA-SSS ARAMARK"</f>
        <v>000150880 - RICH FOODS BAPA-SSS ARAMARK</v>
      </c>
      <c r="C12805" t="s">
        <v>373</v>
      </c>
      <c r="D12805" s="1" t="str">
        <f t="shared" si="350"/>
        <v>PRG-1038800</v>
      </c>
      <c r="E12805" t="s">
        <v>129</v>
      </c>
      <c r="F12805" t="s">
        <v>4</v>
      </c>
      <c r="G12805" t="str">
        <f>""</f>
        <v/>
      </c>
    </row>
    <row r="12806" spans="1:7" x14ac:dyDescent="0.25">
      <c r="A12806" t="s">
        <v>8</v>
      </c>
      <c r="B12806" s="1" t="str">
        <f>"000151880 - RICH FOODS BAPA-SSS ARAMARK"</f>
        <v>000151880 - RICH FOODS BAPA-SSS ARAMARK</v>
      </c>
      <c r="C12806" t="s">
        <v>373</v>
      </c>
      <c r="D12806" s="1" t="str">
        <f t="shared" si="350"/>
        <v>PRG-1038800</v>
      </c>
      <c r="E12806" t="s">
        <v>129</v>
      </c>
      <c r="F12806" t="s">
        <v>4</v>
      </c>
      <c r="G12806" t="str">
        <f>""</f>
        <v/>
      </c>
    </row>
    <row r="12807" spans="1:7" x14ac:dyDescent="0.25">
      <c r="A12807" t="s">
        <v>8</v>
      </c>
      <c r="B12807" s="1" t="str">
        <f>"000152158 - RICH FOODS BAPA-SSS ARAMARK"</f>
        <v>000152158 - RICH FOODS BAPA-SSS ARAMARK</v>
      </c>
      <c r="C12807" t="s">
        <v>373</v>
      </c>
      <c r="D12807" s="1" t="str">
        <f t="shared" si="350"/>
        <v>PRG-1038800</v>
      </c>
      <c r="E12807" t="s">
        <v>129</v>
      </c>
      <c r="F12807" t="s">
        <v>4</v>
      </c>
      <c r="G12807" t="str">
        <f>""</f>
        <v/>
      </c>
    </row>
    <row r="12808" spans="1:7" x14ac:dyDescent="0.25">
      <c r="A12808" t="s">
        <v>8</v>
      </c>
      <c r="B12808" s="1" t="str">
        <f>"000153235 - RICH FOODS BAPA-SSS ARAMARK"</f>
        <v>000153235 - RICH FOODS BAPA-SSS ARAMARK</v>
      </c>
      <c r="C12808" t="s">
        <v>373</v>
      </c>
      <c r="D12808" s="1" t="str">
        <f t="shared" si="350"/>
        <v>PRG-1038800</v>
      </c>
      <c r="E12808" t="s">
        <v>129</v>
      </c>
      <c r="F12808" t="s">
        <v>4</v>
      </c>
      <c r="G12808" t="str">
        <f>""</f>
        <v/>
      </c>
    </row>
    <row r="12809" spans="1:7" x14ac:dyDescent="0.25">
      <c r="A12809" t="s">
        <v>8</v>
      </c>
      <c r="B12809" s="1" t="str">
        <f>"000160834 - RICH FOODS BAPA-SSS ARAMARK"</f>
        <v>000160834 - RICH FOODS BAPA-SSS ARAMARK</v>
      </c>
      <c r="C12809" t="s">
        <v>373</v>
      </c>
      <c r="D12809" s="1" t="str">
        <f t="shared" si="350"/>
        <v>PRG-1038800</v>
      </c>
      <c r="E12809" t="s">
        <v>129</v>
      </c>
      <c r="F12809" t="s">
        <v>4</v>
      </c>
      <c r="G12809" t="str">
        <f>""</f>
        <v/>
      </c>
    </row>
    <row r="12810" spans="1:7" x14ac:dyDescent="0.25">
      <c r="A12810" t="s">
        <v>8</v>
      </c>
      <c r="B12810" s="1" t="str">
        <f>"000163236 - RICH FOODS BAPA-SSS ARAMARK"</f>
        <v>000163236 - RICH FOODS BAPA-SSS ARAMARK</v>
      </c>
      <c r="C12810" t="s">
        <v>373</v>
      </c>
      <c r="D12810" s="1" t="str">
        <f t="shared" si="350"/>
        <v>PRG-1038800</v>
      </c>
      <c r="E12810" t="s">
        <v>129</v>
      </c>
      <c r="F12810" t="s">
        <v>4</v>
      </c>
      <c r="G12810" t="str">
        <f>""</f>
        <v/>
      </c>
    </row>
    <row r="12811" spans="1:7" x14ac:dyDescent="0.25">
      <c r="A12811" t="s">
        <v>8</v>
      </c>
      <c r="B12811" s="1" t="str">
        <f>"000173996 - RICH FOODS BAPA-SSS ARAMARK"</f>
        <v>000173996 - RICH FOODS BAPA-SSS ARAMARK</v>
      </c>
      <c r="C12811" t="s">
        <v>373</v>
      </c>
      <c r="D12811" s="1" t="str">
        <f t="shared" si="350"/>
        <v>PRG-1038800</v>
      </c>
      <c r="E12811" t="s">
        <v>129</v>
      </c>
      <c r="F12811" t="s">
        <v>4</v>
      </c>
      <c r="G12811" t="str">
        <f>""</f>
        <v/>
      </c>
    </row>
    <row r="12812" spans="1:7" x14ac:dyDescent="0.25">
      <c r="A12812" t="s">
        <v>8</v>
      </c>
      <c r="B12812" s="1" t="str">
        <f>"000175446 - RICH FOODS BAPA-SSS ARAMARK"</f>
        <v>000175446 - RICH FOODS BAPA-SSS ARAMARK</v>
      </c>
      <c r="C12812" t="s">
        <v>373</v>
      </c>
      <c r="D12812" s="1" t="str">
        <f t="shared" si="350"/>
        <v>PRG-1038800</v>
      </c>
      <c r="E12812" t="s">
        <v>129</v>
      </c>
      <c r="F12812" t="s">
        <v>4</v>
      </c>
      <c r="G12812" t="str">
        <f>""</f>
        <v/>
      </c>
    </row>
    <row r="12813" spans="1:7" x14ac:dyDescent="0.25">
      <c r="A12813" t="s">
        <v>8</v>
      </c>
      <c r="B12813" s="1" t="str">
        <f>"000229727 - RICH FOODS BAPA-SSS ARAMARK"</f>
        <v>000229727 - RICH FOODS BAPA-SSS ARAMARK</v>
      </c>
      <c r="C12813" t="s">
        <v>373</v>
      </c>
      <c r="D12813" s="1" t="str">
        <f t="shared" si="350"/>
        <v>PRG-1038800</v>
      </c>
      <c r="E12813" t="s">
        <v>129</v>
      </c>
      <c r="F12813" t="s">
        <v>4</v>
      </c>
      <c r="G12813" t="str">
        <f>""</f>
        <v/>
      </c>
    </row>
    <row r="12814" spans="1:7" x14ac:dyDescent="0.25">
      <c r="A12814" t="s">
        <v>8</v>
      </c>
      <c r="B12814" s="1" t="str">
        <f>"000231958 - RICH FOODS BAPA-SSS ARAMARK"</f>
        <v>000231958 - RICH FOODS BAPA-SSS ARAMARK</v>
      </c>
      <c r="C12814" t="s">
        <v>373</v>
      </c>
      <c r="D12814" s="1" t="str">
        <f t="shared" si="350"/>
        <v>PRG-1038800</v>
      </c>
      <c r="E12814" t="s">
        <v>129</v>
      </c>
      <c r="F12814" t="s">
        <v>4</v>
      </c>
      <c r="G12814" t="str">
        <f>""</f>
        <v/>
      </c>
    </row>
    <row r="12815" spans="1:7" x14ac:dyDescent="0.25">
      <c r="A12815" t="s">
        <v>8</v>
      </c>
      <c r="B12815" s="1" t="str">
        <f>"000235231 - RICH FDS CORE BB-ARA EX-SSS"</f>
        <v>000235231 - RICH FDS CORE BB-ARA EX-SSS</v>
      </c>
      <c r="C12815" t="s">
        <v>618</v>
      </c>
      <c r="D12815" s="1" t="str">
        <f t="shared" si="350"/>
        <v>PRG-1038800</v>
      </c>
      <c r="E12815" t="s">
        <v>129</v>
      </c>
      <c r="F12815" t="s">
        <v>4</v>
      </c>
      <c r="G12815" t="str">
        <f>""</f>
        <v/>
      </c>
    </row>
    <row r="12816" spans="1:7" x14ac:dyDescent="0.25">
      <c r="A12816" t="s">
        <v>8</v>
      </c>
      <c r="B12816" s="1" t="str">
        <f>"000238742 - RICH FOODS-SSS ARAMARK"</f>
        <v>000238742 - RICH FOODS-SSS ARAMARK</v>
      </c>
      <c r="C12816" t="s">
        <v>128</v>
      </c>
      <c r="D12816" s="1" t="str">
        <f t="shared" si="350"/>
        <v>PRG-1038800</v>
      </c>
      <c r="E12816" t="s">
        <v>129</v>
      </c>
      <c r="F12816" t="s">
        <v>4</v>
      </c>
      <c r="G12816" t="str">
        <f>""</f>
        <v/>
      </c>
    </row>
    <row r="12817" spans="1:7" x14ac:dyDescent="0.25">
      <c r="A12817" t="s">
        <v>8</v>
      </c>
      <c r="B12817" s="1" t="str">
        <f>"000243035 - RICH FOODS BAPA-SSS ARAMARK"</f>
        <v>000243035 - RICH FOODS BAPA-SSS ARAMARK</v>
      </c>
      <c r="C12817" t="s">
        <v>373</v>
      </c>
      <c r="D12817" s="1" t="str">
        <f t="shared" si="350"/>
        <v>PRG-1038800</v>
      </c>
      <c r="E12817" t="s">
        <v>129</v>
      </c>
      <c r="F12817" t="s">
        <v>4</v>
      </c>
      <c r="G12817" t="str">
        <f>""</f>
        <v/>
      </c>
    </row>
    <row r="12818" spans="1:7" x14ac:dyDescent="0.25">
      <c r="A12818" t="s">
        <v>8</v>
      </c>
      <c r="B12818" s="1" t="str">
        <f>"000244210 - RICH FOODS BAPA-SSS ARAMARK"</f>
        <v>000244210 - RICH FOODS BAPA-SSS ARAMARK</v>
      </c>
      <c r="C12818" t="s">
        <v>373</v>
      </c>
      <c r="D12818" s="1" t="str">
        <f t="shared" ref="D12818:D12849" si="351">"PRG-1038800"</f>
        <v>PRG-1038800</v>
      </c>
      <c r="E12818" t="s">
        <v>129</v>
      </c>
      <c r="F12818" t="s">
        <v>4</v>
      </c>
      <c r="G12818" t="str">
        <f>""</f>
        <v/>
      </c>
    </row>
    <row r="12819" spans="1:7" x14ac:dyDescent="0.25">
      <c r="A12819" t="s">
        <v>8</v>
      </c>
      <c r="B12819" s="1" t="str">
        <f>"000244514 - RICH FOODS BAPA-SSS ARAMARK"</f>
        <v>000244514 - RICH FOODS BAPA-SSS ARAMARK</v>
      </c>
      <c r="C12819" t="s">
        <v>373</v>
      </c>
      <c r="D12819" s="1" t="str">
        <f t="shared" si="351"/>
        <v>PRG-1038800</v>
      </c>
      <c r="E12819" t="s">
        <v>129</v>
      </c>
      <c r="F12819" t="s">
        <v>4</v>
      </c>
      <c r="G12819" t="str">
        <f>""</f>
        <v/>
      </c>
    </row>
    <row r="12820" spans="1:7" x14ac:dyDescent="0.25">
      <c r="A12820" t="s">
        <v>8</v>
      </c>
      <c r="B12820" s="1" t="str">
        <f>"000250650 - RICH FOODS BAPA-SSS ARAMARK"</f>
        <v>000250650 - RICH FOODS BAPA-SSS ARAMARK</v>
      </c>
      <c r="C12820" t="s">
        <v>373</v>
      </c>
      <c r="D12820" s="1" t="str">
        <f t="shared" si="351"/>
        <v>PRG-1038800</v>
      </c>
      <c r="E12820" t="s">
        <v>129</v>
      </c>
      <c r="F12820" t="s">
        <v>4</v>
      </c>
      <c r="G12820" t="str">
        <f>""</f>
        <v/>
      </c>
    </row>
    <row r="12821" spans="1:7" x14ac:dyDescent="0.25">
      <c r="A12821" t="s">
        <v>8</v>
      </c>
      <c r="B12821" s="1" t="str">
        <f>"000252123 - RICH FOODS BAPA-SSS ARAMARK"</f>
        <v>000252123 - RICH FOODS BAPA-SSS ARAMARK</v>
      </c>
      <c r="C12821" t="s">
        <v>373</v>
      </c>
      <c r="D12821" s="1" t="str">
        <f t="shared" si="351"/>
        <v>PRG-1038800</v>
      </c>
      <c r="E12821" t="s">
        <v>129</v>
      </c>
      <c r="F12821" t="s">
        <v>4</v>
      </c>
      <c r="G12821" t="str">
        <f>""</f>
        <v/>
      </c>
    </row>
    <row r="12822" spans="1:7" x14ac:dyDescent="0.25">
      <c r="A12822" t="s">
        <v>8</v>
      </c>
      <c r="B12822" s="1" t="str">
        <f>"000253712 - RICH FOODS BAPA-SSS ARAMARK"</f>
        <v>000253712 - RICH FOODS BAPA-SSS ARAMARK</v>
      </c>
      <c r="C12822" t="s">
        <v>373</v>
      </c>
      <c r="D12822" s="1" t="str">
        <f t="shared" si="351"/>
        <v>PRG-1038800</v>
      </c>
      <c r="E12822" t="s">
        <v>129</v>
      </c>
      <c r="F12822" t="s">
        <v>4</v>
      </c>
      <c r="G12822" t="str">
        <f>""</f>
        <v/>
      </c>
    </row>
    <row r="12823" spans="1:7" x14ac:dyDescent="0.25">
      <c r="A12823" t="s">
        <v>8</v>
      </c>
      <c r="B12823" s="1" t="str">
        <f>"000254716 - RICH FOODS BAPA-SSS ARAMARK"</f>
        <v>000254716 - RICH FOODS BAPA-SSS ARAMARK</v>
      </c>
      <c r="C12823" t="s">
        <v>373</v>
      </c>
      <c r="D12823" s="1" t="str">
        <f t="shared" si="351"/>
        <v>PRG-1038800</v>
      </c>
      <c r="E12823" t="s">
        <v>129</v>
      </c>
      <c r="F12823" t="s">
        <v>4</v>
      </c>
      <c r="G12823" t="str">
        <f>""</f>
        <v/>
      </c>
    </row>
    <row r="12824" spans="1:7" x14ac:dyDescent="0.25">
      <c r="A12824" t="s">
        <v>8</v>
      </c>
      <c r="B12824" s="1" t="str">
        <f>"000255962 - RICH FOODS BAPA-SSS ARAMARK"</f>
        <v>000255962 - RICH FOODS BAPA-SSS ARAMARK</v>
      </c>
      <c r="C12824" t="s">
        <v>373</v>
      </c>
      <c r="D12824" s="1" t="str">
        <f t="shared" si="351"/>
        <v>PRG-1038800</v>
      </c>
      <c r="E12824" t="s">
        <v>129</v>
      </c>
      <c r="F12824" t="s">
        <v>4</v>
      </c>
      <c r="G12824" t="str">
        <f>""</f>
        <v/>
      </c>
    </row>
    <row r="12825" spans="1:7" x14ac:dyDescent="0.25">
      <c r="A12825" t="s">
        <v>8</v>
      </c>
      <c r="B12825" s="1" t="str">
        <f>"000256424 - BB ARAMARK SSS FOB RICH"</f>
        <v>000256424 - BB ARAMARK SSS FOB RICH</v>
      </c>
      <c r="C12825" t="s">
        <v>2184</v>
      </c>
      <c r="D12825" s="1" t="str">
        <f t="shared" si="351"/>
        <v>PRG-1038800</v>
      </c>
      <c r="E12825" t="s">
        <v>129</v>
      </c>
      <c r="F12825" t="s">
        <v>4</v>
      </c>
      <c r="G12825" t="str">
        <f>""</f>
        <v/>
      </c>
    </row>
    <row r="12826" spans="1:7" x14ac:dyDescent="0.25">
      <c r="A12826" t="s">
        <v>8</v>
      </c>
      <c r="B12826" s="1" t="str">
        <f>"000259187 - BB ARAMARK FOB RICHS"</f>
        <v>000259187 - BB ARAMARK FOB RICHS</v>
      </c>
      <c r="C12826" t="s">
        <v>2230</v>
      </c>
      <c r="D12826" s="1" t="str">
        <f t="shared" si="351"/>
        <v>PRG-1038800</v>
      </c>
      <c r="E12826" t="s">
        <v>129</v>
      </c>
      <c r="F12826" t="s">
        <v>4</v>
      </c>
      <c r="G12826" t="str">
        <f>""</f>
        <v/>
      </c>
    </row>
    <row r="12827" spans="1:7" x14ac:dyDescent="0.25">
      <c r="A12827" t="s">
        <v>8</v>
      </c>
      <c r="B12827" s="1" t="str">
        <f>"000260530 - BB ARAMARK SSS FOB RICH"</f>
        <v>000260530 - BB ARAMARK SSS FOB RICH</v>
      </c>
      <c r="C12827" t="s">
        <v>2184</v>
      </c>
      <c r="D12827" s="1" t="str">
        <f t="shared" si="351"/>
        <v>PRG-1038800</v>
      </c>
      <c r="E12827" t="s">
        <v>129</v>
      </c>
      <c r="F12827" t="s">
        <v>4</v>
      </c>
      <c r="G12827" t="str">
        <f>""</f>
        <v/>
      </c>
    </row>
    <row r="12828" spans="1:7" x14ac:dyDescent="0.25">
      <c r="A12828" t="s">
        <v>8</v>
      </c>
      <c r="B12828" s="1" t="str">
        <f>"000261344 - RICH FOODS BAPA-SSS ARAMARK"</f>
        <v>000261344 - RICH FOODS BAPA-SSS ARAMARK</v>
      </c>
      <c r="C12828" t="s">
        <v>373</v>
      </c>
      <c r="D12828" s="1" t="str">
        <f t="shared" si="351"/>
        <v>PRG-1038800</v>
      </c>
      <c r="E12828" t="s">
        <v>129</v>
      </c>
      <c r="F12828" t="s">
        <v>4</v>
      </c>
      <c r="G12828" t="str">
        <f>""</f>
        <v/>
      </c>
    </row>
    <row r="12829" spans="1:7" x14ac:dyDescent="0.25">
      <c r="A12829" t="s">
        <v>8</v>
      </c>
      <c r="B12829" s="1" t="str">
        <f>"000262864 - RICH FOODS BAPA-SSS ARAMARK"</f>
        <v>000262864 - RICH FOODS BAPA-SSS ARAMARK</v>
      </c>
      <c r="C12829" t="s">
        <v>373</v>
      </c>
      <c r="D12829" s="1" t="str">
        <f t="shared" si="351"/>
        <v>PRG-1038800</v>
      </c>
      <c r="E12829" t="s">
        <v>129</v>
      </c>
      <c r="F12829" t="s">
        <v>4</v>
      </c>
      <c r="G12829" t="str">
        <f>""</f>
        <v/>
      </c>
    </row>
    <row r="12830" spans="1:7" x14ac:dyDescent="0.25">
      <c r="A12830" t="s">
        <v>8</v>
      </c>
      <c r="B12830" s="1" t="str">
        <f>"000263733 - RICH PIZZA DOUGH BB CORE-SODX"</f>
        <v>000263733 - RICH PIZZA DOUGH BB CORE-SODX</v>
      </c>
      <c r="C12830" t="s">
        <v>612</v>
      </c>
      <c r="D12830" s="1" t="str">
        <f t="shared" si="351"/>
        <v>PRG-1038800</v>
      </c>
      <c r="E12830" t="s">
        <v>129</v>
      </c>
      <c r="F12830" t="s">
        <v>4</v>
      </c>
      <c r="G12830" t="str">
        <f>""</f>
        <v/>
      </c>
    </row>
    <row r="12831" spans="1:7" x14ac:dyDescent="0.25">
      <c r="A12831" t="s">
        <v>8</v>
      </c>
      <c r="B12831" s="1" t="str">
        <f>"000264145 - RICH FOODS BAPA-SSS ARAMARK"</f>
        <v>000264145 - RICH FOODS BAPA-SSS ARAMARK</v>
      </c>
      <c r="C12831" t="s">
        <v>373</v>
      </c>
      <c r="D12831" s="1" t="str">
        <f t="shared" si="351"/>
        <v>PRG-1038800</v>
      </c>
      <c r="E12831" t="s">
        <v>129</v>
      </c>
      <c r="F12831" t="s">
        <v>4</v>
      </c>
      <c r="G12831" t="str">
        <f>""</f>
        <v/>
      </c>
    </row>
    <row r="12832" spans="1:7" x14ac:dyDescent="0.25">
      <c r="A12832" t="s">
        <v>8</v>
      </c>
      <c r="B12832" s="1" t="str">
        <f>"000266632 - RICH FOODS BAPA-SSS ARAMARK"</f>
        <v>000266632 - RICH FOODS BAPA-SSS ARAMARK</v>
      </c>
      <c r="C12832" t="s">
        <v>373</v>
      </c>
      <c r="D12832" s="1" t="str">
        <f t="shared" si="351"/>
        <v>PRG-1038800</v>
      </c>
      <c r="E12832" t="s">
        <v>129</v>
      </c>
      <c r="F12832" t="s">
        <v>4</v>
      </c>
      <c r="G12832" t="str">
        <f>""</f>
        <v/>
      </c>
    </row>
    <row r="12833" spans="1:7" x14ac:dyDescent="0.25">
      <c r="A12833" t="s">
        <v>8</v>
      </c>
      <c r="B12833" s="1" t="str">
        <f>"000266716 - RICH FOODS BAPA-SSS ARAMARK"</f>
        <v>000266716 - RICH FOODS BAPA-SSS ARAMARK</v>
      </c>
      <c r="C12833" t="s">
        <v>373</v>
      </c>
      <c r="D12833" s="1" t="str">
        <f t="shared" si="351"/>
        <v>PRG-1038800</v>
      </c>
      <c r="E12833" t="s">
        <v>129</v>
      </c>
      <c r="F12833" t="s">
        <v>4</v>
      </c>
      <c r="G12833" t="str">
        <f>""</f>
        <v/>
      </c>
    </row>
    <row r="12834" spans="1:7" x14ac:dyDescent="0.25">
      <c r="A12834" t="s">
        <v>8</v>
      </c>
      <c r="B12834" s="1" t="str">
        <f>"000267319 - USDA RICHS ARA NY - 100912"</f>
        <v>000267319 - USDA RICHS ARA NY - 100912</v>
      </c>
      <c r="C12834" t="s">
        <v>2420</v>
      </c>
      <c r="D12834" s="1" t="str">
        <f t="shared" si="351"/>
        <v>PRG-1038800</v>
      </c>
      <c r="E12834" t="s">
        <v>129</v>
      </c>
      <c r="F12834" t="s">
        <v>4</v>
      </c>
      <c r="G12834" t="str">
        <f>""</f>
        <v/>
      </c>
    </row>
    <row r="12835" spans="1:7" x14ac:dyDescent="0.25">
      <c r="A12835" t="s">
        <v>8</v>
      </c>
      <c r="B12835" s="1" t="str">
        <f>"000267561 - RICH FOODS BAPA-SSS ARAMARK"</f>
        <v>000267561 - RICH FOODS BAPA-SSS ARAMARK</v>
      </c>
      <c r="C12835" t="s">
        <v>373</v>
      </c>
      <c r="D12835" s="1" t="str">
        <f t="shared" si="351"/>
        <v>PRG-1038800</v>
      </c>
      <c r="E12835" t="s">
        <v>129</v>
      </c>
      <c r="F12835" t="s">
        <v>4</v>
      </c>
      <c r="G12835" t="str">
        <f>""</f>
        <v/>
      </c>
    </row>
    <row r="12836" spans="1:7" x14ac:dyDescent="0.25">
      <c r="A12836" t="s">
        <v>8</v>
      </c>
      <c r="B12836" s="1" t="str">
        <f>"000268154 - RICH FOODS BAPA-SSS ARAMARK"</f>
        <v>000268154 - RICH FOODS BAPA-SSS ARAMARK</v>
      </c>
      <c r="C12836" t="s">
        <v>373</v>
      </c>
      <c r="D12836" s="1" t="str">
        <f t="shared" si="351"/>
        <v>PRG-1038800</v>
      </c>
      <c r="E12836" t="s">
        <v>129</v>
      </c>
      <c r="F12836" t="s">
        <v>4</v>
      </c>
      <c r="G12836" t="str">
        <f>""</f>
        <v/>
      </c>
    </row>
    <row r="12837" spans="1:7" x14ac:dyDescent="0.25">
      <c r="A12837" t="s">
        <v>8</v>
      </c>
      <c r="B12837" s="1" t="str">
        <f>"000268886 - RICH FOODS BAPA-SSS ARAMARK"</f>
        <v>000268886 - RICH FOODS BAPA-SSS ARAMARK</v>
      </c>
      <c r="C12837" t="s">
        <v>373</v>
      </c>
      <c r="D12837" s="1" t="str">
        <f t="shared" si="351"/>
        <v>PRG-1038800</v>
      </c>
      <c r="E12837" t="s">
        <v>129</v>
      </c>
      <c r="F12837" t="s">
        <v>4</v>
      </c>
      <c r="G12837" t="str">
        <f>""</f>
        <v/>
      </c>
    </row>
    <row r="12838" spans="1:7" x14ac:dyDescent="0.25">
      <c r="A12838" t="s">
        <v>8</v>
      </c>
      <c r="B12838" s="1" t="str">
        <f>"000269728 - RICH FOODS BAPA-SSS ARAMARK"</f>
        <v>000269728 - RICH FOODS BAPA-SSS ARAMARK</v>
      </c>
      <c r="C12838" t="s">
        <v>373</v>
      </c>
      <c r="D12838" s="1" t="str">
        <f t="shared" si="351"/>
        <v>PRG-1038800</v>
      </c>
      <c r="E12838" t="s">
        <v>129</v>
      </c>
      <c r="F12838" t="s">
        <v>4</v>
      </c>
      <c r="G12838" t="str">
        <f>""</f>
        <v/>
      </c>
    </row>
    <row r="12839" spans="1:7" x14ac:dyDescent="0.25">
      <c r="A12839" t="s">
        <v>8</v>
      </c>
      <c r="B12839" s="1" t="str">
        <f>"000270115 - RICH FOODS BAPA-SSS ARAMARK"</f>
        <v>000270115 - RICH FOODS BAPA-SSS ARAMARK</v>
      </c>
      <c r="C12839" t="s">
        <v>373</v>
      </c>
      <c r="D12839" s="1" t="str">
        <f t="shared" si="351"/>
        <v>PRG-1038800</v>
      </c>
      <c r="E12839" t="s">
        <v>129</v>
      </c>
      <c r="F12839" t="s">
        <v>4</v>
      </c>
      <c r="G12839" t="str">
        <f>""</f>
        <v/>
      </c>
    </row>
    <row r="12840" spans="1:7" x14ac:dyDescent="0.25">
      <c r="A12840" t="s">
        <v>8</v>
      </c>
      <c r="B12840" s="1" t="str">
        <f>"000273436 - RICH FOODS BAPA-SSS ARAMARK"</f>
        <v>000273436 - RICH FOODS BAPA-SSS ARAMARK</v>
      </c>
      <c r="C12840" t="s">
        <v>373</v>
      </c>
      <c r="D12840" s="1" t="str">
        <f t="shared" si="351"/>
        <v>PRG-1038800</v>
      </c>
      <c r="E12840" t="s">
        <v>129</v>
      </c>
      <c r="F12840" t="s">
        <v>4</v>
      </c>
      <c r="G12840" t="str">
        <f>""</f>
        <v/>
      </c>
    </row>
    <row r="12841" spans="1:7" x14ac:dyDescent="0.25">
      <c r="A12841" t="s">
        <v>8</v>
      </c>
      <c r="B12841" s="1" t="str">
        <f>"000274889 - RICH FOODS BAPA-SSS ARAMARK"</f>
        <v>000274889 - RICH FOODS BAPA-SSS ARAMARK</v>
      </c>
      <c r="C12841" t="s">
        <v>373</v>
      </c>
      <c r="D12841" s="1" t="str">
        <f t="shared" si="351"/>
        <v>PRG-1038800</v>
      </c>
      <c r="E12841" t="s">
        <v>129</v>
      </c>
      <c r="F12841" t="s">
        <v>4</v>
      </c>
      <c r="G12841" t="str">
        <f>""</f>
        <v/>
      </c>
    </row>
    <row r="12842" spans="1:7" x14ac:dyDescent="0.25">
      <c r="A12842" t="s">
        <v>8</v>
      </c>
      <c r="B12842" s="1" t="str">
        <f>"000274971 - RICH FOODS BAPA-SSS ARAMARK"</f>
        <v>000274971 - RICH FOODS BAPA-SSS ARAMARK</v>
      </c>
      <c r="C12842" t="s">
        <v>373</v>
      </c>
      <c r="D12842" s="1" t="str">
        <f t="shared" si="351"/>
        <v>PRG-1038800</v>
      </c>
      <c r="E12842" t="s">
        <v>129</v>
      </c>
      <c r="F12842" t="s">
        <v>4</v>
      </c>
      <c r="G12842" t="str">
        <f>""</f>
        <v/>
      </c>
    </row>
    <row r="12843" spans="1:7" x14ac:dyDescent="0.25">
      <c r="A12843" t="s">
        <v>8</v>
      </c>
      <c r="B12843" s="1" t="str">
        <f>"000276357 - RICH FOODS BAPA-SSS ARAMARK"</f>
        <v>000276357 - RICH FOODS BAPA-SSS ARAMARK</v>
      </c>
      <c r="C12843" t="s">
        <v>373</v>
      </c>
      <c r="D12843" s="1" t="str">
        <f t="shared" si="351"/>
        <v>PRG-1038800</v>
      </c>
      <c r="E12843" t="s">
        <v>129</v>
      </c>
      <c r="F12843" t="s">
        <v>4</v>
      </c>
      <c r="G12843" t="str">
        <f>""</f>
        <v/>
      </c>
    </row>
    <row r="12844" spans="1:7" x14ac:dyDescent="0.25">
      <c r="A12844" t="s">
        <v>8</v>
      </c>
      <c r="B12844" s="1" t="str">
        <f>"000276385 - RICH FOODS BAPA-SSS ARAMARK"</f>
        <v>000276385 - RICH FOODS BAPA-SSS ARAMARK</v>
      </c>
      <c r="C12844" t="s">
        <v>373</v>
      </c>
      <c r="D12844" s="1" t="str">
        <f t="shared" si="351"/>
        <v>PRG-1038800</v>
      </c>
      <c r="E12844" t="s">
        <v>129</v>
      </c>
      <c r="F12844" t="s">
        <v>4</v>
      </c>
      <c r="G12844" t="str">
        <f>""</f>
        <v/>
      </c>
    </row>
    <row r="12845" spans="1:7" x14ac:dyDescent="0.25">
      <c r="A12845" t="s">
        <v>8</v>
      </c>
      <c r="B12845" s="1" t="str">
        <f>"000276527 - RICH FOODS BAPA-SSS ARAMARK"</f>
        <v>000276527 - RICH FOODS BAPA-SSS ARAMARK</v>
      </c>
      <c r="C12845" t="s">
        <v>373</v>
      </c>
      <c r="D12845" s="1" t="str">
        <f t="shared" si="351"/>
        <v>PRG-1038800</v>
      </c>
      <c r="E12845" t="s">
        <v>129</v>
      </c>
      <c r="F12845" t="s">
        <v>4</v>
      </c>
      <c r="G12845" t="str">
        <f>""</f>
        <v/>
      </c>
    </row>
    <row r="12846" spans="1:7" x14ac:dyDescent="0.25">
      <c r="A12846" t="s">
        <v>8</v>
      </c>
      <c r="B12846" s="1" t="str">
        <f>"000277317 - RICH FOODS BAPA-SSS ARAMARK"</f>
        <v>000277317 - RICH FOODS BAPA-SSS ARAMARK</v>
      </c>
      <c r="C12846" t="s">
        <v>373</v>
      </c>
      <c r="D12846" s="1" t="str">
        <f t="shared" si="351"/>
        <v>PRG-1038800</v>
      </c>
      <c r="E12846" t="s">
        <v>129</v>
      </c>
      <c r="F12846" t="s">
        <v>4</v>
      </c>
      <c r="G12846" t="str">
        <f>""</f>
        <v/>
      </c>
    </row>
    <row r="12847" spans="1:7" x14ac:dyDescent="0.25">
      <c r="A12847" t="s">
        <v>8</v>
      </c>
      <c r="B12847" s="1" t="str">
        <f>"000279497 - RICH FOODS BAPA-SSS ARAMARK"</f>
        <v>000279497 - RICH FOODS BAPA-SSS ARAMARK</v>
      </c>
      <c r="C12847" t="s">
        <v>373</v>
      </c>
      <c r="D12847" s="1" t="str">
        <f t="shared" si="351"/>
        <v>PRG-1038800</v>
      </c>
      <c r="E12847" t="s">
        <v>129</v>
      </c>
      <c r="F12847" t="s">
        <v>4</v>
      </c>
      <c r="G12847" t="str">
        <f>""</f>
        <v/>
      </c>
    </row>
    <row r="12848" spans="1:7" x14ac:dyDescent="0.25">
      <c r="A12848" t="s">
        <v>8</v>
      </c>
      <c r="B12848" s="1" t="str">
        <f>"000279531 - RICH FOODS BAPA-SSS ARAMARK"</f>
        <v>000279531 - RICH FOODS BAPA-SSS ARAMARK</v>
      </c>
      <c r="C12848" t="s">
        <v>373</v>
      </c>
      <c r="D12848" s="1" t="str">
        <f t="shared" si="351"/>
        <v>PRG-1038800</v>
      </c>
      <c r="E12848" t="s">
        <v>129</v>
      </c>
      <c r="F12848" t="s">
        <v>4</v>
      </c>
      <c r="G12848" t="str">
        <f>""</f>
        <v/>
      </c>
    </row>
    <row r="12849" spans="1:7" x14ac:dyDescent="0.25">
      <c r="A12849" t="s">
        <v>8</v>
      </c>
      <c r="B12849" s="1" t="str">
        <f>"000280182 - RICH FOODS BAPA-SSS ARAMARK"</f>
        <v>000280182 - RICH FOODS BAPA-SSS ARAMARK</v>
      </c>
      <c r="C12849" t="s">
        <v>373</v>
      </c>
      <c r="D12849" s="1" t="str">
        <f t="shared" si="351"/>
        <v>PRG-1038800</v>
      </c>
      <c r="E12849" t="s">
        <v>129</v>
      </c>
      <c r="F12849" t="s">
        <v>4</v>
      </c>
      <c r="G12849" t="str">
        <f>""</f>
        <v/>
      </c>
    </row>
    <row r="12850" spans="1:7" x14ac:dyDescent="0.25">
      <c r="A12850" t="s">
        <v>8</v>
      </c>
      <c r="B12850" s="1" t="str">
        <f>"000281269 - RICH FOODS BAPA-SSS ARAMARK"</f>
        <v>000281269 - RICH FOODS BAPA-SSS ARAMARK</v>
      </c>
      <c r="C12850" t="s">
        <v>373</v>
      </c>
      <c r="D12850" s="1" t="str">
        <f t="shared" ref="D12850:D12881" si="352">"PRG-1038800"</f>
        <v>PRG-1038800</v>
      </c>
      <c r="E12850" t="s">
        <v>129</v>
      </c>
      <c r="F12850" t="s">
        <v>4</v>
      </c>
      <c r="G12850" t="str">
        <f>""</f>
        <v/>
      </c>
    </row>
    <row r="12851" spans="1:7" x14ac:dyDescent="0.25">
      <c r="A12851" t="s">
        <v>8</v>
      </c>
      <c r="B12851" s="1" t="str">
        <f>"000281534 - RICH FOODS BAPA-SSS ARAMARK"</f>
        <v>000281534 - RICH FOODS BAPA-SSS ARAMARK</v>
      </c>
      <c r="C12851" t="s">
        <v>373</v>
      </c>
      <c r="D12851" s="1" t="str">
        <f t="shared" si="352"/>
        <v>PRG-1038800</v>
      </c>
      <c r="E12851" t="s">
        <v>129</v>
      </c>
      <c r="F12851" t="s">
        <v>4</v>
      </c>
      <c r="G12851" t="str">
        <f>""</f>
        <v/>
      </c>
    </row>
    <row r="12852" spans="1:7" x14ac:dyDescent="0.25">
      <c r="A12852" t="s">
        <v>8</v>
      </c>
      <c r="B12852" s="1" t="str">
        <f>"000282338 - RICH FOODS-SSS ARAMARK"</f>
        <v>000282338 - RICH FOODS-SSS ARAMARK</v>
      </c>
      <c r="C12852" t="s">
        <v>128</v>
      </c>
      <c r="D12852" s="1" t="str">
        <f t="shared" si="352"/>
        <v>PRG-1038800</v>
      </c>
      <c r="E12852" t="s">
        <v>129</v>
      </c>
      <c r="F12852" t="s">
        <v>4</v>
      </c>
      <c r="G12852" t="str">
        <f>""</f>
        <v/>
      </c>
    </row>
    <row r="12853" spans="1:7" x14ac:dyDescent="0.25">
      <c r="A12853" t="s">
        <v>8</v>
      </c>
      <c r="B12853" s="1" t="str">
        <f>"000283264 - RICH FOODS BAPA-SSS ARAMARK"</f>
        <v>000283264 - RICH FOODS BAPA-SSS ARAMARK</v>
      </c>
      <c r="C12853" t="s">
        <v>373</v>
      </c>
      <c r="D12853" s="1" t="str">
        <f t="shared" si="352"/>
        <v>PRG-1038800</v>
      </c>
      <c r="E12853" t="s">
        <v>129</v>
      </c>
      <c r="F12853" t="s">
        <v>4</v>
      </c>
      <c r="G12853" t="str">
        <f>""</f>
        <v/>
      </c>
    </row>
    <row r="12854" spans="1:7" x14ac:dyDescent="0.25">
      <c r="A12854" t="s">
        <v>8</v>
      </c>
      <c r="B12854" s="1" t="str">
        <f>"000286197 - RICH FOODS BAPA-SSS ARAMARK"</f>
        <v>000286197 - RICH FOODS BAPA-SSS ARAMARK</v>
      </c>
      <c r="C12854" t="s">
        <v>373</v>
      </c>
      <c r="D12854" s="1" t="str">
        <f t="shared" si="352"/>
        <v>PRG-1038800</v>
      </c>
      <c r="E12854" t="s">
        <v>129</v>
      </c>
      <c r="F12854" t="s">
        <v>4</v>
      </c>
      <c r="G12854" t="str">
        <f>""</f>
        <v/>
      </c>
    </row>
    <row r="12855" spans="1:7" x14ac:dyDescent="0.25">
      <c r="A12855" t="s">
        <v>8</v>
      </c>
      <c r="B12855" s="1" t="str">
        <f>"000286870 - RICH FOODS-SSS ARAMARK"</f>
        <v>000286870 - RICH FOODS-SSS ARAMARK</v>
      </c>
      <c r="C12855" t="s">
        <v>128</v>
      </c>
      <c r="D12855" s="1" t="str">
        <f t="shared" si="352"/>
        <v>PRG-1038800</v>
      </c>
      <c r="E12855" t="s">
        <v>129</v>
      </c>
      <c r="F12855" t="s">
        <v>4</v>
      </c>
      <c r="G12855" t="str">
        <f>""</f>
        <v/>
      </c>
    </row>
    <row r="12856" spans="1:7" x14ac:dyDescent="0.25">
      <c r="A12856" t="s">
        <v>8</v>
      </c>
      <c r="B12856" s="1" t="str">
        <f>"000287934 - RICH FOODS BAPA-SSS ARAMARK"</f>
        <v>000287934 - RICH FOODS BAPA-SSS ARAMARK</v>
      </c>
      <c r="C12856" t="s">
        <v>373</v>
      </c>
      <c r="D12856" s="1" t="str">
        <f t="shared" si="352"/>
        <v>PRG-1038800</v>
      </c>
      <c r="E12856" t="s">
        <v>129</v>
      </c>
      <c r="F12856" t="s">
        <v>4</v>
      </c>
      <c r="G12856" t="str">
        <f>""</f>
        <v/>
      </c>
    </row>
    <row r="12857" spans="1:7" x14ac:dyDescent="0.25">
      <c r="A12857" t="s">
        <v>8</v>
      </c>
      <c r="B12857" s="1" t="str">
        <f>"000288091 - RICH FOODS BAPA-SSS ARAMARK"</f>
        <v>000288091 - RICH FOODS BAPA-SSS ARAMARK</v>
      </c>
      <c r="C12857" t="s">
        <v>373</v>
      </c>
      <c r="D12857" s="1" t="str">
        <f t="shared" si="352"/>
        <v>PRG-1038800</v>
      </c>
      <c r="E12857" t="s">
        <v>129</v>
      </c>
      <c r="F12857" t="s">
        <v>4</v>
      </c>
      <c r="G12857" t="str">
        <f>""</f>
        <v/>
      </c>
    </row>
    <row r="12858" spans="1:7" x14ac:dyDescent="0.25">
      <c r="A12858" t="s">
        <v>8</v>
      </c>
      <c r="B12858" s="1" t="str">
        <f>"000288489 - RICH FOODS BAPA-SSS ARAMARK"</f>
        <v>000288489 - RICH FOODS BAPA-SSS ARAMARK</v>
      </c>
      <c r="C12858" t="s">
        <v>373</v>
      </c>
      <c r="D12858" s="1" t="str">
        <f t="shared" si="352"/>
        <v>PRG-1038800</v>
      </c>
      <c r="E12858" t="s">
        <v>129</v>
      </c>
      <c r="F12858" t="s">
        <v>4</v>
      </c>
      <c r="G12858" t="str">
        <f>""</f>
        <v/>
      </c>
    </row>
    <row r="12859" spans="1:7" x14ac:dyDescent="0.25">
      <c r="A12859" t="s">
        <v>8</v>
      </c>
      <c r="B12859" s="1" t="str">
        <f>"000288590 - RICH FOODS BAPA-SSS ARAMARK"</f>
        <v>000288590 - RICH FOODS BAPA-SSS ARAMARK</v>
      </c>
      <c r="C12859" t="s">
        <v>373</v>
      </c>
      <c r="D12859" s="1" t="str">
        <f t="shared" si="352"/>
        <v>PRG-1038800</v>
      </c>
      <c r="E12859" t="s">
        <v>129</v>
      </c>
      <c r="F12859" t="s">
        <v>4</v>
      </c>
      <c r="G12859" t="str">
        <f>""</f>
        <v/>
      </c>
    </row>
    <row r="12860" spans="1:7" x14ac:dyDescent="0.25">
      <c r="A12860" t="s">
        <v>8</v>
      </c>
      <c r="B12860" s="1" t="str">
        <f>"000289731 - RICH FOODS BAPA-SSS ARAMARK"</f>
        <v>000289731 - RICH FOODS BAPA-SSS ARAMARK</v>
      </c>
      <c r="C12860" t="s">
        <v>373</v>
      </c>
      <c r="D12860" s="1" t="str">
        <f t="shared" si="352"/>
        <v>PRG-1038800</v>
      </c>
      <c r="E12860" t="s">
        <v>129</v>
      </c>
      <c r="F12860" t="s">
        <v>4</v>
      </c>
      <c r="G12860" t="str">
        <f>""</f>
        <v/>
      </c>
    </row>
    <row r="12861" spans="1:7" x14ac:dyDescent="0.25">
      <c r="A12861" t="s">
        <v>8</v>
      </c>
      <c r="B12861" s="1" t="str">
        <f>"000290157 - RICH FOODS BAPA-SSS ARAMARK"</f>
        <v>000290157 - RICH FOODS BAPA-SSS ARAMARK</v>
      </c>
      <c r="C12861" t="s">
        <v>373</v>
      </c>
      <c r="D12861" s="1" t="str">
        <f t="shared" si="352"/>
        <v>PRG-1038800</v>
      </c>
      <c r="E12861" t="s">
        <v>129</v>
      </c>
      <c r="F12861" t="s">
        <v>4</v>
      </c>
      <c r="G12861" t="str">
        <f>""</f>
        <v/>
      </c>
    </row>
    <row r="12862" spans="1:7" x14ac:dyDescent="0.25">
      <c r="A12862" t="s">
        <v>8</v>
      </c>
      <c r="B12862" s="1" t="str">
        <f>"000290572 - RICH FDS-MAIN ARAMARK EX-SSS"</f>
        <v>000290572 - RICH FDS-MAIN ARAMARK EX-SSS</v>
      </c>
      <c r="C12862" t="s">
        <v>556</v>
      </c>
      <c r="D12862" s="1" t="str">
        <f t="shared" si="352"/>
        <v>PRG-1038800</v>
      </c>
      <c r="E12862" t="s">
        <v>129</v>
      </c>
      <c r="F12862" t="s">
        <v>4</v>
      </c>
      <c r="G12862" t="str">
        <f>""</f>
        <v/>
      </c>
    </row>
    <row r="12863" spans="1:7" x14ac:dyDescent="0.25">
      <c r="A12863" t="s">
        <v>8</v>
      </c>
      <c r="B12863" s="1" t="str">
        <f>"000290655 - RICH FOODS BAPA-SSS ARAMARK"</f>
        <v>000290655 - RICH FOODS BAPA-SSS ARAMARK</v>
      </c>
      <c r="C12863" t="s">
        <v>373</v>
      </c>
      <c r="D12863" s="1" t="str">
        <f t="shared" si="352"/>
        <v>PRG-1038800</v>
      </c>
      <c r="E12863" t="s">
        <v>129</v>
      </c>
      <c r="F12863" t="s">
        <v>4</v>
      </c>
      <c r="G12863" t="str">
        <f>""</f>
        <v/>
      </c>
    </row>
    <row r="12864" spans="1:7" x14ac:dyDescent="0.25">
      <c r="A12864" t="s">
        <v>8</v>
      </c>
      <c r="B12864" s="1" t="str">
        <f>"000291100 - RICH FOODS BAPA-SSS ARAMARK"</f>
        <v>000291100 - RICH FOODS BAPA-SSS ARAMARK</v>
      </c>
      <c r="C12864" t="s">
        <v>373</v>
      </c>
      <c r="D12864" s="1" t="str">
        <f t="shared" si="352"/>
        <v>PRG-1038800</v>
      </c>
      <c r="E12864" t="s">
        <v>129</v>
      </c>
      <c r="F12864" t="s">
        <v>4</v>
      </c>
      <c r="G12864" t="str">
        <f>""</f>
        <v/>
      </c>
    </row>
    <row r="12865" spans="1:7" x14ac:dyDescent="0.25">
      <c r="A12865" t="s">
        <v>8</v>
      </c>
      <c r="B12865" s="1" t="str">
        <f>"000293386 - RICH FOODS BAPA-SSS ARAMARK"</f>
        <v>000293386 - RICH FOODS BAPA-SSS ARAMARK</v>
      </c>
      <c r="C12865" t="s">
        <v>373</v>
      </c>
      <c r="D12865" s="1" t="str">
        <f t="shared" si="352"/>
        <v>PRG-1038800</v>
      </c>
      <c r="E12865" t="s">
        <v>129</v>
      </c>
      <c r="F12865" t="s">
        <v>4</v>
      </c>
      <c r="G12865" t="str">
        <f>""</f>
        <v/>
      </c>
    </row>
    <row r="12866" spans="1:7" x14ac:dyDescent="0.25">
      <c r="A12866" t="s">
        <v>8</v>
      </c>
      <c r="B12866" s="1" t="str">
        <f>"000294724 - RICH FOODS BAPA-SSS ARAMARK"</f>
        <v>000294724 - RICH FOODS BAPA-SSS ARAMARK</v>
      </c>
      <c r="C12866" t="s">
        <v>373</v>
      </c>
      <c r="D12866" s="1" t="str">
        <f t="shared" si="352"/>
        <v>PRG-1038800</v>
      </c>
      <c r="E12866" t="s">
        <v>129</v>
      </c>
      <c r="F12866" t="s">
        <v>4</v>
      </c>
      <c r="G12866" t="str">
        <f>""</f>
        <v/>
      </c>
    </row>
    <row r="12867" spans="1:7" x14ac:dyDescent="0.25">
      <c r="A12867" t="s">
        <v>8</v>
      </c>
      <c r="B12867" s="1" t="str">
        <f>"000294826 - RICH FOODS BAPA-SSS ARAMARK"</f>
        <v>000294826 - RICH FOODS BAPA-SSS ARAMARK</v>
      </c>
      <c r="C12867" t="s">
        <v>373</v>
      </c>
      <c r="D12867" s="1" t="str">
        <f t="shared" si="352"/>
        <v>PRG-1038800</v>
      </c>
      <c r="E12867" t="s">
        <v>129</v>
      </c>
      <c r="F12867" t="s">
        <v>4</v>
      </c>
      <c r="G12867" t="str">
        <f>""</f>
        <v/>
      </c>
    </row>
    <row r="12868" spans="1:7" x14ac:dyDescent="0.25">
      <c r="A12868" t="s">
        <v>8</v>
      </c>
      <c r="B12868" s="1" t="str">
        <f>"000296568 - RICH FOODS BAPA-SSS ARAMARK"</f>
        <v>000296568 - RICH FOODS BAPA-SSS ARAMARK</v>
      </c>
      <c r="C12868" t="s">
        <v>373</v>
      </c>
      <c r="D12868" s="1" t="str">
        <f t="shared" si="352"/>
        <v>PRG-1038800</v>
      </c>
      <c r="E12868" t="s">
        <v>129</v>
      </c>
      <c r="F12868" t="s">
        <v>4</v>
      </c>
      <c r="G12868" t="str">
        <f>""</f>
        <v/>
      </c>
    </row>
    <row r="12869" spans="1:7" x14ac:dyDescent="0.25">
      <c r="A12869" t="s">
        <v>8</v>
      </c>
      <c r="B12869" s="1" t="str">
        <f>"000296628 - RICH FOODS BAPA-SSS ARAMARK"</f>
        <v>000296628 - RICH FOODS BAPA-SSS ARAMARK</v>
      </c>
      <c r="C12869" t="s">
        <v>373</v>
      </c>
      <c r="D12869" s="1" t="str">
        <f t="shared" si="352"/>
        <v>PRG-1038800</v>
      </c>
      <c r="E12869" t="s">
        <v>129</v>
      </c>
      <c r="F12869" t="s">
        <v>4</v>
      </c>
      <c r="G12869" t="str">
        <f>""</f>
        <v/>
      </c>
    </row>
    <row r="12870" spans="1:7" x14ac:dyDescent="0.25">
      <c r="A12870" t="s">
        <v>8</v>
      </c>
      <c r="B12870" s="1" t="str">
        <f>"000298136 - RICH FOODS BAPA-SSS ARAMARK"</f>
        <v>000298136 - RICH FOODS BAPA-SSS ARAMARK</v>
      </c>
      <c r="C12870" t="s">
        <v>373</v>
      </c>
      <c r="D12870" s="1" t="str">
        <f t="shared" si="352"/>
        <v>PRG-1038800</v>
      </c>
      <c r="E12870" t="s">
        <v>129</v>
      </c>
      <c r="F12870" t="s">
        <v>4</v>
      </c>
      <c r="G12870" t="str">
        <f>""</f>
        <v/>
      </c>
    </row>
    <row r="12871" spans="1:7" x14ac:dyDescent="0.25">
      <c r="A12871" t="s">
        <v>8</v>
      </c>
      <c r="B12871" s="1" t="str">
        <f>"000298372 - RICH FOODS BAPA-SSS ARAMARK"</f>
        <v>000298372 - RICH FOODS BAPA-SSS ARAMARK</v>
      </c>
      <c r="C12871" t="s">
        <v>373</v>
      </c>
      <c r="D12871" s="1" t="str">
        <f t="shared" si="352"/>
        <v>PRG-1038800</v>
      </c>
      <c r="E12871" t="s">
        <v>129</v>
      </c>
      <c r="F12871" t="s">
        <v>4</v>
      </c>
      <c r="G12871" t="str">
        <f>""</f>
        <v/>
      </c>
    </row>
    <row r="12872" spans="1:7" x14ac:dyDescent="0.25">
      <c r="A12872" t="s">
        <v>8</v>
      </c>
      <c r="B12872" s="1" t="str">
        <f>"000299498 - RICH FOODS BAPA-SSS ARAMARK"</f>
        <v>000299498 - RICH FOODS BAPA-SSS ARAMARK</v>
      </c>
      <c r="C12872" t="s">
        <v>373</v>
      </c>
      <c r="D12872" s="1" t="str">
        <f t="shared" si="352"/>
        <v>PRG-1038800</v>
      </c>
      <c r="E12872" t="s">
        <v>129</v>
      </c>
      <c r="F12872" t="s">
        <v>4</v>
      </c>
      <c r="G12872" t="str">
        <f>""</f>
        <v/>
      </c>
    </row>
    <row r="12873" spans="1:7" x14ac:dyDescent="0.25">
      <c r="A12873" t="s">
        <v>8</v>
      </c>
      <c r="B12873" s="1" t="str">
        <f>"000299536 - RICH FOODS BAPA-SSS ARAMARK"</f>
        <v>000299536 - RICH FOODS BAPA-SSS ARAMARK</v>
      </c>
      <c r="C12873" t="s">
        <v>373</v>
      </c>
      <c r="D12873" s="1" t="str">
        <f t="shared" si="352"/>
        <v>PRG-1038800</v>
      </c>
      <c r="E12873" t="s">
        <v>129</v>
      </c>
      <c r="F12873" t="s">
        <v>4</v>
      </c>
      <c r="G12873" t="str">
        <f>""</f>
        <v/>
      </c>
    </row>
    <row r="12874" spans="1:7" x14ac:dyDescent="0.25">
      <c r="A12874" t="s">
        <v>8</v>
      </c>
      <c r="B12874" s="1" t="str">
        <f>"000299938 - RICH FOODS BAPA-SSS ARAMARK"</f>
        <v>000299938 - RICH FOODS BAPA-SSS ARAMARK</v>
      </c>
      <c r="C12874" t="s">
        <v>373</v>
      </c>
      <c r="D12874" s="1" t="str">
        <f t="shared" si="352"/>
        <v>PRG-1038800</v>
      </c>
      <c r="E12874" t="s">
        <v>129</v>
      </c>
      <c r="F12874" t="s">
        <v>4</v>
      </c>
      <c r="G12874" t="str">
        <f>""</f>
        <v/>
      </c>
    </row>
    <row r="12875" spans="1:7" x14ac:dyDescent="0.25">
      <c r="A12875" t="s">
        <v>8</v>
      </c>
      <c r="B12875" s="1" t="str">
        <f>"000299962 - RICH FOODS BAPA-SSS ARAMARK"</f>
        <v>000299962 - RICH FOODS BAPA-SSS ARAMARK</v>
      </c>
      <c r="C12875" t="s">
        <v>373</v>
      </c>
      <c r="D12875" s="1" t="str">
        <f t="shared" si="352"/>
        <v>PRG-1038800</v>
      </c>
      <c r="E12875" t="s">
        <v>129</v>
      </c>
      <c r="F12875" t="s">
        <v>4</v>
      </c>
      <c r="G12875" t="str">
        <f>""</f>
        <v/>
      </c>
    </row>
    <row r="12876" spans="1:7" x14ac:dyDescent="0.25">
      <c r="A12876" t="s">
        <v>8</v>
      </c>
      <c r="B12876" s="1" t="str">
        <f>"000300425 - RICH FOODS BAPA-SSS ARAMARK"</f>
        <v>000300425 - RICH FOODS BAPA-SSS ARAMARK</v>
      </c>
      <c r="C12876" t="s">
        <v>373</v>
      </c>
      <c r="D12876" s="1" t="str">
        <f t="shared" si="352"/>
        <v>PRG-1038800</v>
      </c>
      <c r="E12876" t="s">
        <v>129</v>
      </c>
      <c r="F12876" t="s">
        <v>4</v>
      </c>
      <c r="G12876" t="str">
        <f>""</f>
        <v/>
      </c>
    </row>
    <row r="12877" spans="1:7" x14ac:dyDescent="0.25">
      <c r="A12877" t="s">
        <v>8</v>
      </c>
      <c r="B12877" s="1" t="str">
        <f>"000300900 - RICH FOODS BAPA-SSS ARAMARK"</f>
        <v>000300900 - RICH FOODS BAPA-SSS ARAMARK</v>
      </c>
      <c r="C12877" t="s">
        <v>373</v>
      </c>
      <c r="D12877" s="1" t="str">
        <f t="shared" si="352"/>
        <v>PRG-1038800</v>
      </c>
      <c r="E12877" t="s">
        <v>129</v>
      </c>
      <c r="F12877" t="s">
        <v>4</v>
      </c>
      <c r="G12877" t="str">
        <f>""</f>
        <v/>
      </c>
    </row>
    <row r="12878" spans="1:7" x14ac:dyDescent="0.25">
      <c r="A12878" t="s">
        <v>8</v>
      </c>
      <c r="B12878" s="1" t="str">
        <f>"000301526 - RICH FOODS BAPA-SSS ARAMARK"</f>
        <v>000301526 - RICH FOODS BAPA-SSS ARAMARK</v>
      </c>
      <c r="C12878" t="s">
        <v>373</v>
      </c>
      <c r="D12878" s="1" t="str">
        <f t="shared" si="352"/>
        <v>PRG-1038800</v>
      </c>
      <c r="E12878" t="s">
        <v>129</v>
      </c>
      <c r="F12878" t="s">
        <v>4</v>
      </c>
      <c r="G12878" t="str">
        <f>""</f>
        <v/>
      </c>
    </row>
    <row r="12879" spans="1:7" x14ac:dyDescent="0.25">
      <c r="A12879" t="s">
        <v>8</v>
      </c>
      <c r="B12879" s="1" t="str">
        <f>"000301527 - RICH FOODS BAPA-SSS ARAMARK"</f>
        <v>000301527 - RICH FOODS BAPA-SSS ARAMARK</v>
      </c>
      <c r="C12879" t="s">
        <v>373</v>
      </c>
      <c r="D12879" s="1" t="str">
        <f t="shared" si="352"/>
        <v>PRG-1038800</v>
      </c>
      <c r="E12879" t="s">
        <v>129</v>
      </c>
      <c r="F12879" t="s">
        <v>4</v>
      </c>
      <c r="G12879" t="str">
        <f>""</f>
        <v/>
      </c>
    </row>
    <row r="12880" spans="1:7" x14ac:dyDescent="0.25">
      <c r="A12880" t="s">
        <v>8</v>
      </c>
      <c r="B12880" s="1" t="str">
        <f>"000301860 - RICH FOODS BAPA-SSS ARAMARK"</f>
        <v>000301860 - RICH FOODS BAPA-SSS ARAMARK</v>
      </c>
      <c r="C12880" t="s">
        <v>373</v>
      </c>
      <c r="D12880" s="1" t="str">
        <f t="shared" si="352"/>
        <v>PRG-1038800</v>
      </c>
      <c r="E12880" t="s">
        <v>129</v>
      </c>
      <c r="F12880" t="s">
        <v>4</v>
      </c>
      <c r="G12880" t="str">
        <f>""</f>
        <v/>
      </c>
    </row>
    <row r="12881" spans="1:7" x14ac:dyDescent="0.25">
      <c r="A12881" t="s">
        <v>8</v>
      </c>
      <c r="B12881" s="1" t="str">
        <f>"000302045 - RICH FOODS BAPA-SSS ARAMARK"</f>
        <v>000302045 - RICH FOODS BAPA-SSS ARAMARK</v>
      </c>
      <c r="C12881" t="s">
        <v>373</v>
      </c>
      <c r="D12881" s="1" t="str">
        <f t="shared" si="352"/>
        <v>PRG-1038800</v>
      </c>
      <c r="E12881" t="s">
        <v>129</v>
      </c>
      <c r="F12881" t="s">
        <v>4</v>
      </c>
      <c r="G12881" t="str">
        <f>""</f>
        <v/>
      </c>
    </row>
    <row r="12882" spans="1:7" x14ac:dyDescent="0.25">
      <c r="A12882" t="s">
        <v>8</v>
      </c>
      <c r="B12882" s="1" t="str">
        <f>"000302302 - RICH FOODS BAPA-SSS ARAMARK"</f>
        <v>000302302 - RICH FOODS BAPA-SSS ARAMARK</v>
      </c>
      <c r="C12882" t="s">
        <v>373</v>
      </c>
      <c r="D12882" s="1" t="str">
        <f t="shared" ref="D12882:D12913" si="353">"PRG-1038800"</f>
        <v>PRG-1038800</v>
      </c>
      <c r="E12882" t="s">
        <v>129</v>
      </c>
      <c r="F12882" t="s">
        <v>4</v>
      </c>
      <c r="G12882" t="str">
        <f>""</f>
        <v/>
      </c>
    </row>
    <row r="12883" spans="1:7" x14ac:dyDescent="0.25">
      <c r="A12883" t="s">
        <v>8</v>
      </c>
      <c r="B12883" s="1" t="str">
        <f>"000302991 - RICH FOODS BAPA-SSS ARAMARK"</f>
        <v>000302991 - RICH FOODS BAPA-SSS ARAMARK</v>
      </c>
      <c r="C12883" t="s">
        <v>373</v>
      </c>
      <c r="D12883" s="1" t="str">
        <f t="shared" si="353"/>
        <v>PRG-1038800</v>
      </c>
      <c r="E12883" t="s">
        <v>129</v>
      </c>
      <c r="F12883" t="s">
        <v>4</v>
      </c>
      <c r="G12883" t="str">
        <f>""</f>
        <v/>
      </c>
    </row>
    <row r="12884" spans="1:7" x14ac:dyDescent="0.25">
      <c r="A12884" t="s">
        <v>8</v>
      </c>
      <c r="B12884" s="1" t="str">
        <f>"000305148 - RICH FOODS BAPA-SSS ARAMARK"</f>
        <v>000305148 - RICH FOODS BAPA-SSS ARAMARK</v>
      </c>
      <c r="C12884" t="s">
        <v>373</v>
      </c>
      <c r="D12884" s="1" t="str">
        <f t="shared" si="353"/>
        <v>PRG-1038800</v>
      </c>
      <c r="E12884" t="s">
        <v>129</v>
      </c>
      <c r="F12884" t="s">
        <v>4</v>
      </c>
      <c r="G12884" t="str">
        <f>""</f>
        <v/>
      </c>
    </row>
    <row r="12885" spans="1:7" x14ac:dyDescent="0.25">
      <c r="A12885" t="s">
        <v>8</v>
      </c>
      <c r="B12885" s="1" t="str">
        <f>"000306738 - RICH FOODS BAPA-SSS ARAMARK"</f>
        <v>000306738 - RICH FOODS BAPA-SSS ARAMARK</v>
      </c>
      <c r="C12885" t="s">
        <v>373</v>
      </c>
      <c r="D12885" s="1" t="str">
        <f t="shared" si="353"/>
        <v>PRG-1038800</v>
      </c>
      <c r="E12885" t="s">
        <v>129</v>
      </c>
      <c r="F12885" t="s">
        <v>4</v>
      </c>
      <c r="G12885" t="str">
        <f>""</f>
        <v/>
      </c>
    </row>
    <row r="12886" spans="1:7" x14ac:dyDescent="0.25">
      <c r="A12886" t="s">
        <v>8</v>
      </c>
      <c r="B12886" s="1" t="str">
        <f>"000308242 - RICH FOODS BAPA-SSS ARAMARK"</f>
        <v>000308242 - RICH FOODS BAPA-SSS ARAMARK</v>
      </c>
      <c r="C12886" t="s">
        <v>373</v>
      </c>
      <c r="D12886" s="1" t="str">
        <f t="shared" si="353"/>
        <v>PRG-1038800</v>
      </c>
      <c r="E12886" t="s">
        <v>129</v>
      </c>
      <c r="F12886" t="s">
        <v>4</v>
      </c>
      <c r="G12886" t="str">
        <f>""</f>
        <v/>
      </c>
    </row>
    <row r="12887" spans="1:7" x14ac:dyDescent="0.25">
      <c r="A12887" t="s">
        <v>8</v>
      </c>
      <c r="B12887" s="1" t="str">
        <f>"000318270 - RICH FOODS-SSS ARAMARK"</f>
        <v>000318270 - RICH FOODS-SSS ARAMARK</v>
      </c>
      <c r="C12887" t="s">
        <v>128</v>
      </c>
      <c r="D12887" s="1" t="str">
        <f t="shared" si="353"/>
        <v>PRG-1038800</v>
      </c>
      <c r="E12887" t="s">
        <v>129</v>
      </c>
      <c r="F12887" t="s">
        <v>4</v>
      </c>
      <c r="G12887" t="str">
        <f>""</f>
        <v/>
      </c>
    </row>
    <row r="12888" spans="1:7" x14ac:dyDescent="0.25">
      <c r="A12888" t="s">
        <v>8</v>
      </c>
      <c r="B12888" s="1" t="str">
        <f>"000323283 - RICH FOODS BAPA-SSS ARAMARK"</f>
        <v>000323283 - RICH FOODS BAPA-SSS ARAMARK</v>
      </c>
      <c r="C12888" t="s">
        <v>373</v>
      </c>
      <c r="D12888" s="1" t="str">
        <f t="shared" si="353"/>
        <v>PRG-1038800</v>
      </c>
      <c r="E12888" t="s">
        <v>129</v>
      </c>
      <c r="F12888" t="s">
        <v>4</v>
      </c>
      <c r="G12888" t="str">
        <f>""</f>
        <v/>
      </c>
    </row>
    <row r="12889" spans="1:7" x14ac:dyDescent="0.25">
      <c r="A12889" t="s">
        <v>8</v>
      </c>
      <c r="B12889" s="1" t="str">
        <f>"000325049 - RICH FOODS BAPA-SSS ARAMARK"</f>
        <v>000325049 - RICH FOODS BAPA-SSS ARAMARK</v>
      </c>
      <c r="C12889" t="s">
        <v>373</v>
      </c>
      <c r="D12889" s="1" t="str">
        <f t="shared" si="353"/>
        <v>PRG-1038800</v>
      </c>
      <c r="E12889" t="s">
        <v>129</v>
      </c>
      <c r="F12889" t="s">
        <v>4</v>
      </c>
      <c r="G12889" t="str">
        <f>""</f>
        <v/>
      </c>
    </row>
    <row r="12890" spans="1:7" x14ac:dyDescent="0.25">
      <c r="A12890" t="s">
        <v>8</v>
      </c>
      <c r="B12890" s="1" t="str">
        <f>"000327519 - RICH FOODS BAPA-SSS ARAMARK"</f>
        <v>000327519 - RICH FOODS BAPA-SSS ARAMARK</v>
      </c>
      <c r="C12890" t="s">
        <v>373</v>
      </c>
      <c r="D12890" s="1" t="str">
        <f t="shared" si="353"/>
        <v>PRG-1038800</v>
      </c>
      <c r="E12890" t="s">
        <v>129</v>
      </c>
      <c r="F12890" t="s">
        <v>4</v>
      </c>
      <c r="G12890" t="str">
        <f>""</f>
        <v/>
      </c>
    </row>
    <row r="12891" spans="1:7" x14ac:dyDescent="0.25">
      <c r="A12891" t="s">
        <v>8</v>
      </c>
      <c r="B12891" s="1" t="str">
        <f>"000329095 - RICHS 100912 WAUKESHA"</f>
        <v>000329095 - RICHS 100912 WAUKESHA</v>
      </c>
      <c r="C12891" t="s">
        <v>3329</v>
      </c>
      <c r="D12891" s="1" t="str">
        <f t="shared" si="353"/>
        <v>PRG-1038800</v>
      </c>
      <c r="E12891" t="s">
        <v>129</v>
      </c>
      <c r="F12891" t="s">
        <v>4</v>
      </c>
      <c r="G12891" t="str">
        <f>""</f>
        <v/>
      </c>
    </row>
    <row r="12892" spans="1:7" x14ac:dyDescent="0.25">
      <c r="A12892" t="s">
        <v>8</v>
      </c>
      <c r="B12892" s="1" t="str">
        <f>"000329879 - RICHS 100912 BURLINGTON SCHOOL"</f>
        <v>000329879 - RICHS 100912 BURLINGTON SCHOOL</v>
      </c>
      <c r="C12892" t="s">
        <v>3337</v>
      </c>
      <c r="D12892" s="1" t="str">
        <f t="shared" si="353"/>
        <v>PRG-1038800</v>
      </c>
      <c r="E12892" t="s">
        <v>129</v>
      </c>
      <c r="F12892" t="s">
        <v>4</v>
      </c>
      <c r="G12892" t="str">
        <f>""</f>
        <v/>
      </c>
    </row>
    <row r="12893" spans="1:7" x14ac:dyDescent="0.25">
      <c r="A12893" t="s">
        <v>8</v>
      </c>
      <c r="B12893" s="1" t="str">
        <f>"000331287 - RICH FOODS BAPA-SSS ARAMARK"</f>
        <v>000331287 - RICH FOODS BAPA-SSS ARAMARK</v>
      </c>
      <c r="C12893" t="s">
        <v>373</v>
      </c>
      <c r="D12893" s="1" t="str">
        <f t="shared" si="353"/>
        <v>PRG-1038800</v>
      </c>
      <c r="E12893" t="s">
        <v>129</v>
      </c>
      <c r="F12893" t="s">
        <v>4</v>
      </c>
      <c r="G12893" t="str">
        <f>""</f>
        <v/>
      </c>
    </row>
    <row r="12894" spans="1:7" x14ac:dyDescent="0.25">
      <c r="A12894" t="s">
        <v>8</v>
      </c>
      <c r="B12894" s="1" t="str">
        <f>"000333537 - RICH FOODS BAPA-SSS ARAMARK"</f>
        <v>000333537 - RICH FOODS BAPA-SSS ARAMARK</v>
      </c>
      <c r="C12894" t="s">
        <v>373</v>
      </c>
      <c r="D12894" s="1" t="str">
        <f t="shared" si="353"/>
        <v>PRG-1038800</v>
      </c>
      <c r="E12894" t="s">
        <v>129</v>
      </c>
      <c r="F12894" t="s">
        <v>4</v>
      </c>
      <c r="G12894" t="str">
        <f>""</f>
        <v/>
      </c>
    </row>
    <row r="12895" spans="1:7" x14ac:dyDescent="0.25">
      <c r="A12895" t="s">
        <v>8</v>
      </c>
      <c r="B12895" s="1" t="str">
        <f>"000337305 - RICH FOODS BAPA-SSS ARAMARK"</f>
        <v>000337305 - RICH FOODS BAPA-SSS ARAMARK</v>
      </c>
      <c r="C12895" t="s">
        <v>373</v>
      </c>
      <c r="D12895" s="1" t="str">
        <f t="shared" si="353"/>
        <v>PRG-1038800</v>
      </c>
      <c r="E12895" t="s">
        <v>129</v>
      </c>
      <c r="F12895" t="s">
        <v>4</v>
      </c>
      <c r="G12895" t="str">
        <f>""</f>
        <v/>
      </c>
    </row>
    <row r="12896" spans="1:7" x14ac:dyDescent="0.25">
      <c r="A12896" t="s">
        <v>8</v>
      </c>
      <c r="B12896" s="1" t="str">
        <f>"000337555 - RICH FOODS BAPA-SSS ARAMARK"</f>
        <v>000337555 - RICH FOODS BAPA-SSS ARAMARK</v>
      </c>
      <c r="C12896" t="s">
        <v>373</v>
      </c>
      <c r="D12896" s="1" t="str">
        <f t="shared" si="353"/>
        <v>PRG-1038800</v>
      </c>
      <c r="E12896" t="s">
        <v>129</v>
      </c>
      <c r="F12896" t="s">
        <v>4</v>
      </c>
      <c r="G12896" t="str">
        <f>""</f>
        <v/>
      </c>
    </row>
    <row r="12897" spans="1:7" x14ac:dyDescent="0.25">
      <c r="A12897" t="s">
        <v>8</v>
      </c>
      <c r="B12897" s="1" t="str">
        <f>"000337659 - RICH FOODS BAPA-SSS ARAMARK"</f>
        <v>000337659 - RICH FOODS BAPA-SSS ARAMARK</v>
      </c>
      <c r="C12897" t="s">
        <v>373</v>
      </c>
      <c r="D12897" s="1" t="str">
        <f t="shared" si="353"/>
        <v>PRG-1038800</v>
      </c>
      <c r="E12897" t="s">
        <v>129</v>
      </c>
      <c r="F12897" t="s">
        <v>4</v>
      </c>
      <c r="G12897" t="str">
        <f>""</f>
        <v/>
      </c>
    </row>
    <row r="12898" spans="1:7" x14ac:dyDescent="0.25">
      <c r="A12898" t="s">
        <v>8</v>
      </c>
      <c r="B12898" s="1" t="str">
        <f>"000338427 - RICHS 100912 WATERFORD"</f>
        <v>000338427 - RICHS 100912 WATERFORD</v>
      </c>
      <c r="C12898" t="s">
        <v>3336</v>
      </c>
      <c r="D12898" s="1" t="str">
        <f t="shared" si="353"/>
        <v>PRG-1038800</v>
      </c>
      <c r="E12898" t="s">
        <v>129</v>
      </c>
      <c r="F12898" t="s">
        <v>4</v>
      </c>
      <c r="G12898" t="str">
        <f>""</f>
        <v/>
      </c>
    </row>
    <row r="12899" spans="1:7" x14ac:dyDescent="0.25">
      <c r="A12899" t="s">
        <v>8</v>
      </c>
      <c r="B12899" s="1" t="str">
        <f>"000338766 - RICH FOODS BAPA-SSS ARAMARK"</f>
        <v>000338766 - RICH FOODS BAPA-SSS ARAMARK</v>
      </c>
      <c r="C12899" t="s">
        <v>373</v>
      </c>
      <c r="D12899" s="1" t="str">
        <f t="shared" si="353"/>
        <v>PRG-1038800</v>
      </c>
      <c r="E12899" t="s">
        <v>129</v>
      </c>
      <c r="F12899" t="s">
        <v>4</v>
      </c>
      <c r="G12899" t="str">
        <f>""</f>
        <v/>
      </c>
    </row>
    <row r="12900" spans="1:7" x14ac:dyDescent="0.25">
      <c r="A12900" t="s">
        <v>8</v>
      </c>
      <c r="B12900" s="1" t="str">
        <f>"000338939 - RICH FOODS BAPA-SSS ARAMARK"</f>
        <v>000338939 - RICH FOODS BAPA-SSS ARAMARK</v>
      </c>
      <c r="C12900" t="s">
        <v>373</v>
      </c>
      <c r="D12900" s="1" t="str">
        <f t="shared" si="353"/>
        <v>PRG-1038800</v>
      </c>
      <c r="E12900" t="s">
        <v>129</v>
      </c>
      <c r="F12900" t="s">
        <v>4</v>
      </c>
      <c r="G12900" t="str">
        <f>""</f>
        <v/>
      </c>
    </row>
    <row r="12901" spans="1:7" x14ac:dyDescent="0.25">
      <c r="A12901" t="s">
        <v>8</v>
      </c>
      <c r="B12901" s="1" t="str">
        <f>"000339050 - RICH FOODS BAPA-SSS ARAMARK"</f>
        <v>000339050 - RICH FOODS BAPA-SSS ARAMARK</v>
      </c>
      <c r="C12901" t="s">
        <v>373</v>
      </c>
      <c r="D12901" s="1" t="str">
        <f t="shared" si="353"/>
        <v>PRG-1038800</v>
      </c>
      <c r="E12901" t="s">
        <v>129</v>
      </c>
      <c r="F12901" t="s">
        <v>4</v>
      </c>
      <c r="G12901" t="str">
        <f>""</f>
        <v/>
      </c>
    </row>
    <row r="12902" spans="1:7" x14ac:dyDescent="0.25">
      <c r="A12902" t="s">
        <v>8</v>
      </c>
      <c r="B12902" s="1" t="str">
        <f>"000343737 - RICH FOODS BAPA-SSS ARAMARK"</f>
        <v>000343737 - RICH FOODS BAPA-SSS ARAMARK</v>
      </c>
      <c r="C12902" t="s">
        <v>373</v>
      </c>
      <c r="D12902" s="1" t="str">
        <f t="shared" si="353"/>
        <v>PRG-1038800</v>
      </c>
      <c r="E12902" t="s">
        <v>129</v>
      </c>
      <c r="F12902" t="s">
        <v>4</v>
      </c>
      <c r="G12902" t="str">
        <f>""</f>
        <v/>
      </c>
    </row>
    <row r="12903" spans="1:7" x14ac:dyDescent="0.25">
      <c r="A12903" t="s">
        <v>8</v>
      </c>
      <c r="B12903" s="1" t="str">
        <f>"000347276 - RICH FOODS BAPA-SSS ARAMARK"</f>
        <v>000347276 - RICH FOODS BAPA-SSS ARAMARK</v>
      </c>
      <c r="C12903" t="s">
        <v>373</v>
      </c>
      <c r="D12903" s="1" t="str">
        <f t="shared" si="353"/>
        <v>PRG-1038800</v>
      </c>
      <c r="E12903" t="s">
        <v>129</v>
      </c>
      <c r="F12903" t="s">
        <v>4</v>
      </c>
      <c r="G12903" t="str">
        <f>""</f>
        <v/>
      </c>
    </row>
    <row r="12904" spans="1:7" x14ac:dyDescent="0.25">
      <c r="A12904" t="s">
        <v>8</v>
      </c>
      <c r="B12904" s="1" t="str">
        <f>"000351303 - RICH FOODS BAPA-SSS ARAMARK"</f>
        <v>000351303 - RICH FOODS BAPA-SSS ARAMARK</v>
      </c>
      <c r="C12904" t="s">
        <v>373</v>
      </c>
      <c r="D12904" s="1" t="str">
        <f t="shared" si="353"/>
        <v>PRG-1038800</v>
      </c>
      <c r="E12904" t="s">
        <v>129</v>
      </c>
      <c r="F12904" t="s">
        <v>4</v>
      </c>
      <c r="G12904" t="str">
        <f>""</f>
        <v/>
      </c>
    </row>
    <row r="12905" spans="1:7" x14ac:dyDescent="0.25">
      <c r="A12905" t="s">
        <v>8</v>
      </c>
      <c r="B12905" s="1" t="str">
        <f>"000351797 - RICHS SWEET DOUGH BB-SODEXO"</f>
        <v>000351797 - RICHS SWEET DOUGH BB-SODEXO</v>
      </c>
      <c r="C12905" t="s">
        <v>161</v>
      </c>
      <c r="D12905" s="1" t="str">
        <f t="shared" si="353"/>
        <v>PRG-1038800</v>
      </c>
      <c r="E12905" t="s">
        <v>129</v>
      </c>
      <c r="F12905" t="s">
        <v>4</v>
      </c>
      <c r="G12905" t="str">
        <f>""</f>
        <v/>
      </c>
    </row>
    <row r="12906" spans="1:7" x14ac:dyDescent="0.25">
      <c r="A12906" t="s">
        <v>8</v>
      </c>
      <c r="B12906" s="1" t="str">
        <f>"000355127 - RICH FOODS BAPA-SSS ARAMARK"</f>
        <v>000355127 - RICH FOODS BAPA-SSS ARAMARK</v>
      </c>
      <c r="C12906" t="s">
        <v>373</v>
      </c>
      <c r="D12906" s="1" t="str">
        <f t="shared" si="353"/>
        <v>PRG-1038800</v>
      </c>
      <c r="E12906" t="s">
        <v>129</v>
      </c>
      <c r="F12906" t="s">
        <v>4</v>
      </c>
      <c r="G12906" t="str">
        <f>""</f>
        <v/>
      </c>
    </row>
    <row r="12907" spans="1:7" x14ac:dyDescent="0.25">
      <c r="A12907" t="s">
        <v>8</v>
      </c>
      <c r="B12907" s="1" t="str">
        <f>"000356478 - RICH FOODS BAPA-SSS ARAMARK"</f>
        <v>000356478 - RICH FOODS BAPA-SSS ARAMARK</v>
      </c>
      <c r="C12907" t="s">
        <v>373</v>
      </c>
      <c r="D12907" s="1" t="str">
        <f t="shared" si="353"/>
        <v>PRG-1038800</v>
      </c>
      <c r="E12907" t="s">
        <v>129</v>
      </c>
      <c r="F12907" t="s">
        <v>4</v>
      </c>
      <c r="G12907" t="str">
        <f>""</f>
        <v/>
      </c>
    </row>
    <row r="12908" spans="1:7" x14ac:dyDescent="0.25">
      <c r="A12908" t="s">
        <v>8</v>
      </c>
      <c r="B12908" s="1" t="str">
        <f>"000357161 - CPS  RICHS-100912"</f>
        <v>000357161 - CPS  RICHS-100912</v>
      </c>
      <c r="C12908" t="s">
        <v>3356</v>
      </c>
      <c r="D12908" s="1" t="str">
        <f t="shared" si="353"/>
        <v>PRG-1038800</v>
      </c>
      <c r="E12908" t="s">
        <v>129</v>
      </c>
      <c r="F12908" t="s">
        <v>4</v>
      </c>
      <c r="G12908" t="str">
        <f>""</f>
        <v/>
      </c>
    </row>
    <row r="12909" spans="1:7" x14ac:dyDescent="0.25">
      <c r="A12909" t="s">
        <v>8</v>
      </c>
      <c r="B12909" s="1" t="str">
        <f>"000358847 - RICH FOODS BAPA-SSS ARAMARK"</f>
        <v>000358847 - RICH FOODS BAPA-SSS ARAMARK</v>
      </c>
      <c r="C12909" t="s">
        <v>373</v>
      </c>
      <c r="D12909" s="1" t="str">
        <f t="shared" si="353"/>
        <v>PRG-1038800</v>
      </c>
      <c r="E12909" t="s">
        <v>129</v>
      </c>
      <c r="F12909" t="s">
        <v>4</v>
      </c>
      <c r="G12909" t="str">
        <f>""</f>
        <v/>
      </c>
    </row>
    <row r="12910" spans="1:7" x14ac:dyDescent="0.25">
      <c r="A12910" t="s">
        <v>8</v>
      </c>
      <c r="B12910" s="1" t="str">
        <f>"000363889 - RICH FOODS BAPA-SSS ARAMARK"</f>
        <v>000363889 - RICH FOODS BAPA-SSS ARAMARK</v>
      </c>
      <c r="C12910" t="s">
        <v>373</v>
      </c>
      <c r="D12910" s="1" t="str">
        <f t="shared" si="353"/>
        <v>PRG-1038800</v>
      </c>
      <c r="E12910" t="s">
        <v>129</v>
      </c>
      <c r="F12910" t="s">
        <v>4</v>
      </c>
      <c r="G12910" t="str">
        <f>""</f>
        <v/>
      </c>
    </row>
    <row r="12911" spans="1:7" x14ac:dyDescent="0.25">
      <c r="A12911" t="s">
        <v>8</v>
      </c>
      <c r="B12911" s="1" t="str">
        <f>"000363976 - RICH FOODS BAPA-SSS ARAMARK"</f>
        <v>000363976 - RICH FOODS BAPA-SSS ARAMARK</v>
      </c>
      <c r="C12911" t="s">
        <v>373</v>
      </c>
      <c r="D12911" s="1" t="str">
        <f t="shared" si="353"/>
        <v>PRG-1038800</v>
      </c>
      <c r="E12911" t="s">
        <v>129</v>
      </c>
      <c r="F12911" t="s">
        <v>4</v>
      </c>
      <c r="G12911" t="str">
        <f>""</f>
        <v/>
      </c>
    </row>
    <row r="12912" spans="1:7" x14ac:dyDescent="0.25">
      <c r="A12912" t="s">
        <v>8</v>
      </c>
      <c r="B12912" s="1" t="str">
        <f>"000364534 - RICH FOODS BAPA-SSS ARAMARK"</f>
        <v>000364534 - RICH FOODS BAPA-SSS ARAMARK</v>
      </c>
      <c r="C12912" t="s">
        <v>373</v>
      </c>
      <c r="D12912" s="1" t="str">
        <f t="shared" si="353"/>
        <v>PRG-1038800</v>
      </c>
      <c r="E12912" t="s">
        <v>129</v>
      </c>
      <c r="F12912" t="s">
        <v>4</v>
      </c>
      <c r="G12912" t="str">
        <f>""</f>
        <v/>
      </c>
    </row>
    <row r="12913" spans="1:7" x14ac:dyDescent="0.25">
      <c r="A12913" t="s">
        <v>8</v>
      </c>
      <c r="B12913" s="1" t="str">
        <f>"000365832 - RICH FOODS BAPA-SSS ARAMARK"</f>
        <v>000365832 - RICH FOODS BAPA-SSS ARAMARK</v>
      </c>
      <c r="C12913" t="s">
        <v>373</v>
      </c>
      <c r="D12913" s="1" t="str">
        <f t="shared" si="353"/>
        <v>PRG-1038800</v>
      </c>
      <c r="E12913" t="s">
        <v>129</v>
      </c>
      <c r="F12913" t="s">
        <v>4</v>
      </c>
      <c r="G12913" t="str">
        <f>""</f>
        <v/>
      </c>
    </row>
    <row r="12914" spans="1:7" x14ac:dyDescent="0.25">
      <c r="A12914" t="s">
        <v>8</v>
      </c>
      <c r="B12914" s="1" t="str">
        <f>"000366045 - RICH FOODS BAPA-SSS ARAMARK"</f>
        <v>000366045 - RICH FOODS BAPA-SSS ARAMARK</v>
      </c>
      <c r="C12914" t="s">
        <v>373</v>
      </c>
      <c r="D12914" s="1" t="str">
        <f t="shared" ref="D12914:D12930" si="354">"PRG-1038800"</f>
        <v>PRG-1038800</v>
      </c>
      <c r="E12914" t="s">
        <v>129</v>
      </c>
      <c r="F12914" t="s">
        <v>4</v>
      </c>
      <c r="G12914" t="str">
        <f>""</f>
        <v/>
      </c>
    </row>
    <row r="12915" spans="1:7" x14ac:dyDescent="0.25">
      <c r="A12915" t="s">
        <v>8</v>
      </c>
      <c r="B12915" s="1" t="str">
        <f>"000367790 - RICH FOODS BAPA-SSS ARAMARK"</f>
        <v>000367790 - RICH FOODS BAPA-SSS ARAMARK</v>
      </c>
      <c r="C12915" t="s">
        <v>373</v>
      </c>
      <c r="D12915" s="1" t="str">
        <f t="shared" si="354"/>
        <v>PRG-1038800</v>
      </c>
      <c r="E12915" t="s">
        <v>129</v>
      </c>
      <c r="F12915" t="s">
        <v>4</v>
      </c>
      <c r="G12915" t="str">
        <f>""</f>
        <v/>
      </c>
    </row>
    <row r="12916" spans="1:7" x14ac:dyDescent="0.25">
      <c r="A12916" t="s">
        <v>8</v>
      </c>
      <c r="B12916" s="1" t="str">
        <f>"000368446 - "</f>
        <v xml:space="preserve">000368446 - </v>
      </c>
      <c r="D12916" s="1" t="str">
        <f t="shared" si="354"/>
        <v>PRG-1038800</v>
      </c>
      <c r="E12916" t="s">
        <v>129</v>
      </c>
      <c r="F12916" t="s">
        <v>4</v>
      </c>
      <c r="G12916" t="str">
        <f>""</f>
        <v/>
      </c>
    </row>
    <row r="12917" spans="1:7" x14ac:dyDescent="0.25">
      <c r="A12917" t="s">
        <v>8</v>
      </c>
      <c r="B12917" s="1" t="str">
        <f>"000368799 - RICH FOODS BAPA-SSS ARAMARK"</f>
        <v>000368799 - RICH FOODS BAPA-SSS ARAMARK</v>
      </c>
      <c r="C12917" t="s">
        <v>373</v>
      </c>
      <c r="D12917" s="1" t="str">
        <f t="shared" si="354"/>
        <v>PRG-1038800</v>
      </c>
      <c r="E12917" t="s">
        <v>129</v>
      </c>
      <c r="F12917" t="s">
        <v>4</v>
      </c>
      <c r="G12917" t="str">
        <f>""</f>
        <v/>
      </c>
    </row>
    <row r="12918" spans="1:7" x14ac:dyDescent="0.25">
      <c r="A12918" t="s">
        <v>8</v>
      </c>
      <c r="B12918" s="1" t="str">
        <f>"000371917 - RICH FOODS BAPA-SSS ARAMARK"</f>
        <v>000371917 - RICH FOODS BAPA-SSS ARAMARK</v>
      </c>
      <c r="C12918" t="s">
        <v>373</v>
      </c>
      <c r="D12918" s="1" t="str">
        <f t="shared" si="354"/>
        <v>PRG-1038800</v>
      </c>
      <c r="E12918" t="s">
        <v>129</v>
      </c>
      <c r="F12918" t="s">
        <v>4</v>
      </c>
      <c r="G12918" t="str">
        <f>""</f>
        <v/>
      </c>
    </row>
    <row r="12919" spans="1:7" x14ac:dyDescent="0.25">
      <c r="A12919" t="s">
        <v>8</v>
      </c>
      <c r="B12919" s="1" t="str">
        <f>"000372478 - RICH FOODS BAPA-SSS ARAMARK"</f>
        <v>000372478 - RICH FOODS BAPA-SSS ARAMARK</v>
      </c>
      <c r="C12919" t="s">
        <v>373</v>
      </c>
      <c r="D12919" s="1" t="str">
        <f t="shared" si="354"/>
        <v>PRG-1038800</v>
      </c>
      <c r="E12919" t="s">
        <v>129</v>
      </c>
      <c r="F12919" t="s">
        <v>4</v>
      </c>
      <c r="G12919" t="str">
        <f>""</f>
        <v/>
      </c>
    </row>
    <row r="12920" spans="1:7" x14ac:dyDescent="0.25">
      <c r="A12920" t="s">
        <v>8</v>
      </c>
      <c r="B12920" s="1" t="str">
        <f>"000373215 - RICH FOODS BAPA-SSS ARAMARK"</f>
        <v>000373215 - RICH FOODS BAPA-SSS ARAMARK</v>
      </c>
      <c r="C12920" t="s">
        <v>373</v>
      </c>
      <c r="D12920" s="1" t="str">
        <f t="shared" si="354"/>
        <v>PRG-1038800</v>
      </c>
      <c r="E12920" t="s">
        <v>129</v>
      </c>
      <c r="F12920" t="s">
        <v>4</v>
      </c>
      <c r="G12920" t="str">
        <f>""</f>
        <v/>
      </c>
    </row>
    <row r="12921" spans="1:7" x14ac:dyDescent="0.25">
      <c r="A12921" t="s">
        <v>8</v>
      </c>
      <c r="B12921" s="1" t="str">
        <f>"000374208 - RICH FOODS BAPA-SSS ARAMARK"</f>
        <v>000374208 - RICH FOODS BAPA-SSS ARAMARK</v>
      </c>
      <c r="C12921" t="s">
        <v>373</v>
      </c>
      <c r="D12921" s="1" t="str">
        <f t="shared" si="354"/>
        <v>PRG-1038800</v>
      </c>
      <c r="E12921" t="s">
        <v>129</v>
      </c>
      <c r="F12921" t="s">
        <v>4</v>
      </c>
      <c r="G12921" t="str">
        <f>""</f>
        <v/>
      </c>
    </row>
    <row r="12922" spans="1:7" x14ac:dyDescent="0.25">
      <c r="A12922" t="s">
        <v>8</v>
      </c>
      <c r="B12922" s="1" t="str">
        <f>"000375449 - RICH FOODS BAPA-SSS ARAMARK"</f>
        <v>000375449 - RICH FOODS BAPA-SSS ARAMARK</v>
      </c>
      <c r="C12922" t="s">
        <v>373</v>
      </c>
      <c r="D12922" s="1" t="str">
        <f t="shared" si="354"/>
        <v>PRG-1038800</v>
      </c>
      <c r="E12922" t="s">
        <v>129</v>
      </c>
      <c r="F12922" t="s">
        <v>4</v>
      </c>
      <c r="G12922" t="str">
        <f>""</f>
        <v/>
      </c>
    </row>
    <row r="12923" spans="1:7" x14ac:dyDescent="0.25">
      <c r="A12923" t="s">
        <v>8</v>
      </c>
      <c r="B12923" s="1" t="str">
        <f>"000375489 - RICH FOODS BAPA-SSS ARAMARK"</f>
        <v>000375489 - RICH FOODS BAPA-SSS ARAMARK</v>
      </c>
      <c r="C12923" t="s">
        <v>373</v>
      </c>
      <c r="D12923" s="1" t="str">
        <f t="shared" si="354"/>
        <v>PRG-1038800</v>
      </c>
      <c r="E12923" t="s">
        <v>129</v>
      </c>
      <c r="F12923" t="s">
        <v>4</v>
      </c>
      <c r="G12923" t="str">
        <f>""</f>
        <v/>
      </c>
    </row>
    <row r="12924" spans="1:7" x14ac:dyDescent="0.25">
      <c r="A12924" t="s">
        <v>8</v>
      </c>
      <c r="B12924" s="1" t="str">
        <f>"000376112 - RICH FOODS BAPA-SSS ARAMARK"</f>
        <v>000376112 - RICH FOODS BAPA-SSS ARAMARK</v>
      </c>
      <c r="C12924" t="s">
        <v>373</v>
      </c>
      <c r="D12924" s="1" t="str">
        <f t="shared" si="354"/>
        <v>PRG-1038800</v>
      </c>
      <c r="E12924" t="s">
        <v>129</v>
      </c>
      <c r="F12924" t="s">
        <v>4</v>
      </c>
      <c r="G12924" t="str">
        <f>""</f>
        <v/>
      </c>
    </row>
    <row r="12925" spans="1:7" x14ac:dyDescent="0.25">
      <c r="A12925" t="s">
        <v>8</v>
      </c>
      <c r="B12925" s="1" t="str">
        <f>"000377571 - RICH FOODS BAPA-SSS ARAMARK"</f>
        <v>000377571 - RICH FOODS BAPA-SSS ARAMARK</v>
      </c>
      <c r="C12925" t="s">
        <v>373</v>
      </c>
      <c r="D12925" s="1" t="str">
        <f t="shared" si="354"/>
        <v>PRG-1038800</v>
      </c>
      <c r="E12925" t="s">
        <v>129</v>
      </c>
      <c r="F12925" t="s">
        <v>4</v>
      </c>
      <c r="G12925" t="str">
        <f>""</f>
        <v/>
      </c>
    </row>
    <row r="12926" spans="1:7" x14ac:dyDescent="0.25">
      <c r="A12926" t="s">
        <v>8</v>
      </c>
      <c r="B12926" s="1" t="str">
        <f>"000387493 - RICH FOODS BAPA-SSS ARAMARK"</f>
        <v>000387493 - RICH FOODS BAPA-SSS ARAMARK</v>
      </c>
      <c r="C12926" t="s">
        <v>373</v>
      </c>
      <c r="D12926" s="1" t="str">
        <f t="shared" si="354"/>
        <v>PRG-1038800</v>
      </c>
      <c r="E12926" t="s">
        <v>129</v>
      </c>
      <c r="F12926" t="s">
        <v>4</v>
      </c>
      <c r="G12926" t="str">
        <f>""</f>
        <v/>
      </c>
    </row>
    <row r="12927" spans="1:7" x14ac:dyDescent="0.25">
      <c r="A12927" t="s">
        <v>8</v>
      </c>
      <c r="B12927" s="1" t="str">
        <f>"000389567 - RICH FOODS BAPA-SSS ARAMARK"</f>
        <v>000389567 - RICH FOODS BAPA-SSS ARAMARK</v>
      </c>
      <c r="C12927" t="s">
        <v>373</v>
      </c>
      <c r="D12927" s="1" t="str">
        <f t="shared" si="354"/>
        <v>PRG-1038800</v>
      </c>
      <c r="E12927" t="s">
        <v>129</v>
      </c>
      <c r="F12927" t="s">
        <v>4</v>
      </c>
      <c r="G12927" t="str">
        <f>""</f>
        <v/>
      </c>
    </row>
    <row r="12928" spans="1:7" x14ac:dyDescent="0.25">
      <c r="A12928" t="s">
        <v>8</v>
      </c>
      <c r="B12928" s="1" t="str">
        <f>"000390726 - RICH FOODS BAPA-SSS ARAMARK"</f>
        <v>000390726 - RICH FOODS BAPA-SSS ARAMARK</v>
      </c>
      <c r="C12928" t="s">
        <v>373</v>
      </c>
      <c r="D12928" s="1" t="str">
        <f t="shared" si="354"/>
        <v>PRG-1038800</v>
      </c>
      <c r="E12928" t="s">
        <v>129</v>
      </c>
      <c r="F12928" t="s">
        <v>4</v>
      </c>
      <c r="G12928" t="str">
        <f>""</f>
        <v/>
      </c>
    </row>
    <row r="12929" spans="1:7" x14ac:dyDescent="0.25">
      <c r="A12929" t="s">
        <v>8</v>
      </c>
      <c r="B12929" s="1" t="str">
        <f>"000391667 - RICH FOODS BAPA-SSS ARAMARK"</f>
        <v>000391667 - RICH FOODS BAPA-SSS ARAMARK</v>
      </c>
      <c r="C12929" t="s">
        <v>373</v>
      </c>
      <c r="D12929" s="1" t="str">
        <f t="shared" si="354"/>
        <v>PRG-1038800</v>
      </c>
      <c r="E12929" t="s">
        <v>129</v>
      </c>
      <c r="F12929" t="s">
        <v>4</v>
      </c>
      <c r="G12929" t="str">
        <f>""</f>
        <v/>
      </c>
    </row>
    <row r="12930" spans="1:7" x14ac:dyDescent="0.25">
      <c r="A12930" t="s">
        <v>8</v>
      </c>
      <c r="B12930" s="1" t="str">
        <f>"000392770 - RICH FOODS BAPA-SSS ARAMARK"</f>
        <v>000392770 - RICH FOODS BAPA-SSS ARAMARK</v>
      </c>
      <c r="C12930" t="s">
        <v>373</v>
      </c>
      <c r="D12930" s="1" t="str">
        <f t="shared" si="354"/>
        <v>PRG-1038800</v>
      </c>
      <c r="E12930" t="s">
        <v>129</v>
      </c>
      <c r="F12930" t="s">
        <v>4</v>
      </c>
      <c r="G12930" t="str">
        <f>""</f>
        <v/>
      </c>
    </row>
    <row r="12931" spans="1:7" x14ac:dyDescent="0.25">
      <c r="A12931" t="s">
        <v>8</v>
      </c>
      <c r="B12931" s="1" t="str">
        <f>"000008659 - CASA DIBRITACHI PROTEIN-ARMARK"</f>
        <v>000008659 - CASA DIBRITACHI PROTEIN-ARMARK</v>
      </c>
      <c r="C12931" t="s">
        <v>246</v>
      </c>
      <c r="D12931" s="1" t="str">
        <f t="shared" ref="D12931:D12953" si="355">"PRG-1038802"</f>
        <v>PRG-1038802</v>
      </c>
      <c r="E12931" t="s">
        <v>283</v>
      </c>
      <c r="F12931" t="s">
        <v>4</v>
      </c>
      <c r="G12931" t="str">
        <f>""</f>
        <v/>
      </c>
    </row>
    <row r="12932" spans="1:7" x14ac:dyDescent="0.25">
      <c r="A12932" t="s">
        <v>8</v>
      </c>
      <c r="B12932" s="1" t="str">
        <f>"000082508 - CASA DIBRITACHI PROTEIN-ARMARK"</f>
        <v>000082508 - CASA DIBRITACHI PROTEIN-ARMARK</v>
      </c>
      <c r="C12932" t="s">
        <v>246</v>
      </c>
      <c r="D12932" s="1" t="str">
        <f t="shared" si="355"/>
        <v>PRG-1038802</v>
      </c>
      <c r="E12932" t="s">
        <v>283</v>
      </c>
      <c r="F12932" t="s">
        <v>4</v>
      </c>
      <c r="G12932" t="str">
        <f>""</f>
        <v/>
      </c>
    </row>
    <row r="12933" spans="1:7" x14ac:dyDescent="0.25">
      <c r="A12933" t="s">
        <v>8</v>
      </c>
      <c r="B12933" s="1" t="str">
        <f>"000138004 - CASA DIBRITACHI PROTEIN-ARMARK"</f>
        <v>000138004 - CASA DIBRITACHI PROTEIN-ARMARK</v>
      </c>
      <c r="C12933" t="s">
        <v>246</v>
      </c>
      <c r="D12933" s="1" t="str">
        <f t="shared" si="355"/>
        <v>PRG-1038802</v>
      </c>
      <c r="E12933" t="s">
        <v>283</v>
      </c>
      <c r="F12933" t="s">
        <v>4</v>
      </c>
      <c r="G12933" t="str">
        <f>""</f>
        <v/>
      </c>
    </row>
    <row r="12934" spans="1:7" x14ac:dyDescent="0.25">
      <c r="A12934" t="s">
        <v>8</v>
      </c>
      <c r="B12934" s="1" t="str">
        <f>"000228357 - CASA DIBRITACHI PROTEIN-ARMARK"</f>
        <v>000228357 - CASA DIBRITACHI PROTEIN-ARMARK</v>
      </c>
      <c r="C12934" t="s">
        <v>246</v>
      </c>
      <c r="D12934" s="1" t="str">
        <f t="shared" si="355"/>
        <v>PRG-1038802</v>
      </c>
      <c r="E12934" t="s">
        <v>283</v>
      </c>
      <c r="F12934" t="s">
        <v>4</v>
      </c>
      <c r="G12934" t="str">
        <f>""</f>
        <v/>
      </c>
    </row>
    <row r="12935" spans="1:7" x14ac:dyDescent="0.25">
      <c r="A12935" t="s">
        <v>8</v>
      </c>
      <c r="B12935" s="1" t="str">
        <f>"000233679 - CASA DIBRITACHI PROTEIN-ARMARK"</f>
        <v>000233679 - CASA DIBRITACHI PROTEIN-ARMARK</v>
      </c>
      <c r="C12935" t="s">
        <v>246</v>
      </c>
      <c r="D12935" s="1" t="str">
        <f t="shared" si="355"/>
        <v>PRG-1038802</v>
      </c>
      <c r="E12935" t="s">
        <v>283</v>
      </c>
      <c r="F12935" t="s">
        <v>4</v>
      </c>
      <c r="G12935" t="str">
        <f>""</f>
        <v/>
      </c>
    </row>
    <row r="12936" spans="1:7" x14ac:dyDescent="0.25">
      <c r="A12936" t="s">
        <v>8</v>
      </c>
      <c r="B12936" s="1" t="str">
        <f>"000243217 - CASA DIBRITACHI PROTEIN-ARMARK"</f>
        <v>000243217 - CASA DIBRITACHI PROTEIN-ARMARK</v>
      </c>
      <c r="C12936" t="s">
        <v>246</v>
      </c>
      <c r="D12936" s="1" t="str">
        <f t="shared" si="355"/>
        <v>PRG-1038802</v>
      </c>
      <c r="E12936" t="s">
        <v>283</v>
      </c>
      <c r="F12936" t="s">
        <v>4</v>
      </c>
      <c r="G12936" t="str">
        <f>""</f>
        <v/>
      </c>
    </row>
    <row r="12937" spans="1:7" x14ac:dyDescent="0.25">
      <c r="A12937" t="s">
        <v>8</v>
      </c>
      <c r="B12937" s="1" t="str">
        <f>"000252175 - CASA DIBRITACHI PROTEIN-ARMARK"</f>
        <v>000252175 - CASA DIBRITACHI PROTEIN-ARMARK</v>
      </c>
      <c r="C12937" t="s">
        <v>246</v>
      </c>
      <c r="D12937" s="1" t="str">
        <f t="shared" si="355"/>
        <v>PRG-1038802</v>
      </c>
      <c r="E12937" t="s">
        <v>283</v>
      </c>
      <c r="F12937" t="s">
        <v>4</v>
      </c>
      <c r="G12937" t="str">
        <f>""</f>
        <v/>
      </c>
    </row>
    <row r="12938" spans="1:7" x14ac:dyDescent="0.25">
      <c r="A12938" t="s">
        <v>8</v>
      </c>
      <c r="B12938" s="1" t="str">
        <f>"000258227 - CASA DIBRITACHI PROTEIN-ARMARK"</f>
        <v>000258227 - CASA DIBRITACHI PROTEIN-ARMARK</v>
      </c>
      <c r="C12938" t="s">
        <v>246</v>
      </c>
      <c r="D12938" s="1" t="str">
        <f t="shared" si="355"/>
        <v>PRG-1038802</v>
      </c>
      <c r="E12938" t="s">
        <v>283</v>
      </c>
      <c r="F12938" t="s">
        <v>4</v>
      </c>
      <c r="G12938" t="str">
        <f>""</f>
        <v/>
      </c>
    </row>
    <row r="12939" spans="1:7" x14ac:dyDescent="0.25">
      <c r="A12939" t="s">
        <v>8</v>
      </c>
      <c r="B12939" s="1" t="str">
        <f>"000258895 - CASA DIBRITACHI PROTEIN-ARMARK"</f>
        <v>000258895 - CASA DIBRITACHI PROTEIN-ARMARK</v>
      </c>
      <c r="C12939" t="s">
        <v>246</v>
      </c>
      <c r="D12939" s="1" t="str">
        <f t="shared" si="355"/>
        <v>PRG-1038802</v>
      </c>
      <c r="E12939" t="s">
        <v>283</v>
      </c>
      <c r="F12939" t="s">
        <v>4</v>
      </c>
      <c r="G12939" t="str">
        <f>""</f>
        <v/>
      </c>
    </row>
    <row r="12940" spans="1:7" x14ac:dyDescent="0.25">
      <c r="A12940" t="s">
        <v>8</v>
      </c>
      <c r="B12940" s="1" t="str">
        <f>"000262723 - CASA DIBRITACHI PROTEIN-ARMARK"</f>
        <v>000262723 - CASA DIBRITACHI PROTEIN-ARMARK</v>
      </c>
      <c r="C12940" t="s">
        <v>246</v>
      </c>
      <c r="D12940" s="1" t="str">
        <f t="shared" si="355"/>
        <v>PRG-1038802</v>
      </c>
      <c r="E12940" t="s">
        <v>283</v>
      </c>
      <c r="F12940" t="s">
        <v>4</v>
      </c>
      <c r="G12940" t="str">
        <f>""</f>
        <v/>
      </c>
    </row>
    <row r="12941" spans="1:7" x14ac:dyDescent="0.25">
      <c r="A12941" t="s">
        <v>8</v>
      </c>
      <c r="B12941" s="1" t="str">
        <f>"000264572 - CASA DIBRITACHI PROTEIN-ARMARK"</f>
        <v>000264572 - CASA DIBRITACHI PROTEIN-ARMARK</v>
      </c>
      <c r="C12941" t="s">
        <v>246</v>
      </c>
      <c r="D12941" s="1" t="str">
        <f t="shared" si="355"/>
        <v>PRG-1038802</v>
      </c>
      <c r="E12941" t="s">
        <v>283</v>
      </c>
      <c r="F12941" t="s">
        <v>4</v>
      </c>
      <c r="G12941" t="str">
        <f>""</f>
        <v/>
      </c>
    </row>
    <row r="12942" spans="1:7" x14ac:dyDescent="0.25">
      <c r="A12942" t="s">
        <v>8</v>
      </c>
      <c r="B12942" s="1" t="str">
        <f>"000276198 - CASA DIBRITACHI PROTEIN-ARMARK"</f>
        <v>000276198 - CASA DIBRITACHI PROTEIN-ARMARK</v>
      </c>
      <c r="C12942" t="s">
        <v>246</v>
      </c>
      <c r="D12942" s="1" t="str">
        <f t="shared" si="355"/>
        <v>PRG-1038802</v>
      </c>
      <c r="E12942" t="s">
        <v>283</v>
      </c>
      <c r="F12942" t="s">
        <v>4</v>
      </c>
      <c r="G12942" t="str">
        <f>""</f>
        <v/>
      </c>
    </row>
    <row r="12943" spans="1:7" x14ac:dyDescent="0.25">
      <c r="A12943" t="s">
        <v>8</v>
      </c>
      <c r="B12943" s="1" t="str">
        <f>"000281180 - CASA DIBRITACHI PROTEIN-ARMARK"</f>
        <v>000281180 - CASA DIBRITACHI PROTEIN-ARMARK</v>
      </c>
      <c r="C12943" t="s">
        <v>246</v>
      </c>
      <c r="D12943" s="1" t="str">
        <f t="shared" si="355"/>
        <v>PRG-1038802</v>
      </c>
      <c r="E12943" t="s">
        <v>283</v>
      </c>
      <c r="F12943" t="s">
        <v>4</v>
      </c>
      <c r="G12943" t="str">
        <f>""</f>
        <v/>
      </c>
    </row>
    <row r="12944" spans="1:7" x14ac:dyDescent="0.25">
      <c r="A12944" t="s">
        <v>8</v>
      </c>
      <c r="B12944" s="1" t="str">
        <f>"000281531 - CASA DIBRITACHI PROTEIN-ARMARK"</f>
        <v>000281531 - CASA DIBRITACHI PROTEIN-ARMARK</v>
      </c>
      <c r="C12944" t="s">
        <v>246</v>
      </c>
      <c r="D12944" s="1" t="str">
        <f t="shared" si="355"/>
        <v>PRG-1038802</v>
      </c>
      <c r="E12944" t="s">
        <v>283</v>
      </c>
      <c r="F12944" t="s">
        <v>4</v>
      </c>
      <c r="G12944" t="str">
        <f>""</f>
        <v/>
      </c>
    </row>
    <row r="12945" spans="1:7" x14ac:dyDescent="0.25">
      <c r="A12945" t="s">
        <v>8</v>
      </c>
      <c r="B12945" s="1" t="str">
        <f>"000285194 - CASA DIBRITACHI PROTEIN-ARMARK"</f>
        <v>000285194 - CASA DIBRITACHI PROTEIN-ARMARK</v>
      </c>
      <c r="C12945" t="s">
        <v>246</v>
      </c>
      <c r="D12945" s="1" t="str">
        <f t="shared" si="355"/>
        <v>PRG-1038802</v>
      </c>
      <c r="E12945" t="s">
        <v>283</v>
      </c>
      <c r="F12945" t="s">
        <v>4</v>
      </c>
      <c r="G12945" t="str">
        <f>""</f>
        <v/>
      </c>
    </row>
    <row r="12946" spans="1:7" x14ac:dyDescent="0.25">
      <c r="A12946" t="s">
        <v>8</v>
      </c>
      <c r="B12946" s="1" t="str">
        <f>"000286631 - CASA DIBRITACHI PROTEIN-ARMARK"</f>
        <v>000286631 - CASA DIBRITACHI PROTEIN-ARMARK</v>
      </c>
      <c r="C12946" t="s">
        <v>246</v>
      </c>
      <c r="D12946" s="1" t="str">
        <f t="shared" si="355"/>
        <v>PRG-1038802</v>
      </c>
      <c r="E12946" t="s">
        <v>283</v>
      </c>
      <c r="F12946" t="s">
        <v>4</v>
      </c>
      <c r="G12946" t="str">
        <f>""</f>
        <v/>
      </c>
    </row>
    <row r="12947" spans="1:7" x14ac:dyDescent="0.25">
      <c r="A12947" t="s">
        <v>8</v>
      </c>
      <c r="B12947" s="1" t="str">
        <f>"000287046 - CASA DIBRITACHI PROTEIN-ARMARK"</f>
        <v>000287046 - CASA DIBRITACHI PROTEIN-ARMARK</v>
      </c>
      <c r="C12947" t="s">
        <v>246</v>
      </c>
      <c r="D12947" s="1" t="str">
        <f t="shared" si="355"/>
        <v>PRG-1038802</v>
      </c>
      <c r="E12947" t="s">
        <v>283</v>
      </c>
      <c r="F12947" t="s">
        <v>4</v>
      </c>
      <c r="G12947" t="str">
        <f>""</f>
        <v/>
      </c>
    </row>
    <row r="12948" spans="1:7" x14ac:dyDescent="0.25">
      <c r="A12948" t="s">
        <v>8</v>
      </c>
      <c r="B12948" s="1" t="str">
        <f>"000287942 - CASA DIBRITACHI PROTEIN-ARAMAR"</f>
        <v>000287942 - CASA DIBRITACHI PROTEIN-ARAMAR</v>
      </c>
      <c r="C12948" t="s">
        <v>330</v>
      </c>
      <c r="D12948" s="1" t="str">
        <f t="shared" si="355"/>
        <v>PRG-1038802</v>
      </c>
      <c r="E12948" t="s">
        <v>283</v>
      </c>
      <c r="F12948" t="s">
        <v>4</v>
      </c>
      <c r="G12948" t="str">
        <f>""</f>
        <v/>
      </c>
    </row>
    <row r="12949" spans="1:7" x14ac:dyDescent="0.25">
      <c r="A12949" t="s">
        <v>8</v>
      </c>
      <c r="B12949" s="1" t="str">
        <f>"000289044 - CASA DIBRITACHI PROTEIN-ARMARK"</f>
        <v>000289044 - CASA DIBRITACHI PROTEIN-ARMARK</v>
      </c>
      <c r="C12949" t="s">
        <v>246</v>
      </c>
      <c r="D12949" s="1" t="str">
        <f t="shared" si="355"/>
        <v>PRG-1038802</v>
      </c>
      <c r="E12949" t="s">
        <v>283</v>
      </c>
      <c r="F12949" t="s">
        <v>4</v>
      </c>
      <c r="G12949" t="str">
        <f>""</f>
        <v/>
      </c>
    </row>
    <row r="12950" spans="1:7" x14ac:dyDescent="0.25">
      <c r="A12950" t="s">
        <v>8</v>
      </c>
      <c r="B12950" s="1" t="str">
        <f>"000341587 - CASA DIBRITACHI PROTEIN-ARMARK"</f>
        <v>000341587 - CASA DIBRITACHI PROTEIN-ARMARK</v>
      </c>
      <c r="C12950" t="s">
        <v>246</v>
      </c>
      <c r="D12950" s="1" t="str">
        <f t="shared" si="355"/>
        <v>PRG-1038802</v>
      </c>
      <c r="E12950" t="s">
        <v>283</v>
      </c>
      <c r="F12950" t="s">
        <v>4</v>
      </c>
      <c r="G12950" t="str">
        <f>""</f>
        <v/>
      </c>
    </row>
    <row r="12951" spans="1:7" x14ac:dyDescent="0.25">
      <c r="A12951" t="s">
        <v>8</v>
      </c>
      <c r="B12951" s="1" t="str">
        <f>"000370110 - CASA DIBRITACHI PROTEIN-ARMARK"</f>
        <v>000370110 - CASA DIBRITACHI PROTEIN-ARMARK</v>
      </c>
      <c r="C12951" t="s">
        <v>246</v>
      </c>
      <c r="D12951" s="1" t="str">
        <f t="shared" si="355"/>
        <v>PRG-1038802</v>
      </c>
      <c r="E12951" t="s">
        <v>283</v>
      </c>
      <c r="F12951" t="s">
        <v>4</v>
      </c>
      <c r="G12951" t="str">
        <f>""</f>
        <v/>
      </c>
    </row>
    <row r="12952" spans="1:7" x14ac:dyDescent="0.25">
      <c r="A12952" t="s">
        <v>8</v>
      </c>
      <c r="B12952" s="1" t="str">
        <f>"000371912 - CASA DIBERTACCHI-SSS ARAMARK"</f>
        <v>000371912 - CASA DIBERTACCHI-SSS ARAMARK</v>
      </c>
      <c r="C12952" t="s">
        <v>150</v>
      </c>
      <c r="D12952" s="1" t="str">
        <f t="shared" si="355"/>
        <v>PRG-1038802</v>
      </c>
      <c r="E12952" t="s">
        <v>283</v>
      </c>
      <c r="F12952" t="s">
        <v>4</v>
      </c>
      <c r="G12952" t="str">
        <f>""</f>
        <v/>
      </c>
    </row>
    <row r="12953" spans="1:7" x14ac:dyDescent="0.25">
      <c r="A12953" t="s">
        <v>8</v>
      </c>
      <c r="B12953" s="1" t="str">
        <f>"278501 - "</f>
        <v xml:space="preserve">278501 - </v>
      </c>
      <c r="D12953" s="1" t="str">
        <f t="shared" si="355"/>
        <v>PRG-1038802</v>
      </c>
      <c r="E12953" t="s">
        <v>283</v>
      </c>
      <c r="F12953" t="s">
        <v>4</v>
      </c>
      <c r="G12953" t="str">
        <f>""</f>
        <v/>
      </c>
    </row>
    <row r="12954" spans="1:7" x14ac:dyDescent="0.25">
      <c r="A12954" t="s">
        <v>8</v>
      </c>
      <c r="B12954" s="1" t="str">
        <f>"000252821 - LA COOP RICH PRODUCTS"</f>
        <v>000252821 - LA COOP RICH PRODUCTS</v>
      </c>
      <c r="C12954" t="s">
        <v>2027</v>
      </c>
      <c r="D12954" s="1" t="str">
        <f>"PRG-1038808"</f>
        <v>PRG-1038808</v>
      </c>
      <c r="E12954" t="s">
        <v>2138</v>
      </c>
      <c r="F12954" t="s">
        <v>4</v>
      </c>
      <c r="G12954" t="str">
        <f>""</f>
        <v/>
      </c>
    </row>
    <row r="12955" spans="1:7" x14ac:dyDescent="0.25">
      <c r="A12955" t="s">
        <v>8</v>
      </c>
      <c r="B12955" s="1" t="str">
        <f>"000005535 - RICH FOODS-SSS ARAMARK"</f>
        <v>000005535 - RICH FOODS-SSS ARAMARK</v>
      </c>
      <c r="C12955" t="s">
        <v>128</v>
      </c>
      <c r="D12955" s="1" t="str">
        <f t="shared" ref="D12955:D12995" si="356">"PRG-1038817"</f>
        <v>PRG-1038817</v>
      </c>
      <c r="E12955" t="s">
        <v>226</v>
      </c>
      <c r="F12955" t="s">
        <v>4</v>
      </c>
      <c r="G12955" t="str">
        <f>""</f>
        <v/>
      </c>
    </row>
    <row r="12956" spans="1:7" x14ac:dyDescent="0.25">
      <c r="A12956" t="s">
        <v>8</v>
      </c>
      <c r="B12956" s="1" t="str">
        <f>"000008257 - RICH FOODS-MAIN ARAMARK"</f>
        <v>000008257 - RICH FOODS-MAIN ARAMARK</v>
      </c>
      <c r="C12956" t="s">
        <v>126</v>
      </c>
      <c r="D12956" s="1" t="str">
        <f t="shared" si="356"/>
        <v>PRG-1038817</v>
      </c>
      <c r="E12956" t="s">
        <v>226</v>
      </c>
      <c r="F12956" t="s">
        <v>4</v>
      </c>
      <c r="G12956" t="str">
        <f>""</f>
        <v/>
      </c>
    </row>
    <row r="12957" spans="1:7" x14ac:dyDescent="0.25">
      <c r="A12957" t="s">
        <v>8</v>
      </c>
      <c r="B12957" s="1" t="str">
        <f>"000014462 - RICH FOODS BAPA ARAMARK"</f>
        <v>000014462 - RICH FOODS BAPA ARAMARK</v>
      </c>
      <c r="C12957" t="s">
        <v>358</v>
      </c>
      <c r="D12957" s="1" t="str">
        <f t="shared" si="356"/>
        <v>PRG-1038817</v>
      </c>
      <c r="E12957" t="s">
        <v>226</v>
      </c>
      <c r="F12957" t="s">
        <v>4</v>
      </c>
      <c r="G12957" t="str">
        <f>""</f>
        <v/>
      </c>
    </row>
    <row r="12958" spans="1:7" x14ac:dyDescent="0.25">
      <c r="A12958" t="s">
        <v>8</v>
      </c>
      <c r="B12958" s="1" t="str">
        <f>"000014837 - RICH FOODS-MAIN ARAMARK"</f>
        <v>000014837 - RICH FOODS-MAIN ARAMARK</v>
      </c>
      <c r="C12958" t="s">
        <v>126</v>
      </c>
      <c r="D12958" s="1" t="str">
        <f t="shared" si="356"/>
        <v>PRG-1038817</v>
      </c>
      <c r="E12958" t="s">
        <v>226</v>
      </c>
      <c r="F12958" t="s">
        <v>4</v>
      </c>
      <c r="G12958" t="str">
        <f>""</f>
        <v/>
      </c>
    </row>
    <row r="12959" spans="1:7" x14ac:dyDescent="0.25">
      <c r="A12959" t="s">
        <v>8</v>
      </c>
      <c r="B12959" s="1" t="str">
        <f>"000015725 - RICH FOODS-MAIN ARAMARK"</f>
        <v>000015725 - RICH FOODS-MAIN ARAMARK</v>
      </c>
      <c r="C12959" t="s">
        <v>126</v>
      </c>
      <c r="D12959" s="1" t="str">
        <f t="shared" si="356"/>
        <v>PRG-1038817</v>
      </c>
      <c r="E12959" t="s">
        <v>226</v>
      </c>
      <c r="F12959" t="s">
        <v>4</v>
      </c>
      <c r="G12959" t="str">
        <f>""</f>
        <v/>
      </c>
    </row>
    <row r="12960" spans="1:7" x14ac:dyDescent="0.25">
      <c r="A12960" t="s">
        <v>8</v>
      </c>
      <c r="B12960" s="1" t="str">
        <f>"000016300 - RICH FOODS BAPA ARAMARK"</f>
        <v>000016300 - RICH FOODS BAPA ARAMARK</v>
      </c>
      <c r="C12960" t="s">
        <v>358</v>
      </c>
      <c r="D12960" s="1" t="str">
        <f t="shared" si="356"/>
        <v>PRG-1038817</v>
      </c>
      <c r="E12960" t="s">
        <v>226</v>
      </c>
      <c r="F12960" t="s">
        <v>4</v>
      </c>
      <c r="G12960" t="str">
        <f>""</f>
        <v/>
      </c>
    </row>
    <row r="12961" spans="1:7" x14ac:dyDescent="0.25">
      <c r="A12961" t="s">
        <v>8</v>
      </c>
      <c r="B12961" s="1" t="str">
        <f>"000025976 - RICH FOODS-MAIN ARAMARK"</f>
        <v>000025976 - RICH FOODS-MAIN ARAMARK</v>
      </c>
      <c r="C12961" t="s">
        <v>126</v>
      </c>
      <c r="D12961" s="1" t="str">
        <f t="shared" si="356"/>
        <v>PRG-1038817</v>
      </c>
      <c r="E12961" t="s">
        <v>226</v>
      </c>
      <c r="F12961" t="s">
        <v>4</v>
      </c>
      <c r="G12961" t="str">
        <f>""</f>
        <v/>
      </c>
    </row>
    <row r="12962" spans="1:7" x14ac:dyDescent="0.25">
      <c r="A12962" t="s">
        <v>8</v>
      </c>
      <c r="B12962" s="1" t="str">
        <f>"000066854 - RICH FOODS-MAIN ARAMARK"</f>
        <v>000066854 - RICH FOODS-MAIN ARAMARK</v>
      </c>
      <c r="C12962" t="s">
        <v>126</v>
      </c>
      <c r="D12962" s="1" t="str">
        <f t="shared" si="356"/>
        <v>PRG-1038817</v>
      </c>
      <c r="E12962" t="s">
        <v>226</v>
      </c>
      <c r="F12962" t="s">
        <v>4</v>
      </c>
      <c r="G12962" t="str">
        <f>""</f>
        <v/>
      </c>
    </row>
    <row r="12963" spans="1:7" x14ac:dyDescent="0.25">
      <c r="A12963" t="s">
        <v>8</v>
      </c>
      <c r="B12963" s="1" t="str">
        <f>"000138809 - RICH FOODS-MAIN ARAMARK"</f>
        <v>000138809 - RICH FOODS-MAIN ARAMARK</v>
      </c>
      <c r="C12963" t="s">
        <v>126</v>
      </c>
      <c r="D12963" s="1" t="str">
        <f t="shared" si="356"/>
        <v>PRG-1038817</v>
      </c>
      <c r="E12963" t="s">
        <v>226</v>
      </c>
      <c r="F12963" t="s">
        <v>4</v>
      </c>
      <c r="G12963" t="str">
        <f>""</f>
        <v/>
      </c>
    </row>
    <row r="12964" spans="1:7" x14ac:dyDescent="0.25">
      <c r="A12964" t="s">
        <v>8</v>
      </c>
      <c r="B12964" s="1" t="str">
        <f>"000141559 - RICH FOODS-MAIN ARAMARK"</f>
        <v>000141559 - RICH FOODS-MAIN ARAMARK</v>
      </c>
      <c r="C12964" t="s">
        <v>126</v>
      </c>
      <c r="D12964" s="1" t="str">
        <f t="shared" si="356"/>
        <v>PRG-1038817</v>
      </c>
      <c r="E12964" t="s">
        <v>226</v>
      </c>
      <c r="F12964" t="s">
        <v>4</v>
      </c>
      <c r="G12964" t="str">
        <f>""</f>
        <v/>
      </c>
    </row>
    <row r="12965" spans="1:7" x14ac:dyDescent="0.25">
      <c r="A12965" t="s">
        <v>8</v>
      </c>
      <c r="B12965" s="1" t="str">
        <f>"000160237 - RICH FOODS-MAIN ARAMARK"</f>
        <v>000160237 - RICH FOODS-MAIN ARAMARK</v>
      </c>
      <c r="C12965" t="s">
        <v>126</v>
      </c>
      <c r="D12965" s="1" t="str">
        <f t="shared" si="356"/>
        <v>PRG-1038817</v>
      </c>
      <c r="E12965" t="s">
        <v>226</v>
      </c>
      <c r="F12965" t="s">
        <v>4</v>
      </c>
      <c r="G12965" t="str">
        <f>""</f>
        <v/>
      </c>
    </row>
    <row r="12966" spans="1:7" x14ac:dyDescent="0.25">
      <c r="A12966" t="s">
        <v>8</v>
      </c>
      <c r="B12966" s="1" t="str">
        <f>"000229158 - RICH FOODS-MAIN ARAMARK"</f>
        <v>000229158 - RICH FOODS-MAIN ARAMARK</v>
      </c>
      <c r="C12966" t="s">
        <v>126</v>
      </c>
      <c r="D12966" s="1" t="str">
        <f t="shared" si="356"/>
        <v>PRG-1038817</v>
      </c>
      <c r="E12966" t="s">
        <v>226</v>
      </c>
      <c r="F12966" t="s">
        <v>4</v>
      </c>
      <c r="G12966" t="str">
        <f>""</f>
        <v/>
      </c>
    </row>
    <row r="12967" spans="1:7" x14ac:dyDescent="0.25">
      <c r="A12967" t="s">
        <v>8</v>
      </c>
      <c r="B12967" s="1" t="str">
        <f>"000230030 - RICH FOODS-MAIN ARAMARK"</f>
        <v>000230030 - RICH FOODS-MAIN ARAMARK</v>
      </c>
      <c r="C12967" t="s">
        <v>126</v>
      </c>
      <c r="D12967" s="1" t="str">
        <f t="shared" si="356"/>
        <v>PRG-1038817</v>
      </c>
      <c r="E12967" t="s">
        <v>226</v>
      </c>
      <c r="F12967" t="s">
        <v>4</v>
      </c>
      <c r="G12967" t="str">
        <f>""</f>
        <v/>
      </c>
    </row>
    <row r="12968" spans="1:7" x14ac:dyDescent="0.25">
      <c r="A12968" t="s">
        <v>8</v>
      </c>
      <c r="B12968" s="1" t="str">
        <f>"000237759 - RICH FOODS-MAIN ARAMARK"</f>
        <v>000237759 - RICH FOODS-MAIN ARAMARK</v>
      </c>
      <c r="C12968" t="s">
        <v>126</v>
      </c>
      <c r="D12968" s="1" t="str">
        <f t="shared" si="356"/>
        <v>PRG-1038817</v>
      </c>
      <c r="E12968" t="s">
        <v>226</v>
      </c>
      <c r="F12968" t="s">
        <v>4</v>
      </c>
      <c r="G12968" t="str">
        <f>""</f>
        <v/>
      </c>
    </row>
    <row r="12969" spans="1:7" x14ac:dyDescent="0.25">
      <c r="A12969" t="s">
        <v>8</v>
      </c>
      <c r="B12969" s="1" t="str">
        <f>"000244518 - RICH FOODS-MAIN ARAMARK"</f>
        <v>000244518 - RICH FOODS-MAIN ARAMARK</v>
      </c>
      <c r="C12969" t="s">
        <v>126</v>
      </c>
      <c r="D12969" s="1" t="str">
        <f t="shared" si="356"/>
        <v>PRG-1038817</v>
      </c>
      <c r="E12969" t="s">
        <v>226</v>
      </c>
      <c r="F12969" t="s">
        <v>4</v>
      </c>
      <c r="G12969" t="str">
        <f>""</f>
        <v/>
      </c>
    </row>
    <row r="12970" spans="1:7" x14ac:dyDescent="0.25">
      <c r="A12970" t="s">
        <v>8</v>
      </c>
      <c r="B12970" s="1" t="str">
        <f>"000252866 - RICH FOODS-MAIN ARAMARK"</f>
        <v>000252866 - RICH FOODS-MAIN ARAMARK</v>
      </c>
      <c r="C12970" t="s">
        <v>126</v>
      </c>
      <c r="D12970" s="1" t="str">
        <f t="shared" si="356"/>
        <v>PRG-1038817</v>
      </c>
      <c r="E12970" t="s">
        <v>226</v>
      </c>
      <c r="F12970" t="s">
        <v>4</v>
      </c>
      <c r="G12970" t="str">
        <f>""</f>
        <v/>
      </c>
    </row>
    <row r="12971" spans="1:7" x14ac:dyDescent="0.25">
      <c r="A12971" t="s">
        <v>8</v>
      </c>
      <c r="B12971" s="1" t="str">
        <f>"000254224 - RICH FOODS-MAIN ARAMARK"</f>
        <v>000254224 - RICH FOODS-MAIN ARAMARK</v>
      </c>
      <c r="C12971" t="s">
        <v>126</v>
      </c>
      <c r="D12971" s="1" t="str">
        <f t="shared" si="356"/>
        <v>PRG-1038817</v>
      </c>
      <c r="E12971" t="s">
        <v>226</v>
      </c>
      <c r="F12971" t="s">
        <v>4</v>
      </c>
      <c r="G12971" t="str">
        <f>""</f>
        <v/>
      </c>
    </row>
    <row r="12972" spans="1:7" x14ac:dyDescent="0.25">
      <c r="A12972" t="s">
        <v>8</v>
      </c>
      <c r="B12972" s="1" t="str">
        <f>"000258962 - RICH FOODS-MAIN ARAMARK"</f>
        <v>000258962 - RICH FOODS-MAIN ARAMARK</v>
      </c>
      <c r="C12972" t="s">
        <v>126</v>
      </c>
      <c r="D12972" s="1" t="str">
        <f t="shared" si="356"/>
        <v>PRG-1038817</v>
      </c>
      <c r="E12972" t="s">
        <v>226</v>
      </c>
      <c r="F12972" t="s">
        <v>4</v>
      </c>
      <c r="G12972" t="str">
        <f>""</f>
        <v/>
      </c>
    </row>
    <row r="12973" spans="1:7" x14ac:dyDescent="0.25">
      <c r="A12973" t="s">
        <v>8</v>
      </c>
      <c r="B12973" s="1" t="str">
        <f>"000259752 - RICH FOODS-MAIN ARAMARK"</f>
        <v>000259752 - RICH FOODS-MAIN ARAMARK</v>
      </c>
      <c r="C12973" t="s">
        <v>126</v>
      </c>
      <c r="D12973" s="1" t="str">
        <f t="shared" si="356"/>
        <v>PRG-1038817</v>
      </c>
      <c r="E12973" t="s">
        <v>226</v>
      </c>
      <c r="F12973" t="s">
        <v>4</v>
      </c>
      <c r="G12973" t="str">
        <f>""</f>
        <v/>
      </c>
    </row>
    <row r="12974" spans="1:7" x14ac:dyDescent="0.25">
      <c r="A12974" t="s">
        <v>8</v>
      </c>
      <c r="B12974" s="1" t="str">
        <f>"000259909 - RICH FOODS-MAIN ARAMARK"</f>
        <v>000259909 - RICH FOODS-MAIN ARAMARK</v>
      </c>
      <c r="C12974" t="s">
        <v>126</v>
      </c>
      <c r="D12974" s="1" t="str">
        <f t="shared" si="356"/>
        <v>PRG-1038817</v>
      </c>
      <c r="E12974" t="s">
        <v>226</v>
      </c>
      <c r="F12974" t="s">
        <v>4</v>
      </c>
      <c r="G12974" t="str">
        <f>""</f>
        <v/>
      </c>
    </row>
    <row r="12975" spans="1:7" x14ac:dyDescent="0.25">
      <c r="A12975" t="s">
        <v>8</v>
      </c>
      <c r="B12975" s="1" t="str">
        <f>"000261313 - "</f>
        <v xml:space="preserve">000261313 - </v>
      </c>
      <c r="D12975" s="1" t="str">
        <f t="shared" si="356"/>
        <v>PRG-1038817</v>
      </c>
      <c r="E12975" t="s">
        <v>226</v>
      </c>
      <c r="F12975" t="s">
        <v>4</v>
      </c>
      <c r="G12975" t="str">
        <f>""</f>
        <v/>
      </c>
    </row>
    <row r="12976" spans="1:7" x14ac:dyDescent="0.25">
      <c r="A12976" t="s">
        <v>8</v>
      </c>
      <c r="B12976" s="1" t="str">
        <f>"000263541 - RICH FOODS MAIN-ARAMARK"</f>
        <v>000263541 - RICH FOODS MAIN-ARAMARK</v>
      </c>
      <c r="C12976" t="s">
        <v>494</v>
      </c>
      <c r="D12976" s="1" t="str">
        <f t="shared" si="356"/>
        <v>PRG-1038817</v>
      </c>
      <c r="E12976" t="s">
        <v>226</v>
      </c>
      <c r="F12976" t="s">
        <v>4</v>
      </c>
      <c r="G12976" t="str">
        <f>""</f>
        <v/>
      </c>
    </row>
    <row r="12977" spans="1:7" x14ac:dyDescent="0.25">
      <c r="A12977" t="s">
        <v>8</v>
      </c>
      <c r="B12977" s="1" t="str">
        <f>"000265122 - RICH FOODS-MAIN ARAMARK"</f>
        <v>000265122 - RICH FOODS-MAIN ARAMARK</v>
      </c>
      <c r="C12977" t="s">
        <v>126</v>
      </c>
      <c r="D12977" s="1" t="str">
        <f t="shared" si="356"/>
        <v>PRG-1038817</v>
      </c>
      <c r="E12977" t="s">
        <v>226</v>
      </c>
      <c r="F12977" t="s">
        <v>4</v>
      </c>
      <c r="G12977" t="str">
        <f>""</f>
        <v/>
      </c>
    </row>
    <row r="12978" spans="1:7" x14ac:dyDescent="0.25">
      <c r="A12978" t="s">
        <v>8</v>
      </c>
      <c r="B12978" s="1" t="str">
        <f>"000269165 - RICH FOODS-MAIN ARAMARK"</f>
        <v>000269165 - RICH FOODS-MAIN ARAMARK</v>
      </c>
      <c r="C12978" t="s">
        <v>126</v>
      </c>
      <c r="D12978" s="1" t="str">
        <f t="shared" si="356"/>
        <v>PRG-1038817</v>
      </c>
      <c r="E12978" t="s">
        <v>226</v>
      </c>
      <c r="F12978" t="s">
        <v>4</v>
      </c>
      <c r="G12978" t="str">
        <f>""</f>
        <v/>
      </c>
    </row>
    <row r="12979" spans="1:7" x14ac:dyDescent="0.25">
      <c r="A12979" t="s">
        <v>8</v>
      </c>
      <c r="B12979" s="1" t="str">
        <f>"000276831 - RICH FOODS-MAIN ARAMARK"</f>
        <v>000276831 - RICH FOODS-MAIN ARAMARK</v>
      </c>
      <c r="C12979" t="s">
        <v>126</v>
      </c>
      <c r="D12979" s="1" t="str">
        <f t="shared" si="356"/>
        <v>PRG-1038817</v>
      </c>
      <c r="E12979" t="s">
        <v>226</v>
      </c>
      <c r="F12979" t="s">
        <v>4</v>
      </c>
      <c r="G12979" t="str">
        <f>""</f>
        <v/>
      </c>
    </row>
    <row r="12980" spans="1:7" x14ac:dyDescent="0.25">
      <c r="A12980" t="s">
        <v>8</v>
      </c>
      <c r="B12980" s="1" t="str">
        <f>"000281828 - RICH FOODS-MAIN ARAMARK"</f>
        <v>000281828 - RICH FOODS-MAIN ARAMARK</v>
      </c>
      <c r="C12980" t="s">
        <v>126</v>
      </c>
      <c r="D12980" s="1" t="str">
        <f t="shared" si="356"/>
        <v>PRG-1038817</v>
      </c>
      <c r="E12980" t="s">
        <v>226</v>
      </c>
      <c r="F12980" t="s">
        <v>4</v>
      </c>
      <c r="G12980" t="str">
        <f>""</f>
        <v/>
      </c>
    </row>
    <row r="12981" spans="1:7" x14ac:dyDescent="0.25">
      <c r="A12981" t="s">
        <v>8</v>
      </c>
      <c r="B12981" s="1" t="str">
        <f>"000282492 - RICH FOODS-MAIN ARAMARK"</f>
        <v>000282492 - RICH FOODS-MAIN ARAMARK</v>
      </c>
      <c r="C12981" t="s">
        <v>126</v>
      </c>
      <c r="D12981" s="1" t="str">
        <f t="shared" si="356"/>
        <v>PRG-1038817</v>
      </c>
      <c r="E12981" t="s">
        <v>226</v>
      </c>
      <c r="F12981" t="s">
        <v>4</v>
      </c>
      <c r="G12981" t="str">
        <f>""</f>
        <v/>
      </c>
    </row>
    <row r="12982" spans="1:7" x14ac:dyDescent="0.25">
      <c r="A12982" t="s">
        <v>8</v>
      </c>
      <c r="B12982" s="1" t="str">
        <f>"000284604 - RICH FOODS-MAIN ARAMARK"</f>
        <v>000284604 - RICH FOODS-MAIN ARAMARK</v>
      </c>
      <c r="C12982" t="s">
        <v>126</v>
      </c>
      <c r="D12982" s="1" t="str">
        <f t="shared" si="356"/>
        <v>PRG-1038817</v>
      </c>
      <c r="E12982" t="s">
        <v>226</v>
      </c>
      <c r="F12982" t="s">
        <v>4</v>
      </c>
      <c r="G12982" t="str">
        <f>""</f>
        <v/>
      </c>
    </row>
    <row r="12983" spans="1:7" x14ac:dyDescent="0.25">
      <c r="A12983" t="s">
        <v>8</v>
      </c>
      <c r="B12983" s="1" t="str">
        <f>"000285221 - RICH FOODS-MAIN ARAMARK"</f>
        <v>000285221 - RICH FOODS-MAIN ARAMARK</v>
      </c>
      <c r="C12983" t="s">
        <v>126</v>
      </c>
      <c r="D12983" s="1" t="str">
        <f t="shared" si="356"/>
        <v>PRG-1038817</v>
      </c>
      <c r="E12983" t="s">
        <v>226</v>
      </c>
      <c r="F12983" t="s">
        <v>4</v>
      </c>
      <c r="G12983" t="str">
        <f>""</f>
        <v/>
      </c>
    </row>
    <row r="12984" spans="1:7" x14ac:dyDescent="0.25">
      <c r="A12984" t="s">
        <v>8</v>
      </c>
      <c r="B12984" s="1" t="str">
        <f>"000285584 - RICH FOODS-MAIN ARAMARK"</f>
        <v>000285584 - RICH FOODS-MAIN ARAMARK</v>
      </c>
      <c r="C12984" t="s">
        <v>126</v>
      </c>
      <c r="D12984" s="1" t="str">
        <f t="shared" si="356"/>
        <v>PRG-1038817</v>
      </c>
      <c r="E12984" t="s">
        <v>226</v>
      </c>
      <c r="F12984" t="s">
        <v>4</v>
      </c>
      <c r="G12984" t="str">
        <f>""</f>
        <v/>
      </c>
    </row>
    <row r="12985" spans="1:7" x14ac:dyDescent="0.25">
      <c r="A12985" t="s">
        <v>8</v>
      </c>
      <c r="B12985" s="1" t="str">
        <f>"000286259 - RICH FOODS-MAIN ARAMARK"</f>
        <v>000286259 - RICH FOODS-MAIN ARAMARK</v>
      </c>
      <c r="C12985" t="s">
        <v>126</v>
      </c>
      <c r="D12985" s="1" t="str">
        <f t="shared" si="356"/>
        <v>PRG-1038817</v>
      </c>
      <c r="E12985" t="s">
        <v>226</v>
      </c>
      <c r="F12985" t="s">
        <v>4</v>
      </c>
      <c r="G12985" t="str">
        <f>""</f>
        <v/>
      </c>
    </row>
    <row r="12986" spans="1:7" x14ac:dyDescent="0.25">
      <c r="A12986" t="s">
        <v>8</v>
      </c>
      <c r="B12986" s="1" t="str">
        <f>"000286765 - RICH FOODS-MAIN ARAMARK"</f>
        <v>000286765 - RICH FOODS-MAIN ARAMARK</v>
      </c>
      <c r="C12986" t="s">
        <v>126</v>
      </c>
      <c r="D12986" s="1" t="str">
        <f t="shared" si="356"/>
        <v>PRG-1038817</v>
      </c>
      <c r="E12986" t="s">
        <v>226</v>
      </c>
      <c r="F12986" t="s">
        <v>4</v>
      </c>
      <c r="G12986" t="str">
        <f>""</f>
        <v/>
      </c>
    </row>
    <row r="12987" spans="1:7" x14ac:dyDescent="0.25">
      <c r="A12987" t="s">
        <v>8</v>
      </c>
      <c r="B12987" s="1" t="str">
        <f>"000287576 - RICH FOODS-MAIN ARAMARK"</f>
        <v>000287576 - RICH FOODS-MAIN ARAMARK</v>
      </c>
      <c r="C12987" t="s">
        <v>126</v>
      </c>
      <c r="D12987" s="1" t="str">
        <f t="shared" si="356"/>
        <v>PRG-1038817</v>
      </c>
      <c r="E12987" t="s">
        <v>226</v>
      </c>
      <c r="F12987" t="s">
        <v>4</v>
      </c>
      <c r="G12987" t="str">
        <f>""</f>
        <v/>
      </c>
    </row>
    <row r="12988" spans="1:7" x14ac:dyDescent="0.25">
      <c r="A12988" t="s">
        <v>8</v>
      </c>
      <c r="B12988" s="1" t="str">
        <f>"000288611 - RICH FOODS-MAIN ARAMARK"</f>
        <v>000288611 - RICH FOODS-MAIN ARAMARK</v>
      </c>
      <c r="C12988" t="s">
        <v>126</v>
      </c>
      <c r="D12988" s="1" t="str">
        <f t="shared" si="356"/>
        <v>PRG-1038817</v>
      </c>
      <c r="E12988" t="s">
        <v>226</v>
      </c>
      <c r="F12988" t="s">
        <v>4</v>
      </c>
      <c r="G12988" t="str">
        <f>""</f>
        <v/>
      </c>
    </row>
    <row r="12989" spans="1:7" x14ac:dyDescent="0.25">
      <c r="A12989" t="s">
        <v>8</v>
      </c>
      <c r="B12989" s="1" t="str">
        <f>"000314939 - RICH FOODS-MAIN ARAMARK"</f>
        <v>000314939 - RICH FOODS-MAIN ARAMARK</v>
      </c>
      <c r="C12989" t="s">
        <v>126</v>
      </c>
      <c r="D12989" s="1" t="str">
        <f t="shared" si="356"/>
        <v>PRG-1038817</v>
      </c>
      <c r="E12989" t="s">
        <v>226</v>
      </c>
      <c r="F12989" t="s">
        <v>4</v>
      </c>
      <c r="G12989" t="str">
        <f>""</f>
        <v/>
      </c>
    </row>
    <row r="12990" spans="1:7" x14ac:dyDescent="0.25">
      <c r="A12990" t="s">
        <v>8</v>
      </c>
      <c r="B12990" s="1" t="str">
        <f>"000319843 - RICH FOODS BAPA-SSS ARAMARK"</f>
        <v>000319843 - RICH FOODS BAPA-SSS ARAMARK</v>
      </c>
      <c r="C12990" t="s">
        <v>373</v>
      </c>
      <c r="D12990" s="1" t="str">
        <f t="shared" si="356"/>
        <v>PRG-1038817</v>
      </c>
      <c r="E12990" t="s">
        <v>226</v>
      </c>
      <c r="F12990" t="s">
        <v>4</v>
      </c>
      <c r="G12990" t="str">
        <f>""</f>
        <v/>
      </c>
    </row>
    <row r="12991" spans="1:7" x14ac:dyDescent="0.25">
      <c r="A12991" t="s">
        <v>8</v>
      </c>
      <c r="B12991" s="1" t="str">
        <f>"000322861 - RICH FOODS-MAIN ARAMARK"</f>
        <v>000322861 - RICH FOODS-MAIN ARAMARK</v>
      </c>
      <c r="C12991" t="s">
        <v>126</v>
      </c>
      <c r="D12991" s="1" t="str">
        <f t="shared" si="356"/>
        <v>PRG-1038817</v>
      </c>
      <c r="E12991" t="s">
        <v>226</v>
      </c>
      <c r="F12991" t="s">
        <v>4</v>
      </c>
      <c r="G12991" t="str">
        <f>""</f>
        <v/>
      </c>
    </row>
    <row r="12992" spans="1:7" x14ac:dyDescent="0.25">
      <c r="A12992" t="s">
        <v>8</v>
      </c>
      <c r="B12992" s="1" t="str">
        <f>"000325605 - RICH FOODS-MAIN ARAMARK"</f>
        <v>000325605 - RICH FOODS-MAIN ARAMARK</v>
      </c>
      <c r="C12992" t="s">
        <v>126</v>
      </c>
      <c r="D12992" s="1" t="str">
        <f t="shared" si="356"/>
        <v>PRG-1038817</v>
      </c>
      <c r="E12992" t="s">
        <v>226</v>
      </c>
      <c r="F12992" t="s">
        <v>4</v>
      </c>
      <c r="G12992" t="str">
        <f>""</f>
        <v/>
      </c>
    </row>
    <row r="12993" spans="1:7" x14ac:dyDescent="0.25">
      <c r="A12993" t="s">
        <v>8</v>
      </c>
      <c r="B12993" s="1" t="str">
        <f>"000344289 - RICH FOODS-MAIN ARAMARK"</f>
        <v>000344289 - RICH FOODS-MAIN ARAMARK</v>
      </c>
      <c r="C12993" t="s">
        <v>126</v>
      </c>
      <c r="D12993" s="1" t="str">
        <f t="shared" si="356"/>
        <v>PRG-1038817</v>
      </c>
      <c r="E12993" t="s">
        <v>226</v>
      </c>
      <c r="F12993" t="s">
        <v>4</v>
      </c>
      <c r="G12993" t="str">
        <f>""</f>
        <v/>
      </c>
    </row>
    <row r="12994" spans="1:7" x14ac:dyDescent="0.25">
      <c r="A12994" t="s">
        <v>8</v>
      </c>
      <c r="B12994" s="1" t="str">
        <f>"000355576 - RICH FOODS-MAIN ARAMARK"</f>
        <v>000355576 - RICH FOODS-MAIN ARAMARK</v>
      </c>
      <c r="C12994" t="s">
        <v>126</v>
      </c>
      <c r="D12994" s="1" t="str">
        <f t="shared" si="356"/>
        <v>PRG-1038817</v>
      </c>
      <c r="E12994" t="s">
        <v>226</v>
      </c>
      <c r="F12994" t="s">
        <v>4</v>
      </c>
      <c r="G12994" t="str">
        <f>""</f>
        <v/>
      </c>
    </row>
    <row r="12995" spans="1:7" x14ac:dyDescent="0.25">
      <c r="A12995" t="s">
        <v>8</v>
      </c>
      <c r="B12995" s="1" t="str">
        <f>"000355590 - RICH FOODS-MAIN ARAMARK"</f>
        <v>000355590 - RICH FOODS-MAIN ARAMARK</v>
      </c>
      <c r="C12995" t="s">
        <v>126</v>
      </c>
      <c r="D12995" s="1" t="str">
        <f t="shared" si="356"/>
        <v>PRG-1038817</v>
      </c>
      <c r="E12995" t="s">
        <v>226</v>
      </c>
      <c r="F12995" t="s">
        <v>4</v>
      </c>
      <c r="G12995" t="str">
        <f>""</f>
        <v/>
      </c>
    </row>
    <row r="12996" spans="1:7" x14ac:dyDescent="0.25">
      <c r="A12996" t="s">
        <v>8</v>
      </c>
      <c r="B12996" s="1" t="str">
        <f>"000239275 - RICH CC SC PURCHASE ALLIANCE"</f>
        <v>000239275 - RICH CC SC PURCHASE ALLIANCE</v>
      </c>
      <c r="C12996" t="s">
        <v>1104</v>
      </c>
      <c r="D12996" s="1" t="str">
        <f>"PRG-1038846"</f>
        <v>PRG-1038846</v>
      </c>
      <c r="E12996" t="s">
        <v>1894</v>
      </c>
      <c r="F12996" t="s">
        <v>4</v>
      </c>
      <c r="G12996" t="str">
        <f>""</f>
        <v/>
      </c>
    </row>
    <row r="12997" spans="1:7" x14ac:dyDescent="0.25">
      <c r="A12997" t="s">
        <v>8</v>
      </c>
      <c r="B12997" s="1" t="str">
        <f>"2260A234"</f>
        <v>2260A234</v>
      </c>
      <c r="C12997" t="s">
        <v>4447</v>
      </c>
      <c r="D12997" s="1" t="str">
        <f>"PRG-1038846"</f>
        <v>PRG-1038846</v>
      </c>
      <c r="E12997" t="s">
        <v>1894</v>
      </c>
      <c r="F12997" t="s">
        <v>5</v>
      </c>
      <c r="G12997" t="str">
        <f>""</f>
        <v/>
      </c>
    </row>
    <row r="12998" spans="1:7" x14ac:dyDescent="0.25">
      <c r="A12998" t="s">
        <v>8</v>
      </c>
      <c r="B12998" s="1" t="str">
        <f>"S5D05NL0"</f>
        <v>S5D05NL0</v>
      </c>
      <c r="C12998" t="s">
        <v>5808</v>
      </c>
      <c r="D12998" s="1" t="str">
        <f>"PRG-1038846"</f>
        <v>PRG-1038846</v>
      </c>
      <c r="E12998" t="s">
        <v>1894</v>
      </c>
      <c r="F12998" t="s">
        <v>5</v>
      </c>
      <c r="G12998" t="str">
        <f>""</f>
        <v/>
      </c>
    </row>
    <row r="12999" spans="1:7" x14ac:dyDescent="0.25">
      <c r="A12999" t="s">
        <v>8</v>
      </c>
      <c r="B12999" s="1" t="str">
        <f>"000251821 - RICH'S-COUNTRY KITCHEN"</f>
        <v>000251821 - RICH'S-COUNTRY KITCHEN</v>
      </c>
      <c r="C12999" t="s">
        <v>212</v>
      </c>
      <c r="D12999" s="1" t="str">
        <f>"PRG-1038915"</f>
        <v>PRG-1038915</v>
      </c>
      <c r="E12999" t="s">
        <v>2121</v>
      </c>
      <c r="F12999" t="s">
        <v>4</v>
      </c>
      <c r="G12999" t="str">
        <f>""</f>
        <v/>
      </c>
    </row>
    <row r="13000" spans="1:7" x14ac:dyDescent="0.25">
      <c r="A13000" t="s">
        <v>8</v>
      </c>
      <c r="B13000" s="1" t="str">
        <f>"000273367 - RICH-MASCHIO'S"</f>
        <v>000273367 - RICH-MASCHIO'S</v>
      </c>
      <c r="C13000" t="s">
        <v>2525</v>
      </c>
      <c r="D13000" s="1" t="str">
        <f>"PRG-1038915"</f>
        <v>PRG-1038915</v>
      </c>
      <c r="E13000" t="s">
        <v>2121</v>
      </c>
      <c r="F13000" t="s">
        <v>4</v>
      </c>
      <c r="G13000" t="str">
        <f>""</f>
        <v/>
      </c>
    </row>
    <row r="13001" spans="1:7" x14ac:dyDescent="0.25">
      <c r="A13001" t="s">
        <v>8</v>
      </c>
      <c r="B13001" s="1" t="str">
        <f>"000022736 - "</f>
        <v xml:space="preserve">000022736 - </v>
      </c>
      <c r="D13001" s="1" t="str">
        <f>"PRG-1038960"</f>
        <v>PRG-1038960</v>
      </c>
      <c r="E13001" t="s">
        <v>421</v>
      </c>
      <c r="F13001" t="s">
        <v>4</v>
      </c>
      <c r="G13001" t="str">
        <f>""</f>
        <v/>
      </c>
    </row>
    <row r="13002" spans="1:7" x14ac:dyDescent="0.25">
      <c r="A13002" t="s">
        <v>8</v>
      </c>
      <c r="B13002" s="1" t="str">
        <f>"000326306 - RICH PROD-LYON CO SCHLS"</f>
        <v>000326306 - RICH PROD-LYON CO SCHLS</v>
      </c>
      <c r="C13002" t="s">
        <v>3297</v>
      </c>
      <c r="D13002" s="1" t="str">
        <f>"PRG-1038984"</f>
        <v>PRG-1038984</v>
      </c>
      <c r="E13002" t="s">
        <v>3298</v>
      </c>
      <c r="F13002" t="s">
        <v>4</v>
      </c>
      <c r="G13002" t="str">
        <f>""</f>
        <v/>
      </c>
    </row>
    <row r="13003" spans="1:7" x14ac:dyDescent="0.25">
      <c r="A13003" t="s">
        <v>8</v>
      </c>
      <c r="B13003" s="1" t="str">
        <f>"000267584 - RICH'S  JCPS"</f>
        <v>000267584 - RICH'S  JCPS</v>
      </c>
      <c r="C13003" t="s">
        <v>1512</v>
      </c>
      <c r="D13003" s="1" t="str">
        <f>"PRG-1038997"</f>
        <v>PRG-1038997</v>
      </c>
      <c r="E13003" t="s">
        <v>2423</v>
      </c>
      <c r="F13003" t="s">
        <v>4</v>
      </c>
      <c r="G13003" t="str">
        <f>""</f>
        <v/>
      </c>
    </row>
    <row r="13004" spans="1:7" x14ac:dyDescent="0.25">
      <c r="A13004" t="s">
        <v>8</v>
      </c>
      <c r="B13004" s="1" t="str">
        <f>"000023935 - RICH PRODUCTS-MESA SD"</f>
        <v>000023935 - RICH PRODUCTS-MESA SD</v>
      </c>
      <c r="C13004" t="s">
        <v>251</v>
      </c>
      <c r="D13004" s="1" t="str">
        <f>"PRG-1038998"</f>
        <v>PRG-1038998</v>
      </c>
      <c r="E13004" t="s">
        <v>432</v>
      </c>
      <c r="F13004" t="s">
        <v>4</v>
      </c>
      <c r="G13004" t="str">
        <f>""</f>
        <v/>
      </c>
    </row>
    <row r="13005" spans="1:7" x14ac:dyDescent="0.25">
      <c r="A13005" t="s">
        <v>8</v>
      </c>
      <c r="B13005" s="1" t="str">
        <f>"000326542 - RICH PRODUCTS  AMADOR COUNTY"</f>
        <v>000326542 - RICH PRODUCTS  AMADOR COUNTY</v>
      </c>
      <c r="C13005" t="s">
        <v>2252</v>
      </c>
      <c r="D13005" s="1" t="str">
        <f>"PRG-1039012"</f>
        <v>PRG-1039012</v>
      </c>
      <c r="E13005" t="s">
        <v>3301</v>
      </c>
      <c r="F13005" t="s">
        <v>4</v>
      </c>
      <c r="G13005" t="str">
        <f>""</f>
        <v/>
      </c>
    </row>
    <row r="13006" spans="1:7" x14ac:dyDescent="0.25">
      <c r="A13006" t="s">
        <v>8</v>
      </c>
      <c r="B13006" s="1" t="str">
        <f>"000306848 - RICH DAKOTA IL"</f>
        <v>000306848 - RICH DAKOTA IL</v>
      </c>
      <c r="C13006" t="s">
        <v>3051</v>
      </c>
      <c r="D13006" s="1" t="str">
        <f>"PRG-1039018"</f>
        <v>PRG-1039018</v>
      </c>
      <c r="E13006" t="s">
        <v>3052</v>
      </c>
      <c r="F13006" t="s">
        <v>4</v>
      </c>
      <c r="G13006" t="str">
        <f>""</f>
        <v/>
      </c>
    </row>
    <row r="13007" spans="1:7" x14ac:dyDescent="0.25">
      <c r="A13007" t="s">
        <v>8</v>
      </c>
      <c r="B13007" s="1" t="str">
        <f>"000023449 - RICH PRODUCTS SALT LAKE CITY"</f>
        <v>000023449 - RICH PRODUCTS SALT LAKE CITY</v>
      </c>
      <c r="C13007" t="s">
        <v>426</v>
      </c>
      <c r="D13007" s="1" t="str">
        <f>"PRG-1039029"</f>
        <v>PRG-1039029</v>
      </c>
      <c r="E13007" t="s">
        <v>427</v>
      </c>
      <c r="F13007" t="s">
        <v>4</v>
      </c>
      <c r="G13007" t="str">
        <f>""</f>
        <v/>
      </c>
    </row>
    <row r="13008" spans="1:7" x14ac:dyDescent="0.25">
      <c r="A13008" t="s">
        <v>8</v>
      </c>
      <c r="B13008" s="1" t="str">
        <f>"000027484 - RICH PRODUCTS SALT LAKE CITY D"</f>
        <v>000027484 - RICH PRODUCTS SALT LAKE CITY D</v>
      </c>
      <c r="C13008" t="s">
        <v>456</v>
      </c>
      <c r="D13008" s="1" t="str">
        <f>"PRG-1039029"</f>
        <v>PRG-1039029</v>
      </c>
      <c r="E13008" t="s">
        <v>427</v>
      </c>
      <c r="F13008" t="s">
        <v>4</v>
      </c>
      <c r="G13008" t="str">
        <f>""</f>
        <v/>
      </c>
    </row>
    <row r="13009" spans="1:7" x14ac:dyDescent="0.25">
      <c r="A13009" t="s">
        <v>8</v>
      </c>
      <c r="B13009" s="1" t="str">
        <f>"000371173 - RICH'S FRISCO-ALLEN"</f>
        <v>000371173 - RICH'S FRISCO-ALLEN</v>
      </c>
      <c r="C13009" t="s">
        <v>3625</v>
      </c>
      <c r="D13009" s="1" t="str">
        <f>"PRG-1039044"</f>
        <v>PRG-1039044</v>
      </c>
      <c r="E13009" t="s">
        <v>3626</v>
      </c>
      <c r="F13009" t="s">
        <v>4</v>
      </c>
      <c r="G13009" t="str">
        <f>""</f>
        <v/>
      </c>
    </row>
    <row r="13010" spans="1:7" x14ac:dyDescent="0.25">
      <c r="A13010" t="s">
        <v>8</v>
      </c>
      <c r="B13010" s="1" t="str">
        <f>"371173 - RICH'S FRISCO-ALLEN"</f>
        <v>371173 - RICH'S FRISCO-ALLEN</v>
      </c>
      <c r="C13010" t="s">
        <v>3625</v>
      </c>
      <c r="D13010" s="1" t="str">
        <f>"PRG-1039044"</f>
        <v>PRG-1039044</v>
      </c>
      <c r="E13010" t="s">
        <v>3626</v>
      </c>
      <c r="F13010" t="s">
        <v>4</v>
      </c>
      <c r="G13010" t="str">
        <f>""</f>
        <v/>
      </c>
    </row>
    <row r="13011" spans="1:7" x14ac:dyDescent="0.25">
      <c r="A13011" t="s">
        <v>8</v>
      </c>
      <c r="B13011" s="1" t="str">
        <f>"000146065 - RICHS MONKEY JOES"</f>
        <v>000146065 - RICHS MONKEY JOES</v>
      </c>
      <c r="C13011" t="s">
        <v>998</v>
      </c>
      <c r="D13011" s="1" t="str">
        <f>"PRG-1039060"</f>
        <v>PRG-1039060</v>
      </c>
      <c r="E13011" t="s">
        <v>999</v>
      </c>
      <c r="F13011" t="s">
        <v>4</v>
      </c>
      <c r="G13011" t="str">
        <f>""</f>
        <v/>
      </c>
    </row>
    <row r="13012" spans="1:7" x14ac:dyDescent="0.25">
      <c r="A13012" t="s">
        <v>8</v>
      </c>
      <c r="B13012" s="1" t="str">
        <f>"000016210 - RICH FOODS BETTERCREME-COLDSTO"</f>
        <v>000016210 - RICH FOODS BETTERCREME-COLDSTO</v>
      </c>
      <c r="C13012" t="s">
        <v>319</v>
      </c>
      <c r="D13012" s="1" t="str">
        <f t="shared" ref="D13012:D13023" si="357">"PRG-1039062"</f>
        <v>PRG-1039062</v>
      </c>
      <c r="E13012" t="s">
        <v>132</v>
      </c>
      <c r="F13012" t="s">
        <v>4</v>
      </c>
      <c r="G13012" t="str">
        <f>""</f>
        <v/>
      </c>
    </row>
    <row r="13013" spans="1:7" x14ac:dyDescent="0.25">
      <c r="A13013" t="s">
        <v>8</v>
      </c>
      <c r="B13013" s="1" t="str">
        <f>"000016785 - BETTERCREME-RICH FDS COLDSTONE"</f>
        <v>000016785 - BETTERCREME-RICH FDS COLDSTONE</v>
      </c>
      <c r="C13013" t="s">
        <v>364</v>
      </c>
      <c r="D13013" s="1" t="str">
        <f t="shared" si="357"/>
        <v>PRG-1039062</v>
      </c>
      <c r="E13013" t="s">
        <v>132</v>
      </c>
      <c r="F13013" t="s">
        <v>4</v>
      </c>
      <c r="G13013" t="str">
        <f>""</f>
        <v/>
      </c>
    </row>
    <row r="13014" spans="1:7" x14ac:dyDescent="0.25">
      <c r="A13014" t="s">
        <v>8</v>
      </c>
      <c r="B13014" s="1" t="str">
        <f>"000026315 - RICH FOODS BETTERCREME-COLDSTO"</f>
        <v>000026315 - RICH FOODS BETTERCREME-COLDSTO</v>
      </c>
      <c r="C13014" t="s">
        <v>319</v>
      </c>
      <c r="D13014" s="1" t="str">
        <f t="shared" si="357"/>
        <v>PRG-1039062</v>
      </c>
      <c r="E13014" t="s">
        <v>132</v>
      </c>
      <c r="F13014" t="s">
        <v>4</v>
      </c>
      <c r="G13014" t="str">
        <f>""</f>
        <v/>
      </c>
    </row>
    <row r="13015" spans="1:7" x14ac:dyDescent="0.25">
      <c r="A13015" t="s">
        <v>8</v>
      </c>
      <c r="B13015" s="1" t="str">
        <f>"000067082 - RICH FOODS BETTERCREME-COLDSTO"</f>
        <v>000067082 - RICH FOODS BETTERCREME-COLDSTO</v>
      </c>
      <c r="C13015" t="s">
        <v>319</v>
      </c>
      <c r="D13015" s="1" t="str">
        <f t="shared" si="357"/>
        <v>PRG-1039062</v>
      </c>
      <c r="E13015" t="s">
        <v>132</v>
      </c>
      <c r="F13015" t="s">
        <v>4</v>
      </c>
      <c r="G13015" t="str">
        <f>""</f>
        <v/>
      </c>
    </row>
    <row r="13016" spans="1:7" x14ac:dyDescent="0.25">
      <c r="A13016" t="s">
        <v>8</v>
      </c>
      <c r="B13016" s="1" t="str">
        <f>"000141793 - RICH FOODS BETTERCREME-COLDSTO"</f>
        <v>000141793 - RICH FOODS BETTERCREME-COLDSTO</v>
      </c>
      <c r="C13016" t="s">
        <v>319</v>
      </c>
      <c r="D13016" s="1" t="str">
        <f t="shared" si="357"/>
        <v>PRG-1039062</v>
      </c>
      <c r="E13016" t="s">
        <v>132</v>
      </c>
      <c r="F13016" t="s">
        <v>4</v>
      </c>
      <c r="G13016" t="str">
        <f>""</f>
        <v/>
      </c>
    </row>
    <row r="13017" spans="1:7" x14ac:dyDescent="0.25">
      <c r="A13017" t="s">
        <v>8</v>
      </c>
      <c r="B13017" s="1" t="str">
        <f>"000254554 - RICH FOODS BETTERCREME-COLDSTO"</f>
        <v>000254554 - RICH FOODS BETTERCREME-COLDSTO</v>
      </c>
      <c r="C13017" t="s">
        <v>319</v>
      </c>
      <c r="D13017" s="1" t="str">
        <f t="shared" si="357"/>
        <v>PRG-1039062</v>
      </c>
      <c r="E13017" t="s">
        <v>132</v>
      </c>
      <c r="F13017" t="s">
        <v>4</v>
      </c>
      <c r="G13017" t="str">
        <f>""</f>
        <v/>
      </c>
    </row>
    <row r="13018" spans="1:7" x14ac:dyDescent="0.25">
      <c r="A13018" t="s">
        <v>8</v>
      </c>
      <c r="B13018" s="1" t="str">
        <f>"000258166 - RICH FOODS BETTERCREME-COLDSTO"</f>
        <v>000258166 - RICH FOODS BETTERCREME-COLDSTO</v>
      </c>
      <c r="C13018" t="s">
        <v>319</v>
      </c>
      <c r="D13018" s="1" t="str">
        <f t="shared" si="357"/>
        <v>PRG-1039062</v>
      </c>
      <c r="E13018" t="s">
        <v>132</v>
      </c>
      <c r="F13018" t="s">
        <v>4</v>
      </c>
      <c r="G13018" t="str">
        <f>""</f>
        <v/>
      </c>
    </row>
    <row r="13019" spans="1:7" x14ac:dyDescent="0.25">
      <c r="A13019" t="s">
        <v>8</v>
      </c>
      <c r="B13019" s="1" t="str">
        <f>"000262299 - "</f>
        <v xml:space="preserve">000262299 - </v>
      </c>
      <c r="D13019" s="1" t="str">
        <f t="shared" si="357"/>
        <v>PRG-1039062</v>
      </c>
      <c r="E13019" t="s">
        <v>132</v>
      </c>
      <c r="F13019" t="s">
        <v>4</v>
      </c>
      <c r="G13019" t="str">
        <f>""</f>
        <v/>
      </c>
    </row>
    <row r="13020" spans="1:7" x14ac:dyDescent="0.25">
      <c r="A13020" t="s">
        <v>8</v>
      </c>
      <c r="B13020" s="1" t="str">
        <f>"000325898 - RICH FOODS BETTERCREME-COLDSTO"</f>
        <v>000325898 - RICH FOODS BETTERCREME-COLDSTO</v>
      </c>
      <c r="C13020" t="s">
        <v>319</v>
      </c>
      <c r="D13020" s="1" t="str">
        <f t="shared" si="357"/>
        <v>PRG-1039062</v>
      </c>
      <c r="E13020" t="s">
        <v>132</v>
      </c>
      <c r="F13020" t="s">
        <v>4</v>
      </c>
      <c r="G13020" t="str">
        <f>""</f>
        <v/>
      </c>
    </row>
    <row r="13021" spans="1:7" x14ac:dyDescent="0.25">
      <c r="A13021" t="s">
        <v>8</v>
      </c>
      <c r="B13021" s="1" t="str">
        <f>"000355962 - RICH FOODS BETTERCREME-COLDSTO"</f>
        <v>000355962 - RICH FOODS BETTERCREME-COLDSTO</v>
      </c>
      <c r="C13021" t="s">
        <v>319</v>
      </c>
      <c r="D13021" s="1" t="str">
        <f t="shared" si="357"/>
        <v>PRG-1039062</v>
      </c>
      <c r="E13021" t="s">
        <v>132</v>
      </c>
      <c r="F13021" t="s">
        <v>4</v>
      </c>
      <c r="G13021" t="str">
        <f>""</f>
        <v/>
      </c>
    </row>
    <row r="13022" spans="1:7" x14ac:dyDescent="0.25">
      <c r="A13022" t="s">
        <v>8</v>
      </c>
      <c r="B13022" s="1" t="str">
        <f>"000384951 - RICH FOODS BETTERCREME-COLDSTO"</f>
        <v>000384951 - RICH FOODS BETTERCREME-COLDSTO</v>
      </c>
      <c r="C13022" t="s">
        <v>319</v>
      </c>
      <c r="D13022" s="1" t="str">
        <f t="shared" si="357"/>
        <v>PRG-1039062</v>
      </c>
      <c r="E13022" t="s">
        <v>132</v>
      </c>
      <c r="F13022" t="s">
        <v>4</v>
      </c>
      <c r="G13022" t="str">
        <f>""</f>
        <v/>
      </c>
    </row>
    <row r="13023" spans="1:7" x14ac:dyDescent="0.25">
      <c r="A13023" t="s">
        <v>8</v>
      </c>
      <c r="B13023" s="1" t="str">
        <f>"000398970 - RICH FOODS BETTERCREME-COLDSTO"</f>
        <v>000398970 - RICH FOODS BETTERCREME-COLDSTO</v>
      </c>
      <c r="C13023" t="s">
        <v>319</v>
      </c>
      <c r="D13023" s="1" t="str">
        <f t="shared" si="357"/>
        <v>PRG-1039062</v>
      </c>
      <c r="E13023" t="s">
        <v>132</v>
      </c>
      <c r="F13023" t="s">
        <v>4</v>
      </c>
      <c r="G13023" t="str">
        <f>""</f>
        <v/>
      </c>
    </row>
    <row r="13024" spans="1:7" x14ac:dyDescent="0.25">
      <c r="A13024" t="s">
        <v>8</v>
      </c>
      <c r="B13024" s="1" t="str">
        <f>"000308289 - RICHS GALENA IL SCHLS 16 17"</f>
        <v>000308289 - RICHS GALENA IL SCHLS 16 17</v>
      </c>
      <c r="C13024" t="s">
        <v>3082</v>
      </c>
      <c r="D13024" s="1" t="str">
        <f>"PRG-1039068"</f>
        <v>PRG-1039068</v>
      </c>
      <c r="E13024" t="s">
        <v>3083</v>
      </c>
      <c r="F13024" t="s">
        <v>4</v>
      </c>
      <c r="G13024" t="str">
        <f>""</f>
        <v/>
      </c>
    </row>
    <row r="13025" spans="1:7" x14ac:dyDescent="0.25">
      <c r="A13025" t="s">
        <v>8</v>
      </c>
      <c r="B13025" s="1" t="str">
        <f>"000017474 - RICH FOODS BAPA-MAIN ARAMARK"</f>
        <v>000017474 - RICH FOODS BAPA-MAIN ARAMARK</v>
      </c>
      <c r="C13025" t="s">
        <v>320</v>
      </c>
      <c r="D13025" s="1" t="str">
        <f t="shared" ref="D13025:D13056" si="358">"PRG-1039127"</f>
        <v>PRG-1039127</v>
      </c>
      <c r="E13025" t="s">
        <v>381</v>
      </c>
      <c r="F13025" t="s">
        <v>4</v>
      </c>
      <c r="G13025" t="str">
        <f>""</f>
        <v/>
      </c>
    </row>
    <row r="13026" spans="1:7" x14ac:dyDescent="0.25">
      <c r="A13026" t="s">
        <v>8</v>
      </c>
      <c r="B13026" s="1" t="str">
        <f>"000017720 - RICH FOODS BAPA ARAMARK"</f>
        <v>000017720 - RICH FOODS BAPA ARAMARK</v>
      </c>
      <c r="C13026" t="s">
        <v>358</v>
      </c>
      <c r="D13026" s="1" t="str">
        <f t="shared" si="358"/>
        <v>PRG-1039127</v>
      </c>
      <c r="E13026" t="s">
        <v>381</v>
      </c>
      <c r="F13026" t="s">
        <v>4</v>
      </c>
      <c r="G13026" t="str">
        <f>""</f>
        <v/>
      </c>
    </row>
    <row r="13027" spans="1:7" x14ac:dyDescent="0.25">
      <c r="A13027" t="s">
        <v>8</v>
      </c>
      <c r="B13027" s="1" t="str">
        <f>"000024785 - RICH FOODS-MAIN ARAMARK"</f>
        <v>000024785 - RICH FOODS-MAIN ARAMARK</v>
      </c>
      <c r="C13027" t="s">
        <v>126</v>
      </c>
      <c r="D13027" s="1" t="str">
        <f t="shared" si="358"/>
        <v>PRG-1039127</v>
      </c>
      <c r="E13027" t="s">
        <v>381</v>
      </c>
      <c r="F13027" t="s">
        <v>4</v>
      </c>
      <c r="G13027" t="str">
        <f>""</f>
        <v/>
      </c>
    </row>
    <row r="13028" spans="1:7" x14ac:dyDescent="0.25">
      <c r="A13028" t="s">
        <v>8</v>
      </c>
      <c r="B13028" s="1" t="str">
        <f>"000026715 - RICH FOODS BAPA-MAIN ARAMARK"</f>
        <v>000026715 - RICH FOODS BAPA-MAIN ARAMARK</v>
      </c>
      <c r="C13028" t="s">
        <v>320</v>
      </c>
      <c r="D13028" s="1" t="str">
        <f t="shared" si="358"/>
        <v>PRG-1039127</v>
      </c>
      <c r="E13028" t="s">
        <v>381</v>
      </c>
      <c r="F13028" t="s">
        <v>4</v>
      </c>
      <c r="G13028" t="str">
        <f>""</f>
        <v/>
      </c>
    </row>
    <row r="13029" spans="1:7" x14ac:dyDescent="0.25">
      <c r="A13029" t="s">
        <v>8</v>
      </c>
      <c r="B13029" s="1" t="str">
        <f>"000027359 - RICH FOODS BAPA-MAIN ARAMARK"</f>
        <v>000027359 - RICH FOODS BAPA-MAIN ARAMARK</v>
      </c>
      <c r="C13029" t="s">
        <v>320</v>
      </c>
      <c r="D13029" s="1" t="str">
        <f t="shared" si="358"/>
        <v>PRG-1039127</v>
      </c>
      <c r="E13029" t="s">
        <v>381</v>
      </c>
      <c r="F13029" t="s">
        <v>4</v>
      </c>
      <c r="G13029" t="str">
        <f>""</f>
        <v/>
      </c>
    </row>
    <row r="13030" spans="1:7" x14ac:dyDescent="0.25">
      <c r="A13030" t="s">
        <v>8</v>
      </c>
      <c r="B13030" s="1" t="str">
        <f>"000030931 - RICH FOODS BAPA-MAIN ARAMARK"</f>
        <v>000030931 - RICH FOODS BAPA-MAIN ARAMARK</v>
      </c>
      <c r="C13030" t="s">
        <v>320</v>
      </c>
      <c r="D13030" s="1" t="str">
        <f t="shared" si="358"/>
        <v>PRG-1039127</v>
      </c>
      <c r="E13030" t="s">
        <v>381</v>
      </c>
      <c r="F13030" t="s">
        <v>4</v>
      </c>
      <c r="G13030" t="str">
        <f>""</f>
        <v/>
      </c>
    </row>
    <row r="13031" spans="1:7" x14ac:dyDescent="0.25">
      <c r="A13031" t="s">
        <v>8</v>
      </c>
      <c r="B13031" s="1" t="str">
        <f>"000033171 - RICH FOODS BAPA-MAIN ARAMARK"</f>
        <v>000033171 - RICH FOODS BAPA-MAIN ARAMARK</v>
      </c>
      <c r="C13031" t="s">
        <v>320</v>
      </c>
      <c r="D13031" s="1" t="str">
        <f t="shared" si="358"/>
        <v>PRG-1039127</v>
      </c>
      <c r="E13031" t="s">
        <v>381</v>
      </c>
      <c r="F13031" t="s">
        <v>4</v>
      </c>
      <c r="G13031" t="str">
        <f>""</f>
        <v/>
      </c>
    </row>
    <row r="13032" spans="1:7" x14ac:dyDescent="0.25">
      <c r="A13032" t="s">
        <v>8</v>
      </c>
      <c r="B13032" s="1" t="str">
        <f>"000034730 - RICH FOODS BAPA-MAIN ARAMARK"</f>
        <v>000034730 - RICH FOODS BAPA-MAIN ARAMARK</v>
      </c>
      <c r="C13032" t="s">
        <v>320</v>
      </c>
      <c r="D13032" s="1" t="str">
        <f t="shared" si="358"/>
        <v>PRG-1039127</v>
      </c>
      <c r="E13032" t="s">
        <v>381</v>
      </c>
      <c r="F13032" t="s">
        <v>4</v>
      </c>
      <c r="G13032" t="str">
        <f>""</f>
        <v/>
      </c>
    </row>
    <row r="13033" spans="1:7" x14ac:dyDescent="0.25">
      <c r="A13033" t="s">
        <v>8</v>
      </c>
      <c r="B13033" s="1" t="str">
        <f>"000036132 - RICH FOODS BAPA-MAIN ARAMARK"</f>
        <v>000036132 - RICH FOODS BAPA-MAIN ARAMARK</v>
      </c>
      <c r="C13033" t="s">
        <v>320</v>
      </c>
      <c r="D13033" s="1" t="str">
        <f t="shared" si="358"/>
        <v>PRG-1039127</v>
      </c>
      <c r="E13033" t="s">
        <v>381</v>
      </c>
      <c r="F13033" t="s">
        <v>4</v>
      </c>
      <c r="G13033" t="str">
        <f>""</f>
        <v/>
      </c>
    </row>
    <row r="13034" spans="1:7" x14ac:dyDescent="0.25">
      <c r="A13034" t="s">
        <v>8</v>
      </c>
      <c r="B13034" s="1" t="str">
        <f>"000066159 - RICH FOODS-MAIN ARAMARK"</f>
        <v>000066159 - RICH FOODS-MAIN ARAMARK</v>
      </c>
      <c r="C13034" t="s">
        <v>126</v>
      </c>
      <c r="D13034" s="1" t="str">
        <f t="shared" si="358"/>
        <v>PRG-1039127</v>
      </c>
      <c r="E13034" t="s">
        <v>381</v>
      </c>
      <c r="F13034" t="s">
        <v>4</v>
      </c>
      <c r="G13034" t="str">
        <f>""</f>
        <v/>
      </c>
    </row>
    <row r="13035" spans="1:7" x14ac:dyDescent="0.25">
      <c r="A13035" t="s">
        <v>8</v>
      </c>
      <c r="B13035" s="1" t="str">
        <f>"000067558 - RICH FOODS-MAIN ARAMARK"</f>
        <v>000067558 - RICH FOODS-MAIN ARAMARK</v>
      </c>
      <c r="C13035" t="s">
        <v>126</v>
      </c>
      <c r="D13035" s="1" t="str">
        <f t="shared" si="358"/>
        <v>PRG-1039127</v>
      </c>
      <c r="E13035" t="s">
        <v>381</v>
      </c>
      <c r="F13035" t="s">
        <v>4</v>
      </c>
      <c r="G13035" t="str">
        <f>""</f>
        <v/>
      </c>
    </row>
    <row r="13036" spans="1:7" x14ac:dyDescent="0.25">
      <c r="A13036" t="s">
        <v>8</v>
      </c>
      <c r="B13036" s="1" t="str">
        <f>"000069161 - RICH FOODS BAPA-MAIN ARAMARK"</f>
        <v>000069161 - RICH FOODS BAPA-MAIN ARAMARK</v>
      </c>
      <c r="C13036" t="s">
        <v>320</v>
      </c>
      <c r="D13036" s="1" t="str">
        <f t="shared" si="358"/>
        <v>PRG-1039127</v>
      </c>
      <c r="E13036" t="s">
        <v>381</v>
      </c>
      <c r="F13036" t="s">
        <v>4</v>
      </c>
      <c r="G13036" t="str">
        <f>""</f>
        <v/>
      </c>
    </row>
    <row r="13037" spans="1:7" x14ac:dyDescent="0.25">
      <c r="A13037" t="s">
        <v>8</v>
      </c>
      <c r="B13037" s="1" t="str">
        <f>"000070796 - RICH FOODS BAPA-MAIN ARAMARK"</f>
        <v>000070796 - RICH FOODS BAPA-MAIN ARAMARK</v>
      </c>
      <c r="C13037" t="s">
        <v>320</v>
      </c>
      <c r="D13037" s="1" t="str">
        <f t="shared" si="358"/>
        <v>PRG-1039127</v>
      </c>
      <c r="E13037" t="s">
        <v>381</v>
      </c>
      <c r="F13037" t="s">
        <v>4</v>
      </c>
      <c r="G13037" t="str">
        <f>""</f>
        <v/>
      </c>
    </row>
    <row r="13038" spans="1:7" x14ac:dyDescent="0.25">
      <c r="A13038" t="s">
        <v>8</v>
      </c>
      <c r="B13038" s="1" t="str">
        <f>"000071045 - RICH FOODS BAPA-MAIN ARAMARK"</f>
        <v>000071045 - RICH FOODS BAPA-MAIN ARAMARK</v>
      </c>
      <c r="C13038" t="s">
        <v>320</v>
      </c>
      <c r="D13038" s="1" t="str">
        <f t="shared" si="358"/>
        <v>PRG-1039127</v>
      </c>
      <c r="E13038" t="s">
        <v>381</v>
      </c>
      <c r="F13038" t="s">
        <v>4</v>
      </c>
      <c r="G13038" t="str">
        <f>""</f>
        <v/>
      </c>
    </row>
    <row r="13039" spans="1:7" x14ac:dyDescent="0.25">
      <c r="A13039" t="s">
        <v>8</v>
      </c>
      <c r="B13039" s="1" t="str">
        <f>"000072690 - RICH FOODS BAPA-MAIN ARAMARK"</f>
        <v>000072690 - RICH FOODS BAPA-MAIN ARAMARK</v>
      </c>
      <c r="C13039" t="s">
        <v>320</v>
      </c>
      <c r="D13039" s="1" t="str">
        <f t="shared" si="358"/>
        <v>PRG-1039127</v>
      </c>
      <c r="E13039" t="s">
        <v>381</v>
      </c>
      <c r="F13039" t="s">
        <v>4</v>
      </c>
      <c r="G13039" t="str">
        <f>""</f>
        <v/>
      </c>
    </row>
    <row r="13040" spans="1:7" x14ac:dyDescent="0.25">
      <c r="A13040" t="s">
        <v>8</v>
      </c>
      <c r="B13040" s="1" t="str">
        <f>"000074030 - RICH FOODS BAPA-SSS ARAMARK"</f>
        <v>000074030 - RICH FOODS BAPA-SSS ARAMARK</v>
      </c>
      <c r="C13040" t="s">
        <v>373</v>
      </c>
      <c r="D13040" s="1" t="str">
        <f t="shared" si="358"/>
        <v>PRG-1039127</v>
      </c>
      <c r="E13040" t="s">
        <v>381</v>
      </c>
      <c r="F13040" t="s">
        <v>4</v>
      </c>
      <c r="G13040" t="str">
        <f>""</f>
        <v/>
      </c>
    </row>
    <row r="13041" spans="1:7" x14ac:dyDescent="0.25">
      <c r="A13041" t="s">
        <v>8</v>
      </c>
      <c r="B13041" s="1" t="str">
        <f>"000075282 - RICH FOODS BAPA-MAIN ARAMARK"</f>
        <v>000075282 - RICH FOODS BAPA-MAIN ARAMARK</v>
      </c>
      <c r="C13041" t="s">
        <v>320</v>
      </c>
      <c r="D13041" s="1" t="str">
        <f t="shared" si="358"/>
        <v>PRG-1039127</v>
      </c>
      <c r="E13041" t="s">
        <v>381</v>
      </c>
      <c r="F13041" t="s">
        <v>4</v>
      </c>
      <c r="G13041" t="str">
        <f>""</f>
        <v/>
      </c>
    </row>
    <row r="13042" spans="1:7" x14ac:dyDescent="0.25">
      <c r="A13042" t="s">
        <v>8</v>
      </c>
      <c r="B13042" s="1" t="str">
        <f>"000078202 - RICH FOODS BAPA-MAIN ARAMARK"</f>
        <v>000078202 - RICH FOODS BAPA-MAIN ARAMARK</v>
      </c>
      <c r="C13042" t="s">
        <v>320</v>
      </c>
      <c r="D13042" s="1" t="str">
        <f t="shared" si="358"/>
        <v>PRG-1039127</v>
      </c>
      <c r="E13042" t="s">
        <v>381</v>
      </c>
      <c r="F13042" t="s">
        <v>4</v>
      </c>
      <c r="G13042" t="str">
        <f>""</f>
        <v/>
      </c>
    </row>
    <row r="13043" spans="1:7" x14ac:dyDescent="0.25">
      <c r="A13043" t="s">
        <v>8</v>
      </c>
      <c r="B13043" s="1" t="str">
        <f>"000080617 - RICH FOODS BAPA-MAIN ARAMARK"</f>
        <v>000080617 - RICH FOODS BAPA-MAIN ARAMARK</v>
      </c>
      <c r="C13043" t="s">
        <v>320</v>
      </c>
      <c r="D13043" s="1" t="str">
        <f t="shared" si="358"/>
        <v>PRG-1039127</v>
      </c>
      <c r="E13043" t="s">
        <v>381</v>
      </c>
      <c r="F13043" t="s">
        <v>4</v>
      </c>
      <c r="G13043" t="str">
        <f>""</f>
        <v/>
      </c>
    </row>
    <row r="13044" spans="1:7" x14ac:dyDescent="0.25">
      <c r="A13044" t="s">
        <v>8</v>
      </c>
      <c r="B13044" s="1" t="str">
        <f>"000082787 - RICH FOODS BAPA-MAIN ARAMARK"</f>
        <v>000082787 - RICH FOODS BAPA-MAIN ARAMARK</v>
      </c>
      <c r="C13044" t="s">
        <v>320</v>
      </c>
      <c r="D13044" s="1" t="str">
        <f t="shared" si="358"/>
        <v>PRG-1039127</v>
      </c>
      <c r="E13044" t="s">
        <v>381</v>
      </c>
      <c r="F13044" t="s">
        <v>4</v>
      </c>
      <c r="G13044" t="str">
        <f>""</f>
        <v/>
      </c>
    </row>
    <row r="13045" spans="1:7" x14ac:dyDescent="0.25">
      <c r="A13045" t="s">
        <v>8</v>
      </c>
      <c r="B13045" s="1" t="str">
        <f>"000094672 - RICH FOODS BAPA-MAIN ARAMARK"</f>
        <v>000094672 - RICH FOODS BAPA-MAIN ARAMARK</v>
      </c>
      <c r="C13045" t="s">
        <v>320</v>
      </c>
      <c r="D13045" s="1" t="str">
        <f t="shared" si="358"/>
        <v>PRG-1039127</v>
      </c>
      <c r="E13045" t="s">
        <v>381</v>
      </c>
      <c r="F13045" t="s">
        <v>4</v>
      </c>
      <c r="G13045" t="str">
        <f>""</f>
        <v/>
      </c>
    </row>
    <row r="13046" spans="1:7" x14ac:dyDescent="0.25">
      <c r="A13046" t="s">
        <v>8</v>
      </c>
      <c r="B13046" s="1" t="str">
        <f>"000140348 - CASA DIBRITACHI PROTEIN-ARMARK"</f>
        <v>000140348 - CASA DIBRITACHI PROTEIN-ARMARK</v>
      </c>
      <c r="C13046" t="s">
        <v>246</v>
      </c>
      <c r="D13046" s="1" t="str">
        <f t="shared" si="358"/>
        <v>PRG-1039127</v>
      </c>
      <c r="E13046" t="s">
        <v>381</v>
      </c>
      <c r="F13046" t="s">
        <v>4</v>
      </c>
      <c r="G13046" t="str">
        <f>""</f>
        <v/>
      </c>
    </row>
    <row r="13047" spans="1:7" x14ac:dyDescent="0.25">
      <c r="A13047" t="s">
        <v>8</v>
      </c>
      <c r="B13047" s="1" t="str">
        <f>"000140935 - RICH FOODS-MAIN ARAMARK"</f>
        <v>000140935 - RICH FOODS-MAIN ARAMARK</v>
      </c>
      <c r="C13047" t="s">
        <v>126</v>
      </c>
      <c r="D13047" s="1" t="str">
        <f t="shared" si="358"/>
        <v>PRG-1039127</v>
      </c>
      <c r="E13047" t="s">
        <v>381</v>
      </c>
      <c r="F13047" t="s">
        <v>4</v>
      </c>
      <c r="G13047" t="str">
        <f>""</f>
        <v/>
      </c>
    </row>
    <row r="13048" spans="1:7" x14ac:dyDescent="0.25">
      <c r="A13048" t="s">
        <v>8</v>
      </c>
      <c r="B13048" s="1" t="str">
        <f>"000143467 - RICH FOODS BAPA-MAIN ARAMARK"</f>
        <v>000143467 - RICH FOODS BAPA-MAIN ARAMARK</v>
      </c>
      <c r="C13048" t="s">
        <v>320</v>
      </c>
      <c r="D13048" s="1" t="str">
        <f t="shared" si="358"/>
        <v>PRG-1039127</v>
      </c>
      <c r="E13048" t="s">
        <v>381</v>
      </c>
      <c r="F13048" t="s">
        <v>4</v>
      </c>
      <c r="G13048" t="str">
        <f>""</f>
        <v/>
      </c>
    </row>
    <row r="13049" spans="1:7" x14ac:dyDescent="0.25">
      <c r="A13049" t="s">
        <v>8</v>
      </c>
      <c r="B13049" s="1" t="str">
        <f>"000148850 - RICH FOODS BAPA-MAIN ARAMARK"</f>
        <v>000148850 - RICH FOODS BAPA-MAIN ARAMARK</v>
      </c>
      <c r="C13049" t="s">
        <v>320</v>
      </c>
      <c r="D13049" s="1" t="str">
        <f t="shared" si="358"/>
        <v>PRG-1039127</v>
      </c>
      <c r="E13049" t="s">
        <v>381</v>
      </c>
      <c r="F13049" t="s">
        <v>4</v>
      </c>
      <c r="G13049" t="str">
        <f>""</f>
        <v/>
      </c>
    </row>
    <row r="13050" spans="1:7" x14ac:dyDescent="0.25">
      <c r="A13050" t="s">
        <v>8</v>
      </c>
      <c r="B13050" s="1" t="str">
        <f>"000150560 - RICH FOODS BAPA-MAIN ARAMARK"</f>
        <v>000150560 - RICH FOODS BAPA-MAIN ARAMARK</v>
      </c>
      <c r="C13050" t="s">
        <v>320</v>
      </c>
      <c r="D13050" s="1" t="str">
        <f t="shared" si="358"/>
        <v>PRG-1039127</v>
      </c>
      <c r="E13050" t="s">
        <v>381</v>
      </c>
      <c r="F13050" t="s">
        <v>4</v>
      </c>
      <c r="G13050" t="str">
        <f>""</f>
        <v/>
      </c>
    </row>
    <row r="13051" spans="1:7" x14ac:dyDescent="0.25">
      <c r="A13051" t="s">
        <v>8</v>
      </c>
      <c r="B13051" s="1" t="str">
        <f>"000151424 - RICH FOODS BAPA-MAIN ARAMARK"</f>
        <v>000151424 - RICH FOODS BAPA-MAIN ARAMARK</v>
      </c>
      <c r="C13051" t="s">
        <v>320</v>
      </c>
      <c r="D13051" s="1" t="str">
        <f t="shared" si="358"/>
        <v>PRG-1039127</v>
      </c>
      <c r="E13051" t="s">
        <v>381</v>
      </c>
      <c r="F13051" t="s">
        <v>4</v>
      </c>
      <c r="G13051" t="str">
        <f>""</f>
        <v/>
      </c>
    </row>
    <row r="13052" spans="1:7" x14ac:dyDescent="0.25">
      <c r="A13052" t="s">
        <v>8</v>
      </c>
      <c r="B13052" s="1" t="str">
        <f>"000152415 - RICH FOODS BAPA-MAIN ARAMARK"</f>
        <v>000152415 - RICH FOODS BAPA-MAIN ARAMARK</v>
      </c>
      <c r="C13052" t="s">
        <v>320</v>
      </c>
      <c r="D13052" s="1" t="str">
        <f t="shared" si="358"/>
        <v>PRG-1039127</v>
      </c>
      <c r="E13052" t="s">
        <v>381</v>
      </c>
      <c r="F13052" t="s">
        <v>4</v>
      </c>
      <c r="G13052" t="str">
        <f>""</f>
        <v/>
      </c>
    </row>
    <row r="13053" spans="1:7" x14ac:dyDescent="0.25">
      <c r="A13053" t="s">
        <v>8</v>
      </c>
      <c r="B13053" s="1" t="str">
        <f>"000164048 - RICH FOODS BAPA-MAIN ARAMARK"</f>
        <v>000164048 - RICH FOODS BAPA-MAIN ARAMARK</v>
      </c>
      <c r="C13053" t="s">
        <v>320</v>
      </c>
      <c r="D13053" s="1" t="str">
        <f t="shared" si="358"/>
        <v>PRG-1039127</v>
      </c>
      <c r="E13053" t="s">
        <v>381</v>
      </c>
      <c r="F13053" t="s">
        <v>4</v>
      </c>
      <c r="G13053" t="str">
        <f>""</f>
        <v/>
      </c>
    </row>
    <row r="13054" spans="1:7" x14ac:dyDescent="0.25">
      <c r="A13054" t="s">
        <v>8</v>
      </c>
      <c r="B13054" s="1" t="str">
        <f>"000170021 - RICH FOODS BAPA-MAIN ARAMARK"</f>
        <v>000170021 - RICH FOODS BAPA-MAIN ARAMARK</v>
      </c>
      <c r="C13054" t="s">
        <v>320</v>
      </c>
      <c r="D13054" s="1" t="str">
        <f t="shared" si="358"/>
        <v>PRG-1039127</v>
      </c>
      <c r="E13054" t="s">
        <v>381</v>
      </c>
      <c r="F13054" t="s">
        <v>4</v>
      </c>
      <c r="G13054" t="str">
        <f>""</f>
        <v/>
      </c>
    </row>
    <row r="13055" spans="1:7" x14ac:dyDescent="0.25">
      <c r="A13055" t="s">
        <v>8</v>
      </c>
      <c r="B13055" s="1" t="str">
        <f>"000173589 - RICH FOODS BAPA-MAIN ARAMARK"</f>
        <v>000173589 - RICH FOODS BAPA-MAIN ARAMARK</v>
      </c>
      <c r="C13055" t="s">
        <v>320</v>
      </c>
      <c r="D13055" s="1" t="str">
        <f t="shared" si="358"/>
        <v>PRG-1039127</v>
      </c>
      <c r="E13055" t="s">
        <v>381</v>
      </c>
      <c r="F13055" t="s">
        <v>4</v>
      </c>
      <c r="G13055" t="str">
        <f>""</f>
        <v/>
      </c>
    </row>
    <row r="13056" spans="1:7" x14ac:dyDescent="0.25">
      <c r="A13056" t="s">
        <v>8</v>
      </c>
      <c r="B13056" s="1" t="str">
        <f>"000175779 - RICH FOODS BAPA-MAIN ARAMARK"</f>
        <v>000175779 - RICH FOODS BAPA-MAIN ARAMARK</v>
      </c>
      <c r="C13056" t="s">
        <v>320</v>
      </c>
      <c r="D13056" s="1" t="str">
        <f t="shared" si="358"/>
        <v>PRG-1039127</v>
      </c>
      <c r="E13056" t="s">
        <v>381</v>
      </c>
      <c r="F13056" t="s">
        <v>4</v>
      </c>
      <c r="G13056" t="str">
        <f>""</f>
        <v/>
      </c>
    </row>
    <row r="13057" spans="1:7" x14ac:dyDescent="0.25">
      <c r="A13057" t="s">
        <v>8</v>
      </c>
      <c r="B13057" s="1" t="str">
        <f>"000240280 - RICH FOODS BAPA-MAIN ARAMARK"</f>
        <v>000240280 - RICH FOODS BAPA-MAIN ARAMARK</v>
      </c>
      <c r="C13057" t="s">
        <v>320</v>
      </c>
      <c r="D13057" s="1" t="str">
        <f t="shared" ref="D13057:D13088" si="359">"PRG-1039127"</f>
        <v>PRG-1039127</v>
      </c>
      <c r="E13057" t="s">
        <v>381</v>
      </c>
      <c r="F13057" t="s">
        <v>4</v>
      </c>
      <c r="G13057" t="str">
        <f>""</f>
        <v/>
      </c>
    </row>
    <row r="13058" spans="1:7" x14ac:dyDescent="0.25">
      <c r="A13058" t="s">
        <v>8</v>
      </c>
      <c r="B13058" s="1" t="str">
        <f>"000242583 - RICH FOODS BAPA-MAIN ARAMARK"</f>
        <v>000242583 - RICH FOODS BAPA-MAIN ARAMARK</v>
      </c>
      <c r="C13058" t="s">
        <v>320</v>
      </c>
      <c r="D13058" s="1" t="str">
        <f t="shared" si="359"/>
        <v>PRG-1039127</v>
      </c>
      <c r="E13058" t="s">
        <v>381</v>
      </c>
      <c r="F13058" t="s">
        <v>4</v>
      </c>
      <c r="G13058" t="str">
        <f>""</f>
        <v/>
      </c>
    </row>
    <row r="13059" spans="1:7" x14ac:dyDescent="0.25">
      <c r="A13059" t="s">
        <v>8</v>
      </c>
      <c r="B13059" s="1" t="str">
        <f>"000244651 - RICH FOODS BAPA-SSS ARAMARK"</f>
        <v>000244651 - RICH FOODS BAPA-SSS ARAMARK</v>
      </c>
      <c r="C13059" t="s">
        <v>373</v>
      </c>
      <c r="D13059" s="1" t="str">
        <f t="shared" si="359"/>
        <v>PRG-1039127</v>
      </c>
      <c r="E13059" t="s">
        <v>381</v>
      </c>
      <c r="F13059" t="s">
        <v>4</v>
      </c>
      <c r="G13059" t="str">
        <f>""</f>
        <v/>
      </c>
    </row>
    <row r="13060" spans="1:7" x14ac:dyDescent="0.25">
      <c r="A13060" t="s">
        <v>8</v>
      </c>
      <c r="B13060" s="1" t="str">
        <f>"000248978 - RICH FOODS BAPA-MAIN ARAMARK"</f>
        <v>000248978 - RICH FOODS BAPA-MAIN ARAMARK</v>
      </c>
      <c r="C13060" t="s">
        <v>320</v>
      </c>
      <c r="D13060" s="1" t="str">
        <f t="shared" si="359"/>
        <v>PRG-1039127</v>
      </c>
      <c r="E13060" t="s">
        <v>381</v>
      </c>
      <c r="F13060" t="s">
        <v>4</v>
      </c>
      <c r="G13060" t="str">
        <f>""</f>
        <v/>
      </c>
    </row>
    <row r="13061" spans="1:7" x14ac:dyDescent="0.25">
      <c r="A13061" t="s">
        <v>8</v>
      </c>
      <c r="B13061" s="1" t="str">
        <f>"000249630 - RICH FOODS BAPA-MAIN ARAMARK"</f>
        <v>000249630 - RICH FOODS BAPA-MAIN ARAMARK</v>
      </c>
      <c r="C13061" t="s">
        <v>320</v>
      </c>
      <c r="D13061" s="1" t="str">
        <f t="shared" si="359"/>
        <v>PRG-1039127</v>
      </c>
      <c r="E13061" t="s">
        <v>381</v>
      </c>
      <c r="F13061" t="s">
        <v>4</v>
      </c>
      <c r="G13061" t="str">
        <f>""</f>
        <v/>
      </c>
    </row>
    <row r="13062" spans="1:7" x14ac:dyDescent="0.25">
      <c r="A13062" t="s">
        <v>8</v>
      </c>
      <c r="B13062" s="1" t="str">
        <f>"000252568 - RICH FOODS BAPA-MAIN ARAMARK"</f>
        <v>000252568 - RICH FOODS BAPA-MAIN ARAMARK</v>
      </c>
      <c r="C13062" t="s">
        <v>320</v>
      </c>
      <c r="D13062" s="1" t="str">
        <f t="shared" si="359"/>
        <v>PRG-1039127</v>
      </c>
      <c r="E13062" t="s">
        <v>381</v>
      </c>
      <c r="F13062" t="s">
        <v>4</v>
      </c>
      <c r="G13062" t="str">
        <f>""</f>
        <v/>
      </c>
    </row>
    <row r="13063" spans="1:7" x14ac:dyDescent="0.25">
      <c r="A13063" t="s">
        <v>8</v>
      </c>
      <c r="B13063" s="1" t="str">
        <f>"000260757 - RICH FOODS-MAIN ARAMARK"</f>
        <v>000260757 - RICH FOODS-MAIN ARAMARK</v>
      </c>
      <c r="C13063" t="s">
        <v>126</v>
      </c>
      <c r="D13063" s="1" t="str">
        <f t="shared" si="359"/>
        <v>PRG-1039127</v>
      </c>
      <c r="E13063" t="s">
        <v>381</v>
      </c>
      <c r="F13063" t="s">
        <v>4</v>
      </c>
      <c r="G13063" t="str">
        <f>""</f>
        <v/>
      </c>
    </row>
    <row r="13064" spans="1:7" x14ac:dyDescent="0.25">
      <c r="A13064" t="s">
        <v>8</v>
      </c>
      <c r="B13064" s="1" t="str">
        <f>"000261193 - RICH FOODS BAPA-MAIN ARAMARK"</f>
        <v>000261193 - RICH FOODS BAPA-MAIN ARAMARK</v>
      </c>
      <c r="C13064" t="s">
        <v>320</v>
      </c>
      <c r="D13064" s="1" t="str">
        <f t="shared" si="359"/>
        <v>PRG-1039127</v>
      </c>
      <c r="E13064" t="s">
        <v>381</v>
      </c>
      <c r="F13064" t="s">
        <v>4</v>
      </c>
      <c r="G13064" t="str">
        <f>""</f>
        <v/>
      </c>
    </row>
    <row r="13065" spans="1:7" x14ac:dyDescent="0.25">
      <c r="A13065" t="s">
        <v>8</v>
      </c>
      <c r="B13065" s="1" t="str">
        <f>"000263231 - BB ARA SSS FOB RICH"</f>
        <v>000263231 - BB ARA SSS FOB RICH</v>
      </c>
      <c r="C13065" t="s">
        <v>2332</v>
      </c>
      <c r="D13065" s="1" t="str">
        <f t="shared" si="359"/>
        <v>PRG-1039127</v>
      </c>
      <c r="E13065" t="s">
        <v>381</v>
      </c>
      <c r="F13065" t="s">
        <v>4</v>
      </c>
      <c r="G13065" t="str">
        <f>""</f>
        <v/>
      </c>
    </row>
    <row r="13066" spans="1:7" x14ac:dyDescent="0.25">
      <c r="A13066" t="s">
        <v>8</v>
      </c>
      <c r="B13066" s="1" t="str">
        <f>"000264479 - RICH FOODS BAPA-MAIN ARAMARK"</f>
        <v>000264479 - RICH FOODS BAPA-MAIN ARAMARK</v>
      </c>
      <c r="C13066" t="s">
        <v>320</v>
      </c>
      <c r="D13066" s="1" t="str">
        <f t="shared" si="359"/>
        <v>PRG-1039127</v>
      </c>
      <c r="E13066" t="s">
        <v>381</v>
      </c>
      <c r="F13066" t="s">
        <v>4</v>
      </c>
      <c r="G13066" t="str">
        <f>""</f>
        <v/>
      </c>
    </row>
    <row r="13067" spans="1:7" x14ac:dyDescent="0.25">
      <c r="A13067" t="s">
        <v>8</v>
      </c>
      <c r="B13067" s="1" t="str">
        <f>"000265141 - RICH FOODS BAPA-MAIN ARAMARK"</f>
        <v>000265141 - RICH FOODS BAPA-MAIN ARAMARK</v>
      </c>
      <c r="C13067" t="s">
        <v>320</v>
      </c>
      <c r="D13067" s="1" t="str">
        <f t="shared" si="359"/>
        <v>PRG-1039127</v>
      </c>
      <c r="E13067" t="s">
        <v>381</v>
      </c>
      <c r="F13067" t="s">
        <v>4</v>
      </c>
      <c r="G13067" t="str">
        <f>""</f>
        <v/>
      </c>
    </row>
    <row r="13068" spans="1:7" x14ac:dyDescent="0.25">
      <c r="A13068" t="s">
        <v>8</v>
      </c>
      <c r="B13068" s="1" t="str">
        <f>"000266256 - RICH FOODS BAPA-MAIN ARAMARK"</f>
        <v>000266256 - RICH FOODS BAPA-MAIN ARAMARK</v>
      </c>
      <c r="C13068" t="s">
        <v>320</v>
      </c>
      <c r="D13068" s="1" t="str">
        <f t="shared" si="359"/>
        <v>PRG-1039127</v>
      </c>
      <c r="E13068" t="s">
        <v>381</v>
      </c>
      <c r="F13068" t="s">
        <v>4</v>
      </c>
      <c r="G13068" t="str">
        <f>""</f>
        <v/>
      </c>
    </row>
    <row r="13069" spans="1:7" x14ac:dyDescent="0.25">
      <c r="A13069" t="s">
        <v>8</v>
      </c>
      <c r="B13069" s="1" t="str">
        <f>"000267673 - RICH FOODS BAPA-MAIN ARAMARK"</f>
        <v>000267673 - RICH FOODS BAPA-MAIN ARAMARK</v>
      </c>
      <c r="C13069" t="s">
        <v>320</v>
      </c>
      <c r="D13069" s="1" t="str">
        <f t="shared" si="359"/>
        <v>PRG-1039127</v>
      </c>
      <c r="E13069" t="s">
        <v>381</v>
      </c>
      <c r="F13069" t="s">
        <v>4</v>
      </c>
      <c r="G13069" t="str">
        <f>""</f>
        <v/>
      </c>
    </row>
    <row r="13070" spans="1:7" x14ac:dyDescent="0.25">
      <c r="A13070" t="s">
        <v>8</v>
      </c>
      <c r="B13070" s="1" t="str">
        <f>"000270174 - RICH FOODS BAPA-MAIN ARAMARK"</f>
        <v>000270174 - RICH FOODS BAPA-MAIN ARAMARK</v>
      </c>
      <c r="C13070" t="s">
        <v>320</v>
      </c>
      <c r="D13070" s="1" t="str">
        <f t="shared" si="359"/>
        <v>PRG-1039127</v>
      </c>
      <c r="E13070" t="s">
        <v>381</v>
      </c>
      <c r="F13070" t="s">
        <v>4</v>
      </c>
      <c r="G13070" t="str">
        <f>""</f>
        <v/>
      </c>
    </row>
    <row r="13071" spans="1:7" x14ac:dyDescent="0.25">
      <c r="A13071" t="s">
        <v>8</v>
      </c>
      <c r="B13071" s="1" t="str">
        <f>"000271784 - RICH FOODS BAPA-MAIN ARAMARK"</f>
        <v>000271784 - RICH FOODS BAPA-MAIN ARAMARK</v>
      </c>
      <c r="C13071" t="s">
        <v>320</v>
      </c>
      <c r="D13071" s="1" t="str">
        <f t="shared" si="359"/>
        <v>PRG-1039127</v>
      </c>
      <c r="E13071" t="s">
        <v>381</v>
      </c>
      <c r="F13071" t="s">
        <v>4</v>
      </c>
      <c r="G13071" t="str">
        <f>""</f>
        <v/>
      </c>
    </row>
    <row r="13072" spans="1:7" x14ac:dyDescent="0.25">
      <c r="A13072" t="s">
        <v>8</v>
      </c>
      <c r="B13072" s="1" t="str">
        <f>"000271908 - RICH FOODS BAPA-MAIN ARAMARK"</f>
        <v>000271908 - RICH FOODS BAPA-MAIN ARAMARK</v>
      </c>
      <c r="C13072" t="s">
        <v>320</v>
      </c>
      <c r="D13072" s="1" t="str">
        <f t="shared" si="359"/>
        <v>PRG-1039127</v>
      </c>
      <c r="E13072" t="s">
        <v>381</v>
      </c>
      <c r="F13072" t="s">
        <v>4</v>
      </c>
      <c r="G13072" t="str">
        <f>""</f>
        <v/>
      </c>
    </row>
    <row r="13073" spans="1:7" x14ac:dyDescent="0.25">
      <c r="A13073" t="s">
        <v>8</v>
      </c>
      <c r="B13073" s="1" t="str">
        <f>"000272608 - RICH FOODS BAPA-MAIN ARAMARK"</f>
        <v>000272608 - RICH FOODS BAPA-MAIN ARAMARK</v>
      </c>
      <c r="C13073" t="s">
        <v>320</v>
      </c>
      <c r="D13073" s="1" t="str">
        <f t="shared" si="359"/>
        <v>PRG-1039127</v>
      </c>
      <c r="E13073" t="s">
        <v>381</v>
      </c>
      <c r="F13073" t="s">
        <v>4</v>
      </c>
      <c r="G13073" t="str">
        <f>""</f>
        <v/>
      </c>
    </row>
    <row r="13074" spans="1:7" x14ac:dyDescent="0.25">
      <c r="A13074" t="s">
        <v>8</v>
      </c>
      <c r="B13074" s="1" t="str">
        <f>"000272647 - RICH FOODS BAPA-MAIN ARAMARK"</f>
        <v>000272647 - RICH FOODS BAPA-MAIN ARAMARK</v>
      </c>
      <c r="C13074" t="s">
        <v>320</v>
      </c>
      <c r="D13074" s="1" t="str">
        <f t="shared" si="359"/>
        <v>PRG-1039127</v>
      </c>
      <c r="E13074" t="s">
        <v>381</v>
      </c>
      <c r="F13074" t="s">
        <v>4</v>
      </c>
      <c r="G13074" t="str">
        <f>""</f>
        <v/>
      </c>
    </row>
    <row r="13075" spans="1:7" x14ac:dyDescent="0.25">
      <c r="A13075" t="s">
        <v>8</v>
      </c>
      <c r="B13075" s="1" t="str">
        <f>"000274403 - RICH FOODS BAPA-MAIN ARAMARK"</f>
        <v>000274403 - RICH FOODS BAPA-MAIN ARAMARK</v>
      </c>
      <c r="C13075" t="s">
        <v>320</v>
      </c>
      <c r="D13075" s="1" t="str">
        <f t="shared" si="359"/>
        <v>PRG-1039127</v>
      </c>
      <c r="E13075" t="s">
        <v>381</v>
      </c>
      <c r="F13075" t="s">
        <v>4</v>
      </c>
      <c r="G13075" t="str">
        <f>""</f>
        <v/>
      </c>
    </row>
    <row r="13076" spans="1:7" x14ac:dyDescent="0.25">
      <c r="A13076" t="s">
        <v>8</v>
      </c>
      <c r="B13076" s="1" t="str">
        <f>"000276226 - RICH FOODS BAPA-MAIN ARAMARK"</f>
        <v>000276226 - RICH FOODS BAPA-MAIN ARAMARK</v>
      </c>
      <c r="C13076" t="s">
        <v>320</v>
      </c>
      <c r="D13076" s="1" t="str">
        <f t="shared" si="359"/>
        <v>PRG-1039127</v>
      </c>
      <c r="E13076" t="s">
        <v>381</v>
      </c>
      <c r="F13076" t="s">
        <v>4</v>
      </c>
      <c r="G13076" t="str">
        <f>""</f>
        <v/>
      </c>
    </row>
    <row r="13077" spans="1:7" x14ac:dyDescent="0.25">
      <c r="A13077" t="s">
        <v>8</v>
      </c>
      <c r="B13077" s="1" t="str">
        <f>"000276515 - RICH FOODS BAPA-MAIN ARAMARK"</f>
        <v>000276515 - RICH FOODS BAPA-MAIN ARAMARK</v>
      </c>
      <c r="C13077" t="s">
        <v>320</v>
      </c>
      <c r="D13077" s="1" t="str">
        <f t="shared" si="359"/>
        <v>PRG-1039127</v>
      </c>
      <c r="E13077" t="s">
        <v>381</v>
      </c>
      <c r="F13077" t="s">
        <v>4</v>
      </c>
      <c r="G13077" t="str">
        <f>""</f>
        <v/>
      </c>
    </row>
    <row r="13078" spans="1:7" x14ac:dyDescent="0.25">
      <c r="A13078" t="s">
        <v>8</v>
      </c>
      <c r="B13078" s="1" t="str">
        <f>"000280301 - RICH FOODS BAPA-MAIN ARAMARK"</f>
        <v>000280301 - RICH FOODS BAPA-MAIN ARAMARK</v>
      </c>
      <c r="C13078" t="s">
        <v>320</v>
      </c>
      <c r="D13078" s="1" t="str">
        <f t="shared" si="359"/>
        <v>PRG-1039127</v>
      </c>
      <c r="E13078" t="s">
        <v>381</v>
      </c>
      <c r="F13078" t="s">
        <v>4</v>
      </c>
      <c r="G13078" t="str">
        <f>""</f>
        <v/>
      </c>
    </row>
    <row r="13079" spans="1:7" x14ac:dyDescent="0.25">
      <c r="A13079" t="s">
        <v>8</v>
      </c>
      <c r="B13079" s="1" t="str">
        <f>"000287101 - RICH FOODS BAPA-MAIN ARAMARK"</f>
        <v>000287101 - RICH FOODS BAPA-MAIN ARAMARK</v>
      </c>
      <c r="C13079" t="s">
        <v>320</v>
      </c>
      <c r="D13079" s="1" t="str">
        <f t="shared" si="359"/>
        <v>PRG-1039127</v>
      </c>
      <c r="E13079" t="s">
        <v>381</v>
      </c>
      <c r="F13079" t="s">
        <v>4</v>
      </c>
      <c r="G13079" t="str">
        <f>""</f>
        <v/>
      </c>
    </row>
    <row r="13080" spans="1:7" x14ac:dyDescent="0.25">
      <c r="A13080" t="s">
        <v>8</v>
      </c>
      <c r="B13080" s="1" t="str">
        <f>"000287846 - RICH FOODS-MAIN ARAMARK"</f>
        <v>000287846 - RICH FOODS-MAIN ARAMARK</v>
      </c>
      <c r="C13080" t="s">
        <v>126</v>
      </c>
      <c r="D13080" s="1" t="str">
        <f t="shared" si="359"/>
        <v>PRG-1039127</v>
      </c>
      <c r="E13080" t="s">
        <v>381</v>
      </c>
      <c r="F13080" t="s">
        <v>4</v>
      </c>
      <c r="G13080" t="str">
        <f>""</f>
        <v/>
      </c>
    </row>
    <row r="13081" spans="1:7" x14ac:dyDescent="0.25">
      <c r="A13081" t="s">
        <v>8</v>
      </c>
      <c r="B13081" s="1" t="str">
        <f>"000288198 - RICH FOODS BAPA-MAIN ARAMARK"</f>
        <v>000288198 - RICH FOODS BAPA-MAIN ARAMARK</v>
      </c>
      <c r="C13081" t="s">
        <v>320</v>
      </c>
      <c r="D13081" s="1" t="str">
        <f t="shared" si="359"/>
        <v>PRG-1039127</v>
      </c>
      <c r="E13081" t="s">
        <v>381</v>
      </c>
      <c r="F13081" t="s">
        <v>4</v>
      </c>
      <c r="G13081" t="str">
        <f>""</f>
        <v/>
      </c>
    </row>
    <row r="13082" spans="1:7" x14ac:dyDescent="0.25">
      <c r="A13082" t="s">
        <v>8</v>
      </c>
      <c r="B13082" s="1" t="str">
        <f>"000289273 - RICH FOODS BAPA-MAIN ARAMARK"</f>
        <v>000289273 - RICH FOODS BAPA-MAIN ARAMARK</v>
      </c>
      <c r="C13082" t="s">
        <v>320</v>
      </c>
      <c r="D13082" s="1" t="str">
        <f t="shared" si="359"/>
        <v>PRG-1039127</v>
      </c>
      <c r="E13082" t="s">
        <v>381</v>
      </c>
      <c r="F13082" t="s">
        <v>4</v>
      </c>
      <c r="G13082" t="str">
        <f>""</f>
        <v/>
      </c>
    </row>
    <row r="13083" spans="1:7" x14ac:dyDescent="0.25">
      <c r="A13083" t="s">
        <v>8</v>
      </c>
      <c r="B13083" s="1" t="str">
        <f>"000291343 - RICH FOODS BAPA-MAIN ARAMARK"</f>
        <v>000291343 - RICH FOODS BAPA-MAIN ARAMARK</v>
      </c>
      <c r="C13083" t="s">
        <v>320</v>
      </c>
      <c r="D13083" s="1" t="str">
        <f t="shared" si="359"/>
        <v>PRG-1039127</v>
      </c>
      <c r="E13083" t="s">
        <v>381</v>
      </c>
      <c r="F13083" t="s">
        <v>4</v>
      </c>
      <c r="G13083" t="str">
        <f>""</f>
        <v/>
      </c>
    </row>
    <row r="13084" spans="1:7" x14ac:dyDescent="0.25">
      <c r="A13084" t="s">
        <v>8</v>
      </c>
      <c r="B13084" s="1" t="str">
        <f>"000292071 - RICH FOODS BAPA-MAIN ARAMARK"</f>
        <v>000292071 - RICH FOODS BAPA-MAIN ARAMARK</v>
      </c>
      <c r="C13084" t="s">
        <v>320</v>
      </c>
      <c r="D13084" s="1" t="str">
        <f t="shared" si="359"/>
        <v>PRG-1039127</v>
      </c>
      <c r="E13084" t="s">
        <v>381</v>
      </c>
      <c r="F13084" t="s">
        <v>4</v>
      </c>
      <c r="G13084" t="str">
        <f>""</f>
        <v/>
      </c>
    </row>
    <row r="13085" spans="1:7" x14ac:dyDescent="0.25">
      <c r="A13085" t="s">
        <v>8</v>
      </c>
      <c r="B13085" s="1" t="str">
        <f>"000293042 - RICH FOODS BAPA-MAIN ARAMARK"</f>
        <v>000293042 - RICH FOODS BAPA-MAIN ARAMARK</v>
      </c>
      <c r="C13085" t="s">
        <v>320</v>
      </c>
      <c r="D13085" s="1" t="str">
        <f t="shared" si="359"/>
        <v>PRG-1039127</v>
      </c>
      <c r="E13085" t="s">
        <v>381</v>
      </c>
      <c r="F13085" t="s">
        <v>4</v>
      </c>
      <c r="G13085" t="str">
        <f>""</f>
        <v/>
      </c>
    </row>
    <row r="13086" spans="1:7" x14ac:dyDescent="0.25">
      <c r="A13086" t="s">
        <v>8</v>
      </c>
      <c r="B13086" s="1" t="str">
        <f>"000294188 - RICH FOODS BAPA-SSS ARAMARK"</f>
        <v>000294188 - RICH FOODS BAPA-SSS ARAMARK</v>
      </c>
      <c r="C13086" t="s">
        <v>373</v>
      </c>
      <c r="D13086" s="1" t="str">
        <f t="shared" si="359"/>
        <v>PRG-1039127</v>
      </c>
      <c r="E13086" t="s">
        <v>381</v>
      </c>
      <c r="F13086" t="s">
        <v>4</v>
      </c>
      <c r="G13086" t="str">
        <f>""</f>
        <v/>
      </c>
    </row>
    <row r="13087" spans="1:7" x14ac:dyDescent="0.25">
      <c r="A13087" t="s">
        <v>8</v>
      </c>
      <c r="B13087" s="1" t="str">
        <f>"000294189 - RICH FOODS BAPA-MAIN ARAMARK"</f>
        <v>000294189 - RICH FOODS BAPA-MAIN ARAMARK</v>
      </c>
      <c r="C13087" t="s">
        <v>320</v>
      </c>
      <c r="D13087" s="1" t="str">
        <f t="shared" si="359"/>
        <v>PRG-1039127</v>
      </c>
      <c r="E13087" t="s">
        <v>381</v>
      </c>
      <c r="F13087" t="s">
        <v>4</v>
      </c>
      <c r="G13087" t="str">
        <f>""</f>
        <v/>
      </c>
    </row>
    <row r="13088" spans="1:7" x14ac:dyDescent="0.25">
      <c r="A13088" t="s">
        <v>8</v>
      </c>
      <c r="B13088" s="1" t="str">
        <f>"000294227 - RICH FOODS BAPA-MAIN ARAMARK"</f>
        <v>000294227 - RICH FOODS BAPA-MAIN ARAMARK</v>
      </c>
      <c r="C13088" t="s">
        <v>320</v>
      </c>
      <c r="D13088" s="1" t="str">
        <f t="shared" si="359"/>
        <v>PRG-1039127</v>
      </c>
      <c r="E13088" t="s">
        <v>381</v>
      </c>
      <c r="F13088" t="s">
        <v>4</v>
      </c>
      <c r="G13088" t="str">
        <f>""</f>
        <v/>
      </c>
    </row>
    <row r="13089" spans="1:7" x14ac:dyDescent="0.25">
      <c r="A13089" t="s">
        <v>8</v>
      </c>
      <c r="B13089" s="1" t="str">
        <f>"000296354 - RICH FOODS BAPA-MAIN ARAMARK"</f>
        <v>000296354 - RICH FOODS BAPA-MAIN ARAMARK</v>
      </c>
      <c r="C13089" t="s">
        <v>320</v>
      </c>
      <c r="D13089" s="1" t="str">
        <f t="shared" ref="D13089:D13120" si="360">"PRG-1039127"</f>
        <v>PRG-1039127</v>
      </c>
      <c r="E13089" t="s">
        <v>381</v>
      </c>
      <c r="F13089" t="s">
        <v>4</v>
      </c>
      <c r="G13089" t="str">
        <f>""</f>
        <v/>
      </c>
    </row>
    <row r="13090" spans="1:7" x14ac:dyDescent="0.25">
      <c r="A13090" t="s">
        <v>8</v>
      </c>
      <c r="B13090" s="1" t="str">
        <f>"000296982 - RICH FOODS BAPA-MAIN ARAMARK"</f>
        <v>000296982 - RICH FOODS BAPA-MAIN ARAMARK</v>
      </c>
      <c r="C13090" t="s">
        <v>320</v>
      </c>
      <c r="D13090" s="1" t="str">
        <f t="shared" si="360"/>
        <v>PRG-1039127</v>
      </c>
      <c r="E13090" t="s">
        <v>381</v>
      </c>
      <c r="F13090" t="s">
        <v>4</v>
      </c>
      <c r="G13090" t="str">
        <f>""</f>
        <v/>
      </c>
    </row>
    <row r="13091" spans="1:7" x14ac:dyDescent="0.25">
      <c r="A13091" t="s">
        <v>8</v>
      </c>
      <c r="B13091" s="1" t="str">
        <f>"000297745 - RICH FOODS BAPA-MAIN ARAMARK"</f>
        <v>000297745 - RICH FOODS BAPA-MAIN ARAMARK</v>
      </c>
      <c r="C13091" t="s">
        <v>320</v>
      </c>
      <c r="D13091" s="1" t="str">
        <f t="shared" si="360"/>
        <v>PRG-1039127</v>
      </c>
      <c r="E13091" t="s">
        <v>381</v>
      </c>
      <c r="F13091" t="s">
        <v>4</v>
      </c>
      <c r="G13091" t="str">
        <f>""</f>
        <v/>
      </c>
    </row>
    <row r="13092" spans="1:7" x14ac:dyDescent="0.25">
      <c r="A13092" t="s">
        <v>8</v>
      </c>
      <c r="B13092" s="1" t="str">
        <f>"000298149 - RICH FOODS BAPA-MAIN ARAMARK"</f>
        <v>000298149 - RICH FOODS BAPA-MAIN ARAMARK</v>
      </c>
      <c r="C13092" t="s">
        <v>320</v>
      </c>
      <c r="D13092" s="1" t="str">
        <f t="shared" si="360"/>
        <v>PRG-1039127</v>
      </c>
      <c r="E13092" t="s">
        <v>381</v>
      </c>
      <c r="F13092" t="s">
        <v>4</v>
      </c>
      <c r="G13092" t="str">
        <f>""</f>
        <v/>
      </c>
    </row>
    <row r="13093" spans="1:7" x14ac:dyDescent="0.25">
      <c r="A13093" t="s">
        <v>8</v>
      </c>
      <c r="B13093" s="1" t="str">
        <f>"000299448 - RICH FOODS BAPA-MAIN ARAMARK"</f>
        <v>000299448 - RICH FOODS BAPA-MAIN ARAMARK</v>
      </c>
      <c r="C13093" t="s">
        <v>320</v>
      </c>
      <c r="D13093" s="1" t="str">
        <f t="shared" si="360"/>
        <v>PRG-1039127</v>
      </c>
      <c r="E13093" t="s">
        <v>381</v>
      </c>
      <c r="F13093" t="s">
        <v>4</v>
      </c>
      <c r="G13093" t="str">
        <f>""</f>
        <v/>
      </c>
    </row>
    <row r="13094" spans="1:7" x14ac:dyDescent="0.25">
      <c r="A13094" t="s">
        <v>8</v>
      </c>
      <c r="B13094" s="1" t="str">
        <f>"000299681 - RICH FOODS BAPA-MAIN ARAMARK"</f>
        <v>000299681 - RICH FOODS BAPA-MAIN ARAMARK</v>
      </c>
      <c r="C13094" t="s">
        <v>320</v>
      </c>
      <c r="D13094" s="1" t="str">
        <f t="shared" si="360"/>
        <v>PRG-1039127</v>
      </c>
      <c r="E13094" t="s">
        <v>381</v>
      </c>
      <c r="F13094" t="s">
        <v>4</v>
      </c>
      <c r="G13094" t="str">
        <f>""</f>
        <v/>
      </c>
    </row>
    <row r="13095" spans="1:7" x14ac:dyDescent="0.25">
      <c r="A13095" t="s">
        <v>8</v>
      </c>
      <c r="B13095" s="1" t="str">
        <f>"000299923 - RICH FOODS BAPA-MAIN ARAMARK"</f>
        <v>000299923 - RICH FOODS BAPA-MAIN ARAMARK</v>
      </c>
      <c r="C13095" t="s">
        <v>320</v>
      </c>
      <c r="D13095" s="1" t="str">
        <f t="shared" si="360"/>
        <v>PRG-1039127</v>
      </c>
      <c r="E13095" t="s">
        <v>381</v>
      </c>
      <c r="F13095" t="s">
        <v>4</v>
      </c>
      <c r="G13095" t="str">
        <f>""</f>
        <v/>
      </c>
    </row>
    <row r="13096" spans="1:7" x14ac:dyDescent="0.25">
      <c r="A13096" t="s">
        <v>8</v>
      </c>
      <c r="B13096" s="1" t="str">
        <f>"000300393 - RICH FOODS BAPA-MAIN ARAMARK"</f>
        <v>000300393 - RICH FOODS BAPA-MAIN ARAMARK</v>
      </c>
      <c r="C13096" t="s">
        <v>320</v>
      </c>
      <c r="D13096" s="1" t="str">
        <f t="shared" si="360"/>
        <v>PRG-1039127</v>
      </c>
      <c r="E13096" t="s">
        <v>381</v>
      </c>
      <c r="F13096" t="s">
        <v>4</v>
      </c>
      <c r="G13096" t="str">
        <f>""</f>
        <v/>
      </c>
    </row>
    <row r="13097" spans="1:7" x14ac:dyDescent="0.25">
      <c r="A13097" t="s">
        <v>8</v>
      </c>
      <c r="B13097" s="1" t="str">
        <f>"000300989 - RICH FOODS BAPA-MAIN ARAMARK"</f>
        <v>000300989 - RICH FOODS BAPA-MAIN ARAMARK</v>
      </c>
      <c r="C13097" t="s">
        <v>320</v>
      </c>
      <c r="D13097" s="1" t="str">
        <f t="shared" si="360"/>
        <v>PRG-1039127</v>
      </c>
      <c r="E13097" t="s">
        <v>381</v>
      </c>
      <c r="F13097" t="s">
        <v>4</v>
      </c>
      <c r="G13097" t="str">
        <f>""</f>
        <v/>
      </c>
    </row>
    <row r="13098" spans="1:7" x14ac:dyDescent="0.25">
      <c r="A13098" t="s">
        <v>8</v>
      </c>
      <c r="B13098" s="1" t="str">
        <f>"000301811 - RICH FOODS BAPA-MAIN ARAMARK"</f>
        <v>000301811 - RICH FOODS BAPA-MAIN ARAMARK</v>
      </c>
      <c r="C13098" t="s">
        <v>320</v>
      </c>
      <c r="D13098" s="1" t="str">
        <f t="shared" si="360"/>
        <v>PRG-1039127</v>
      </c>
      <c r="E13098" t="s">
        <v>381</v>
      </c>
      <c r="F13098" t="s">
        <v>4</v>
      </c>
      <c r="G13098" t="str">
        <f>""</f>
        <v/>
      </c>
    </row>
    <row r="13099" spans="1:7" x14ac:dyDescent="0.25">
      <c r="A13099" t="s">
        <v>8</v>
      </c>
      <c r="B13099" s="1" t="str">
        <f>"000302349 - RICH FOODS BAPA-MAIN ARAMARK"</f>
        <v>000302349 - RICH FOODS BAPA-MAIN ARAMARK</v>
      </c>
      <c r="C13099" t="s">
        <v>320</v>
      </c>
      <c r="D13099" s="1" t="str">
        <f t="shared" si="360"/>
        <v>PRG-1039127</v>
      </c>
      <c r="E13099" t="s">
        <v>381</v>
      </c>
      <c r="F13099" t="s">
        <v>4</v>
      </c>
      <c r="G13099" t="str">
        <f>""</f>
        <v/>
      </c>
    </row>
    <row r="13100" spans="1:7" x14ac:dyDescent="0.25">
      <c r="A13100" t="s">
        <v>8</v>
      </c>
      <c r="B13100" s="1" t="str">
        <f>"000302417 - RICH FOODS BAPA-MAIN ARAMARK"</f>
        <v>000302417 - RICH FOODS BAPA-MAIN ARAMARK</v>
      </c>
      <c r="C13100" t="s">
        <v>320</v>
      </c>
      <c r="D13100" s="1" t="str">
        <f t="shared" si="360"/>
        <v>PRG-1039127</v>
      </c>
      <c r="E13100" t="s">
        <v>381</v>
      </c>
      <c r="F13100" t="s">
        <v>4</v>
      </c>
      <c r="G13100" t="str">
        <f>""</f>
        <v/>
      </c>
    </row>
    <row r="13101" spans="1:7" x14ac:dyDescent="0.25">
      <c r="A13101" t="s">
        <v>8</v>
      </c>
      <c r="B13101" s="1" t="str">
        <f>"000302642 - RICH FOODS BAPA-MAIN ARAMARK"</f>
        <v>000302642 - RICH FOODS BAPA-MAIN ARAMARK</v>
      </c>
      <c r="C13101" t="s">
        <v>320</v>
      </c>
      <c r="D13101" s="1" t="str">
        <f t="shared" si="360"/>
        <v>PRG-1039127</v>
      </c>
      <c r="E13101" t="s">
        <v>381</v>
      </c>
      <c r="F13101" t="s">
        <v>4</v>
      </c>
      <c r="G13101" t="str">
        <f>""</f>
        <v/>
      </c>
    </row>
    <row r="13102" spans="1:7" x14ac:dyDescent="0.25">
      <c r="A13102" t="s">
        <v>8</v>
      </c>
      <c r="B13102" s="1" t="str">
        <f>"000303414 - RICH FOODS BAPA-MAIN ARAMARK"</f>
        <v>000303414 - RICH FOODS BAPA-MAIN ARAMARK</v>
      </c>
      <c r="C13102" t="s">
        <v>320</v>
      </c>
      <c r="D13102" s="1" t="str">
        <f t="shared" si="360"/>
        <v>PRG-1039127</v>
      </c>
      <c r="E13102" t="s">
        <v>381</v>
      </c>
      <c r="F13102" t="s">
        <v>4</v>
      </c>
      <c r="G13102" t="str">
        <f>""</f>
        <v/>
      </c>
    </row>
    <row r="13103" spans="1:7" x14ac:dyDescent="0.25">
      <c r="A13103" t="s">
        <v>8</v>
      </c>
      <c r="B13103" s="1" t="str">
        <f>"000303478 - RICH FOODS BAPA-MAIN ARAMARK"</f>
        <v>000303478 - RICH FOODS BAPA-MAIN ARAMARK</v>
      </c>
      <c r="C13103" t="s">
        <v>320</v>
      </c>
      <c r="D13103" s="1" t="str">
        <f t="shared" si="360"/>
        <v>PRG-1039127</v>
      </c>
      <c r="E13103" t="s">
        <v>381</v>
      </c>
      <c r="F13103" t="s">
        <v>4</v>
      </c>
      <c r="G13103" t="str">
        <f>""</f>
        <v/>
      </c>
    </row>
    <row r="13104" spans="1:7" x14ac:dyDescent="0.25">
      <c r="A13104" t="s">
        <v>8</v>
      </c>
      <c r="B13104" s="1" t="str">
        <f>"000324792 - RICH FOODS-MAIN ARAMARK"</f>
        <v>000324792 - RICH FOODS-MAIN ARAMARK</v>
      </c>
      <c r="C13104" t="s">
        <v>126</v>
      </c>
      <c r="D13104" s="1" t="str">
        <f t="shared" si="360"/>
        <v>PRG-1039127</v>
      </c>
      <c r="E13104" t="s">
        <v>381</v>
      </c>
      <c r="F13104" t="s">
        <v>4</v>
      </c>
      <c r="G13104" t="str">
        <f>""</f>
        <v/>
      </c>
    </row>
    <row r="13105" spans="1:7" x14ac:dyDescent="0.25">
      <c r="A13105" t="s">
        <v>8</v>
      </c>
      <c r="B13105" s="1" t="str">
        <f>"000325270 - RICH FOODS BAPA-SSS ARAMARK"</f>
        <v>000325270 - RICH FOODS BAPA-SSS ARAMARK</v>
      </c>
      <c r="C13105" t="s">
        <v>373</v>
      </c>
      <c r="D13105" s="1" t="str">
        <f t="shared" si="360"/>
        <v>PRG-1039127</v>
      </c>
      <c r="E13105" t="s">
        <v>381</v>
      </c>
      <c r="F13105" t="s">
        <v>4</v>
      </c>
      <c r="G13105" t="str">
        <f>""</f>
        <v/>
      </c>
    </row>
    <row r="13106" spans="1:7" x14ac:dyDescent="0.25">
      <c r="A13106" t="s">
        <v>8</v>
      </c>
      <c r="B13106" s="1" t="str">
        <f>"000328287 - RICH FOODS BAPA-MAIN ARAMARK"</f>
        <v>000328287 - RICH FOODS BAPA-MAIN ARAMARK</v>
      </c>
      <c r="C13106" t="s">
        <v>320</v>
      </c>
      <c r="D13106" s="1" t="str">
        <f t="shared" si="360"/>
        <v>PRG-1039127</v>
      </c>
      <c r="E13106" t="s">
        <v>381</v>
      </c>
      <c r="F13106" t="s">
        <v>4</v>
      </c>
      <c r="G13106" t="str">
        <f>""</f>
        <v/>
      </c>
    </row>
    <row r="13107" spans="1:7" x14ac:dyDescent="0.25">
      <c r="A13107" t="s">
        <v>8</v>
      </c>
      <c r="B13107" s="1" t="str">
        <f>"000328301 - RICH FOODS BAPA-MAIN ARAMARK"</f>
        <v>000328301 - RICH FOODS BAPA-MAIN ARAMARK</v>
      </c>
      <c r="C13107" t="s">
        <v>320</v>
      </c>
      <c r="D13107" s="1" t="str">
        <f t="shared" si="360"/>
        <v>PRG-1039127</v>
      </c>
      <c r="E13107" t="s">
        <v>381</v>
      </c>
      <c r="F13107" t="s">
        <v>4</v>
      </c>
      <c r="G13107" t="str">
        <f>""</f>
        <v/>
      </c>
    </row>
    <row r="13108" spans="1:7" x14ac:dyDescent="0.25">
      <c r="A13108" t="s">
        <v>8</v>
      </c>
      <c r="B13108" s="1" t="str">
        <f>"000333863 - RICH FOODS BAPA-MAIN ARAMARK"</f>
        <v>000333863 - RICH FOODS BAPA-MAIN ARAMARK</v>
      </c>
      <c r="C13108" t="s">
        <v>320</v>
      </c>
      <c r="D13108" s="1" t="str">
        <f t="shared" si="360"/>
        <v>PRG-1039127</v>
      </c>
      <c r="E13108" t="s">
        <v>381</v>
      </c>
      <c r="F13108" t="s">
        <v>4</v>
      </c>
      <c r="G13108" t="str">
        <f>""</f>
        <v/>
      </c>
    </row>
    <row r="13109" spans="1:7" x14ac:dyDescent="0.25">
      <c r="A13109" t="s">
        <v>8</v>
      </c>
      <c r="B13109" s="1" t="str">
        <f>"000335195 - RICH FOODS BAPA-MAIN ARAMARK"</f>
        <v>000335195 - RICH FOODS BAPA-MAIN ARAMARK</v>
      </c>
      <c r="C13109" t="s">
        <v>320</v>
      </c>
      <c r="D13109" s="1" t="str">
        <f t="shared" si="360"/>
        <v>PRG-1039127</v>
      </c>
      <c r="E13109" t="s">
        <v>381</v>
      </c>
      <c r="F13109" t="s">
        <v>4</v>
      </c>
      <c r="G13109" t="str">
        <f>""</f>
        <v/>
      </c>
    </row>
    <row r="13110" spans="1:7" x14ac:dyDescent="0.25">
      <c r="A13110" t="s">
        <v>8</v>
      </c>
      <c r="B13110" s="1" t="str">
        <f>"000337164 - RICH FOODS BAPA-MAIN ARAMARK"</f>
        <v>000337164 - RICH FOODS BAPA-MAIN ARAMARK</v>
      </c>
      <c r="C13110" t="s">
        <v>320</v>
      </c>
      <c r="D13110" s="1" t="str">
        <f t="shared" si="360"/>
        <v>PRG-1039127</v>
      </c>
      <c r="E13110" t="s">
        <v>381</v>
      </c>
      <c r="F13110" t="s">
        <v>4</v>
      </c>
      <c r="G13110" t="str">
        <f>""</f>
        <v/>
      </c>
    </row>
    <row r="13111" spans="1:7" x14ac:dyDescent="0.25">
      <c r="A13111" t="s">
        <v>8</v>
      </c>
      <c r="B13111" s="1" t="str">
        <f>"000337282 - RICH FOODS BAPA-MAIN ARAMARK"</f>
        <v>000337282 - RICH FOODS BAPA-MAIN ARAMARK</v>
      </c>
      <c r="C13111" t="s">
        <v>320</v>
      </c>
      <c r="D13111" s="1" t="str">
        <f t="shared" si="360"/>
        <v>PRG-1039127</v>
      </c>
      <c r="E13111" t="s">
        <v>381</v>
      </c>
      <c r="F13111" t="s">
        <v>4</v>
      </c>
      <c r="G13111" t="str">
        <f>""</f>
        <v/>
      </c>
    </row>
    <row r="13112" spans="1:7" x14ac:dyDescent="0.25">
      <c r="A13112" t="s">
        <v>8</v>
      </c>
      <c r="B13112" s="1" t="str">
        <f>"000339183 - RICH FOODS BAPA-MAIN ARAMARK"</f>
        <v>000339183 - RICH FOODS BAPA-MAIN ARAMARK</v>
      </c>
      <c r="C13112" t="s">
        <v>320</v>
      </c>
      <c r="D13112" s="1" t="str">
        <f t="shared" si="360"/>
        <v>PRG-1039127</v>
      </c>
      <c r="E13112" t="s">
        <v>381</v>
      </c>
      <c r="F13112" t="s">
        <v>4</v>
      </c>
      <c r="G13112" t="str">
        <f>""</f>
        <v/>
      </c>
    </row>
    <row r="13113" spans="1:7" x14ac:dyDescent="0.25">
      <c r="A13113" t="s">
        <v>8</v>
      </c>
      <c r="B13113" s="1" t="str">
        <f>"000347008 - RICH FOODS BAPA-MAIN ARAMARK"</f>
        <v>000347008 - RICH FOODS BAPA-MAIN ARAMARK</v>
      </c>
      <c r="C13113" t="s">
        <v>320</v>
      </c>
      <c r="D13113" s="1" t="str">
        <f t="shared" si="360"/>
        <v>PRG-1039127</v>
      </c>
      <c r="E13113" t="s">
        <v>381</v>
      </c>
      <c r="F13113" t="s">
        <v>4</v>
      </c>
      <c r="G13113" t="str">
        <f>""</f>
        <v/>
      </c>
    </row>
    <row r="13114" spans="1:7" x14ac:dyDescent="0.25">
      <c r="A13114" t="s">
        <v>8</v>
      </c>
      <c r="B13114" s="1" t="str">
        <f>"000354240 - RICH FOODS-MAIN ARAMARK"</f>
        <v>000354240 - RICH FOODS-MAIN ARAMARK</v>
      </c>
      <c r="C13114" t="s">
        <v>126</v>
      </c>
      <c r="D13114" s="1" t="str">
        <f t="shared" si="360"/>
        <v>PRG-1039127</v>
      </c>
      <c r="E13114" t="s">
        <v>381</v>
      </c>
      <c r="F13114" t="s">
        <v>4</v>
      </c>
      <c r="G13114" t="str">
        <f>""</f>
        <v/>
      </c>
    </row>
    <row r="13115" spans="1:7" x14ac:dyDescent="0.25">
      <c r="A13115" t="s">
        <v>8</v>
      </c>
      <c r="B13115" s="1" t="str">
        <f>"000354825 - RICH FOODS BAPA-MAIN ARAMARK"</f>
        <v>000354825 - RICH FOODS BAPA-MAIN ARAMARK</v>
      </c>
      <c r="C13115" t="s">
        <v>320</v>
      </c>
      <c r="D13115" s="1" t="str">
        <f t="shared" si="360"/>
        <v>PRG-1039127</v>
      </c>
      <c r="E13115" t="s">
        <v>381</v>
      </c>
      <c r="F13115" t="s">
        <v>4</v>
      </c>
      <c r="G13115" t="str">
        <f>""</f>
        <v/>
      </c>
    </row>
    <row r="13116" spans="1:7" x14ac:dyDescent="0.25">
      <c r="A13116" t="s">
        <v>8</v>
      </c>
      <c r="B13116" s="1" t="str">
        <f>"000355632 - "</f>
        <v xml:space="preserve">000355632 - </v>
      </c>
      <c r="D13116" s="1" t="str">
        <f t="shared" si="360"/>
        <v>PRG-1039127</v>
      </c>
      <c r="E13116" t="s">
        <v>381</v>
      </c>
      <c r="F13116" t="s">
        <v>4</v>
      </c>
      <c r="G13116" t="str">
        <f>""</f>
        <v/>
      </c>
    </row>
    <row r="13117" spans="1:7" x14ac:dyDescent="0.25">
      <c r="A13117" t="s">
        <v>8</v>
      </c>
      <c r="B13117" s="1" t="str">
        <f>"000359664 - RICH FOODS BAPA-MAIN ARAMARK"</f>
        <v>000359664 - RICH FOODS BAPA-MAIN ARAMARK</v>
      </c>
      <c r="C13117" t="s">
        <v>320</v>
      </c>
      <c r="D13117" s="1" t="str">
        <f t="shared" si="360"/>
        <v>PRG-1039127</v>
      </c>
      <c r="E13117" t="s">
        <v>381</v>
      </c>
      <c r="F13117" t="s">
        <v>4</v>
      </c>
      <c r="G13117" t="str">
        <f>""</f>
        <v/>
      </c>
    </row>
    <row r="13118" spans="1:7" x14ac:dyDescent="0.25">
      <c r="A13118" t="s">
        <v>8</v>
      </c>
      <c r="B13118" s="1" t="str">
        <f>"000359902 - RICH FOODS BAPA-SSS ARAMARK"</f>
        <v>000359902 - RICH FOODS BAPA-SSS ARAMARK</v>
      </c>
      <c r="C13118" t="s">
        <v>373</v>
      </c>
      <c r="D13118" s="1" t="str">
        <f t="shared" si="360"/>
        <v>PRG-1039127</v>
      </c>
      <c r="E13118" t="s">
        <v>381</v>
      </c>
      <c r="F13118" t="s">
        <v>4</v>
      </c>
      <c r="G13118" t="str">
        <f>""</f>
        <v/>
      </c>
    </row>
    <row r="13119" spans="1:7" x14ac:dyDescent="0.25">
      <c r="A13119" t="s">
        <v>8</v>
      </c>
      <c r="B13119" s="1" t="str">
        <f>"000360048 - RICH FOODS BAPA-MAIN ARAMARK"</f>
        <v>000360048 - RICH FOODS BAPA-MAIN ARAMARK</v>
      </c>
      <c r="C13119" t="s">
        <v>320</v>
      </c>
      <c r="D13119" s="1" t="str">
        <f t="shared" si="360"/>
        <v>PRG-1039127</v>
      </c>
      <c r="E13119" t="s">
        <v>381</v>
      </c>
      <c r="F13119" t="s">
        <v>4</v>
      </c>
      <c r="G13119" t="str">
        <f>""</f>
        <v/>
      </c>
    </row>
    <row r="13120" spans="1:7" x14ac:dyDescent="0.25">
      <c r="A13120" t="s">
        <v>8</v>
      </c>
      <c r="B13120" s="1" t="str">
        <f>"000361649 - RICH FOODS BAPA-MAIN ARAMARK"</f>
        <v>000361649 - RICH FOODS BAPA-MAIN ARAMARK</v>
      </c>
      <c r="C13120" t="s">
        <v>320</v>
      </c>
      <c r="D13120" s="1" t="str">
        <f t="shared" si="360"/>
        <v>PRG-1039127</v>
      </c>
      <c r="E13120" t="s">
        <v>381</v>
      </c>
      <c r="F13120" t="s">
        <v>4</v>
      </c>
      <c r="G13120" t="str">
        <f>""</f>
        <v/>
      </c>
    </row>
    <row r="13121" spans="1:7" x14ac:dyDescent="0.25">
      <c r="A13121" t="s">
        <v>8</v>
      </c>
      <c r="B13121" s="1" t="str">
        <f>"000362887 - RICH FOODS BAPA-MAIN ARAMARK"</f>
        <v>000362887 - RICH FOODS BAPA-MAIN ARAMARK</v>
      </c>
      <c r="C13121" t="s">
        <v>320</v>
      </c>
      <c r="D13121" s="1" t="str">
        <f t="shared" ref="D13121:D13138" si="361">"PRG-1039127"</f>
        <v>PRG-1039127</v>
      </c>
      <c r="E13121" t="s">
        <v>381</v>
      </c>
      <c r="F13121" t="s">
        <v>4</v>
      </c>
      <c r="G13121" t="str">
        <f>""</f>
        <v/>
      </c>
    </row>
    <row r="13122" spans="1:7" x14ac:dyDescent="0.25">
      <c r="A13122" t="s">
        <v>8</v>
      </c>
      <c r="B13122" s="1" t="str">
        <f>"000363164 - RICH FOODS BAPA-MAIN ARAMARK"</f>
        <v>000363164 - RICH FOODS BAPA-MAIN ARAMARK</v>
      </c>
      <c r="C13122" t="s">
        <v>320</v>
      </c>
      <c r="D13122" s="1" t="str">
        <f t="shared" si="361"/>
        <v>PRG-1039127</v>
      </c>
      <c r="E13122" t="s">
        <v>381</v>
      </c>
      <c r="F13122" t="s">
        <v>4</v>
      </c>
      <c r="G13122" t="str">
        <f>""</f>
        <v/>
      </c>
    </row>
    <row r="13123" spans="1:7" x14ac:dyDescent="0.25">
      <c r="A13123" t="s">
        <v>8</v>
      </c>
      <c r="B13123" s="1" t="str">
        <f>"000366574 - RICH FOODS BAPA-MAIN ARAMARK"</f>
        <v>000366574 - RICH FOODS BAPA-MAIN ARAMARK</v>
      </c>
      <c r="C13123" t="s">
        <v>320</v>
      </c>
      <c r="D13123" s="1" t="str">
        <f t="shared" si="361"/>
        <v>PRG-1039127</v>
      </c>
      <c r="E13123" t="s">
        <v>381</v>
      </c>
      <c r="F13123" t="s">
        <v>4</v>
      </c>
      <c r="G13123" t="str">
        <f>""</f>
        <v/>
      </c>
    </row>
    <row r="13124" spans="1:7" x14ac:dyDescent="0.25">
      <c r="A13124" t="s">
        <v>8</v>
      </c>
      <c r="B13124" s="1" t="str">
        <f>"000367612 - RICH FOODS BAPA-MAIN ARAMARK"</f>
        <v>000367612 - RICH FOODS BAPA-MAIN ARAMARK</v>
      </c>
      <c r="C13124" t="s">
        <v>320</v>
      </c>
      <c r="D13124" s="1" t="str">
        <f t="shared" si="361"/>
        <v>PRG-1039127</v>
      </c>
      <c r="E13124" t="s">
        <v>381</v>
      </c>
      <c r="F13124" t="s">
        <v>4</v>
      </c>
      <c r="G13124" t="str">
        <f>""</f>
        <v/>
      </c>
    </row>
    <row r="13125" spans="1:7" x14ac:dyDescent="0.25">
      <c r="A13125" t="s">
        <v>8</v>
      </c>
      <c r="B13125" s="1" t="str">
        <f>"000370336 - RICH FOODS BAPA-MAIN ARAMARK"</f>
        <v>000370336 - RICH FOODS BAPA-MAIN ARAMARK</v>
      </c>
      <c r="C13125" t="s">
        <v>320</v>
      </c>
      <c r="D13125" s="1" t="str">
        <f t="shared" si="361"/>
        <v>PRG-1039127</v>
      </c>
      <c r="E13125" t="s">
        <v>381</v>
      </c>
      <c r="F13125" t="s">
        <v>4</v>
      </c>
      <c r="G13125" t="str">
        <f>""</f>
        <v/>
      </c>
    </row>
    <row r="13126" spans="1:7" x14ac:dyDescent="0.25">
      <c r="A13126" t="s">
        <v>8</v>
      </c>
      <c r="B13126" s="1" t="str">
        <f>"000370614 - RICH FOODS BAPA-MAIN ARAMARK"</f>
        <v>000370614 - RICH FOODS BAPA-MAIN ARAMARK</v>
      </c>
      <c r="C13126" t="s">
        <v>320</v>
      </c>
      <c r="D13126" s="1" t="str">
        <f t="shared" si="361"/>
        <v>PRG-1039127</v>
      </c>
      <c r="E13126" t="s">
        <v>381</v>
      </c>
      <c r="F13126" t="s">
        <v>4</v>
      </c>
      <c r="G13126" t="str">
        <f>""</f>
        <v/>
      </c>
    </row>
    <row r="13127" spans="1:7" x14ac:dyDescent="0.25">
      <c r="A13127" t="s">
        <v>8</v>
      </c>
      <c r="B13127" s="1" t="str">
        <f>"000371291 - RICH FOODS BAPA-MAIN ARAMARK"</f>
        <v>000371291 - RICH FOODS BAPA-MAIN ARAMARK</v>
      </c>
      <c r="C13127" t="s">
        <v>320</v>
      </c>
      <c r="D13127" s="1" t="str">
        <f t="shared" si="361"/>
        <v>PRG-1039127</v>
      </c>
      <c r="E13127" t="s">
        <v>381</v>
      </c>
      <c r="F13127" t="s">
        <v>4</v>
      </c>
      <c r="G13127" t="str">
        <f>""</f>
        <v/>
      </c>
    </row>
    <row r="13128" spans="1:7" x14ac:dyDescent="0.25">
      <c r="A13128" t="s">
        <v>8</v>
      </c>
      <c r="B13128" s="1" t="str">
        <f>"000374736 - RICH FOODS BAPA-MAIN ARAMARK"</f>
        <v>000374736 - RICH FOODS BAPA-MAIN ARAMARK</v>
      </c>
      <c r="C13128" t="s">
        <v>320</v>
      </c>
      <c r="D13128" s="1" t="str">
        <f t="shared" si="361"/>
        <v>PRG-1039127</v>
      </c>
      <c r="E13128" t="s">
        <v>381</v>
      </c>
      <c r="F13128" t="s">
        <v>4</v>
      </c>
      <c r="G13128" t="str">
        <f>""</f>
        <v/>
      </c>
    </row>
    <row r="13129" spans="1:7" x14ac:dyDescent="0.25">
      <c r="A13129" t="s">
        <v>8</v>
      </c>
      <c r="B13129" s="1" t="str">
        <f>"000378075 - RICH FOODS BAPA-MAIN ARAMARK"</f>
        <v>000378075 - RICH FOODS BAPA-MAIN ARAMARK</v>
      </c>
      <c r="C13129" t="s">
        <v>320</v>
      </c>
      <c r="D13129" s="1" t="str">
        <f t="shared" si="361"/>
        <v>PRG-1039127</v>
      </c>
      <c r="E13129" t="s">
        <v>381</v>
      </c>
      <c r="F13129" t="s">
        <v>4</v>
      </c>
      <c r="G13129" t="str">
        <f>""</f>
        <v/>
      </c>
    </row>
    <row r="13130" spans="1:7" x14ac:dyDescent="0.25">
      <c r="A13130" t="s">
        <v>8</v>
      </c>
      <c r="B13130" s="1" t="str">
        <f>"000380801 - RICH FOODS BAPA-MAIN ARAMARK"</f>
        <v>000380801 - RICH FOODS BAPA-MAIN ARAMARK</v>
      </c>
      <c r="C13130" t="s">
        <v>320</v>
      </c>
      <c r="D13130" s="1" t="str">
        <f t="shared" si="361"/>
        <v>PRG-1039127</v>
      </c>
      <c r="E13130" t="s">
        <v>381</v>
      </c>
      <c r="F13130" t="s">
        <v>4</v>
      </c>
      <c r="G13130" t="str">
        <f>""</f>
        <v/>
      </c>
    </row>
    <row r="13131" spans="1:7" x14ac:dyDescent="0.25">
      <c r="A13131" t="s">
        <v>8</v>
      </c>
      <c r="B13131" s="1" t="str">
        <f>"000383309 - RICH FOODS-MAIN ARAMARK"</f>
        <v>000383309 - RICH FOODS-MAIN ARAMARK</v>
      </c>
      <c r="C13131" t="s">
        <v>126</v>
      </c>
      <c r="D13131" s="1" t="str">
        <f t="shared" si="361"/>
        <v>PRG-1039127</v>
      </c>
      <c r="E13131" t="s">
        <v>381</v>
      </c>
      <c r="F13131" t="s">
        <v>4</v>
      </c>
      <c r="G13131" t="str">
        <f>""</f>
        <v/>
      </c>
    </row>
    <row r="13132" spans="1:7" x14ac:dyDescent="0.25">
      <c r="A13132" t="s">
        <v>8</v>
      </c>
      <c r="B13132" s="1" t="str">
        <f>"000385489 - RICH FOODS BAPA-MAIN ARAMARK"</f>
        <v>000385489 - RICH FOODS BAPA-MAIN ARAMARK</v>
      </c>
      <c r="C13132" t="s">
        <v>320</v>
      </c>
      <c r="D13132" s="1" t="str">
        <f t="shared" si="361"/>
        <v>PRG-1039127</v>
      </c>
      <c r="E13132" t="s">
        <v>381</v>
      </c>
      <c r="F13132" t="s">
        <v>4</v>
      </c>
      <c r="G13132" t="str">
        <f>""</f>
        <v/>
      </c>
    </row>
    <row r="13133" spans="1:7" x14ac:dyDescent="0.25">
      <c r="A13133" t="s">
        <v>8</v>
      </c>
      <c r="B13133" s="1" t="str">
        <f>"000386756 - RICH FOODS BAPA-MAIN ARAMARK"</f>
        <v>000386756 - RICH FOODS BAPA-MAIN ARAMARK</v>
      </c>
      <c r="C13133" t="s">
        <v>320</v>
      </c>
      <c r="D13133" s="1" t="str">
        <f t="shared" si="361"/>
        <v>PRG-1039127</v>
      </c>
      <c r="E13133" t="s">
        <v>381</v>
      </c>
      <c r="F13133" t="s">
        <v>4</v>
      </c>
      <c r="G13133" t="str">
        <f>""</f>
        <v/>
      </c>
    </row>
    <row r="13134" spans="1:7" x14ac:dyDescent="0.25">
      <c r="A13134" t="s">
        <v>8</v>
      </c>
      <c r="B13134" s="1" t="str">
        <f>"000388099 - RICH FOODS BAPA-MAIN ARAMARK"</f>
        <v>000388099 - RICH FOODS BAPA-MAIN ARAMARK</v>
      </c>
      <c r="C13134" t="s">
        <v>320</v>
      </c>
      <c r="D13134" s="1" t="str">
        <f t="shared" si="361"/>
        <v>PRG-1039127</v>
      </c>
      <c r="E13134" t="s">
        <v>381</v>
      </c>
      <c r="F13134" t="s">
        <v>4</v>
      </c>
      <c r="G13134" t="str">
        <f>""</f>
        <v/>
      </c>
    </row>
    <row r="13135" spans="1:7" x14ac:dyDescent="0.25">
      <c r="A13135" t="s">
        <v>8</v>
      </c>
      <c r="B13135" s="1" t="str">
        <f>"000388810 - RICH FOODS BAPA-MAIN ARAMARK"</f>
        <v>000388810 - RICH FOODS BAPA-MAIN ARAMARK</v>
      </c>
      <c r="C13135" t="s">
        <v>320</v>
      </c>
      <c r="D13135" s="1" t="str">
        <f t="shared" si="361"/>
        <v>PRG-1039127</v>
      </c>
      <c r="E13135" t="s">
        <v>381</v>
      </c>
      <c r="F13135" t="s">
        <v>4</v>
      </c>
      <c r="G13135" t="str">
        <f>""</f>
        <v/>
      </c>
    </row>
    <row r="13136" spans="1:7" x14ac:dyDescent="0.25">
      <c r="A13136" t="s">
        <v>8</v>
      </c>
      <c r="B13136" s="1" t="str">
        <f>"000390089 - RICH FOODS BAPA-MAIN ARAMARK"</f>
        <v>000390089 - RICH FOODS BAPA-MAIN ARAMARK</v>
      </c>
      <c r="C13136" t="s">
        <v>320</v>
      </c>
      <c r="D13136" s="1" t="str">
        <f t="shared" si="361"/>
        <v>PRG-1039127</v>
      </c>
      <c r="E13136" t="s">
        <v>381</v>
      </c>
      <c r="F13136" t="s">
        <v>4</v>
      </c>
      <c r="G13136" t="str">
        <f>""</f>
        <v/>
      </c>
    </row>
    <row r="13137" spans="1:7" x14ac:dyDescent="0.25">
      <c r="A13137" t="s">
        <v>8</v>
      </c>
      <c r="B13137" s="1" t="str">
        <f>"000392177 - RICH FOODS BAPA-MAIN ARAMARK"</f>
        <v>000392177 - RICH FOODS BAPA-MAIN ARAMARK</v>
      </c>
      <c r="C13137" t="s">
        <v>320</v>
      </c>
      <c r="D13137" s="1" t="str">
        <f t="shared" si="361"/>
        <v>PRG-1039127</v>
      </c>
      <c r="E13137" t="s">
        <v>381</v>
      </c>
      <c r="F13137" t="s">
        <v>4</v>
      </c>
      <c r="G13137" t="str">
        <f>""</f>
        <v/>
      </c>
    </row>
    <row r="13138" spans="1:7" x14ac:dyDescent="0.25">
      <c r="A13138" t="s">
        <v>8</v>
      </c>
      <c r="B13138" s="1" t="str">
        <f>"000397158 - RICH FOODS BAPA-MAIN ARAMARK"</f>
        <v>000397158 - RICH FOODS BAPA-MAIN ARAMARK</v>
      </c>
      <c r="C13138" t="s">
        <v>320</v>
      </c>
      <c r="D13138" s="1" t="str">
        <f t="shared" si="361"/>
        <v>PRG-1039127</v>
      </c>
      <c r="E13138" t="s">
        <v>381</v>
      </c>
      <c r="F13138" t="s">
        <v>4</v>
      </c>
      <c r="G13138" t="str">
        <f>""</f>
        <v/>
      </c>
    </row>
    <row r="13139" spans="1:7" x14ac:dyDescent="0.25">
      <c r="A13139" t="s">
        <v>8</v>
      </c>
      <c r="B13139" s="1" t="str">
        <f>"000016666 - CASA DIBERTACCHI-SSS ARAMARK"</f>
        <v>000016666 - CASA DIBERTACCHI-SSS ARAMARK</v>
      </c>
      <c r="C13139" t="s">
        <v>150</v>
      </c>
      <c r="D13139" s="1" t="str">
        <f t="shared" ref="D13139:D13176" si="362">"PRG-1039129"</f>
        <v>PRG-1039129</v>
      </c>
      <c r="E13139" t="s">
        <v>372</v>
      </c>
      <c r="F13139" t="s">
        <v>4</v>
      </c>
      <c r="G13139" t="str">
        <f>""</f>
        <v/>
      </c>
    </row>
    <row r="13140" spans="1:7" x14ac:dyDescent="0.25">
      <c r="A13140" t="s">
        <v>8</v>
      </c>
      <c r="B13140" s="1" t="str">
        <f>"000065552 - CASA DIBRITACHI PROTEIN-ARMARK"</f>
        <v>000065552 - CASA DIBRITACHI PROTEIN-ARMARK</v>
      </c>
      <c r="C13140" t="s">
        <v>246</v>
      </c>
      <c r="D13140" s="1" t="str">
        <f t="shared" si="362"/>
        <v>PRG-1039129</v>
      </c>
      <c r="E13140" t="s">
        <v>372</v>
      </c>
      <c r="F13140" t="s">
        <v>4</v>
      </c>
      <c r="G13140" t="str">
        <f>""</f>
        <v/>
      </c>
    </row>
    <row r="13141" spans="1:7" x14ac:dyDescent="0.25">
      <c r="A13141" t="s">
        <v>8</v>
      </c>
      <c r="B13141" s="1" t="str">
        <f>"000066880 - CASA DIBRITACHI PROTEIN-ARMARK"</f>
        <v>000066880 - CASA DIBRITACHI PROTEIN-ARMARK</v>
      </c>
      <c r="C13141" t="s">
        <v>246</v>
      </c>
      <c r="D13141" s="1" t="str">
        <f t="shared" si="362"/>
        <v>PRG-1039129</v>
      </c>
      <c r="E13141" t="s">
        <v>372</v>
      </c>
      <c r="F13141" t="s">
        <v>4</v>
      </c>
      <c r="G13141" t="str">
        <f>""</f>
        <v/>
      </c>
    </row>
    <row r="13142" spans="1:7" x14ac:dyDescent="0.25">
      <c r="A13142" t="s">
        <v>8</v>
      </c>
      <c r="B13142" s="1" t="str">
        <f>"000069969 - CASA DIBRITACHI PROTEIN-ARAMAR"</f>
        <v>000069969 - CASA DIBRITACHI PROTEIN-ARAMAR</v>
      </c>
      <c r="C13142" t="s">
        <v>330</v>
      </c>
      <c r="D13142" s="1" t="str">
        <f t="shared" si="362"/>
        <v>PRG-1039129</v>
      </c>
      <c r="E13142" t="s">
        <v>372</v>
      </c>
      <c r="F13142" t="s">
        <v>4</v>
      </c>
      <c r="G13142" t="str">
        <f>""</f>
        <v/>
      </c>
    </row>
    <row r="13143" spans="1:7" x14ac:dyDescent="0.25">
      <c r="A13143" t="s">
        <v>8</v>
      </c>
      <c r="B13143" s="1" t="str">
        <f>"000071627 - CASA DIBRITACHI PROTEIN-ARAMAR"</f>
        <v>000071627 - CASA DIBRITACHI PROTEIN-ARAMAR</v>
      </c>
      <c r="C13143" t="s">
        <v>330</v>
      </c>
      <c r="D13143" s="1" t="str">
        <f t="shared" si="362"/>
        <v>PRG-1039129</v>
      </c>
      <c r="E13143" t="s">
        <v>372</v>
      </c>
      <c r="F13143" t="s">
        <v>4</v>
      </c>
      <c r="G13143" t="str">
        <f>""</f>
        <v/>
      </c>
    </row>
    <row r="13144" spans="1:7" x14ac:dyDescent="0.25">
      <c r="A13144" t="s">
        <v>8</v>
      </c>
      <c r="B13144" s="1" t="str">
        <f>"000143955 - CASA DIBRITACHI PROTEIN-ARAMAR"</f>
        <v>000143955 - CASA DIBRITACHI PROTEIN-ARAMAR</v>
      </c>
      <c r="C13144" t="s">
        <v>330</v>
      </c>
      <c r="D13144" s="1" t="str">
        <f t="shared" si="362"/>
        <v>PRG-1039129</v>
      </c>
      <c r="E13144" t="s">
        <v>372</v>
      </c>
      <c r="F13144" t="s">
        <v>4</v>
      </c>
      <c r="G13144" t="str">
        <f>""</f>
        <v/>
      </c>
    </row>
    <row r="13145" spans="1:7" x14ac:dyDescent="0.25">
      <c r="A13145" t="s">
        <v>8</v>
      </c>
      <c r="B13145" s="1" t="str">
        <f>"000164784 - CASA DIBRITACHI PROTEIN-ARAMAR"</f>
        <v>000164784 - CASA DIBRITACHI PROTEIN-ARAMAR</v>
      </c>
      <c r="C13145" t="s">
        <v>330</v>
      </c>
      <c r="D13145" s="1" t="str">
        <f t="shared" si="362"/>
        <v>PRG-1039129</v>
      </c>
      <c r="E13145" t="s">
        <v>372</v>
      </c>
      <c r="F13145" t="s">
        <v>4</v>
      </c>
      <c r="G13145" t="str">
        <f>""</f>
        <v/>
      </c>
    </row>
    <row r="13146" spans="1:7" x14ac:dyDescent="0.25">
      <c r="A13146" t="s">
        <v>8</v>
      </c>
      <c r="B13146" s="1" t="str">
        <f>"000239465 - CASA DIBRITACHI PROTEIN-ARAMAR"</f>
        <v>000239465 - CASA DIBRITACHI PROTEIN-ARAMAR</v>
      </c>
      <c r="C13146" t="s">
        <v>330</v>
      </c>
      <c r="D13146" s="1" t="str">
        <f t="shared" si="362"/>
        <v>PRG-1039129</v>
      </c>
      <c r="E13146" t="s">
        <v>372</v>
      </c>
      <c r="F13146" t="s">
        <v>4</v>
      </c>
      <c r="G13146" t="str">
        <f>""</f>
        <v/>
      </c>
    </row>
    <row r="13147" spans="1:7" x14ac:dyDescent="0.25">
      <c r="A13147" t="s">
        <v>8</v>
      </c>
      <c r="B13147" s="1" t="str">
        <f>"000252471 - CASA DIBRITACHI PROTEIN-ARMARK"</f>
        <v>000252471 - CASA DIBRITACHI PROTEIN-ARMARK</v>
      </c>
      <c r="C13147" t="s">
        <v>246</v>
      </c>
      <c r="D13147" s="1" t="str">
        <f t="shared" si="362"/>
        <v>PRG-1039129</v>
      </c>
      <c r="E13147" t="s">
        <v>372</v>
      </c>
      <c r="F13147" t="s">
        <v>4</v>
      </c>
      <c r="G13147" t="str">
        <f>""</f>
        <v/>
      </c>
    </row>
    <row r="13148" spans="1:7" x14ac:dyDescent="0.25">
      <c r="A13148" t="s">
        <v>8</v>
      </c>
      <c r="B13148" s="1" t="str">
        <f>"000257993 - CASA DIBRITACHI PROTEIN-ARAMAR"</f>
        <v>000257993 - CASA DIBRITACHI PROTEIN-ARAMAR</v>
      </c>
      <c r="C13148" t="s">
        <v>330</v>
      </c>
      <c r="D13148" s="1" t="str">
        <f t="shared" si="362"/>
        <v>PRG-1039129</v>
      </c>
      <c r="E13148" t="s">
        <v>372</v>
      </c>
      <c r="F13148" t="s">
        <v>4</v>
      </c>
      <c r="G13148" t="str">
        <f>""</f>
        <v/>
      </c>
    </row>
    <row r="13149" spans="1:7" x14ac:dyDescent="0.25">
      <c r="A13149" t="s">
        <v>8</v>
      </c>
      <c r="B13149" s="1" t="str">
        <f>"000260013 - CASA DIBRITACHI PROTEIN-ARMARK"</f>
        <v>000260013 - CASA DIBRITACHI PROTEIN-ARMARK</v>
      </c>
      <c r="C13149" t="s">
        <v>246</v>
      </c>
      <c r="D13149" s="1" t="str">
        <f t="shared" si="362"/>
        <v>PRG-1039129</v>
      </c>
      <c r="E13149" t="s">
        <v>372</v>
      </c>
      <c r="F13149" t="s">
        <v>4</v>
      </c>
      <c r="G13149" t="str">
        <f>""</f>
        <v/>
      </c>
    </row>
    <row r="13150" spans="1:7" x14ac:dyDescent="0.25">
      <c r="A13150" t="s">
        <v>8</v>
      </c>
      <c r="B13150" s="1" t="str">
        <f>"000261342 - CASA DIBERTACCHI-SSS ARAMARK"</f>
        <v>000261342 - CASA DIBERTACCHI-SSS ARAMARK</v>
      </c>
      <c r="C13150" t="s">
        <v>150</v>
      </c>
      <c r="D13150" s="1" t="str">
        <f t="shared" si="362"/>
        <v>PRG-1039129</v>
      </c>
      <c r="E13150" t="s">
        <v>372</v>
      </c>
      <c r="F13150" t="s">
        <v>4</v>
      </c>
      <c r="G13150" t="str">
        <f>""</f>
        <v/>
      </c>
    </row>
    <row r="13151" spans="1:7" x14ac:dyDescent="0.25">
      <c r="A13151" t="s">
        <v>8</v>
      </c>
      <c r="B13151" s="1" t="str">
        <f>"000264811 - "</f>
        <v xml:space="preserve">000264811 - </v>
      </c>
      <c r="D13151" s="1" t="str">
        <f t="shared" si="362"/>
        <v>PRG-1039129</v>
      </c>
      <c r="E13151" t="s">
        <v>372</v>
      </c>
      <c r="F13151" t="s">
        <v>4</v>
      </c>
      <c r="G13151" t="str">
        <f>""</f>
        <v/>
      </c>
    </row>
    <row r="13152" spans="1:7" x14ac:dyDescent="0.25">
      <c r="A13152" t="s">
        <v>8</v>
      </c>
      <c r="B13152" s="1" t="str">
        <f>"000265129 - CASA DIBRITACHI PROTEIN-ARAMAR"</f>
        <v>000265129 - CASA DIBRITACHI PROTEIN-ARAMAR</v>
      </c>
      <c r="C13152" t="s">
        <v>330</v>
      </c>
      <c r="D13152" s="1" t="str">
        <f t="shared" si="362"/>
        <v>PRG-1039129</v>
      </c>
      <c r="E13152" t="s">
        <v>372</v>
      </c>
      <c r="F13152" t="s">
        <v>4</v>
      </c>
      <c r="G13152" t="str">
        <f>""</f>
        <v/>
      </c>
    </row>
    <row r="13153" spans="1:7" x14ac:dyDescent="0.25">
      <c r="A13153" t="s">
        <v>8</v>
      </c>
      <c r="B13153" s="1" t="str">
        <f>"000277311 - CASA DIBERTACCHI-SSS ARAMARK"</f>
        <v>000277311 - CASA DIBERTACCHI-SSS ARAMARK</v>
      </c>
      <c r="C13153" t="s">
        <v>150</v>
      </c>
      <c r="D13153" s="1" t="str">
        <f t="shared" si="362"/>
        <v>PRG-1039129</v>
      </c>
      <c r="E13153" t="s">
        <v>372</v>
      </c>
      <c r="F13153" t="s">
        <v>4</v>
      </c>
      <c r="G13153" t="str">
        <f>""</f>
        <v/>
      </c>
    </row>
    <row r="13154" spans="1:7" x14ac:dyDescent="0.25">
      <c r="A13154" t="s">
        <v>8</v>
      </c>
      <c r="B13154" s="1" t="str">
        <f>"000283261 - CASA DIBERTACCHI-SSS ARAMARK"</f>
        <v>000283261 - CASA DIBERTACCHI-SSS ARAMARK</v>
      </c>
      <c r="C13154" t="s">
        <v>150</v>
      </c>
      <c r="D13154" s="1" t="str">
        <f t="shared" si="362"/>
        <v>PRG-1039129</v>
      </c>
      <c r="E13154" t="s">
        <v>372</v>
      </c>
      <c r="F13154" t="s">
        <v>4</v>
      </c>
      <c r="G13154" t="str">
        <f>""</f>
        <v/>
      </c>
    </row>
    <row r="13155" spans="1:7" x14ac:dyDescent="0.25">
      <c r="A13155" t="s">
        <v>8</v>
      </c>
      <c r="B13155" s="1" t="str">
        <f>"000285802 - CASA DIBRITACHI PROTEIN-ARAMAR"</f>
        <v>000285802 - CASA DIBRITACHI PROTEIN-ARAMAR</v>
      </c>
      <c r="C13155" t="s">
        <v>330</v>
      </c>
      <c r="D13155" s="1" t="str">
        <f t="shared" si="362"/>
        <v>PRG-1039129</v>
      </c>
      <c r="E13155" t="s">
        <v>372</v>
      </c>
      <c r="F13155" t="s">
        <v>4</v>
      </c>
      <c r="G13155" t="str">
        <f>""</f>
        <v/>
      </c>
    </row>
    <row r="13156" spans="1:7" x14ac:dyDescent="0.25">
      <c r="A13156" t="s">
        <v>8</v>
      </c>
      <c r="B13156" s="1" t="str">
        <f>"000287129 - CASA DIBRITACHI PROTEIN-ARMARK"</f>
        <v>000287129 - CASA DIBRITACHI PROTEIN-ARMARK</v>
      </c>
      <c r="C13156" t="s">
        <v>246</v>
      </c>
      <c r="D13156" s="1" t="str">
        <f t="shared" si="362"/>
        <v>PRG-1039129</v>
      </c>
      <c r="E13156" t="s">
        <v>372</v>
      </c>
      <c r="F13156" t="s">
        <v>4</v>
      </c>
      <c r="G13156" t="str">
        <f>""</f>
        <v/>
      </c>
    </row>
    <row r="13157" spans="1:7" x14ac:dyDescent="0.25">
      <c r="A13157" t="s">
        <v>8</v>
      </c>
      <c r="B13157" s="1" t="str">
        <f>"000288322 - CASA DIBERTACCHI-SSS ARAMARK"</f>
        <v>000288322 - CASA DIBERTACCHI-SSS ARAMARK</v>
      </c>
      <c r="C13157" t="s">
        <v>150</v>
      </c>
      <c r="D13157" s="1" t="str">
        <f t="shared" si="362"/>
        <v>PRG-1039129</v>
      </c>
      <c r="E13157" t="s">
        <v>372</v>
      </c>
      <c r="F13157" t="s">
        <v>4</v>
      </c>
      <c r="G13157" t="str">
        <f>""</f>
        <v/>
      </c>
    </row>
    <row r="13158" spans="1:7" x14ac:dyDescent="0.25">
      <c r="A13158" t="s">
        <v>8</v>
      </c>
      <c r="B13158" s="1" t="str">
        <f>"000289882 - CASA DIBRITACHI PROTEIN-ARAMAR"</f>
        <v>000289882 - CASA DIBRITACHI PROTEIN-ARAMAR</v>
      </c>
      <c r="C13158" t="s">
        <v>330</v>
      </c>
      <c r="D13158" s="1" t="str">
        <f t="shared" si="362"/>
        <v>PRG-1039129</v>
      </c>
      <c r="E13158" t="s">
        <v>372</v>
      </c>
      <c r="F13158" t="s">
        <v>4</v>
      </c>
      <c r="G13158" t="str">
        <f>""</f>
        <v/>
      </c>
    </row>
    <row r="13159" spans="1:7" x14ac:dyDescent="0.25">
      <c r="A13159" t="s">
        <v>8</v>
      </c>
      <c r="B13159" s="1" t="str">
        <f>"000291955 - CASA DIBRITACHI PROTEIN-ARAMAR"</f>
        <v>000291955 - CASA DIBRITACHI PROTEIN-ARAMAR</v>
      </c>
      <c r="C13159" t="s">
        <v>330</v>
      </c>
      <c r="D13159" s="1" t="str">
        <f t="shared" si="362"/>
        <v>PRG-1039129</v>
      </c>
      <c r="E13159" t="s">
        <v>372</v>
      </c>
      <c r="F13159" t="s">
        <v>4</v>
      </c>
      <c r="G13159" t="str">
        <f>""</f>
        <v/>
      </c>
    </row>
    <row r="13160" spans="1:7" x14ac:dyDescent="0.25">
      <c r="A13160" t="s">
        <v>8</v>
      </c>
      <c r="B13160" s="1" t="str">
        <f>"000292141 - CASA DIBRITACHI PROTEIN-ARAMAR"</f>
        <v>000292141 - CASA DIBRITACHI PROTEIN-ARAMAR</v>
      </c>
      <c r="C13160" t="s">
        <v>330</v>
      </c>
      <c r="D13160" s="1" t="str">
        <f t="shared" si="362"/>
        <v>PRG-1039129</v>
      </c>
      <c r="E13160" t="s">
        <v>372</v>
      </c>
      <c r="F13160" t="s">
        <v>4</v>
      </c>
      <c r="G13160" t="str">
        <f>""</f>
        <v/>
      </c>
    </row>
    <row r="13161" spans="1:7" x14ac:dyDescent="0.25">
      <c r="A13161" t="s">
        <v>8</v>
      </c>
      <c r="B13161" s="1" t="str">
        <f>"000292761 - CASA DIBRITACHI PROTEIN-ARAMAR"</f>
        <v>000292761 - CASA DIBRITACHI PROTEIN-ARAMAR</v>
      </c>
      <c r="C13161" t="s">
        <v>330</v>
      </c>
      <c r="D13161" s="1" t="str">
        <f t="shared" si="362"/>
        <v>PRG-1039129</v>
      </c>
      <c r="E13161" t="s">
        <v>372</v>
      </c>
      <c r="F13161" t="s">
        <v>4</v>
      </c>
      <c r="G13161" t="str">
        <f>""</f>
        <v/>
      </c>
    </row>
    <row r="13162" spans="1:7" x14ac:dyDescent="0.25">
      <c r="A13162" t="s">
        <v>8</v>
      </c>
      <c r="B13162" s="1" t="str">
        <f>"000324082 - CASA DIBRITACHI PROTEIN-ARMARK"</f>
        <v>000324082 - CASA DIBRITACHI PROTEIN-ARMARK</v>
      </c>
      <c r="C13162" t="s">
        <v>246</v>
      </c>
      <c r="D13162" s="1" t="str">
        <f t="shared" si="362"/>
        <v>PRG-1039129</v>
      </c>
      <c r="E13162" t="s">
        <v>372</v>
      </c>
      <c r="F13162" t="s">
        <v>4</v>
      </c>
      <c r="G13162" t="str">
        <f>""</f>
        <v/>
      </c>
    </row>
    <row r="13163" spans="1:7" x14ac:dyDescent="0.25">
      <c r="A13163" t="s">
        <v>8</v>
      </c>
      <c r="B13163" s="1" t="str">
        <f>"000329083 - CASA DIBRITACHI PROTEIN-ARAMAR"</f>
        <v>000329083 - CASA DIBRITACHI PROTEIN-ARAMAR</v>
      </c>
      <c r="C13163" t="s">
        <v>330</v>
      </c>
      <c r="D13163" s="1" t="str">
        <f t="shared" si="362"/>
        <v>PRG-1039129</v>
      </c>
      <c r="E13163" t="s">
        <v>372</v>
      </c>
      <c r="F13163" t="s">
        <v>4</v>
      </c>
      <c r="G13163" t="str">
        <f>""</f>
        <v/>
      </c>
    </row>
    <row r="13164" spans="1:7" x14ac:dyDescent="0.25">
      <c r="A13164" t="s">
        <v>8</v>
      </c>
      <c r="B13164" s="1" t="str">
        <f>"000343733 - CASA DIBERTACCHI-SSS ARAMARK"</f>
        <v>000343733 - CASA DIBERTACCHI-SSS ARAMARK</v>
      </c>
      <c r="C13164" t="s">
        <v>150</v>
      </c>
      <c r="D13164" s="1" t="str">
        <f t="shared" si="362"/>
        <v>PRG-1039129</v>
      </c>
      <c r="E13164" t="s">
        <v>372</v>
      </c>
      <c r="F13164" t="s">
        <v>4</v>
      </c>
      <c r="G13164" t="str">
        <f>""</f>
        <v/>
      </c>
    </row>
    <row r="13165" spans="1:7" x14ac:dyDescent="0.25">
      <c r="A13165" t="s">
        <v>8</v>
      </c>
      <c r="B13165" s="1" t="str">
        <f>"000346231 - RICH C BB-DELAWARE"</f>
        <v>000346231 - RICH C BB-DELAWARE</v>
      </c>
      <c r="C13165" t="s">
        <v>282</v>
      </c>
      <c r="D13165" s="1" t="str">
        <f t="shared" si="362"/>
        <v>PRG-1039129</v>
      </c>
      <c r="E13165" t="s">
        <v>372</v>
      </c>
      <c r="F13165" t="s">
        <v>4</v>
      </c>
      <c r="G13165" t="str">
        <f>""</f>
        <v/>
      </c>
    </row>
    <row r="13166" spans="1:7" x14ac:dyDescent="0.25">
      <c r="A13166" t="s">
        <v>8</v>
      </c>
      <c r="B13166" s="1" t="str">
        <f>"000348257 - CASA DIBERTACCHI-SSS ARAMARK"</f>
        <v>000348257 - CASA DIBERTACCHI-SSS ARAMARK</v>
      </c>
      <c r="C13166" t="s">
        <v>150</v>
      </c>
      <c r="D13166" s="1" t="str">
        <f t="shared" si="362"/>
        <v>PRG-1039129</v>
      </c>
      <c r="E13166" t="s">
        <v>372</v>
      </c>
      <c r="F13166" t="s">
        <v>4</v>
      </c>
      <c r="G13166" t="str">
        <f>""</f>
        <v/>
      </c>
    </row>
    <row r="13167" spans="1:7" x14ac:dyDescent="0.25">
      <c r="A13167" t="s">
        <v>8</v>
      </c>
      <c r="B13167" s="1" t="str">
        <f>"000349566 - CASA DIBRITACHI PROTEIN-ARAMAR"</f>
        <v>000349566 - CASA DIBRITACHI PROTEIN-ARAMAR</v>
      </c>
      <c r="C13167" t="s">
        <v>330</v>
      </c>
      <c r="D13167" s="1" t="str">
        <f t="shared" si="362"/>
        <v>PRG-1039129</v>
      </c>
      <c r="E13167" t="s">
        <v>372</v>
      </c>
      <c r="F13167" t="s">
        <v>4</v>
      </c>
      <c r="G13167" t="str">
        <f>""</f>
        <v/>
      </c>
    </row>
    <row r="13168" spans="1:7" x14ac:dyDescent="0.25">
      <c r="A13168" t="s">
        <v>8</v>
      </c>
      <c r="B13168" s="1" t="str">
        <f>"000353124 - CASA DIBRITACHI PROTEIN-ARMARK"</f>
        <v>000353124 - CASA DIBRITACHI PROTEIN-ARMARK</v>
      </c>
      <c r="C13168" t="s">
        <v>246</v>
      </c>
      <c r="D13168" s="1" t="str">
        <f t="shared" si="362"/>
        <v>PRG-1039129</v>
      </c>
      <c r="E13168" t="s">
        <v>372</v>
      </c>
      <c r="F13168" t="s">
        <v>4</v>
      </c>
      <c r="G13168" t="str">
        <f>""</f>
        <v/>
      </c>
    </row>
    <row r="13169" spans="1:7" x14ac:dyDescent="0.25">
      <c r="A13169" t="s">
        <v>8</v>
      </c>
      <c r="B13169" s="1" t="str">
        <f>"000353314 - CASA DIBRITACHI PROTEIN-ARAMAR"</f>
        <v>000353314 - CASA DIBRITACHI PROTEIN-ARAMAR</v>
      </c>
      <c r="C13169" t="s">
        <v>330</v>
      </c>
      <c r="D13169" s="1" t="str">
        <f t="shared" si="362"/>
        <v>PRG-1039129</v>
      </c>
      <c r="E13169" t="s">
        <v>372</v>
      </c>
      <c r="F13169" t="s">
        <v>4</v>
      </c>
      <c r="G13169" t="str">
        <f>""</f>
        <v/>
      </c>
    </row>
    <row r="13170" spans="1:7" x14ac:dyDescent="0.25">
      <c r="A13170" t="s">
        <v>8</v>
      </c>
      <c r="B13170" s="1" t="str">
        <f>"000354726 - "</f>
        <v xml:space="preserve">000354726 - </v>
      </c>
      <c r="D13170" s="1" t="str">
        <f t="shared" si="362"/>
        <v>PRG-1039129</v>
      </c>
      <c r="E13170" t="s">
        <v>372</v>
      </c>
      <c r="F13170" t="s">
        <v>4</v>
      </c>
      <c r="G13170" t="str">
        <f>""</f>
        <v/>
      </c>
    </row>
    <row r="13171" spans="1:7" x14ac:dyDescent="0.25">
      <c r="A13171" t="s">
        <v>8</v>
      </c>
      <c r="B13171" s="1" t="str">
        <f>"000354751 - CASA DIBRITACHI PROTEIN-ARMARK"</f>
        <v>000354751 - CASA DIBRITACHI PROTEIN-ARMARK</v>
      </c>
      <c r="C13171" t="s">
        <v>246</v>
      </c>
      <c r="D13171" s="1" t="str">
        <f t="shared" si="362"/>
        <v>PRG-1039129</v>
      </c>
      <c r="E13171" t="s">
        <v>372</v>
      </c>
      <c r="F13171" t="s">
        <v>4</v>
      </c>
      <c r="G13171" t="str">
        <f>""</f>
        <v/>
      </c>
    </row>
    <row r="13172" spans="1:7" x14ac:dyDescent="0.25">
      <c r="A13172" t="s">
        <v>8</v>
      </c>
      <c r="B13172" s="1" t="str">
        <f>"000360404 - CASA DIBRITACHI PROTEIN-ARAMAR"</f>
        <v>000360404 - CASA DIBRITACHI PROTEIN-ARAMAR</v>
      </c>
      <c r="C13172" t="s">
        <v>330</v>
      </c>
      <c r="D13172" s="1" t="str">
        <f t="shared" si="362"/>
        <v>PRG-1039129</v>
      </c>
      <c r="E13172" t="s">
        <v>372</v>
      </c>
      <c r="F13172" t="s">
        <v>4</v>
      </c>
      <c r="G13172" t="str">
        <f>""</f>
        <v/>
      </c>
    </row>
    <row r="13173" spans="1:7" x14ac:dyDescent="0.25">
      <c r="A13173" t="s">
        <v>8</v>
      </c>
      <c r="B13173" s="1" t="str">
        <f>"000361082 - CASA DIBRITACHI PROTEIN-ARAMAR"</f>
        <v>000361082 - CASA DIBRITACHI PROTEIN-ARAMAR</v>
      </c>
      <c r="C13173" t="s">
        <v>330</v>
      </c>
      <c r="D13173" s="1" t="str">
        <f t="shared" si="362"/>
        <v>PRG-1039129</v>
      </c>
      <c r="E13173" t="s">
        <v>372</v>
      </c>
      <c r="F13173" t="s">
        <v>4</v>
      </c>
      <c r="G13173" t="str">
        <f>""</f>
        <v/>
      </c>
    </row>
    <row r="13174" spans="1:7" x14ac:dyDescent="0.25">
      <c r="A13174" t="s">
        <v>8</v>
      </c>
      <c r="B13174" s="1" t="str">
        <f>"000377453 - CASA DIBRITACHI PROTEIN-ARAMAR"</f>
        <v>000377453 - CASA DIBRITACHI PROTEIN-ARAMAR</v>
      </c>
      <c r="C13174" t="s">
        <v>330</v>
      </c>
      <c r="D13174" s="1" t="str">
        <f t="shared" si="362"/>
        <v>PRG-1039129</v>
      </c>
      <c r="E13174" t="s">
        <v>372</v>
      </c>
      <c r="F13174" t="s">
        <v>4</v>
      </c>
      <c r="G13174" t="str">
        <f>""</f>
        <v/>
      </c>
    </row>
    <row r="13175" spans="1:7" x14ac:dyDescent="0.25">
      <c r="A13175" t="s">
        <v>8</v>
      </c>
      <c r="B13175" s="1" t="str">
        <f>"000382258 - CASA DIBRITACHI PROTEIN-ARMARK"</f>
        <v>000382258 - CASA DIBRITACHI PROTEIN-ARMARK</v>
      </c>
      <c r="C13175" t="s">
        <v>246</v>
      </c>
      <c r="D13175" s="1" t="str">
        <f t="shared" si="362"/>
        <v>PRG-1039129</v>
      </c>
      <c r="E13175" t="s">
        <v>372</v>
      </c>
      <c r="F13175" t="s">
        <v>4</v>
      </c>
      <c r="G13175" t="str">
        <f>""</f>
        <v/>
      </c>
    </row>
    <row r="13176" spans="1:7" x14ac:dyDescent="0.25">
      <c r="A13176" t="s">
        <v>8</v>
      </c>
      <c r="B13176" s="1" t="str">
        <f>"000388980 - CASA DIBRITACHI PROTEIN-ARAMAR"</f>
        <v>000388980 - CASA DIBRITACHI PROTEIN-ARAMAR</v>
      </c>
      <c r="C13176" t="s">
        <v>330</v>
      </c>
      <c r="D13176" s="1" t="str">
        <f t="shared" si="362"/>
        <v>PRG-1039129</v>
      </c>
      <c r="E13176" t="s">
        <v>372</v>
      </c>
      <c r="F13176" t="s">
        <v>4</v>
      </c>
      <c r="G13176" t="str">
        <f>""</f>
        <v/>
      </c>
    </row>
    <row r="13177" spans="1:7" x14ac:dyDescent="0.25">
      <c r="A13177" t="s">
        <v>8</v>
      </c>
      <c r="B13177" s="1" t="str">
        <f>"000355781 - RICH SMSD"</f>
        <v>000355781 - RICH SMSD</v>
      </c>
      <c r="C13177" t="s">
        <v>3556</v>
      </c>
      <c r="D13177" s="1" t="str">
        <f>"PRG-1039160"</f>
        <v>PRG-1039160</v>
      </c>
      <c r="E13177" t="s">
        <v>3557</v>
      </c>
      <c r="F13177" t="s">
        <v>4</v>
      </c>
      <c r="G13177" t="str">
        <f>""</f>
        <v/>
      </c>
    </row>
    <row r="13178" spans="1:7" x14ac:dyDescent="0.25">
      <c r="A13178" t="s">
        <v>8</v>
      </c>
      <c r="B13178" s="1" t="str">
        <f>"000009623 - RICHS  AVOYELLES PARRISH SCHOO"</f>
        <v>000009623 - RICHS  AVOYELLES PARRISH SCHOO</v>
      </c>
      <c r="C13178" t="s">
        <v>296</v>
      </c>
      <c r="D13178" s="1" t="str">
        <f>"PRG-1039163"</f>
        <v>PRG-1039163</v>
      </c>
      <c r="E13178" t="s">
        <v>297</v>
      </c>
      <c r="F13178" t="s">
        <v>4</v>
      </c>
      <c r="G13178" t="str">
        <f>""</f>
        <v/>
      </c>
    </row>
    <row r="13179" spans="1:7" x14ac:dyDescent="0.25">
      <c r="A13179" t="s">
        <v>8</v>
      </c>
      <c r="B13179" s="1" t="str">
        <f>"000328256 - RICHS SENECA SCHOOLS"</f>
        <v>000328256 - RICHS SENECA SCHOOLS</v>
      </c>
      <c r="C13179" t="s">
        <v>3313</v>
      </c>
      <c r="D13179" s="1" t="str">
        <f>"PRG-1039175"</f>
        <v>PRG-1039175</v>
      </c>
      <c r="E13179" t="s">
        <v>3314</v>
      </c>
      <c r="F13179" t="s">
        <v>4</v>
      </c>
      <c r="G13179" t="str">
        <f>""</f>
        <v/>
      </c>
    </row>
    <row r="13180" spans="1:7" x14ac:dyDescent="0.25">
      <c r="A13180" t="s">
        <v>8</v>
      </c>
      <c r="B13180" s="1" t="str">
        <f>"000327979 - RICH PRODUCTS  LODI USD FROZEN"</f>
        <v>000327979 - RICH PRODUCTS  LODI USD FROZEN</v>
      </c>
      <c r="C13180" t="s">
        <v>3309</v>
      </c>
      <c r="D13180" s="1" t="str">
        <f>"PRG-1039226"</f>
        <v>PRG-1039226</v>
      </c>
      <c r="E13180" t="s">
        <v>3310</v>
      </c>
      <c r="F13180" t="s">
        <v>4</v>
      </c>
      <c r="G13180" t="str">
        <f>""</f>
        <v/>
      </c>
    </row>
    <row r="13181" spans="1:7" x14ac:dyDescent="0.25">
      <c r="A13181" t="s">
        <v>8</v>
      </c>
      <c r="B13181" s="1" t="str">
        <f>"2220F249"</f>
        <v>2220F249</v>
      </c>
      <c r="C13181" t="s">
        <v>4269</v>
      </c>
      <c r="D13181" s="1" t="str">
        <f>"PRG-1039243"</f>
        <v>PRG-1039243</v>
      </c>
      <c r="E13181" t="s">
        <v>4270</v>
      </c>
      <c r="F13181" t="s">
        <v>5</v>
      </c>
      <c r="G13181" t="str">
        <f>""</f>
        <v/>
      </c>
    </row>
    <row r="13182" spans="1:7" x14ac:dyDescent="0.25">
      <c r="A13182" t="s">
        <v>8</v>
      </c>
      <c r="B13182" s="1" t="str">
        <f>"S5I01AV0"</f>
        <v>S5I01AV0</v>
      </c>
      <c r="C13182" t="s">
        <v>5860</v>
      </c>
      <c r="D13182" s="1" t="str">
        <f>"PRG-1039247"</f>
        <v>PRG-1039247</v>
      </c>
      <c r="E13182" t="s">
        <v>5861</v>
      </c>
      <c r="F13182" t="s">
        <v>5</v>
      </c>
      <c r="G13182" t="str">
        <f>""</f>
        <v/>
      </c>
    </row>
    <row r="13183" spans="1:7" x14ac:dyDescent="0.25">
      <c r="A13183" t="s">
        <v>8</v>
      </c>
      <c r="B13183" s="1" t="str">
        <f>"000027942 - RICH PRODUCTS-JORDAN SD"</f>
        <v>000027942 - RICH PRODUCTS-JORDAN SD</v>
      </c>
      <c r="C13183" t="s">
        <v>461</v>
      </c>
      <c r="D13183" s="1" t="str">
        <f>"PRG-1039249"</f>
        <v>PRG-1039249</v>
      </c>
      <c r="E13183" t="s">
        <v>462</v>
      </c>
      <c r="F13183" t="s">
        <v>4</v>
      </c>
      <c r="G13183" t="str">
        <f>""</f>
        <v/>
      </c>
    </row>
    <row r="13184" spans="1:7" x14ac:dyDescent="0.25">
      <c r="A13184" t="s">
        <v>8</v>
      </c>
      <c r="B13184" s="1" t="str">
        <f>"000294062 - RICH CC-OGS"</f>
        <v>000294062 - RICH CC-OGS</v>
      </c>
      <c r="C13184" t="s">
        <v>2026</v>
      </c>
      <c r="D13184" s="1" t="str">
        <f>"PRG-1039262"</f>
        <v>PRG-1039262</v>
      </c>
      <c r="E13184" t="s">
        <v>2885</v>
      </c>
      <c r="F13184" t="s">
        <v>4</v>
      </c>
      <c r="G13184" t="str">
        <f>""</f>
        <v/>
      </c>
    </row>
    <row r="13185" spans="1:7" x14ac:dyDescent="0.25">
      <c r="A13185" t="s">
        <v>8</v>
      </c>
      <c r="B13185" s="1" t="str">
        <f>"000038149 - MSFBG SCHOOLS RICHS"</f>
        <v>000038149 - MSFBG SCHOOLS RICHS</v>
      </c>
      <c r="C13185" t="s">
        <v>480</v>
      </c>
      <c r="D13185" s="1" t="str">
        <f>"PRG-1039277"</f>
        <v>PRG-1039277</v>
      </c>
      <c r="E13185" t="s">
        <v>555</v>
      </c>
      <c r="F13185" t="s">
        <v>4</v>
      </c>
      <c r="G13185" t="str">
        <f>""</f>
        <v/>
      </c>
    </row>
    <row r="13186" spans="1:7" x14ac:dyDescent="0.25">
      <c r="A13186" t="s">
        <v>8</v>
      </c>
      <c r="B13186" s="1" t="str">
        <f>"23509107"</f>
        <v>23509107</v>
      </c>
      <c r="C13186" t="s">
        <v>4516</v>
      </c>
      <c r="D13186" s="1" t="str">
        <f>"PRG-1039277"</f>
        <v>PRG-1039277</v>
      </c>
      <c r="E13186" t="s">
        <v>555</v>
      </c>
      <c r="F13186" t="s">
        <v>5</v>
      </c>
      <c r="G13186" t="str">
        <f>""</f>
        <v/>
      </c>
    </row>
    <row r="13187" spans="1:7" x14ac:dyDescent="0.25">
      <c r="A13187" t="s">
        <v>8</v>
      </c>
      <c r="B13187" s="1" t="str">
        <f>"000027244 - 078 RICH PRODUCTS AMARILLO ISD"</f>
        <v>000027244 - 078 RICH PRODUCTS AMARILLO ISD</v>
      </c>
      <c r="C13187" t="s">
        <v>453</v>
      </c>
      <c r="D13187" s="1" t="str">
        <f>"PRG-1039333"</f>
        <v>PRG-1039333</v>
      </c>
      <c r="E13187" t="s">
        <v>454</v>
      </c>
      <c r="F13187" t="s">
        <v>4</v>
      </c>
      <c r="G13187" t="str">
        <f>""</f>
        <v/>
      </c>
    </row>
    <row r="13188" spans="1:7" x14ac:dyDescent="0.25">
      <c r="A13188" t="s">
        <v>8</v>
      </c>
      <c r="B13188" s="1" t="str">
        <f>"000304560 - RICHS  BELLEVUE"</f>
        <v>000304560 - RICHS  BELLEVUE</v>
      </c>
      <c r="C13188" t="s">
        <v>3024</v>
      </c>
      <c r="D13188" s="1" t="str">
        <f>"PRG-1039409"</f>
        <v>PRG-1039409</v>
      </c>
      <c r="E13188" t="s">
        <v>3025</v>
      </c>
      <c r="F13188" t="s">
        <v>4</v>
      </c>
      <c r="G13188" t="str">
        <f>""</f>
        <v/>
      </c>
    </row>
    <row r="13189" spans="1:7" x14ac:dyDescent="0.25">
      <c r="A13189" t="s">
        <v>8</v>
      </c>
      <c r="B13189" s="1" t="str">
        <f>"000306110 - RICHS  WESTSIDE"</f>
        <v>000306110 - RICHS  WESTSIDE</v>
      </c>
      <c r="C13189" t="s">
        <v>3038</v>
      </c>
      <c r="D13189" s="1" t="str">
        <f>"PRG-1039410"</f>
        <v>PRG-1039410</v>
      </c>
      <c r="E13189" t="s">
        <v>3039</v>
      </c>
      <c r="F13189" t="s">
        <v>4</v>
      </c>
      <c r="G13189" t="str">
        <f>""</f>
        <v/>
      </c>
    </row>
    <row r="13190" spans="1:7" x14ac:dyDescent="0.25">
      <c r="A13190" t="s">
        <v>8</v>
      </c>
      <c r="B13190" s="1" t="str">
        <f>"000164190 - RICH PRODUCTS BISMARCK SCHOOLS"</f>
        <v>000164190 - RICH PRODUCTS BISMARCK SCHOOLS</v>
      </c>
      <c r="C13190" t="s">
        <v>1049</v>
      </c>
      <c r="D13190" s="1" t="str">
        <f>"PRG-1039432"</f>
        <v>PRG-1039432</v>
      </c>
      <c r="E13190" t="s">
        <v>1050</v>
      </c>
      <c r="F13190" t="s">
        <v>4</v>
      </c>
      <c r="G13190" t="str">
        <f>""</f>
        <v/>
      </c>
    </row>
    <row r="13191" spans="1:7" x14ac:dyDescent="0.25">
      <c r="A13191" t="s">
        <v>8</v>
      </c>
      <c r="B13191" s="1" t="str">
        <f>"000164191 - RICH PRODUCTS BISMARCK SCHOOLS"</f>
        <v>000164191 - RICH PRODUCTS BISMARCK SCHOOLS</v>
      </c>
      <c r="C13191" t="s">
        <v>1049</v>
      </c>
      <c r="D13191" s="1" t="str">
        <f>"PRG-1039432"</f>
        <v>PRG-1039432</v>
      </c>
      <c r="E13191" t="s">
        <v>1050</v>
      </c>
      <c r="F13191" t="s">
        <v>4</v>
      </c>
      <c r="G13191" t="str">
        <f>""</f>
        <v/>
      </c>
    </row>
    <row r="13192" spans="1:7" x14ac:dyDescent="0.25">
      <c r="A13192" t="s">
        <v>8</v>
      </c>
      <c r="B13192" s="1" t="str">
        <f>"000337006 - RICH PRODUCTS BEAVERTON SD"</f>
        <v>000337006 - RICH PRODUCTS BEAVERTON SD</v>
      </c>
      <c r="C13192" t="s">
        <v>2844</v>
      </c>
      <c r="D13192" s="1" t="str">
        <f>"PRG-1039433"</f>
        <v>PRG-1039433</v>
      </c>
      <c r="E13192" t="s">
        <v>3410</v>
      </c>
      <c r="F13192" t="s">
        <v>4</v>
      </c>
      <c r="G13192" t="str">
        <f>""</f>
        <v/>
      </c>
    </row>
    <row r="13193" spans="1:7" x14ac:dyDescent="0.25">
      <c r="A13193" t="s">
        <v>8</v>
      </c>
      <c r="B13193" s="1" t="str">
        <f>"000236812 - RICHS CC GRNVLE CNTY"</f>
        <v>000236812 - RICHS CC GRNVLE CNTY</v>
      </c>
      <c r="C13193" t="s">
        <v>1853</v>
      </c>
      <c r="D13193" s="1" t="str">
        <f>"PRG-1039434"</f>
        <v>PRG-1039434</v>
      </c>
      <c r="E13193" t="s">
        <v>1854</v>
      </c>
      <c r="F13193" t="s">
        <v>4</v>
      </c>
      <c r="G13193" t="str">
        <f>""</f>
        <v/>
      </c>
    </row>
    <row r="13194" spans="1:7" x14ac:dyDescent="0.25">
      <c r="A13194" t="s">
        <v>8</v>
      </c>
      <c r="B13194" s="1" t="str">
        <f>"21801327"</f>
        <v>21801327</v>
      </c>
      <c r="C13194" t="s">
        <v>4185</v>
      </c>
      <c r="D13194" s="1" t="str">
        <f>"PRG-1039437"</f>
        <v>PRG-1039437</v>
      </c>
      <c r="E13194" t="s">
        <v>4186</v>
      </c>
      <c r="F13194" t="s">
        <v>5</v>
      </c>
      <c r="G13194" t="str">
        <f>""</f>
        <v/>
      </c>
    </row>
    <row r="13195" spans="1:7" x14ac:dyDescent="0.25">
      <c r="A13195" t="s">
        <v>8</v>
      </c>
      <c r="B13195" s="1" t="str">
        <f>"000065551 - RICHS-WHITSONS"</f>
        <v>000065551 - RICHS-WHITSONS</v>
      </c>
      <c r="C13195" t="s">
        <v>709</v>
      </c>
      <c r="D13195" s="1" t="str">
        <f>"PRG-1039451"</f>
        <v>PRG-1039451</v>
      </c>
      <c r="E13195" t="s">
        <v>711</v>
      </c>
      <c r="F13195" t="s">
        <v>4</v>
      </c>
      <c r="G13195" t="str">
        <f>""</f>
        <v/>
      </c>
    </row>
    <row r="13196" spans="1:7" x14ac:dyDescent="0.25">
      <c r="A13196" t="s">
        <v>8</v>
      </c>
      <c r="B13196" s="1" t="str">
        <f>"000274862 - RICHS-WHITSONS"</f>
        <v>000274862 - RICHS-WHITSONS</v>
      </c>
      <c r="C13196" t="s">
        <v>709</v>
      </c>
      <c r="D13196" s="1" t="str">
        <f>"PRG-1039451"</f>
        <v>PRG-1039451</v>
      </c>
      <c r="E13196" t="s">
        <v>711</v>
      </c>
      <c r="F13196" t="s">
        <v>4</v>
      </c>
      <c r="G13196" t="str">
        <f>""</f>
        <v/>
      </c>
    </row>
    <row r="13197" spans="1:7" x14ac:dyDescent="0.25">
      <c r="A13197" t="s">
        <v>8</v>
      </c>
      <c r="B13197" s="1" t="str">
        <f>"000285529 - RICHS-WHITSONS"</f>
        <v>000285529 - RICHS-WHITSONS</v>
      </c>
      <c r="C13197" t="s">
        <v>709</v>
      </c>
      <c r="D13197" s="1" t="str">
        <f>"PRG-1039451"</f>
        <v>PRG-1039451</v>
      </c>
      <c r="E13197" t="s">
        <v>711</v>
      </c>
      <c r="F13197" t="s">
        <v>4</v>
      </c>
      <c r="G13197" t="str">
        <f>""</f>
        <v/>
      </c>
    </row>
    <row r="13198" spans="1:7" x14ac:dyDescent="0.25">
      <c r="A13198" t="s">
        <v>8</v>
      </c>
      <c r="B13198" s="1" t="str">
        <f>"000285700 - RICHS-WHITSONS"</f>
        <v>000285700 - RICHS-WHITSONS</v>
      </c>
      <c r="C13198" t="s">
        <v>709</v>
      </c>
      <c r="D13198" s="1" t="str">
        <f>"PRG-1039451"</f>
        <v>PRG-1039451</v>
      </c>
      <c r="E13198" t="s">
        <v>711</v>
      </c>
      <c r="F13198" t="s">
        <v>4</v>
      </c>
      <c r="G13198" t="str">
        <f>""</f>
        <v/>
      </c>
    </row>
    <row r="13199" spans="1:7" x14ac:dyDescent="0.25">
      <c r="A13199" t="s">
        <v>8</v>
      </c>
      <c r="B13199" s="1" t="str">
        <f>"S9B007P0"</f>
        <v>S9B007P0</v>
      </c>
      <c r="C13199" t="s">
        <v>6294</v>
      </c>
      <c r="D13199" s="1" t="str">
        <f>"PRG-1039483"</f>
        <v>PRG-1039483</v>
      </c>
      <c r="E13199" t="s">
        <v>6295</v>
      </c>
      <c r="F13199" t="s">
        <v>5</v>
      </c>
      <c r="G13199" t="str">
        <f>""</f>
        <v/>
      </c>
    </row>
    <row r="13200" spans="1:7" x14ac:dyDescent="0.25">
      <c r="A13200" t="s">
        <v>8</v>
      </c>
      <c r="B13200" s="1" t="str">
        <f>"000286322 - RICH MANCHESTER SCHLS"</f>
        <v>000286322 - RICH MANCHESTER SCHLS</v>
      </c>
      <c r="C13200" t="s">
        <v>2738</v>
      </c>
      <c r="D13200" s="1" t="str">
        <f>"PRG-1039508"</f>
        <v>PRG-1039508</v>
      </c>
      <c r="E13200" t="s">
        <v>2739</v>
      </c>
      <c r="F13200" t="s">
        <v>4</v>
      </c>
      <c r="G13200" t="str">
        <f>""</f>
        <v/>
      </c>
    </row>
    <row r="13201" spans="1:7" x14ac:dyDescent="0.25">
      <c r="A13201" t="s">
        <v>8</v>
      </c>
      <c r="B13201" s="1" t="str">
        <f>"246"</f>
        <v>246</v>
      </c>
      <c r="C13201" t="s">
        <v>4572</v>
      </c>
      <c r="D13201" s="1" t="str">
        <f>"PRG-1039515"</f>
        <v>PRG-1039515</v>
      </c>
      <c r="E13201" t="s">
        <v>4573</v>
      </c>
      <c r="F13201" t="s">
        <v>7</v>
      </c>
      <c r="G13201" t="str">
        <f>""</f>
        <v/>
      </c>
    </row>
    <row r="13202" spans="1:7" x14ac:dyDescent="0.25">
      <c r="A13202" t="s">
        <v>8</v>
      </c>
      <c r="B13202" s="1" t="str">
        <f>"000012361 - RICHS OKCPS"</f>
        <v>000012361 - RICHS OKCPS</v>
      </c>
      <c r="C13202" t="s">
        <v>334</v>
      </c>
      <c r="D13202" s="1" t="str">
        <f>"PRG-1039522"</f>
        <v>PRG-1039522</v>
      </c>
      <c r="E13202" t="s">
        <v>335</v>
      </c>
      <c r="F13202" t="s">
        <v>4</v>
      </c>
      <c r="G13202" t="str">
        <f>""</f>
        <v/>
      </c>
    </row>
    <row r="13203" spans="1:7" x14ac:dyDescent="0.25">
      <c r="A13203" t="s">
        <v>8</v>
      </c>
      <c r="B13203" s="1" t="str">
        <f>"000031736 - "</f>
        <v xml:space="preserve">000031736 - </v>
      </c>
      <c r="D13203" s="1" t="str">
        <f t="shared" ref="D13203:D13212" si="363">"PRG-1039543"</f>
        <v>PRG-1039543</v>
      </c>
      <c r="E13203" t="s">
        <v>132</v>
      </c>
      <c r="F13203" t="s">
        <v>4</v>
      </c>
      <c r="G13203" t="str">
        <f>""</f>
        <v/>
      </c>
    </row>
    <row r="13204" spans="1:7" x14ac:dyDescent="0.25">
      <c r="A13204" t="s">
        <v>8</v>
      </c>
      <c r="B13204" s="1" t="str">
        <f>"000033716 - RICH FOODS BETTERCREME-COLDSTO"</f>
        <v>000033716 - RICH FOODS BETTERCREME-COLDSTO</v>
      </c>
      <c r="C13204" t="s">
        <v>319</v>
      </c>
      <c r="D13204" s="1" t="str">
        <f t="shared" si="363"/>
        <v>PRG-1039543</v>
      </c>
      <c r="E13204" t="s">
        <v>132</v>
      </c>
      <c r="F13204" t="s">
        <v>4</v>
      </c>
      <c r="G13204" t="str">
        <f>""</f>
        <v/>
      </c>
    </row>
    <row r="13205" spans="1:7" x14ac:dyDescent="0.25">
      <c r="A13205" t="s">
        <v>8</v>
      </c>
      <c r="B13205" s="1" t="str">
        <f>"000072173 - RICH FOODS BETTERCREME-COLDSTO"</f>
        <v>000072173 - RICH FOODS BETTERCREME-COLDSTO</v>
      </c>
      <c r="C13205" t="s">
        <v>319</v>
      </c>
      <c r="D13205" s="1" t="str">
        <f t="shared" si="363"/>
        <v>PRG-1039543</v>
      </c>
      <c r="E13205" t="s">
        <v>132</v>
      </c>
      <c r="F13205" t="s">
        <v>4</v>
      </c>
      <c r="G13205" t="str">
        <f>""</f>
        <v/>
      </c>
    </row>
    <row r="13206" spans="1:7" x14ac:dyDescent="0.25">
      <c r="A13206" t="s">
        <v>8</v>
      </c>
      <c r="B13206" s="1" t="str">
        <f>"000145968 - RICH FOODS BETTERCREME-COLDSTO"</f>
        <v>000145968 - RICH FOODS BETTERCREME-COLDSTO</v>
      </c>
      <c r="C13206" t="s">
        <v>319</v>
      </c>
      <c r="D13206" s="1" t="str">
        <f t="shared" si="363"/>
        <v>PRG-1039543</v>
      </c>
      <c r="E13206" t="s">
        <v>132</v>
      </c>
      <c r="F13206" t="s">
        <v>4</v>
      </c>
      <c r="G13206" t="str">
        <f>""</f>
        <v/>
      </c>
    </row>
    <row r="13207" spans="1:7" x14ac:dyDescent="0.25">
      <c r="A13207" t="s">
        <v>8</v>
      </c>
      <c r="B13207" s="1" t="str">
        <f>"000260891 - BB COLDSTONE FOB RICH BETTERCR"</f>
        <v>000260891 - BB COLDSTONE FOB RICH BETTERCR</v>
      </c>
      <c r="C13207" t="s">
        <v>2274</v>
      </c>
      <c r="D13207" s="1" t="str">
        <f t="shared" si="363"/>
        <v>PRG-1039543</v>
      </c>
      <c r="E13207" t="s">
        <v>132</v>
      </c>
      <c r="F13207" t="s">
        <v>4</v>
      </c>
      <c r="G13207" t="str">
        <f>""</f>
        <v/>
      </c>
    </row>
    <row r="13208" spans="1:7" x14ac:dyDescent="0.25">
      <c r="A13208" t="s">
        <v>8</v>
      </c>
      <c r="B13208" s="1" t="str">
        <f>"000262994 - RICH MGM RESORTS"</f>
        <v>000262994 - RICH MGM RESORTS</v>
      </c>
      <c r="C13208" t="s">
        <v>2331</v>
      </c>
      <c r="D13208" s="1" t="str">
        <f t="shared" si="363"/>
        <v>PRG-1039543</v>
      </c>
      <c r="E13208" t="s">
        <v>132</v>
      </c>
      <c r="F13208" t="s">
        <v>4</v>
      </c>
      <c r="G13208" t="str">
        <f>""</f>
        <v/>
      </c>
    </row>
    <row r="13209" spans="1:7" x14ac:dyDescent="0.25">
      <c r="A13209" t="s">
        <v>8</v>
      </c>
      <c r="B13209" s="1" t="str">
        <f>"000278387 - "</f>
        <v xml:space="preserve">000278387 - </v>
      </c>
      <c r="D13209" s="1" t="str">
        <f t="shared" si="363"/>
        <v>PRG-1039543</v>
      </c>
      <c r="E13209" t="s">
        <v>132</v>
      </c>
      <c r="F13209" t="s">
        <v>4</v>
      </c>
      <c r="G13209" t="str">
        <f>""</f>
        <v/>
      </c>
    </row>
    <row r="13210" spans="1:7" x14ac:dyDescent="0.25">
      <c r="A13210" t="s">
        <v>8</v>
      </c>
      <c r="B13210" s="1" t="str">
        <f>"000331583 - RICH FOODS BETTERCREME-COLDSTO"</f>
        <v>000331583 - RICH FOODS BETTERCREME-COLDSTO</v>
      </c>
      <c r="C13210" t="s">
        <v>319</v>
      </c>
      <c r="D13210" s="1" t="str">
        <f t="shared" si="363"/>
        <v>PRG-1039543</v>
      </c>
      <c r="E13210" t="s">
        <v>132</v>
      </c>
      <c r="F13210" t="s">
        <v>4</v>
      </c>
      <c r="G13210" t="str">
        <f>""</f>
        <v/>
      </c>
    </row>
    <row r="13211" spans="1:7" x14ac:dyDescent="0.25">
      <c r="A13211" t="s">
        <v>8</v>
      </c>
      <c r="B13211" s="1" t="str">
        <f>"000365432 - RICH FOODS BETTERCREME-COLDSTO"</f>
        <v>000365432 - RICH FOODS BETTERCREME-COLDSTO</v>
      </c>
      <c r="C13211" t="s">
        <v>319</v>
      </c>
      <c r="D13211" s="1" t="str">
        <f t="shared" si="363"/>
        <v>PRG-1039543</v>
      </c>
      <c r="E13211" t="s">
        <v>132</v>
      </c>
      <c r="F13211" t="s">
        <v>4</v>
      </c>
      <c r="G13211" t="str">
        <f>""</f>
        <v/>
      </c>
    </row>
    <row r="13212" spans="1:7" x14ac:dyDescent="0.25">
      <c r="A13212" t="s">
        <v>8</v>
      </c>
      <c r="B13212" s="1" t="str">
        <f>"000392226 - RICH FOODS BETTERCREME-COLDSTO"</f>
        <v>000392226 - RICH FOODS BETTERCREME-COLDSTO</v>
      </c>
      <c r="C13212" t="s">
        <v>319</v>
      </c>
      <c r="D13212" s="1" t="str">
        <f t="shared" si="363"/>
        <v>PRG-1039543</v>
      </c>
      <c r="E13212" t="s">
        <v>132</v>
      </c>
      <c r="F13212" t="s">
        <v>4</v>
      </c>
      <c r="G13212" t="str">
        <f>""</f>
        <v/>
      </c>
    </row>
    <row r="13213" spans="1:7" x14ac:dyDescent="0.25">
      <c r="A13213" t="s">
        <v>8</v>
      </c>
      <c r="B13213" s="1" t="str">
        <f>"000027961 - RICHS-IKEA"</f>
        <v>000027961 - RICHS-IKEA</v>
      </c>
      <c r="C13213" t="s">
        <v>463</v>
      </c>
      <c r="D13213" s="1" t="str">
        <f t="shared" ref="D13213:D13245" si="364">"PRG-1039574"</f>
        <v>PRG-1039574</v>
      </c>
      <c r="E13213" t="s">
        <v>464</v>
      </c>
      <c r="F13213" t="s">
        <v>4</v>
      </c>
      <c r="G13213" t="str">
        <f>""</f>
        <v/>
      </c>
    </row>
    <row r="13214" spans="1:7" x14ac:dyDescent="0.25">
      <c r="A13214" t="s">
        <v>8</v>
      </c>
      <c r="B13214" s="1" t="str">
        <f>"000029507 - RICHS-IKEA"</f>
        <v>000029507 - RICHS-IKEA</v>
      </c>
      <c r="C13214" t="s">
        <v>463</v>
      </c>
      <c r="D13214" s="1" t="str">
        <f t="shared" si="364"/>
        <v>PRG-1039574</v>
      </c>
      <c r="E13214" t="s">
        <v>464</v>
      </c>
      <c r="F13214" t="s">
        <v>4</v>
      </c>
      <c r="G13214" t="str">
        <f>""</f>
        <v/>
      </c>
    </row>
    <row r="13215" spans="1:7" x14ac:dyDescent="0.25">
      <c r="A13215" t="s">
        <v>8</v>
      </c>
      <c r="B13215" s="1" t="str">
        <f>"000043726 - RICHS-IKEA"</f>
        <v>000043726 - RICHS-IKEA</v>
      </c>
      <c r="C13215" t="s">
        <v>463</v>
      </c>
      <c r="D13215" s="1" t="str">
        <f t="shared" si="364"/>
        <v>PRG-1039574</v>
      </c>
      <c r="E13215" t="s">
        <v>464</v>
      </c>
      <c r="F13215" t="s">
        <v>4</v>
      </c>
      <c r="G13215" t="str">
        <f>""</f>
        <v/>
      </c>
    </row>
    <row r="13216" spans="1:7" x14ac:dyDescent="0.25">
      <c r="A13216" t="s">
        <v>8</v>
      </c>
      <c r="B13216" s="1" t="str">
        <f>"000071121 - RICHS-IKEA"</f>
        <v>000071121 - RICHS-IKEA</v>
      </c>
      <c r="C13216" t="s">
        <v>463</v>
      </c>
      <c r="D13216" s="1" t="str">
        <f t="shared" si="364"/>
        <v>PRG-1039574</v>
      </c>
      <c r="E13216" t="s">
        <v>464</v>
      </c>
      <c r="F13216" t="s">
        <v>4</v>
      </c>
      <c r="G13216" t="str">
        <f>""</f>
        <v/>
      </c>
    </row>
    <row r="13217" spans="1:7" x14ac:dyDescent="0.25">
      <c r="A13217" t="s">
        <v>8</v>
      </c>
      <c r="B13217" s="1" t="str">
        <f>"000084965 - RICHS-IKEA"</f>
        <v>000084965 - RICHS-IKEA</v>
      </c>
      <c r="C13217" t="s">
        <v>463</v>
      </c>
      <c r="D13217" s="1" t="str">
        <f t="shared" si="364"/>
        <v>PRG-1039574</v>
      </c>
      <c r="E13217" t="s">
        <v>464</v>
      </c>
      <c r="F13217" t="s">
        <v>4</v>
      </c>
      <c r="G13217" t="str">
        <f>""</f>
        <v/>
      </c>
    </row>
    <row r="13218" spans="1:7" x14ac:dyDescent="0.25">
      <c r="A13218" t="s">
        <v>8</v>
      </c>
      <c r="B13218" s="1" t="str">
        <f>"000232861 - RICHS-IKEA"</f>
        <v>000232861 - RICHS-IKEA</v>
      </c>
      <c r="C13218" t="s">
        <v>463</v>
      </c>
      <c r="D13218" s="1" t="str">
        <f t="shared" si="364"/>
        <v>PRG-1039574</v>
      </c>
      <c r="E13218" t="s">
        <v>464</v>
      </c>
      <c r="F13218" t="s">
        <v>4</v>
      </c>
      <c r="G13218" t="str">
        <f>""</f>
        <v/>
      </c>
    </row>
    <row r="13219" spans="1:7" x14ac:dyDescent="0.25">
      <c r="A13219" t="s">
        <v>8</v>
      </c>
      <c r="B13219" s="1" t="str">
        <f>"000240955 - RICHS-IKEA"</f>
        <v>000240955 - RICHS-IKEA</v>
      </c>
      <c r="C13219" t="s">
        <v>463</v>
      </c>
      <c r="D13219" s="1" t="str">
        <f t="shared" si="364"/>
        <v>PRG-1039574</v>
      </c>
      <c r="E13219" t="s">
        <v>464</v>
      </c>
      <c r="F13219" t="s">
        <v>4</v>
      </c>
      <c r="G13219" t="str">
        <f>""</f>
        <v/>
      </c>
    </row>
    <row r="13220" spans="1:7" x14ac:dyDescent="0.25">
      <c r="A13220" t="s">
        <v>8</v>
      </c>
      <c r="B13220" s="1" t="str">
        <f>"000247088 - RICHS-IKEA"</f>
        <v>000247088 - RICHS-IKEA</v>
      </c>
      <c r="C13220" t="s">
        <v>463</v>
      </c>
      <c r="D13220" s="1" t="str">
        <f t="shared" si="364"/>
        <v>PRG-1039574</v>
      </c>
      <c r="E13220" t="s">
        <v>464</v>
      </c>
      <c r="F13220" t="s">
        <v>4</v>
      </c>
      <c r="G13220" t="str">
        <f>""</f>
        <v/>
      </c>
    </row>
    <row r="13221" spans="1:7" x14ac:dyDescent="0.25">
      <c r="A13221" t="s">
        <v>8</v>
      </c>
      <c r="B13221" s="1" t="str">
        <f>"000256689 - RICHS-IKEA"</f>
        <v>000256689 - RICHS-IKEA</v>
      </c>
      <c r="C13221" t="s">
        <v>463</v>
      </c>
      <c r="D13221" s="1" t="str">
        <f t="shared" si="364"/>
        <v>PRG-1039574</v>
      </c>
      <c r="E13221" t="s">
        <v>464</v>
      </c>
      <c r="F13221" t="s">
        <v>4</v>
      </c>
      <c r="G13221" t="str">
        <f>""</f>
        <v/>
      </c>
    </row>
    <row r="13222" spans="1:7" x14ac:dyDescent="0.25">
      <c r="A13222" t="s">
        <v>8</v>
      </c>
      <c r="B13222" s="1" t="str">
        <f>"000263805 - RICHS-IKEA"</f>
        <v>000263805 - RICHS-IKEA</v>
      </c>
      <c r="C13222" t="s">
        <v>463</v>
      </c>
      <c r="D13222" s="1" t="str">
        <f t="shared" si="364"/>
        <v>PRG-1039574</v>
      </c>
      <c r="E13222" t="s">
        <v>464</v>
      </c>
      <c r="F13222" t="s">
        <v>4</v>
      </c>
      <c r="G13222" t="str">
        <f>""</f>
        <v/>
      </c>
    </row>
    <row r="13223" spans="1:7" x14ac:dyDescent="0.25">
      <c r="A13223" t="s">
        <v>8</v>
      </c>
      <c r="B13223" s="1" t="str">
        <f>"000272246 - RICHS-IKEA"</f>
        <v>000272246 - RICHS-IKEA</v>
      </c>
      <c r="C13223" t="s">
        <v>463</v>
      </c>
      <c r="D13223" s="1" t="str">
        <f t="shared" si="364"/>
        <v>PRG-1039574</v>
      </c>
      <c r="E13223" t="s">
        <v>464</v>
      </c>
      <c r="F13223" t="s">
        <v>4</v>
      </c>
      <c r="G13223" t="str">
        <f>""</f>
        <v/>
      </c>
    </row>
    <row r="13224" spans="1:7" x14ac:dyDescent="0.25">
      <c r="A13224" t="s">
        <v>8</v>
      </c>
      <c r="B13224" s="1" t="str">
        <f>"000279523 - RICHS-IKEA"</f>
        <v>000279523 - RICHS-IKEA</v>
      </c>
      <c r="C13224" t="s">
        <v>463</v>
      </c>
      <c r="D13224" s="1" t="str">
        <f t="shared" si="364"/>
        <v>PRG-1039574</v>
      </c>
      <c r="E13224" t="s">
        <v>464</v>
      </c>
      <c r="F13224" t="s">
        <v>4</v>
      </c>
      <c r="G13224" t="str">
        <f>""</f>
        <v/>
      </c>
    </row>
    <row r="13225" spans="1:7" x14ac:dyDescent="0.25">
      <c r="A13225" t="s">
        <v>8</v>
      </c>
      <c r="B13225" s="1" t="str">
        <f>"000282227 - RICHS-IKEA"</f>
        <v>000282227 - RICHS-IKEA</v>
      </c>
      <c r="C13225" t="s">
        <v>463</v>
      </c>
      <c r="D13225" s="1" t="str">
        <f t="shared" si="364"/>
        <v>PRG-1039574</v>
      </c>
      <c r="E13225" t="s">
        <v>464</v>
      </c>
      <c r="F13225" t="s">
        <v>4</v>
      </c>
      <c r="G13225" t="str">
        <f>""</f>
        <v/>
      </c>
    </row>
    <row r="13226" spans="1:7" x14ac:dyDescent="0.25">
      <c r="A13226" t="s">
        <v>8</v>
      </c>
      <c r="B13226" s="1" t="str">
        <f>"000294143 - RICHS-IKEA"</f>
        <v>000294143 - RICHS-IKEA</v>
      </c>
      <c r="C13226" t="s">
        <v>463</v>
      </c>
      <c r="D13226" s="1" t="str">
        <f t="shared" si="364"/>
        <v>PRG-1039574</v>
      </c>
      <c r="E13226" t="s">
        <v>464</v>
      </c>
      <c r="F13226" t="s">
        <v>4</v>
      </c>
      <c r="G13226" t="str">
        <f>""</f>
        <v/>
      </c>
    </row>
    <row r="13227" spans="1:7" x14ac:dyDescent="0.25">
      <c r="A13227" t="s">
        <v>8</v>
      </c>
      <c r="B13227" s="1" t="str">
        <f>"000299768 - RICHS-IKEA"</f>
        <v>000299768 - RICHS-IKEA</v>
      </c>
      <c r="C13227" t="s">
        <v>463</v>
      </c>
      <c r="D13227" s="1" t="str">
        <f t="shared" si="364"/>
        <v>PRG-1039574</v>
      </c>
      <c r="E13227" t="s">
        <v>464</v>
      </c>
      <c r="F13227" t="s">
        <v>4</v>
      </c>
      <c r="G13227" t="str">
        <f>""</f>
        <v/>
      </c>
    </row>
    <row r="13228" spans="1:7" x14ac:dyDescent="0.25">
      <c r="A13228" t="s">
        <v>8</v>
      </c>
      <c r="B13228" s="1" t="str">
        <f>"000309302 - RICHS-IKEA"</f>
        <v>000309302 - RICHS-IKEA</v>
      </c>
      <c r="C13228" t="s">
        <v>463</v>
      </c>
      <c r="D13228" s="1" t="str">
        <f t="shared" si="364"/>
        <v>PRG-1039574</v>
      </c>
      <c r="E13228" t="s">
        <v>464</v>
      </c>
      <c r="F13228" t="s">
        <v>4</v>
      </c>
      <c r="G13228" t="str">
        <f>""</f>
        <v/>
      </c>
    </row>
    <row r="13229" spans="1:7" x14ac:dyDescent="0.25">
      <c r="A13229" t="s">
        <v>8</v>
      </c>
      <c r="B13229" s="1" t="str">
        <f>"000324478 - RICHS-IKEA"</f>
        <v>000324478 - RICHS-IKEA</v>
      </c>
      <c r="C13229" t="s">
        <v>463</v>
      </c>
      <c r="D13229" s="1" t="str">
        <f t="shared" si="364"/>
        <v>PRG-1039574</v>
      </c>
      <c r="E13229" t="s">
        <v>464</v>
      </c>
      <c r="F13229" t="s">
        <v>4</v>
      </c>
      <c r="G13229" t="str">
        <f>""</f>
        <v/>
      </c>
    </row>
    <row r="13230" spans="1:7" x14ac:dyDescent="0.25">
      <c r="A13230" t="s">
        <v>8</v>
      </c>
      <c r="B13230" s="1" t="str">
        <f>"000338717 - RICHS-IKEA"</f>
        <v>000338717 - RICHS-IKEA</v>
      </c>
      <c r="C13230" t="s">
        <v>463</v>
      </c>
      <c r="D13230" s="1" t="str">
        <f t="shared" si="364"/>
        <v>PRG-1039574</v>
      </c>
      <c r="E13230" t="s">
        <v>464</v>
      </c>
      <c r="F13230" t="s">
        <v>4</v>
      </c>
      <c r="G13230" t="str">
        <f>""</f>
        <v/>
      </c>
    </row>
    <row r="13231" spans="1:7" x14ac:dyDescent="0.25">
      <c r="A13231" t="s">
        <v>8</v>
      </c>
      <c r="B13231" s="1" t="str">
        <f>"000348610 - RICHS-IKEA"</f>
        <v>000348610 - RICHS-IKEA</v>
      </c>
      <c r="C13231" t="s">
        <v>463</v>
      </c>
      <c r="D13231" s="1" t="str">
        <f t="shared" si="364"/>
        <v>PRG-1039574</v>
      </c>
      <c r="E13231" t="s">
        <v>464</v>
      </c>
      <c r="F13231" t="s">
        <v>4</v>
      </c>
      <c r="G13231" t="str">
        <f>""</f>
        <v/>
      </c>
    </row>
    <row r="13232" spans="1:7" x14ac:dyDescent="0.25">
      <c r="A13232" t="s">
        <v>8</v>
      </c>
      <c r="B13232" s="1" t="str">
        <f>"000352881 - RICHS-IKEA"</f>
        <v>000352881 - RICHS-IKEA</v>
      </c>
      <c r="C13232" t="s">
        <v>463</v>
      </c>
      <c r="D13232" s="1" t="str">
        <f t="shared" si="364"/>
        <v>PRG-1039574</v>
      </c>
      <c r="E13232" t="s">
        <v>464</v>
      </c>
      <c r="F13232" t="s">
        <v>4</v>
      </c>
      <c r="G13232" t="str">
        <f>""</f>
        <v/>
      </c>
    </row>
    <row r="13233" spans="1:7" x14ac:dyDescent="0.25">
      <c r="A13233" t="s">
        <v>8</v>
      </c>
      <c r="B13233" s="1" t="str">
        <f>"000355193 - RICHS-IKEA"</f>
        <v>000355193 - RICHS-IKEA</v>
      </c>
      <c r="C13233" t="s">
        <v>463</v>
      </c>
      <c r="D13233" s="1" t="str">
        <f t="shared" si="364"/>
        <v>PRG-1039574</v>
      </c>
      <c r="E13233" t="s">
        <v>464</v>
      </c>
      <c r="F13233" t="s">
        <v>4</v>
      </c>
      <c r="G13233" t="str">
        <f>""</f>
        <v/>
      </c>
    </row>
    <row r="13234" spans="1:7" x14ac:dyDescent="0.25">
      <c r="A13234" t="s">
        <v>8</v>
      </c>
      <c r="B13234" s="1" t="str">
        <f>"000359743 - RICHS-IKEA"</f>
        <v>000359743 - RICHS-IKEA</v>
      </c>
      <c r="C13234" t="s">
        <v>463</v>
      </c>
      <c r="D13234" s="1" t="str">
        <f t="shared" si="364"/>
        <v>PRG-1039574</v>
      </c>
      <c r="E13234" t="s">
        <v>464</v>
      </c>
      <c r="F13234" t="s">
        <v>4</v>
      </c>
      <c r="G13234" t="str">
        <f>""</f>
        <v/>
      </c>
    </row>
    <row r="13235" spans="1:7" x14ac:dyDescent="0.25">
      <c r="A13235" t="s">
        <v>8</v>
      </c>
      <c r="B13235" s="1" t="str">
        <f>"000360137 - RICHS-IKEA"</f>
        <v>000360137 - RICHS-IKEA</v>
      </c>
      <c r="C13235" t="s">
        <v>463</v>
      </c>
      <c r="D13235" s="1" t="str">
        <f t="shared" si="364"/>
        <v>PRG-1039574</v>
      </c>
      <c r="E13235" t="s">
        <v>464</v>
      </c>
      <c r="F13235" t="s">
        <v>4</v>
      </c>
      <c r="G13235" t="str">
        <f>""</f>
        <v/>
      </c>
    </row>
    <row r="13236" spans="1:7" x14ac:dyDescent="0.25">
      <c r="A13236" t="s">
        <v>8</v>
      </c>
      <c r="B13236" s="1" t="str">
        <f>"000370021 - RICHS-IKEA"</f>
        <v>000370021 - RICHS-IKEA</v>
      </c>
      <c r="C13236" t="s">
        <v>463</v>
      </c>
      <c r="D13236" s="1" t="str">
        <f t="shared" si="364"/>
        <v>PRG-1039574</v>
      </c>
      <c r="E13236" t="s">
        <v>464</v>
      </c>
      <c r="F13236" t="s">
        <v>4</v>
      </c>
      <c r="G13236" t="str">
        <f>""</f>
        <v/>
      </c>
    </row>
    <row r="13237" spans="1:7" x14ac:dyDescent="0.25">
      <c r="A13237" t="s">
        <v>8</v>
      </c>
      <c r="B13237" s="1" t="str">
        <f>"000370348 - RICHS-IKEA"</f>
        <v>000370348 - RICHS-IKEA</v>
      </c>
      <c r="C13237" t="s">
        <v>463</v>
      </c>
      <c r="D13237" s="1" t="str">
        <f t="shared" si="364"/>
        <v>PRG-1039574</v>
      </c>
      <c r="E13237" t="s">
        <v>464</v>
      </c>
      <c r="F13237" t="s">
        <v>4</v>
      </c>
      <c r="G13237" t="str">
        <f>""</f>
        <v/>
      </c>
    </row>
    <row r="13238" spans="1:7" x14ac:dyDescent="0.25">
      <c r="A13238" t="s">
        <v>8</v>
      </c>
      <c r="B13238" s="1" t="str">
        <f>"000371199 - RICHS-IKEA"</f>
        <v>000371199 - RICHS-IKEA</v>
      </c>
      <c r="C13238" t="s">
        <v>463</v>
      </c>
      <c r="D13238" s="1" t="str">
        <f t="shared" si="364"/>
        <v>PRG-1039574</v>
      </c>
      <c r="E13238" t="s">
        <v>464</v>
      </c>
      <c r="F13238" t="s">
        <v>4</v>
      </c>
      <c r="G13238" t="str">
        <f>""</f>
        <v/>
      </c>
    </row>
    <row r="13239" spans="1:7" x14ac:dyDescent="0.25">
      <c r="A13239" t="s">
        <v>8</v>
      </c>
      <c r="B13239" s="1" t="str">
        <f>"000375614 - RICHS-IKEA"</f>
        <v>000375614 - RICHS-IKEA</v>
      </c>
      <c r="C13239" t="s">
        <v>463</v>
      </c>
      <c r="D13239" s="1" t="str">
        <f t="shared" si="364"/>
        <v>PRG-1039574</v>
      </c>
      <c r="E13239" t="s">
        <v>464</v>
      </c>
      <c r="F13239" t="s">
        <v>4</v>
      </c>
      <c r="G13239" t="str">
        <f>""</f>
        <v/>
      </c>
    </row>
    <row r="13240" spans="1:7" x14ac:dyDescent="0.25">
      <c r="A13240" t="s">
        <v>8</v>
      </c>
      <c r="B13240" s="1" t="str">
        <f>"000376674 - RICHS-IKEA"</f>
        <v>000376674 - RICHS-IKEA</v>
      </c>
      <c r="C13240" t="s">
        <v>463</v>
      </c>
      <c r="D13240" s="1" t="str">
        <f t="shared" si="364"/>
        <v>PRG-1039574</v>
      </c>
      <c r="E13240" t="s">
        <v>464</v>
      </c>
      <c r="F13240" t="s">
        <v>4</v>
      </c>
      <c r="G13240" t="str">
        <f>""</f>
        <v/>
      </c>
    </row>
    <row r="13241" spans="1:7" x14ac:dyDescent="0.25">
      <c r="A13241" t="s">
        <v>8</v>
      </c>
      <c r="B13241" s="1" t="str">
        <f>"000381367 - RICHS-IKEA"</f>
        <v>000381367 - RICHS-IKEA</v>
      </c>
      <c r="C13241" t="s">
        <v>463</v>
      </c>
      <c r="D13241" s="1" t="str">
        <f t="shared" si="364"/>
        <v>PRG-1039574</v>
      </c>
      <c r="E13241" t="s">
        <v>464</v>
      </c>
      <c r="F13241" t="s">
        <v>4</v>
      </c>
      <c r="G13241" t="str">
        <f>""</f>
        <v/>
      </c>
    </row>
    <row r="13242" spans="1:7" x14ac:dyDescent="0.25">
      <c r="A13242" t="s">
        <v>8</v>
      </c>
      <c r="B13242" s="1" t="str">
        <f>"000386851 - RICHS-IKEA"</f>
        <v>000386851 - RICHS-IKEA</v>
      </c>
      <c r="C13242" t="s">
        <v>463</v>
      </c>
      <c r="D13242" s="1" t="str">
        <f t="shared" si="364"/>
        <v>PRG-1039574</v>
      </c>
      <c r="E13242" t="s">
        <v>464</v>
      </c>
      <c r="F13242" t="s">
        <v>4</v>
      </c>
      <c r="G13242" t="str">
        <f>""</f>
        <v/>
      </c>
    </row>
    <row r="13243" spans="1:7" x14ac:dyDescent="0.25">
      <c r="A13243" t="s">
        <v>8</v>
      </c>
      <c r="B13243" s="1" t="str">
        <f>"000396638 - RICHS-IKEA"</f>
        <v>000396638 - RICHS-IKEA</v>
      </c>
      <c r="C13243" t="s">
        <v>463</v>
      </c>
      <c r="D13243" s="1" t="str">
        <f t="shared" si="364"/>
        <v>PRG-1039574</v>
      </c>
      <c r="E13243" t="s">
        <v>464</v>
      </c>
      <c r="F13243" t="s">
        <v>4</v>
      </c>
      <c r="G13243" t="str">
        <f>""</f>
        <v/>
      </c>
    </row>
    <row r="13244" spans="1:7" x14ac:dyDescent="0.25">
      <c r="A13244" t="s">
        <v>8</v>
      </c>
      <c r="B13244" s="1" t="str">
        <f>"000402235 - RICHS-IKEA"</f>
        <v>000402235 - RICHS-IKEA</v>
      </c>
      <c r="C13244" t="s">
        <v>463</v>
      </c>
      <c r="D13244" s="1" t="str">
        <f t="shared" si="364"/>
        <v>PRG-1039574</v>
      </c>
      <c r="E13244" t="s">
        <v>464</v>
      </c>
      <c r="F13244" t="s">
        <v>4</v>
      </c>
      <c r="G13244" t="str">
        <f>""</f>
        <v/>
      </c>
    </row>
    <row r="13245" spans="1:7" x14ac:dyDescent="0.25">
      <c r="A13245" t="s">
        <v>8</v>
      </c>
      <c r="B13245" s="1" t="str">
        <f>"000419965 - RICHS-IKEA"</f>
        <v>000419965 - RICHS-IKEA</v>
      </c>
      <c r="C13245" t="s">
        <v>463</v>
      </c>
      <c r="D13245" s="1" t="str">
        <f t="shared" si="364"/>
        <v>PRG-1039574</v>
      </c>
      <c r="E13245" t="s">
        <v>464</v>
      </c>
      <c r="F13245" t="s">
        <v>4</v>
      </c>
      <c r="G13245" t="str">
        <f>""</f>
        <v/>
      </c>
    </row>
    <row r="13246" spans="1:7" x14ac:dyDescent="0.25">
      <c r="A13246" t="s">
        <v>8</v>
      </c>
      <c r="B13246" s="1" t="str">
        <f>"000287957 - RICHS CC-GREECE SCHOOLS"</f>
        <v>000287957 - RICHS CC-GREECE SCHOOLS</v>
      </c>
      <c r="C13246" t="s">
        <v>2772</v>
      </c>
      <c r="D13246" s="1" t="str">
        <f>"PRG-1039604"</f>
        <v>PRG-1039604</v>
      </c>
      <c r="E13246" t="s">
        <v>2773</v>
      </c>
      <c r="F13246" t="s">
        <v>4</v>
      </c>
      <c r="G13246" t="str">
        <f>""</f>
        <v/>
      </c>
    </row>
    <row r="13247" spans="1:7" x14ac:dyDescent="0.25">
      <c r="A13247" t="s">
        <v>8</v>
      </c>
      <c r="B13247" s="1" t="str">
        <f>"000307358 - RICHS CC-GREECE SCHOOLS"</f>
        <v>000307358 - RICHS CC-GREECE SCHOOLS</v>
      </c>
      <c r="C13247" t="s">
        <v>2772</v>
      </c>
      <c r="D13247" s="1" t="str">
        <f>"PRG-1039604"</f>
        <v>PRG-1039604</v>
      </c>
      <c r="E13247" t="s">
        <v>2773</v>
      </c>
      <c r="F13247" t="s">
        <v>4</v>
      </c>
      <c r="G13247" t="str">
        <f>""</f>
        <v/>
      </c>
    </row>
    <row r="13248" spans="1:7" x14ac:dyDescent="0.25">
      <c r="A13248" t="s">
        <v>8</v>
      </c>
      <c r="B13248" s="1" t="str">
        <f>"S9U00MV0"</f>
        <v>S9U00MV0</v>
      </c>
      <c r="C13248" t="s">
        <v>6380</v>
      </c>
      <c r="D13248" s="1" t="str">
        <f>"PRG-1039644"</f>
        <v>PRG-1039644</v>
      </c>
      <c r="E13248" t="s">
        <v>6381</v>
      </c>
      <c r="F13248" t="s">
        <v>5</v>
      </c>
      <c r="G13248" t="str">
        <f>""</f>
        <v/>
      </c>
    </row>
    <row r="13249" spans="1:7" x14ac:dyDescent="0.25">
      <c r="A13249" t="s">
        <v>8</v>
      </c>
      <c r="B13249" s="1" t="str">
        <f>"000330934 - RICH PRODUCTS  CVBG FROZEN"</f>
        <v>000330934 - RICH PRODUCTS  CVBG FROZEN</v>
      </c>
      <c r="C13249" t="s">
        <v>3343</v>
      </c>
      <c r="D13249" s="1" t="str">
        <f>"PRG-1039653"</f>
        <v>PRG-1039653</v>
      </c>
      <c r="E13249" t="s">
        <v>3344</v>
      </c>
      <c r="F13249" t="s">
        <v>4</v>
      </c>
      <c r="G13249" t="str">
        <f>""</f>
        <v/>
      </c>
    </row>
    <row r="13250" spans="1:7" x14ac:dyDescent="0.25">
      <c r="A13250" t="s">
        <v>8</v>
      </c>
      <c r="B13250" s="1" t="str">
        <f>"000013470 - CASA DIBRITACHI PROTEIN-ARAMAR"</f>
        <v>000013470 - CASA DIBRITACHI PROTEIN-ARAMAR</v>
      </c>
      <c r="C13250" t="s">
        <v>330</v>
      </c>
      <c r="D13250" s="1" t="str">
        <f t="shared" ref="D13250:D13281" si="365">"PRG-1039721"</f>
        <v>PRG-1039721</v>
      </c>
      <c r="E13250" t="s">
        <v>347</v>
      </c>
      <c r="F13250" t="s">
        <v>4</v>
      </c>
      <c r="G13250" t="str">
        <f>""</f>
        <v/>
      </c>
    </row>
    <row r="13251" spans="1:7" x14ac:dyDescent="0.25">
      <c r="A13251" t="s">
        <v>8</v>
      </c>
      <c r="B13251" s="1" t="str">
        <f>"000015638 - CASA DIBRITACHI PROTEIN-ARMARK"</f>
        <v>000015638 - CASA DIBRITACHI PROTEIN-ARMARK</v>
      </c>
      <c r="C13251" t="s">
        <v>246</v>
      </c>
      <c r="D13251" s="1" t="str">
        <f t="shared" si="365"/>
        <v>PRG-1039721</v>
      </c>
      <c r="E13251" t="s">
        <v>347</v>
      </c>
      <c r="F13251" t="s">
        <v>4</v>
      </c>
      <c r="G13251" t="str">
        <f>""</f>
        <v/>
      </c>
    </row>
    <row r="13252" spans="1:7" x14ac:dyDescent="0.25">
      <c r="A13252" t="s">
        <v>8</v>
      </c>
      <c r="B13252" s="1" t="str">
        <f>"000017669 - CASA DIBRITACHI PROTEIN-ARMARK"</f>
        <v>000017669 - CASA DIBRITACHI PROTEIN-ARMARK</v>
      </c>
      <c r="C13252" t="s">
        <v>246</v>
      </c>
      <c r="D13252" s="1" t="str">
        <f t="shared" si="365"/>
        <v>PRG-1039721</v>
      </c>
      <c r="E13252" t="s">
        <v>347</v>
      </c>
      <c r="F13252" t="s">
        <v>4</v>
      </c>
      <c r="G13252" t="str">
        <f>""</f>
        <v/>
      </c>
    </row>
    <row r="13253" spans="1:7" x14ac:dyDescent="0.25">
      <c r="A13253" t="s">
        <v>8</v>
      </c>
      <c r="B13253" s="1" t="str">
        <f>"000021226 - CASA DIBRITACHI PROTEIN-ARAMAR"</f>
        <v>000021226 - CASA DIBRITACHI PROTEIN-ARAMAR</v>
      </c>
      <c r="C13253" t="s">
        <v>330</v>
      </c>
      <c r="D13253" s="1" t="str">
        <f t="shared" si="365"/>
        <v>PRG-1039721</v>
      </c>
      <c r="E13253" t="s">
        <v>347</v>
      </c>
      <c r="F13253" t="s">
        <v>4</v>
      </c>
      <c r="G13253" t="str">
        <f>""</f>
        <v/>
      </c>
    </row>
    <row r="13254" spans="1:7" x14ac:dyDescent="0.25">
      <c r="A13254" t="s">
        <v>8</v>
      </c>
      <c r="B13254" s="1" t="str">
        <f>"000024566 - CASA DIBRITACHI PROTEIN-ARMARK"</f>
        <v>000024566 - CASA DIBRITACHI PROTEIN-ARMARK</v>
      </c>
      <c r="C13254" t="s">
        <v>246</v>
      </c>
      <c r="D13254" s="1" t="str">
        <f t="shared" si="365"/>
        <v>PRG-1039721</v>
      </c>
      <c r="E13254" t="s">
        <v>347</v>
      </c>
      <c r="F13254" t="s">
        <v>4</v>
      </c>
      <c r="G13254" t="str">
        <f>""</f>
        <v/>
      </c>
    </row>
    <row r="13255" spans="1:7" x14ac:dyDescent="0.25">
      <c r="A13255" t="s">
        <v>8</v>
      </c>
      <c r="B13255" s="1" t="str">
        <f>"000028500 - CASA DIBRITACHI PROTEIN-ARMARK"</f>
        <v>000028500 - CASA DIBRITACHI PROTEIN-ARMARK</v>
      </c>
      <c r="C13255" t="s">
        <v>246</v>
      </c>
      <c r="D13255" s="1" t="str">
        <f t="shared" si="365"/>
        <v>PRG-1039721</v>
      </c>
      <c r="E13255" t="s">
        <v>347</v>
      </c>
      <c r="F13255" t="s">
        <v>4</v>
      </c>
      <c r="G13255" t="str">
        <f>""</f>
        <v/>
      </c>
    </row>
    <row r="13256" spans="1:7" x14ac:dyDescent="0.25">
      <c r="A13256" t="s">
        <v>8</v>
      </c>
      <c r="B13256" s="1" t="str">
        <f>"000029527 - CASA DIBRITACHI PROTEIN-ARMARK"</f>
        <v>000029527 - CASA DIBRITACHI PROTEIN-ARMARK</v>
      </c>
      <c r="C13256" t="s">
        <v>246</v>
      </c>
      <c r="D13256" s="1" t="str">
        <f t="shared" si="365"/>
        <v>PRG-1039721</v>
      </c>
      <c r="E13256" t="s">
        <v>347</v>
      </c>
      <c r="F13256" t="s">
        <v>4</v>
      </c>
      <c r="G13256" t="str">
        <f>""</f>
        <v/>
      </c>
    </row>
    <row r="13257" spans="1:7" x14ac:dyDescent="0.25">
      <c r="A13257" t="s">
        <v>8</v>
      </c>
      <c r="B13257" s="1" t="str">
        <f>"000031159 - CASA DIBRITACHI PROTEIN-ARAMAR"</f>
        <v>000031159 - CASA DIBRITACHI PROTEIN-ARAMAR</v>
      </c>
      <c r="C13257" t="s">
        <v>330</v>
      </c>
      <c r="D13257" s="1" t="str">
        <f t="shared" si="365"/>
        <v>PRG-1039721</v>
      </c>
      <c r="E13257" t="s">
        <v>347</v>
      </c>
      <c r="F13257" t="s">
        <v>4</v>
      </c>
      <c r="G13257" t="str">
        <f>""</f>
        <v/>
      </c>
    </row>
    <row r="13258" spans="1:7" x14ac:dyDescent="0.25">
      <c r="A13258" t="s">
        <v>8</v>
      </c>
      <c r="B13258" s="1" t="str">
        <f>"000032627 - CASA DIBRITACHI PROTEIN-ARMARK"</f>
        <v>000032627 - CASA DIBRITACHI PROTEIN-ARMARK</v>
      </c>
      <c r="C13258" t="s">
        <v>246</v>
      </c>
      <c r="D13258" s="1" t="str">
        <f t="shared" si="365"/>
        <v>PRG-1039721</v>
      </c>
      <c r="E13258" t="s">
        <v>347</v>
      </c>
      <c r="F13258" t="s">
        <v>4</v>
      </c>
      <c r="G13258" t="str">
        <f>""</f>
        <v/>
      </c>
    </row>
    <row r="13259" spans="1:7" x14ac:dyDescent="0.25">
      <c r="A13259" t="s">
        <v>8</v>
      </c>
      <c r="B13259" s="1" t="str">
        <f>"000037753 - CASA DEIBERTACCHI-SSS ARAMARK"</f>
        <v>000037753 - CASA DEIBERTACCHI-SSS ARAMARK</v>
      </c>
      <c r="C13259" t="s">
        <v>465</v>
      </c>
      <c r="D13259" s="1" t="str">
        <f t="shared" si="365"/>
        <v>PRG-1039721</v>
      </c>
      <c r="E13259" t="s">
        <v>347</v>
      </c>
      <c r="F13259" t="s">
        <v>4</v>
      </c>
      <c r="G13259" t="str">
        <f>""</f>
        <v/>
      </c>
    </row>
    <row r="13260" spans="1:7" x14ac:dyDescent="0.25">
      <c r="A13260" t="s">
        <v>8</v>
      </c>
      <c r="B13260" s="1" t="str">
        <f>"000068157 - CASA DIBERTACCHI-SSS ARAMARK"</f>
        <v>000068157 - CASA DIBERTACCHI-SSS ARAMARK</v>
      </c>
      <c r="C13260" t="s">
        <v>150</v>
      </c>
      <c r="D13260" s="1" t="str">
        <f t="shared" si="365"/>
        <v>PRG-1039721</v>
      </c>
      <c r="E13260" t="s">
        <v>347</v>
      </c>
      <c r="F13260" t="s">
        <v>4</v>
      </c>
      <c r="G13260" t="str">
        <f>""</f>
        <v/>
      </c>
    </row>
    <row r="13261" spans="1:7" x14ac:dyDescent="0.25">
      <c r="A13261" t="s">
        <v>8</v>
      </c>
      <c r="B13261" s="1" t="str">
        <f>"000073439 - CASA DIBRITACHI PROTEIN-ARMARK"</f>
        <v>000073439 - CASA DIBRITACHI PROTEIN-ARMARK</v>
      </c>
      <c r="C13261" t="s">
        <v>246</v>
      </c>
      <c r="D13261" s="1" t="str">
        <f t="shared" si="365"/>
        <v>PRG-1039721</v>
      </c>
      <c r="E13261" t="s">
        <v>347</v>
      </c>
      <c r="F13261" t="s">
        <v>4</v>
      </c>
      <c r="G13261" t="str">
        <f>""</f>
        <v/>
      </c>
    </row>
    <row r="13262" spans="1:7" x14ac:dyDescent="0.25">
      <c r="A13262" t="s">
        <v>8</v>
      </c>
      <c r="B13262" s="1" t="str">
        <f>"000076008 - CASA DIBRITACHI PROTEIN-ARMARK"</f>
        <v>000076008 - CASA DIBRITACHI PROTEIN-ARMARK</v>
      </c>
      <c r="C13262" t="s">
        <v>246</v>
      </c>
      <c r="D13262" s="1" t="str">
        <f t="shared" si="365"/>
        <v>PRG-1039721</v>
      </c>
      <c r="E13262" t="s">
        <v>347</v>
      </c>
      <c r="F13262" t="s">
        <v>4</v>
      </c>
      <c r="G13262" t="str">
        <f>""</f>
        <v/>
      </c>
    </row>
    <row r="13263" spans="1:7" x14ac:dyDescent="0.25">
      <c r="A13263" t="s">
        <v>8</v>
      </c>
      <c r="B13263" s="1" t="str">
        <f>"000079567 - CASA DEIBERTACCHI-SSS ARAMARK"</f>
        <v>000079567 - CASA DEIBERTACCHI-SSS ARAMARK</v>
      </c>
      <c r="C13263" t="s">
        <v>465</v>
      </c>
      <c r="D13263" s="1" t="str">
        <f t="shared" si="365"/>
        <v>PRG-1039721</v>
      </c>
      <c r="E13263" t="s">
        <v>347</v>
      </c>
      <c r="F13263" t="s">
        <v>4</v>
      </c>
      <c r="G13263" t="str">
        <f>""</f>
        <v/>
      </c>
    </row>
    <row r="13264" spans="1:7" x14ac:dyDescent="0.25">
      <c r="A13264" t="s">
        <v>8</v>
      </c>
      <c r="B13264" s="1" t="str">
        <f>"000081024 - CASA DEIBERTACCHI-SSS ARAMARK"</f>
        <v>000081024 - CASA DEIBERTACCHI-SSS ARAMARK</v>
      </c>
      <c r="C13264" t="s">
        <v>465</v>
      </c>
      <c r="D13264" s="1" t="str">
        <f t="shared" si="365"/>
        <v>PRG-1039721</v>
      </c>
      <c r="E13264" t="s">
        <v>347</v>
      </c>
      <c r="F13264" t="s">
        <v>4</v>
      </c>
      <c r="G13264" t="str">
        <f>""</f>
        <v/>
      </c>
    </row>
    <row r="13265" spans="1:7" x14ac:dyDescent="0.25">
      <c r="A13265" t="s">
        <v>8</v>
      </c>
      <c r="B13265" s="1" t="str">
        <f>"000082769 - CASA DIBRITACHI PROTEIN-ARAMAR"</f>
        <v>000082769 - CASA DIBRITACHI PROTEIN-ARAMAR</v>
      </c>
      <c r="C13265" t="s">
        <v>330</v>
      </c>
      <c r="D13265" s="1" t="str">
        <f t="shared" si="365"/>
        <v>PRG-1039721</v>
      </c>
      <c r="E13265" t="s">
        <v>347</v>
      </c>
      <c r="F13265" t="s">
        <v>4</v>
      </c>
      <c r="G13265" t="str">
        <f>""</f>
        <v/>
      </c>
    </row>
    <row r="13266" spans="1:7" x14ac:dyDescent="0.25">
      <c r="A13266" t="s">
        <v>8</v>
      </c>
      <c r="B13266" s="1" t="str">
        <f>"000092231 - CASA DIBRITACHI PROTEIN-ARMARK"</f>
        <v>000092231 - CASA DIBRITACHI PROTEIN-ARMARK</v>
      </c>
      <c r="C13266" t="s">
        <v>246</v>
      </c>
      <c r="D13266" s="1" t="str">
        <f t="shared" si="365"/>
        <v>PRG-1039721</v>
      </c>
      <c r="E13266" t="s">
        <v>347</v>
      </c>
      <c r="F13266" t="s">
        <v>4</v>
      </c>
      <c r="G13266" t="str">
        <f>""</f>
        <v/>
      </c>
    </row>
    <row r="13267" spans="1:7" x14ac:dyDescent="0.25">
      <c r="A13267" t="s">
        <v>8</v>
      </c>
      <c r="B13267" s="1" t="str">
        <f>"000099476 - CASA DIBRITACHI PROTEIN-ARAMAR"</f>
        <v>000099476 - CASA DIBRITACHI PROTEIN-ARAMAR</v>
      </c>
      <c r="C13267" t="s">
        <v>330</v>
      </c>
      <c r="D13267" s="1" t="str">
        <f t="shared" si="365"/>
        <v>PRG-1039721</v>
      </c>
      <c r="E13267" t="s">
        <v>347</v>
      </c>
      <c r="F13267" t="s">
        <v>4</v>
      </c>
      <c r="G13267" t="str">
        <f>""</f>
        <v/>
      </c>
    </row>
    <row r="13268" spans="1:7" x14ac:dyDescent="0.25">
      <c r="A13268" t="s">
        <v>8</v>
      </c>
      <c r="B13268" s="1" t="str">
        <f>"000141303 - CASA DIBERTACCHI-SSS ARAMARK"</f>
        <v>000141303 - CASA DIBERTACCHI-SSS ARAMARK</v>
      </c>
      <c r="C13268" t="s">
        <v>150</v>
      </c>
      <c r="D13268" s="1" t="str">
        <f t="shared" si="365"/>
        <v>PRG-1039721</v>
      </c>
      <c r="E13268" t="s">
        <v>347</v>
      </c>
      <c r="F13268" t="s">
        <v>4</v>
      </c>
      <c r="G13268" t="str">
        <f>""</f>
        <v/>
      </c>
    </row>
    <row r="13269" spans="1:7" x14ac:dyDescent="0.25">
      <c r="A13269" t="s">
        <v>8</v>
      </c>
      <c r="B13269" s="1" t="str">
        <f>"000147107 - CASA DIBRITACHI PROTEIN-ARMARK"</f>
        <v>000147107 - CASA DIBRITACHI PROTEIN-ARMARK</v>
      </c>
      <c r="C13269" t="s">
        <v>246</v>
      </c>
      <c r="D13269" s="1" t="str">
        <f t="shared" si="365"/>
        <v>PRG-1039721</v>
      </c>
      <c r="E13269" t="s">
        <v>347</v>
      </c>
      <c r="F13269" t="s">
        <v>4</v>
      </c>
      <c r="G13269" t="str">
        <f>""</f>
        <v/>
      </c>
    </row>
    <row r="13270" spans="1:7" x14ac:dyDescent="0.25">
      <c r="A13270" t="s">
        <v>8</v>
      </c>
      <c r="B13270" s="1" t="str">
        <f>"000147238 - CASA DIBRITACHI PROTEIN-ARMARK"</f>
        <v>000147238 - CASA DIBRITACHI PROTEIN-ARMARK</v>
      </c>
      <c r="C13270" t="s">
        <v>246</v>
      </c>
      <c r="D13270" s="1" t="str">
        <f t="shared" si="365"/>
        <v>PRG-1039721</v>
      </c>
      <c r="E13270" t="s">
        <v>347</v>
      </c>
      <c r="F13270" t="s">
        <v>4</v>
      </c>
      <c r="G13270" t="str">
        <f>""</f>
        <v/>
      </c>
    </row>
    <row r="13271" spans="1:7" x14ac:dyDescent="0.25">
      <c r="A13271" t="s">
        <v>8</v>
      </c>
      <c r="B13271" s="1" t="str">
        <f>"000149851 - CASA DEIBERTACCHI-SSS ARAMARK"</f>
        <v>000149851 - CASA DEIBERTACCHI-SSS ARAMARK</v>
      </c>
      <c r="C13271" t="s">
        <v>465</v>
      </c>
      <c r="D13271" s="1" t="str">
        <f t="shared" si="365"/>
        <v>PRG-1039721</v>
      </c>
      <c r="E13271" t="s">
        <v>347</v>
      </c>
      <c r="F13271" t="s">
        <v>4</v>
      </c>
      <c r="G13271" t="str">
        <f>""</f>
        <v/>
      </c>
    </row>
    <row r="13272" spans="1:7" x14ac:dyDescent="0.25">
      <c r="A13272" t="s">
        <v>8</v>
      </c>
      <c r="B13272" s="1" t="str">
        <f>"000152406 - CASA DIBRITACHI PROTEIN-ARAMAR"</f>
        <v>000152406 - CASA DIBRITACHI PROTEIN-ARAMAR</v>
      </c>
      <c r="C13272" t="s">
        <v>330</v>
      </c>
      <c r="D13272" s="1" t="str">
        <f t="shared" si="365"/>
        <v>PRG-1039721</v>
      </c>
      <c r="E13272" t="s">
        <v>347</v>
      </c>
      <c r="F13272" t="s">
        <v>4</v>
      </c>
      <c r="G13272" t="str">
        <f>""</f>
        <v/>
      </c>
    </row>
    <row r="13273" spans="1:7" x14ac:dyDescent="0.25">
      <c r="A13273" t="s">
        <v>8</v>
      </c>
      <c r="B13273" s="1" t="str">
        <f>"000153522 - CASA DIBRITACHI PROTEIN-ARAMAR"</f>
        <v>000153522 - CASA DIBRITACHI PROTEIN-ARAMAR</v>
      </c>
      <c r="C13273" t="s">
        <v>330</v>
      </c>
      <c r="D13273" s="1" t="str">
        <f t="shared" si="365"/>
        <v>PRG-1039721</v>
      </c>
      <c r="E13273" t="s">
        <v>347</v>
      </c>
      <c r="F13273" t="s">
        <v>4</v>
      </c>
      <c r="G13273" t="str">
        <f>""</f>
        <v/>
      </c>
    </row>
    <row r="13274" spans="1:7" x14ac:dyDescent="0.25">
      <c r="A13274" t="s">
        <v>8</v>
      </c>
      <c r="B13274" s="1" t="str">
        <f>"000168353 - CASA DIBRITACHI PROTEIN-ARMARK"</f>
        <v>000168353 - CASA DIBRITACHI PROTEIN-ARMARK</v>
      </c>
      <c r="C13274" t="s">
        <v>246</v>
      </c>
      <c r="D13274" s="1" t="str">
        <f t="shared" si="365"/>
        <v>PRG-1039721</v>
      </c>
      <c r="E13274" t="s">
        <v>347</v>
      </c>
      <c r="F13274" t="s">
        <v>4</v>
      </c>
      <c r="G13274" t="str">
        <f>""</f>
        <v/>
      </c>
    </row>
    <row r="13275" spans="1:7" x14ac:dyDescent="0.25">
      <c r="A13275" t="s">
        <v>8</v>
      </c>
      <c r="B13275" s="1" t="str">
        <f>"000169126 - CASA DIBRITACHI PROTEIN-ARMARK"</f>
        <v>000169126 - CASA DIBRITACHI PROTEIN-ARMARK</v>
      </c>
      <c r="C13275" t="s">
        <v>246</v>
      </c>
      <c r="D13275" s="1" t="str">
        <f t="shared" si="365"/>
        <v>PRG-1039721</v>
      </c>
      <c r="E13275" t="s">
        <v>347</v>
      </c>
      <c r="F13275" t="s">
        <v>4</v>
      </c>
      <c r="G13275" t="str">
        <f>""</f>
        <v/>
      </c>
    </row>
    <row r="13276" spans="1:7" x14ac:dyDescent="0.25">
      <c r="A13276" t="s">
        <v>8</v>
      </c>
      <c r="B13276" s="1" t="str">
        <f>"000175774 - CASA DIBRITACHI PROTEIN-ARAMAR"</f>
        <v>000175774 - CASA DIBRITACHI PROTEIN-ARAMAR</v>
      </c>
      <c r="C13276" t="s">
        <v>330</v>
      </c>
      <c r="D13276" s="1" t="str">
        <f t="shared" si="365"/>
        <v>PRG-1039721</v>
      </c>
      <c r="E13276" t="s">
        <v>347</v>
      </c>
      <c r="F13276" t="s">
        <v>4</v>
      </c>
      <c r="G13276" t="str">
        <f>""</f>
        <v/>
      </c>
    </row>
    <row r="13277" spans="1:7" x14ac:dyDescent="0.25">
      <c r="A13277" t="s">
        <v>8</v>
      </c>
      <c r="B13277" s="1" t="str">
        <f>"000237977 - CASA DIBRITACHI PROTEIN-ARMARK"</f>
        <v>000237977 - CASA DIBRITACHI PROTEIN-ARMARK</v>
      </c>
      <c r="C13277" t="s">
        <v>246</v>
      </c>
      <c r="D13277" s="1" t="str">
        <f t="shared" si="365"/>
        <v>PRG-1039721</v>
      </c>
      <c r="E13277" t="s">
        <v>347</v>
      </c>
      <c r="F13277" t="s">
        <v>4</v>
      </c>
      <c r="G13277" t="str">
        <f>""</f>
        <v/>
      </c>
    </row>
    <row r="13278" spans="1:7" x14ac:dyDescent="0.25">
      <c r="A13278" t="s">
        <v>8</v>
      </c>
      <c r="B13278" s="1" t="str">
        <f>"000244382 - CASA DIBRITACHI PROTEIN-ARMARK"</f>
        <v>000244382 - CASA DIBRITACHI PROTEIN-ARMARK</v>
      </c>
      <c r="C13278" t="s">
        <v>246</v>
      </c>
      <c r="D13278" s="1" t="str">
        <f t="shared" si="365"/>
        <v>PRG-1039721</v>
      </c>
      <c r="E13278" t="s">
        <v>347</v>
      </c>
      <c r="F13278" t="s">
        <v>4</v>
      </c>
      <c r="G13278" t="str">
        <f>""</f>
        <v/>
      </c>
    </row>
    <row r="13279" spans="1:7" x14ac:dyDescent="0.25">
      <c r="A13279" t="s">
        <v>8</v>
      </c>
      <c r="B13279" s="1" t="str">
        <f>"000246400 - CASA DIBRITACHI PROTEIN-ARMARK"</f>
        <v>000246400 - CASA DIBRITACHI PROTEIN-ARMARK</v>
      </c>
      <c r="C13279" t="s">
        <v>246</v>
      </c>
      <c r="D13279" s="1" t="str">
        <f t="shared" si="365"/>
        <v>PRG-1039721</v>
      </c>
      <c r="E13279" t="s">
        <v>347</v>
      </c>
      <c r="F13279" t="s">
        <v>4</v>
      </c>
      <c r="G13279" t="str">
        <f>""</f>
        <v/>
      </c>
    </row>
    <row r="13280" spans="1:7" x14ac:dyDescent="0.25">
      <c r="A13280" t="s">
        <v>8</v>
      </c>
      <c r="B13280" s="1" t="str">
        <f>"000250900 - CASA DIBRITACHI PROTEIN-ARMARK"</f>
        <v>000250900 - CASA DIBRITACHI PROTEIN-ARMARK</v>
      </c>
      <c r="C13280" t="s">
        <v>246</v>
      </c>
      <c r="D13280" s="1" t="str">
        <f t="shared" si="365"/>
        <v>PRG-1039721</v>
      </c>
      <c r="E13280" t="s">
        <v>347</v>
      </c>
      <c r="F13280" t="s">
        <v>4</v>
      </c>
      <c r="G13280" t="str">
        <f>""</f>
        <v/>
      </c>
    </row>
    <row r="13281" spans="1:7" x14ac:dyDescent="0.25">
      <c r="A13281" t="s">
        <v>8</v>
      </c>
      <c r="B13281" s="1" t="str">
        <f>"000252091 - CASA DIBRITACHI PROTEIN-ARAMAR"</f>
        <v>000252091 - CASA DIBRITACHI PROTEIN-ARAMAR</v>
      </c>
      <c r="C13281" t="s">
        <v>330</v>
      </c>
      <c r="D13281" s="1" t="str">
        <f t="shared" si="365"/>
        <v>PRG-1039721</v>
      </c>
      <c r="E13281" t="s">
        <v>347</v>
      </c>
      <c r="F13281" t="s">
        <v>4</v>
      </c>
      <c r="G13281" t="str">
        <f>""</f>
        <v/>
      </c>
    </row>
    <row r="13282" spans="1:7" x14ac:dyDescent="0.25">
      <c r="A13282" t="s">
        <v>8</v>
      </c>
      <c r="B13282" s="1" t="str">
        <f>"000253815 - CASA DIBERTACCHI-SSS ARAMARK"</f>
        <v>000253815 - CASA DIBERTACCHI-SSS ARAMARK</v>
      </c>
      <c r="C13282" t="s">
        <v>150</v>
      </c>
      <c r="D13282" s="1" t="str">
        <f t="shared" ref="D13282:D13313" si="366">"PRG-1039721"</f>
        <v>PRG-1039721</v>
      </c>
      <c r="E13282" t="s">
        <v>347</v>
      </c>
      <c r="F13282" t="s">
        <v>4</v>
      </c>
      <c r="G13282" t="str">
        <f>""</f>
        <v/>
      </c>
    </row>
    <row r="13283" spans="1:7" x14ac:dyDescent="0.25">
      <c r="A13283" t="s">
        <v>8</v>
      </c>
      <c r="B13283" s="1" t="str">
        <f>"000254102 - CASA DIBRITACHI PROTEIN-ARAMAR"</f>
        <v>000254102 - CASA DIBRITACHI PROTEIN-ARAMAR</v>
      </c>
      <c r="C13283" t="s">
        <v>330</v>
      </c>
      <c r="D13283" s="1" t="str">
        <f t="shared" si="366"/>
        <v>PRG-1039721</v>
      </c>
      <c r="E13283" t="s">
        <v>347</v>
      </c>
      <c r="F13283" t="s">
        <v>4</v>
      </c>
      <c r="G13283" t="str">
        <f>""</f>
        <v/>
      </c>
    </row>
    <row r="13284" spans="1:7" x14ac:dyDescent="0.25">
      <c r="A13284" t="s">
        <v>8</v>
      </c>
      <c r="B13284" s="1" t="str">
        <f>"000259527 - CASA DIBRITACHI PROTEIN-ARMARK"</f>
        <v>000259527 - CASA DIBRITACHI PROTEIN-ARMARK</v>
      </c>
      <c r="C13284" t="s">
        <v>246</v>
      </c>
      <c r="D13284" s="1" t="str">
        <f t="shared" si="366"/>
        <v>PRG-1039721</v>
      </c>
      <c r="E13284" t="s">
        <v>347</v>
      </c>
      <c r="F13284" t="s">
        <v>4</v>
      </c>
      <c r="G13284" t="str">
        <f>""</f>
        <v/>
      </c>
    </row>
    <row r="13285" spans="1:7" x14ac:dyDescent="0.25">
      <c r="A13285" t="s">
        <v>8</v>
      </c>
      <c r="B13285" s="1" t="str">
        <f>"000262637 - CASA DIBRITACHI PROTEIN-ARMARK"</f>
        <v>000262637 - CASA DIBRITACHI PROTEIN-ARMARK</v>
      </c>
      <c r="C13285" t="s">
        <v>246</v>
      </c>
      <c r="D13285" s="1" t="str">
        <f t="shared" si="366"/>
        <v>PRG-1039721</v>
      </c>
      <c r="E13285" t="s">
        <v>347</v>
      </c>
      <c r="F13285" t="s">
        <v>4</v>
      </c>
      <c r="G13285" t="str">
        <f>""</f>
        <v/>
      </c>
    </row>
    <row r="13286" spans="1:7" x14ac:dyDescent="0.25">
      <c r="A13286" t="s">
        <v>8</v>
      </c>
      <c r="B13286" s="1" t="str">
        <f>"000264626 - CASA DIBRITACHI PROTEIN-ARAMAR"</f>
        <v>000264626 - CASA DIBRITACHI PROTEIN-ARAMAR</v>
      </c>
      <c r="C13286" t="s">
        <v>330</v>
      </c>
      <c r="D13286" s="1" t="str">
        <f t="shared" si="366"/>
        <v>PRG-1039721</v>
      </c>
      <c r="E13286" t="s">
        <v>347</v>
      </c>
      <c r="F13286" t="s">
        <v>4</v>
      </c>
      <c r="G13286" t="str">
        <f>""</f>
        <v/>
      </c>
    </row>
    <row r="13287" spans="1:7" x14ac:dyDescent="0.25">
      <c r="A13287" t="s">
        <v>8</v>
      </c>
      <c r="B13287" s="1" t="str">
        <f>"000266615 - CASA DEIBERTACCHI-SSS ARAMARK"</f>
        <v>000266615 - CASA DEIBERTACCHI-SSS ARAMARK</v>
      </c>
      <c r="C13287" t="s">
        <v>465</v>
      </c>
      <c r="D13287" s="1" t="str">
        <f t="shared" si="366"/>
        <v>PRG-1039721</v>
      </c>
      <c r="E13287" t="s">
        <v>347</v>
      </c>
      <c r="F13287" t="s">
        <v>4</v>
      </c>
      <c r="G13287" t="str">
        <f>""</f>
        <v/>
      </c>
    </row>
    <row r="13288" spans="1:7" x14ac:dyDescent="0.25">
      <c r="A13288" t="s">
        <v>8</v>
      </c>
      <c r="B13288" s="1" t="str">
        <f>"000267872 - CASA DIBRITACHI PROTEIN-ARMARK"</f>
        <v>000267872 - CASA DIBRITACHI PROTEIN-ARMARK</v>
      </c>
      <c r="C13288" t="s">
        <v>246</v>
      </c>
      <c r="D13288" s="1" t="str">
        <f t="shared" si="366"/>
        <v>PRG-1039721</v>
      </c>
      <c r="E13288" t="s">
        <v>347</v>
      </c>
      <c r="F13288" t="s">
        <v>4</v>
      </c>
      <c r="G13288" t="str">
        <f>""</f>
        <v/>
      </c>
    </row>
    <row r="13289" spans="1:7" x14ac:dyDescent="0.25">
      <c r="A13289" t="s">
        <v>8</v>
      </c>
      <c r="B13289" s="1" t="str">
        <f>"000268102 - CASA DEIBERTACCHI-SSS ARAMARK"</f>
        <v>000268102 - CASA DEIBERTACCHI-SSS ARAMARK</v>
      </c>
      <c r="C13289" t="s">
        <v>465</v>
      </c>
      <c r="D13289" s="1" t="str">
        <f t="shared" si="366"/>
        <v>PRG-1039721</v>
      </c>
      <c r="E13289" t="s">
        <v>347</v>
      </c>
      <c r="F13289" t="s">
        <v>4</v>
      </c>
      <c r="G13289" t="str">
        <f>""</f>
        <v/>
      </c>
    </row>
    <row r="13290" spans="1:7" x14ac:dyDescent="0.25">
      <c r="A13290" t="s">
        <v>8</v>
      </c>
      <c r="B13290" s="1" t="str">
        <f>"000268570 - CASA DIBRITACHI PROTEIN-ARMARK"</f>
        <v>000268570 - CASA DIBRITACHI PROTEIN-ARMARK</v>
      </c>
      <c r="C13290" t="s">
        <v>246</v>
      </c>
      <c r="D13290" s="1" t="str">
        <f t="shared" si="366"/>
        <v>PRG-1039721</v>
      </c>
      <c r="E13290" t="s">
        <v>347</v>
      </c>
      <c r="F13290" t="s">
        <v>4</v>
      </c>
      <c r="G13290" t="str">
        <f>""</f>
        <v/>
      </c>
    </row>
    <row r="13291" spans="1:7" x14ac:dyDescent="0.25">
      <c r="A13291" t="s">
        <v>8</v>
      </c>
      <c r="B13291" s="1" t="str">
        <f>"000268882 - CASA DIBERTACCHI-SSS ARAMARK"</f>
        <v>000268882 - CASA DIBERTACCHI-SSS ARAMARK</v>
      </c>
      <c r="C13291" t="s">
        <v>150</v>
      </c>
      <c r="D13291" s="1" t="str">
        <f t="shared" si="366"/>
        <v>PRG-1039721</v>
      </c>
      <c r="E13291" t="s">
        <v>347</v>
      </c>
      <c r="F13291" t="s">
        <v>4</v>
      </c>
      <c r="G13291" t="str">
        <f>""</f>
        <v/>
      </c>
    </row>
    <row r="13292" spans="1:7" x14ac:dyDescent="0.25">
      <c r="A13292" t="s">
        <v>8</v>
      </c>
      <c r="B13292" s="1" t="str">
        <f>"000269313 - CASA DIBRITACHI PROTEIN-ARMARK"</f>
        <v>000269313 - CASA DIBRITACHI PROTEIN-ARMARK</v>
      </c>
      <c r="C13292" t="s">
        <v>246</v>
      </c>
      <c r="D13292" s="1" t="str">
        <f t="shared" si="366"/>
        <v>PRG-1039721</v>
      </c>
      <c r="E13292" t="s">
        <v>347</v>
      </c>
      <c r="F13292" t="s">
        <v>4</v>
      </c>
      <c r="G13292" t="str">
        <f>""</f>
        <v/>
      </c>
    </row>
    <row r="13293" spans="1:7" x14ac:dyDescent="0.25">
      <c r="A13293" t="s">
        <v>8</v>
      </c>
      <c r="B13293" s="1" t="str">
        <f>"000269538 - CASA DIBRITACHI PROTEIN-ARMARK"</f>
        <v>000269538 - CASA DIBRITACHI PROTEIN-ARMARK</v>
      </c>
      <c r="C13293" t="s">
        <v>246</v>
      </c>
      <c r="D13293" s="1" t="str">
        <f t="shared" si="366"/>
        <v>PRG-1039721</v>
      </c>
      <c r="E13293" t="s">
        <v>347</v>
      </c>
      <c r="F13293" t="s">
        <v>4</v>
      </c>
      <c r="G13293" t="str">
        <f>""</f>
        <v/>
      </c>
    </row>
    <row r="13294" spans="1:7" x14ac:dyDescent="0.25">
      <c r="A13294" t="s">
        <v>8</v>
      </c>
      <c r="B13294" s="1" t="str">
        <f>"000272091 - CASA DIBRITACHI PROTEIN-ARAMAR"</f>
        <v>000272091 - CASA DIBRITACHI PROTEIN-ARAMAR</v>
      </c>
      <c r="C13294" t="s">
        <v>330</v>
      </c>
      <c r="D13294" s="1" t="str">
        <f t="shared" si="366"/>
        <v>PRG-1039721</v>
      </c>
      <c r="E13294" t="s">
        <v>347</v>
      </c>
      <c r="F13294" t="s">
        <v>4</v>
      </c>
      <c r="G13294" t="str">
        <f>""</f>
        <v/>
      </c>
    </row>
    <row r="13295" spans="1:7" x14ac:dyDescent="0.25">
      <c r="A13295" t="s">
        <v>8</v>
      </c>
      <c r="B13295" s="1" t="str">
        <f>"000273341 - CASA DIBRITACHI PROTEIN-ARMARK"</f>
        <v>000273341 - CASA DIBRITACHI PROTEIN-ARMARK</v>
      </c>
      <c r="C13295" t="s">
        <v>246</v>
      </c>
      <c r="D13295" s="1" t="str">
        <f t="shared" si="366"/>
        <v>PRG-1039721</v>
      </c>
      <c r="E13295" t="s">
        <v>347</v>
      </c>
      <c r="F13295" t="s">
        <v>4</v>
      </c>
      <c r="G13295" t="str">
        <f>""</f>
        <v/>
      </c>
    </row>
    <row r="13296" spans="1:7" x14ac:dyDescent="0.25">
      <c r="A13296" t="s">
        <v>8</v>
      </c>
      <c r="B13296" s="1" t="str">
        <f>"000273351 - CASA DEIBERTACCHI-SSS ARAMARK"</f>
        <v>000273351 - CASA DEIBERTACCHI-SSS ARAMARK</v>
      </c>
      <c r="C13296" t="s">
        <v>465</v>
      </c>
      <c r="D13296" s="1" t="str">
        <f t="shared" si="366"/>
        <v>PRG-1039721</v>
      </c>
      <c r="E13296" t="s">
        <v>347</v>
      </c>
      <c r="F13296" t="s">
        <v>4</v>
      </c>
      <c r="G13296" t="str">
        <f>""</f>
        <v/>
      </c>
    </row>
    <row r="13297" spans="1:7" x14ac:dyDescent="0.25">
      <c r="A13297" t="s">
        <v>8</v>
      </c>
      <c r="B13297" s="1" t="str">
        <f>"000274227 - CASA DIBRITACHI PROTEIN-ARMARK"</f>
        <v>000274227 - CASA DIBRITACHI PROTEIN-ARMARK</v>
      </c>
      <c r="C13297" t="s">
        <v>246</v>
      </c>
      <c r="D13297" s="1" t="str">
        <f t="shared" si="366"/>
        <v>PRG-1039721</v>
      </c>
      <c r="E13297" t="s">
        <v>347</v>
      </c>
      <c r="F13297" t="s">
        <v>4</v>
      </c>
      <c r="G13297" t="str">
        <f>""</f>
        <v/>
      </c>
    </row>
    <row r="13298" spans="1:7" x14ac:dyDescent="0.25">
      <c r="A13298" t="s">
        <v>8</v>
      </c>
      <c r="B13298" s="1" t="str">
        <f>"000274696 - CASA DIBRITACHI PROTEIN-ARAMAR"</f>
        <v>000274696 - CASA DIBRITACHI PROTEIN-ARAMAR</v>
      </c>
      <c r="C13298" t="s">
        <v>330</v>
      </c>
      <c r="D13298" s="1" t="str">
        <f t="shared" si="366"/>
        <v>PRG-1039721</v>
      </c>
      <c r="E13298" t="s">
        <v>347</v>
      </c>
      <c r="F13298" t="s">
        <v>4</v>
      </c>
      <c r="G13298" t="str">
        <f>""</f>
        <v/>
      </c>
    </row>
    <row r="13299" spans="1:7" x14ac:dyDescent="0.25">
      <c r="A13299" t="s">
        <v>8</v>
      </c>
      <c r="B13299" s="1" t="str">
        <f>"000274841 - CASA DEIBERTACCHI-SSS ARAMARK"</f>
        <v>000274841 - CASA DEIBERTACCHI-SSS ARAMARK</v>
      </c>
      <c r="C13299" t="s">
        <v>465</v>
      </c>
      <c r="D13299" s="1" t="str">
        <f t="shared" si="366"/>
        <v>PRG-1039721</v>
      </c>
      <c r="E13299" t="s">
        <v>347</v>
      </c>
      <c r="F13299" t="s">
        <v>4</v>
      </c>
      <c r="G13299" t="str">
        <f>""</f>
        <v/>
      </c>
    </row>
    <row r="13300" spans="1:7" x14ac:dyDescent="0.25">
      <c r="A13300" t="s">
        <v>8</v>
      </c>
      <c r="B13300" s="1" t="str">
        <f>"000275002 - CASA DIBRITACHI PROTEIN-ARAMAR"</f>
        <v>000275002 - CASA DIBRITACHI PROTEIN-ARAMAR</v>
      </c>
      <c r="C13300" t="s">
        <v>330</v>
      </c>
      <c r="D13300" s="1" t="str">
        <f t="shared" si="366"/>
        <v>PRG-1039721</v>
      </c>
      <c r="E13300" t="s">
        <v>347</v>
      </c>
      <c r="F13300" t="s">
        <v>4</v>
      </c>
      <c r="G13300" t="str">
        <f>""</f>
        <v/>
      </c>
    </row>
    <row r="13301" spans="1:7" x14ac:dyDescent="0.25">
      <c r="A13301" t="s">
        <v>8</v>
      </c>
      <c r="B13301" s="1" t="str">
        <f>"000275839 - CASA DIBRITACHI PROTEIN-ARMARK"</f>
        <v>000275839 - CASA DIBRITACHI PROTEIN-ARMARK</v>
      </c>
      <c r="C13301" t="s">
        <v>246</v>
      </c>
      <c r="D13301" s="1" t="str">
        <f t="shared" si="366"/>
        <v>PRG-1039721</v>
      </c>
      <c r="E13301" t="s">
        <v>347</v>
      </c>
      <c r="F13301" t="s">
        <v>4</v>
      </c>
      <c r="G13301" t="str">
        <f>""</f>
        <v/>
      </c>
    </row>
    <row r="13302" spans="1:7" x14ac:dyDescent="0.25">
      <c r="A13302" t="s">
        <v>8</v>
      </c>
      <c r="B13302" s="1" t="str">
        <f>"000276723 - CASA DIBRITACHI PROTEIN-ARAMAR"</f>
        <v>000276723 - CASA DIBRITACHI PROTEIN-ARAMAR</v>
      </c>
      <c r="C13302" t="s">
        <v>330</v>
      </c>
      <c r="D13302" s="1" t="str">
        <f t="shared" si="366"/>
        <v>PRG-1039721</v>
      </c>
      <c r="E13302" t="s">
        <v>347</v>
      </c>
      <c r="F13302" t="s">
        <v>4</v>
      </c>
      <c r="G13302" t="str">
        <f>""</f>
        <v/>
      </c>
    </row>
    <row r="13303" spans="1:7" x14ac:dyDescent="0.25">
      <c r="A13303" t="s">
        <v>8</v>
      </c>
      <c r="B13303" s="1" t="str">
        <f>"000276923 - CASA DIBRITACHI PROTEIN-ARAMAR"</f>
        <v>000276923 - CASA DIBRITACHI PROTEIN-ARAMAR</v>
      </c>
      <c r="C13303" t="s">
        <v>330</v>
      </c>
      <c r="D13303" s="1" t="str">
        <f t="shared" si="366"/>
        <v>PRG-1039721</v>
      </c>
      <c r="E13303" t="s">
        <v>347</v>
      </c>
      <c r="F13303" t="s">
        <v>4</v>
      </c>
      <c r="G13303" t="str">
        <f>""</f>
        <v/>
      </c>
    </row>
    <row r="13304" spans="1:7" x14ac:dyDescent="0.25">
      <c r="A13304" t="s">
        <v>8</v>
      </c>
      <c r="B13304" s="1" t="str">
        <f>"000278915 - CASA DEIBERTACCHI-SSS ARAMARK"</f>
        <v>000278915 - CASA DEIBERTACCHI-SSS ARAMARK</v>
      </c>
      <c r="C13304" t="s">
        <v>465</v>
      </c>
      <c r="D13304" s="1" t="str">
        <f t="shared" si="366"/>
        <v>PRG-1039721</v>
      </c>
      <c r="E13304" t="s">
        <v>347</v>
      </c>
      <c r="F13304" t="s">
        <v>4</v>
      </c>
      <c r="G13304" t="str">
        <f>""</f>
        <v/>
      </c>
    </row>
    <row r="13305" spans="1:7" x14ac:dyDescent="0.25">
      <c r="A13305" t="s">
        <v>8</v>
      </c>
      <c r="B13305" s="1" t="str">
        <f>"000279976 - CASA DIBRITACHI PROTEIN-ARMARK"</f>
        <v>000279976 - CASA DIBRITACHI PROTEIN-ARMARK</v>
      </c>
      <c r="C13305" t="s">
        <v>246</v>
      </c>
      <c r="D13305" s="1" t="str">
        <f t="shared" si="366"/>
        <v>PRG-1039721</v>
      </c>
      <c r="E13305" t="s">
        <v>347</v>
      </c>
      <c r="F13305" t="s">
        <v>4</v>
      </c>
      <c r="G13305" t="str">
        <f>""</f>
        <v/>
      </c>
    </row>
    <row r="13306" spans="1:7" x14ac:dyDescent="0.25">
      <c r="A13306" t="s">
        <v>8</v>
      </c>
      <c r="B13306" s="1" t="str">
        <f>"000280146 - CASA DEIBERTACCHI-SSS ARAMARK"</f>
        <v>000280146 - CASA DEIBERTACCHI-SSS ARAMARK</v>
      </c>
      <c r="C13306" t="s">
        <v>465</v>
      </c>
      <c r="D13306" s="1" t="str">
        <f t="shared" si="366"/>
        <v>PRG-1039721</v>
      </c>
      <c r="E13306" t="s">
        <v>347</v>
      </c>
      <c r="F13306" t="s">
        <v>4</v>
      </c>
      <c r="G13306" t="str">
        <f>""</f>
        <v/>
      </c>
    </row>
    <row r="13307" spans="1:7" x14ac:dyDescent="0.25">
      <c r="A13307" t="s">
        <v>8</v>
      </c>
      <c r="B13307" s="1" t="str">
        <f>"000281412 - CASA DIBRITACHI PROTEIN-ARAMAR"</f>
        <v>000281412 - CASA DIBRITACHI PROTEIN-ARAMAR</v>
      </c>
      <c r="C13307" t="s">
        <v>330</v>
      </c>
      <c r="D13307" s="1" t="str">
        <f t="shared" si="366"/>
        <v>PRG-1039721</v>
      </c>
      <c r="E13307" t="s">
        <v>347</v>
      </c>
      <c r="F13307" t="s">
        <v>4</v>
      </c>
      <c r="G13307" t="str">
        <f>""</f>
        <v/>
      </c>
    </row>
    <row r="13308" spans="1:7" x14ac:dyDescent="0.25">
      <c r="A13308" t="s">
        <v>8</v>
      </c>
      <c r="B13308" s="1" t="str">
        <f>"000281592 - "</f>
        <v xml:space="preserve">000281592 - </v>
      </c>
      <c r="D13308" s="1" t="str">
        <f t="shared" si="366"/>
        <v>PRG-1039721</v>
      </c>
      <c r="E13308" t="s">
        <v>347</v>
      </c>
      <c r="F13308" t="s">
        <v>4</v>
      </c>
      <c r="G13308" t="str">
        <f>""</f>
        <v/>
      </c>
    </row>
    <row r="13309" spans="1:7" x14ac:dyDescent="0.25">
      <c r="A13309" t="s">
        <v>8</v>
      </c>
      <c r="B13309" s="1" t="str">
        <f>"000281709 - CASA DIBRITACHI PROTEIN-ARAMAR"</f>
        <v>000281709 - CASA DIBRITACHI PROTEIN-ARAMAR</v>
      </c>
      <c r="C13309" t="s">
        <v>330</v>
      </c>
      <c r="D13309" s="1" t="str">
        <f t="shared" si="366"/>
        <v>PRG-1039721</v>
      </c>
      <c r="E13309" t="s">
        <v>347</v>
      </c>
      <c r="F13309" t="s">
        <v>4</v>
      </c>
      <c r="G13309" t="str">
        <f>""</f>
        <v/>
      </c>
    </row>
    <row r="13310" spans="1:7" x14ac:dyDescent="0.25">
      <c r="A13310" t="s">
        <v>8</v>
      </c>
      <c r="B13310" s="1" t="str">
        <f>"000281824 - CASA DIBRITACHI PROTEIN-ARAMAR"</f>
        <v>000281824 - CASA DIBRITACHI PROTEIN-ARAMAR</v>
      </c>
      <c r="C13310" t="s">
        <v>330</v>
      </c>
      <c r="D13310" s="1" t="str">
        <f t="shared" si="366"/>
        <v>PRG-1039721</v>
      </c>
      <c r="E13310" t="s">
        <v>347</v>
      </c>
      <c r="F13310" t="s">
        <v>4</v>
      </c>
      <c r="G13310" t="str">
        <f>""</f>
        <v/>
      </c>
    </row>
    <row r="13311" spans="1:7" x14ac:dyDescent="0.25">
      <c r="A13311" t="s">
        <v>8</v>
      </c>
      <c r="B13311" s="1" t="str">
        <f>"000285140 - CASA DIBRITACHI PROTEIN-ARMARK"</f>
        <v>000285140 - CASA DIBRITACHI PROTEIN-ARMARK</v>
      </c>
      <c r="C13311" t="s">
        <v>246</v>
      </c>
      <c r="D13311" s="1" t="str">
        <f t="shared" si="366"/>
        <v>PRG-1039721</v>
      </c>
      <c r="E13311" t="s">
        <v>347</v>
      </c>
      <c r="F13311" t="s">
        <v>4</v>
      </c>
      <c r="G13311" t="str">
        <f>""</f>
        <v/>
      </c>
    </row>
    <row r="13312" spans="1:7" x14ac:dyDescent="0.25">
      <c r="A13312" t="s">
        <v>8</v>
      </c>
      <c r="B13312" s="1" t="str">
        <f>"000288255 - CASA DIBRITACHI PROTEIN-ARMARK"</f>
        <v>000288255 - CASA DIBRITACHI PROTEIN-ARMARK</v>
      </c>
      <c r="C13312" t="s">
        <v>246</v>
      </c>
      <c r="D13312" s="1" t="str">
        <f t="shared" si="366"/>
        <v>PRG-1039721</v>
      </c>
      <c r="E13312" t="s">
        <v>347</v>
      </c>
      <c r="F13312" t="s">
        <v>4</v>
      </c>
      <c r="G13312" t="str">
        <f>""</f>
        <v/>
      </c>
    </row>
    <row r="13313" spans="1:7" x14ac:dyDescent="0.25">
      <c r="A13313" t="s">
        <v>8</v>
      </c>
      <c r="B13313" s="1" t="str">
        <f>"000288389 - CASA DIBERTACCHI-SSS ARAMARK"</f>
        <v>000288389 - CASA DIBERTACCHI-SSS ARAMARK</v>
      </c>
      <c r="C13313" t="s">
        <v>150</v>
      </c>
      <c r="D13313" s="1" t="str">
        <f t="shared" si="366"/>
        <v>PRG-1039721</v>
      </c>
      <c r="E13313" t="s">
        <v>347</v>
      </c>
      <c r="F13313" t="s">
        <v>4</v>
      </c>
      <c r="G13313" t="str">
        <f>""</f>
        <v/>
      </c>
    </row>
    <row r="13314" spans="1:7" x14ac:dyDescent="0.25">
      <c r="A13314" t="s">
        <v>8</v>
      </c>
      <c r="B13314" s="1" t="str">
        <f>"000289925 - CASA DIBRITACHI PROTEIN-ARMARK"</f>
        <v>000289925 - CASA DIBRITACHI PROTEIN-ARMARK</v>
      </c>
      <c r="C13314" t="s">
        <v>246</v>
      </c>
      <c r="D13314" s="1" t="str">
        <f t="shared" ref="D13314:D13345" si="367">"PRG-1039721"</f>
        <v>PRG-1039721</v>
      </c>
      <c r="E13314" t="s">
        <v>347</v>
      </c>
      <c r="F13314" t="s">
        <v>4</v>
      </c>
      <c r="G13314" t="str">
        <f>""</f>
        <v/>
      </c>
    </row>
    <row r="13315" spans="1:7" x14ac:dyDescent="0.25">
      <c r="A13315" t="s">
        <v>8</v>
      </c>
      <c r="B13315" s="1" t="str">
        <f>"000290634 - CASA DIBRITACHI PROTEIN-ARAMAR"</f>
        <v>000290634 - CASA DIBRITACHI PROTEIN-ARAMAR</v>
      </c>
      <c r="C13315" t="s">
        <v>330</v>
      </c>
      <c r="D13315" s="1" t="str">
        <f t="shared" si="367"/>
        <v>PRG-1039721</v>
      </c>
      <c r="E13315" t="s">
        <v>347</v>
      </c>
      <c r="F13315" t="s">
        <v>4</v>
      </c>
      <c r="G13315" t="str">
        <f>""</f>
        <v/>
      </c>
    </row>
    <row r="13316" spans="1:7" x14ac:dyDescent="0.25">
      <c r="A13316" t="s">
        <v>8</v>
      </c>
      <c r="B13316" s="1" t="str">
        <f>"000293370 - CASA DIBRITACHI PROTEIN-ARMARK"</f>
        <v>000293370 - CASA DIBRITACHI PROTEIN-ARMARK</v>
      </c>
      <c r="C13316" t="s">
        <v>246</v>
      </c>
      <c r="D13316" s="1" t="str">
        <f t="shared" si="367"/>
        <v>PRG-1039721</v>
      </c>
      <c r="E13316" t="s">
        <v>347</v>
      </c>
      <c r="F13316" t="s">
        <v>4</v>
      </c>
      <c r="G13316" t="str">
        <f>""</f>
        <v/>
      </c>
    </row>
    <row r="13317" spans="1:7" x14ac:dyDescent="0.25">
      <c r="A13317" t="s">
        <v>8</v>
      </c>
      <c r="B13317" s="1" t="str">
        <f>"000293608 - CASA DIBRITACHI PROTEIN-ARMARK"</f>
        <v>000293608 - CASA DIBRITACHI PROTEIN-ARMARK</v>
      </c>
      <c r="C13317" t="s">
        <v>246</v>
      </c>
      <c r="D13317" s="1" t="str">
        <f t="shared" si="367"/>
        <v>PRG-1039721</v>
      </c>
      <c r="E13317" t="s">
        <v>347</v>
      </c>
      <c r="F13317" t="s">
        <v>4</v>
      </c>
      <c r="G13317" t="str">
        <f>""</f>
        <v/>
      </c>
    </row>
    <row r="13318" spans="1:7" x14ac:dyDescent="0.25">
      <c r="A13318" t="s">
        <v>8</v>
      </c>
      <c r="B13318" s="1" t="str">
        <f>"000294204 - CASA DIBRITACHI PROTEIN-ARMARK"</f>
        <v>000294204 - CASA DIBRITACHI PROTEIN-ARMARK</v>
      </c>
      <c r="C13318" t="s">
        <v>246</v>
      </c>
      <c r="D13318" s="1" t="str">
        <f t="shared" si="367"/>
        <v>PRG-1039721</v>
      </c>
      <c r="E13318" t="s">
        <v>347</v>
      </c>
      <c r="F13318" t="s">
        <v>4</v>
      </c>
      <c r="G13318" t="str">
        <f>""</f>
        <v/>
      </c>
    </row>
    <row r="13319" spans="1:7" x14ac:dyDescent="0.25">
      <c r="A13319" t="s">
        <v>8</v>
      </c>
      <c r="B13319" s="1" t="str">
        <f>"000294566 - CASA DIBRITACHI PROTEIN-ARMARK"</f>
        <v>000294566 - CASA DIBRITACHI PROTEIN-ARMARK</v>
      </c>
      <c r="C13319" t="s">
        <v>246</v>
      </c>
      <c r="D13319" s="1" t="str">
        <f t="shared" si="367"/>
        <v>PRG-1039721</v>
      </c>
      <c r="E13319" t="s">
        <v>347</v>
      </c>
      <c r="F13319" t="s">
        <v>4</v>
      </c>
      <c r="G13319" t="str">
        <f>""</f>
        <v/>
      </c>
    </row>
    <row r="13320" spans="1:7" x14ac:dyDescent="0.25">
      <c r="A13320" t="s">
        <v>8</v>
      </c>
      <c r="B13320" s="1" t="str">
        <f>"000294778 - CASA DEIBERTACCHI-SSS ARAMARK"</f>
        <v>000294778 - CASA DEIBERTACCHI-SSS ARAMARK</v>
      </c>
      <c r="C13320" t="s">
        <v>465</v>
      </c>
      <c r="D13320" s="1" t="str">
        <f t="shared" si="367"/>
        <v>PRG-1039721</v>
      </c>
      <c r="E13320" t="s">
        <v>347</v>
      </c>
      <c r="F13320" t="s">
        <v>4</v>
      </c>
      <c r="G13320" t="str">
        <f>""</f>
        <v/>
      </c>
    </row>
    <row r="13321" spans="1:7" x14ac:dyDescent="0.25">
      <c r="A13321" t="s">
        <v>8</v>
      </c>
      <c r="B13321" s="1" t="str">
        <f>"000296082 - CASA DIBRITACHI PROTEIN-ARMARK"</f>
        <v>000296082 - CASA DIBRITACHI PROTEIN-ARMARK</v>
      </c>
      <c r="C13321" t="s">
        <v>246</v>
      </c>
      <c r="D13321" s="1" t="str">
        <f t="shared" si="367"/>
        <v>PRG-1039721</v>
      </c>
      <c r="E13321" t="s">
        <v>347</v>
      </c>
      <c r="F13321" t="s">
        <v>4</v>
      </c>
      <c r="G13321" t="str">
        <f>""</f>
        <v/>
      </c>
    </row>
    <row r="13322" spans="1:7" x14ac:dyDescent="0.25">
      <c r="A13322" t="s">
        <v>8</v>
      </c>
      <c r="B13322" s="1" t="str">
        <f>"000296349 - CASA DIBRITACHI PROTEIN-ARAMAR"</f>
        <v>000296349 - CASA DIBRITACHI PROTEIN-ARAMAR</v>
      </c>
      <c r="C13322" t="s">
        <v>330</v>
      </c>
      <c r="D13322" s="1" t="str">
        <f t="shared" si="367"/>
        <v>PRG-1039721</v>
      </c>
      <c r="E13322" t="s">
        <v>347</v>
      </c>
      <c r="F13322" t="s">
        <v>4</v>
      </c>
      <c r="G13322" t="str">
        <f>""</f>
        <v/>
      </c>
    </row>
    <row r="13323" spans="1:7" x14ac:dyDescent="0.25">
      <c r="A13323" t="s">
        <v>8</v>
      </c>
      <c r="B13323" s="1" t="str">
        <f>"000296503 - CASA DIBRITACHI PROTEIN-ARMARK"</f>
        <v>000296503 - CASA DIBRITACHI PROTEIN-ARMARK</v>
      </c>
      <c r="C13323" t="s">
        <v>246</v>
      </c>
      <c r="D13323" s="1" t="str">
        <f t="shared" si="367"/>
        <v>PRG-1039721</v>
      </c>
      <c r="E13323" t="s">
        <v>347</v>
      </c>
      <c r="F13323" t="s">
        <v>4</v>
      </c>
      <c r="G13323" t="str">
        <f>""</f>
        <v/>
      </c>
    </row>
    <row r="13324" spans="1:7" x14ac:dyDescent="0.25">
      <c r="A13324" t="s">
        <v>8</v>
      </c>
      <c r="B13324" s="1" t="str">
        <f>"000296961 - CASA DIBRITACHI PROTEIN-ARAMAR"</f>
        <v>000296961 - CASA DIBRITACHI PROTEIN-ARAMAR</v>
      </c>
      <c r="C13324" t="s">
        <v>330</v>
      </c>
      <c r="D13324" s="1" t="str">
        <f t="shared" si="367"/>
        <v>PRG-1039721</v>
      </c>
      <c r="E13324" t="s">
        <v>347</v>
      </c>
      <c r="F13324" t="s">
        <v>4</v>
      </c>
      <c r="G13324" t="str">
        <f>""</f>
        <v/>
      </c>
    </row>
    <row r="13325" spans="1:7" x14ac:dyDescent="0.25">
      <c r="A13325" t="s">
        <v>8</v>
      </c>
      <c r="B13325" s="1" t="str">
        <f>"000297914 - CASA DIBRITACHI PROTEIN-ARMARK"</f>
        <v>000297914 - CASA DIBRITACHI PROTEIN-ARMARK</v>
      </c>
      <c r="C13325" t="s">
        <v>246</v>
      </c>
      <c r="D13325" s="1" t="str">
        <f t="shared" si="367"/>
        <v>PRG-1039721</v>
      </c>
      <c r="E13325" t="s">
        <v>347</v>
      </c>
      <c r="F13325" t="s">
        <v>4</v>
      </c>
      <c r="G13325" t="str">
        <f>""</f>
        <v/>
      </c>
    </row>
    <row r="13326" spans="1:7" x14ac:dyDescent="0.25">
      <c r="A13326" t="s">
        <v>8</v>
      </c>
      <c r="B13326" s="1" t="str">
        <f>"000299457 - CASA DEIBERTACCHI-SSS ARAMARK"</f>
        <v>000299457 - CASA DEIBERTACCHI-SSS ARAMARK</v>
      </c>
      <c r="C13326" t="s">
        <v>465</v>
      </c>
      <c r="D13326" s="1" t="str">
        <f t="shared" si="367"/>
        <v>PRG-1039721</v>
      </c>
      <c r="E13326" t="s">
        <v>347</v>
      </c>
      <c r="F13326" t="s">
        <v>4</v>
      </c>
      <c r="G13326" t="str">
        <f>""</f>
        <v/>
      </c>
    </row>
    <row r="13327" spans="1:7" x14ac:dyDescent="0.25">
      <c r="A13327" t="s">
        <v>8</v>
      </c>
      <c r="B13327" s="1" t="str">
        <f>"000299472 - CASA DIBRITACHI PROTEIN-ARMARK"</f>
        <v>000299472 - CASA DIBRITACHI PROTEIN-ARMARK</v>
      </c>
      <c r="C13327" t="s">
        <v>246</v>
      </c>
      <c r="D13327" s="1" t="str">
        <f t="shared" si="367"/>
        <v>PRG-1039721</v>
      </c>
      <c r="E13327" t="s">
        <v>347</v>
      </c>
      <c r="F13327" t="s">
        <v>4</v>
      </c>
      <c r="G13327" t="str">
        <f>""</f>
        <v/>
      </c>
    </row>
    <row r="13328" spans="1:7" x14ac:dyDescent="0.25">
      <c r="A13328" t="s">
        <v>8</v>
      </c>
      <c r="B13328" s="1" t="str">
        <f>"000299877 - CASA DEIBERTACCHI-SSS ARAMARK"</f>
        <v>000299877 - CASA DEIBERTACCHI-SSS ARAMARK</v>
      </c>
      <c r="C13328" t="s">
        <v>465</v>
      </c>
      <c r="D13328" s="1" t="str">
        <f t="shared" si="367"/>
        <v>PRG-1039721</v>
      </c>
      <c r="E13328" t="s">
        <v>347</v>
      </c>
      <c r="F13328" t="s">
        <v>4</v>
      </c>
      <c r="G13328" t="str">
        <f>""</f>
        <v/>
      </c>
    </row>
    <row r="13329" spans="1:7" x14ac:dyDescent="0.25">
      <c r="A13329" t="s">
        <v>8</v>
      </c>
      <c r="B13329" s="1" t="str">
        <f>"000300847 - CASA DEIBERTACCHI-SSS ARAMARK"</f>
        <v>000300847 - CASA DEIBERTACCHI-SSS ARAMARK</v>
      </c>
      <c r="C13329" t="s">
        <v>465</v>
      </c>
      <c r="D13329" s="1" t="str">
        <f t="shared" si="367"/>
        <v>PRG-1039721</v>
      </c>
      <c r="E13329" t="s">
        <v>347</v>
      </c>
      <c r="F13329" t="s">
        <v>4</v>
      </c>
      <c r="G13329" t="str">
        <f>""</f>
        <v/>
      </c>
    </row>
    <row r="13330" spans="1:7" x14ac:dyDescent="0.25">
      <c r="A13330" t="s">
        <v>8</v>
      </c>
      <c r="B13330" s="1" t="str">
        <f>"000301312 - CASA DIBRITACHI PROTEIN-ARMARK"</f>
        <v>000301312 - CASA DIBRITACHI PROTEIN-ARMARK</v>
      </c>
      <c r="C13330" t="s">
        <v>246</v>
      </c>
      <c r="D13330" s="1" t="str">
        <f t="shared" si="367"/>
        <v>PRG-1039721</v>
      </c>
      <c r="E13330" t="s">
        <v>347</v>
      </c>
      <c r="F13330" t="s">
        <v>4</v>
      </c>
      <c r="G13330" t="str">
        <f>""</f>
        <v/>
      </c>
    </row>
    <row r="13331" spans="1:7" x14ac:dyDescent="0.25">
      <c r="A13331" t="s">
        <v>8</v>
      </c>
      <c r="B13331" s="1" t="str">
        <f>"000302332 - CASA DIBRITACHI PROTEIN-ARAMAR"</f>
        <v>000302332 - CASA DIBRITACHI PROTEIN-ARAMAR</v>
      </c>
      <c r="C13331" t="s">
        <v>330</v>
      </c>
      <c r="D13331" s="1" t="str">
        <f t="shared" si="367"/>
        <v>PRG-1039721</v>
      </c>
      <c r="E13331" t="s">
        <v>347</v>
      </c>
      <c r="F13331" t="s">
        <v>4</v>
      </c>
      <c r="G13331" t="str">
        <f>""</f>
        <v/>
      </c>
    </row>
    <row r="13332" spans="1:7" x14ac:dyDescent="0.25">
      <c r="A13332" t="s">
        <v>8</v>
      </c>
      <c r="B13332" s="1" t="str">
        <f>"000302412 - CASA DIBRITACHI PROTEIN-ARAMAR"</f>
        <v>000302412 - CASA DIBRITACHI PROTEIN-ARAMAR</v>
      </c>
      <c r="C13332" t="s">
        <v>330</v>
      </c>
      <c r="D13332" s="1" t="str">
        <f t="shared" si="367"/>
        <v>PRG-1039721</v>
      </c>
      <c r="E13332" t="s">
        <v>347</v>
      </c>
      <c r="F13332" t="s">
        <v>4</v>
      </c>
      <c r="G13332" t="str">
        <f>""</f>
        <v/>
      </c>
    </row>
    <row r="13333" spans="1:7" x14ac:dyDescent="0.25">
      <c r="A13333" t="s">
        <v>8</v>
      </c>
      <c r="B13333" s="1" t="str">
        <f>"000302623 - CASA DIBRITACHI PROTEIN-ARAMAR"</f>
        <v>000302623 - CASA DIBRITACHI PROTEIN-ARAMAR</v>
      </c>
      <c r="C13333" t="s">
        <v>330</v>
      </c>
      <c r="D13333" s="1" t="str">
        <f t="shared" si="367"/>
        <v>PRG-1039721</v>
      </c>
      <c r="E13333" t="s">
        <v>347</v>
      </c>
      <c r="F13333" t="s">
        <v>4</v>
      </c>
      <c r="G13333" t="str">
        <f>""</f>
        <v/>
      </c>
    </row>
    <row r="13334" spans="1:7" x14ac:dyDescent="0.25">
      <c r="A13334" t="s">
        <v>8</v>
      </c>
      <c r="B13334" s="1" t="str">
        <f>"000303469 - CASA DIBRITACHI PROTEIN-ARAMAR"</f>
        <v>000303469 - CASA DIBRITACHI PROTEIN-ARAMAR</v>
      </c>
      <c r="C13334" t="s">
        <v>330</v>
      </c>
      <c r="D13334" s="1" t="str">
        <f t="shared" si="367"/>
        <v>PRG-1039721</v>
      </c>
      <c r="E13334" t="s">
        <v>347</v>
      </c>
      <c r="F13334" t="s">
        <v>4</v>
      </c>
      <c r="G13334" t="str">
        <f>""</f>
        <v/>
      </c>
    </row>
    <row r="13335" spans="1:7" x14ac:dyDescent="0.25">
      <c r="A13335" t="s">
        <v>8</v>
      </c>
      <c r="B13335" s="1" t="str">
        <f>"000305066 - CASA DEIBERTACCHI-SSS ARAMARK"</f>
        <v>000305066 - CASA DEIBERTACCHI-SSS ARAMARK</v>
      </c>
      <c r="C13335" t="s">
        <v>465</v>
      </c>
      <c r="D13335" s="1" t="str">
        <f t="shared" si="367"/>
        <v>PRG-1039721</v>
      </c>
      <c r="E13335" t="s">
        <v>347</v>
      </c>
      <c r="F13335" t="s">
        <v>4</v>
      </c>
      <c r="G13335" t="str">
        <f>""</f>
        <v/>
      </c>
    </row>
    <row r="13336" spans="1:7" x14ac:dyDescent="0.25">
      <c r="A13336" t="s">
        <v>8</v>
      </c>
      <c r="B13336" s="1" t="str">
        <f>"000306158 - CASA DIBRITACHI PROTEIN-ARAMAR"</f>
        <v>000306158 - CASA DIBRITACHI PROTEIN-ARAMAR</v>
      </c>
      <c r="C13336" t="s">
        <v>330</v>
      </c>
      <c r="D13336" s="1" t="str">
        <f t="shared" si="367"/>
        <v>PRG-1039721</v>
      </c>
      <c r="E13336" t="s">
        <v>347</v>
      </c>
      <c r="F13336" t="s">
        <v>4</v>
      </c>
      <c r="G13336" t="str">
        <f>""</f>
        <v/>
      </c>
    </row>
    <row r="13337" spans="1:7" x14ac:dyDescent="0.25">
      <c r="A13337" t="s">
        <v>8</v>
      </c>
      <c r="B13337" s="1" t="str">
        <f>"000308568 - CASA DIBRITACHI PROTEIN-ARAMAR"</f>
        <v>000308568 - CASA DIBRITACHI PROTEIN-ARAMAR</v>
      </c>
      <c r="C13337" t="s">
        <v>330</v>
      </c>
      <c r="D13337" s="1" t="str">
        <f t="shared" si="367"/>
        <v>PRG-1039721</v>
      </c>
      <c r="E13337" t="s">
        <v>347</v>
      </c>
      <c r="F13337" t="s">
        <v>4</v>
      </c>
      <c r="G13337" t="str">
        <f>""</f>
        <v/>
      </c>
    </row>
    <row r="13338" spans="1:7" x14ac:dyDescent="0.25">
      <c r="A13338" t="s">
        <v>8</v>
      </c>
      <c r="B13338" s="1" t="str">
        <f>"000314607 - CASA DIBRITACHI PROTEIN-ARMARK"</f>
        <v>000314607 - CASA DIBRITACHI PROTEIN-ARMARK</v>
      </c>
      <c r="C13338" t="s">
        <v>246</v>
      </c>
      <c r="D13338" s="1" t="str">
        <f t="shared" si="367"/>
        <v>PRG-1039721</v>
      </c>
      <c r="E13338" t="s">
        <v>347</v>
      </c>
      <c r="F13338" t="s">
        <v>4</v>
      </c>
      <c r="G13338" t="str">
        <f>""</f>
        <v/>
      </c>
    </row>
    <row r="13339" spans="1:7" x14ac:dyDescent="0.25">
      <c r="A13339" t="s">
        <v>8</v>
      </c>
      <c r="B13339" s="1" t="str">
        <f>"000323075 - CASA DIBRITACHI PROTEIN-ARMARK"</f>
        <v>000323075 - CASA DIBRITACHI PROTEIN-ARMARK</v>
      </c>
      <c r="C13339" t="s">
        <v>246</v>
      </c>
      <c r="D13339" s="1" t="str">
        <f t="shared" si="367"/>
        <v>PRG-1039721</v>
      </c>
      <c r="E13339" t="s">
        <v>347</v>
      </c>
      <c r="F13339" t="s">
        <v>4</v>
      </c>
      <c r="G13339" t="str">
        <f>""</f>
        <v/>
      </c>
    </row>
    <row r="13340" spans="1:7" x14ac:dyDescent="0.25">
      <c r="A13340" t="s">
        <v>8</v>
      </c>
      <c r="B13340" s="1" t="str">
        <f>"000325268 - CASA DIBERTACCHI-SSS ARAMARK"</f>
        <v>000325268 - CASA DIBERTACCHI-SSS ARAMARK</v>
      </c>
      <c r="C13340" t="s">
        <v>150</v>
      </c>
      <c r="D13340" s="1" t="str">
        <f t="shared" si="367"/>
        <v>PRG-1039721</v>
      </c>
      <c r="E13340" t="s">
        <v>347</v>
      </c>
      <c r="F13340" t="s">
        <v>4</v>
      </c>
      <c r="G13340" t="str">
        <f>""</f>
        <v/>
      </c>
    </row>
    <row r="13341" spans="1:7" x14ac:dyDescent="0.25">
      <c r="A13341" t="s">
        <v>8</v>
      </c>
      <c r="B13341" s="1" t="str">
        <f>"000333027 - CASA DIBRITACHI PROTEIN-ARMARK"</f>
        <v>000333027 - CASA DIBRITACHI PROTEIN-ARMARK</v>
      </c>
      <c r="C13341" t="s">
        <v>246</v>
      </c>
      <c r="D13341" s="1" t="str">
        <f t="shared" si="367"/>
        <v>PRG-1039721</v>
      </c>
      <c r="E13341" t="s">
        <v>347</v>
      </c>
      <c r="F13341" t="s">
        <v>4</v>
      </c>
      <c r="G13341" t="str">
        <f>""</f>
        <v/>
      </c>
    </row>
    <row r="13342" spans="1:7" x14ac:dyDescent="0.25">
      <c r="A13342" t="s">
        <v>8</v>
      </c>
      <c r="B13342" s="1" t="str">
        <f>"000336395 - CASA DEIBERTACCHI-SSS ARAMARK"</f>
        <v>000336395 - CASA DEIBERTACCHI-SSS ARAMARK</v>
      </c>
      <c r="C13342" t="s">
        <v>465</v>
      </c>
      <c r="D13342" s="1" t="str">
        <f t="shared" si="367"/>
        <v>PRG-1039721</v>
      </c>
      <c r="E13342" t="s">
        <v>347</v>
      </c>
      <c r="F13342" t="s">
        <v>4</v>
      </c>
      <c r="G13342" t="str">
        <f>""</f>
        <v/>
      </c>
    </row>
    <row r="13343" spans="1:7" x14ac:dyDescent="0.25">
      <c r="A13343" t="s">
        <v>8</v>
      </c>
      <c r="B13343" s="1" t="str">
        <f>"000337619 - CASA DEIBERTACCHI-SSS ARAMARK"</f>
        <v>000337619 - CASA DEIBERTACCHI-SSS ARAMARK</v>
      </c>
      <c r="C13343" t="s">
        <v>465</v>
      </c>
      <c r="D13343" s="1" t="str">
        <f t="shared" si="367"/>
        <v>PRG-1039721</v>
      </c>
      <c r="E13343" t="s">
        <v>347</v>
      </c>
      <c r="F13343" t="s">
        <v>4</v>
      </c>
      <c r="G13343" t="str">
        <f>""</f>
        <v/>
      </c>
    </row>
    <row r="13344" spans="1:7" x14ac:dyDescent="0.25">
      <c r="A13344" t="s">
        <v>8</v>
      </c>
      <c r="B13344" s="1" t="str">
        <f>"000339178 - CASA DIBRITACHI PROTEIN-ARAMAR"</f>
        <v>000339178 - CASA DIBRITACHI PROTEIN-ARAMAR</v>
      </c>
      <c r="C13344" t="s">
        <v>330</v>
      </c>
      <c r="D13344" s="1" t="str">
        <f t="shared" si="367"/>
        <v>PRG-1039721</v>
      </c>
      <c r="E13344" t="s">
        <v>347</v>
      </c>
      <c r="F13344" t="s">
        <v>4</v>
      </c>
      <c r="G13344" t="str">
        <f>""</f>
        <v/>
      </c>
    </row>
    <row r="13345" spans="1:7" x14ac:dyDescent="0.25">
      <c r="A13345" t="s">
        <v>8</v>
      </c>
      <c r="B13345" s="1" t="str">
        <f>"000344444 - CASA DIBRITACHI PROTEIN-ARMARK"</f>
        <v>000344444 - CASA DIBRITACHI PROTEIN-ARMARK</v>
      </c>
      <c r="C13345" t="s">
        <v>246</v>
      </c>
      <c r="D13345" s="1" t="str">
        <f t="shared" si="367"/>
        <v>PRG-1039721</v>
      </c>
      <c r="E13345" t="s">
        <v>347</v>
      </c>
      <c r="F13345" t="s">
        <v>4</v>
      </c>
      <c r="G13345" t="str">
        <f>""</f>
        <v/>
      </c>
    </row>
    <row r="13346" spans="1:7" x14ac:dyDescent="0.25">
      <c r="A13346" t="s">
        <v>8</v>
      </c>
      <c r="B13346" s="1" t="str">
        <f>"000355120 - CASA DIBERTACCHI-SSS ARAMARK"</f>
        <v>000355120 - CASA DIBERTACCHI-SSS ARAMARK</v>
      </c>
      <c r="C13346" t="s">
        <v>150</v>
      </c>
      <c r="D13346" s="1" t="str">
        <f t="shared" ref="D13346:D13374" si="368">"PRG-1039721"</f>
        <v>PRG-1039721</v>
      </c>
      <c r="E13346" t="s">
        <v>347</v>
      </c>
      <c r="F13346" t="s">
        <v>4</v>
      </c>
      <c r="G13346" t="str">
        <f>""</f>
        <v/>
      </c>
    </row>
    <row r="13347" spans="1:7" x14ac:dyDescent="0.25">
      <c r="A13347" t="s">
        <v>8</v>
      </c>
      <c r="B13347" s="1" t="str">
        <f>"000356053 - CASA DIBRITACHI PROTEIN-ARMARK"</f>
        <v>000356053 - CASA DIBRITACHI PROTEIN-ARMARK</v>
      </c>
      <c r="C13347" t="s">
        <v>246</v>
      </c>
      <c r="D13347" s="1" t="str">
        <f t="shared" si="368"/>
        <v>PRG-1039721</v>
      </c>
      <c r="E13347" t="s">
        <v>347</v>
      </c>
      <c r="F13347" t="s">
        <v>4</v>
      </c>
      <c r="G13347" t="str">
        <f>""</f>
        <v/>
      </c>
    </row>
    <row r="13348" spans="1:7" x14ac:dyDescent="0.25">
      <c r="A13348" t="s">
        <v>8</v>
      </c>
      <c r="B13348" s="1" t="str">
        <f>"000359209 - CASA DIBRITACHI PROTEIN-ARMARK"</f>
        <v>000359209 - CASA DIBRITACHI PROTEIN-ARMARK</v>
      </c>
      <c r="C13348" t="s">
        <v>246</v>
      </c>
      <c r="D13348" s="1" t="str">
        <f t="shared" si="368"/>
        <v>PRG-1039721</v>
      </c>
      <c r="E13348" t="s">
        <v>347</v>
      </c>
      <c r="F13348" t="s">
        <v>4</v>
      </c>
      <c r="G13348" t="str">
        <f>""</f>
        <v/>
      </c>
    </row>
    <row r="13349" spans="1:7" x14ac:dyDescent="0.25">
      <c r="A13349" t="s">
        <v>8</v>
      </c>
      <c r="B13349" s="1" t="str">
        <f>"000363823 - CASA DEIBERTACCHI-SSS ARAMARK"</f>
        <v>000363823 - CASA DEIBERTACCHI-SSS ARAMARK</v>
      </c>
      <c r="C13349" t="s">
        <v>465</v>
      </c>
      <c r="D13349" s="1" t="str">
        <f t="shared" si="368"/>
        <v>PRG-1039721</v>
      </c>
      <c r="E13349" t="s">
        <v>347</v>
      </c>
      <c r="F13349" t="s">
        <v>4</v>
      </c>
      <c r="G13349" t="str">
        <f>""</f>
        <v/>
      </c>
    </row>
    <row r="13350" spans="1:7" x14ac:dyDescent="0.25">
      <c r="A13350" t="s">
        <v>8</v>
      </c>
      <c r="B13350" s="1" t="str">
        <f>"000363865 - CASA DEIBERTACCHI-SSS ARAMARK"</f>
        <v>000363865 - CASA DEIBERTACCHI-SSS ARAMARK</v>
      </c>
      <c r="C13350" t="s">
        <v>465</v>
      </c>
      <c r="D13350" s="1" t="str">
        <f t="shared" si="368"/>
        <v>PRG-1039721</v>
      </c>
      <c r="E13350" t="s">
        <v>347</v>
      </c>
      <c r="F13350" t="s">
        <v>4</v>
      </c>
      <c r="G13350" t="str">
        <f>""</f>
        <v/>
      </c>
    </row>
    <row r="13351" spans="1:7" x14ac:dyDescent="0.25">
      <c r="A13351" t="s">
        <v>8</v>
      </c>
      <c r="B13351" s="1" t="str">
        <f>"000365116 - CASA DIBRITACHI PROTEIN-ARMARK"</f>
        <v>000365116 - CASA DIBRITACHI PROTEIN-ARMARK</v>
      </c>
      <c r="C13351" t="s">
        <v>246</v>
      </c>
      <c r="D13351" s="1" t="str">
        <f t="shared" si="368"/>
        <v>PRG-1039721</v>
      </c>
      <c r="E13351" t="s">
        <v>347</v>
      </c>
      <c r="F13351" t="s">
        <v>4</v>
      </c>
      <c r="G13351" t="str">
        <f>""</f>
        <v/>
      </c>
    </row>
    <row r="13352" spans="1:7" x14ac:dyDescent="0.25">
      <c r="A13352" t="s">
        <v>8</v>
      </c>
      <c r="B13352" s="1" t="str">
        <f>"000366542 - CASA DIBRITACHI PROTEIN-ARAMAR"</f>
        <v>000366542 - CASA DIBRITACHI PROTEIN-ARAMAR</v>
      </c>
      <c r="C13352" t="s">
        <v>330</v>
      </c>
      <c r="D13352" s="1" t="str">
        <f t="shared" si="368"/>
        <v>PRG-1039721</v>
      </c>
      <c r="E13352" t="s">
        <v>347</v>
      </c>
      <c r="F13352" t="s">
        <v>4</v>
      </c>
      <c r="G13352" t="str">
        <f>""</f>
        <v/>
      </c>
    </row>
    <row r="13353" spans="1:7" x14ac:dyDescent="0.25">
      <c r="A13353" t="s">
        <v>8</v>
      </c>
      <c r="B13353" s="1" t="str">
        <f>"000367719 - CASA DIBRITACHI PROTEIN-ARMARK"</f>
        <v>000367719 - CASA DIBRITACHI PROTEIN-ARMARK</v>
      </c>
      <c r="C13353" t="s">
        <v>246</v>
      </c>
      <c r="D13353" s="1" t="str">
        <f t="shared" si="368"/>
        <v>PRG-1039721</v>
      </c>
      <c r="E13353" t="s">
        <v>347</v>
      </c>
      <c r="F13353" t="s">
        <v>4</v>
      </c>
      <c r="G13353" t="str">
        <f>""</f>
        <v/>
      </c>
    </row>
    <row r="13354" spans="1:7" x14ac:dyDescent="0.25">
      <c r="A13354" t="s">
        <v>8</v>
      </c>
      <c r="B13354" s="1" t="str">
        <f>"000367946 - CASA DIBRITACHI PROTEIN-ARMARK"</f>
        <v>000367946 - CASA DIBRITACHI PROTEIN-ARMARK</v>
      </c>
      <c r="C13354" t="s">
        <v>246</v>
      </c>
      <c r="D13354" s="1" t="str">
        <f t="shared" si="368"/>
        <v>PRG-1039721</v>
      </c>
      <c r="E13354" t="s">
        <v>347</v>
      </c>
      <c r="F13354" t="s">
        <v>4</v>
      </c>
      <c r="G13354" t="str">
        <f>""</f>
        <v/>
      </c>
    </row>
    <row r="13355" spans="1:7" x14ac:dyDescent="0.25">
      <c r="A13355" t="s">
        <v>8</v>
      </c>
      <c r="B13355" s="1" t="str">
        <f>"000368332 - CASA DIBRITACHI PROTEIN-ARAMAR"</f>
        <v>000368332 - CASA DIBRITACHI PROTEIN-ARAMAR</v>
      </c>
      <c r="C13355" t="s">
        <v>330</v>
      </c>
      <c r="D13355" s="1" t="str">
        <f t="shared" si="368"/>
        <v>PRG-1039721</v>
      </c>
      <c r="E13355" t="s">
        <v>347</v>
      </c>
      <c r="F13355" t="s">
        <v>4</v>
      </c>
      <c r="G13355" t="str">
        <f>""</f>
        <v/>
      </c>
    </row>
    <row r="13356" spans="1:7" x14ac:dyDescent="0.25">
      <c r="A13356" t="s">
        <v>8</v>
      </c>
      <c r="B13356" s="1" t="str">
        <f>"000372363 - CASA DEIBERTACCHI-SSS ARAMARK"</f>
        <v>000372363 - CASA DEIBERTACCHI-SSS ARAMARK</v>
      </c>
      <c r="C13356" t="s">
        <v>465</v>
      </c>
      <c r="D13356" s="1" t="str">
        <f t="shared" si="368"/>
        <v>PRG-1039721</v>
      </c>
      <c r="E13356" t="s">
        <v>347</v>
      </c>
      <c r="F13356" t="s">
        <v>4</v>
      </c>
      <c r="G13356" t="str">
        <f>""</f>
        <v/>
      </c>
    </row>
    <row r="13357" spans="1:7" x14ac:dyDescent="0.25">
      <c r="A13357" t="s">
        <v>8</v>
      </c>
      <c r="B13357" s="1" t="str">
        <f>"000373103 - CASA DEIBERTACCHI-SSS ARAMARK"</f>
        <v>000373103 - CASA DEIBERTACCHI-SSS ARAMARK</v>
      </c>
      <c r="C13357" t="s">
        <v>465</v>
      </c>
      <c r="D13357" s="1" t="str">
        <f t="shared" si="368"/>
        <v>PRG-1039721</v>
      </c>
      <c r="E13357" t="s">
        <v>347</v>
      </c>
      <c r="F13357" t="s">
        <v>4</v>
      </c>
      <c r="G13357" t="str">
        <f>""</f>
        <v/>
      </c>
    </row>
    <row r="13358" spans="1:7" x14ac:dyDescent="0.25">
      <c r="A13358" t="s">
        <v>8</v>
      </c>
      <c r="B13358" s="1" t="str">
        <f>"000374352 - CASA DIBRITACHI PROTEIN-ARMARK"</f>
        <v>000374352 - CASA DIBRITACHI PROTEIN-ARMARK</v>
      </c>
      <c r="C13358" t="s">
        <v>246</v>
      </c>
      <c r="D13358" s="1" t="str">
        <f t="shared" si="368"/>
        <v>PRG-1039721</v>
      </c>
      <c r="E13358" t="s">
        <v>347</v>
      </c>
      <c r="F13358" t="s">
        <v>4</v>
      </c>
      <c r="G13358" t="str">
        <f>""</f>
        <v/>
      </c>
    </row>
    <row r="13359" spans="1:7" x14ac:dyDescent="0.25">
      <c r="A13359" t="s">
        <v>8</v>
      </c>
      <c r="B13359" s="1" t="str">
        <f>"000375394 - CASA DEIBERTACCHI-SSS ARAMARK"</f>
        <v>000375394 - CASA DEIBERTACCHI-SSS ARAMARK</v>
      </c>
      <c r="C13359" t="s">
        <v>465</v>
      </c>
      <c r="D13359" s="1" t="str">
        <f t="shared" si="368"/>
        <v>PRG-1039721</v>
      </c>
      <c r="E13359" t="s">
        <v>347</v>
      </c>
      <c r="F13359" t="s">
        <v>4</v>
      </c>
      <c r="G13359" t="str">
        <f>""</f>
        <v/>
      </c>
    </row>
    <row r="13360" spans="1:7" x14ac:dyDescent="0.25">
      <c r="A13360" t="s">
        <v>8</v>
      </c>
      <c r="B13360" s="1" t="str">
        <f>"000375999 - CASA DIBRITACHI PROTEIN-ARMARK"</f>
        <v>000375999 - CASA DIBRITACHI PROTEIN-ARMARK</v>
      </c>
      <c r="C13360" t="s">
        <v>246</v>
      </c>
      <c r="D13360" s="1" t="str">
        <f t="shared" si="368"/>
        <v>PRG-1039721</v>
      </c>
      <c r="E13360" t="s">
        <v>347</v>
      </c>
      <c r="F13360" t="s">
        <v>4</v>
      </c>
      <c r="G13360" t="str">
        <f>""</f>
        <v/>
      </c>
    </row>
    <row r="13361" spans="1:7" x14ac:dyDescent="0.25">
      <c r="A13361" t="s">
        <v>8</v>
      </c>
      <c r="B13361" s="1" t="str">
        <f>"000376481 - CASA DIBRITACHI PROTEIN-ARAMAR"</f>
        <v>000376481 - CASA DIBRITACHI PROTEIN-ARAMAR</v>
      </c>
      <c r="C13361" t="s">
        <v>330</v>
      </c>
      <c r="D13361" s="1" t="str">
        <f t="shared" si="368"/>
        <v>PRG-1039721</v>
      </c>
      <c r="E13361" t="s">
        <v>347</v>
      </c>
      <c r="F13361" t="s">
        <v>4</v>
      </c>
      <c r="G13361" t="str">
        <f>""</f>
        <v/>
      </c>
    </row>
    <row r="13362" spans="1:7" x14ac:dyDescent="0.25">
      <c r="A13362" t="s">
        <v>8</v>
      </c>
      <c r="B13362" s="1" t="str">
        <f>"000377693 - CASA DIBRITACHI PROTEIN-ARMARK"</f>
        <v>000377693 - CASA DIBRITACHI PROTEIN-ARMARK</v>
      </c>
      <c r="C13362" t="s">
        <v>246</v>
      </c>
      <c r="D13362" s="1" t="str">
        <f t="shared" si="368"/>
        <v>PRG-1039721</v>
      </c>
      <c r="E13362" t="s">
        <v>347</v>
      </c>
      <c r="F13362" t="s">
        <v>4</v>
      </c>
      <c r="G13362" t="str">
        <f>""</f>
        <v/>
      </c>
    </row>
    <row r="13363" spans="1:7" x14ac:dyDescent="0.25">
      <c r="A13363" t="s">
        <v>8</v>
      </c>
      <c r="B13363" s="1" t="str">
        <f>"000378053 - CASA DIBRITACHI PROTEIN-ARAMAR"</f>
        <v>000378053 - CASA DIBRITACHI PROTEIN-ARAMAR</v>
      </c>
      <c r="C13363" t="s">
        <v>330</v>
      </c>
      <c r="D13363" s="1" t="str">
        <f t="shared" si="368"/>
        <v>PRG-1039721</v>
      </c>
      <c r="E13363" t="s">
        <v>347</v>
      </c>
      <c r="F13363" t="s">
        <v>4</v>
      </c>
      <c r="G13363" t="str">
        <f>""</f>
        <v/>
      </c>
    </row>
    <row r="13364" spans="1:7" x14ac:dyDescent="0.25">
      <c r="A13364" t="s">
        <v>8</v>
      </c>
      <c r="B13364" s="1" t="str">
        <f>"000382061 - CASA DIBRITACHI PROTEIN-ARMARK"</f>
        <v>000382061 - CASA DIBRITACHI PROTEIN-ARMARK</v>
      </c>
      <c r="C13364" t="s">
        <v>246</v>
      </c>
      <c r="D13364" s="1" t="str">
        <f t="shared" si="368"/>
        <v>PRG-1039721</v>
      </c>
      <c r="E13364" t="s">
        <v>347</v>
      </c>
      <c r="F13364" t="s">
        <v>4</v>
      </c>
      <c r="G13364" t="str">
        <f>""</f>
        <v/>
      </c>
    </row>
    <row r="13365" spans="1:7" x14ac:dyDescent="0.25">
      <c r="A13365" t="s">
        <v>8</v>
      </c>
      <c r="B13365" s="1" t="str">
        <f>"000383510 - CASA DIBRITACHI PROTEIN-ARMARK"</f>
        <v>000383510 - CASA DIBRITACHI PROTEIN-ARMARK</v>
      </c>
      <c r="C13365" t="s">
        <v>246</v>
      </c>
      <c r="D13365" s="1" t="str">
        <f t="shared" si="368"/>
        <v>PRG-1039721</v>
      </c>
      <c r="E13365" t="s">
        <v>347</v>
      </c>
      <c r="F13365" t="s">
        <v>4</v>
      </c>
      <c r="G13365" t="str">
        <f>""</f>
        <v/>
      </c>
    </row>
    <row r="13366" spans="1:7" x14ac:dyDescent="0.25">
      <c r="A13366" t="s">
        <v>8</v>
      </c>
      <c r="B13366" s="1" t="str">
        <f>"000383825 - CASA DIBRITACHI PROTEIN-ARAMAR"</f>
        <v>000383825 - CASA DIBRITACHI PROTEIN-ARAMAR</v>
      </c>
      <c r="C13366" t="s">
        <v>330</v>
      </c>
      <c r="D13366" s="1" t="str">
        <f t="shared" si="368"/>
        <v>PRG-1039721</v>
      </c>
      <c r="E13366" t="s">
        <v>347</v>
      </c>
      <c r="F13366" t="s">
        <v>4</v>
      </c>
      <c r="G13366" t="str">
        <f>""</f>
        <v/>
      </c>
    </row>
    <row r="13367" spans="1:7" x14ac:dyDescent="0.25">
      <c r="A13367" t="s">
        <v>8</v>
      </c>
      <c r="B13367" s="1" t="str">
        <f>"000385716 - CASA DIBRITACHI PROTEIN-ARAMAR"</f>
        <v>000385716 - CASA DIBRITACHI PROTEIN-ARAMAR</v>
      </c>
      <c r="C13367" t="s">
        <v>330</v>
      </c>
      <c r="D13367" s="1" t="str">
        <f t="shared" si="368"/>
        <v>PRG-1039721</v>
      </c>
      <c r="E13367" t="s">
        <v>347</v>
      </c>
      <c r="F13367" t="s">
        <v>4</v>
      </c>
      <c r="G13367" t="str">
        <f>""</f>
        <v/>
      </c>
    </row>
    <row r="13368" spans="1:7" x14ac:dyDescent="0.25">
      <c r="A13368" t="s">
        <v>8</v>
      </c>
      <c r="B13368" s="1" t="str">
        <f>"000387359 - "</f>
        <v xml:space="preserve">000387359 - </v>
      </c>
      <c r="D13368" s="1" t="str">
        <f t="shared" si="368"/>
        <v>PRG-1039721</v>
      </c>
      <c r="E13368" t="s">
        <v>347</v>
      </c>
      <c r="F13368" t="s">
        <v>4</v>
      </c>
      <c r="G13368" t="str">
        <f>""</f>
        <v/>
      </c>
    </row>
    <row r="13369" spans="1:7" x14ac:dyDescent="0.25">
      <c r="A13369" t="s">
        <v>8</v>
      </c>
      <c r="B13369" s="1" t="str">
        <f>"000389510 - CASA DEIBERTACCHI-SSS ARAMARK"</f>
        <v>000389510 - CASA DEIBERTACCHI-SSS ARAMARK</v>
      </c>
      <c r="C13369" t="s">
        <v>465</v>
      </c>
      <c r="D13369" s="1" t="str">
        <f t="shared" si="368"/>
        <v>PRG-1039721</v>
      </c>
      <c r="E13369" t="s">
        <v>347</v>
      </c>
      <c r="F13369" t="s">
        <v>4</v>
      </c>
      <c r="G13369" t="str">
        <f>""</f>
        <v/>
      </c>
    </row>
    <row r="13370" spans="1:7" x14ac:dyDescent="0.25">
      <c r="A13370" t="s">
        <v>8</v>
      </c>
      <c r="B13370" s="1" t="str">
        <f>"000390680 - CASA DEIBERTACCHI-SSS ARAMARK"</f>
        <v>000390680 - CASA DEIBERTACCHI-SSS ARAMARK</v>
      </c>
      <c r="C13370" t="s">
        <v>465</v>
      </c>
      <c r="D13370" s="1" t="str">
        <f t="shared" si="368"/>
        <v>PRG-1039721</v>
      </c>
      <c r="E13370" t="s">
        <v>347</v>
      </c>
      <c r="F13370" t="s">
        <v>4</v>
      </c>
      <c r="G13370" t="str">
        <f>""</f>
        <v/>
      </c>
    </row>
    <row r="13371" spans="1:7" x14ac:dyDescent="0.25">
      <c r="A13371" t="s">
        <v>8</v>
      </c>
      <c r="B13371" s="1" t="str">
        <f>"000392157 - CASA DIBRITACHI PROTEIN-ARAMAR"</f>
        <v>000392157 - CASA DIBRITACHI PROTEIN-ARAMAR</v>
      </c>
      <c r="C13371" t="s">
        <v>330</v>
      </c>
      <c r="D13371" s="1" t="str">
        <f t="shared" si="368"/>
        <v>PRG-1039721</v>
      </c>
      <c r="E13371" t="s">
        <v>347</v>
      </c>
      <c r="F13371" t="s">
        <v>4</v>
      </c>
      <c r="G13371" t="str">
        <f>""</f>
        <v/>
      </c>
    </row>
    <row r="13372" spans="1:7" x14ac:dyDescent="0.25">
      <c r="A13372" t="s">
        <v>8</v>
      </c>
      <c r="B13372" s="1" t="str">
        <f>"000393224 - CASA DIBRITACHI PROTEIN-ARAMAR"</f>
        <v>000393224 - CASA DIBRITACHI PROTEIN-ARAMAR</v>
      </c>
      <c r="C13372" t="s">
        <v>330</v>
      </c>
      <c r="D13372" s="1" t="str">
        <f t="shared" si="368"/>
        <v>PRG-1039721</v>
      </c>
      <c r="E13372" t="s">
        <v>347</v>
      </c>
      <c r="F13372" t="s">
        <v>4</v>
      </c>
      <c r="G13372" t="str">
        <f>""</f>
        <v/>
      </c>
    </row>
    <row r="13373" spans="1:7" x14ac:dyDescent="0.25">
      <c r="A13373" t="s">
        <v>8</v>
      </c>
      <c r="B13373" s="1" t="str">
        <f>"000394300 - CASA DIBRITACHI PROTEIN-ARMARK"</f>
        <v>000394300 - CASA DIBRITACHI PROTEIN-ARMARK</v>
      </c>
      <c r="C13373" t="s">
        <v>246</v>
      </c>
      <c r="D13373" s="1" t="str">
        <f t="shared" si="368"/>
        <v>PRG-1039721</v>
      </c>
      <c r="E13373" t="s">
        <v>347</v>
      </c>
      <c r="F13373" t="s">
        <v>4</v>
      </c>
      <c r="G13373" t="str">
        <f>""</f>
        <v/>
      </c>
    </row>
    <row r="13374" spans="1:7" x14ac:dyDescent="0.25">
      <c r="A13374" t="s">
        <v>8</v>
      </c>
      <c r="B13374" s="1" t="str">
        <f>"000403241 - CASA DIBRITACHI PROTEIN-ARAMAR"</f>
        <v>000403241 - CASA DIBRITACHI PROTEIN-ARAMAR</v>
      </c>
      <c r="C13374" t="s">
        <v>330</v>
      </c>
      <c r="D13374" s="1" t="str">
        <f t="shared" si="368"/>
        <v>PRG-1039721</v>
      </c>
      <c r="E13374" t="s">
        <v>347</v>
      </c>
      <c r="F13374" t="s">
        <v>4</v>
      </c>
      <c r="G13374" t="str">
        <f>""</f>
        <v/>
      </c>
    </row>
    <row r="13375" spans="1:7" x14ac:dyDescent="0.25">
      <c r="A13375" t="s">
        <v>8</v>
      </c>
      <c r="B13375" s="1" t="str">
        <f>"000069331 - RICH-WEST ADA SCHOOL DIST. 201"</f>
        <v>000069331 - RICH-WEST ADA SCHOOL DIST. 201</v>
      </c>
      <c r="C13375" t="s">
        <v>724</v>
      </c>
      <c r="D13375" s="1" t="str">
        <f>"PRG-1039743"</f>
        <v>PRG-1039743</v>
      </c>
      <c r="E13375" t="s">
        <v>725</v>
      </c>
      <c r="F13375" t="s">
        <v>4</v>
      </c>
      <c r="G13375" t="str">
        <f>""</f>
        <v/>
      </c>
    </row>
    <row r="13376" spans="1:7" x14ac:dyDescent="0.25">
      <c r="A13376" t="s">
        <v>8</v>
      </c>
      <c r="B13376" s="1" t="str">
        <f>"S9D01N10"</f>
        <v>S9D01N10</v>
      </c>
      <c r="C13376" t="s">
        <v>6364</v>
      </c>
      <c r="D13376" s="1" t="str">
        <f>"PRG-1039763"</f>
        <v>PRG-1039763</v>
      </c>
      <c r="E13376" t="s">
        <v>6365</v>
      </c>
      <c r="F13376" t="s">
        <v>5</v>
      </c>
      <c r="G13376" t="str">
        <f>""</f>
        <v/>
      </c>
    </row>
    <row r="13377" spans="1:7" x14ac:dyDescent="0.25">
      <c r="A13377" t="s">
        <v>8</v>
      </c>
      <c r="B13377" s="1" t="str">
        <f>"31605527"</f>
        <v>31605527</v>
      </c>
      <c r="C13377" t="s">
        <v>4674</v>
      </c>
      <c r="D13377" s="1" t="str">
        <f>"PRG-1039852"</f>
        <v>PRG-1039852</v>
      </c>
      <c r="E13377" t="s">
        <v>258</v>
      </c>
      <c r="F13377" t="s">
        <v>5</v>
      </c>
      <c r="G13377" t="str">
        <f>""</f>
        <v/>
      </c>
    </row>
    <row r="13378" spans="1:7" x14ac:dyDescent="0.25">
      <c r="A13378" t="s">
        <v>8</v>
      </c>
      <c r="B13378" s="1" t="str">
        <f>"000038881 - ST CLOUD SCHOOLS RICHS"</f>
        <v>000038881 - ST CLOUD SCHOOLS RICHS</v>
      </c>
      <c r="C13378" t="s">
        <v>559</v>
      </c>
      <c r="D13378" s="1" t="str">
        <f>"PRG-1039906"</f>
        <v>PRG-1039906</v>
      </c>
      <c r="E13378" t="s">
        <v>560</v>
      </c>
      <c r="F13378" t="s">
        <v>4</v>
      </c>
      <c r="G13378" t="str">
        <f>""</f>
        <v/>
      </c>
    </row>
    <row r="13379" spans="1:7" x14ac:dyDescent="0.25">
      <c r="A13379" t="s">
        <v>8</v>
      </c>
      <c r="B13379" s="1" t="str">
        <f>"S8U01O70"</f>
        <v>S8U01O70</v>
      </c>
      <c r="C13379" t="s">
        <v>6289</v>
      </c>
      <c r="D13379" s="1" t="str">
        <f>"PRG-1039913"</f>
        <v>PRG-1039913</v>
      </c>
      <c r="E13379" t="s">
        <v>6290</v>
      </c>
      <c r="F13379" t="s">
        <v>5</v>
      </c>
      <c r="G13379" t="str">
        <f>""</f>
        <v/>
      </c>
    </row>
    <row r="13380" spans="1:7" x14ac:dyDescent="0.25">
      <c r="A13380" t="s">
        <v>8</v>
      </c>
      <c r="B13380" s="1" t="str">
        <f>"000314066 - RICH'S PLAYMAKERS"</f>
        <v>000314066 - RICH'S PLAYMAKERS</v>
      </c>
      <c r="C13380" t="s">
        <v>3151</v>
      </c>
      <c r="D13380" s="1" t="str">
        <f>"PRG-1039939"</f>
        <v>PRG-1039939</v>
      </c>
      <c r="E13380" t="s">
        <v>3152</v>
      </c>
      <c r="F13380" t="s">
        <v>4</v>
      </c>
      <c r="G13380" t="str">
        <f>""</f>
        <v/>
      </c>
    </row>
    <row r="13381" spans="1:7" x14ac:dyDescent="0.25">
      <c r="A13381" t="s">
        <v>8</v>
      </c>
      <c r="B13381" s="1" t="str">
        <f>"000319279 - RICH PLAYMAKERS"</f>
        <v>000319279 - RICH PLAYMAKERS</v>
      </c>
      <c r="C13381" t="s">
        <v>3226</v>
      </c>
      <c r="D13381" s="1" t="str">
        <f>"PRG-1039939"</f>
        <v>PRG-1039939</v>
      </c>
      <c r="E13381" t="s">
        <v>3152</v>
      </c>
      <c r="F13381" t="s">
        <v>4</v>
      </c>
      <c r="G13381" t="str">
        <f>""</f>
        <v/>
      </c>
    </row>
    <row r="13382" spans="1:7" x14ac:dyDescent="0.25">
      <c r="A13382" t="s">
        <v>8</v>
      </c>
      <c r="B13382" s="1" t="str">
        <f>"000194452 - RICHS PASADENA USD"</f>
        <v>000194452 - RICHS PASADENA USD</v>
      </c>
      <c r="C13382" t="s">
        <v>1244</v>
      </c>
      <c r="D13382" s="1" t="str">
        <f>"PRG-1039969"</f>
        <v>PRG-1039969</v>
      </c>
      <c r="E13382" t="s">
        <v>1245</v>
      </c>
      <c r="F13382" t="s">
        <v>4</v>
      </c>
      <c r="G13382" t="str">
        <f>""</f>
        <v/>
      </c>
    </row>
    <row r="13383" spans="1:7" x14ac:dyDescent="0.25">
      <c r="A13383" t="s">
        <v>8</v>
      </c>
      <c r="B13383" s="1" t="str">
        <f>"000112149 - RICH FOODS-GRANITE CITY"</f>
        <v>000112149 - RICH FOODS-GRANITE CITY</v>
      </c>
      <c r="C13383" t="s">
        <v>820</v>
      </c>
      <c r="D13383" s="1" t="str">
        <f t="shared" ref="D13383:D13410" si="369">"PRG-1039984"</f>
        <v>PRG-1039984</v>
      </c>
      <c r="E13383" t="s">
        <v>846</v>
      </c>
      <c r="F13383" t="s">
        <v>4</v>
      </c>
      <c r="G13383" t="str">
        <f>""</f>
        <v/>
      </c>
    </row>
    <row r="13384" spans="1:7" x14ac:dyDescent="0.25">
      <c r="A13384" t="s">
        <v>8</v>
      </c>
      <c r="B13384" s="1" t="str">
        <f>"000133258 - RICH FOODS-GRANITE CITY"</f>
        <v>000133258 - RICH FOODS-GRANITE CITY</v>
      </c>
      <c r="C13384" t="s">
        <v>820</v>
      </c>
      <c r="D13384" s="1" t="str">
        <f t="shared" si="369"/>
        <v>PRG-1039984</v>
      </c>
      <c r="E13384" t="s">
        <v>846</v>
      </c>
      <c r="F13384" t="s">
        <v>4</v>
      </c>
      <c r="G13384" t="str">
        <f>""</f>
        <v/>
      </c>
    </row>
    <row r="13385" spans="1:7" x14ac:dyDescent="0.25">
      <c r="A13385" t="s">
        <v>8</v>
      </c>
      <c r="B13385" s="1" t="str">
        <f>"000163837 - RICH FOODS-GRANITE CITY"</f>
        <v>000163837 - RICH FOODS-GRANITE CITY</v>
      </c>
      <c r="C13385" t="s">
        <v>820</v>
      </c>
      <c r="D13385" s="1" t="str">
        <f t="shared" si="369"/>
        <v>PRG-1039984</v>
      </c>
      <c r="E13385" t="s">
        <v>846</v>
      </c>
      <c r="F13385" t="s">
        <v>4</v>
      </c>
      <c r="G13385" t="str">
        <f>""</f>
        <v/>
      </c>
    </row>
    <row r="13386" spans="1:7" x14ac:dyDescent="0.25">
      <c r="A13386" t="s">
        <v>8</v>
      </c>
      <c r="B13386" s="1" t="str">
        <f>"000169501 - RICH FOODS-GRANITE CITY"</f>
        <v>000169501 - RICH FOODS-GRANITE CITY</v>
      </c>
      <c r="C13386" t="s">
        <v>820</v>
      </c>
      <c r="D13386" s="1" t="str">
        <f t="shared" si="369"/>
        <v>PRG-1039984</v>
      </c>
      <c r="E13386" t="s">
        <v>846</v>
      </c>
      <c r="F13386" t="s">
        <v>4</v>
      </c>
      <c r="G13386" t="str">
        <f>""</f>
        <v/>
      </c>
    </row>
    <row r="13387" spans="1:7" x14ac:dyDescent="0.25">
      <c r="A13387" t="s">
        <v>8</v>
      </c>
      <c r="B13387" s="1" t="str">
        <f>"000217865 - RICH FOODS-GRANITE CITY"</f>
        <v>000217865 - RICH FOODS-GRANITE CITY</v>
      </c>
      <c r="C13387" t="s">
        <v>820</v>
      </c>
      <c r="D13387" s="1" t="str">
        <f t="shared" si="369"/>
        <v>PRG-1039984</v>
      </c>
      <c r="E13387" t="s">
        <v>846</v>
      </c>
      <c r="F13387" t="s">
        <v>4</v>
      </c>
      <c r="G13387" t="str">
        <f>""</f>
        <v/>
      </c>
    </row>
    <row r="13388" spans="1:7" x14ac:dyDescent="0.25">
      <c r="A13388" t="s">
        <v>8</v>
      </c>
      <c r="B13388" s="1" t="str">
        <f>"000227989 - RICH FOODS-GRANITE CITY"</f>
        <v>000227989 - RICH FOODS-GRANITE CITY</v>
      </c>
      <c r="C13388" t="s">
        <v>820</v>
      </c>
      <c r="D13388" s="1" t="str">
        <f t="shared" si="369"/>
        <v>PRG-1039984</v>
      </c>
      <c r="E13388" t="s">
        <v>846</v>
      </c>
      <c r="F13388" t="s">
        <v>4</v>
      </c>
      <c r="G13388" t="str">
        <f>""</f>
        <v/>
      </c>
    </row>
    <row r="13389" spans="1:7" x14ac:dyDescent="0.25">
      <c r="A13389" t="s">
        <v>8</v>
      </c>
      <c r="B13389" s="1" t="str">
        <f>"000259540 - RICH FOODS-GRANITE CITY"</f>
        <v>000259540 - RICH FOODS-GRANITE CITY</v>
      </c>
      <c r="C13389" t="s">
        <v>820</v>
      </c>
      <c r="D13389" s="1" t="str">
        <f t="shared" si="369"/>
        <v>PRG-1039984</v>
      </c>
      <c r="E13389" t="s">
        <v>846</v>
      </c>
      <c r="F13389" t="s">
        <v>4</v>
      </c>
      <c r="G13389" t="str">
        <f>""</f>
        <v/>
      </c>
    </row>
    <row r="13390" spans="1:7" x14ac:dyDescent="0.25">
      <c r="A13390" t="s">
        <v>8</v>
      </c>
      <c r="B13390" s="1" t="str">
        <f>"000264325 - RICH FOODS-GRANITE CITY"</f>
        <v>000264325 - RICH FOODS-GRANITE CITY</v>
      </c>
      <c r="C13390" t="s">
        <v>820</v>
      </c>
      <c r="D13390" s="1" t="str">
        <f t="shared" si="369"/>
        <v>PRG-1039984</v>
      </c>
      <c r="E13390" t="s">
        <v>846</v>
      </c>
      <c r="F13390" t="s">
        <v>4</v>
      </c>
      <c r="G13390" t="str">
        <f>""</f>
        <v/>
      </c>
    </row>
    <row r="13391" spans="1:7" x14ac:dyDescent="0.25">
      <c r="A13391" t="s">
        <v>8</v>
      </c>
      <c r="B13391" s="1" t="str">
        <f>"000264326 - BB GRANITE FOB RICH"</f>
        <v>000264326 - BB GRANITE FOB RICH</v>
      </c>
      <c r="C13391" t="s">
        <v>1212</v>
      </c>
      <c r="D13391" s="1" t="str">
        <f t="shared" si="369"/>
        <v>PRG-1039984</v>
      </c>
      <c r="E13391" t="s">
        <v>846</v>
      </c>
      <c r="F13391" t="s">
        <v>4</v>
      </c>
      <c r="G13391" t="str">
        <f>""</f>
        <v/>
      </c>
    </row>
    <row r="13392" spans="1:7" x14ac:dyDescent="0.25">
      <c r="A13392" t="s">
        <v>8</v>
      </c>
      <c r="B13392" s="1" t="str">
        <f>"000269806 - RICH FOODS-GRANITE CITY"</f>
        <v>000269806 - RICH FOODS-GRANITE CITY</v>
      </c>
      <c r="C13392" t="s">
        <v>820</v>
      </c>
      <c r="D13392" s="1" t="str">
        <f t="shared" si="369"/>
        <v>PRG-1039984</v>
      </c>
      <c r="E13392" t="s">
        <v>846</v>
      </c>
      <c r="F13392" t="s">
        <v>4</v>
      </c>
      <c r="G13392" t="str">
        <f>""</f>
        <v/>
      </c>
    </row>
    <row r="13393" spans="1:7" x14ac:dyDescent="0.25">
      <c r="A13393" t="s">
        <v>8</v>
      </c>
      <c r="B13393" s="1" t="str">
        <f>"000270898 - RICH FOODS-GRANITE CITY"</f>
        <v>000270898 - RICH FOODS-GRANITE CITY</v>
      </c>
      <c r="C13393" t="s">
        <v>820</v>
      </c>
      <c r="D13393" s="1" t="str">
        <f t="shared" si="369"/>
        <v>PRG-1039984</v>
      </c>
      <c r="E13393" t="s">
        <v>846</v>
      </c>
      <c r="F13393" t="s">
        <v>4</v>
      </c>
      <c r="G13393" t="str">
        <f>""</f>
        <v/>
      </c>
    </row>
    <row r="13394" spans="1:7" x14ac:dyDescent="0.25">
      <c r="A13394" t="s">
        <v>8</v>
      </c>
      <c r="B13394" s="1" t="str">
        <f>"000271120 - RICH FOODS-GRANITE CITY"</f>
        <v>000271120 - RICH FOODS-GRANITE CITY</v>
      </c>
      <c r="C13394" t="s">
        <v>820</v>
      </c>
      <c r="D13394" s="1" t="str">
        <f t="shared" si="369"/>
        <v>PRG-1039984</v>
      </c>
      <c r="E13394" t="s">
        <v>846</v>
      </c>
      <c r="F13394" t="s">
        <v>4</v>
      </c>
      <c r="G13394" t="str">
        <f>""</f>
        <v/>
      </c>
    </row>
    <row r="13395" spans="1:7" x14ac:dyDescent="0.25">
      <c r="A13395" t="s">
        <v>8</v>
      </c>
      <c r="B13395" s="1" t="str">
        <f>"000271657 - RICH FOODS-GRANITE CITY"</f>
        <v>000271657 - RICH FOODS-GRANITE CITY</v>
      </c>
      <c r="C13395" t="s">
        <v>820</v>
      </c>
      <c r="D13395" s="1" t="str">
        <f t="shared" si="369"/>
        <v>PRG-1039984</v>
      </c>
      <c r="E13395" t="s">
        <v>846</v>
      </c>
      <c r="F13395" t="s">
        <v>4</v>
      </c>
      <c r="G13395" t="str">
        <f>""</f>
        <v/>
      </c>
    </row>
    <row r="13396" spans="1:7" x14ac:dyDescent="0.25">
      <c r="A13396" t="s">
        <v>8</v>
      </c>
      <c r="B13396" s="1" t="str">
        <f>"000286314 - RICH FOODS-GRANITE CITY"</f>
        <v>000286314 - RICH FOODS-GRANITE CITY</v>
      </c>
      <c r="C13396" t="s">
        <v>820</v>
      </c>
      <c r="D13396" s="1" t="str">
        <f t="shared" si="369"/>
        <v>PRG-1039984</v>
      </c>
      <c r="E13396" t="s">
        <v>846</v>
      </c>
      <c r="F13396" t="s">
        <v>4</v>
      </c>
      <c r="G13396" t="str">
        <f>""</f>
        <v/>
      </c>
    </row>
    <row r="13397" spans="1:7" x14ac:dyDescent="0.25">
      <c r="A13397" t="s">
        <v>8</v>
      </c>
      <c r="B13397" s="1" t="str">
        <f>"000287804 - RICH FOODS-GRANITE CITY"</f>
        <v>000287804 - RICH FOODS-GRANITE CITY</v>
      </c>
      <c r="C13397" t="s">
        <v>820</v>
      </c>
      <c r="D13397" s="1" t="str">
        <f t="shared" si="369"/>
        <v>PRG-1039984</v>
      </c>
      <c r="E13397" t="s">
        <v>846</v>
      </c>
      <c r="F13397" t="s">
        <v>4</v>
      </c>
      <c r="G13397" t="str">
        <f>""</f>
        <v/>
      </c>
    </row>
    <row r="13398" spans="1:7" x14ac:dyDescent="0.25">
      <c r="A13398" t="s">
        <v>8</v>
      </c>
      <c r="B13398" s="1" t="str">
        <f>"000287916 - RICH FOODS-GRANITE CITY"</f>
        <v>000287916 - RICH FOODS-GRANITE CITY</v>
      </c>
      <c r="C13398" t="s">
        <v>820</v>
      </c>
      <c r="D13398" s="1" t="str">
        <f t="shared" si="369"/>
        <v>PRG-1039984</v>
      </c>
      <c r="E13398" t="s">
        <v>846</v>
      </c>
      <c r="F13398" t="s">
        <v>4</v>
      </c>
      <c r="G13398" t="str">
        <f>""</f>
        <v/>
      </c>
    </row>
    <row r="13399" spans="1:7" x14ac:dyDescent="0.25">
      <c r="A13399" t="s">
        <v>8</v>
      </c>
      <c r="B13399" s="1" t="str">
        <f>"000291455 - RICH FOODS-GRANITE CITY"</f>
        <v>000291455 - RICH FOODS-GRANITE CITY</v>
      </c>
      <c r="C13399" t="s">
        <v>820</v>
      </c>
      <c r="D13399" s="1" t="str">
        <f t="shared" si="369"/>
        <v>PRG-1039984</v>
      </c>
      <c r="E13399" t="s">
        <v>846</v>
      </c>
      <c r="F13399" t="s">
        <v>4</v>
      </c>
      <c r="G13399" t="str">
        <f>""</f>
        <v/>
      </c>
    </row>
    <row r="13400" spans="1:7" x14ac:dyDescent="0.25">
      <c r="A13400" t="s">
        <v>8</v>
      </c>
      <c r="B13400" s="1" t="str">
        <f>"000291789 - RICH FOODS-GRANITE CITY"</f>
        <v>000291789 - RICH FOODS-GRANITE CITY</v>
      </c>
      <c r="C13400" t="s">
        <v>820</v>
      </c>
      <c r="D13400" s="1" t="str">
        <f t="shared" si="369"/>
        <v>PRG-1039984</v>
      </c>
      <c r="E13400" t="s">
        <v>846</v>
      </c>
      <c r="F13400" t="s">
        <v>4</v>
      </c>
      <c r="G13400" t="str">
        <f>""</f>
        <v/>
      </c>
    </row>
    <row r="13401" spans="1:7" x14ac:dyDescent="0.25">
      <c r="A13401" t="s">
        <v>8</v>
      </c>
      <c r="B13401" s="1" t="str">
        <f>"000294986 - RICH FOODS-GRANITE CITY"</f>
        <v>000294986 - RICH FOODS-GRANITE CITY</v>
      </c>
      <c r="C13401" t="s">
        <v>820</v>
      </c>
      <c r="D13401" s="1" t="str">
        <f t="shared" si="369"/>
        <v>PRG-1039984</v>
      </c>
      <c r="E13401" t="s">
        <v>846</v>
      </c>
      <c r="F13401" t="s">
        <v>4</v>
      </c>
      <c r="G13401" t="str">
        <f>""</f>
        <v/>
      </c>
    </row>
    <row r="13402" spans="1:7" x14ac:dyDescent="0.25">
      <c r="A13402" t="s">
        <v>8</v>
      </c>
      <c r="B13402" s="1" t="str">
        <f>"000297172 - RICH FOODS-GRANITE CITY"</f>
        <v>000297172 - RICH FOODS-GRANITE CITY</v>
      </c>
      <c r="C13402" t="s">
        <v>820</v>
      </c>
      <c r="D13402" s="1" t="str">
        <f t="shared" si="369"/>
        <v>PRG-1039984</v>
      </c>
      <c r="E13402" t="s">
        <v>846</v>
      </c>
      <c r="F13402" t="s">
        <v>4</v>
      </c>
      <c r="G13402" t="str">
        <f>""</f>
        <v/>
      </c>
    </row>
    <row r="13403" spans="1:7" x14ac:dyDescent="0.25">
      <c r="A13403" t="s">
        <v>8</v>
      </c>
      <c r="B13403" s="1" t="str">
        <f>"000308040 - RICH FOODS-GRANITE CITY"</f>
        <v>000308040 - RICH FOODS-GRANITE CITY</v>
      </c>
      <c r="C13403" t="s">
        <v>820</v>
      </c>
      <c r="D13403" s="1" t="str">
        <f t="shared" si="369"/>
        <v>PRG-1039984</v>
      </c>
      <c r="E13403" t="s">
        <v>846</v>
      </c>
      <c r="F13403" t="s">
        <v>4</v>
      </c>
      <c r="G13403" t="str">
        <f>""</f>
        <v/>
      </c>
    </row>
    <row r="13404" spans="1:7" x14ac:dyDescent="0.25">
      <c r="A13404" t="s">
        <v>8</v>
      </c>
      <c r="B13404" s="1" t="str">
        <f>"000324753 - RICH FOODS-GRANITE CITY"</f>
        <v>000324753 - RICH FOODS-GRANITE CITY</v>
      </c>
      <c r="C13404" t="s">
        <v>820</v>
      </c>
      <c r="D13404" s="1" t="str">
        <f t="shared" si="369"/>
        <v>PRG-1039984</v>
      </c>
      <c r="E13404" t="s">
        <v>846</v>
      </c>
      <c r="F13404" t="s">
        <v>4</v>
      </c>
      <c r="G13404" t="str">
        <f>""</f>
        <v/>
      </c>
    </row>
    <row r="13405" spans="1:7" x14ac:dyDescent="0.25">
      <c r="A13405" t="s">
        <v>8</v>
      </c>
      <c r="B13405" s="1" t="str">
        <f>"000338743 - RICH FOODS-GRANITE CITY"</f>
        <v>000338743 - RICH FOODS-GRANITE CITY</v>
      </c>
      <c r="C13405" t="s">
        <v>820</v>
      </c>
      <c r="D13405" s="1" t="str">
        <f t="shared" si="369"/>
        <v>PRG-1039984</v>
      </c>
      <c r="E13405" t="s">
        <v>846</v>
      </c>
      <c r="F13405" t="s">
        <v>4</v>
      </c>
      <c r="G13405" t="str">
        <f>""</f>
        <v/>
      </c>
    </row>
    <row r="13406" spans="1:7" x14ac:dyDescent="0.25">
      <c r="A13406" t="s">
        <v>8</v>
      </c>
      <c r="B13406" s="1" t="str">
        <f>"000370162 - RICH FOODS-GRANITE CITY"</f>
        <v>000370162 - RICH FOODS-GRANITE CITY</v>
      </c>
      <c r="C13406" t="s">
        <v>820</v>
      </c>
      <c r="D13406" s="1" t="str">
        <f t="shared" si="369"/>
        <v>PRG-1039984</v>
      </c>
      <c r="E13406" t="s">
        <v>846</v>
      </c>
      <c r="F13406" t="s">
        <v>4</v>
      </c>
      <c r="G13406" t="str">
        <f>""</f>
        <v/>
      </c>
    </row>
    <row r="13407" spans="1:7" x14ac:dyDescent="0.25">
      <c r="A13407" t="s">
        <v>8</v>
      </c>
      <c r="B13407" s="1" t="str">
        <f>"000396229 - RICH FOODS-GRANITE CITY"</f>
        <v>000396229 - RICH FOODS-GRANITE CITY</v>
      </c>
      <c r="C13407" t="s">
        <v>820</v>
      </c>
      <c r="D13407" s="1" t="str">
        <f t="shared" si="369"/>
        <v>PRG-1039984</v>
      </c>
      <c r="E13407" t="s">
        <v>846</v>
      </c>
      <c r="F13407" t="s">
        <v>4</v>
      </c>
      <c r="G13407" t="str">
        <f>""</f>
        <v/>
      </c>
    </row>
    <row r="13408" spans="1:7" x14ac:dyDescent="0.25">
      <c r="A13408" t="s">
        <v>8</v>
      </c>
      <c r="B13408" s="1" t="str">
        <f>"000397180 - RICH FOODS-GRANITE CITY"</f>
        <v>000397180 - RICH FOODS-GRANITE CITY</v>
      </c>
      <c r="C13408" t="s">
        <v>820</v>
      </c>
      <c r="D13408" s="1" t="str">
        <f t="shared" si="369"/>
        <v>PRG-1039984</v>
      </c>
      <c r="E13408" t="s">
        <v>846</v>
      </c>
      <c r="F13408" t="s">
        <v>4</v>
      </c>
      <c r="G13408" t="str">
        <f>""</f>
        <v/>
      </c>
    </row>
    <row r="13409" spans="1:7" x14ac:dyDescent="0.25">
      <c r="A13409" t="s">
        <v>8</v>
      </c>
      <c r="B13409" s="1" t="str">
        <f>"000399772 - RICH FOODS-GRANITE CITY"</f>
        <v>000399772 - RICH FOODS-GRANITE CITY</v>
      </c>
      <c r="C13409" t="s">
        <v>820</v>
      </c>
      <c r="D13409" s="1" t="str">
        <f t="shared" si="369"/>
        <v>PRG-1039984</v>
      </c>
      <c r="E13409" t="s">
        <v>846</v>
      </c>
      <c r="F13409" t="s">
        <v>4</v>
      </c>
      <c r="G13409" t="str">
        <f>""</f>
        <v/>
      </c>
    </row>
    <row r="13410" spans="1:7" x14ac:dyDescent="0.25">
      <c r="A13410" t="s">
        <v>8</v>
      </c>
      <c r="B13410" s="1" t="str">
        <f>"000421741 - RICH FOODS-GRANITE CITY"</f>
        <v>000421741 - RICH FOODS-GRANITE CITY</v>
      </c>
      <c r="C13410" t="s">
        <v>820</v>
      </c>
      <c r="D13410" s="1" t="str">
        <f t="shared" si="369"/>
        <v>PRG-1039984</v>
      </c>
      <c r="E13410" t="s">
        <v>846</v>
      </c>
      <c r="F13410" t="s">
        <v>4</v>
      </c>
      <c r="G13410" t="str">
        <f>""</f>
        <v/>
      </c>
    </row>
    <row r="13411" spans="1:7" x14ac:dyDescent="0.25">
      <c r="A13411" t="s">
        <v>8</v>
      </c>
      <c r="B13411" s="1" t="str">
        <f>"000296100 - RICH'S BAKERS DOZEN DONUTS"</f>
        <v>000296100 - RICH'S BAKERS DOZEN DONUTS</v>
      </c>
      <c r="C13411" t="s">
        <v>2908</v>
      </c>
      <c r="D13411" s="1" t="str">
        <f>"PRG-1040043"</f>
        <v>PRG-1040043</v>
      </c>
      <c r="E13411" t="s">
        <v>2909</v>
      </c>
      <c r="F13411" t="s">
        <v>4</v>
      </c>
      <c r="G13411" t="str">
        <f>""</f>
        <v/>
      </c>
    </row>
    <row r="13412" spans="1:7" x14ac:dyDescent="0.25">
      <c r="A13412" t="s">
        <v>8</v>
      </c>
      <c r="B13412" s="1" t="str">
        <f>"000060067 - RICHS CASA DI BERTACCHI-SODEXO"</f>
        <v>000060067 - RICHS CASA DI BERTACCHI-SODEXO</v>
      </c>
      <c r="C13412" t="s">
        <v>121</v>
      </c>
      <c r="D13412" s="1" t="str">
        <f>"PRG-1040067"</f>
        <v>PRG-1040067</v>
      </c>
      <c r="E13412" t="s">
        <v>36</v>
      </c>
      <c r="F13412" t="s">
        <v>4</v>
      </c>
      <c r="G13412" t="str">
        <f>""</f>
        <v/>
      </c>
    </row>
    <row r="13413" spans="1:7" x14ac:dyDescent="0.25">
      <c r="A13413" t="s">
        <v>8</v>
      </c>
      <c r="B13413" s="1" t="str">
        <f>"000240766 - RICHS CASA DI BERTACCHI-SODEXO"</f>
        <v>000240766 - RICHS CASA DI BERTACCHI-SODEXO</v>
      </c>
      <c r="C13413" t="s">
        <v>121</v>
      </c>
      <c r="D13413" s="1" t="str">
        <f>"PRG-1040067"</f>
        <v>PRG-1040067</v>
      </c>
      <c r="E13413" t="s">
        <v>36</v>
      </c>
      <c r="F13413" t="s">
        <v>4</v>
      </c>
      <c r="G13413" t="str">
        <f>""</f>
        <v/>
      </c>
    </row>
    <row r="13414" spans="1:7" x14ac:dyDescent="0.25">
      <c r="A13414" t="s">
        <v>8</v>
      </c>
      <c r="B13414" s="1" t="str">
        <f>"000268941 - RICHS CASA DI BERTACCHI-SODEXO"</f>
        <v>000268941 - RICHS CASA DI BERTACCHI-SODEXO</v>
      </c>
      <c r="C13414" t="s">
        <v>121</v>
      </c>
      <c r="D13414" s="1" t="str">
        <f>"PRG-1040067"</f>
        <v>PRG-1040067</v>
      </c>
      <c r="E13414" t="s">
        <v>36</v>
      </c>
      <c r="F13414" t="s">
        <v>4</v>
      </c>
      <c r="G13414" t="str">
        <f>""</f>
        <v/>
      </c>
    </row>
    <row r="13415" spans="1:7" x14ac:dyDescent="0.25">
      <c r="A13415" t="s">
        <v>8</v>
      </c>
      <c r="B13415" s="1" t="str">
        <f>"000321609 - RICHS CASA DI BERTACCHI-SODEXO"</f>
        <v>000321609 - RICHS CASA DI BERTACCHI-SODEXO</v>
      </c>
      <c r="C13415" t="s">
        <v>121</v>
      </c>
      <c r="D13415" s="1" t="str">
        <f>"PRG-1040067"</f>
        <v>PRG-1040067</v>
      </c>
      <c r="E13415" t="s">
        <v>36</v>
      </c>
      <c r="F13415" t="s">
        <v>4</v>
      </c>
      <c r="G13415" t="str">
        <f>""</f>
        <v/>
      </c>
    </row>
    <row r="13416" spans="1:7" x14ac:dyDescent="0.25">
      <c r="A13416" t="s">
        <v>8</v>
      </c>
      <c r="B13416" s="1" t="str">
        <f>"000331731 - RICHS CASA DI BERTACCHI-SODEXO"</f>
        <v>000331731 - RICHS CASA DI BERTACCHI-SODEXO</v>
      </c>
      <c r="C13416" t="s">
        <v>121</v>
      </c>
      <c r="D13416" s="1" t="str">
        <f>"PRG-1040067"</f>
        <v>PRG-1040067</v>
      </c>
      <c r="E13416" t="s">
        <v>36</v>
      </c>
      <c r="F13416" t="s">
        <v>4</v>
      </c>
      <c r="G13416" t="str">
        <f>""</f>
        <v/>
      </c>
    </row>
    <row r="13417" spans="1:7" x14ac:dyDescent="0.25">
      <c r="A13417" t="s">
        <v>8</v>
      </c>
      <c r="B13417" s="1" t="str">
        <f>"000359077 - RICHS-DC PASTA CO"</f>
        <v>000359077 - RICHS-DC PASTA CO</v>
      </c>
      <c r="C13417" t="s">
        <v>3575</v>
      </c>
      <c r="D13417" s="1" t="str">
        <f>"PRG-1040092"</f>
        <v>PRG-1040092</v>
      </c>
      <c r="E13417" t="s">
        <v>3576</v>
      </c>
      <c r="F13417" t="s">
        <v>4</v>
      </c>
      <c r="G13417" t="str">
        <f>""</f>
        <v/>
      </c>
    </row>
    <row r="13418" spans="1:7" x14ac:dyDescent="0.25">
      <c r="A13418" t="s">
        <v>8</v>
      </c>
      <c r="B13418" s="1" t="str">
        <f>"000239891 - CAESARS--RICH PROD"</f>
        <v>000239891 - CAESARS--RICH PROD</v>
      </c>
      <c r="C13418" t="s">
        <v>1202</v>
      </c>
      <c r="D13418" s="1" t="str">
        <f>"PRG-1040141"</f>
        <v>PRG-1040141</v>
      </c>
      <c r="E13418" t="s">
        <v>702</v>
      </c>
      <c r="F13418" t="s">
        <v>4</v>
      </c>
      <c r="G13418" t="str">
        <f>""</f>
        <v/>
      </c>
    </row>
    <row r="13419" spans="1:7" x14ac:dyDescent="0.25">
      <c r="A13419" t="s">
        <v>8</v>
      </c>
      <c r="B13419" s="1" t="str">
        <f>"000276878 - RICH FOODS  HARRAH CAESAR"</f>
        <v>000276878 - RICH FOODS  HARRAH CAESAR</v>
      </c>
      <c r="C13419" t="s">
        <v>1470</v>
      </c>
      <c r="D13419" s="1" t="str">
        <f>"PRG-1040141"</f>
        <v>PRG-1040141</v>
      </c>
      <c r="E13419" t="s">
        <v>702</v>
      </c>
      <c r="F13419" t="s">
        <v>4</v>
      </c>
      <c r="G13419" t="str">
        <f>""</f>
        <v/>
      </c>
    </row>
    <row r="13420" spans="1:7" x14ac:dyDescent="0.25">
      <c r="A13420" t="s">
        <v>8</v>
      </c>
      <c r="B13420" s="1" t="str">
        <f>"000279662 - RICH FOODS  HARRAH CAESAR"</f>
        <v>000279662 - RICH FOODS  HARRAH CAESAR</v>
      </c>
      <c r="C13420" t="s">
        <v>1470</v>
      </c>
      <c r="D13420" s="1" t="str">
        <f>"PRG-1040141"</f>
        <v>PRG-1040141</v>
      </c>
      <c r="E13420" t="s">
        <v>702</v>
      </c>
      <c r="F13420" t="s">
        <v>4</v>
      </c>
      <c r="G13420" t="str">
        <f>""</f>
        <v/>
      </c>
    </row>
    <row r="13421" spans="1:7" x14ac:dyDescent="0.25">
      <c r="A13421" t="s">
        <v>8</v>
      </c>
      <c r="B13421" s="1" t="str">
        <f>"000093928 - RICH'S-COUNTRY KITCHEN"</f>
        <v>000093928 - RICH'S-COUNTRY KITCHEN</v>
      </c>
      <c r="C13421" t="s">
        <v>212</v>
      </c>
      <c r="D13421" s="1" t="str">
        <f t="shared" ref="D13421:D13426" si="370">"PRG-1040159"</f>
        <v>PRG-1040159</v>
      </c>
      <c r="E13421" t="s">
        <v>779</v>
      </c>
      <c r="F13421" t="s">
        <v>4</v>
      </c>
      <c r="G13421" t="str">
        <f>""</f>
        <v/>
      </c>
    </row>
    <row r="13422" spans="1:7" x14ac:dyDescent="0.25">
      <c r="A13422" t="s">
        <v>8</v>
      </c>
      <c r="B13422" s="1" t="str">
        <f>"000169486 - RICH'S-COUNTRY KITCHEN"</f>
        <v>000169486 - RICH'S-COUNTRY KITCHEN</v>
      </c>
      <c r="C13422" t="s">
        <v>212</v>
      </c>
      <c r="D13422" s="1" t="str">
        <f t="shared" si="370"/>
        <v>PRG-1040159</v>
      </c>
      <c r="E13422" t="s">
        <v>779</v>
      </c>
      <c r="F13422" t="s">
        <v>4</v>
      </c>
      <c r="G13422" t="str">
        <f>""</f>
        <v/>
      </c>
    </row>
    <row r="13423" spans="1:7" x14ac:dyDescent="0.25">
      <c r="A13423" t="s">
        <v>8</v>
      </c>
      <c r="B13423" s="1" t="str">
        <f>"000264305 - BB COUNTRY KITCHEN FOB RICH"</f>
        <v>000264305 - BB COUNTRY KITCHEN FOB RICH</v>
      </c>
      <c r="C13423" t="s">
        <v>2360</v>
      </c>
      <c r="D13423" s="1" t="str">
        <f t="shared" si="370"/>
        <v>PRG-1040159</v>
      </c>
      <c r="E13423" t="s">
        <v>779</v>
      </c>
      <c r="F13423" t="s">
        <v>4</v>
      </c>
      <c r="G13423" t="str">
        <f>""</f>
        <v/>
      </c>
    </row>
    <row r="13424" spans="1:7" x14ac:dyDescent="0.25">
      <c r="A13424" t="s">
        <v>8</v>
      </c>
      <c r="B13424" s="1" t="str">
        <f>"000334594 - RICH'S-COUNTRY KITCHEN"</f>
        <v>000334594 - RICH'S-COUNTRY KITCHEN</v>
      </c>
      <c r="C13424" t="s">
        <v>212</v>
      </c>
      <c r="D13424" s="1" t="str">
        <f t="shared" si="370"/>
        <v>PRG-1040159</v>
      </c>
      <c r="E13424" t="s">
        <v>779</v>
      </c>
      <c r="F13424" t="s">
        <v>4</v>
      </c>
      <c r="G13424" t="str">
        <f>""</f>
        <v/>
      </c>
    </row>
    <row r="13425" spans="1:7" x14ac:dyDescent="0.25">
      <c r="A13425" t="s">
        <v>8</v>
      </c>
      <c r="B13425" s="1" t="str">
        <f>"000369604 - RICH'S-COUNTRY KITCHEN"</f>
        <v>000369604 - RICH'S-COUNTRY KITCHEN</v>
      </c>
      <c r="C13425" t="s">
        <v>212</v>
      </c>
      <c r="D13425" s="1" t="str">
        <f t="shared" si="370"/>
        <v>PRG-1040159</v>
      </c>
      <c r="E13425" t="s">
        <v>779</v>
      </c>
      <c r="F13425" t="s">
        <v>4</v>
      </c>
      <c r="G13425" t="str">
        <f>""</f>
        <v/>
      </c>
    </row>
    <row r="13426" spans="1:7" x14ac:dyDescent="0.25">
      <c r="A13426" t="s">
        <v>8</v>
      </c>
      <c r="B13426" s="1" t="str">
        <f>"000396202 - RICH'S-COUNTRY KITCHEN"</f>
        <v>000396202 - RICH'S-COUNTRY KITCHEN</v>
      </c>
      <c r="C13426" t="s">
        <v>212</v>
      </c>
      <c r="D13426" s="1" t="str">
        <f t="shared" si="370"/>
        <v>PRG-1040159</v>
      </c>
      <c r="E13426" t="s">
        <v>779</v>
      </c>
      <c r="F13426" t="s">
        <v>4</v>
      </c>
      <c r="G13426" t="str">
        <f>""</f>
        <v/>
      </c>
    </row>
    <row r="13427" spans="1:7" x14ac:dyDescent="0.25">
      <c r="A13427" t="s">
        <v>8</v>
      </c>
      <c r="B13427" s="1" t="str">
        <f>"000333780 - RICH FOODS-ON THE BORDER"</f>
        <v>000333780 - RICH FOODS-ON THE BORDER</v>
      </c>
      <c r="C13427" t="s">
        <v>3375</v>
      </c>
      <c r="D13427" s="1" t="str">
        <f>"PRG-1040164"</f>
        <v>PRG-1040164</v>
      </c>
      <c r="E13427" t="s">
        <v>1921</v>
      </c>
      <c r="F13427" t="s">
        <v>4</v>
      </c>
      <c r="G13427" t="str">
        <f>""</f>
        <v/>
      </c>
    </row>
    <row r="13428" spans="1:7" x14ac:dyDescent="0.25">
      <c r="A13428" t="s">
        <v>8</v>
      </c>
      <c r="B13428" s="1" t="str">
        <f>"000348575 - RICH FOODS-ON THE BORDER"</f>
        <v>000348575 - RICH FOODS-ON THE BORDER</v>
      </c>
      <c r="C13428" t="s">
        <v>3375</v>
      </c>
      <c r="D13428" s="1" t="str">
        <f>"PRG-1040164"</f>
        <v>PRG-1040164</v>
      </c>
      <c r="E13428" t="s">
        <v>1921</v>
      </c>
      <c r="F13428" t="s">
        <v>4</v>
      </c>
      <c r="G13428" t="str">
        <f>""</f>
        <v/>
      </c>
    </row>
    <row r="13429" spans="1:7" x14ac:dyDescent="0.25">
      <c r="A13429" t="s">
        <v>8</v>
      </c>
      <c r="B13429" s="1" t="str">
        <f>"000043201 - GUSTAVUS RICHS PRODUCTS"</f>
        <v>000043201 - GUSTAVUS RICHS PRODUCTS</v>
      </c>
      <c r="C13429" t="s">
        <v>598</v>
      </c>
      <c r="D13429" s="1" t="str">
        <f>"PRG-1040195"</f>
        <v>PRG-1040195</v>
      </c>
      <c r="E13429" t="s">
        <v>599</v>
      </c>
      <c r="F13429" t="s">
        <v>4</v>
      </c>
      <c r="G13429" t="str">
        <f>""</f>
        <v/>
      </c>
    </row>
    <row r="13430" spans="1:7" x14ac:dyDescent="0.25">
      <c r="A13430" t="s">
        <v>8</v>
      </c>
      <c r="B13430" s="1" t="str">
        <f>"000043198 - CLEARWATER TRAVEL RICHS PROD"</f>
        <v>000043198 - CLEARWATER TRAVEL RICHS PROD</v>
      </c>
      <c r="C13430" t="s">
        <v>413</v>
      </c>
      <c r="D13430" s="1" t="str">
        <f>"PRG-1040199"</f>
        <v>PRG-1040199</v>
      </c>
      <c r="E13430" t="s">
        <v>172</v>
      </c>
      <c r="F13430" t="s">
        <v>4</v>
      </c>
      <c r="G13430" t="str">
        <f>""</f>
        <v/>
      </c>
    </row>
    <row r="13431" spans="1:7" x14ac:dyDescent="0.25">
      <c r="A13431" t="s">
        <v>8</v>
      </c>
      <c r="B13431" s="1" t="str">
        <f>"000398477 - RICH PRODUCTS TREASURE ISLAND"</f>
        <v>000398477 - RICH PRODUCTS TREASURE ISLAND</v>
      </c>
      <c r="C13431" t="s">
        <v>3716</v>
      </c>
      <c r="D13431" s="1" t="str">
        <f>"PRG-1040212"</f>
        <v>PRG-1040212</v>
      </c>
      <c r="E13431" t="s">
        <v>3004</v>
      </c>
      <c r="F13431" t="s">
        <v>4</v>
      </c>
      <c r="G13431" t="str">
        <f>""</f>
        <v/>
      </c>
    </row>
    <row r="13432" spans="1:7" x14ac:dyDescent="0.25">
      <c r="A13432" t="s">
        <v>8</v>
      </c>
      <c r="B13432" s="1" t="str">
        <f>"000075515 - RICH PRODUCTS-NAMPA SCHOOL"</f>
        <v>000075515 - RICH PRODUCTS-NAMPA SCHOOL</v>
      </c>
      <c r="C13432" t="s">
        <v>746</v>
      </c>
      <c r="D13432" s="1" t="str">
        <f>"PRG-1040236"</f>
        <v>PRG-1040236</v>
      </c>
      <c r="E13432" t="s">
        <v>747</v>
      </c>
      <c r="F13432" t="s">
        <v>4</v>
      </c>
      <c r="G13432" t="str">
        <f>""</f>
        <v/>
      </c>
    </row>
    <row r="13433" spans="1:7" x14ac:dyDescent="0.25">
      <c r="A13433" t="s">
        <v>8</v>
      </c>
      <c r="B13433" s="1" t="str">
        <f>"000025816 - RICH FOODS-LA MADELEINE"</f>
        <v>000025816 - RICH FOODS-LA MADELEINE</v>
      </c>
      <c r="C13433" t="s">
        <v>130</v>
      </c>
      <c r="D13433" s="1" t="str">
        <f t="shared" ref="D13433:D13444" si="371">"PRG-1040301"</f>
        <v>PRG-1040301</v>
      </c>
      <c r="E13433" t="s">
        <v>131</v>
      </c>
      <c r="F13433" t="s">
        <v>4</v>
      </c>
      <c r="G13433" t="str">
        <f>""</f>
        <v/>
      </c>
    </row>
    <row r="13434" spans="1:7" x14ac:dyDescent="0.25">
      <c r="A13434" t="s">
        <v>8</v>
      </c>
      <c r="B13434" s="1" t="str">
        <f>"000026346 - RICH FOODS-LA MADELEINE"</f>
        <v>000026346 - RICH FOODS-LA MADELEINE</v>
      </c>
      <c r="C13434" t="s">
        <v>130</v>
      </c>
      <c r="D13434" s="1" t="str">
        <f t="shared" si="371"/>
        <v>PRG-1040301</v>
      </c>
      <c r="E13434" t="s">
        <v>131</v>
      </c>
      <c r="F13434" t="s">
        <v>4</v>
      </c>
      <c r="G13434" t="str">
        <f>""</f>
        <v/>
      </c>
    </row>
    <row r="13435" spans="1:7" x14ac:dyDescent="0.25">
      <c r="A13435" t="s">
        <v>8</v>
      </c>
      <c r="B13435" s="1" t="str">
        <f>"000029901 - RICH FOODS-LA MADELEINE"</f>
        <v>000029901 - RICH FOODS-LA MADELEINE</v>
      </c>
      <c r="C13435" t="s">
        <v>130</v>
      </c>
      <c r="D13435" s="1" t="str">
        <f t="shared" si="371"/>
        <v>PRG-1040301</v>
      </c>
      <c r="E13435" t="s">
        <v>131</v>
      </c>
      <c r="F13435" t="s">
        <v>4</v>
      </c>
      <c r="G13435" t="str">
        <f>""</f>
        <v/>
      </c>
    </row>
    <row r="13436" spans="1:7" x14ac:dyDescent="0.25">
      <c r="A13436" t="s">
        <v>8</v>
      </c>
      <c r="B13436" s="1" t="str">
        <f>"000031570 - RICH FOODS-LA MADELEINE"</f>
        <v>000031570 - RICH FOODS-LA MADELEINE</v>
      </c>
      <c r="C13436" t="s">
        <v>130</v>
      </c>
      <c r="D13436" s="1" t="str">
        <f t="shared" si="371"/>
        <v>PRG-1040301</v>
      </c>
      <c r="E13436" t="s">
        <v>131</v>
      </c>
      <c r="F13436" t="s">
        <v>4</v>
      </c>
      <c r="G13436" t="str">
        <f>""</f>
        <v/>
      </c>
    </row>
    <row r="13437" spans="1:7" x14ac:dyDescent="0.25">
      <c r="A13437" t="s">
        <v>8</v>
      </c>
      <c r="B13437" s="1" t="str">
        <f>"000033848 - RICH FOODS-LA MADELEINE"</f>
        <v>000033848 - RICH FOODS-LA MADELEINE</v>
      </c>
      <c r="C13437" t="s">
        <v>130</v>
      </c>
      <c r="D13437" s="1" t="str">
        <f t="shared" si="371"/>
        <v>PRG-1040301</v>
      </c>
      <c r="E13437" t="s">
        <v>131</v>
      </c>
      <c r="F13437" t="s">
        <v>4</v>
      </c>
      <c r="G13437" t="str">
        <f>""</f>
        <v/>
      </c>
    </row>
    <row r="13438" spans="1:7" x14ac:dyDescent="0.25">
      <c r="A13438" t="s">
        <v>8</v>
      </c>
      <c r="B13438" s="1" t="str">
        <f>"000282042 - RICH FOODS-LA MADELEINE"</f>
        <v>000282042 - RICH FOODS-LA MADELEINE</v>
      </c>
      <c r="C13438" t="s">
        <v>130</v>
      </c>
      <c r="D13438" s="1" t="str">
        <f t="shared" si="371"/>
        <v>PRG-1040301</v>
      </c>
      <c r="E13438" t="s">
        <v>131</v>
      </c>
      <c r="F13438" t="s">
        <v>4</v>
      </c>
      <c r="G13438" t="str">
        <f>""</f>
        <v/>
      </c>
    </row>
    <row r="13439" spans="1:7" x14ac:dyDescent="0.25">
      <c r="A13439" t="s">
        <v>8</v>
      </c>
      <c r="B13439" s="1" t="str">
        <f>"000358202 - RICH FOODS-LA MADELEINE"</f>
        <v>000358202 - RICH FOODS-LA MADELEINE</v>
      </c>
      <c r="C13439" t="s">
        <v>130</v>
      </c>
      <c r="D13439" s="1" t="str">
        <f t="shared" si="371"/>
        <v>PRG-1040301</v>
      </c>
      <c r="E13439" t="s">
        <v>131</v>
      </c>
      <c r="F13439" t="s">
        <v>4</v>
      </c>
      <c r="G13439" t="str">
        <f>""</f>
        <v/>
      </c>
    </row>
    <row r="13440" spans="1:7" x14ac:dyDescent="0.25">
      <c r="A13440" t="s">
        <v>8</v>
      </c>
      <c r="B13440" s="1" t="str">
        <f>"000360977 - RICH FOODS-LA MADELEINE"</f>
        <v>000360977 - RICH FOODS-LA MADELEINE</v>
      </c>
      <c r="C13440" t="s">
        <v>130</v>
      </c>
      <c r="D13440" s="1" t="str">
        <f t="shared" si="371"/>
        <v>PRG-1040301</v>
      </c>
      <c r="E13440" t="s">
        <v>131</v>
      </c>
      <c r="F13440" t="s">
        <v>4</v>
      </c>
      <c r="G13440" t="str">
        <f>""</f>
        <v/>
      </c>
    </row>
    <row r="13441" spans="1:7" x14ac:dyDescent="0.25">
      <c r="A13441" t="s">
        <v>8</v>
      </c>
      <c r="B13441" s="1" t="str">
        <f>"000360980 - RICH FOODS-LA MADELEINE"</f>
        <v>000360980 - RICH FOODS-LA MADELEINE</v>
      </c>
      <c r="C13441" t="s">
        <v>130</v>
      </c>
      <c r="D13441" s="1" t="str">
        <f t="shared" si="371"/>
        <v>PRG-1040301</v>
      </c>
      <c r="E13441" t="s">
        <v>131</v>
      </c>
      <c r="F13441" t="s">
        <v>4</v>
      </c>
      <c r="G13441" t="str">
        <f>""</f>
        <v/>
      </c>
    </row>
    <row r="13442" spans="1:7" x14ac:dyDescent="0.25">
      <c r="A13442" t="s">
        <v>8</v>
      </c>
      <c r="B13442" s="1" t="str">
        <f>"000366534 - RICH FOODS-LA MADELEINE"</f>
        <v>000366534 - RICH FOODS-LA MADELEINE</v>
      </c>
      <c r="C13442" t="s">
        <v>130</v>
      </c>
      <c r="D13442" s="1" t="str">
        <f t="shared" si="371"/>
        <v>PRG-1040301</v>
      </c>
      <c r="E13442" t="s">
        <v>131</v>
      </c>
      <c r="F13442" t="s">
        <v>4</v>
      </c>
      <c r="G13442" t="str">
        <f>""</f>
        <v/>
      </c>
    </row>
    <row r="13443" spans="1:7" x14ac:dyDescent="0.25">
      <c r="A13443" t="s">
        <v>8</v>
      </c>
      <c r="B13443" s="1" t="str">
        <f>"000383986 - RICH FOODS-LA MADELEINE"</f>
        <v>000383986 - RICH FOODS-LA MADELEINE</v>
      </c>
      <c r="C13443" t="s">
        <v>130</v>
      </c>
      <c r="D13443" s="1" t="str">
        <f t="shared" si="371"/>
        <v>PRG-1040301</v>
      </c>
      <c r="E13443" t="s">
        <v>131</v>
      </c>
      <c r="F13443" t="s">
        <v>4</v>
      </c>
      <c r="G13443" t="str">
        <f>""</f>
        <v/>
      </c>
    </row>
    <row r="13444" spans="1:7" x14ac:dyDescent="0.25">
      <c r="A13444" t="s">
        <v>8</v>
      </c>
      <c r="B13444" s="1" t="str">
        <f>"000385323 - RICH FOODS-LA MADELEINE"</f>
        <v>000385323 - RICH FOODS-LA MADELEINE</v>
      </c>
      <c r="C13444" t="s">
        <v>130</v>
      </c>
      <c r="D13444" s="1" t="str">
        <f t="shared" si="371"/>
        <v>PRG-1040301</v>
      </c>
      <c r="E13444" t="s">
        <v>131</v>
      </c>
      <c r="F13444" t="s">
        <v>4</v>
      </c>
      <c r="G13444" t="str">
        <f>""</f>
        <v/>
      </c>
    </row>
    <row r="13445" spans="1:7" x14ac:dyDescent="0.25">
      <c r="A13445" t="s">
        <v>8</v>
      </c>
      <c r="B13445" s="1" t="str">
        <f>"000005344 - RICH FOODS- MIMI CAFE"</f>
        <v>000005344 - RICH FOODS- MIMI CAFE</v>
      </c>
      <c r="C13445" t="s">
        <v>217</v>
      </c>
      <c r="D13445" s="1" t="str">
        <f t="shared" ref="D13445:D13482" si="372">"PRG-1040302"</f>
        <v>PRG-1040302</v>
      </c>
      <c r="E13445" t="s">
        <v>218</v>
      </c>
      <c r="F13445" t="s">
        <v>4</v>
      </c>
      <c r="G13445" t="str">
        <f>""</f>
        <v/>
      </c>
    </row>
    <row r="13446" spans="1:7" x14ac:dyDescent="0.25">
      <c r="A13446" t="s">
        <v>8</v>
      </c>
      <c r="B13446" s="1" t="str">
        <f>"000008494 - RICH FOODS- MIMI"</f>
        <v>000008494 - RICH FOODS- MIMI</v>
      </c>
      <c r="C13446" t="s">
        <v>281</v>
      </c>
      <c r="D13446" s="1" t="str">
        <f t="shared" si="372"/>
        <v>PRG-1040302</v>
      </c>
      <c r="E13446" t="s">
        <v>218</v>
      </c>
      <c r="F13446" t="s">
        <v>4</v>
      </c>
      <c r="G13446" t="str">
        <f>""</f>
        <v/>
      </c>
    </row>
    <row r="13447" spans="1:7" x14ac:dyDescent="0.25">
      <c r="A13447" t="s">
        <v>8</v>
      </c>
      <c r="B13447" s="1" t="str">
        <f>"000031579 - RICH FOODS- MIMI"</f>
        <v>000031579 - RICH FOODS- MIMI</v>
      </c>
      <c r="C13447" t="s">
        <v>281</v>
      </c>
      <c r="D13447" s="1" t="str">
        <f t="shared" si="372"/>
        <v>PRG-1040302</v>
      </c>
      <c r="E13447" t="s">
        <v>218</v>
      </c>
      <c r="F13447" t="s">
        <v>4</v>
      </c>
      <c r="G13447" t="str">
        <f>""</f>
        <v/>
      </c>
    </row>
    <row r="13448" spans="1:7" x14ac:dyDescent="0.25">
      <c r="A13448" t="s">
        <v>8</v>
      </c>
      <c r="B13448" s="1" t="str">
        <f>"000035025 - RICH FOODS- MIMI"</f>
        <v>000035025 - RICH FOODS- MIMI</v>
      </c>
      <c r="C13448" t="s">
        <v>281</v>
      </c>
      <c r="D13448" s="1" t="str">
        <f t="shared" si="372"/>
        <v>PRG-1040302</v>
      </c>
      <c r="E13448" t="s">
        <v>218</v>
      </c>
      <c r="F13448" t="s">
        <v>4</v>
      </c>
      <c r="G13448" t="str">
        <f>""</f>
        <v/>
      </c>
    </row>
    <row r="13449" spans="1:7" x14ac:dyDescent="0.25">
      <c r="A13449" t="s">
        <v>8</v>
      </c>
      <c r="B13449" s="1" t="str">
        <f>"000038677 - RICH FOODS- MIMI"</f>
        <v>000038677 - RICH FOODS- MIMI</v>
      </c>
      <c r="C13449" t="s">
        <v>281</v>
      </c>
      <c r="D13449" s="1" t="str">
        <f t="shared" si="372"/>
        <v>PRG-1040302</v>
      </c>
      <c r="E13449" t="s">
        <v>218</v>
      </c>
      <c r="F13449" t="s">
        <v>4</v>
      </c>
      <c r="G13449" t="str">
        <f>""</f>
        <v/>
      </c>
    </row>
    <row r="13450" spans="1:7" x14ac:dyDescent="0.25">
      <c r="A13450" t="s">
        <v>8</v>
      </c>
      <c r="B13450" s="1" t="str">
        <f>"000039824 - RICH FOODS- MIMI"</f>
        <v>000039824 - RICH FOODS- MIMI</v>
      </c>
      <c r="C13450" t="s">
        <v>281</v>
      </c>
      <c r="D13450" s="1" t="str">
        <f t="shared" si="372"/>
        <v>PRG-1040302</v>
      </c>
      <c r="E13450" t="s">
        <v>218</v>
      </c>
      <c r="F13450" t="s">
        <v>4</v>
      </c>
      <c r="G13450" t="str">
        <f>""</f>
        <v/>
      </c>
    </row>
    <row r="13451" spans="1:7" x14ac:dyDescent="0.25">
      <c r="A13451" t="s">
        <v>8</v>
      </c>
      <c r="B13451" s="1" t="str">
        <f>"000045665 - RICH FOODS- MIMI"</f>
        <v>000045665 - RICH FOODS- MIMI</v>
      </c>
      <c r="C13451" t="s">
        <v>281</v>
      </c>
      <c r="D13451" s="1" t="str">
        <f t="shared" si="372"/>
        <v>PRG-1040302</v>
      </c>
      <c r="E13451" t="s">
        <v>218</v>
      </c>
      <c r="F13451" t="s">
        <v>4</v>
      </c>
      <c r="G13451" t="str">
        <f>""</f>
        <v/>
      </c>
    </row>
    <row r="13452" spans="1:7" x14ac:dyDescent="0.25">
      <c r="A13452" t="s">
        <v>8</v>
      </c>
      <c r="B13452" s="1" t="str">
        <f>"000046813 - RICH FOODS- MIMI"</f>
        <v>000046813 - RICH FOODS- MIMI</v>
      </c>
      <c r="C13452" t="s">
        <v>281</v>
      </c>
      <c r="D13452" s="1" t="str">
        <f t="shared" si="372"/>
        <v>PRG-1040302</v>
      </c>
      <c r="E13452" t="s">
        <v>218</v>
      </c>
      <c r="F13452" t="s">
        <v>4</v>
      </c>
      <c r="G13452" t="str">
        <f>""</f>
        <v/>
      </c>
    </row>
    <row r="13453" spans="1:7" x14ac:dyDescent="0.25">
      <c r="A13453" t="s">
        <v>8</v>
      </c>
      <c r="B13453" s="1" t="str">
        <f>"000245805 - RICH FOODS- MIMI"</f>
        <v>000245805 - RICH FOODS- MIMI</v>
      </c>
      <c r="C13453" t="s">
        <v>281</v>
      </c>
      <c r="D13453" s="1" t="str">
        <f t="shared" si="372"/>
        <v>PRG-1040302</v>
      </c>
      <c r="E13453" t="s">
        <v>218</v>
      </c>
      <c r="F13453" t="s">
        <v>4</v>
      </c>
      <c r="G13453" t="str">
        <f>""</f>
        <v/>
      </c>
    </row>
    <row r="13454" spans="1:7" x14ac:dyDescent="0.25">
      <c r="A13454" t="s">
        <v>8</v>
      </c>
      <c r="B13454" s="1" t="str">
        <f>"000250782 - RICH FOODS- MIMI"</f>
        <v>000250782 - RICH FOODS- MIMI</v>
      </c>
      <c r="C13454" t="s">
        <v>281</v>
      </c>
      <c r="D13454" s="1" t="str">
        <f t="shared" si="372"/>
        <v>PRG-1040302</v>
      </c>
      <c r="E13454" t="s">
        <v>218</v>
      </c>
      <c r="F13454" t="s">
        <v>4</v>
      </c>
      <c r="G13454" t="str">
        <f>""</f>
        <v/>
      </c>
    </row>
    <row r="13455" spans="1:7" x14ac:dyDescent="0.25">
      <c r="A13455" t="s">
        <v>8</v>
      </c>
      <c r="B13455" s="1" t="str">
        <f>"000256496 - RICH FOODS- MIMI"</f>
        <v>000256496 - RICH FOODS- MIMI</v>
      </c>
      <c r="C13455" t="s">
        <v>281</v>
      </c>
      <c r="D13455" s="1" t="str">
        <f t="shared" si="372"/>
        <v>PRG-1040302</v>
      </c>
      <c r="E13455" t="s">
        <v>218</v>
      </c>
      <c r="F13455" t="s">
        <v>4</v>
      </c>
      <c r="G13455" t="str">
        <f>""</f>
        <v/>
      </c>
    </row>
    <row r="13456" spans="1:7" x14ac:dyDescent="0.25">
      <c r="A13456" t="s">
        <v>8</v>
      </c>
      <c r="B13456" s="1" t="str">
        <f>"000282046 - RICH FOODS- MIMI"</f>
        <v>000282046 - RICH FOODS- MIMI</v>
      </c>
      <c r="C13456" t="s">
        <v>281</v>
      </c>
      <c r="D13456" s="1" t="str">
        <f t="shared" si="372"/>
        <v>PRG-1040302</v>
      </c>
      <c r="E13456" t="s">
        <v>218</v>
      </c>
      <c r="F13456" t="s">
        <v>4</v>
      </c>
      <c r="G13456" t="str">
        <f>""</f>
        <v/>
      </c>
    </row>
    <row r="13457" spans="1:7" x14ac:dyDescent="0.25">
      <c r="A13457" t="s">
        <v>8</v>
      </c>
      <c r="B13457" s="1" t="str">
        <f>"000282113 - RICH FOODS- MIMI CAFE"</f>
        <v>000282113 - RICH FOODS- MIMI CAFE</v>
      </c>
      <c r="C13457" t="s">
        <v>217</v>
      </c>
      <c r="D13457" s="1" t="str">
        <f t="shared" si="372"/>
        <v>PRG-1040302</v>
      </c>
      <c r="E13457" t="s">
        <v>218</v>
      </c>
      <c r="F13457" t="s">
        <v>4</v>
      </c>
      <c r="G13457" t="str">
        <f>""</f>
        <v/>
      </c>
    </row>
    <row r="13458" spans="1:7" x14ac:dyDescent="0.25">
      <c r="A13458" t="s">
        <v>8</v>
      </c>
      <c r="B13458" s="1" t="str">
        <f>"000288835 - RICH FOODS- MIMI"</f>
        <v>000288835 - RICH FOODS- MIMI</v>
      </c>
      <c r="C13458" t="s">
        <v>281</v>
      </c>
      <c r="D13458" s="1" t="str">
        <f t="shared" si="372"/>
        <v>PRG-1040302</v>
      </c>
      <c r="E13458" t="s">
        <v>218</v>
      </c>
      <c r="F13458" t="s">
        <v>4</v>
      </c>
      <c r="G13458" t="str">
        <f>""</f>
        <v/>
      </c>
    </row>
    <row r="13459" spans="1:7" x14ac:dyDescent="0.25">
      <c r="A13459" t="s">
        <v>8</v>
      </c>
      <c r="B13459" s="1" t="str">
        <f>"000292752 - RICH FOODS- MIMI CAFE"</f>
        <v>000292752 - RICH FOODS- MIMI CAFE</v>
      </c>
      <c r="C13459" t="s">
        <v>217</v>
      </c>
      <c r="D13459" s="1" t="str">
        <f t="shared" si="372"/>
        <v>PRG-1040302</v>
      </c>
      <c r="E13459" t="s">
        <v>218</v>
      </c>
      <c r="F13459" t="s">
        <v>4</v>
      </c>
      <c r="G13459" t="str">
        <f>""</f>
        <v/>
      </c>
    </row>
    <row r="13460" spans="1:7" x14ac:dyDescent="0.25">
      <c r="A13460" t="s">
        <v>8</v>
      </c>
      <c r="B13460" s="1" t="str">
        <f>"000295654 - RICH FOODS- MIMI"</f>
        <v>000295654 - RICH FOODS- MIMI</v>
      </c>
      <c r="C13460" t="s">
        <v>281</v>
      </c>
      <c r="D13460" s="1" t="str">
        <f t="shared" si="372"/>
        <v>PRG-1040302</v>
      </c>
      <c r="E13460" t="s">
        <v>218</v>
      </c>
      <c r="F13460" t="s">
        <v>4</v>
      </c>
      <c r="G13460" t="str">
        <f>""</f>
        <v/>
      </c>
    </row>
    <row r="13461" spans="1:7" x14ac:dyDescent="0.25">
      <c r="A13461" t="s">
        <v>8</v>
      </c>
      <c r="B13461" s="1" t="str">
        <f>"000296844 - RICH FOODS- MIMI"</f>
        <v>000296844 - RICH FOODS- MIMI</v>
      </c>
      <c r="C13461" t="s">
        <v>281</v>
      </c>
      <c r="D13461" s="1" t="str">
        <f t="shared" si="372"/>
        <v>PRG-1040302</v>
      </c>
      <c r="E13461" t="s">
        <v>218</v>
      </c>
      <c r="F13461" t="s">
        <v>4</v>
      </c>
      <c r="G13461" t="str">
        <f>""</f>
        <v/>
      </c>
    </row>
    <row r="13462" spans="1:7" x14ac:dyDescent="0.25">
      <c r="A13462" t="s">
        <v>8</v>
      </c>
      <c r="B13462" s="1" t="str">
        <f>"000300629 - RICH FOODS- MIMI"</f>
        <v>000300629 - RICH FOODS- MIMI</v>
      </c>
      <c r="C13462" t="s">
        <v>281</v>
      </c>
      <c r="D13462" s="1" t="str">
        <f t="shared" si="372"/>
        <v>PRG-1040302</v>
      </c>
      <c r="E13462" t="s">
        <v>218</v>
      </c>
      <c r="F13462" t="s">
        <v>4</v>
      </c>
      <c r="G13462" t="str">
        <f>""</f>
        <v/>
      </c>
    </row>
    <row r="13463" spans="1:7" x14ac:dyDescent="0.25">
      <c r="A13463" t="s">
        <v>8</v>
      </c>
      <c r="B13463" s="1" t="str">
        <f>"000306436 - RICH FOODS- MIMI"</f>
        <v>000306436 - RICH FOODS- MIMI</v>
      </c>
      <c r="C13463" t="s">
        <v>281</v>
      </c>
      <c r="D13463" s="1" t="str">
        <f t="shared" si="372"/>
        <v>PRG-1040302</v>
      </c>
      <c r="E13463" t="s">
        <v>218</v>
      </c>
      <c r="F13463" t="s">
        <v>4</v>
      </c>
      <c r="G13463" t="str">
        <f>""</f>
        <v/>
      </c>
    </row>
    <row r="13464" spans="1:7" x14ac:dyDescent="0.25">
      <c r="A13464" t="s">
        <v>8</v>
      </c>
      <c r="B13464" s="1" t="str">
        <f>"000314889 - RICH FOODS- MIMI CAFE"</f>
        <v>000314889 - RICH FOODS- MIMI CAFE</v>
      </c>
      <c r="C13464" t="s">
        <v>217</v>
      </c>
      <c r="D13464" s="1" t="str">
        <f t="shared" si="372"/>
        <v>PRG-1040302</v>
      </c>
      <c r="E13464" t="s">
        <v>218</v>
      </c>
      <c r="F13464" t="s">
        <v>4</v>
      </c>
      <c r="G13464" t="str">
        <f>""</f>
        <v/>
      </c>
    </row>
    <row r="13465" spans="1:7" x14ac:dyDescent="0.25">
      <c r="A13465" t="s">
        <v>8</v>
      </c>
      <c r="B13465" s="1" t="str">
        <f>"000316003 - RICH FOODS- MIMI"</f>
        <v>000316003 - RICH FOODS- MIMI</v>
      </c>
      <c r="C13465" t="s">
        <v>281</v>
      </c>
      <c r="D13465" s="1" t="str">
        <f t="shared" si="372"/>
        <v>PRG-1040302</v>
      </c>
      <c r="E13465" t="s">
        <v>218</v>
      </c>
      <c r="F13465" t="s">
        <v>4</v>
      </c>
      <c r="G13465" t="str">
        <f>""</f>
        <v/>
      </c>
    </row>
    <row r="13466" spans="1:7" x14ac:dyDescent="0.25">
      <c r="A13466" t="s">
        <v>8</v>
      </c>
      <c r="B13466" s="1" t="str">
        <f>"000325358 - RICH FOODS- MIMI CAFE"</f>
        <v>000325358 - RICH FOODS- MIMI CAFE</v>
      </c>
      <c r="C13466" t="s">
        <v>217</v>
      </c>
      <c r="D13466" s="1" t="str">
        <f t="shared" si="372"/>
        <v>PRG-1040302</v>
      </c>
      <c r="E13466" t="s">
        <v>218</v>
      </c>
      <c r="F13466" t="s">
        <v>4</v>
      </c>
      <c r="G13466" t="str">
        <f>""</f>
        <v/>
      </c>
    </row>
    <row r="13467" spans="1:7" x14ac:dyDescent="0.25">
      <c r="A13467" t="s">
        <v>8</v>
      </c>
      <c r="B13467" s="1" t="str">
        <f>"000326327 - RICH FOODS- MIMI"</f>
        <v>000326327 - RICH FOODS- MIMI</v>
      </c>
      <c r="C13467" t="s">
        <v>281</v>
      </c>
      <c r="D13467" s="1" t="str">
        <f t="shared" si="372"/>
        <v>PRG-1040302</v>
      </c>
      <c r="E13467" t="s">
        <v>218</v>
      </c>
      <c r="F13467" t="s">
        <v>4</v>
      </c>
      <c r="G13467" t="str">
        <f>""</f>
        <v/>
      </c>
    </row>
    <row r="13468" spans="1:7" x14ac:dyDescent="0.25">
      <c r="A13468" t="s">
        <v>8</v>
      </c>
      <c r="B13468" s="1" t="str">
        <f>"000332709 - RICH FOODS- MIMI"</f>
        <v>000332709 - RICH FOODS- MIMI</v>
      </c>
      <c r="C13468" t="s">
        <v>281</v>
      </c>
      <c r="D13468" s="1" t="str">
        <f t="shared" si="372"/>
        <v>PRG-1040302</v>
      </c>
      <c r="E13468" t="s">
        <v>218</v>
      </c>
      <c r="F13468" t="s">
        <v>4</v>
      </c>
      <c r="G13468" t="str">
        <f>""</f>
        <v/>
      </c>
    </row>
    <row r="13469" spans="1:7" x14ac:dyDescent="0.25">
      <c r="A13469" t="s">
        <v>8</v>
      </c>
      <c r="B13469" s="1" t="str">
        <f>"000334207 - "</f>
        <v xml:space="preserve">000334207 - </v>
      </c>
      <c r="D13469" s="1" t="str">
        <f t="shared" si="372"/>
        <v>PRG-1040302</v>
      </c>
      <c r="E13469" t="s">
        <v>218</v>
      </c>
      <c r="F13469" t="s">
        <v>4</v>
      </c>
      <c r="G13469" t="str">
        <f>""</f>
        <v/>
      </c>
    </row>
    <row r="13470" spans="1:7" x14ac:dyDescent="0.25">
      <c r="A13470" t="s">
        <v>8</v>
      </c>
      <c r="B13470" s="1" t="str">
        <f>"000338020 - RICH FOODS- MIMI"</f>
        <v>000338020 - RICH FOODS- MIMI</v>
      </c>
      <c r="C13470" t="s">
        <v>281</v>
      </c>
      <c r="D13470" s="1" t="str">
        <f t="shared" si="372"/>
        <v>PRG-1040302</v>
      </c>
      <c r="E13470" t="s">
        <v>218</v>
      </c>
      <c r="F13470" t="s">
        <v>4</v>
      </c>
      <c r="G13470" t="str">
        <f>""</f>
        <v/>
      </c>
    </row>
    <row r="13471" spans="1:7" x14ac:dyDescent="0.25">
      <c r="A13471" t="s">
        <v>8</v>
      </c>
      <c r="B13471" s="1" t="str">
        <f>"000344446 - RICH FOODS- MIMI"</f>
        <v>000344446 - RICH FOODS- MIMI</v>
      </c>
      <c r="C13471" t="s">
        <v>281</v>
      </c>
      <c r="D13471" s="1" t="str">
        <f t="shared" si="372"/>
        <v>PRG-1040302</v>
      </c>
      <c r="E13471" t="s">
        <v>218</v>
      </c>
      <c r="F13471" t="s">
        <v>4</v>
      </c>
      <c r="G13471" t="str">
        <f>""</f>
        <v/>
      </c>
    </row>
    <row r="13472" spans="1:7" x14ac:dyDescent="0.25">
      <c r="A13472" t="s">
        <v>8</v>
      </c>
      <c r="B13472" s="1" t="str">
        <f>"000360981 - RICH FOODS- MIMI"</f>
        <v>000360981 - RICH FOODS- MIMI</v>
      </c>
      <c r="C13472" t="s">
        <v>281</v>
      </c>
      <c r="D13472" s="1" t="str">
        <f t="shared" si="372"/>
        <v>PRG-1040302</v>
      </c>
      <c r="E13472" t="s">
        <v>218</v>
      </c>
      <c r="F13472" t="s">
        <v>4</v>
      </c>
      <c r="G13472" t="str">
        <f>""</f>
        <v/>
      </c>
    </row>
    <row r="13473" spans="1:7" x14ac:dyDescent="0.25">
      <c r="A13473" t="s">
        <v>8</v>
      </c>
      <c r="B13473" s="1" t="str">
        <f>"000365378 - RICH FOODS- MIMI"</f>
        <v>000365378 - RICH FOODS- MIMI</v>
      </c>
      <c r="C13473" t="s">
        <v>281</v>
      </c>
      <c r="D13473" s="1" t="str">
        <f t="shared" si="372"/>
        <v>PRG-1040302</v>
      </c>
      <c r="E13473" t="s">
        <v>218</v>
      </c>
      <c r="F13473" t="s">
        <v>4</v>
      </c>
      <c r="G13473" t="str">
        <f>""</f>
        <v/>
      </c>
    </row>
    <row r="13474" spans="1:7" x14ac:dyDescent="0.25">
      <c r="A13474" t="s">
        <v>8</v>
      </c>
      <c r="B13474" s="1" t="str">
        <f>"000371542 - RICH FOODS- MIMI"</f>
        <v>000371542 - RICH FOODS- MIMI</v>
      </c>
      <c r="C13474" t="s">
        <v>281</v>
      </c>
      <c r="D13474" s="1" t="str">
        <f t="shared" si="372"/>
        <v>PRG-1040302</v>
      </c>
      <c r="E13474" t="s">
        <v>218</v>
      </c>
      <c r="F13474" t="s">
        <v>4</v>
      </c>
      <c r="G13474" t="str">
        <f>""</f>
        <v/>
      </c>
    </row>
    <row r="13475" spans="1:7" x14ac:dyDescent="0.25">
      <c r="A13475" t="s">
        <v>8</v>
      </c>
      <c r="B13475" s="1" t="str">
        <f>"000373219 - RICH FOODS- MIMI"</f>
        <v>000373219 - RICH FOODS- MIMI</v>
      </c>
      <c r="C13475" t="s">
        <v>281</v>
      </c>
      <c r="D13475" s="1" t="str">
        <f t="shared" si="372"/>
        <v>PRG-1040302</v>
      </c>
      <c r="E13475" t="s">
        <v>218</v>
      </c>
      <c r="F13475" t="s">
        <v>4</v>
      </c>
      <c r="G13475" t="str">
        <f>""</f>
        <v/>
      </c>
    </row>
    <row r="13476" spans="1:7" x14ac:dyDescent="0.25">
      <c r="A13476" t="s">
        <v>8</v>
      </c>
      <c r="B13476" s="1" t="str">
        <f>"000377520 - RICH FOODS- MIMI"</f>
        <v>000377520 - RICH FOODS- MIMI</v>
      </c>
      <c r="C13476" t="s">
        <v>281</v>
      </c>
      <c r="D13476" s="1" t="str">
        <f t="shared" si="372"/>
        <v>PRG-1040302</v>
      </c>
      <c r="E13476" t="s">
        <v>218</v>
      </c>
      <c r="F13476" t="s">
        <v>4</v>
      </c>
      <c r="G13476" t="str">
        <f>""</f>
        <v/>
      </c>
    </row>
    <row r="13477" spans="1:7" x14ac:dyDescent="0.25">
      <c r="A13477" t="s">
        <v>8</v>
      </c>
      <c r="B13477" s="1" t="str">
        <f>"000383994 - RICH FOODS- MIMI"</f>
        <v>000383994 - RICH FOODS- MIMI</v>
      </c>
      <c r="C13477" t="s">
        <v>281</v>
      </c>
      <c r="D13477" s="1" t="str">
        <f t="shared" si="372"/>
        <v>PRG-1040302</v>
      </c>
      <c r="E13477" t="s">
        <v>218</v>
      </c>
      <c r="F13477" t="s">
        <v>4</v>
      </c>
      <c r="G13477" t="str">
        <f>""</f>
        <v/>
      </c>
    </row>
    <row r="13478" spans="1:7" x14ac:dyDescent="0.25">
      <c r="A13478" t="s">
        <v>8</v>
      </c>
      <c r="B13478" s="1" t="str">
        <f>"000390399 - RICH FOODS- MIMI"</f>
        <v>000390399 - RICH FOODS- MIMI</v>
      </c>
      <c r="C13478" t="s">
        <v>281</v>
      </c>
      <c r="D13478" s="1" t="str">
        <f t="shared" si="372"/>
        <v>PRG-1040302</v>
      </c>
      <c r="E13478" t="s">
        <v>218</v>
      </c>
      <c r="F13478" t="s">
        <v>4</v>
      </c>
      <c r="G13478" t="str">
        <f>""</f>
        <v/>
      </c>
    </row>
    <row r="13479" spans="1:7" x14ac:dyDescent="0.25">
      <c r="A13479" t="s">
        <v>8</v>
      </c>
      <c r="B13479" s="1" t="str">
        <f>"000397982 - RICH FOODS- MIMI"</f>
        <v>000397982 - RICH FOODS- MIMI</v>
      </c>
      <c r="C13479" t="s">
        <v>281</v>
      </c>
      <c r="D13479" s="1" t="str">
        <f t="shared" si="372"/>
        <v>PRG-1040302</v>
      </c>
      <c r="E13479" t="s">
        <v>218</v>
      </c>
      <c r="F13479" t="s">
        <v>4</v>
      </c>
      <c r="G13479" t="str">
        <f>""</f>
        <v/>
      </c>
    </row>
    <row r="13480" spans="1:7" x14ac:dyDescent="0.25">
      <c r="A13480" t="s">
        <v>8</v>
      </c>
      <c r="B13480" s="1" t="str">
        <f>"000410259 - RICH FOODS- MIMI"</f>
        <v>000410259 - RICH FOODS- MIMI</v>
      </c>
      <c r="C13480" t="s">
        <v>281</v>
      </c>
      <c r="D13480" s="1" t="str">
        <f t="shared" si="372"/>
        <v>PRG-1040302</v>
      </c>
      <c r="E13480" t="s">
        <v>218</v>
      </c>
      <c r="F13480" t="s">
        <v>4</v>
      </c>
      <c r="G13480" t="str">
        <f>""</f>
        <v/>
      </c>
    </row>
    <row r="13481" spans="1:7" x14ac:dyDescent="0.25">
      <c r="A13481" t="s">
        <v>8</v>
      </c>
      <c r="B13481" s="1" t="str">
        <f>"000415696 - RICH FOODS- MIMI"</f>
        <v>000415696 - RICH FOODS- MIMI</v>
      </c>
      <c r="C13481" t="s">
        <v>281</v>
      </c>
      <c r="D13481" s="1" t="str">
        <f t="shared" si="372"/>
        <v>PRG-1040302</v>
      </c>
      <c r="E13481" t="s">
        <v>218</v>
      </c>
      <c r="F13481" t="s">
        <v>4</v>
      </c>
      <c r="G13481" t="str">
        <f>""</f>
        <v/>
      </c>
    </row>
    <row r="13482" spans="1:7" x14ac:dyDescent="0.25">
      <c r="A13482" t="s">
        <v>8</v>
      </c>
      <c r="B13482" s="1" t="str">
        <f>"000422180 - RICH FOODS- MIMI"</f>
        <v>000422180 - RICH FOODS- MIMI</v>
      </c>
      <c r="C13482" t="s">
        <v>281</v>
      </c>
      <c r="D13482" s="1" t="str">
        <f t="shared" si="372"/>
        <v>PRG-1040302</v>
      </c>
      <c r="E13482" t="s">
        <v>218</v>
      </c>
      <c r="F13482" t="s">
        <v>4</v>
      </c>
      <c r="G13482" t="str">
        <f>""</f>
        <v/>
      </c>
    </row>
    <row r="13483" spans="1:7" x14ac:dyDescent="0.25">
      <c r="A13483" t="s">
        <v>8</v>
      </c>
      <c r="B13483" s="1" t="str">
        <f>"000045445 - HOMESTYLE DINING RICH'S PRODUC"</f>
        <v>000045445 - HOMESTYLE DINING RICH'S PRODUC</v>
      </c>
      <c r="C13483" t="s">
        <v>404</v>
      </c>
      <c r="D13483" s="1" t="str">
        <f>"PRG-1040304"</f>
        <v>PRG-1040304</v>
      </c>
      <c r="E13483" t="s">
        <v>616</v>
      </c>
      <c r="F13483" t="s">
        <v>4</v>
      </c>
      <c r="G13483" t="str">
        <f>""</f>
        <v/>
      </c>
    </row>
    <row r="13484" spans="1:7" x14ac:dyDescent="0.25">
      <c r="A13484" t="s">
        <v>8</v>
      </c>
      <c r="B13484" s="1" t="str">
        <f>"000316233 - TCBY RICH'S"</f>
        <v>000316233 - TCBY RICH'S</v>
      </c>
      <c r="C13484" t="s">
        <v>3182</v>
      </c>
      <c r="D13484" s="1" t="str">
        <f>"PRG-1040306"</f>
        <v>PRG-1040306</v>
      </c>
      <c r="E13484" t="s">
        <v>2874</v>
      </c>
      <c r="F13484" t="s">
        <v>4</v>
      </c>
      <c r="G13484" t="str">
        <f>""</f>
        <v/>
      </c>
    </row>
    <row r="13485" spans="1:7" x14ac:dyDescent="0.25">
      <c r="A13485" t="s">
        <v>8</v>
      </c>
      <c r="B13485" s="1" t="str">
        <f>"000247162 - RICH ROSIES SPORTS BAR"</f>
        <v>000247162 - RICH ROSIES SPORTS BAR</v>
      </c>
      <c r="C13485" t="s">
        <v>2030</v>
      </c>
      <c r="D13485" s="1" t="str">
        <f t="shared" ref="D13485:D13490" si="373">"PRG-1040324"</f>
        <v>PRG-1040324</v>
      </c>
      <c r="E13485" t="s">
        <v>125</v>
      </c>
      <c r="F13485" t="s">
        <v>4</v>
      </c>
      <c r="G13485" t="str">
        <f>""</f>
        <v/>
      </c>
    </row>
    <row r="13486" spans="1:7" x14ac:dyDescent="0.25">
      <c r="A13486" t="s">
        <v>8</v>
      </c>
      <c r="B13486" s="1" t="str">
        <f>"000312290 - RICH FOODS-HILTON"</f>
        <v>000312290 - RICH FOODS-HILTON</v>
      </c>
      <c r="C13486" t="s">
        <v>183</v>
      </c>
      <c r="D13486" s="1" t="str">
        <f t="shared" si="373"/>
        <v>PRG-1040324</v>
      </c>
      <c r="E13486" t="s">
        <v>125</v>
      </c>
      <c r="F13486" t="s">
        <v>4</v>
      </c>
      <c r="G13486" t="str">
        <f>""</f>
        <v/>
      </c>
    </row>
    <row r="13487" spans="1:7" x14ac:dyDescent="0.25">
      <c r="A13487" t="s">
        <v>8</v>
      </c>
      <c r="B13487" s="1" t="str">
        <f>"000326178 - RICH FOODS-HILTON"</f>
        <v>000326178 - RICH FOODS-HILTON</v>
      </c>
      <c r="C13487" t="s">
        <v>183</v>
      </c>
      <c r="D13487" s="1" t="str">
        <f t="shared" si="373"/>
        <v>PRG-1040324</v>
      </c>
      <c r="E13487" t="s">
        <v>125</v>
      </c>
      <c r="F13487" t="s">
        <v>4</v>
      </c>
      <c r="G13487" t="str">
        <f>""</f>
        <v/>
      </c>
    </row>
    <row r="13488" spans="1:7" x14ac:dyDescent="0.25">
      <c r="A13488" t="s">
        <v>8</v>
      </c>
      <c r="B13488" s="1" t="str">
        <f>"000362800 - RICH FOODS-HILTON"</f>
        <v>000362800 - RICH FOODS-HILTON</v>
      </c>
      <c r="C13488" t="s">
        <v>183</v>
      </c>
      <c r="D13488" s="1" t="str">
        <f t="shared" si="373"/>
        <v>PRG-1040324</v>
      </c>
      <c r="E13488" t="s">
        <v>125</v>
      </c>
      <c r="F13488" t="s">
        <v>4</v>
      </c>
      <c r="G13488" t="str">
        <f>""</f>
        <v/>
      </c>
    </row>
    <row r="13489" spans="1:7" x14ac:dyDescent="0.25">
      <c r="A13489" t="s">
        <v>8</v>
      </c>
      <c r="B13489" s="1" t="str">
        <f>"000376710 - RICH FOODS-HILTON"</f>
        <v>000376710 - RICH FOODS-HILTON</v>
      </c>
      <c r="C13489" t="s">
        <v>183</v>
      </c>
      <c r="D13489" s="1" t="str">
        <f t="shared" si="373"/>
        <v>PRG-1040324</v>
      </c>
      <c r="E13489" t="s">
        <v>125</v>
      </c>
      <c r="F13489" t="s">
        <v>4</v>
      </c>
      <c r="G13489" t="str">
        <f>""</f>
        <v/>
      </c>
    </row>
    <row r="13490" spans="1:7" x14ac:dyDescent="0.25">
      <c r="A13490" t="s">
        <v>8</v>
      </c>
      <c r="B13490" s="1" t="str">
        <f>"000378283 - RICH FOODS-HILTON"</f>
        <v>000378283 - RICH FOODS-HILTON</v>
      </c>
      <c r="C13490" t="s">
        <v>183</v>
      </c>
      <c r="D13490" s="1" t="str">
        <f t="shared" si="373"/>
        <v>PRG-1040324</v>
      </c>
      <c r="E13490" t="s">
        <v>125</v>
      </c>
      <c r="F13490" t="s">
        <v>4</v>
      </c>
      <c r="G13490" t="str">
        <f>""</f>
        <v/>
      </c>
    </row>
    <row r="13491" spans="1:7" x14ac:dyDescent="0.25">
      <c r="A13491" t="s">
        <v>8</v>
      </c>
      <c r="B13491" s="1" t="str">
        <f>"000285772 - PERKINS RICHS"</f>
        <v>000285772 - PERKINS RICHS</v>
      </c>
      <c r="C13491" t="s">
        <v>2725</v>
      </c>
      <c r="D13491" s="1" t="str">
        <f>"PRG-1040347"</f>
        <v>PRG-1040347</v>
      </c>
      <c r="E13491" t="s">
        <v>2726</v>
      </c>
      <c r="F13491" t="s">
        <v>4</v>
      </c>
      <c r="G13491" t="str">
        <f>""</f>
        <v/>
      </c>
    </row>
    <row r="13492" spans="1:7" x14ac:dyDescent="0.25">
      <c r="A13492" t="s">
        <v>8</v>
      </c>
      <c r="B13492" s="1" t="str">
        <f>"60279426"</f>
        <v>60279426</v>
      </c>
      <c r="C13492" t="s">
        <v>5210</v>
      </c>
      <c r="D13492" s="1" t="str">
        <f>"PRG-1040347"</f>
        <v>PRG-1040347</v>
      </c>
      <c r="E13492" t="s">
        <v>2726</v>
      </c>
      <c r="F13492" t="s">
        <v>5</v>
      </c>
      <c r="G13492" t="str">
        <f>""</f>
        <v/>
      </c>
    </row>
    <row r="13493" spans="1:7" x14ac:dyDescent="0.25">
      <c r="A13493" t="s">
        <v>8</v>
      </c>
      <c r="B13493" s="1" t="str">
        <f>"S1Z09BN0"</f>
        <v>S1Z09BN0</v>
      </c>
      <c r="C13493" t="s">
        <v>5364</v>
      </c>
      <c r="D13493" s="1" t="str">
        <f>"PRG-1040347"</f>
        <v>PRG-1040347</v>
      </c>
      <c r="E13493" t="s">
        <v>2726</v>
      </c>
      <c r="F13493" t="s">
        <v>5</v>
      </c>
      <c r="G13493" t="str">
        <f>""</f>
        <v/>
      </c>
    </row>
    <row r="13494" spans="1:7" x14ac:dyDescent="0.25">
      <c r="A13494" t="s">
        <v>8</v>
      </c>
      <c r="B13494" s="1" t="str">
        <f>"000346205 - RICH TILT"</f>
        <v>000346205 - RICH TILT</v>
      </c>
      <c r="C13494" t="s">
        <v>3470</v>
      </c>
      <c r="D13494" s="1" t="str">
        <f>"PRG-1040380"</f>
        <v>PRG-1040380</v>
      </c>
      <c r="E13494" t="s">
        <v>3471</v>
      </c>
      <c r="F13494" t="s">
        <v>4</v>
      </c>
      <c r="G13494" t="str">
        <f>""</f>
        <v/>
      </c>
    </row>
    <row r="13495" spans="1:7" x14ac:dyDescent="0.25">
      <c r="A13495" t="s">
        <v>8</v>
      </c>
      <c r="B13495" s="1" t="str">
        <f>"000360441 - RICH PRODUCTS BUC-EES GCST"</f>
        <v>000360441 - RICH PRODUCTS BUC-EES GCST</v>
      </c>
      <c r="C13495" t="s">
        <v>3581</v>
      </c>
      <c r="D13495" s="1" t="str">
        <f>"PRG-1040425"</f>
        <v>PRG-1040425</v>
      </c>
      <c r="E13495" t="s">
        <v>3351</v>
      </c>
      <c r="F13495" t="s">
        <v>4</v>
      </c>
      <c r="G13495" t="str">
        <f>""</f>
        <v/>
      </c>
    </row>
    <row r="13496" spans="1:7" x14ac:dyDescent="0.25">
      <c r="A13496" t="s">
        <v>8</v>
      </c>
      <c r="B13496" s="1" t="str">
        <f>"000378269 - RICH PRODUCTS BUC-EES GCST"</f>
        <v>000378269 - RICH PRODUCTS BUC-EES GCST</v>
      </c>
      <c r="C13496" t="s">
        <v>3581</v>
      </c>
      <c r="D13496" s="1" t="str">
        <f>"PRG-1040425"</f>
        <v>PRG-1040425</v>
      </c>
      <c r="E13496" t="s">
        <v>3351</v>
      </c>
      <c r="F13496" t="s">
        <v>4</v>
      </c>
      <c r="G13496" t="str">
        <f>""</f>
        <v/>
      </c>
    </row>
    <row r="13497" spans="1:7" x14ac:dyDescent="0.25">
      <c r="A13497" t="s">
        <v>8</v>
      </c>
      <c r="B13497" s="1" t="str">
        <f>"000392001 - RICH PRODUCTS BUC-EES GCST"</f>
        <v>000392001 - RICH PRODUCTS BUC-EES GCST</v>
      </c>
      <c r="C13497" t="s">
        <v>3581</v>
      </c>
      <c r="D13497" s="1" t="str">
        <f>"PRG-1040425"</f>
        <v>PRG-1040425</v>
      </c>
      <c r="E13497" t="s">
        <v>3351</v>
      </c>
      <c r="F13497" t="s">
        <v>4</v>
      </c>
      <c r="G13497" t="str">
        <f>""</f>
        <v/>
      </c>
    </row>
    <row r="13498" spans="1:7" x14ac:dyDescent="0.25">
      <c r="A13498" t="s">
        <v>8</v>
      </c>
      <c r="B13498" s="1" t="str">
        <f>"000345493 - DUTCH'S DAUGHTER RICH PRODUCTS"</f>
        <v>000345493 - DUTCH'S DAUGHTER RICH PRODUCTS</v>
      </c>
      <c r="C13498" t="s">
        <v>2544</v>
      </c>
      <c r="D13498" s="1" t="str">
        <f>"PRG-1040449"</f>
        <v>PRG-1040449</v>
      </c>
      <c r="E13498" t="s">
        <v>2545</v>
      </c>
      <c r="F13498" t="s">
        <v>4</v>
      </c>
      <c r="G13498" t="str">
        <f>""</f>
        <v/>
      </c>
    </row>
    <row r="13499" spans="1:7" x14ac:dyDescent="0.25">
      <c r="A13499" t="s">
        <v>8</v>
      </c>
      <c r="B13499" s="1" t="str">
        <f>"000394614 - DUTCH'S DAUGHTER RICH PRODUCTS"</f>
        <v>000394614 - DUTCH'S DAUGHTER RICH PRODUCTS</v>
      </c>
      <c r="C13499" t="s">
        <v>2544</v>
      </c>
      <c r="D13499" s="1" t="str">
        <f>"PRG-1040449"</f>
        <v>PRG-1040449</v>
      </c>
      <c r="E13499" t="s">
        <v>2545</v>
      </c>
      <c r="F13499" t="s">
        <v>4</v>
      </c>
      <c r="G13499" t="str">
        <f>""</f>
        <v/>
      </c>
    </row>
    <row r="13500" spans="1:7" x14ac:dyDescent="0.25">
      <c r="A13500" t="s">
        <v>8</v>
      </c>
      <c r="B13500" s="1" t="str">
        <f>"000273147 - RICHS EMMINGS"</f>
        <v>000273147 - RICHS EMMINGS</v>
      </c>
      <c r="C13500" t="s">
        <v>1863</v>
      </c>
      <c r="D13500" s="1" t="str">
        <f>"PRG-1040450"</f>
        <v>PRG-1040450</v>
      </c>
      <c r="E13500" t="s">
        <v>2518</v>
      </c>
      <c r="F13500" t="s">
        <v>4</v>
      </c>
      <c r="G13500" t="str">
        <f>""</f>
        <v/>
      </c>
    </row>
    <row r="13501" spans="1:7" x14ac:dyDescent="0.25">
      <c r="A13501" t="s">
        <v>8</v>
      </c>
      <c r="B13501" s="1" t="str">
        <f>"000170778 - FLANIGANS - RICH"</f>
        <v>000170778 - FLANIGANS - RICH</v>
      </c>
      <c r="C13501" t="s">
        <v>1100</v>
      </c>
      <c r="D13501" s="1" t="str">
        <f>"PRG-1040455"</f>
        <v>PRG-1040455</v>
      </c>
      <c r="E13501" t="s">
        <v>1101</v>
      </c>
      <c r="F13501" t="s">
        <v>4</v>
      </c>
      <c r="G13501" t="str">
        <f>""</f>
        <v/>
      </c>
    </row>
    <row r="13502" spans="1:7" x14ac:dyDescent="0.25">
      <c r="A13502" t="s">
        <v>8</v>
      </c>
      <c r="B13502" s="1" t="str">
        <f>"000350486 - FLANIGANS - RICH"</f>
        <v>000350486 - FLANIGANS - RICH</v>
      </c>
      <c r="C13502" t="s">
        <v>1100</v>
      </c>
      <c r="D13502" s="1" t="str">
        <f>"PRG-1040455"</f>
        <v>PRG-1040455</v>
      </c>
      <c r="E13502" t="s">
        <v>1101</v>
      </c>
      <c r="F13502" t="s">
        <v>4</v>
      </c>
      <c r="G13502" t="str">
        <f>""</f>
        <v/>
      </c>
    </row>
    <row r="13503" spans="1:7" x14ac:dyDescent="0.25">
      <c r="A13503" t="s">
        <v>8</v>
      </c>
      <c r="B13503" s="1" t="str">
        <f>"000273149 - RICHS PIER I"</f>
        <v>000273149 - RICHS PIER I</v>
      </c>
      <c r="C13503" t="s">
        <v>1865</v>
      </c>
      <c r="D13503" s="1" t="str">
        <f>"PRG-1040458"</f>
        <v>PRG-1040458</v>
      </c>
      <c r="E13503" t="s">
        <v>1866</v>
      </c>
      <c r="F13503" t="s">
        <v>4</v>
      </c>
      <c r="G13503" t="str">
        <f>""</f>
        <v/>
      </c>
    </row>
    <row r="13504" spans="1:7" x14ac:dyDescent="0.25">
      <c r="A13504" t="s">
        <v>8</v>
      </c>
      <c r="B13504" s="1" t="str">
        <f>"000297823 - GREENBERRY'S-RICH'S DC"</f>
        <v>000297823 - GREENBERRY'S-RICH'S DC</v>
      </c>
      <c r="C13504" t="s">
        <v>2928</v>
      </c>
      <c r="D13504" s="1" t="str">
        <f>"PRG-1040459"</f>
        <v>PRG-1040459</v>
      </c>
      <c r="E13504" t="s">
        <v>1574</v>
      </c>
      <c r="F13504" t="s">
        <v>4</v>
      </c>
      <c r="G13504" t="str">
        <f>""</f>
        <v/>
      </c>
    </row>
    <row r="13505" spans="1:7" x14ac:dyDescent="0.25">
      <c r="A13505" t="s">
        <v>8</v>
      </c>
      <c r="B13505" s="1" t="str">
        <f>"000325679 - GREENBERRY'S-RICH'S DC"</f>
        <v>000325679 - GREENBERRY'S-RICH'S DC</v>
      </c>
      <c r="C13505" t="s">
        <v>2928</v>
      </c>
      <c r="D13505" s="1" t="str">
        <f>"PRG-1040459"</f>
        <v>PRG-1040459</v>
      </c>
      <c r="E13505" t="s">
        <v>1574</v>
      </c>
      <c r="F13505" t="s">
        <v>4</v>
      </c>
      <c r="G13505" t="str">
        <f>""</f>
        <v/>
      </c>
    </row>
    <row r="13506" spans="1:7" x14ac:dyDescent="0.25">
      <c r="A13506" t="s">
        <v>8</v>
      </c>
      <c r="B13506" s="1" t="str">
        <f>"000344572 - GREENBERRY RICHS"</f>
        <v>000344572 - GREENBERRY RICHS</v>
      </c>
      <c r="C13506" t="s">
        <v>2560</v>
      </c>
      <c r="D13506" s="1" t="str">
        <f>"PRG-1040459"</f>
        <v>PRG-1040459</v>
      </c>
      <c r="E13506" t="s">
        <v>1574</v>
      </c>
      <c r="F13506" t="s">
        <v>4</v>
      </c>
      <c r="G13506" t="str">
        <f>""</f>
        <v/>
      </c>
    </row>
    <row r="13507" spans="1:7" x14ac:dyDescent="0.25">
      <c r="A13507" t="s">
        <v>8</v>
      </c>
      <c r="B13507" s="1" t="str">
        <f>"000394615 - GREENBERRY RICHS"</f>
        <v>000394615 - GREENBERRY RICHS</v>
      </c>
      <c r="C13507" t="s">
        <v>2560</v>
      </c>
      <c r="D13507" s="1" t="str">
        <f>"PRG-1040459"</f>
        <v>PRG-1040459</v>
      </c>
      <c r="E13507" t="s">
        <v>1574</v>
      </c>
      <c r="F13507" t="s">
        <v>4</v>
      </c>
      <c r="G13507" t="str">
        <f>""</f>
        <v/>
      </c>
    </row>
    <row r="13508" spans="1:7" x14ac:dyDescent="0.25">
      <c r="A13508" t="s">
        <v>8</v>
      </c>
      <c r="B13508" s="1" t="str">
        <f>"000273150 - RICHS SUBRUNNERS"</f>
        <v>000273150 - RICHS SUBRUNNERS</v>
      </c>
      <c r="C13508" t="s">
        <v>1858</v>
      </c>
      <c r="D13508" s="1" t="str">
        <f>"PRG-1040461"</f>
        <v>PRG-1040461</v>
      </c>
      <c r="E13508" t="s">
        <v>1859</v>
      </c>
      <c r="F13508" t="s">
        <v>4</v>
      </c>
      <c r="G13508" t="str">
        <f>""</f>
        <v/>
      </c>
    </row>
    <row r="13509" spans="1:7" x14ac:dyDescent="0.25">
      <c r="A13509" t="s">
        <v>8</v>
      </c>
      <c r="B13509" s="1" t="str">
        <f>"S5O006W0"</f>
        <v>S5O006W0</v>
      </c>
      <c r="C13509" t="s">
        <v>5912</v>
      </c>
      <c r="D13509" s="1" t="str">
        <f>"PRG-1040465"</f>
        <v>PRG-1040465</v>
      </c>
      <c r="E13509" t="s">
        <v>4089</v>
      </c>
      <c r="F13509" t="s">
        <v>5</v>
      </c>
      <c r="G13509" t="str">
        <f>""</f>
        <v/>
      </c>
    </row>
    <row r="13510" spans="1:7" x14ac:dyDescent="0.25">
      <c r="A13510" t="s">
        <v>8</v>
      </c>
      <c r="B13510" s="1" t="str">
        <f>"6026ZF26"</f>
        <v>6026ZF26</v>
      </c>
      <c r="C13510" t="s">
        <v>5179</v>
      </c>
      <c r="D13510" s="1" t="str">
        <f>"PRG-1040468"</f>
        <v>PRG-1040468</v>
      </c>
      <c r="E13510" t="s">
        <v>4083</v>
      </c>
      <c r="F13510" t="s">
        <v>5</v>
      </c>
      <c r="G13510" t="str">
        <f>""</f>
        <v/>
      </c>
    </row>
    <row r="13511" spans="1:7" x14ac:dyDescent="0.25">
      <c r="A13511" t="s">
        <v>8</v>
      </c>
      <c r="B13511" s="1" t="str">
        <f>"3103A428"</f>
        <v>3103A428</v>
      </c>
      <c r="C13511" t="s">
        <v>4601</v>
      </c>
      <c r="D13511" s="1" t="str">
        <f>"PRG-1040482"</f>
        <v>PRG-1040482</v>
      </c>
      <c r="E13511" t="s">
        <v>4602</v>
      </c>
      <c r="F13511" t="s">
        <v>5</v>
      </c>
      <c r="G13511" t="str">
        <f>""</f>
        <v/>
      </c>
    </row>
    <row r="13512" spans="1:7" x14ac:dyDescent="0.25">
      <c r="A13512" t="s">
        <v>8</v>
      </c>
      <c r="B13512" s="1" t="str">
        <f>"S1Z0XWJ0"</f>
        <v>S1Z0XWJ0</v>
      </c>
      <c r="C13512" t="s">
        <v>5456</v>
      </c>
      <c r="D13512" s="1" t="str">
        <f>"PRG-1040482"</f>
        <v>PRG-1040482</v>
      </c>
      <c r="E13512" t="s">
        <v>4602</v>
      </c>
      <c r="F13512" t="s">
        <v>5</v>
      </c>
      <c r="G13512" t="str">
        <f>""</f>
        <v/>
      </c>
    </row>
    <row r="13513" spans="1:7" x14ac:dyDescent="0.25">
      <c r="A13513" t="s">
        <v>8</v>
      </c>
      <c r="B13513" s="1" t="str">
        <f>"S4I01AB0"</f>
        <v>S4I01AB0</v>
      </c>
      <c r="C13513" t="s">
        <v>5729</v>
      </c>
      <c r="D13513" s="1" t="str">
        <f>"PRG-1040489"</f>
        <v>PRG-1040489</v>
      </c>
      <c r="E13513" t="s">
        <v>5730</v>
      </c>
      <c r="F13513" t="s">
        <v>5</v>
      </c>
      <c r="G13513" t="str">
        <f>""</f>
        <v/>
      </c>
    </row>
    <row r="13514" spans="1:7" x14ac:dyDescent="0.25">
      <c r="A13514" t="s">
        <v>8</v>
      </c>
      <c r="B13514" s="1" t="str">
        <f>"000032701 - RICH FOODS BOYD GAMING"</f>
        <v>000032701 - RICH FOODS BOYD GAMING</v>
      </c>
      <c r="C13514" t="s">
        <v>507</v>
      </c>
      <c r="D13514" s="1" t="str">
        <f t="shared" ref="D13514:D13526" si="374">"PRG-1040497"</f>
        <v>PRG-1040497</v>
      </c>
      <c r="E13514" t="s">
        <v>28</v>
      </c>
      <c r="F13514" t="s">
        <v>4</v>
      </c>
      <c r="G13514" t="str">
        <f>""</f>
        <v/>
      </c>
    </row>
    <row r="13515" spans="1:7" x14ac:dyDescent="0.25">
      <c r="A13515" t="s">
        <v>8</v>
      </c>
      <c r="B13515" s="1" t="str">
        <f>"000036158 - RICH FOODS-BOYD GAMING"</f>
        <v>000036158 - RICH FOODS-BOYD GAMING</v>
      </c>
      <c r="C13515" t="s">
        <v>535</v>
      </c>
      <c r="D13515" s="1" t="str">
        <f t="shared" si="374"/>
        <v>PRG-1040497</v>
      </c>
      <c r="E13515" t="s">
        <v>28</v>
      </c>
      <c r="F13515" t="s">
        <v>4</v>
      </c>
      <c r="G13515" t="str">
        <f>""</f>
        <v/>
      </c>
    </row>
    <row r="13516" spans="1:7" x14ac:dyDescent="0.25">
      <c r="A13516" t="s">
        <v>8</v>
      </c>
      <c r="B13516" s="1" t="str">
        <f>"000040857 - RICH FOODS BOYD GAMING"</f>
        <v>000040857 - RICH FOODS BOYD GAMING</v>
      </c>
      <c r="C13516" t="s">
        <v>507</v>
      </c>
      <c r="D13516" s="1" t="str">
        <f t="shared" si="374"/>
        <v>PRG-1040497</v>
      </c>
      <c r="E13516" t="s">
        <v>28</v>
      </c>
      <c r="F13516" t="s">
        <v>4</v>
      </c>
      <c r="G13516" t="str">
        <f>""</f>
        <v/>
      </c>
    </row>
    <row r="13517" spans="1:7" x14ac:dyDescent="0.25">
      <c r="A13517" t="s">
        <v>8</v>
      </c>
      <c r="B13517" s="1" t="str">
        <f>"000045058 - RICH FOODS-BOYD GAMING"</f>
        <v>000045058 - RICH FOODS-BOYD GAMING</v>
      </c>
      <c r="C13517" t="s">
        <v>535</v>
      </c>
      <c r="D13517" s="1" t="str">
        <f t="shared" si="374"/>
        <v>PRG-1040497</v>
      </c>
      <c r="E13517" t="s">
        <v>28</v>
      </c>
      <c r="F13517" t="s">
        <v>4</v>
      </c>
      <c r="G13517" t="str">
        <f>""</f>
        <v/>
      </c>
    </row>
    <row r="13518" spans="1:7" x14ac:dyDescent="0.25">
      <c r="A13518" t="s">
        <v>8</v>
      </c>
      <c r="B13518" s="1" t="str">
        <f>"000152574 - RICH FOODS-BOYD GAMING"</f>
        <v>000152574 - RICH FOODS-BOYD GAMING</v>
      </c>
      <c r="C13518" t="s">
        <v>535</v>
      </c>
      <c r="D13518" s="1" t="str">
        <f t="shared" si="374"/>
        <v>PRG-1040497</v>
      </c>
      <c r="E13518" t="s">
        <v>28</v>
      </c>
      <c r="F13518" t="s">
        <v>4</v>
      </c>
      <c r="G13518" t="str">
        <f>""</f>
        <v/>
      </c>
    </row>
    <row r="13519" spans="1:7" x14ac:dyDescent="0.25">
      <c r="A13519" t="s">
        <v>8</v>
      </c>
      <c r="B13519" s="1" t="str">
        <f>"000245071 - RICH FOODS BOYD GAMING"</f>
        <v>000245071 - RICH FOODS BOYD GAMING</v>
      </c>
      <c r="C13519" t="s">
        <v>507</v>
      </c>
      <c r="D13519" s="1" t="str">
        <f t="shared" si="374"/>
        <v>PRG-1040497</v>
      </c>
      <c r="E13519" t="s">
        <v>28</v>
      </c>
      <c r="F13519" t="s">
        <v>4</v>
      </c>
      <c r="G13519" t="str">
        <f>""</f>
        <v/>
      </c>
    </row>
    <row r="13520" spans="1:7" x14ac:dyDescent="0.25">
      <c r="A13520" t="s">
        <v>8</v>
      </c>
      <c r="B13520" s="1" t="str">
        <f>"000245072 - RICH FOODS-BOYD GAMING"</f>
        <v>000245072 - RICH FOODS-BOYD GAMING</v>
      </c>
      <c r="C13520" t="s">
        <v>535</v>
      </c>
      <c r="D13520" s="1" t="str">
        <f t="shared" si="374"/>
        <v>PRG-1040497</v>
      </c>
      <c r="E13520" t="s">
        <v>28</v>
      </c>
      <c r="F13520" t="s">
        <v>4</v>
      </c>
      <c r="G13520" t="str">
        <f>""</f>
        <v/>
      </c>
    </row>
    <row r="13521" spans="1:7" x14ac:dyDescent="0.25">
      <c r="A13521" t="s">
        <v>8</v>
      </c>
      <c r="B13521" s="1" t="str">
        <f>"000274907 - RICH FOODS-BOYD GAMING"</f>
        <v>000274907 - RICH FOODS-BOYD GAMING</v>
      </c>
      <c r="C13521" t="s">
        <v>535</v>
      </c>
      <c r="D13521" s="1" t="str">
        <f t="shared" si="374"/>
        <v>PRG-1040497</v>
      </c>
      <c r="E13521" t="s">
        <v>28</v>
      </c>
      <c r="F13521" t="s">
        <v>4</v>
      </c>
      <c r="G13521" t="str">
        <f>""</f>
        <v/>
      </c>
    </row>
    <row r="13522" spans="1:7" x14ac:dyDescent="0.25">
      <c r="A13522" t="s">
        <v>8</v>
      </c>
      <c r="B13522" s="1" t="str">
        <f>"000373020 - RICH BOYD GAMING"</f>
        <v>000373020 - RICH BOYD GAMING</v>
      </c>
      <c r="C13522" t="s">
        <v>3632</v>
      </c>
      <c r="D13522" s="1" t="str">
        <f t="shared" si="374"/>
        <v>PRG-1040497</v>
      </c>
      <c r="E13522" t="s">
        <v>28</v>
      </c>
      <c r="F13522" t="s">
        <v>4</v>
      </c>
      <c r="G13522" t="str">
        <f>""</f>
        <v/>
      </c>
    </row>
    <row r="13523" spans="1:7" x14ac:dyDescent="0.25">
      <c r="A13523" t="s">
        <v>8</v>
      </c>
      <c r="B13523" s="1" t="str">
        <f>"000376841 - RICH FOODS BOYD GAMING"</f>
        <v>000376841 - RICH FOODS BOYD GAMING</v>
      </c>
      <c r="C13523" t="s">
        <v>507</v>
      </c>
      <c r="D13523" s="1" t="str">
        <f t="shared" si="374"/>
        <v>PRG-1040497</v>
      </c>
      <c r="E13523" t="s">
        <v>28</v>
      </c>
      <c r="F13523" t="s">
        <v>4</v>
      </c>
      <c r="G13523" t="str">
        <f>""</f>
        <v/>
      </c>
    </row>
    <row r="13524" spans="1:7" x14ac:dyDescent="0.25">
      <c r="A13524" t="s">
        <v>8</v>
      </c>
      <c r="B13524" s="1" t="str">
        <f>"000376842 - RICH FOODS-BOYD GAMING"</f>
        <v>000376842 - RICH FOODS-BOYD GAMING</v>
      </c>
      <c r="C13524" t="s">
        <v>535</v>
      </c>
      <c r="D13524" s="1" t="str">
        <f t="shared" si="374"/>
        <v>PRG-1040497</v>
      </c>
      <c r="E13524" t="s">
        <v>28</v>
      </c>
      <c r="F13524" t="s">
        <v>4</v>
      </c>
      <c r="G13524" t="str">
        <f>""</f>
        <v/>
      </c>
    </row>
    <row r="13525" spans="1:7" x14ac:dyDescent="0.25">
      <c r="A13525" t="s">
        <v>8</v>
      </c>
      <c r="B13525" s="1" t="str">
        <f>"000378417 - RICH FOODS-BOYD GAMING"</f>
        <v>000378417 - RICH FOODS-BOYD GAMING</v>
      </c>
      <c r="C13525" t="s">
        <v>535</v>
      </c>
      <c r="D13525" s="1" t="str">
        <f t="shared" si="374"/>
        <v>PRG-1040497</v>
      </c>
      <c r="E13525" t="s">
        <v>28</v>
      </c>
      <c r="F13525" t="s">
        <v>4</v>
      </c>
      <c r="G13525" t="str">
        <f>""</f>
        <v/>
      </c>
    </row>
    <row r="13526" spans="1:7" x14ac:dyDescent="0.25">
      <c r="A13526" t="s">
        <v>8</v>
      </c>
      <c r="B13526" s="1" t="str">
        <f>"41001619"</f>
        <v>41001619</v>
      </c>
      <c r="C13526" t="s">
        <v>4927</v>
      </c>
      <c r="D13526" s="1" t="str">
        <f t="shared" si="374"/>
        <v>PRG-1040497</v>
      </c>
      <c r="E13526" t="s">
        <v>28</v>
      </c>
      <c r="F13526" t="s">
        <v>5</v>
      </c>
      <c r="G13526" t="str">
        <f>""</f>
        <v/>
      </c>
    </row>
    <row r="13527" spans="1:7" x14ac:dyDescent="0.25">
      <c r="A13527" t="s">
        <v>8</v>
      </c>
      <c r="B13527" s="1" t="str">
        <f>"000270277 - RICHS CIRCLE K BB"</f>
        <v>000270277 - RICHS CIRCLE K BB</v>
      </c>
      <c r="C13527" t="s">
        <v>2465</v>
      </c>
      <c r="D13527" s="1" t="str">
        <f>"PRG-1040510"</f>
        <v>PRG-1040510</v>
      </c>
      <c r="E13527" t="s">
        <v>2466</v>
      </c>
      <c r="F13527" t="s">
        <v>4</v>
      </c>
      <c r="G13527" t="str">
        <f>""</f>
        <v/>
      </c>
    </row>
    <row r="13528" spans="1:7" x14ac:dyDescent="0.25">
      <c r="A13528" t="s">
        <v>8</v>
      </c>
      <c r="B13528" s="1" t="str">
        <f>"000295495 - RICH PRODUCTS-WINGHOUSE"</f>
        <v>000295495 - RICH PRODUCTS-WINGHOUSE</v>
      </c>
      <c r="C13528" t="s">
        <v>2405</v>
      </c>
      <c r="D13528" s="1" t="str">
        <f>"PRG-1040525"</f>
        <v>PRG-1040525</v>
      </c>
      <c r="E13528" t="s">
        <v>2406</v>
      </c>
      <c r="F13528" t="s">
        <v>4</v>
      </c>
      <c r="G13528" t="str">
        <f>""</f>
        <v/>
      </c>
    </row>
    <row r="13529" spans="1:7" x14ac:dyDescent="0.25">
      <c r="A13529" t="s">
        <v>8</v>
      </c>
      <c r="B13529" s="1" t="str">
        <f>"000390511 - RICH PRODUCTS-WINGHOUSE"</f>
        <v>000390511 - RICH PRODUCTS-WINGHOUSE</v>
      </c>
      <c r="C13529" t="s">
        <v>2405</v>
      </c>
      <c r="D13529" s="1" t="str">
        <f>"PRG-1040525"</f>
        <v>PRG-1040525</v>
      </c>
      <c r="E13529" t="s">
        <v>2406</v>
      </c>
      <c r="F13529" t="s">
        <v>4</v>
      </c>
      <c r="G13529" t="str">
        <f>""</f>
        <v/>
      </c>
    </row>
    <row r="13530" spans="1:7" x14ac:dyDescent="0.25">
      <c r="A13530" t="s">
        <v>8</v>
      </c>
      <c r="B13530" s="1" t="str">
        <f>"295495 - RICH PRODUCTS-WINGHOUSE"</f>
        <v>295495 - RICH PRODUCTS-WINGHOUSE</v>
      </c>
      <c r="C13530" t="s">
        <v>2405</v>
      </c>
      <c r="D13530" s="1" t="str">
        <f>"PRG-1040525"</f>
        <v>PRG-1040525</v>
      </c>
      <c r="E13530" t="s">
        <v>2406</v>
      </c>
      <c r="F13530" t="s">
        <v>4</v>
      </c>
      <c r="G13530" t="str">
        <f>""</f>
        <v/>
      </c>
    </row>
    <row r="13531" spans="1:7" x14ac:dyDescent="0.25">
      <c r="A13531" t="s">
        <v>8</v>
      </c>
      <c r="B13531" s="1" t="str">
        <f>"000264143 - RICH'S ELLA'S REST"</f>
        <v>000264143 - RICH'S ELLA'S REST</v>
      </c>
      <c r="C13531" t="s">
        <v>2346</v>
      </c>
      <c r="D13531" s="1" t="str">
        <f>"PRG-1040529"</f>
        <v>PRG-1040529</v>
      </c>
      <c r="E13531" t="s">
        <v>2347</v>
      </c>
      <c r="F13531" t="s">
        <v>4</v>
      </c>
      <c r="G13531" t="str">
        <f>""</f>
        <v/>
      </c>
    </row>
    <row r="13532" spans="1:7" x14ac:dyDescent="0.25">
      <c r="A13532" t="s">
        <v>8</v>
      </c>
      <c r="B13532" s="1" t="str">
        <f>"000055917 - PIONEER CATERERS RICHS PRODUCT"</f>
        <v>000055917 - PIONEER CATERERS RICHS PRODUCT</v>
      </c>
      <c r="C13532" t="s">
        <v>410</v>
      </c>
      <c r="D13532" s="1" t="str">
        <f>"PRG-1040530"</f>
        <v>PRG-1040530</v>
      </c>
      <c r="E13532" t="s">
        <v>683</v>
      </c>
      <c r="F13532" t="s">
        <v>4</v>
      </c>
      <c r="G13532" t="str">
        <f>""</f>
        <v/>
      </c>
    </row>
    <row r="13533" spans="1:7" x14ac:dyDescent="0.25">
      <c r="A13533" t="s">
        <v>8</v>
      </c>
      <c r="B13533" s="1" t="str">
        <f>"000247880 - RICHS CHOWAN COLLEGE"</f>
        <v>000247880 - RICHS CHOWAN COLLEGE</v>
      </c>
      <c r="C13533" t="s">
        <v>1288</v>
      </c>
      <c r="D13533" s="1" t="str">
        <f>"PRG-1040530"</f>
        <v>PRG-1040530</v>
      </c>
      <c r="E13533" t="s">
        <v>683</v>
      </c>
      <c r="F13533" t="s">
        <v>4</v>
      </c>
      <c r="G13533" t="str">
        <f>""</f>
        <v/>
      </c>
    </row>
    <row r="13534" spans="1:7" x14ac:dyDescent="0.25">
      <c r="A13534" t="s">
        <v>8</v>
      </c>
      <c r="B13534" s="1" t="str">
        <f>"000291238 - RICH-SEAWORLD"</f>
        <v>000291238 - RICH-SEAWORLD</v>
      </c>
      <c r="C13534" t="s">
        <v>2066</v>
      </c>
      <c r="D13534" s="1" t="str">
        <f>"PRG-1040534"</f>
        <v>PRG-1040534</v>
      </c>
      <c r="E13534" t="s">
        <v>1649</v>
      </c>
      <c r="F13534" t="s">
        <v>4</v>
      </c>
      <c r="G13534" t="str">
        <f>""</f>
        <v/>
      </c>
    </row>
    <row r="13535" spans="1:7" x14ac:dyDescent="0.25">
      <c r="A13535" t="s">
        <v>8</v>
      </c>
      <c r="B13535" s="1" t="str">
        <f>"000357089 - RICH-SEAWORLD"</f>
        <v>000357089 - RICH-SEAWORLD</v>
      </c>
      <c r="C13535" t="s">
        <v>2066</v>
      </c>
      <c r="D13535" s="1" t="str">
        <f>"PRG-1040534"</f>
        <v>PRG-1040534</v>
      </c>
      <c r="E13535" t="s">
        <v>1649</v>
      </c>
      <c r="F13535" t="s">
        <v>4</v>
      </c>
      <c r="G13535" t="str">
        <f>""</f>
        <v/>
      </c>
    </row>
    <row r="13536" spans="1:7" x14ac:dyDescent="0.25">
      <c r="A13536" t="s">
        <v>8</v>
      </c>
      <c r="B13536" s="1" t="str">
        <f>"000372096 - RICH-SEAWORLD"</f>
        <v>000372096 - RICH-SEAWORLD</v>
      </c>
      <c r="C13536" t="s">
        <v>2066</v>
      </c>
      <c r="D13536" s="1" t="str">
        <f>"PRG-1040534"</f>
        <v>PRG-1040534</v>
      </c>
      <c r="E13536" t="s">
        <v>1649</v>
      </c>
      <c r="F13536" t="s">
        <v>4</v>
      </c>
      <c r="G13536" t="str">
        <f>""</f>
        <v/>
      </c>
    </row>
    <row r="13537" spans="1:7" x14ac:dyDescent="0.25">
      <c r="A13537" t="s">
        <v>8</v>
      </c>
      <c r="B13537" s="1" t="str">
        <f>"3160C683"</f>
        <v>3160C683</v>
      </c>
      <c r="C13537" t="s">
        <v>4687</v>
      </c>
      <c r="D13537" s="1" t="str">
        <f>"PRG-1040535"</f>
        <v>PRG-1040535</v>
      </c>
      <c r="E13537" t="s">
        <v>1504</v>
      </c>
      <c r="F13537" t="s">
        <v>5</v>
      </c>
      <c r="G13537" t="str">
        <f>""</f>
        <v/>
      </c>
    </row>
    <row r="13538" spans="1:7" x14ac:dyDescent="0.25">
      <c r="A13538" t="s">
        <v>8</v>
      </c>
      <c r="B13538" s="1" t="str">
        <f>"000153094 - RICHS - ABRAMS GROUP"</f>
        <v>000153094 - RICHS - ABRAMS GROUP</v>
      </c>
      <c r="C13538" t="s">
        <v>804</v>
      </c>
      <c r="D13538" s="1" t="str">
        <f>"PRG-1040536"</f>
        <v>PRG-1040536</v>
      </c>
      <c r="E13538" t="s">
        <v>805</v>
      </c>
      <c r="F13538" t="s">
        <v>4</v>
      </c>
      <c r="G13538" t="str">
        <f>""</f>
        <v/>
      </c>
    </row>
    <row r="13539" spans="1:7" x14ac:dyDescent="0.25">
      <c r="A13539" t="s">
        <v>8</v>
      </c>
      <c r="B13539" s="1" t="str">
        <f>"21851598"</f>
        <v>21851598</v>
      </c>
      <c r="C13539" t="s">
        <v>4210</v>
      </c>
      <c r="D13539" s="1" t="str">
        <f>"PRG-1040537"</f>
        <v>PRG-1040537</v>
      </c>
      <c r="E13539" t="s">
        <v>4211</v>
      </c>
      <c r="F13539" t="s">
        <v>5</v>
      </c>
      <c r="G13539" t="str">
        <f>""</f>
        <v/>
      </c>
    </row>
    <row r="13540" spans="1:7" x14ac:dyDescent="0.25">
      <c r="A13540" t="s">
        <v>8</v>
      </c>
      <c r="B13540" s="1" t="str">
        <f>"S1Z0FDH0"</f>
        <v>S1Z0FDH0</v>
      </c>
      <c r="C13540" t="s">
        <v>5380</v>
      </c>
      <c r="D13540" s="1" t="str">
        <f>"PRG-1040537"</f>
        <v>PRG-1040537</v>
      </c>
      <c r="E13540" t="s">
        <v>4211</v>
      </c>
      <c r="F13540" t="s">
        <v>5</v>
      </c>
      <c r="G13540" t="str">
        <f>""</f>
        <v/>
      </c>
    </row>
    <row r="13541" spans="1:7" x14ac:dyDescent="0.25">
      <c r="A13541" t="s">
        <v>8</v>
      </c>
      <c r="B13541" s="1" t="str">
        <f>"000299828 - RICH FOODS-GALLINS MG FOOD"</f>
        <v>000299828 - RICH FOODS-GALLINS MG FOOD</v>
      </c>
      <c r="C13541" t="s">
        <v>2962</v>
      </c>
      <c r="D13541" s="1" t="str">
        <f>"PRG-1040546"</f>
        <v>PRG-1040546</v>
      </c>
      <c r="E13541" t="s">
        <v>2963</v>
      </c>
      <c r="F13541" t="s">
        <v>4</v>
      </c>
      <c r="G13541" t="str">
        <f>""</f>
        <v/>
      </c>
    </row>
    <row r="13542" spans="1:7" x14ac:dyDescent="0.25">
      <c r="A13542" t="s">
        <v>8</v>
      </c>
      <c r="B13542" s="1" t="str">
        <f>"22602405"</f>
        <v>22602405</v>
      </c>
      <c r="C13542" t="s">
        <v>4377</v>
      </c>
      <c r="D13542" s="1" t="str">
        <f>"PRG-1040547"</f>
        <v>PRG-1040547</v>
      </c>
      <c r="E13542" t="s">
        <v>4378</v>
      </c>
      <c r="F13542" t="s">
        <v>5</v>
      </c>
      <c r="G13542" t="str">
        <f>""</f>
        <v/>
      </c>
    </row>
    <row r="13543" spans="1:7" x14ac:dyDescent="0.25">
      <c r="A13543" t="s">
        <v>8</v>
      </c>
      <c r="B13543" s="1" t="str">
        <f>"2250E369"</f>
        <v>2250E369</v>
      </c>
      <c r="C13543" t="s">
        <v>4367</v>
      </c>
      <c r="D13543" s="1" t="str">
        <f>"PRG-1040551"</f>
        <v>PRG-1040551</v>
      </c>
      <c r="E13543" t="s">
        <v>4368</v>
      </c>
      <c r="F13543" t="s">
        <v>5</v>
      </c>
      <c r="G13543" t="str">
        <f>""</f>
        <v/>
      </c>
    </row>
    <row r="13544" spans="1:7" x14ac:dyDescent="0.25">
      <c r="A13544" t="s">
        <v>8</v>
      </c>
      <c r="B13544" s="1" t="str">
        <f>"22606550"</f>
        <v>22606550</v>
      </c>
      <c r="C13544" t="s">
        <v>4442</v>
      </c>
      <c r="D13544" s="1" t="str">
        <f>"PRG-1040555"</f>
        <v>PRG-1040555</v>
      </c>
      <c r="E13544" t="s">
        <v>4443</v>
      </c>
      <c r="F13544" t="s">
        <v>5</v>
      </c>
      <c r="G13544" t="str">
        <f>""</f>
        <v/>
      </c>
    </row>
    <row r="13545" spans="1:7" x14ac:dyDescent="0.25">
      <c r="A13545" t="s">
        <v>8</v>
      </c>
      <c r="B13545" s="1" t="str">
        <f>"000218813 - RICHS FOR OSAKA GRILL"</f>
        <v>000218813 - RICHS FOR OSAKA GRILL</v>
      </c>
      <c r="C13545" t="s">
        <v>1567</v>
      </c>
      <c r="D13545" s="1" t="str">
        <f t="shared" ref="D13545:D13557" si="375">"PRG-1040557"</f>
        <v>PRG-1040557</v>
      </c>
      <c r="E13545" t="s">
        <v>1215</v>
      </c>
      <c r="F13545" t="s">
        <v>4</v>
      </c>
      <c r="G13545" t="str">
        <f>""</f>
        <v/>
      </c>
    </row>
    <row r="13546" spans="1:7" x14ac:dyDescent="0.25">
      <c r="A13546" t="s">
        <v>8</v>
      </c>
      <c r="B13546" s="1" t="str">
        <f>"000232305 - RICH PRODUCT-HIBACHI ASIAN GRI"</f>
        <v>000232305 - RICH PRODUCT-HIBACHI ASIAN GRI</v>
      </c>
      <c r="C13546" t="s">
        <v>1780</v>
      </c>
      <c r="D13546" s="1" t="str">
        <f t="shared" si="375"/>
        <v>PRG-1040557</v>
      </c>
      <c r="E13546" t="s">
        <v>1215</v>
      </c>
      <c r="F13546" t="s">
        <v>4</v>
      </c>
      <c r="G13546" t="str">
        <f>""</f>
        <v/>
      </c>
    </row>
    <row r="13547" spans="1:7" x14ac:dyDescent="0.25">
      <c r="A13547" t="s">
        <v>8</v>
      </c>
      <c r="B13547" s="1" t="str">
        <f>"000273146 - RICH HIBACHI GRILL"</f>
        <v>000273146 - RICH HIBACHI GRILL</v>
      </c>
      <c r="C13547" t="s">
        <v>2060</v>
      </c>
      <c r="D13547" s="1" t="str">
        <f t="shared" si="375"/>
        <v>PRG-1040557</v>
      </c>
      <c r="E13547" t="s">
        <v>1215</v>
      </c>
      <c r="F13547" t="s">
        <v>4</v>
      </c>
      <c r="G13547" t="str">
        <f>""</f>
        <v/>
      </c>
    </row>
    <row r="13548" spans="1:7" x14ac:dyDescent="0.25">
      <c r="A13548" t="s">
        <v>8</v>
      </c>
      <c r="B13548" s="1" t="str">
        <f>"000304297 - RICH HIBACHI GRILL"</f>
        <v>000304297 - RICH HIBACHI GRILL</v>
      </c>
      <c r="C13548" t="s">
        <v>2060</v>
      </c>
      <c r="D13548" s="1" t="str">
        <f t="shared" si="375"/>
        <v>PRG-1040557</v>
      </c>
      <c r="E13548" t="s">
        <v>1215</v>
      </c>
      <c r="F13548" t="s">
        <v>4</v>
      </c>
      <c r="G13548" t="str">
        <f>""</f>
        <v/>
      </c>
    </row>
    <row r="13549" spans="1:7" x14ac:dyDescent="0.25">
      <c r="A13549" t="s">
        <v>8</v>
      </c>
      <c r="B13549" s="1" t="str">
        <f>"2240D282"</f>
        <v>2240D282</v>
      </c>
      <c r="C13549" t="s">
        <v>4325</v>
      </c>
      <c r="D13549" s="1" t="str">
        <f t="shared" si="375"/>
        <v>PRG-1040557</v>
      </c>
      <c r="E13549" t="s">
        <v>1215</v>
      </c>
      <c r="F13549" t="s">
        <v>5</v>
      </c>
      <c r="G13549" t="str">
        <f>""</f>
        <v/>
      </c>
    </row>
    <row r="13550" spans="1:7" x14ac:dyDescent="0.25">
      <c r="A13550" t="s">
        <v>8</v>
      </c>
      <c r="B13550" s="1" t="str">
        <f>"2250A953"</f>
        <v>2250A953</v>
      </c>
      <c r="C13550" t="s">
        <v>4363</v>
      </c>
      <c r="D13550" s="1" t="str">
        <f t="shared" si="375"/>
        <v>PRG-1040557</v>
      </c>
      <c r="E13550" t="s">
        <v>1215</v>
      </c>
      <c r="F13550" t="s">
        <v>5</v>
      </c>
      <c r="G13550" t="str">
        <f>""</f>
        <v/>
      </c>
    </row>
    <row r="13551" spans="1:7" x14ac:dyDescent="0.25">
      <c r="A13551" t="s">
        <v>8</v>
      </c>
      <c r="B13551" s="1" t="str">
        <f>"2250B420"</f>
        <v>2250B420</v>
      </c>
      <c r="C13551" t="s">
        <v>4364</v>
      </c>
      <c r="D13551" s="1" t="str">
        <f t="shared" si="375"/>
        <v>PRG-1040557</v>
      </c>
      <c r="E13551" t="s">
        <v>1215</v>
      </c>
      <c r="F13551" t="s">
        <v>5</v>
      </c>
      <c r="G13551" t="str">
        <f>""</f>
        <v/>
      </c>
    </row>
    <row r="13552" spans="1:7" x14ac:dyDescent="0.25">
      <c r="A13552" t="s">
        <v>8</v>
      </c>
      <c r="B13552" s="1" t="str">
        <f>"2260E443"</f>
        <v>2260E443</v>
      </c>
      <c r="C13552" t="s">
        <v>4465</v>
      </c>
      <c r="D13552" s="1" t="str">
        <f t="shared" si="375"/>
        <v>PRG-1040557</v>
      </c>
      <c r="E13552" t="s">
        <v>1215</v>
      </c>
      <c r="F13552" t="s">
        <v>5</v>
      </c>
      <c r="G13552" t="str">
        <f>""</f>
        <v/>
      </c>
    </row>
    <row r="13553" spans="1:7" x14ac:dyDescent="0.25">
      <c r="A13553" t="s">
        <v>8</v>
      </c>
      <c r="B13553" s="1" t="str">
        <f>"S2H00Y50"</f>
        <v>S2H00Y50</v>
      </c>
      <c r="C13553" t="s">
        <v>5514</v>
      </c>
      <c r="D13553" s="1" t="str">
        <f t="shared" si="375"/>
        <v>PRG-1040557</v>
      </c>
      <c r="E13553" t="s">
        <v>1215</v>
      </c>
      <c r="F13553" t="s">
        <v>5</v>
      </c>
      <c r="G13553" t="str">
        <f>""</f>
        <v/>
      </c>
    </row>
    <row r="13554" spans="1:7" x14ac:dyDescent="0.25">
      <c r="A13554" t="s">
        <v>8</v>
      </c>
      <c r="B13554" s="1" t="str">
        <f>"S2I001U0"</f>
        <v>S2I001U0</v>
      </c>
      <c r="C13554" t="s">
        <v>5515</v>
      </c>
      <c r="D13554" s="1" t="str">
        <f t="shared" si="375"/>
        <v>PRG-1040557</v>
      </c>
      <c r="E13554" t="s">
        <v>1215</v>
      </c>
      <c r="F13554" t="s">
        <v>5</v>
      </c>
      <c r="G13554" t="str">
        <f>""</f>
        <v/>
      </c>
    </row>
    <row r="13555" spans="1:7" x14ac:dyDescent="0.25">
      <c r="A13555" t="s">
        <v>8</v>
      </c>
      <c r="B13555" s="1" t="str">
        <f>"S4V00HB0"</f>
        <v>S4V00HB0</v>
      </c>
      <c r="C13555" t="s">
        <v>5756</v>
      </c>
      <c r="D13555" s="1" t="str">
        <f t="shared" si="375"/>
        <v>PRG-1040557</v>
      </c>
      <c r="E13555" t="s">
        <v>1215</v>
      </c>
      <c r="F13555" t="s">
        <v>5</v>
      </c>
      <c r="G13555" t="str">
        <f>""</f>
        <v/>
      </c>
    </row>
    <row r="13556" spans="1:7" x14ac:dyDescent="0.25">
      <c r="A13556" t="s">
        <v>8</v>
      </c>
      <c r="B13556" s="1" t="str">
        <f>"S5O006H0"</f>
        <v>S5O006H0</v>
      </c>
      <c r="C13556" t="s">
        <v>5911</v>
      </c>
      <c r="D13556" s="1" t="str">
        <f t="shared" si="375"/>
        <v>PRG-1040557</v>
      </c>
      <c r="E13556" t="s">
        <v>1215</v>
      </c>
      <c r="F13556" t="s">
        <v>5</v>
      </c>
      <c r="G13556" t="str">
        <f>""</f>
        <v/>
      </c>
    </row>
    <row r="13557" spans="1:7" x14ac:dyDescent="0.25">
      <c r="A13557" t="s">
        <v>8</v>
      </c>
      <c r="B13557" s="1" t="str">
        <f>"S5O00TA0"</f>
        <v>S5O00TA0</v>
      </c>
      <c r="C13557" t="s">
        <v>5921</v>
      </c>
      <c r="D13557" s="1" t="str">
        <f t="shared" si="375"/>
        <v>PRG-1040557</v>
      </c>
      <c r="E13557" t="s">
        <v>1215</v>
      </c>
      <c r="F13557" t="s">
        <v>5</v>
      </c>
      <c r="G13557" t="str">
        <f>""</f>
        <v/>
      </c>
    </row>
    <row r="13558" spans="1:7" x14ac:dyDescent="0.25">
      <c r="A13558" t="s">
        <v>8</v>
      </c>
      <c r="B13558" s="1" t="str">
        <f>"000357703 - RICHS FOODS DRAKES U BAKE PZZA"</f>
        <v>000357703 - RICHS FOODS DRAKES U BAKE PZZA</v>
      </c>
      <c r="C13558" t="s">
        <v>3570</v>
      </c>
      <c r="D13558" s="1" t="str">
        <f>"PRG-1040560"</f>
        <v>PRG-1040560</v>
      </c>
      <c r="E13558" t="s">
        <v>3571</v>
      </c>
      <c r="F13558" t="s">
        <v>4</v>
      </c>
      <c r="G13558" t="str">
        <f>""</f>
        <v/>
      </c>
    </row>
    <row r="13559" spans="1:7" x14ac:dyDescent="0.25">
      <c r="A13559" t="s">
        <v>8</v>
      </c>
      <c r="B13559" s="1" t="str">
        <f>"000380479 - RICH PRODUCTS CASINO'S"</f>
        <v>000380479 - RICH PRODUCTS CASINO'S</v>
      </c>
      <c r="C13559" t="s">
        <v>2805</v>
      </c>
      <c r="D13559" s="1" t="str">
        <f>"PRG-1040564"</f>
        <v>PRG-1040564</v>
      </c>
      <c r="E13559" t="s">
        <v>2806</v>
      </c>
      <c r="F13559" t="s">
        <v>4</v>
      </c>
      <c r="G13559" t="str">
        <f>""</f>
        <v/>
      </c>
    </row>
    <row r="13560" spans="1:7" x14ac:dyDescent="0.25">
      <c r="A13560" t="s">
        <v>8</v>
      </c>
      <c r="B13560" s="1" t="str">
        <f>"000395654 - RICH FOODS-MEXICAN RESTAURANTS"</f>
        <v>000395654 - RICH FOODS-MEXICAN RESTAURANTS</v>
      </c>
      <c r="C13560" t="s">
        <v>2788</v>
      </c>
      <c r="D13560" s="1" t="str">
        <f>"PRG-1040565"</f>
        <v>PRG-1040565</v>
      </c>
      <c r="E13560" t="s">
        <v>2812</v>
      </c>
      <c r="F13560" t="s">
        <v>4</v>
      </c>
      <c r="G13560" t="str">
        <f>""</f>
        <v/>
      </c>
    </row>
    <row r="13561" spans="1:7" x14ac:dyDescent="0.25">
      <c r="A13561" t="s">
        <v>8</v>
      </c>
      <c r="B13561" s="1" t="str">
        <f>"000007102 - RICH'S-DORNANS"</f>
        <v>000007102 - RICH'S-DORNANS</v>
      </c>
      <c r="C13561" t="s">
        <v>252</v>
      </c>
      <c r="D13561" s="1" t="str">
        <f>"PRG-1040587"</f>
        <v>PRG-1040587</v>
      </c>
      <c r="E13561" t="s">
        <v>253</v>
      </c>
      <c r="F13561" t="s">
        <v>4</v>
      </c>
      <c r="G13561" t="str">
        <f>""</f>
        <v/>
      </c>
    </row>
    <row r="13562" spans="1:7" x14ac:dyDescent="0.25">
      <c r="A13562" t="s">
        <v>8</v>
      </c>
      <c r="B13562" s="1" t="str">
        <f>"S4H00KR0"</f>
        <v>S4H00KR0</v>
      </c>
      <c r="C13562" t="s">
        <v>5723</v>
      </c>
      <c r="D13562" s="1" t="str">
        <f>"PRG-1040587"</f>
        <v>PRG-1040587</v>
      </c>
      <c r="E13562" t="s">
        <v>253</v>
      </c>
      <c r="F13562" t="s">
        <v>5</v>
      </c>
      <c r="G13562" t="str">
        <f>""</f>
        <v/>
      </c>
    </row>
    <row r="13563" spans="1:7" x14ac:dyDescent="0.25">
      <c r="A13563" t="s">
        <v>8</v>
      </c>
      <c r="B13563" s="1" t="str">
        <f>"000007105 - RICH'S-CLASSIC SKATING"</f>
        <v>000007105 - RICH'S-CLASSIC SKATING</v>
      </c>
      <c r="C13563" t="s">
        <v>254</v>
      </c>
      <c r="D13563" s="1" t="str">
        <f>"PRG-1040589"</f>
        <v>PRG-1040589</v>
      </c>
      <c r="E13563" t="s">
        <v>255</v>
      </c>
      <c r="F13563" t="s">
        <v>4</v>
      </c>
      <c r="G13563" t="str">
        <f>""</f>
        <v/>
      </c>
    </row>
    <row r="13564" spans="1:7" x14ac:dyDescent="0.25">
      <c r="A13564" t="s">
        <v>8</v>
      </c>
      <c r="B13564" s="1" t="str">
        <f>"41183569"</f>
        <v>41183569</v>
      </c>
      <c r="C13564" t="s">
        <v>4966</v>
      </c>
      <c r="D13564" s="1" t="str">
        <f>"PRG-1040592"</f>
        <v>PRG-1040592</v>
      </c>
      <c r="E13564" t="s">
        <v>4967</v>
      </c>
      <c r="F13564" t="s">
        <v>5</v>
      </c>
      <c r="G13564" t="str">
        <f>""</f>
        <v/>
      </c>
    </row>
    <row r="13565" spans="1:7" x14ac:dyDescent="0.25">
      <c r="A13565" t="s">
        <v>8</v>
      </c>
      <c r="B13565" s="1" t="str">
        <f>"000270929 - RICH - MASSO CATERING"</f>
        <v>000270929 - RICH - MASSO CATERING</v>
      </c>
      <c r="C13565" t="s">
        <v>1208</v>
      </c>
      <c r="D13565" s="1" t="str">
        <f>"PRG-1040596"</f>
        <v>PRG-1040596</v>
      </c>
      <c r="E13565" t="s">
        <v>1209</v>
      </c>
      <c r="F13565" t="s">
        <v>4</v>
      </c>
      <c r="G13565" t="str">
        <f>""</f>
        <v/>
      </c>
    </row>
    <row r="13566" spans="1:7" x14ac:dyDescent="0.25">
      <c r="A13566" t="s">
        <v>8</v>
      </c>
      <c r="B13566" s="1" t="str">
        <f>"60313106"</f>
        <v>60313106</v>
      </c>
      <c r="C13566" t="s">
        <v>5276</v>
      </c>
      <c r="D13566" s="1" t="str">
        <f>"PRG-1040598"</f>
        <v>PRG-1040598</v>
      </c>
      <c r="E13566" t="s">
        <v>5277</v>
      </c>
      <c r="F13566" t="s">
        <v>5</v>
      </c>
      <c r="G13566" t="str">
        <f>""</f>
        <v/>
      </c>
    </row>
    <row r="13567" spans="1:7" x14ac:dyDescent="0.25">
      <c r="A13567" t="s">
        <v>8</v>
      </c>
      <c r="B13567" s="1" t="str">
        <f>"000385487 - RICHS PALA CASINO"</f>
        <v>000385487 - RICHS PALA CASINO</v>
      </c>
      <c r="C13567" t="s">
        <v>3669</v>
      </c>
      <c r="D13567" s="1" t="str">
        <f>"PRG-1040610"</f>
        <v>PRG-1040610</v>
      </c>
      <c r="E13567" t="s">
        <v>3670</v>
      </c>
      <c r="F13567" t="s">
        <v>4</v>
      </c>
      <c r="G13567" t="str">
        <f>""</f>
        <v/>
      </c>
    </row>
    <row r="13568" spans="1:7" x14ac:dyDescent="0.25">
      <c r="A13568" t="s">
        <v>8</v>
      </c>
      <c r="B13568" s="1" t="str">
        <f>"000428018 - RICHS PALA CASINO"</f>
        <v>000428018 - RICHS PALA CASINO</v>
      </c>
      <c r="C13568" t="s">
        <v>3669</v>
      </c>
      <c r="D13568" s="1" t="str">
        <f>"PRG-1040610"</f>
        <v>PRG-1040610</v>
      </c>
      <c r="E13568" t="s">
        <v>3670</v>
      </c>
      <c r="F13568" t="s">
        <v>4</v>
      </c>
      <c r="G13568" t="str">
        <f>""</f>
        <v/>
      </c>
    </row>
    <row r="13569" spans="1:7" x14ac:dyDescent="0.25">
      <c r="A13569" t="s">
        <v>8</v>
      </c>
      <c r="B13569" s="1" t="str">
        <f>"000400045 - RICH'S BARONA CASINO"</f>
        <v>000400045 - RICH'S BARONA CASINO</v>
      </c>
      <c r="C13569" t="s">
        <v>3717</v>
      </c>
      <c r="D13569" s="1" t="str">
        <f>"PRG-1040611"</f>
        <v>PRG-1040611</v>
      </c>
      <c r="E13569" t="s">
        <v>3607</v>
      </c>
      <c r="F13569" t="s">
        <v>4</v>
      </c>
      <c r="G13569" t="str">
        <f>""</f>
        <v/>
      </c>
    </row>
    <row r="13570" spans="1:7" x14ac:dyDescent="0.25">
      <c r="A13570" t="s">
        <v>8</v>
      </c>
      <c r="B13570" s="1" t="str">
        <f>"000392348 - RICHS VALLEY VIEW CASINO"</f>
        <v>000392348 - RICHS VALLEY VIEW CASINO</v>
      </c>
      <c r="C13570" t="s">
        <v>3685</v>
      </c>
      <c r="D13570" s="1" t="str">
        <f>"PRG-1040612"</f>
        <v>PRG-1040612</v>
      </c>
      <c r="E13570" t="s">
        <v>3596</v>
      </c>
      <c r="F13570" t="s">
        <v>4</v>
      </c>
      <c r="G13570" t="str">
        <f>""</f>
        <v/>
      </c>
    </row>
    <row r="13571" spans="1:7" x14ac:dyDescent="0.25">
      <c r="A13571" t="s">
        <v>8</v>
      </c>
      <c r="B13571" s="1" t="str">
        <f>"000167878 - "</f>
        <v xml:space="preserve">000167878 - </v>
      </c>
      <c r="D13571" s="1" t="str">
        <f>"PRG-1040620"</f>
        <v>PRG-1040620</v>
      </c>
      <c r="E13571" t="s">
        <v>1083</v>
      </c>
      <c r="F13571" t="s">
        <v>4</v>
      </c>
      <c r="G13571" t="str">
        <f>""</f>
        <v/>
      </c>
    </row>
    <row r="13572" spans="1:7" x14ac:dyDescent="0.25">
      <c r="A13572" t="s">
        <v>8</v>
      </c>
      <c r="B13572" s="1" t="str">
        <f>"000036481 - RICH'S - FAYARDS"</f>
        <v>000036481 - RICH'S - FAYARDS</v>
      </c>
      <c r="C13572" t="s">
        <v>538</v>
      </c>
      <c r="D13572" s="1" t="str">
        <f>"PRG-1040621"</f>
        <v>PRG-1040621</v>
      </c>
      <c r="E13572" t="s">
        <v>539</v>
      </c>
      <c r="F13572" t="s">
        <v>4</v>
      </c>
      <c r="G13572" t="str">
        <f>""</f>
        <v/>
      </c>
    </row>
    <row r="13573" spans="1:7" x14ac:dyDescent="0.25">
      <c r="A13573" t="s">
        <v>8</v>
      </c>
      <c r="B13573" s="1" t="str">
        <f>"S6U00DQ0"</f>
        <v>S6U00DQ0</v>
      </c>
      <c r="C13573" t="s">
        <v>6197</v>
      </c>
      <c r="D13573" s="1" t="str">
        <f>"PRG-1040621"</f>
        <v>PRG-1040621</v>
      </c>
      <c r="E13573" t="s">
        <v>539</v>
      </c>
      <c r="F13573" t="s">
        <v>5</v>
      </c>
      <c r="G13573" t="str">
        <f>""</f>
        <v/>
      </c>
    </row>
    <row r="13574" spans="1:7" x14ac:dyDescent="0.25">
      <c r="A13574" t="s">
        <v>8</v>
      </c>
      <c r="B13574" s="1" t="str">
        <f>"000373009 - RICH(CC)GOLDEN BOY(2 DEALS)"</f>
        <v>000373009 - RICH(CC)GOLDEN BOY(2 DEALS)</v>
      </c>
      <c r="C13574" t="s">
        <v>2959</v>
      </c>
      <c r="D13574" s="1" t="str">
        <f>"PRG-1040623"</f>
        <v>PRG-1040623</v>
      </c>
      <c r="E13574" t="s">
        <v>2960</v>
      </c>
      <c r="F13574" t="s">
        <v>4</v>
      </c>
      <c r="G13574" t="str">
        <f>""</f>
        <v/>
      </c>
    </row>
    <row r="13575" spans="1:7" x14ac:dyDescent="0.25">
      <c r="A13575" t="s">
        <v>8</v>
      </c>
      <c r="B13575" s="1" t="str">
        <f>"000373013 - RICH-DC GOLDEN BOY (2 DEALS)"</f>
        <v>000373013 - RICH-DC GOLDEN BOY (2 DEALS)</v>
      </c>
      <c r="C13575" t="s">
        <v>2957</v>
      </c>
      <c r="D13575" s="1" t="str">
        <f>"PRG-1040623"</f>
        <v>PRG-1040623</v>
      </c>
      <c r="E13575" t="s">
        <v>2960</v>
      </c>
      <c r="F13575" t="s">
        <v>4</v>
      </c>
      <c r="G13575" t="str">
        <f>""</f>
        <v/>
      </c>
    </row>
    <row r="13576" spans="1:7" x14ac:dyDescent="0.25">
      <c r="A13576" t="s">
        <v>8</v>
      </c>
      <c r="B13576" s="1" t="str">
        <f>"000250348 - RICH FOODS-TREAT AMERICA"</f>
        <v>000250348 - RICH FOODS-TREAT AMERICA</v>
      </c>
      <c r="C13576" t="s">
        <v>40</v>
      </c>
      <c r="D13576" s="1" t="str">
        <f>"PRG-1040624"</f>
        <v>PRG-1040624</v>
      </c>
      <c r="E13576" t="s">
        <v>41</v>
      </c>
      <c r="F13576" t="s">
        <v>4</v>
      </c>
      <c r="G13576" t="str">
        <f>""</f>
        <v/>
      </c>
    </row>
    <row r="13577" spans="1:7" x14ac:dyDescent="0.25">
      <c r="A13577" t="s">
        <v>8</v>
      </c>
      <c r="B13577" s="1" t="str">
        <f>"000256404 - RICH FOODS-TREAT AMERICA"</f>
        <v>000256404 - RICH FOODS-TREAT AMERICA</v>
      </c>
      <c r="C13577" t="s">
        <v>40</v>
      </c>
      <c r="D13577" s="1" t="str">
        <f>"PRG-1040624"</f>
        <v>PRG-1040624</v>
      </c>
      <c r="E13577" t="s">
        <v>41</v>
      </c>
      <c r="F13577" t="s">
        <v>4</v>
      </c>
      <c r="G13577" t="str">
        <f>""</f>
        <v/>
      </c>
    </row>
    <row r="13578" spans="1:7" x14ac:dyDescent="0.25">
      <c r="A13578" t="s">
        <v>8</v>
      </c>
      <c r="B13578" s="1" t="str">
        <f>"000258048 - RICH FOODS-TREAT AMERICA"</f>
        <v>000258048 - RICH FOODS-TREAT AMERICA</v>
      </c>
      <c r="C13578" t="s">
        <v>40</v>
      </c>
      <c r="D13578" s="1" t="str">
        <f>"PRG-1040624"</f>
        <v>PRG-1040624</v>
      </c>
      <c r="E13578" t="s">
        <v>41</v>
      </c>
      <c r="F13578" t="s">
        <v>4</v>
      </c>
      <c r="G13578" t="str">
        <f>""</f>
        <v/>
      </c>
    </row>
    <row r="13579" spans="1:7" x14ac:dyDescent="0.25">
      <c r="A13579" t="s">
        <v>8</v>
      </c>
      <c r="B13579" s="1" t="str">
        <f>"000301814 - RICH FOODS-TREAT AMERICA"</f>
        <v>000301814 - RICH FOODS-TREAT AMERICA</v>
      </c>
      <c r="C13579" t="s">
        <v>40</v>
      </c>
      <c r="D13579" s="1" t="str">
        <f>"PRG-1040624"</f>
        <v>PRG-1040624</v>
      </c>
      <c r="E13579" t="s">
        <v>41</v>
      </c>
      <c r="F13579" t="s">
        <v>4</v>
      </c>
      <c r="G13579" t="str">
        <f>""</f>
        <v/>
      </c>
    </row>
    <row r="13580" spans="1:7" x14ac:dyDescent="0.25">
      <c r="A13580" t="s">
        <v>8</v>
      </c>
      <c r="B13580" s="1" t="str">
        <f>"000010894 - RICH FOODS-TREAT AMERICA"</f>
        <v>000010894 - RICH FOODS-TREAT AMERICA</v>
      </c>
      <c r="C13580" t="s">
        <v>40</v>
      </c>
      <c r="D13580" s="1" t="str">
        <f t="shared" ref="D13580:D13591" si="376">"PRG-1040626"</f>
        <v>PRG-1040626</v>
      </c>
      <c r="E13580" t="s">
        <v>318</v>
      </c>
      <c r="F13580" t="s">
        <v>4</v>
      </c>
      <c r="G13580" t="str">
        <f>""</f>
        <v/>
      </c>
    </row>
    <row r="13581" spans="1:7" x14ac:dyDescent="0.25">
      <c r="A13581" t="s">
        <v>8</v>
      </c>
      <c r="B13581" s="1" t="str">
        <f>"000022954 - RICH FOODS-TREAT AMERICA"</f>
        <v>000022954 - RICH FOODS-TREAT AMERICA</v>
      </c>
      <c r="C13581" t="s">
        <v>40</v>
      </c>
      <c r="D13581" s="1" t="str">
        <f t="shared" si="376"/>
        <v>PRG-1040626</v>
      </c>
      <c r="E13581" t="s">
        <v>318</v>
      </c>
      <c r="F13581" t="s">
        <v>4</v>
      </c>
      <c r="G13581" t="str">
        <f>""</f>
        <v/>
      </c>
    </row>
    <row r="13582" spans="1:7" x14ac:dyDescent="0.25">
      <c r="A13582" t="s">
        <v>8</v>
      </c>
      <c r="B13582" s="1" t="str">
        <f>"000184064 - RICH FOODS-TREAT AMERICA"</f>
        <v>000184064 - RICH FOODS-TREAT AMERICA</v>
      </c>
      <c r="C13582" t="s">
        <v>40</v>
      </c>
      <c r="D13582" s="1" t="str">
        <f t="shared" si="376"/>
        <v>PRG-1040626</v>
      </c>
      <c r="E13582" t="s">
        <v>318</v>
      </c>
      <c r="F13582" t="s">
        <v>4</v>
      </c>
      <c r="G13582" t="str">
        <f>""</f>
        <v/>
      </c>
    </row>
    <row r="13583" spans="1:7" x14ac:dyDescent="0.25">
      <c r="A13583" t="s">
        <v>8</v>
      </c>
      <c r="B13583" s="1" t="str">
        <f>"000236211 - RICH FOODS-TREAT AMERICA"</f>
        <v>000236211 - RICH FOODS-TREAT AMERICA</v>
      </c>
      <c r="C13583" t="s">
        <v>40</v>
      </c>
      <c r="D13583" s="1" t="str">
        <f t="shared" si="376"/>
        <v>PRG-1040626</v>
      </c>
      <c r="E13583" t="s">
        <v>318</v>
      </c>
      <c r="F13583" t="s">
        <v>4</v>
      </c>
      <c r="G13583" t="str">
        <f>""</f>
        <v/>
      </c>
    </row>
    <row r="13584" spans="1:7" x14ac:dyDescent="0.25">
      <c r="A13584" t="s">
        <v>8</v>
      </c>
      <c r="B13584" s="1" t="str">
        <f>"000264663 - RICH FOODS-TREAT AMERICA"</f>
        <v>000264663 - RICH FOODS-TREAT AMERICA</v>
      </c>
      <c r="C13584" t="s">
        <v>40</v>
      </c>
      <c r="D13584" s="1" t="str">
        <f t="shared" si="376"/>
        <v>PRG-1040626</v>
      </c>
      <c r="E13584" t="s">
        <v>318</v>
      </c>
      <c r="F13584" t="s">
        <v>4</v>
      </c>
      <c r="G13584" t="str">
        <f>""</f>
        <v/>
      </c>
    </row>
    <row r="13585" spans="1:7" x14ac:dyDescent="0.25">
      <c r="A13585" t="s">
        <v>8</v>
      </c>
      <c r="B13585" s="1" t="str">
        <f>"000265863 - RICH FOODS-TREAT AMERICA"</f>
        <v>000265863 - RICH FOODS-TREAT AMERICA</v>
      </c>
      <c r="C13585" t="s">
        <v>40</v>
      </c>
      <c r="D13585" s="1" t="str">
        <f t="shared" si="376"/>
        <v>PRG-1040626</v>
      </c>
      <c r="E13585" t="s">
        <v>318</v>
      </c>
      <c r="F13585" t="s">
        <v>4</v>
      </c>
      <c r="G13585" t="str">
        <f>""</f>
        <v/>
      </c>
    </row>
    <row r="13586" spans="1:7" x14ac:dyDescent="0.25">
      <c r="A13586" t="s">
        <v>8</v>
      </c>
      <c r="B13586" s="1" t="str">
        <f>"000274414 - RICH FOODS-TREAT AMERICA"</f>
        <v>000274414 - RICH FOODS-TREAT AMERICA</v>
      </c>
      <c r="C13586" t="s">
        <v>40</v>
      </c>
      <c r="D13586" s="1" t="str">
        <f t="shared" si="376"/>
        <v>PRG-1040626</v>
      </c>
      <c r="E13586" t="s">
        <v>318</v>
      </c>
      <c r="F13586" t="s">
        <v>4</v>
      </c>
      <c r="G13586" t="str">
        <f>""</f>
        <v/>
      </c>
    </row>
    <row r="13587" spans="1:7" x14ac:dyDescent="0.25">
      <c r="A13587" t="s">
        <v>8</v>
      </c>
      <c r="B13587" s="1" t="str">
        <f>"000282103 - RICH FOODS-TREAT AMERICA"</f>
        <v>000282103 - RICH FOODS-TREAT AMERICA</v>
      </c>
      <c r="C13587" t="s">
        <v>40</v>
      </c>
      <c r="D13587" s="1" t="str">
        <f t="shared" si="376"/>
        <v>PRG-1040626</v>
      </c>
      <c r="E13587" t="s">
        <v>318</v>
      </c>
      <c r="F13587" t="s">
        <v>4</v>
      </c>
      <c r="G13587" t="str">
        <f>""</f>
        <v/>
      </c>
    </row>
    <row r="13588" spans="1:7" x14ac:dyDescent="0.25">
      <c r="A13588" t="s">
        <v>8</v>
      </c>
      <c r="B13588" s="1" t="str">
        <f>"000315390 - RICH FOODS-TREAT AMERICA"</f>
        <v>000315390 - RICH FOODS-TREAT AMERICA</v>
      </c>
      <c r="C13588" t="s">
        <v>40</v>
      </c>
      <c r="D13588" s="1" t="str">
        <f t="shared" si="376"/>
        <v>PRG-1040626</v>
      </c>
      <c r="E13588" t="s">
        <v>318</v>
      </c>
      <c r="F13588" t="s">
        <v>4</v>
      </c>
      <c r="G13588" t="str">
        <f>""</f>
        <v/>
      </c>
    </row>
    <row r="13589" spans="1:7" x14ac:dyDescent="0.25">
      <c r="A13589" t="s">
        <v>8</v>
      </c>
      <c r="B13589" s="1" t="str">
        <f>"000344805 - RICH FOODS-TREAT AMERICA"</f>
        <v>000344805 - RICH FOODS-TREAT AMERICA</v>
      </c>
      <c r="C13589" t="s">
        <v>40</v>
      </c>
      <c r="D13589" s="1" t="str">
        <f t="shared" si="376"/>
        <v>PRG-1040626</v>
      </c>
      <c r="E13589" t="s">
        <v>318</v>
      </c>
      <c r="F13589" t="s">
        <v>4</v>
      </c>
      <c r="G13589" t="str">
        <f>""</f>
        <v/>
      </c>
    </row>
    <row r="13590" spans="1:7" x14ac:dyDescent="0.25">
      <c r="A13590" t="s">
        <v>8</v>
      </c>
      <c r="B13590" s="1" t="str">
        <f>"000379760 - RICH FOODS-TREAT AMERICA"</f>
        <v>000379760 - RICH FOODS-TREAT AMERICA</v>
      </c>
      <c r="C13590" t="s">
        <v>40</v>
      </c>
      <c r="D13590" s="1" t="str">
        <f t="shared" si="376"/>
        <v>PRG-1040626</v>
      </c>
      <c r="E13590" t="s">
        <v>318</v>
      </c>
      <c r="F13590" t="s">
        <v>4</v>
      </c>
      <c r="G13590" t="str">
        <f>""</f>
        <v/>
      </c>
    </row>
    <row r="13591" spans="1:7" x14ac:dyDescent="0.25">
      <c r="A13591" t="s">
        <v>8</v>
      </c>
      <c r="B13591" s="1" t="str">
        <f>"000404762 - RICH FOODS-TREAT AMERICA"</f>
        <v>000404762 - RICH FOODS-TREAT AMERICA</v>
      </c>
      <c r="C13591" t="s">
        <v>40</v>
      </c>
      <c r="D13591" s="1" t="str">
        <f t="shared" si="376"/>
        <v>PRG-1040626</v>
      </c>
      <c r="E13591" t="s">
        <v>318</v>
      </c>
      <c r="F13591" t="s">
        <v>4</v>
      </c>
      <c r="G13591" t="str">
        <f>""</f>
        <v/>
      </c>
    </row>
    <row r="13592" spans="1:7" x14ac:dyDescent="0.25">
      <c r="A13592" t="s">
        <v>8</v>
      </c>
      <c r="B13592" s="1" t="str">
        <f>"S6U004H0"</f>
        <v>S6U004H0</v>
      </c>
      <c r="C13592" t="s">
        <v>6196</v>
      </c>
      <c r="D13592" s="1" t="str">
        <f>"PRG-1040640"</f>
        <v>PRG-1040640</v>
      </c>
      <c r="E13592" t="s">
        <v>4658</v>
      </c>
      <c r="F13592" t="s">
        <v>5</v>
      </c>
      <c r="G13592" t="str">
        <f>""</f>
        <v/>
      </c>
    </row>
    <row r="13593" spans="1:7" x14ac:dyDescent="0.25">
      <c r="A13593" t="s">
        <v>8</v>
      </c>
      <c r="B13593" s="1" t="str">
        <f>"000164811 - PRG1013357 HIGH ON THE HOG RIC"</f>
        <v>000164811 - PRG1013357 HIGH ON THE HOG RIC</v>
      </c>
      <c r="C13593" t="s">
        <v>1056</v>
      </c>
      <c r="D13593" s="1" t="str">
        <f>"PRG-1040645"</f>
        <v>PRG-1040645</v>
      </c>
      <c r="E13593" t="s">
        <v>1057</v>
      </c>
      <c r="F13593" t="s">
        <v>4</v>
      </c>
      <c r="G13593" t="str">
        <f>""</f>
        <v/>
      </c>
    </row>
    <row r="13594" spans="1:7" x14ac:dyDescent="0.25">
      <c r="A13594" t="s">
        <v>8</v>
      </c>
      <c r="B13594" s="1" t="str">
        <f>"000262563 - 1040645 HIGH ON THE HOG-RICH"</f>
        <v>000262563 - 1040645 HIGH ON THE HOG-RICH</v>
      </c>
      <c r="C13594" t="s">
        <v>2322</v>
      </c>
      <c r="D13594" s="1" t="str">
        <f>"PRG-1040645"</f>
        <v>PRG-1040645</v>
      </c>
      <c r="E13594" t="s">
        <v>1057</v>
      </c>
      <c r="F13594" t="s">
        <v>4</v>
      </c>
      <c r="G13594" t="str">
        <f>""</f>
        <v/>
      </c>
    </row>
    <row r="13595" spans="1:7" x14ac:dyDescent="0.25">
      <c r="A13595" t="s">
        <v>8</v>
      </c>
      <c r="B13595" s="1" t="str">
        <f>"000160335 - RICH PRODUCTS PD1 PAN SEAFOOD"</f>
        <v>000160335 - RICH PRODUCTS PD1 PAN SEAFOOD</v>
      </c>
      <c r="C13595" t="s">
        <v>1040</v>
      </c>
      <c r="D13595" s="1" t="str">
        <f>"PRG-1040648"</f>
        <v>PRG-1040648</v>
      </c>
      <c r="E13595" t="s">
        <v>788</v>
      </c>
      <c r="F13595" t="s">
        <v>4</v>
      </c>
      <c r="G13595" t="str">
        <f>""</f>
        <v/>
      </c>
    </row>
    <row r="13596" spans="1:7" x14ac:dyDescent="0.25">
      <c r="A13596" t="s">
        <v>8</v>
      </c>
      <c r="B13596" s="1" t="str">
        <f>"000164812 - PRG1013370 RIV CTY MGMT-RICH"</f>
        <v>000164812 - PRG1013370 RIV CTY MGMT-RICH</v>
      </c>
      <c r="C13596" t="s">
        <v>1058</v>
      </c>
      <c r="D13596" s="1" t="str">
        <f>"PRG-1040649"</f>
        <v>PRG-1040649</v>
      </c>
      <c r="E13596" t="s">
        <v>1059</v>
      </c>
      <c r="F13596" t="s">
        <v>4</v>
      </c>
      <c r="G13596" t="str">
        <f>""</f>
        <v/>
      </c>
    </row>
    <row r="13597" spans="1:7" x14ac:dyDescent="0.25">
      <c r="A13597" t="s">
        <v>8</v>
      </c>
      <c r="B13597" s="1" t="str">
        <f>"000074928 - RICHS MORONGO"</f>
        <v>000074928 - RICHS MORONGO</v>
      </c>
      <c r="C13597" t="s">
        <v>744</v>
      </c>
      <c r="D13597" s="1" t="str">
        <f>"PRG-1040653"</f>
        <v>PRG-1040653</v>
      </c>
      <c r="E13597" t="s">
        <v>745</v>
      </c>
      <c r="F13597" t="s">
        <v>4</v>
      </c>
      <c r="G13597" t="str">
        <f>""</f>
        <v/>
      </c>
    </row>
    <row r="13598" spans="1:7" x14ac:dyDescent="0.25">
      <c r="A13598" t="s">
        <v>8</v>
      </c>
      <c r="B13598" s="1" t="str">
        <f>"000120011 - RICHS MORONGO"</f>
        <v>000120011 - RICHS MORONGO</v>
      </c>
      <c r="C13598" t="s">
        <v>744</v>
      </c>
      <c r="D13598" s="1" t="str">
        <f>"PRG-1040653"</f>
        <v>PRG-1040653</v>
      </c>
      <c r="E13598" t="s">
        <v>745</v>
      </c>
      <c r="F13598" t="s">
        <v>4</v>
      </c>
      <c r="G13598" t="str">
        <f>""</f>
        <v/>
      </c>
    </row>
    <row r="13599" spans="1:7" x14ac:dyDescent="0.25">
      <c r="A13599" t="s">
        <v>8</v>
      </c>
      <c r="B13599" s="1" t="str">
        <f>"000124496 - RICHS MORONGO"</f>
        <v>000124496 - RICHS MORONGO</v>
      </c>
      <c r="C13599" t="s">
        <v>744</v>
      </c>
      <c r="D13599" s="1" t="str">
        <f>"PRG-1040653"</f>
        <v>PRG-1040653</v>
      </c>
      <c r="E13599" t="s">
        <v>745</v>
      </c>
      <c r="F13599" t="s">
        <v>4</v>
      </c>
      <c r="G13599" t="str">
        <f>""</f>
        <v/>
      </c>
    </row>
    <row r="13600" spans="1:7" x14ac:dyDescent="0.25">
      <c r="A13600" t="s">
        <v>8</v>
      </c>
      <c r="B13600" s="1" t="str">
        <f>"2270A190"</f>
        <v>2270A190</v>
      </c>
      <c r="C13600" t="s">
        <v>4476</v>
      </c>
      <c r="D13600" s="1" t="str">
        <f>"PRG-1040658"</f>
        <v>PRG-1040658</v>
      </c>
      <c r="E13600" t="s">
        <v>4477</v>
      </c>
      <c r="F13600" t="s">
        <v>5</v>
      </c>
      <c r="G13600" t="str">
        <f>""</f>
        <v/>
      </c>
    </row>
    <row r="13601" spans="1:7" x14ac:dyDescent="0.25">
      <c r="A13601" t="s">
        <v>8</v>
      </c>
      <c r="B13601" s="1" t="str">
        <f>"000171862 - RICHS - THE LOOP REST"</f>
        <v>000171862 - RICHS - THE LOOP REST</v>
      </c>
      <c r="C13601" t="s">
        <v>840</v>
      </c>
      <c r="D13601" s="1" t="str">
        <f>"PRG-1040667"</f>
        <v>PRG-1040667</v>
      </c>
      <c r="E13601" t="s">
        <v>841</v>
      </c>
      <c r="F13601" t="s">
        <v>4</v>
      </c>
      <c r="G13601" t="str">
        <f>""</f>
        <v/>
      </c>
    </row>
    <row r="13602" spans="1:7" x14ac:dyDescent="0.25">
      <c r="A13602" t="s">
        <v>8</v>
      </c>
      <c r="B13602" s="1" t="str">
        <f>"000270741 - RICH LOOP PIZZA"</f>
        <v>000270741 - RICH LOOP PIZZA</v>
      </c>
      <c r="C13602" t="s">
        <v>1400</v>
      </c>
      <c r="D13602" s="1" t="str">
        <f>"PRG-1040667"</f>
        <v>PRG-1040667</v>
      </c>
      <c r="E13602" t="s">
        <v>841</v>
      </c>
      <c r="F13602" t="s">
        <v>4</v>
      </c>
      <c r="G13602" t="str">
        <f>""</f>
        <v/>
      </c>
    </row>
    <row r="13603" spans="1:7" x14ac:dyDescent="0.25">
      <c r="A13603" t="s">
        <v>8</v>
      </c>
      <c r="B13603" s="1" t="str">
        <f>"000000133 - RICH PRODUCTS-ALL OK CASINOS"</f>
        <v>000000133 - RICH PRODUCTS-ALL OK CASINOS</v>
      </c>
      <c r="C13603" t="s">
        <v>13</v>
      </c>
      <c r="D13603" s="1" t="str">
        <f>"PRG-1040668"</f>
        <v>PRG-1040668</v>
      </c>
      <c r="E13603" t="s">
        <v>14</v>
      </c>
      <c r="F13603" t="s">
        <v>4</v>
      </c>
      <c r="G13603" t="str">
        <f>""</f>
        <v/>
      </c>
    </row>
    <row r="13604" spans="1:7" x14ac:dyDescent="0.25">
      <c r="A13604" t="s">
        <v>8</v>
      </c>
      <c r="B13604" s="1" t="str">
        <f>"000006036 - RICH CHEROKEE CASINO'S"</f>
        <v>000006036 - RICH CHEROKEE CASINO'S</v>
      </c>
      <c r="C13604" t="s">
        <v>235</v>
      </c>
      <c r="D13604" s="1" t="str">
        <f>"PRG-1040668"</f>
        <v>PRG-1040668</v>
      </c>
      <c r="E13604" t="s">
        <v>14</v>
      </c>
      <c r="F13604" t="s">
        <v>4</v>
      </c>
      <c r="G13604" t="str">
        <f>""</f>
        <v/>
      </c>
    </row>
    <row r="13605" spans="1:7" x14ac:dyDescent="0.25">
      <c r="A13605" t="s">
        <v>8</v>
      </c>
      <c r="B13605" s="1" t="str">
        <f>"000020407 - RICH CHEROKEE CASINO'S"</f>
        <v>000020407 - RICH CHEROKEE CASINO'S</v>
      </c>
      <c r="C13605" t="s">
        <v>235</v>
      </c>
      <c r="D13605" s="1" t="str">
        <f>"PRG-1040668"</f>
        <v>PRG-1040668</v>
      </c>
      <c r="E13605" t="s">
        <v>14</v>
      </c>
      <c r="F13605" t="s">
        <v>4</v>
      </c>
      <c r="G13605" t="str">
        <f>""</f>
        <v/>
      </c>
    </row>
    <row r="13606" spans="1:7" x14ac:dyDescent="0.25">
      <c r="A13606" t="s">
        <v>8</v>
      </c>
      <c r="B13606" s="1" t="str">
        <f>"000035262 - RICH CHEROKEE"</f>
        <v>000035262 - RICH CHEROKEE</v>
      </c>
      <c r="C13606" t="s">
        <v>525</v>
      </c>
      <c r="D13606" s="1" t="str">
        <f>"PRG-1040668"</f>
        <v>PRG-1040668</v>
      </c>
      <c r="E13606" t="s">
        <v>14</v>
      </c>
      <c r="F13606" t="s">
        <v>4</v>
      </c>
      <c r="G13606" t="str">
        <f>""</f>
        <v/>
      </c>
    </row>
    <row r="13607" spans="1:7" x14ac:dyDescent="0.25">
      <c r="A13607" t="s">
        <v>8</v>
      </c>
      <c r="B13607" s="1" t="str">
        <f>"000040902 - FY19 RICH PRODUCTS (40901)"</f>
        <v>000040902 - FY19 RICH PRODUCTS (40901)</v>
      </c>
      <c r="C13607" t="s">
        <v>583</v>
      </c>
      <c r="D13607" s="1" t="str">
        <f>"PRG-1040668"</f>
        <v>PRG-1040668</v>
      </c>
      <c r="E13607" t="s">
        <v>14</v>
      </c>
      <c r="F13607" t="s">
        <v>4</v>
      </c>
      <c r="G13607" t="str">
        <f>""</f>
        <v/>
      </c>
    </row>
    <row r="13608" spans="1:7" x14ac:dyDescent="0.25">
      <c r="A13608" t="s">
        <v>8</v>
      </c>
      <c r="B13608" s="1" t="str">
        <f>"000277091 - RICH PROD-BURGATORY FUEL &amp; FUD"</f>
        <v>000277091 - RICH PROD-BURGATORY FUEL &amp; FUD</v>
      </c>
      <c r="C13608" t="s">
        <v>1655</v>
      </c>
      <c r="D13608" s="1" t="str">
        <f>"PRG-1040673"</f>
        <v>PRG-1040673</v>
      </c>
      <c r="E13608" t="s">
        <v>1656</v>
      </c>
      <c r="F13608" t="s">
        <v>4</v>
      </c>
      <c r="G13608" t="str">
        <f>""</f>
        <v/>
      </c>
    </row>
    <row r="13609" spans="1:7" x14ac:dyDescent="0.25">
      <c r="A13609" t="s">
        <v>8</v>
      </c>
      <c r="B13609" s="1" t="str">
        <f>"000000203 - RICH FOODS PIZZA DOUGH-BLUE ME"</f>
        <v>000000203 - RICH FOODS PIZZA DOUGH-BLUE ME</v>
      </c>
      <c r="C13609" t="s">
        <v>22</v>
      </c>
      <c r="D13609" s="1" t="str">
        <f>"PRG-1040675"</f>
        <v>PRG-1040675</v>
      </c>
      <c r="E13609" t="s">
        <v>23</v>
      </c>
      <c r="F13609" t="s">
        <v>4</v>
      </c>
      <c r="G13609" t="str">
        <f>""</f>
        <v/>
      </c>
    </row>
    <row r="13610" spans="1:7" x14ac:dyDescent="0.25">
      <c r="A13610" t="s">
        <v>8</v>
      </c>
      <c r="B13610" s="1" t="str">
        <f>"35050"</f>
        <v>35050</v>
      </c>
      <c r="C13610" t="s">
        <v>4909</v>
      </c>
      <c r="D13610" s="1" t="str">
        <f>"PRG-1040676"</f>
        <v>PRG-1040676</v>
      </c>
      <c r="E13610" t="s">
        <v>4910</v>
      </c>
      <c r="F13610" t="s">
        <v>7</v>
      </c>
      <c r="G13610" t="str">
        <f>""</f>
        <v/>
      </c>
    </row>
    <row r="13611" spans="1:7" x14ac:dyDescent="0.25">
      <c r="A13611" t="s">
        <v>8</v>
      </c>
      <c r="B13611" s="1" t="str">
        <f>"000364778 - RICH FDS SKYLINE DELI SNVA"</f>
        <v>000364778 - RICH FDS SKYLINE DELI SNVA</v>
      </c>
      <c r="C13611" t="s">
        <v>3601</v>
      </c>
      <c r="D13611" s="1" t="str">
        <f>"PRG-1040677"</f>
        <v>PRG-1040677</v>
      </c>
      <c r="E13611" t="s">
        <v>3602</v>
      </c>
      <c r="F13611" t="s">
        <v>4</v>
      </c>
      <c r="G13611" t="str">
        <f>""</f>
        <v/>
      </c>
    </row>
    <row r="13612" spans="1:7" x14ac:dyDescent="0.25">
      <c r="A13612" t="s">
        <v>8</v>
      </c>
      <c r="B13612" s="1" t="str">
        <f>"S6Y004X0"</f>
        <v>S6Y004X0</v>
      </c>
      <c r="C13612" t="s">
        <v>6206</v>
      </c>
      <c r="D13612" s="1" t="str">
        <f>"PRG-1040677"</f>
        <v>PRG-1040677</v>
      </c>
      <c r="E13612" t="s">
        <v>3602</v>
      </c>
      <c r="F13612" t="s">
        <v>5</v>
      </c>
      <c r="G13612" t="str">
        <f>""</f>
        <v/>
      </c>
    </row>
    <row r="13613" spans="1:7" x14ac:dyDescent="0.25">
      <c r="A13613" t="s">
        <v>8</v>
      </c>
      <c r="B13613" s="1" t="str">
        <f>"INFLATABLE WONDERLAND"</f>
        <v>INFLATABLE WONDERLAND</v>
      </c>
      <c r="C13613" t="s">
        <v>5319</v>
      </c>
      <c r="D13613" s="1" t="str">
        <f>"PRG-1040681"</f>
        <v>PRG-1040681</v>
      </c>
      <c r="E13613" t="s">
        <v>4578</v>
      </c>
      <c r="F13613" t="s">
        <v>7</v>
      </c>
      <c r="G13613" t="str">
        <f>""</f>
        <v/>
      </c>
    </row>
    <row r="13614" spans="1:7" x14ac:dyDescent="0.25">
      <c r="A13614" t="s">
        <v>8</v>
      </c>
      <c r="B13614" s="1" t="str">
        <f>"000150293 - RICHS NIEMERGS"</f>
        <v>000150293 - RICHS NIEMERGS</v>
      </c>
      <c r="C13614" t="s">
        <v>822</v>
      </c>
      <c r="D13614" s="1" t="str">
        <f>"PRG-1040684"</f>
        <v>PRG-1040684</v>
      </c>
      <c r="E13614" t="s">
        <v>823</v>
      </c>
      <c r="F13614" t="s">
        <v>4</v>
      </c>
      <c r="G13614" t="str">
        <f>""</f>
        <v/>
      </c>
    </row>
    <row r="13615" spans="1:7" x14ac:dyDescent="0.25">
      <c r="A13615" t="s">
        <v>8</v>
      </c>
      <c r="B13615" s="1" t="str">
        <f>"000360691 - RICH PRODUCTS  ALONTI DELI"</f>
        <v>000360691 - RICH PRODUCTS  ALONTI DELI</v>
      </c>
      <c r="C13615" t="s">
        <v>2029</v>
      </c>
      <c r="D13615" s="1" t="str">
        <f>"PRG-1040685"</f>
        <v>PRG-1040685</v>
      </c>
      <c r="E13615" t="s">
        <v>1950</v>
      </c>
      <c r="F13615" t="s">
        <v>4</v>
      </c>
      <c r="G13615" t="str">
        <f>""</f>
        <v/>
      </c>
    </row>
    <row r="13616" spans="1:7" x14ac:dyDescent="0.25">
      <c r="A13616" t="s">
        <v>8</v>
      </c>
      <c r="B13616" s="1" t="str">
        <f>"000369148 - RICH FOODS ALONTI"</f>
        <v>000369148 - RICH FOODS ALONTI</v>
      </c>
      <c r="C13616" t="s">
        <v>1949</v>
      </c>
      <c r="D13616" s="1" t="str">
        <f>"PRG-1040685"</f>
        <v>PRG-1040685</v>
      </c>
      <c r="E13616" t="s">
        <v>1950</v>
      </c>
      <c r="F13616" t="s">
        <v>4</v>
      </c>
      <c r="G13616" t="str">
        <f>""</f>
        <v/>
      </c>
    </row>
    <row r="13617" spans="1:7" x14ac:dyDescent="0.25">
      <c r="A13617" t="s">
        <v>8</v>
      </c>
      <c r="B13617" s="1" t="str">
        <f>"00038332 - "</f>
        <v xml:space="preserve">00038332 - </v>
      </c>
      <c r="D13617" s="1" t="str">
        <f>"PRG-1040685"</f>
        <v>PRG-1040685</v>
      </c>
      <c r="E13617" t="s">
        <v>1950</v>
      </c>
      <c r="F13617" t="s">
        <v>4</v>
      </c>
      <c r="G13617" t="str">
        <f>""</f>
        <v/>
      </c>
    </row>
    <row r="13618" spans="1:7" x14ac:dyDescent="0.25">
      <c r="A13618" t="s">
        <v>8</v>
      </c>
      <c r="B13618" s="1" t="str">
        <f>"000383532 - RICH FOODS-ALONTI (PEPI)"</f>
        <v>000383532 - RICH FOODS-ALONTI (PEPI)</v>
      </c>
      <c r="C13618" t="s">
        <v>3659</v>
      </c>
      <c r="D13618" s="1" t="str">
        <f>"PRG-1040685"</f>
        <v>PRG-1040685</v>
      </c>
      <c r="E13618" t="s">
        <v>1950</v>
      </c>
      <c r="F13618" t="s">
        <v>4</v>
      </c>
      <c r="G13618" t="str">
        <f>""</f>
        <v/>
      </c>
    </row>
    <row r="13619" spans="1:7" x14ac:dyDescent="0.25">
      <c r="A13619" t="s">
        <v>8</v>
      </c>
      <c r="B13619" s="1" t="str">
        <f>"000409968 - RICH FOODS ALONTI'S-PEPI'S"</f>
        <v>000409968 - RICH FOODS ALONTI'S-PEPI'S</v>
      </c>
      <c r="C13619" t="s">
        <v>3019</v>
      </c>
      <c r="D13619" s="1" t="str">
        <f>"PRG-1040685"</f>
        <v>PRG-1040685</v>
      </c>
      <c r="E13619" t="s">
        <v>1950</v>
      </c>
      <c r="F13619" t="s">
        <v>4</v>
      </c>
      <c r="G13619" t="str">
        <f>""</f>
        <v/>
      </c>
    </row>
    <row r="13620" spans="1:7" x14ac:dyDescent="0.25">
      <c r="A13620" t="s">
        <v>8</v>
      </c>
      <c r="B13620" s="1" t="str">
        <f>"000305841 - RICH'S 2510 REST"</f>
        <v>000305841 - RICH'S 2510 REST</v>
      </c>
      <c r="C13620" t="s">
        <v>2479</v>
      </c>
      <c r="D13620" s="1" t="str">
        <f>"PRG-1040689"</f>
        <v>PRG-1040689</v>
      </c>
      <c r="E13620" t="s">
        <v>2480</v>
      </c>
      <c r="F13620" t="s">
        <v>4</v>
      </c>
      <c r="G13620" t="str">
        <f>""</f>
        <v/>
      </c>
    </row>
    <row r="13621" spans="1:7" x14ac:dyDescent="0.25">
      <c r="A13621" t="s">
        <v>8</v>
      </c>
      <c r="B13621" s="1" t="str">
        <f>"000289403 - RICH'S ZOOT CAFE B B"</f>
        <v>000289403 - RICH'S ZOOT CAFE B B</v>
      </c>
      <c r="C13621" t="s">
        <v>2795</v>
      </c>
      <c r="D13621" s="1" t="str">
        <f>"PRG-1040690"</f>
        <v>PRG-1040690</v>
      </c>
      <c r="E13621" t="s">
        <v>1380</v>
      </c>
      <c r="F13621" t="s">
        <v>4</v>
      </c>
      <c r="G13621" t="str">
        <f>""</f>
        <v/>
      </c>
    </row>
    <row r="13622" spans="1:7" x14ac:dyDescent="0.25">
      <c r="A13622" t="s">
        <v>8</v>
      </c>
      <c r="B13622" s="1" t="str">
        <f>"000103981 - RICHS MONTY'S"</f>
        <v>000103981 - RICHS MONTY'S</v>
      </c>
      <c r="C13622" t="s">
        <v>813</v>
      </c>
      <c r="D13622" s="1" t="str">
        <f>"PRG-1040694"</f>
        <v>PRG-1040694</v>
      </c>
      <c r="E13622" t="s">
        <v>778</v>
      </c>
      <c r="F13622" t="s">
        <v>4</v>
      </c>
      <c r="G13622" t="str">
        <f>""</f>
        <v/>
      </c>
    </row>
    <row r="13623" spans="1:7" x14ac:dyDescent="0.25">
      <c r="A13623" t="s">
        <v>8</v>
      </c>
      <c r="B13623" s="1" t="str">
        <f>"000248713 - RICH-COOKIES CHOCOLATE FACTORY"</f>
        <v>000248713 - RICH-COOKIES CHOCOLATE FACTORY</v>
      </c>
      <c r="C13623" t="s">
        <v>1342</v>
      </c>
      <c r="D13623" s="1" t="str">
        <f>"PRG-1040695"</f>
        <v>PRG-1040695</v>
      </c>
      <c r="E13623" t="s">
        <v>1343</v>
      </c>
      <c r="F13623" t="s">
        <v>4</v>
      </c>
      <c r="G13623" t="str">
        <f>""</f>
        <v/>
      </c>
    </row>
    <row r="13624" spans="1:7" x14ac:dyDescent="0.25">
      <c r="A13624" t="s">
        <v>8</v>
      </c>
      <c r="B13624" s="1" t="str">
        <f>"000255379 - RICH PROD-BAPA K&amp;K PORTAGE MTS"</f>
        <v>000255379 - RICH PROD-BAPA K&amp;K PORTAGE MTS</v>
      </c>
      <c r="C13624" t="s">
        <v>2164</v>
      </c>
      <c r="D13624" s="1" t="str">
        <f>"PRG-1040697"</f>
        <v>PRG-1040697</v>
      </c>
      <c r="E13624" t="s">
        <v>1125</v>
      </c>
      <c r="F13624" t="s">
        <v>4</v>
      </c>
      <c r="G13624" t="str">
        <f>""</f>
        <v/>
      </c>
    </row>
    <row r="13625" spans="1:7" x14ac:dyDescent="0.25">
      <c r="A13625" t="s">
        <v>8</v>
      </c>
      <c r="B13625" s="1" t="str">
        <f>"000255381 - RICH PROD-BAPA CHESHIRE MARKET"</f>
        <v>000255381 - RICH PROD-BAPA CHESHIRE MARKET</v>
      </c>
      <c r="C13625" t="s">
        <v>2166</v>
      </c>
      <c r="D13625" s="1" t="str">
        <f>"PRG-1040698"</f>
        <v>PRG-1040698</v>
      </c>
      <c r="E13625" t="s">
        <v>1211</v>
      </c>
      <c r="F13625" t="s">
        <v>4</v>
      </c>
      <c r="G13625" t="str">
        <f>""</f>
        <v/>
      </c>
    </row>
    <row r="13626" spans="1:7" x14ac:dyDescent="0.25">
      <c r="A13626" t="s">
        <v>8</v>
      </c>
      <c r="B13626" s="1" t="str">
        <f>"000294823 - RICH'S HO CHUNK"</f>
        <v>000294823 - RICH'S HO CHUNK</v>
      </c>
      <c r="C13626" t="s">
        <v>2351</v>
      </c>
      <c r="D13626" s="1" t="str">
        <f>"PRG-1040699"</f>
        <v>PRG-1040699</v>
      </c>
      <c r="E13626" t="s">
        <v>2352</v>
      </c>
      <c r="F13626" t="s">
        <v>4</v>
      </c>
      <c r="G13626" t="str">
        <f>""</f>
        <v/>
      </c>
    </row>
    <row r="13627" spans="1:7" x14ac:dyDescent="0.25">
      <c r="A13627" t="s">
        <v>8</v>
      </c>
      <c r="B13627" s="1" t="str">
        <f>"000357597 - RICHS HO CHUNK"</f>
        <v>000357597 - RICHS HO CHUNK</v>
      </c>
      <c r="C13627" t="s">
        <v>3568</v>
      </c>
      <c r="D13627" s="1" t="str">
        <f>"PRG-1040699"</f>
        <v>PRG-1040699</v>
      </c>
      <c r="E13627" t="s">
        <v>2352</v>
      </c>
      <c r="F13627" t="s">
        <v>4</v>
      </c>
      <c r="G13627" t="str">
        <f>""</f>
        <v/>
      </c>
    </row>
    <row r="13628" spans="1:7" x14ac:dyDescent="0.25">
      <c r="A13628" t="s">
        <v>8</v>
      </c>
      <c r="B13628" s="1" t="str">
        <f>"000266759 - RICH'S THAT'S AMORE#1040701"</f>
        <v>000266759 - RICH'S THAT'S AMORE#1040701</v>
      </c>
      <c r="C13628" t="s">
        <v>2414</v>
      </c>
      <c r="D13628" s="1" t="str">
        <f>"PRG-1040701"</f>
        <v>PRG-1040701</v>
      </c>
      <c r="E13628" t="s">
        <v>2415</v>
      </c>
      <c r="F13628" t="s">
        <v>4</v>
      </c>
      <c r="G13628" t="str">
        <f>""</f>
        <v/>
      </c>
    </row>
    <row r="13629" spans="1:7" x14ac:dyDescent="0.25">
      <c r="A13629" t="s">
        <v>8</v>
      </c>
      <c r="B13629" s="1" t="str">
        <f>"000036480 - RICH FOODS-SOUTHERN FOODSERVIC"</f>
        <v>000036480 - RICH FOODS-SOUTHERN FOODSERVIC</v>
      </c>
      <c r="C13629" t="s">
        <v>269</v>
      </c>
      <c r="D13629" s="1" t="str">
        <f>"PRG-1040702"</f>
        <v>PRG-1040702</v>
      </c>
      <c r="E13629" t="s">
        <v>270</v>
      </c>
      <c r="F13629" t="s">
        <v>4</v>
      </c>
      <c r="G13629" t="str">
        <f>""</f>
        <v/>
      </c>
    </row>
    <row r="13630" spans="1:7" x14ac:dyDescent="0.25">
      <c r="A13630" t="s">
        <v>8</v>
      </c>
      <c r="B13630" s="1" t="str">
        <f>"000173276 - RICH FOODS-SOUTHERN FOODSERVIC"</f>
        <v>000173276 - RICH FOODS-SOUTHERN FOODSERVIC</v>
      </c>
      <c r="C13630" t="s">
        <v>269</v>
      </c>
      <c r="D13630" s="1" t="str">
        <f>"PRG-1040702"</f>
        <v>PRG-1040702</v>
      </c>
      <c r="E13630" t="s">
        <v>270</v>
      </c>
      <c r="F13630" t="s">
        <v>4</v>
      </c>
      <c r="G13630" t="str">
        <f>""</f>
        <v/>
      </c>
    </row>
    <row r="13631" spans="1:7" x14ac:dyDescent="0.25">
      <c r="A13631" t="s">
        <v>8</v>
      </c>
      <c r="B13631" s="1" t="str">
        <f>"000249256 - RICH FOODS-SOUTHERN FOODSERVIC"</f>
        <v>000249256 - RICH FOODS-SOUTHERN FOODSERVIC</v>
      </c>
      <c r="C13631" t="s">
        <v>269</v>
      </c>
      <c r="D13631" s="1" t="str">
        <f>"PRG-1040702"</f>
        <v>PRG-1040702</v>
      </c>
      <c r="E13631" t="s">
        <v>270</v>
      </c>
      <c r="F13631" t="s">
        <v>4</v>
      </c>
      <c r="G13631" t="str">
        <f>""</f>
        <v/>
      </c>
    </row>
    <row r="13632" spans="1:7" x14ac:dyDescent="0.25">
      <c r="A13632" t="s">
        <v>8</v>
      </c>
      <c r="B13632" s="1" t="str">
        <f>"000278803 - RICH FOODS-SOUTHERN FOODSERVIC"</f>
        <v>000278803 - RICH FOODS-SOUTHERN FOODSERVIC</v>
      </c>
      <c r="C13632" t="s">
        <v>269</v>
      </c>
      <c r="D13632" s="1" t="str">
        <f>"PRG-1040702"</f>
        <v>PRG-1040702</v>
      </c>
      <c r="E13632" t="s">
        <v>270</v>
      </c>
      <c r="F13632" t="s">
        <v>4</v>
      </c>
      <c r="G13632" t="str">
        <f>""</f>
        <v/>
      </c>
    </row>
    <row r="13633" spans="1:7" x14ac:dyDescent="0.25">
      <c r="A13633" t="s">
        <v>8</v>
      </c>
      <c r="B13633" s="1" t="str">
        <f>"000303993 - RICH FOODS-SOUTHERN FOODSERVIC"</f>
        <v>000303993 - RICH FOODS-SOUTHERN FOODSERVIC</v>
      </c>
      <c r="C13633" t="s">
        <v>269</v>
      </c>
      <c r="D13633" s="1" t="str">
        <f>"PRG-1040702"</f>
        <v>PRG-1040702</v>
      </c>
      <c r="E13633" t="s">
        <v>270</v>
      </c>
      <c r="F13633" t="s">
        <v>4</v>
      </c>
      <c r="G13633" t="str">
        <f>""</f>
        <v/>
      </c>
    </row>
    <row r="13634" spans="1:7" x14ac:dyDescent="0.25">
      <c r="A13634" t="s">
        <v>8</v>
      </c>
      <c r="B13634" s="1" t="str">
        <f>"2240B682"</f>
        <v>2240B682</v>
      </c>
      <c r="C13634" t="s">
        <v>4323</v>
      </c>
      <c r="D13634" s="1" t="str">
        <f>"PRG-1040707"</f>
        <v>PRG-1040707</v>
      </c>
      <c r="E13634" t="s">
        <v>4324</v>
      </c>
      <c r="F13634" t="s">
        <v>5</v>
      </c>
      <c r="G13634" t="str">
        <f>""</f>
        <v/>
      </c>
    </row>
    <row r="13635" spans="1:7" x14ac:dyDescent="0.25">
      <c r="A13635" t="s">
        <v>8</v>
      </c>
      <c r="B13635" s="1" t="str">
        <f>"S3Y00XG0"</f>
        <v>S3Y00XG0</v>
      </c>
      <c r="C13635" t="s">
        <v>5689</v>
      </c>
      <c r="D13635" s="1" t="str">
        <f>"PRG-1040708"</f>
        <v>PRG-1040708</v>
      </c>
      <c r="E13635" t="s">
        <v>5690</v>
      </c>
      <c r="F13635" t="s">
        <v>5</v>
      </c>
      <c r="G13635" t="str">
        <f>""</f>
        <v/>
      </c>
    </row>
    <row r="13636" spans="1:7" x14ac:dyDescent="0.25">
      <c r="A13636" t="s">
        <v>8</v>
      </c>
      <c r="B13636" s="1" t="str">
        <f>"000146765 - RICH FEE HENDRICKS"</f>
        <v>000146765 - RICH FEE HENDRICKS</v>
      </c>
      <c r="C13636" t="s">
        <v>1000</v>
      </c>
      <c r="D13636" s="1" t="str">
        <f>"PRG-1040712"</f>
        <v>PRG-1040712</v>
      </c>
      <c r="E13636" t="s">
        <v>1001</v>
      </c>
      <c r="F13636" t="s">
        <v>4</v>
      </c>
      <c r="G13636" t="str">
        <f>""</f>
        <v/>
      </c>
    </row>
    <row r="13637" spans="1:7" x14ac:dyDescent="0.25">
      <c r="A13637" t="s">
        <v>8</v>
      </c>
      <c r="B13637" s="1" t="str">
        <f>"S8L00HS0"</f>
        <v>S8L00HS0</v>
      </c>
      <c r="C13637" t="s">
        <v>6246</v>
      </c>
      <c r="D13637" s="1" t="str">
        <f>"PRG-1040713"</f>
        <v>PRG-1040713</v>
      </c>
      <c r="E13637" t="s">
        <v>6245</v>
      </c>
      <c r="F13637" t="s">
        <v>5</v>
      </c>
      <c r="G13637" t="str">
        <f>""</f>
        <v/>
      </c>
    </row>
    <row r="13638" spans="1:7" x14ac:dyDescent="0.25">
      <c r="A13638" t="s">
        <v>8</v>
      </c>
      <c r="B13638" s="1" t="str">
        <f>"000385288 - RICH PROD HORNBLOWER"</f>
        <v>000385288 - RICH PROD HORNBLOWER</v>
      </c>
      <c r="C13638" t="s">
        <v>3664</v>
      </c>
      <c r="D13638" s="1" t="str">
        <f>"PRG-1040716"</f>
        <v>PRG-1040716</v>
      </c>
      <c r="E13638" t="s">
        <v>3665</v>
      </c>
      <c r="F13638" t="s">
        <v>4</v>
      </c>
      <c r="G13638" t="str">
        <f>""</f>
        <v/>
      </c>
    </row>
    <row r="13639" spans="1:7" x14ac:dyDescent="0.25">
      <c r="A13639" t="s">
        <v>8</v>
      </c>
      <c r="B13639" s="1" t="str">
        <f>"2220A236"</f>
        <v>2220A236</v>
      </c>
      <c r="C13639" t="s">
        <v>4245</v>
      </c>
      <c r="D13639" s="1" t="str">
        <f>"PRG-1040720"</f>
        <v>PRG-1040720</v>
      </c>
      <c r="E13639" t="s">
        <v>2769</v>
      </c>
      <c r="F13639" t="s">
        <v>5</v>
      </c>
      <c r="G13639" t="str">
        <f>""</f>
        <v/>
      </c>
    </row>
    <row r="13640" spans="1:7" x14ac:dyDescent="0.25">
      <c r="A13640" t="s">
        <v>8</v>
      </c>
      <c r="B13640" s="1" t="str">
        <f>"000351400 - RICH PD1 BLACKBEARD"</f>
        <v>000351400 - RICH PD1 BLACKBEARD</v>
      </c>
      <c r="C13640" t="s">
        <v>3513</v>
      </c>
      <c r="D13640" s="1" t="str">
        <f>"PRG-1040728"</f>
        <v>PRG-1040728</v>
      </c>
      <c r="E13640" t="s">
        <v>2611</v>
      </c>
      <c r="F13640" t="s">
        <v>4</v>
      </c>
      <c r="G13640" t="str">
        <f>""</f>
        <v/>
      </c>
    </row>
    <row r="13641" spans="1:7" x14ac:dyDescent="0.25">
      <c r="A13641" t="s">
        <v>8</v>
      </c>
      <c r="B13641" s="1" t="str">
        <f>"000409140 - RICH PD1 BLACKBEARD"</f>
        <v>000409140 - RICH PD1 BLACKBEARD</v>
      </c>
      <c r="C13641" t="s">
        <v>3513</v>
      </c>
      <c r="D13641" s="1" t="str">
        <f>"PRG-1040728"</f>
        <v>PRG-1040728</v>
      </c>
      <c r="E13641" t="s">
        <v>2611</v>
      </c>
      <c r="F13641" t="s">
        <v>4</v>
      </c>
      <c r="G13641" t="str">
        <f>""</f>
        <v/>
      </c>
    </row>
    <row r="13642" spans="1:7" x14ac:dyDescent="0.25">
      <c r="A13642" t="s">
        <v>8</v>
      </c>
      <c r="B13642" s="1" t="str">
        <f>"21905569"</f>
        <v>21905569</v>
      </c>
      <c r="C13642" t="s">
        <v>4223</v>
      </c>
      <c r="D13642" s="1" t="str">
        <f>"PRG-1040732"</f>
        <v>PRG-1040732</v>
      </c>
      <c r="E13642" t="s">
        <v>4224</v>
      </c>
      <c r="F13642" t="s">
        <v>5</v>
      </c>
      <c r="G13642" t="str">
        <f>""</f>
        <v/>
      </c>
    </row>
    <row r="13643" spans="1:7" x14ac:dyDescent="0.25">
      <c r="A13643" t="s">
        <v>8</v>
      </c>
      <c r="B13643" s="1" t="str">
        <f>"4117A413"</f>
        <v>4117A413</v>
      </c>
      <c r="C13643" t="s">
        <v>2139</v>
      </c>
      <c r="D13643" s="1" t="str">
        <f>"PRG-1040733"</f>
        <v>PRG-1040733</v>
      </c>
      <c r="E13643" t="s">
        <v>2140</v>
      </c>
      <c r="F13643" t="s">
        <v>5</v>
      </c>
      <c r="G13643" t="str">
        <f>""</f>
        <v/>
      </c>
    </row>
    <row r="13644" spans="1:7" x14ac:dyDescent="0.25">
      <c r="A13644" t="s">
        <v>8</v>
      </c>
      <c r="B13644" s="1" t="str">
        <f>"000043208 - PIONEER CATERERS RICHS PRODUCT"</f>
        <v>000043208 - PIONEER CATERERS RICHS PRODUCT</v>
      </c>
      <c r="C13644" t="s">
        <v>410</v>
      </c>
      <c r="D13644" s="1" t="str">
        <f>"PRG-1040740"</f>
        <v>PRG-1040740</v>
      </c>
      <c r="E13644" t="s">
        <v>166</v>
      </c>
      <c r="F13644" t="s">
        <v>4</v>
      </c>
      <c r="G13644" t="str">
        <f>""</f>
        <v/>
      </c>
    </row>
    <row r="13645" spans="1:7" x14ac:dyDescent="0.25">
      <c r="A13645" t="s">
        <v>8</v>
      </c>
      <c r="B13645" s="1" t="str">
        <f>"23500169"</f>
        <v>23500169</v>
      </c>
      <c r="C13645" t="s">
        <v>4498</v>
      </c>
      <c r="D13645" s="1" t="str">
        <f>"PRG-1040746"</f>
        <v>PRG-1040746</v>
      </c>
      <c r="E13645" t="s">
        <v>4499</v>
      </c>
      <c r="F13645" t="s">
        <v>5</v>
      </c>
      <c r="G13645" t="str">
        <f>""</f>
        <v/>
      </c>
    </row>
    <row r="13646" spans="1:7" x14ac:dyDescent="0.25">
      <c r="A13646" t="s">
        <v>8</v>
      </c>
      <c r="B13646" s="1" t="str">
        <f>"23503115"</f>
        <v>23503115</v>
      </c>
      <c r="C13646" t="s">
        <v>4508</v>
      </c>
      <c r="D13646" s="1" t="str">
        <f>"PRG-1040746"</f>
        <v>PRG-1040746</v>
      </c>
      <c r="E13646" t="s">
        <v>4499</v>
      </c>
      <c r="F13646" t="s">
        <v>5</v>
      </c>
      <c r="G13646" t="str">
        <f>""</f>
        <v/>
      </c>
    </row>
    <row r="13647" spans="1:7" x14ac:dyDescent="0.25">
      <c r="A13647" t="s">
        <v>8</v>
      </c>
      <c r="B13647" s="1" t="str">
        <f>"23503462"</f>
        <v>23503462</v>
      </c>
      <c r="C13647" t="s">
        <v>4509</v>
      </c>
      <c r="D13647" s="1" t="str">
        <f>"PRG-1040746"</f>
        <v>PRG-1040746</v>
      </c>
      <c r="E13647" t="s">
        <v>4499</v>
      </c>
      <c r="F13647" t="s">
        <v>5</v>
      </c>
      <c r="G13647" t="str">
        <f>""</f>
        <v/>
      </c>
    </row>
    <row r="13648" spans="1:7" x14ac:dyDescent="0.25">
      <c r="A13648" t="s">
        <v>8</v>
      </c>
      <c r="B13648" s="1" t="str">
        <f>"000190640 - RICHS SAM &amp; LOUIE REBATE"</f>
        <v>000190640 - RICHS SAM &amp; LOUIE REBATE</v>
      </c>
      <c r="C13648" t="s">
        <v>1203</v>
      </c>
      <c r="D13648" s="1" t="str">
        <f>"PRG-1040751"</f>
        <v>PRG-1040751</v>
      </c>
      <c r="E13648" t="s">
        <v>1204</v>
      </c>
      <c r="F13648" t="s">
        <v>4</v>
      </c>
      <c r="G13648" t="str">
        <f>""</f>
        <v/>
      </c>
    </row>
    <row r="13649" spans="1:7" x14ac:dyDescent="0.25">
      <c r="A13649" t="s">
        <v>8</v>
      </c>
      <c r="B13649" s="1" t="str">
        <f>"2140B040"</f>
        <v>2140B040</v>
      </c>
      <c r="C13649" t="s">
        <v>4165</v>
      </c>
      <c r="D13649" s="1" t="str">
        <f>"PRG-1040761"</f>
        <v>PRG-1040761</v>
      </c>
      <c r="E13649" t="s">
        <v>4166</v>
      </c>
      <c r="F13649" t="s">
        <v>5</v>
      </c>
      <c r="G13649" t="str">
        <f>""</f>
        <v/>
      </c>
    </row>
    <row r="13650" spans="1:7" x14ac:dyDescent="0.25">
      <c r="A13650" t="s">
        <v>8</v>
      </c>
      <c r="B13650" s="1" t="str">
        <f>"00068"</f>
        <v>00068</v>
      </c>
      <c r="C13650" t="s">
        <v>3752</v>
      </c>
      <c r="D13650" s="1" t="str">
        <f>"PRG-1040765"</f>
        <v>PRG-1040765</v>
      </c>
      <c r="E13650" t="s">
        <v>3753</v>
      </c>
      <c r="F13650" t="s">
        <v>6</v>
      </c>
      <c r="G13650" t="str">
        <f>"60611282"</f>
        <v>60611282</v>
      </c>
    </row>
    <row r="13651" spans="1:7" x14ac:dyDescent="0.25">
      <c r="A13651" t="s">
        <v>8</v>
      </c>
      <c r="B13651" s="1" t="str">
        <f>"11063896"</f>
        <v>11063896</v>
      </c>
      <c r="C13651" t="s">
        <v>3807</v>
      </c>
      <c r="D13651" s="1" t="str">
        <f>"PRG-1040771"</f>
        <v>PRG-1040771</v>
      </c>
      <c r="E13651" t="s">
        <v>3808</v>
      </c>
      <c r="F13651" t="s">
        <v>5</v>
      </c>
      <c r="G13651" t="str">
        <f>""</f>
        <v/>
      </c>
    </row>
    <row r="13652" spans="1:7" x14ac:dyDescent="0.25">
      <c r="A13652" t="s">
        <v>8</v>
      </c>
      <c r="B13652" s="1" t="str">
        <f>"000239169 - RICH'S-SPARTAN CNTL KITCHEN"</f>
        <v>000239169 - RICH'S-SPARTAN CNTL KITCHEN</v>
      </c>
      <c r="C13652" t="s">
        <v>1550</v>
      </c>
      <c r="D13652" s="1" t="str">
        <f>"PRG-1040785"</f>
        <v>PRG-1040785</v>
      </c>
      <c r="E13652" t="s">
        <v>1551</v>
      </c>
      <c r="F13652" t="s">
        <v>4</v>
      </c>
      <c r="G13652" t="str">
        <f>""</f>
        <v/>
      </c>
    </row>
    <row r="13653" spans="1:7" x14ac:dyDescent="0.25">
      <c r="A13653" t="s">
        <v>8</v>
      </c>
      <c r="B13653" s="1" t="str">
        <f>"2260A104"</f>
        <v>2260A104</v>
      </c>
      <c r="C13653" t="s">
        <v>4445</v>
      </c>
      <c r="D13653" s="1" t="str">
        <f>"PRG-1040790"</f>
        <v>PRG-1040790</v>
      </c>
      <c r="E13653" t="s">
        <v>4446</v>
      </c>
      <c r="F13653" t="s">
        <v>5</v>
      </c>
      <c r="G13653" t="str">
        <f>""</f>
        <v/>
      </c>
    </row>
    <row r="13654" spans="1:7" x14ac:dyDescent="0.25">
      <c r="A13654" t="s">
        <v>8</v>
      </c>
      <c r="B13654" s="1" t="str">
        <f>"000298525 - RICH WHELIHAN"</f>
        <v>000298525 - RICH WHELIHAN</v>
      </c>
      <c r="C13654" t="s">
        <v>1976</v>
      </c>
      <c r="D13654" s="1" t="str">
        <f>"PRG-1040798"</f>
        <v>PRG-1040798</v>
      </c>
      <c r="E13654" t="s">
        <v>1222</v>
      </c>
      <c r="F13654" t="s">
        <v>4</v>
      </c>
      <c r="G13654" t="str">
        <f>""</f>
        <v/>
      </c>
    </row>
    <row r="13655" spans="1:7" x14ac:dyDescent="0.25">
      <c r="A13655" t="s">
        <v>8</v>
      </c>
      <c r="B13655" s="1" t="str">
        <f>"000273155 - RICH SEACRETS"</f>
        <v>000273155 - RICH SEACRETS</v>
      </c>
      <c r="C13655" t="s">
        <v>1600</v>
      </c>
      <c r="D13655" s="1" t="str">
        <f>"PRG-1040806"</f>
        <v>PRG-1040806</v>
      </c>
      <c r="E13655" t="s">
        <v>1601</v>
      </c>
      <c r="F13655" t="s">
        <v>4</v>
      </c>
      <c r="G13655" t="str">
        <f>""</f>
        <v/>
      </c>
    </row>
    <row r="13656" spans="1:7" x14ac:dyDescent="0.25">
      <c r="A13656" t="s">
        <v>8</v>
      </c>
      <c r="B13656" s="1" t="str">
        <f>"000261791 - RICH'S COLUMBIA STEAK"</f>
        <v>000261791 - RICH'S COLUMBIA STEAK</v>
      </c>
      <c r="C13656" t="s">
        <v>2296</v>
      </c>
      <c r="D13656" s="1" t="str">
        <f>"PRG-1040815"</f>
        <v>PRG-1040815</v>
      </c>
      <c r="E13656" t="s">
        <v>1556</v>
      </c>
      <c r="F13656" t="s">
        <v>4</v>
      </c>
      <c r="G13656" t="str">
        <f>""</f>
        <v/>
      </c>
    </row>
    <row r="13657" spans="1:7" x14ac:dyDescent="0.25">
      <c r="A13657" t="s">
        <v>8</v>
      </c>
      <c r="B13657" s="1" t="str">
        <f>"1106A379"</f>
        <v>1106A379</v>
      </c>
      <c r="C13657" t="s">
        <v>3812</v>
      </c>
      <c r="D13657" s="1" t="str">
        <f>"PRG-1040816"</f>
        <v>PRG-1040816</v>
      </c>
      <c r="E13657" t="s">
        <v>3813</v>
      </c>
      <c r="F13657" t="s">
        <v>5</v>
      </c>
      <c r="G13657" t="str">
        <f>""</f>
        <v/>
      </c>
    </row>
    <row r="13658" spans="1:7" x14ac:dyDescent="0.25">
      <c r="A13658" t="s">
        <v>8</v>
      </c>
      <c r="B13658" s="1" t="str">
        <f>"000292021 - RAVENELLI'S RICHS"</f>
        <v>000292021 - RAVENELLI'S RICHS</v>
      </c>
      <c r="C13658" t="s">
        <v>2854</v>
      </c>
      <c r="D13658" s="1" t="str">
        <f>"PRG-1040817"</f>
        <v>PRG-1040817</v>
      </c>
      <c r="E13658" t="s">
        <v>2855</v>
      </c>
      <c r="F13658" t="s">
        <v>4</v>
      </c>
      <c r="G13658" t="str">
        <f>""</f>
        <v/>
      </c>
    </row>
    <row r="13659" spans="1:7" x14ac:dyDescent="0.25">
      <c r="A13659" t="s">
        <v>8</v>
      </c>
      <c r="B13659" s="1" t="str">
        <f>"000306481 - RICH SALISBURY UNI"</f>
        <v>000306481 - RICH SALISBURY UNI</v>
      </c>
      <c r="C13659" t="s">
        <v>3046</v>
      </c>
      <c r="D13659" s="1" t="str">
        <f>"PRG-1040818"</f>
        <v>PRG-1040818</v>
      </c>
      <c r="E13659" t="s">
        <v>1676</v>
      </c>
      <c r="F13659" t="s">
        <v>4</v>
      </c>
      <c r="G13659" t="str">
        <f>""</f>
        <v/>
      </c>
    </row>
    <row r="13660" spans="1:7" x14ac:dyDescent="0.25">
      <c r="A13660" t="s">
        <v>8</v>
      </c>
      <c r="B13660" s="1" t="str">
        <f>"000315108 - RICH SALISBURY UNI"</f>
        <v>000315108 - RICH SALISBURY UNI</v>
      </c>
      <c r="C13660" t="s">
        <v>3046</v>
      </c>
      <c r="D13660" s="1" t="str">
        <f>"PRG-1040818"</f>
        <v>PRG-1040818</v>
      </c>
      <c r="E13660" t="s">
        <v>1676</v>
      </c>
      <c r="F13660" t="s">
        <v>4</v>
      </c>
      <c r="G13660" t="str">
        <f>""</f>
        <v/>
      </c>
    </row>
    <row r="13661" spans="1:7" x14ac:dyDescent="0.25">
      <c r="A13661" t="s">
        <v>8</v>
      </c>
      <c r="B13661" s="1" t="str">
        <f>"675"</f>
        <v>675</v>
      </c>
      <c r="C13661" t="s">
        <v>5295</v>
      </c>
      <c r="D13661" s="1" t="str">
        <f>"PRG-1040821"</f>
        <v>PRG-1040821</v>
      </c>
      <c r="E13661" t="s">
        <v>5296</v>
      </c>
      <c r="F13661" t="s">
        <v>7</v>
      </c>
      <c r="G13661" t="str">
        <f>""</f>
        <v/>
      </c>
    </row>
    <row r="13662" spans="1:7" x14ac:dyDescent="0.25">
      <c r="A13662" t="s">
        <v>8</v>
      </c>
      <c r="B13662" s="1" t="str">
        <f>"000353488 - RICH-YODERS"</f>
        <v>000353488 - RICH-YODERS</v>
      </c>
      <c r="C13662" t="s">
        <v>3533</v>
      </c>
      <c r="D13662" s="1" t="str">
        <f>"PRG-1040827"</f>
        <v>PRG-1040827</v>
      </c>
      <c r="E13662" t="s">
        <v>3534</v>
      </c>
      <c r="F13662" t="s">
        <v>4</v>
      </c>
      <c r="G13662" t="str">
        <f>""</f>
        <v/>
      </c>
    </row>
    <row r="13663" spans="1:7" x14ac:dyDescent="0.25">
      <c r="A13663" t="s">
        <v>8</v>
      </c>
      <c r="B13663" s="1" t="str">
        <f>"000323850 - RICH'S CORNER CAFE"</f>
        <v>000323850 - RICH'S CORNER CAFE</v>
      </c>
      <c r="C13663" t="s">
        <v>2913</v>
      </c>
      <c r="D13663" s="1" t="str">
        <f>"PRG-1040830"</f>
        <v>PRG-1040830</v>
      </c>
      <c r="E13663" t="s">
        <v>2914</v>
      </c>
      <c r="F13663" t="s">
        <v>4</v>
      </c>
      <c r="G13663" t="str">
        <f>""</f>
        <v/>
      </c>
    </row>
    <row r="13664" spans="1:7" x14ac:dyDescent="0.25">
      <c r="A13664" t="s">
        <v>8</v>
      </c>
      <c r="B13664" s="1" t="str">
        <f>"000404399 - RICH'S CORNER CAFE"</f>
        <v>000404399 - RICH'S CORNER CAFE</v>
      </c>
      <c r="C13664" t="s">
        <v>2913</v>
      </c>
      <c r="D13664" s="1" t="str">
        <f>"PRG-1040830"</f>
        <v>PRG-1040830</v>
      </c>
      <c r="E13664" t="s">
        <v>2914</v>
      </c>
      <c r="F13664" t="s">
        <v>4</v>
      </c>
      <c r="G13664" t="str">
        <f>""</f>
        <v/>
      </c>
    </row>
    <row r="13665" spans="1:7" x14ac:dyDescent="0.25">
      <c r="A13665" t="s">
        <v>8</v>
      </c>
      <c r="B13665" s="1" t="str">
        <f>"000374018 - "</f>
        <v xml:space="preserve">000374018 - </v>
      </c>
      <c r="D13665" s="1" t="str">
        <f>"PRG-1040831"</f>
        <v>PRG-1040831</v>
      </c>
      <c r="E13665" t="s">
        <v>3635</v>
      </c>
      <c r="F13665" t="s">
        <v>4</v>
      </c>
      <c r="G13665" t="str">
        <f>""</f>
        <v/>
      </c>
    </row>
    <row r="13666" spans="1:7" x14ac:dyDescent="0.25">
      <c r="A13666" t="s">
        <v>8</v>
      </c>
      <c r="B13666" s="1" t="str">
        <f>"000256641 - RICH FOODS-CEDAR FAIR"</f>
        <v>000256641 - RICH FOODS-CEDAR FAIR</v>
      </c>
      <c r="C13666" t="s">
        <v>2186</v>
      </c>
      <c r="D13666" s="1" t="str">
        <f>"PRG-1040848"</f>
        <v>PRG-1040848</v>
      </c>
      <c r="E13666" t="s">
        <v>2187</v>
      </c>
      <c r="F13666" t="s">
        <v>4</v>
      </c>
      <c r="G13666" t="str">
        <f>""</f>
        <v/>
      </c>
    </row>
    <row r="13667" spans="1:7" x14ac:dyDescent="0.25">
      <c r="A13667" t="s">
        <v>8</v>
      </c>
      <c r="B13667" s="1" t="str">
        <f>"000281853 - RICH FOODS-COLD STONE"</f>
        <v>000281853 - RICH FOODS-COLD STONE</v>
      </c>
      <c r="C13667" t="s">
        <v>332</v>
      </c>
      <c r="D13667" s="1" t="str">
        <f>"PRG-1040848"</f>
        <v>PRG-1040848</v>
      </c>
      <c r="E13667" t="s">
        <v>2187</v>
      </c>
      <c r="F13667" t="s">
        <v>4</v>
      </c>
      <c r="G13667" t="str">
        <f>""</f>
        <v/>
      </c>
    </row>
    <row r="13668" spans="1:7" x14ac:dyDescent="0.25">
      <c r="A13668" t="s">
        <v>8</v>
      </c>
      <c r="B13668" s="1" t="str">
        <f>"000284623 - RICH FOODS-CEDAR FAIR"</f>
        <v>000284623 - RICH FOODS-CEDAR FAIR</v>
      </c>
      <c r="C13668" t="s">
        <v>2186</v>
      </c>
      <c r="D13668" s="1" t="str">
        <f>"PRG-1040848"</f>
        <v>PRG-1040848</v>
      </c>
      <c r="E13668" t="s">
        <v>2187</v>
      </c>
      <c r="F13668" t="s">
        <v>4</v>
      </c>
      <c r="G13668" t="str">
        <f>""</f>
        <v/>
      </c>
    </row>
    <row r="13669" spans="1:7" x14ac:dyDescent="0.25">
      <c r="A13669" t="s">
        <v>8</v>
      </c>
      <c r="B13669" s="1" t="str">
        <f>"22206091"</f>
        <v>22206091</v>
      </c>
      <c r="C13669" t="s">
        <v>4239</v>
      </c>
      <c r="D13669" s="1" t="str">
        <f>"PRG-1040854"</f>
        <v>PRG-1040854</v>
      </c>
      <c r="E13669" t="s">
        <v>4240</v>
      </c>
      <c r="F13669" t="s">
        <v>5</v>
      </c>
      <c r="G13669" t="str">
        <f>""</f>
        <v/>
      </c>
    </row>
    <row r="13670" spans="1:7" x14ac:dyDescent="0.25">
      <c r="A13670" t="s">
        <v>8</v>
      </c>
      <c r="B13670" s="1" t="str">
        <f>"000273227 - CREATIVE RICH FOODS"</f>
        <v>000273227 - CREATIVE RICH FOODS</v>
      </c>
      <c r="C13670" t="s">
        <v>2520</v>
      </c>
      <c r="D13670" s="1" t="str">
        <f>"PRG-1040855"</f>
        <v>PRG-1040855</v>
      </c>
      <c r="E13670" t="s">
        <v>2521</v>
      </c>
      <c r="F13670" t="s">
        <v>4</v>
      </c>
      <c r="G13670" t="str">
        <f>""</f>
        <v/>
      </c>
    </row>
    <row r="13671" spans="1:7" x14ac:dyDescent="0.25">
      <c r="A13671" t="s">
        <v>8</v>
      </c>
      <c r="B13671" s="1" t="str">
        <f>"000274751 - CREATIVE RICH"</f>
        <v>000274751 - CREATIVE RICH</v>
      </c>
      <c r="C13671" t="s">
        <v>2548</v>
      </c>
      <c r="D13671" s="1" t="str">
        <f>"PRG-1040855"</f>
        <v>PRG-1040855</v>
      </c>
      <c r="E13671" t="s">
        <v>2521</v>
      </c>
      <c r="F13671" t="s">
        <v>4</v>
      </c>
      <c r="G13671" t="str">
        <f>""</f>
        <v/>
      </c>
    </row>
    <row r="13672" spans="1:7" x14ac:dyDescent="0.25">
      <c r="A13672" t="s">
        <v>8</v>
      </c>
      <c r="B13672" s="1" t="str">
        <f>"000113062 - RICH'S-BISCUIT LOCAL 5 STAR"</f>
        <v>000113062 - RICH'S-BISCUIT LOCAL 5 STAR</v>
      </c>
      <c r="C13672" t="s">
        <v>847</v>
      </c>
      <c r="D13672" s="1" t="str">
        <f>"PRG-1040861"</f>
        <v>PRG-1040861</v>
      </c>
      <c r="E13672" t="s">
        <v>848</v>
      </c>
      <c r="F13672" t="s">
        <v>4</v>
      </c>
      <c r="G13672" t="str">
        <f>""</f>
        <v/>
      </c>
    </row>
    <row r="13673" spans="1:7" x14ac:dyDescent="0.25">
      <c r="A13673" t="s">
        <v>8</v>
      </c>
      <c r="B13673" s="1" t="str">
        <f>"000281264 - RICH COMPASS FIVE STAR      JV"</f>
        <v>000281264 - RICH COMPASS FIVE STAR      JV</v>
      </c>
      <c r="C13673" t="s">
        <v>2650</v>
      </c>
      <c r="D13673" s="1" t="str">
        <f>"PRG-1040861"</f>
        <v>PRG-1040861</v>
      </c>
      <c r="E13673" t="s">
        <v>848</v>
      </c>
      <c r="F13673" t="s">
        <v>4</v>
      </c>
      <c r="G13673" t="str">
        <f>""</f>
        <v/>
      </c>
    </row>
    <row r="13674" spans="1:7" x14ac:dyDescent="0.25">
      <c r="A13674" t="s">
        <v>8</v>
      </c>
      <c r="B13674" s="1" t="str">
        <f>"000361911 - RICH FIVE STAR"</f>
        <v>000361911 - RICH FIVE STAR</v>
      </c>
      <c r="C13674" t="s">
        <v>3442</v>
      </c>
      <c r="D13674" s="1" t="str">
        <f>"PRG-1040861"</f>
        <v>PRG-1040861</v>
      </c>
      <c r="E13674" t="s">
        <v>848</v>
      </c>
      <c r="F13674" t="s">
        <v>4</v>
      </c>
      <c r="G13674" t="str">
        <f>""</f>
        <v/>
      </c>
    </row>
    <row r="13675" spans="1:7" x14ac:dyDescent="0.25">
      <c r="A13675" t="s">
        <v>8</v>
      </c>
      <c r="B13675" s="1" t="str">
        <f>"000427693 - RICH PRODUCTS- FIVE STAR"</f>
        <v>000427693 - RICH PRODUCTS- FIVE STAR</v>
      </c>
      <c r="C13675" t="s">
        <v>3746</v>
      </c>
      <c r="D13675" s="1" t="str">
        <f>"PRG-1040861"</f>
        <v>PRG-1040861</v>
      </c>
      <c r="E13675" t="s">
        <v>848</v>
      </c>
      <c r="F13675" t="s">
        <v>4</v>
      </c>
      <c r="G13675" t="str">
        <f>""</f>
        <v/>
      </c>
    </row>
    <row r="13676" spans="1:7" x14ac:dyDescent="0.25">
      <c r="A13676" t="s">
        <v>8</v>
      </c>
      <c r="B13676" s="1" t="str">
        <f>"S6D00EI0"</f>
        <v>S6D00EI0</v>
      </c>
      <c r="C13676" t="s">
        <v>6032</v>
      </c>
      <c r="D13676" s="1" t="str">
        <f>"PRG-1040862"</f>
        <v>PRG-1040862</v>
      </c>
      <c r="E13676" t="s">
        <v>6033</v>
      </c>
      <c r="F13676" t="s">
        <v>5</v>
      </c>
      <c r="G13676" t="str">
        <f>""</f>
        <v/>
      </c>
    </row>
    <row r="13677" spans="1:7" x14ac:dyDescent="0.25">
      <c r="A13677" t="s">
        <v>8</v>
      </c>
      <c r="B13677" s="1" t="str">
        <f>"000164821 - PRG1014872 CORKYS-RICH"</f>
        <v>000164821 - PRG1014872 CORKYS-RICH</v>
      </c>
      <c r="C13677" t="s">
        <v>1068</v>
      </c>
      <c r="D13677" s="1" t="str">
        <f>"PRG-1040867"</f>
        <v>PRG-1040867</v>
      </c>
      <c r="E13677" t="s">
        <v>1069</v>
      </c>
      <c r="F13677" t="s">
        <v>4</v>
      </c>
      <c r="G13677" t="str">
        <f>""</f>
        <v/>
      </c>
    </row>
    <row r="13678" spans="1:7" x14ac:dyDescent="0.25">
      <c r="A13678" t="s">
        <v>8</v>
      </c>
      <c r="B13678" s="1" t="str">
        <f>"000264817 - PRG1040867 CORKYS-RICH"</f>
        <v>000264817 - PRG1040867 CORKYS-RICH</v>
      </c>
      <c r="C13678" t="s">
        <v>2374</v>
      </c>
      <c r="D13678" s="1" t="str">
        <f>"PRG-1040867"</f>
        <v>PRG-1040867</v>
      </c>
      <c r="E13678" t="s">
        <v>1069</v>
      </c>
      <c r="F13678" t="s">
        <v>4</v>
      </c>
      <c r="G13678" t="str">
        <f>""</f>
        <v/>
      </c>
    </row>
    <row r="13679" spans="1:7" x14ac:dyDescent="0.25">
      <c r="A13679" t="s">
        <v>8</v>
      </c>
      <c r="B13679" s="1" t="str">
        <f>"000307788 - RICH'S CORKY'S"</f>
        <v>000307788 - RICH'S CORKY'S</v>
      </c>
      <c r="C13679" t="s">
        <v>3072</v>
      </c>
      <c r="D13679" s="1" t="str">
        <f>"PRG-1040867"</f>
        <v>PRG-1040867</v>
      </c>
      <c r="E13679" t="s">
        <v>1069</v>
      </c>
      <c r="F13679" t="s">
        <v>4</v>
      </c>
      <c r="G13679" t="str">
        <f>""</f>
        <v/>
      </c>
    </row>
    <row r="13680" spans="1:7" x14ac:dyDescent="0.25">
      <c r="A13680" t="s">
        <v>8</v>
      </c>
      <c r="B13680" s="1" t="str">
        <f>"000394712 - RICH'S   CORKY'S SNVA"</f>
        <v>000394712 - RICH'S   CORKY'S SNVA</v>
      </c>
      <c r="C13680" t="s">
        <v>3699</v>
      </c>
      <c r="D13680" s="1" t="str">
        <f>"PRG-1040867"</f>
        <v>PRG-1040867</v>
      </c>
      <c r="E13680" t="s">
        <v>1069</v>
      </c>
      <c r="F13680" t="s">
        <v>4</v>
      </c>
      <c r="G13680" t="str">
        <f>""</f>
        <v/>
      </c>
    </row>
    <row r="13681" spans="1:7" x14ac:dyDescent="0.25">
      <c r="A13681" t="s">
        <v>8</v>
      </c>
      <c r="B13681" s="1" t="str">
        <f>"4100D899"</f>
        <v>4100D899</v>
      </c>
      <c r="C13681" t="s">
        <v>4941</v>
      </c>
      <c r="D13681" s="1" t="str">
        <f>"PRG-1040873"</f>
        <v>PRG-1040873</v>
      </c>
      <c r="E13681" t="s">
        <v>4942</v>
      </c>
      <c r="F13681" t="s">
        <v>5</v>
      </c>
      <c r="G13681" t="str">
        <f>""</f>
        <v/>
      </c>
    </row>
    <row r="13682" spans="1:7" x14ac:dyDescent="0.25">
      <c r="A13682" t="s">
        <v>8</v>
      </c>
      <c r="B13682" s="1" t="str">
        <f>"000304047 - RICH-KINGS ISLAND"</f>
        <v>000304047 - RICH-KINGS ISLAND</v>
      </c>
      <c r="C13682" t="s">
        <v>3016</v>
      </c>
      <c r="D13682" s="1" t="str">
        <f>"PRG-1040883"</f>
        <v>PRG-1040883</v>
      </c>
      <c r="E13682" t="s">
        <v>1840</v>
      </c>
      <c r="F13682" t="s">
        <v>4</v>
      </c>
      <c r="G13682" t="str">
        <f>""</f>
        <v/>
      </c>
    </row>
    <row r="13683" spans="1:7" x14ac:dyDescent="0.25">
      <c r="A13683" t="s">
        <v>8</v>
      </c>
      <c r="B13683" s="1" t="str">
        <f>"000036215 - RICH'S-UNIVERSITY OF COLORADO"</f>
        <v>000036215 - RICH'S-UNIVERSITY OF COLORADO</v>
      </c>
      <c r="C13683" t="s">
        <v>100</v>
      </c>
      <c r="D13683" s="1" t="str">
        <f>"PRG-1040891"</f>
        <v>PRG-1040891</v>
      </c>
      <c r="E13683" t="s">
        <v>101</v>
      </c>
      <c r="F13683" t="s">
        <v>4</v>
      </c>
      <c r="G13683" t="str">
        <f>""</f>
        <v/>
      </c>
    </row>
    <row r="13684" spans="1:7" x14ac:dyDescent="0.25">
      <c r="A13684" t="s">
        <v>8</v>
      </c>
      <c r="B13684" s="1" t="str">
        <f>"2220E928"</f>
        <v>2220E928</v>
      </c>
      <c r="C13684" t="s">
        <v>4255</v>
      </c>
      <c r="D13684" s="1" t="str">
        <f>"PRG-1040902"</f>
        <v>PRG-1040902</v>
      </c>
      <c r="E13684" t="s">
        <v>4256</v>
      </c>
      <c r="F13684" t="s">
        <v>5</v>
      </c>
      <c r="G13684" t="str">
        <f>""</f>
        <v/>
      </c>
    </row>
    <row r="13685" spans="1:7" x14ac:dyDescent="0.25">
      <c r="A13685" t="s">
        <v>8</v>
      </c>
      <c r="B13685" s="1" t="str">
        <f>"4100F080"</f>
        <v>4100F080</v>
      </c>
      <c r="C13685" t="s">
        <v>4943</v>
      </c>
      <c r="D13685" s="1" t="str">
        <f>"PRG-1040904"</f>
        <v>PRG-1040904</v>
      </c>
      <c r="E13685" t="s">
        <v>4944</v>
      </c>
      <c r="F13685" t="s">
        <v>5</v>
      </c>
      <c r="G13685" t="str">
        <f>""</f>
        <v/>
      </c>
    </row>
    <row r="13686" spans="1:7" x14ac:dyDescent="0.25">
      <c r="A13686" t="s">
        <v>8</v>
      </c>
      <c r="B13686" s="1" t="str">
        <f>"000245382 - RICH'S FOR INDIANA AROUND CLOK"</f>
        <v>000245382 - RICH'S FOR INDIANA AROUND CLOK</v>
      </c>
      <c r="C13686" t="s">
        <v>2001</v>
      </c>
      <c r="D13686" s="1" t="str">
        <f>"PRG-1040909"</f>
        <v>PRG-1040909</v>
      </c>
      <c r="E13686" t="s">
        <v>2002</v>
      </c>
      <c r="F13686" t="s">
        <v>4</v>
      </c>
      <c r="G13686" t="str">
        <f>""</f>
        <v/>
      </c>
    </row>
    <row r="13687" spans="1:7" x14ac:dyDescent="0.25">
      <c r="A13687" t="s">
        <v>8</v>
      </c>
      <c r="B13687" s="1" t="str">
        <f>"S4C00JL0"</f>
        <v>S4C00JL0</v>
      </c>
      <c r="C13687" t="s">
        <v>5698</v>
      </c>
      <c r="D13687" s="1" t="str">
        <f>"PRG-1040912"</f>
        <v>PRG-1040912</v>
      </c>
      <c r="E13687" t="s">
        <v>5699</v>
      </c>
      <c r="F13687" t="s">
        <v>5</v>
      </c>
      <c r="G13687" t="str">
        <f>""</f>
        <v/>
      </c>
    </row>
    <row r="13688" spans="1:7" x14ac:dyDescent="0.25">
      <c r="A13688" t="s">
        <v>8</v>
      </c>
      <c r="B13688" s="1" t="str">
        <f>"000381971 - RICH PRODUCTS-LEGOLAND"</f>
        <v>000381971 - RICH PRODUCTS-LEGOLAND</v>
      </c>
      <c r="C13688" t="s">
        <v>3649</v>
      </c>
      <c r="D13688" s="1" t="str">
        <f>"PRG-1040916"</f>
        <v>PRG-1040916</v>
      </c>
      <c r="E13688" t="s">
        <v>2543</v>
      </c>
      <c r="F13688" t="s">
        <v>4</v>
      </c>
      <c r="G13688" t="str">
        <f>""</f>
        <v/>
      </c>
    </row>
    <row r="13689" spans="1:7" x14ac:dyDescent="0.25">
      <c r="A13689" t="s">
        <v>8</v>
      </c>
      <c r="B13689" s="1" t="str">
        <f>"000386021 - RICH PRODUCTS-LEGOLAND"</f>
        <v>000386021 - RICH PRODUCTS-LEGOLAND</v>
      </c>
      <c r="C13689" t="s">
        <v>3649</v>
      </c>
      <c r="D13689" s="1" t="str">
        <f>"PRG-1040916"</f>
        <v>PRG-1040916</v>
      </c>
      <c r="E13689" t="s">
        <v>2543</v>
      </c>
      <c r="F13689" t="s">
        <v>4</v>
      </c>
      <c r="G13689" t="str">
        <f>""</f>
        <v/>
      </c>
    </row>
    <row r="13690" spans="1:7" x14ac:dyDescent="0.25">
      <c r="A13690" t="s">
        <v>8</v>
      </c>
      <c r="B13690" s="1" t="str">
        <f>"000422517 - RICH PRODUCTS-LEGOLAND"</f>
        <v>000422517 - RICH PRODUCTS-LEGOLAND</v>
      </c>
      <c r="C13690" t="s">
        <v>3649</v>
      </c>
      <c r="D13690" s="1" t="str">
        <f>"PRG-1040916"</f>
        <v>PRG-1040916</v>
      </c>
      <c r="E13690" t="s">
        <v>2543</v>
      </c>
      <c r="F13690" t="s">
        <v>4</v>
      </c>
      <c r="G13690" t="str">
        <f>""</f>
        <v/>
      </c>
    </row>
    <row r="13691" spans="1:7" x14ac:dyDescent="0.25">
      <c r="A13691" t="s">
        <v>8</v>
      </c>
      <c r="B13691" s="1" t="str">
        <f>"000422812 - RICH BAPA LEGOLAND"</f>
        <v>000422812 - RICH BAPA LEGOLAND</v>
      </c>
      <c r="C13691" t="s">
        <v>3740</v>
      </c>
      <c r="D13691" s="1" t="str">
        <f>"PRG-1040916"</f>
        <v>PRG-1040916</v>
      </c>
      <c r="E13691" t="s">
        <v>2543</v>
      </c>
      <c r="F13691" t="s">
        <v>4</v>
      </c>
      <c r="G13691" t="str">
        <f>""</f>
        <v/>
      </c>
    </row>
    <row r="13692" spans="1:7" x14ac:dyDescent="0.25">
      <c r="A13692" t="s">
        <v>8</v>
      </c>
      <c r="B13692" s="1" t="str">
        <f>"000248697 - RICH'S JOHNNY V'S"</f>
        <v>000248697 - RICH'S JOHNNY V'S</v>
      </c>
      <c r="C13692" t="s">
        <v>1293</v>
      </c>
      <c r="D13692" s="1" t="str">
        <f>"PRG-1040921"</f>
        <v>PRG-1040921</v>
      </c>
      <c r="E13692" t="s">
        <v>1294</v>
      </c>
      <c r="F13692" t="s">
        <v>4</v>
      </c>
      <c r="G13692" t="str">
        <f>""</f>
        <v/>
      </c>
    </row>
    <row r="13693" spans="1:7" x14ac:dyDescent="0.25">
      <c r="A13693" t="s">
        <v>8</v>
      </c>
      <c r="B13693" s="1" t="str">
        <f>"000039228 - RICH FOODS-SAMMYS WOOD FIRE"</f>
        <v>000039228 - RICH FOODS-SAMMYS WOOD FIRE</v>
      </c>
      <c r="C13693" t="s">
        <v>567</v>
      </c>
      <c r="D13693" s="1" t="str">
        <f>"PRG-1040930"</f>
        <v>PRG-1040930</v>
      </c>
      <c r="E13693" t="s">
        <v>295</v>
      </c>
      <c r="F13693" t="s">
        <v>4</v>
      </c>
      <c r="G13693" t="str">
        <f>""</f>
        <v/>
      </c>
    </row>
    <row r="13694" spans="1:7" x14ac:dyDescent="0.25">
      <c r="A13694" t="s">
        <v>8</v>
      </c>
      <c r="B13694" s="1" t="str">
        <f>"000404610 - RICH FOODS-SAMMYS WOOD FIRE"</f>
        <v>000404610 - RICH FOODS-SAMMYS WOOD FIRE</v>
      </c>
      <c r="C13694" t="s">
        <v>567</v>
      </c>
      <c r="D13694" s="1" t="str">
        <f>"PRG-1040930"</f>
        <v>PRG-1040930</v>
      </c>
      <c r="E13694" t="s">
        <v>295</v>
      </c>
      <c r="F13694" t="s">
        <v>4</v>
      </c>
      <c r="G13694" t="str">
        <f>""</f>
        <v/>
      </c>
    </row>
    <row r="13695" spans="1:7" x14ac:dyDescent="0.25">
      <c r="A13695" t="s">
        <v>8</v>
      </c>
      <c r="B13695" s="1" t="str">
        <f>"S5D026R0"</f>
        <v>S5D026R0</v>
      </c>
      <c r="C13695" t="s">
        <v>5799</v>
      </c>
      <c r="D13695" s="1" t="str">
        <f>"PRG-1040944"</f>
        <v>PRG-1040944</v>
      </c>
      <c r="E13695" t="s">
        <v>1026</v>
      </c>
      <c r="F13695" t="s">
        <v>5</v>
      </c>
      <c r="G13695" t="str">
        <f>""</f>
        <v/>
      </c>
    </row>
    <row r="13696" spans="1:7" x14ac:dyDescent="0.25">
      <c r="A13696" t="s">
        <v>8</v>
      </c>
      <c r="B13696" s="1" t="str">
        <f>"000291254 - RICH'S MK'S GOURMET PIZZERIA"</f>
        <v>000291254 - RICH'S MK'S GOURMET PIZZERIA</v>
      </c>
      <c r="C13696" t="s">
        <v>2842</v>
      </c>
      <c r="D13696" s="1" t="str">
        <f>"PRG-1040948"</f>
        <v>PRG-1040948</v>
      </c>
      <c r="E13696" t="s">
        <v>1103</v>
      </c>
      <c r="F13696" t="s">
        <v>4</v>
      </c>
      <c r="G13696" t="str">
        <f>""</f>
        <v/>
      </c>
    </row>
    <row r="13697" spans="1:7" x14ac:dyDescent="0.25">
      <c r="A13697" t="s">
        <v>8</v>
      </c>
      <c r="B13697" s="1" t="str">
        <f>"S9D00JS0"</f>
        <v>S9D00JS0</v>
      </c>
      <c r="C13697" t="s">
        <v>6336</v>
      </c>
      <c r="D13697" s="1" t="str">
        <f>"PRG-1040953"</f>
        <v>PRG-1040953</v>
      </c>
      <c r="E13697" t="s">
        <v>4632</v>
      </c>
      <c r="F13697" t="s">
        <v>5</v>
      </c>
      <c r="G13697" t="str">
        <f>""</f>
        <v/>
      </c>
    </row>
    <row r="13698" spans="1:7" x14ac:dyDescent="0.25">
      <c r="A13698" t="s">
        <v>8</v>
      </c>
      <c r="B13698" s="1" t="str">
        <f>"21357522"</f>
        <v>21357522</v>
      </c>
      <c r="C13698" t="s">
        <v>4141</v>
      </c>
      <c r="D13698" s="1" t="str">
        <f>"PRG-1040955"</f>
        <v>PRG-1040955</v>
      </c>
      <c r="E13698" t="s">
        <v>4142</v>
      </c>
      <c r="F13698" t="s">
        <v>5</v>
      </c>
      <c r="G13698" t="str">
        <f>""</f>
        <v/>
      </c>
    </row>
    <row r="13699" spans="1:7" x14ac:dyDescent="0.25">
      <c r="A13699" t="s">
        <v>8</v>
      </c>
      <c r="B13699" s="1" t="str">
        <f>"21350477"</f>
        <v>21350477</v>
      </c>
      <c r="C13699" t="s">
        <v>4137</v>
      </c>
      <c r="D13699" s="1" t="str">
        <f>"PRG-1040956"</f>
        <v>PRG-1040956</v>
      </c>
      <c r="E13699" t="s">
        <v>4138</v>
      </c>
      <c r="F13699" t="s">
        <v>5</v>
      </c>
      <c r="G13699" t="str">
        <f>""</f>
        <v/>
      </c>
    </row>
    <row r="13700" spans="1:7" x14ac:dyDescent="0.25">
      <c r="A13700" t="s">
        <v>8</v>
      </c>
      <c r="B13700" s="1" t="str">
        <f>"000197659 - RICH'S WEATHERVANE"</f>
        <v>000197659 - RICH'S WEATHERVANE</v>
      </c>
      <c r="C13700" t="s">
        <v>1030</v>
      </c>
      <c r="D13700" s="1" t="str">
        <f>"PRG-1040961"</f>
        <v>PRG-1040961</v>
      </c>
      <c r="E13700" t="s">
        <v>1031</v>
      </c>
      <c r="F13700" t="s">
        <v>4</v>
      </c>
      <c r="G13700" t="str">
        <f>""</f>
        <v/>
      </c>
    </row>
    <row r="13701" spans="1:7" x14ac:dyDescent="0.25">
      <c r="A13701" t="s">
        <v>8</v>
      </c>
      <c r="B13701" s="1" t="str">
        <f>"000190045 - RICH MET GROUP (DC)"</f>
        <v>000190045 - RICH MET GROUP (DC)</v>
      </c>
      <c r="C13701" t="s">
        <v>1197</v>
      </c>
      <c r="D13701" s="1" t="str">
        <f>"PRG-1040970"</f>
        <v>PRG-1040970</v>
      </c>
      <c r="E13701" t="s">
        <v>1198</v>
      </c>
      <c r="F13701" t="s">
        <v>4</v>
      </c>
      <c r="G13701" t="str">
        <f>""</f>
        <v/>
      </c>
    </row>
    <row r="13702" spans="1:7" x14ac:dyDescent="0.25">
      <c r="A13702" t="s">
        <v>8</v>
      </c>
      <c r="B13702" s="1" t="str">
        <f>"41002625"</f>
        <v>41002625</v>
      </c>
      <c r="C13702" t="s">
        <v>4934</v>
      </c>
      <c r="D13702" s="1" t="str">
        <f>"PRG-1040971"</f>
        <v>PRG-1040971</v>
      </c>
      <c r="E13702" t="s">
        <v>4935</v>
      </c>
      <c r="F13702" t="s">
        <v>5</v>
      </c>
      <c r="G13702" t="str">
        <f>""</f>
        <v/>
      </c>
    </row>
    <row r="13703" spans="1:7" x14ac:dyDescent="0.25">
      <c r="A13703" t="s">
        <v>8</v>
      </c>
      <c r="B13703" s="1" t="str">
        <f>"93300"</f>
        <v>93300</v>
      </c>
      <c r="C13703" t="s">
        <v>5310</v>
      </c>
      <c r="D13703" s="1" t="str">
        <f>"PRG-1040972"</f>
        <v>PRG-1040972</v>
      </c>
      <c r="E13703" t="s">
        <v>3820</v>
      </c>
      <c r="F13703" t="s">
        <v>7</v>
      </c>
      <c r="G13703" t="str">
        <f>""</f>
        <v/>
      </c>
    </row>
    <row r="13704" spans="1:7" x14ac:dyDescent="0.25">
      <c r="A13704" t="s">
        <v>8</v>
      </c>
      <c r="B13704" s="1" t="str">
        <f>"41002649"</f>
        <v>41002649</v>
      </c>
      <c r="C13704" t="s">
        <v>4936</v>
      </c>
      <c r="D13704" s="1" t="str">
        <f>"PRG-1040974"</f>
        <v>PRG-1040974</v>
      </c>
      <c r="E13704" t="s">
        <v>4937</v>
      </c>
      <c r="F13704" t="s">
        <v>5</v>
      </c>
      <c r="G13704" t="str">
        <f>""</f>
        <v/>
      </c>
    </row>
    <row r="13705" spans="1:7" x14ac:dyDescent="0.25">
      <c r="A13705" t="s">
        <v>8</v>
      </c>
      <c r="B13705" s="1" t="str">
        <f>"000350423 - RICH PD1 BACKWOODS"</f>
        <v>000350423 - RICH PD1 BACKWOODS</v>
      </c>
      <c r="C13705" t="s">
        <v>3506</v>
      </c>
      <c r="D13705" s="1" t="str">
        <f>"PRG-1040986"</f>
        <v>PRG-1040986</v>
      </c>
      <c r="E13705" t="s">
        <v>2904</v>
      </c>
      <c r="F13705" t="s">
        <v>4</v>
      </c>
      <c r="G13705" t="str">
        <f>""</f>
        <v/>
      </c>
    </row>
    <row r="13706" spans="1:7" x14ac:dyDescent="0.25">
      <c r="A13706" t="s">
        <v>8</v>
      </c>
      <c r="B13706" s="1" t="str">
        <f>"97307"</f>
        <v>97307</v>
      </c>
      <c r="C13706" t="s">
        <v>5313</v>
      </c>
      <c r="D13706" s="1" t="str">
        <f>"PRG-1041020"</f>
        <v>PRG-1041020</v>
      </c>
      <c r="E13706" t="s">
        <v>5314</v>
      </c>
      <c r="F13706" t="s">
        <v>7</v>
      </c>
      <c r="G13706" t="str">
        <f>""</f>
        <v/>
      </c>
    </row>
    <row r="13707" spans="1:7" x14ac:dyDescent="0.25">
      <c r="A13707" t="s">
        <v>8</v>
      </c>
      <c r="B13707" s="1" t="str">
        <f>"000017065 - RICH FOODS-VILLAGE TAVERN"</f>
        <v>000017065 - RICH FOODS-VILLAGE TAVERN</v>
      </c>
      <c r="C13707" t="s">
        <v>376</v>
      </c>
      <c r="D13707" s="1" t="str">
        <f>"PRG-1041028"</f>
        <v>PRG-1041028</v>
      </c>
      <c r="E13707" t="s">
        <v>377</v>
      </c>
      <c r="F13707" t="s">
        <v>4</v>
      </c>
      <c r="G13707" t="str">
        <f>""</f>
        <v/>
      </c>
    </row>
    <row r="13708" spans="1:7" x14ac:dyDescent="0.25">
      <c r="A13708" t="s">
        <v>8</v>
      </c>
      <c r="B13708" s="1" t="str">
        <f>"000288427 - RICH FOODS-VILLAGE TAVERN"</f>
        <v>000288427 - RICH FOODS-VILLAGE TAVERN</v>
      </c>
      <c r="C13708" t="s">
        <v>376</v>
      </c>
      <c r="D13708" s="1" t="str">
        <f>"PRG-1041028"</f>
        <v>PRG-1041028</v>
      </c>
      <c r="E13708" t="s">
        <v>377</v>
      </c>
      <c r="F13708" t="s">
        <v>4</v>
      </c>
      <c r="G13708" t="str">
        <f>""</f>
        <v/>
      </c>
    </row>
    <row r="13709" spans="1:7" x14ac:dyDescent="0.25">
      <c r="A13709" t="s">
        <v>8</v>
      </c>
      <c r="B13709" s="1" t="str">
        <f>"000335046 - RICH FOODS-VILLAGE TAVERN"</f>
        <v>000335046 - RICH FOODS-VILLAGE TAVERN</v>
      </c>
      <c r="C13709" t="s">
        <v>376</v>
      </c>
      <c r="D13709" s="1" t="str">
        <f>"PRG-1041028"</f>
        <v>PRG-1041028</v>
      </c>
      <c r="E13709" t="s">
        <v>377</v>
      </c>
      <c r="F13709" t="s">
        <v>4</v>
      </c>
      <c r="G13709" t="str">
        <f>""</f>
        <v/>
      </c>
    </row>
    <row r="13710" spans="1:7" x14ac:dyDescent="0.25">
      <c r="A13710" t="s">
        <v>8</v>
      </c>
      <c r="B13710" s="1" t="str">
        <f>"000372146 - RICH FOODS-VILLAGE TAVERN"</f>
        <v>000372146 - RICH FOODS-VILLAGE TAVERN</v>
      </c>
      <c r="C13710" t="s">
        <v>376</v>
      </c>
      <c r="D13710" s="1" t="str">
        <f>"PRG-1041028"</f>
        <v>PRG-1041028</v>
      </c>
      <c r="E13710" t="s">
        <v>377</v>
      </c>
      <c r="F13710" t="s">
        <v>4</v>
      </c>
      <c r="G13710" t="str">
        <f>""</f>
        <v/>
      </c>
    </row>
    <row r="13711" spans="1:7" x14ac:dyDescent="0.25">
      <c r="A13711" t="s">
        <v>8</v>
      </c>
      <c r="B13711" s="1" t="str">
        <f>"2180C410"</f>
        <v>2180C410</v>
      </c>
      <c r="C13711" t="s">
        <v>4191</v>
      </c>
      <c r="D13711" s="1" t="str">
        <f>"PRG-1041030"</f>
        <v>PRG-1041030</v>
      </c>
      <c r="E13711" t="s">
        <v>4192</v>
      </c>
      <c r="F13711" t="s">
        <v>5</v>
      </c>
      <c r="G13711" t="str">
        <f>""</f>
        <v/>
      </c>
    </row>
    <row r="13712" spans="1:7" x14ac:dyDescent="0.25">
      <c r="A13712" t="s">
        <v>8</v>
      </c>
      <c r="B13712" s="1" t="str">
        <f>"000270667 - RICH'S ADVENTURELAND"</f>
        <v>000270667 - RICH'S ADVENTURELAND</v>
      </c>
      <c r="C13712" t="s">
        <v>1417</v>
      </c>
      <c r="D13712" s="1" t="str">
        <f>"PRG-1041038"</f>
        <v>PRG-1041038</v>
      </c>
      <c r="E13712" t="s">
        <v>1418</v>
      </c>
      <c r="F13712" t="s">
        <v>4</v>
      </c>
      <c r="G13712" t="str">
        <f>""</f>
        <v/>
      </c>
    </row>
    <row r="13713" spans="1:7" x14ac:dyDescent="0.25">
      <c r="A13713" t="s">
        <v>8</v>
      </c>
      <c r="B13713" s="1" t="str">
        <f>"000130081 - RICHS   BLACKHORSE TAVERN"</f>
        <v>000130081 - RICHS   BLACKHORSE TAVERN</v>
      </c>
      <c r="C13713" t="s">
        <v>934</v>
      </c>
      <c r="D13713" s="1" t="str">
        <f>"PRG-1041045"</f>
        <v>PRG-1041045</v>
      </c>
      <c r="E13713" t="s">
        <v>759</v>
      </c>
      <c r="F13713" t="s">
        <v>4</v>
      </c>
      <c r="G13713" t="str">
        <f>""</f>
        <v/>
      </c>
    </row>
    <row r="13714" spans="1:7" x14ac:dyDescent="0.25">
      <c r="A13714" t="s">
        <v>8</v>
      </c>
      <c r="B13714" s="1" t="str">
        <f>"000038704 - RICH-BAHAMA BUCKS"</f>
        <v>000038704 - RICH-BAHAMA BUCKS</v>
      </c>
      <c r="C13714" t="s">
        <v>448</v>
      </c>
      <c r="D13714" s="1" t="str">
        <f t="shared" ref="D13714:D13722" si="377">"PRG-1041050"</f>
        <v>PRG-1041050</v>
      </c>
      <c r="E13714" t="s">
        <v>67</v>
      </c>
      <c r="F13714" t="s">
        <v>4</v>
      </c>
      <c r="G13714" t="str">
        <f>""</f>
        <v/>
      </c>
    </row>
    <row r="13715" spans="1:7" x14ac:dyDescent="0.25">
      <c r="A13715" t="s">
        <v>8</v>
      </c>
      <c r="B13715" s="1" t="str">
        <f>"000040979 - RICHS- BAHAMA BUCKS"</f>
        <v>000040979 - RICHS- BAHAMA BUCKS</v>
      </c>
      <c r="C13715" t="s">
        <v>585</v>
      </c>
      <c r="D13715" s="1" t="str">
        <f t="shared" si="377"/>
        <v>PRG-1041050</v>
      </c>
      <c r="E13715" t="s">
        <v>67</v>
      </c>
      <c r="F13715" t="s">
        <v>4</v>
      </c>
      <c r="G13715" t="str">
        <f>""</f>
        <v/>
      </c>
    </row>
    <row r="13716" spans="1:7" x14ac:dyDescent="0.25">
      <c r="A13716" t="s">
        <v>8</v>
      </c>
      <c r="B13716" s="1" t="str">
        <f>"000286548 - RICH'S BAHAMA BUCKS"</f>
        <v>000286548 - RICH'S BAHAMA BUCKS</v>
      </c>
      <c r="C13716" t="s">
        <v>2452</v>
      </c>
      <c r="D13716" s="1" t="str">
        <f t="shared" si="377"/>
        <v>PRG-1041050</v>
      </c>
      <c r="E13716" t="s">
        <v>67</v>
      </c>
      <c r="F13716" t="s">
        <v>4</v>
      </c>
      <c r="G13716" t="str">
        <f>""</f>
        <v/>
      </c>
    </row>
    <row r="13717" spans="1:7" x14ac:dyDescent="0.25">
      <c r="A13717" t="s">
        <v>8</v>
      </c>
      <c r="B13717" s="1" t="str">
        <f>"000371309 - RICH-BAHAMA BUCKS"</f>
        <v>000371309 - RICH-BAHAMA BUCKS</v>
      </c>
      <c r="C13717" t="s">
        <v>448</v>
      </c>
      <c r="D13717" s="1" t="str">
        <f t="shared" si="377"/>
        <v>PRG-1041050</v>
      </c>
      <c r="E13717" t="s">
        <v>67</v>
      </c>
      <c r="F13717" t="s">
        <v>4</v>
      </c>
      <c r="G13717" t="str">
        <f>""</f>
        <v/>
      </c>
    </row>
    <row r="13718" spans="1:7" x14ac:dyDescent="0.25">
      <c r="A13718" t="s">
        <v>8</v>
      </c>
      <c r="B13718" s="1" t="str">
        <f>"000371310 - RICH(R)-BAHAMA BUCKS"</f>
        <v>000371310 - RICH(R)-BAHAMA BUCKS</v>
      </c>
      <c r="C13718" t="s">
        <v>3627</v>
      </c>
      <c r="D13718" s="1" t="str">
        <f t="shared" si="377"/>
        <v>PRG-1041050</v>
      </c>
      <c r="E13718" t="s">
        <v>67</v>
      </c>
      <c r="F13718" t="s">
        <v>4</v>
      </c>
      <c r="G13718" t="str">
        <f>""</f>
        <v/>
      </c>
    </row>
    <row r="13719" spans="1:7" x14ac:dyDescent="0.25">
      <c r="A13719" t="s">
        <v>8</v>
      </c>
      <c r="B13719" s="1" t="str">
        <f>"000383555 - RICH(R)-BAHAMA BUCKS"</f>
        <v>000383555 - RICH(R)-BAHAMA BUCKS</v>
      </c>
      <c r="C13719" t="s">
        <v>3627</v>
      </c>
      <c r="D13719" s="1" t="str">
        <f t="shared" si="377"/>
        <v>PRG-1041050</v>
      </c>
      <c r="E13719" t="s">
        <v>67</v>
      </c>
      <c r="F13719" t="s">
        <v>4</v>
      </c>
      <c r="G13719" t="str">
        <f>""</f>
        <v/>
      </c>
    </row>
    <row r="13720" spans="1:7" x14ac:dyDescent="0.25">
      <c r="A13720" t="s">
        <v>8</v>
      </c>
      <c r="B13720" s="1" t="str">
        <f>"000390503 - RICH'S BAHAMA BUCKS"</f>
        <v>000390503 - RICH'S BAHAMA BUCKS</v>
      </c>
      <c r="C13720" t="s">
        <v>2452</v>
      </c>
      <c r="D13720" s="1" t="str">
        <f t="shared" si="377"/>
        <v>PRG-1041050</v>
      </c>
      <c r="E13720" t="s">
        <v>67</v>
      </c>
      <c r="F13720" t="s">
        <v>4</v>
      </c>
      <c r="G13720" t="str">
        <f>""</f>
        <v/>
      </c>
    </row>
    <row r="13721" spans="1:7" x14ac:dyDescent="0.25">
      <c r="A13721" t="s">
        <v>8</v>
      </c>
      <c r="B13721" s="1" t="str">
        <f>"S4H00EX0"</f>
        <v>S4H00EX0</v>
      </c>
      <c r="C13721" t="s">
        <v>5720</v>
      </c>
      <c r="D13721" s="1" t="str">
        <f t="shared" si="377"/>
        <v>PRG-1041050</v>
      </c>
      <c r="E13721" t="s">
        <v>67</v>
      </c>
      <c r="F13721" t="s">
        <v>5</v>
      </c>
      <c r="G13721" t="str">
        <f>""</f>
        <v/>
      </c>
    </row>
    <row r="13722" spans="1:7" x14ac:dyDescent="0.25">
      <c r="A13722" t="s">
        <v>8</v>
      </c>
      <c r="B13722" s="1" t="str">
        <f>"S6J0AYT0"</f>
        <v>S6J0AYT0</v>
      </c>
      <c r="C13722" t="s">
        <v>67</v>
      </c>
      <c r="D13722" s="1" t="str">
        <f t="shared" si="377"/>
        <v>PRG-1041050</v>
      </c>
      <c r="E13722" t="s">
        <v>67</v>
      </c>
      <c r="F13722" t="s">
        <v>5</v>
      </c>
      <c r="G13722" t="str">
        <f>""</f>
        <v/>
      </c>
    </row>
    <row r="13723" spans="1:7" x14ac:dyDescent="0.25">
      <c r="A13723" t="s">
        <v>8</v>
      </c>
      <c r="B13723" s="1" t="str">
        <f>"000275253 - RICHS CENTRAL COLLEGE   ALLOW"</f>
        <v>000275253 - RICHS CENTRAL COLLEGE   ALLOW</v>
      </c>
      <c r="C13723" t="s">
        <v>2557</v>
      </c>
      <c r="D13723" s="1" t="str">
        <f>"PRG-1041054"</f>
        <v>PRG-1041054</v>
      </c>
      <c r="E13723" t="s">
        <v>1407</v>
      </c>
      <c r="F13723" t="s">
        <v>4</v>
      </c>
      <c r="G13723" t="str">
        <f>""</f>
        <v/>
      </c>
    </row>
    <row r="13724" spans="1:7" x14ac:dyDescent="0.25">
      <c r="A13724" t="s">
        <v>8</v>
      </c>
      <c r="B13724" s="1" t="str">
        <f>"000253499 - PEARL RIVER RESORT RICH"</f>
        <v>000253499 - PEARL RIVER RESORT RICH</v>
      </c>
      <c r="C13724" t="s">
        <v>1352</v>
      </c>
      <c r="D13724" s="1" t="str">
        <f>"PRG-1041060"</f>
        <v>PRG-1041060</v>
      </c>
      <c r="E13724" t="s">
        <v>1353</v>
      </c>
      <c r="F13724" t="s">
        <v>4</v>
      </c>
      <c r="G13724" t="str">
        <f>""</f>
        <v/>
      </c>
    </row>
    <row r="13725" spans="1:7" x14ac:dyDescent="0.25">
      <c r="A13725" t="s">
        <v>8</v>
      </c>
      <c r="B13725" s="1" t="str">
        <f>"S6U00EA0"</f>
        <v>S6U00EA0</v>
      </c>
      <c r="C13725" t="s">
        <v>6198</v>
      </c>
      <c r="D13725" s="1" t="str">
        <f>"PRG-1041060"</f>
        <v>PRG-1041060</v>
      </c>
      <c r="E13725" t="s">
        <v>1353</v>
      </c>
      <c r="F13725" t="s">
        <v>5</v>
      </c>
      <c r="G13725" t="str">
        <f>""</f>
        <v/>
      </c>
    </row>
    <row r="13726" spans="1:7" x14ac:dyDescent="0.25">
      <c r="A13726" t="s">
        <v>8</v>
      </c>
      <c r="B13726" s="1" t="str">
        <f>"000284596 - RICH FOODS WILDFLOWER BREAD"</f>
        <v>000284596 - RICH FOODS WILDFLOWER BREAD</v>
      </c>
      <c r="C13726" t="s">
        <v>2708</v>
      </c>
      <c r="D13726" s="1" t="str">
        <f>"PRG-1041065"</f>
        <v>PRG-1041065</v>
      </c>
      <c r="E13726" t="s">
        <v>2709</v>
      </c>
      <c r="F13726" t="s">
        <v>4</v>
      </c>
      <c r="G13726" t="str">
        <f>""</f>
        <v/>
      </c>
    </row>
    <row r="13727" spans="1:7" x14ac:dyDescent="0.25">
      <c r="A13727" t="s">
        <v>8</v>
      </c>
      <c r="B13727" s="1" t="str">
        <f>"000249646 - RICH CC FATZ CAFE"</f>
        <v>000249646 - RICH CC FATZ CAFE</v>
      </c>
      <c r="C13727" t="s">
        <v>1072</v>
      </c>
      <c r="D13727" s="1" t="str">
        <f>"PRG-1041085"</f>
        <v>PRG-1041085</v>
      </c>
      <c r="E13727" t="s">
        <v>1073</v>
      </c>
      <c r="F13727" t="s">
        <v>4</v>
      </c>
      <c r="G13727" t="str">
        <f>""</f>
        <v/>
      </c>
    </row>
    <row r="13728" spans="1:7" x14ac:dyDescent="0.25">
      <c r="A13728" t="s">
        <v>8</v>
      </c>
      <c r="B13728" s="1" t="str">
        <f>"000306508 - RICH PRODUCTS-FATZ CAFE"</f>
        <v>000306508 - RICH PRODUCTS-FATZ CAFE</v>
      </c>
      <c r="C13728" t="s">
        <v>3047</v>
      </c>
      <c r="D13728" s="1" t="str">
        <f>"PRG-1041085"</f>
        <v>PRG-1041085</v>
      </c>
      <c r="E13728" t="s">
        <v>1073</v>
      </c>
      <c r="F13728" t="s">
        <v>4</v>
      </c>
      <c r="G13728" t="str">
        <f>""</f>
        <v/>
      </c>
    </row>
    <row r="13729" spans="1:7" x14ac:dyDescent="0.25">
      <c r="A13729" t="s">
        <v>8</v>
      </c>
      <c r="B13729" s="1" t="str">
        <f>"000359393 - RICHPRODUCTS MRS.WINNER'S"</f>
        <v>000359393 - RICHPRODUCTS MRS.WINNER'S</v>
      </c>
      <c r="C13729" t="s">
        <v>3577</v>
      </c>
      <c r="D13729" s="1" t="str">
        <f>"PRG-1041087"</f>
        <v>PRG-1041087</v>
      </c>
      <c r="E13729" t="s">
        <v>2755</v>
      </c>
      <c r="F13729" t="s">
        <v>4</v>
      </c>
      <c r="G13729" t="str">
        <f>""</f>
        <v/>
      </c>
    </row>
    <row r="13730" spans="1:7" x14ac:dyDescent="0.25">
      <c r="A13730" t="s">
        <v>8</v>
      </c>
      <c r="B13730" s="1" t="str">
        <f>"1933A482"</f>
        <v>1933A482</v>
      </c>
      <c r="C13730" t="s">
        <v>3821</v>
      </c>
      <c r="D13730" s="1" t="str">
        <f>"PRG-1041091"</f>
        <v>PRG-1041091</v>
      </c>
      <c r="E13730" t="s">
        <v>3822</v>
      </c>
      <c r="F13730" t="s">
        <v>5</v>
      </c>
      <c r="G13730" t="str">
        <f>""</f>
        <v/>
      </c>
    </row>
    <row r="13731" spans="1:7" x14ac:dyDescent="0.25">
      <c r="A13731" t="s">
        <v>8</v>
      </c>
      <c r="B13731" s="1" t="str">
        <f>"2135B428"</f>
        <v>2135B428</v>
      </c>
      <c r="C13731" t="s">
        <v>4148</v>
      </c>
      <c r="D13731" s="1" t="str">
        <f>"PRG-1041117"</f>
        <v>PRG-1041117</v>
      </c>
      <c r="E13731" t="s">
        <v>4149</v>
      </c>
      <c r="F13731" t="s">
        <v>5</v>
      </c>
      <c r="G13731" t="str">
        <f>""</f>
        <v/>
      </c>
    </row>
    <row r="13732" spans="1:7" x14ac:dyDescent="0.25">
      <c r="A13732" t="s">
        <v>8</v>
      </c>
      <c r="B13732" s="1" t="str">
        <f>"3210B085"</f>
        <v>3210B085</v>
      </c>
      <c r="C13732" t="s">
        <v>4811</v>
      </c>
      <c r="D13732" s="1" t="str">
        <f>"PRG-1041120"</f>
        <v>PRG-1041120</v>
      </c>
      <c r="E13732" t="s">
        <v>4812</v>
      </c>
      <c r="F13732" t="s">
        <v>5</v>
      </c>
      <c r="G13732" t="str">
        <f>""</f>
        <v/>
      </c>
    </row>
    <row r="13733" spans="1:7" x14ac:dyDescent="0.25">
      <c r="A13733" t="s">
        <v>8</v>
      </c>
      <c r="B13733" s="1" t="str">
        <f>"000139503 - RICH WILDERNESS"</f>
        <v>000139503 - RICH WILDERNESS</v>
      </c>
      <c r="C13733" t="s">
        <v>976</v>
      </c>
      <c r="D13733" s="1" t="str">
        <f>"PRG-1041132"</f>
        <v>PRG-1041132</v>
      </c>
      <c r="E13733" t="s">
        <v>977</v>
      </c>
      <c r="F13733" t="s">
        <v>4</v>
      </c>
      <c r="G13733" t="str">
        <f>""</f>
        <v/>
      </c>
    </row>
    <row r="13734" spans="1:7" x14ac:dyDescent="0.25">
      <c r="A13734" t="s">
        <v>8</v>
      </c>
      <c r="B13734" s="1" t="str">
        <f>"000339272 - RICH CIMAROLIS"</f>
        <v>000339272 - RICH CIMAROLIS</v>
      </c>
      <c r="C13734" t="s">
        <v>3433</v>
      </c>
      <c r="D13734" s="1" t="str">
        <f>"PRG-1041133"</f>
        <v>PRG-1041133</v>
      </c>
      <c r="E13734" t="s">
        <v>2857</v>
      </c>
      <c r="F13734" t="s">
        <v>4</v>
      </c>
      <c r="G13734" t="str">
        <f>""</f>
        <v/>
      </c>
    </row>
    <row r="13735" spans="1:7" x14ac:dyDescent="0.25">
      <c r="A13735" t="s">
        <v>8</v>
      </c>
      <c r="B13735" s="1" t="str">
        <f>"0248B036"</f>
        <v>0248B036</v>
      </c>
      <c r="C13735" t="s">
        <v>3754</v>
      </c>
      <c r="D13735" s="1" t="str">
        <f>"PRG-1041144"</f>
        <v>PRG-1041144</v>
      </c>
      <c r="E13735" t="s">
        <v>3755</v>
      </c>
      <c r="F13735" t="s">
        <v>5</v>
      </c>
      <c r="G13735" t="str">
        <f>""</f>
        <v/>
      </c>
    </row>
    <row r="13736" spans="1:7" x14ac:dyDescent="0.25">
      <c r="A13736" t="s">
        <v>8</v>
      </c>
      <c r="B13736" s="1" t="str">
        <f>"3055E366"</f>
        <v>3055E366</v>
      </c>
      <c r="C13736" t="s">
        <v>4591</v>
      </c>
      <c r="D13736" s="1" t="str">
        <f>"PRG-1041150"</f>
        <v>PRG-1041150</v>
      </c>
      <c r="E13736" t="s">
        <v>4592</v>
      </c>
      <c r="F13736" t="s">
        <v>5</v>
      </c>
      <c r="G13736" t="str">
        <f>""</f>
        <v/>
      </c>
    </row>
    <row r="13737" spans="1:7" x14ac:dyDescent="0.25">
      <c r="A13737" t="s">
        <v>8</v>
      </c>
      <c r="B13737" s="1" t="str">
        <f>"000398470 - RICH PRODUCTS HEN HOUSE EATERY"</f>
        <v>000398470 - RICH PRODUCTS HEN HOUSE EATERY</v>
      </c>
      <c r="C13737" t="s">
        <v>3617</v>
      </c>
      <c r="D13737" s="1" t="str">
        <f>"PRG-1041162"</f>
        <v>PRG-1041162</v>
      </c>
      <c r="E13737" t="s">
        <v>3618</v>
      </c>
      <c r="F13737" t="s">
        <v>4</v>
      </c>
      <c r="G13737" t="str">
        <f>""</f>
        <v/>
      </c>
    </row>
    <row r="13738" spans="1:7" x14ac:dyDescent="0.25">
      <c r="A13738" t="s">
        <v>8</v>
      </c>
      <c r="B13738" s="1" t="str">
        <f>"000428003 - RICH PRODUCTS HEN HOUSE EATERY"</f>
        <v>000428003 - RICH PRODUCTS HEN HOUSE EATERY</v>
      </c>
      <c r="C13738" t="s">
        <v>3617</v>
      </c>
      <c r="D13738" s="1" t="str">
        <f>"PRG-1041162"</f>
        <v>PRG-1041162</v>
      </c>
      <c r="E13738" t="s">
        <v>3618</v>
      </c>
      <c r="F13738" t="s">
        <v>4</v>
      </c>
      <c r="G13738" t="str">
        <f>""</f>
        <v/>
      </c>
    </row>
    <row r="13739" spans="1:7" x14ac:dyDescent="0.25">
      <c r="A13739" t="s">
        <v>8</v>
      </c>
      <c r="B13739" s="1" t="str">
        <f>"000325545 - PCP;RICHS FOR RUSH B B"</f>
        <v>000325545 - PCP;RICHS FOR RUSH B B</v>
      </c>
      <c r="C13739" t="s">
        <v>3286</v>
      </c>
      <c r="D13739" s="1" t="str">
        <f>"PRG-1041164"</f>
        <v>PRG-1041164</v>
      </c>
      <c r="E13739" t="s">
        <v>2380</v>
      </c>
      <c r="F13739" t="s">
        <v>4</v>
      </c>
      <c r="G13739" t="str">
        <f>""</f>
        <v/>
      </c>
    </row>
    <row r="13740" spans="1:7" x14ac:dyDescent="0.25">
      <c r="A13740" t="s">
        <v>8</v>
      </c>
      <c r="B13740" s="1" t="str">
        <f>"000016624 - RICH'S CAPITAL PIZZA"</f>
        <v>000016624 - RICH'S CAPITAL PIZZA</v>
      </c>
      <c r="C13740" t="s">
        <v>369</v>
      </c>
      <c r="D13740" s="1" t="str">
        <f>"PRG-1041165"</f>
        <v>PRG-1041165</v>
      </c>
      <c r="E13740" t="s">
        <v>370</v>
      </c>
      <c r="F13740" t="s">
        <v>4</v>
      </c>
      <c r="G13740" t="str">
        <f>""</f>
        <v/>
      </c>
    </row>
    <row r="13741" spans="1:7" x14ac:dyDescent="0.25">
      <c r="A13741" t="s">
        <v>8</v>
      </c>
      <c r="B13741" s="1" t="str">
        <f>"000039370 - RICH'S CAPITAL PIZZA"</f>
        <v>000039370 - RICH'S CAPITAL PIZZA</v>
      </c>
      <c r="C13741" t="s">
        <v>369</v>
      </c>
      <c r="D13741" s="1" t="str">
        <f>"PRG-1041165"</f>
        <v>PRG-1041165</v>
      </c>
      <c r="E13741" t="s">
        <v>370</v>
      </c>
      <c r="F13741" t="s">
        <v>4</v>
      </c>
      <c r="G13741" t="str">
        <f>""</f>
        <v/>
      </c>
    </row>
    <row r="13742" spans="1:7" x14ac:dyDescent="0.25">
      <c r="A13742" t="s">
        <v>8</v>
      </c>
      <c r="B13742" s="1" t="str">
        <f>"000208408 - RICH'S SAM &amp; GREG'S"</f>
        <v>000208408 - RICH'S SAM &amp; GREG'S</v>
      </c>
      <c r="C13742" t="s">
        <v>1396</v>
      </c>
      <c r="D13742" s="1" t="str">
        <f>"PRG-1041174"</f>
        <v>PRG-1041174</v>
      </c>
      <c r="E13742" t="s">
        <v>1397</v>
      </c>
      <c r="F13742" t="s">
        <v>4</v>
      </c>
      <c r="G13742" t="str">
        <f>""</f>
        <v/>
      </c>
    </row>
    <row r="13743" spans="1:7" x14ac:dyDescent="0.25">
      <c r="A13743" t="s">
        <v>8</v>
      </c>
      <c r="B13743" s="1" t="str">
        <f>"000256728 - RICHS BLACK PELICAN"</f>
        <v>000256728 - RICHS BLACK PELICAN</v>
      </c>
      <c r="C13743" t="s">
        <v>1260</v>
      </c>
      <c r="D13743" s="1" t="str">
        <f>"PRG-1041177"</f>
        <v>PRG-1041177</v>
      </c>
      <c r="E13743" t="s">
        <v>2193</v>
      </c>
      <c r="F13743" t="s">
        <v>4</v>
      </c>
      <c r="G13743" t="str">
        <f>""</f>
        <v/>
      </c>
    </row>
    <row r="13744" spans="1:7" x14ac:dyDescent="0.25">
      <c r="A13744" t="s">
        <v>8</v>
      </c>
      <c r="B13744" s="1" t="str">
        <f>"S1Z0E150"</f>
        <v>S1Z0E150</v>
      </c>
      <c r="C13744" t="s">
        <v>5378</v>
      </c>
      <c r="D13744" s="1" t="str">
        <f>"PRG-1041181"</f>
        <v>PRG-1041181</v>
      </c>
      <c r="E13744" t="s">
        <v>4196</v>
      </c>
      <c r="F13744" t="s">
        <v>5</v>
      </c>
      <c r="G13744" t="str">
        <f>""</f>
        <v/>
      </c>
    </row>
    <row r="13745" spans="1:7" x14ac:dyDescent="0.25">
      <c r="A13745" t="s">
        <v>8</v>
      </c>
      <c r="B13745" s="1" t="str">
        <f>"000287078 - RICH'S-WILDS CONFERENCE"</f>
        <v>000287078 - RICH'S-WILDS CONFERENCE</v>
      </c>
      <c r="C13745" t="s">
        <v>2750</v>
      </c>
      <c r="D13745" s="1" t="str">
        <f>"PRG-1041186"</f>
        <v>PRG-1041186</v>
      </c>
      <c r="E13745" t="s">
        <v>1914</v>
      </c>
      <c r="F13745" t="s">
        <v>4</v>
      </c>
      <c r="G13745" t="str">
        <f>""</f>
        <v/>
      </c>
    </row>
    <row r="13746" spans="1:7" x14ac:dyDescent="0.25">
      <c r="A13746" t="s">
        <v>8</v>
      </c>
      <c r="B13746" s="1" t="str">
        <f>"46550"</f>
        <v>46550</v>
      </c>
      <c r="C13746" t="s">
        <v>5017</v>
      </c>
      <c r="D13746" s="1" t="str">
        <f>"PRG-1041193"</f>
        <v>PRG-1041193</v>
      </c>
      <c r="E13746" t="s">
        <v>5018</v>
      </c>
      <c r="F13746" t="s">
        <v>7</v>
      </c>
      <c r="G13746" t="str">
        <f>""</f>
        <v/>
      </c>
    </row>
    <row r="13747" spans="1:7" x14ac:dyDescent="0.25">
      <c r="A13747" t="s">
        <v>8</v>
      </c>
      <c r="B13747" s="1" t="str">
        <f>"3055E437"</f>
        <v>3055E437</v>
      </c>
      <c r="C13747" t="s">
        <v>4593</v>
      </c>
      <c r="D13747" s="1" t="str">
        <f>"PRG-1041204"</f>
        <v>PRG-1041204</v>
      </c>
      <c r="E13747" t="s">
        <v>4594</v>
      </c>
      <c r="F13747" t="s">
        <v>5</v>
      </c>
      <c r="G13747" t="str">
        <f>""</f>
        <v/>
      </c>
    </row>
    <row r="13748" spans="1:7" x14ac:dyDescent="0.25">
      <c r="A13748" t="s">
        <v>8</v>
      </c>
      <c r="B13748" s="1" t="str">
        <f>"S5Z01YM0"</f>
        <v>S5Z01YM0</v>
      </c>
      <c r="C13748" t="s">
        <v>5979</v>
      </c>
      <c r="D13748" s="1" t="str">
        <f>"PRG-1041218"</f>
        <v>PRG-1041218</v>
      </c>
      <c r="E13748" t="s">
        <v>4589</v>
      </c>
      <c r="F13748" t="s">
        <v>5</v>
      </c>
      <c r="G13748" t="str">
        <f>""</f>
        <v/>
      </c>
    </row>
    <row r="13749" spans="1:7" x14ac:dyDescent="0.25">
      <c r="A13749" t="s">
        <v>8</v>
      </c>
      <c r="B13749" s="1" t="str">
        <f>"MELS LONE STAR LANES"</f>
        <v>MELS LONE STAR LANES</v>
      </c>
      <c r="C13749" t="s">
        <v>5324</v>
      </c>
      <c r="D13749" s="1" t="str">
        <f>"PRG-1041222"</f>
        <v>PRG-1041222</v>
      </c>
      <c r="E13749" t="s">
        <v>5325</v>
      </c>
      <c r="F13749" t="s">
        <v>7</v>
      </c>
      <c r="G13749" t="str">
        <f>""</f>
        <v/>
      </c>
    </row>
    <row r="13750" spans="1:7" x14ac:dyDescent="0.25">
      <c r="A13750" t="s">
        <v>8</v>
      </c>
      <c r="B13750" s="1" t="str">
        <f>"000394195 - RICH PD1 FUN SPOT"</f>
        <v>000394195 - RICH PD1 FUN SPOT</v>
      </c>
      <c r="C13750" t="s">
        <v>3691</v>
      </c>
      <c r="D13750" s="1" t="str">
        <f>"PRG-1041224"</f>
        <v>PRG-1041224</v>
      </c>
      <c r="E13750" t="s">
        <v>2609</v>
      </c>
      <c r="F13750" t="s">
        <v>4</v>
      </c>
      <c r="G13750" t="str">
        <f>""</f>
        <v/>
      </c>
    </row>
    <row r="13751" spans="1:7" x14ac:dyDescent="0.25">
      <c r="A13751" t="s">
        <v>8</v>
      </c>
      <c r="B13751" s="1" t="str">
        <f>"4118B627"</f>
        <v>4118B627</v>
      </c>
      <c r="C13751" t="s">
        <v>4980</v>
      </c>
      <c r="D13751" s="1" t="str">
        <f>"PRG-1041229"</f>
        <v>PRG-1041229</v>
      </c>
      <c r="E13751" t="s">
        <v>4981</v>
      </c>
      <c r="F13751" t="s">
        <v>5</v>
      </c>
      <c r="G13751" t="str">
        <f>""</f>
        <v/>
      </c>
    </row>
    <row r="13752" spans="1:7" x14ac:dyDescent="0.25">
      <c r="A13752" t="s">
        <v>8</v>
      </c>
      <c r="B13752" s="1" t="str">
        <f>"4118B703"</f>
        <v>4118B703</v>
      </c>
      <c r="C13752" t="s">
        <v>4982</v>
      </c>
      <c r="D13752" s="1" t="str">
        <f>"PRG-1041231"</f>
        <v>PRG-1041231</v>
      </c>
      <c r="E13752" t="s">
        <v>4983</v>
      </c>
      <c r="F13752" t="s">
        <v>5</v>
      </c>
      <c r="G13752" t="str">
        <f>""</f>
        <v/>
      </c>
    </row>
    <row r="13753" spans="1:7" x14ac:dyDescent="0.25">
      <c r="A13753" t="s">
        <v>8</v>
      </c>
      <c r="B13753" s="1" t="str">
        <f>"S5Z00ZF0"</f>
        <v>S5Z00ZF0</v>
      </c>
      <c r="C13753" t="s">
        <v>5954</v>
      </c>
      <c r="D13753" s="1" t="str">
        <f>"PRG-1041244"</f>
        <v>PRG-1041244</v>
      </c>
      <c r="E13753" t="s">
        <v>4634</v>
      </c>
      <c r="F13753" t="s">
        <v>5</v>
      </c>
      <c r="G13753" t="str">
        <f>""</f>
        <v/>
      </c>
    </row>
    <row r="13754" spans="1:7" x14ac:dyDescent="0.25">
      <c r="A13754" t="s">
        <v>8</v>
      </c>
      <c r="B13754" s="1" t="str">
        <f>"000307925 - RICH PRODUCTS   PIZZA BOILS"</f>
        <v>000307925 - RICH PRODUCTS   PIZZA BOILS</v>
      </c>
      <c r="C13754" t="s">
        <v>3074</v>
      </c>
      <c r="D13754" s="1" t="str">
        <f>"PRG-1041249"</f>
        <v>PRG-1041249</v>
      </c>
      <c r="E13754" t="s">
        <v>3075</v>
      </c>
      <c r="F13754" t="s">
        <v>4</v>
      </c>
      <c r="G13754" t="str">
        <f>""</f>
        <v/>
      </c>
    </row>
    <row r="13755" spans="1:7" x14ac:dyDescent="0.25">
      <c r="A13755" t="s">
        <v>8</v>
      </c>
      <c r="B13755" s="1" t="str">
        <f>"000298502 - RICHS CAFE MICHELINO"</f>
        <v>000298502 - RICHS CAFE MICHELINO</v>
      </c>
      <c r="C13755" t="s">
        <v>2279</v>
      </c>
      <c r="D13755" s="1" t="str">
        <f>"PRG-1041282"</f>
        <v>PRG-1041282</v>
      </c>
      <c r="E13755" t="s">
        <v>2280</v>
      </c>
      <c r="F13755" t="s">
        <v>4</v>
      </c>
      <c r="G13755" t="str">
        <f>""</f>
        <v/>
      </c>
    </row>
    <row r="13756" spans="1:7" x14ac:dyDescent="0.25">
      <c r="A13756" t="s">
        <v>8</v>
      </c>
      <c r="B13756" s="1" t="str">
        <f>"000248708 - RICH'S   ROCHESTER DELI"</f>
        <v>000248708 - RICH'S   ROCHESTER DELI</v>
      </c>
      <c r="C13756" t="s">
        <v>1450</v>
      </c>
      <c r="D13756" s="1" t="str">
        <f>"PRG-1041290"</f>
        <v>PRG-1041290</v>
      </c>
      <c r="E13756" t="s">
        <v>1451</v>
      </c>
      <c r="F13756" t="s">
        <v>4</v>
      </c>
      <c r="G13756" t="str">
        <f>""</f>
        <v/>
      </c>
    </row>
    <row r="13757" spans="1:7" x14ac:dyDescent="0.25">
      <c r="A13757" t="s">
        <v>8</v>
      </c>
      <c r="B13757" s="1" t="str">
        <f>"000008805 - RICH FOODS-PIZZA STUDIO"</f>
        <v>000008805 - RICH FOODS-PIZZA STUDIO</v>
      </c>
      <c r="C13757" t="s">
        <v>285</v>
      </c>
      <c r="D13757" s="1" t="str">
        <f>"PRG-1041309"</f>
        <v>PRG-1041309</v>
      </c>
      <c r="E13757" t="s">
        <v>133</v>
      </c>
      <c r="F13757" t="s">
        <v>4</v>
      </c>
      <c r="G13757" t="str">
        <f>""</f>
        <v/>
      </c>
    </row>
    <row r="13758" spans="1:7" x14ac:dyDescent="0.25">
      <c r="A13758" t="s">
        <v>8</v>
      </c>
      <c r="B13758" s="1" t="str">
        <f>"000013255 - RICH PRODUCTS PIZZA STUDIO"</f>
        <v>000013255 - RICH PRODUCTS PIZZA STUDIO</v>
      </c>
      <c r="C13758" t="s">
        <v>54</v>
      </c>
      <c r="D13758" s="1" t="str">
        <f>"PRG-1041309"</f>
        <v>PRG-1041309</v>
      </c>
      <c r="E13758" t="s">
        <v>133</v>
      </c>
      <c r="F13758" t="s">
        <v>4</v>
      </c>
      <c r="G13758" t="str">
        <f>""</f>
        <v/>
      </c>
    </row>
    <row r="13759" spans="1:7" x14ac:dyDescent="0.25">
      <c r="A13759" t="s">
        <v>8</v>
      </c>
      <c r="B13759" s="1" t="str">
        <f>"000263608 - RICH FOODS-PIZZA STUDIO"</f>
        <v>000263608 - RICH FOODS-PIZZA STUDIO</v>
      </c>
      <c r="C13759" t="s">
        <v>285</v>
      </c>
      <c r="D13759" s="1" t="str">
        <f>"PRG-1041309"</f>
        <v>PRG-1041309</v>
      </c>
      <c r="E13759" t="s">
        <v>133</v>
      </c>
      <c r="F13759" t="s">
        <v>4</v>
      </c>
      <c r="G13759" t="str">
        <f>""</f>
        <v/>
      </c>
    </row>
    <row r="13760" spans="1:7" x14ac:dyDescent="0.25">
      <c r="A13760" t="s">
        <v>8</v>
      </c>
      <c r="B13760" s="1" t="str">
        <f>"000306140 - RICH'S PRODUCT PIZZA STUDIO"</f>
        <v>000306140 - RICH'S PRODUCT PIZZA STUDIO</v>
      </c>
      <c r="C13760" t="s">
        <v>3041</v>
      </c>
      <c r="D13760" s="1" t="str">
        <f>"PRG-1041309"</f>
        <v>PRG-1041309</v>
      </c>
      <c r="E13760" t="s">
        <v>133</v>
      </c>
      <c r="F13760" t="s">
        <v>4</v>
      </c>
      <c r="G13760" t="str">
        <f>""</f>
        <v/>
      </c>
    </row>
    <row r="13761" spans="1:7" x14ac:dyDescent="0.25">
      <c r="A13761" t="s">
        <v>8</v>
      </c>
      <c r="B13761" s="1" t="str">
        <f>"2000343628 - RICH'S AZ-PIZZA STUDIO"</f>
        <v>2000343628 - RICH'S AZ-PIZZA STUDIO</v>
      </c>
      <c r="C13761" t="s">
        <v>3950</v>
      </c>
      <c r="D13761" s="1" t="str">
        <f>"PRG-1041309"</f>
        <v>PRG-1041309</v>
      </c>
      <c r="E13761" t="s">
        <v>133</v>
      </c>
      <c r="F13761" t="s">
        <v>4</v>
      </c>
      <c r="G13761" t="str">
        <f>""</f>
        <v/>
      </c>
    </row>
    <row r="13762" spans="1:7" x14ac:dyDescent="0.25">
      <c r="A13762" t="s">
        <v>8</v>
      </c>
      <c r="B13762" s="1" t="str">
        <f>"4100H419"</f>
        <v>4100H419</v>
      </c>
      <c r="C13762" t="s">
        <v>4957</v>
      </c>
      <c r="D13762" s="1" t="str">
        <f>"PRG-1041325"</f>
        <v>PRG-1041325</v>
      </c>
      <c r="E13762" t="s">
        <v>3975</v>
      </c>
      <c r="F13762" t="s">
        <v>5</v>
      </c>
      <c r="G13762" t="str">
        <f>""</f>
        <v/>
      </c>
    </row>
    <row r="13763" spans="1:7" x14ac:dyDescent="0.25">
      <c r="A13763" t="s">
        <v>8</v>
      </c>
      <c r="B13763" s="1" t="str">
        <f>"4147B592"</f>
        <v>4147B592</v>
      </c>
      <c r="C13763" t="s">
        <v>5008</v>
      </c>
      <c r="D13763" s="1" t="str">
        <f>"PRG-1041325"</f>
        <v>PRG-1041325</v>
      </c>
      <c r="E13763" t="s">
        <v>3975</v>
      </c>
      <c r="F13763" t="s">
        <v>5</v>
      </c>
      <c r="G13763" t="str">
        <f>""</f>
        <v/>
      </c>
    </row>
    <row r="13764" spans="1:7" x14ac:dyDescent="0.25">
      <c r="A13764" t="s">
        <v>8</v>
      </c>
      <c r="B13764" s="1" t="str">
        <f>"2140D192"</f>
        <v>2140D192</v>
      </c>
      <c r="C13764" t="s">
        <v>4173</v>
      </c>
      <c r="D13764" s="1" t="str">
        <f>"PRG-1041329"</f>
        <v>PRG-1041329</v>
      </c>
      <c r="E13764" t="s">
        <v>4174</v>
      </c>
      <c r="F13764" t="s">
        <v>5</v>
      </c>
      <c r="G13764" t="str">
        <f>""</f>
        <v/>
      </c>
    </row>
    <row r="13765" spans="1:7" x14ac:dyDescent="0.25">
      <c r="A13765" t="s">
        <v>8</v>
      </c>
      <c r="B13765" s="1" t="str">
        <f>"000268729 - RICH-COLUMBIA UNIVERSITY"</f>
        <v>000268729 - RICH-COLUMBIA UNIVERSITY</v>
      </c>
      <c r="C13765" t="s">
        <v>1325</v>
      </c>
      <c r="D13765" s="1" t="str">
        <f>"PRG-1041365"</f>
        <v>PRG-1041365</v>
      </c>
      <c r="E13765" t="s">
        <v>1326</v>
      </c>
      <c r="F13765" t="s">
        <v>4</v>
      </c>
      <c r="G13765" t="str">
        <f>""</f>
        <v/>
      </c>
    </row>
    <row r="13766" spans="1:7" x14ac:dyDescent="0.25">
      <c r="A13766" t="s">
        <v>8</v>
      </c>
      <c r="B13766" s="1" t="str">
        <f>"S1Z107S0"</f>
        <v>S1Z107S0</v>
      </c>
      <c r="C13766" t="s">
        <v>5461</v>
      </c>
      <c r="D13766" s="1" t="str">
        <f>"PRG-1041377"</f>
        <v>PRG-1041377</v>
      </c>
      <c r="E13766" t="s">
        <v>5462</v>
      </c>
      <c r="F13766" t="s">
        <v>5</v>
      </c>
      <c r="G13766" t="str">
        <f>""</f>
        <v/>
      </c>
    </row>
    <row r="13767" spans="1:7" x14ac:dyDescent="0.25">
      <c r="A13767" t="s">
        <v>8</v>
      </c>
      <c r="B13767" s="1" t="str">
        <f>"S4C01ZO0"</f>
        <v>S4C01ZO0</v>
      </c>
      <c r="C13767" t="s">
        <v>4602</v>
      </c>
      <c r="D13767" s="1" t="str">
        <f>"PRG-1041377"</f>
        <v>PRG-1041377</v>
      </c>
      <c r="E13767" t="s">
        <v>5462</v>
      </c>
      <c r="F13767" t="s">
        <v>5</v>
      </c>
      <c r="G13767" t="str">
        <f>""</f>
        <v/>
      </c>
    </row>
    <row r="13768" spans="1:7" x14ac:dyDescent="0.25">
      <c r="A13768" t="s">
        <v>8</v>
      </c>
      <c r="B13768" s="1" t="str">
        <f>"000001137 - RICH'S-NEPTUNE SUBMARINES"</f>
        <v>000001137 - RICH'S-NEPTUNE SUBMARINES</v>
      </c>
      <c r="C13768" t="s">
        <v>83</v>
      </c>
      <c r="D13768" s="1" t="str">
        <f>"PRG-1041384"</f>
        <v>PRG-1041384</v>
      </c>
      <c r="E13768" t="s">
        <v>84</v>
      </c>
      <c r="F13768" t="s">
        <v>4</v>
      </c>
      <c r="G13768" t="str">
        <f>""</f>
        <v/>
      </c>
    </row>
    <row r="13769" spans="1:7" x14ac:dyDescent="0.25">
      <c r="A13769" t="s">
        <v>8</v>
      </c>
      <c r="B13769" s="1" t="str">
        <f>"000035693 - RICHS NEPTUNE SUBMARINES"</f>
        <v>000035693 - RICHS NEPTUNE SUBMARINES</v>
      </c>
      <c r="C13769" t="s">
        <v>530</v>
      </c>
      <c r="D13769" s="1" t="str">
        <f>"PRG-1041384"</f>
        <v>PRG-1041384</v>
      </c>
      <c r="E13769" t="s">
        <v>84</v>
      </c>
      <c r="F13769" t="s">
        <v>4</v>
      </c>
      <c r="G13769" t="str">
        <f>""</f>
        <v/>
      </c>
    </row>
    <row r="13770" spans="1:7" x14ac:dyDescent="0.25">
      <c r="A13770" t="s">
        <v>8</v>
      </c>
      <c r="B13770" s="1" t="str">
        <f>"3170FC40"</f>
        <v>3170FC40</v>
      </c>
      <c r="C13770" t="s">
        <v>4727</v>
      </c>
      <c r="D13770" s="1" t="str">
        <f>"PRG-1041384"</f>
        <v>PRG-1041384</v>
      </c>
      <c r="E13770" t="s">
        <v>84</v>
      </c>
      <c r="F13770" t="s">
        <v>5</v>
      </c>
      <c r="G13770" t="str">
        <f>""</f>
        <v/>
      </c>
    </row>
    <row r="13771" spans="1:7" x14ac:dyDescent="0.25">
      <c r="A13771" t="s">
        <v>8</v>
      </c>
      <c r="B13771" s="1" t="str">
        <f>"000385260 - RICHS CASINO PAUMA"</f>
        <v>000385260 - RICHS CASINO PAUMA</v>
      </c>
      <c r="C13771" t="s">
        <v>3426</v>
      </c>
      <c r="D13771" s="1" t="str">
        <f>"PRG-1041405"</f>
        <v>PRG-1041405</v>
      </c>
      <c r="E13771" t="s">
        <v>3427</v>
      </c>
      <c r="F13771" t="s">
        <v>4</v>
      </c>
      <c r="G13771" t="str">
        <f>""</f>
        <v/>
      </c>
    </row>
    <row r="13772" spans="1:7" x14ac:dyDescent="0.25">
      <c r="A13772" t="s">
        <v>8</v>
      </c>
      <c r="B13772" s="1" t="str">
        <f>"000414340 - RICH PAUMA"</f>
        <v>000414340 - RICH PAUMA</v>
      </c>
      <c r="C13772" t="s">
        <v>3735</v>
      </c>
      <c r="D13772" s="1" t="str">
        <f>"PRG-1041405"</f>
        <v>PRG-1041405</v>
      </c>
      <c r="E13772" t="s">
        <v>3427</v>
      </c>
      <c r="F13772" t="s">
        <v>4</v>
      </c>
      <c r="G13772" t="str">
        <f>""</f>
        <v/>
      </c>
    </row>
    <row r="13773" spans="1:7" x14ac:dyDescent="0.25">
      <c r="A13773" t="s">
        <v>8</v>
      </c>
      <c r="B13773" s="1" t="str">
        <f>"000337544 - RICHS-DETWILERS"</f>
        <v>000337544 - RICHS-DETWILERS</v>
      </c>
      <c r="C13773" t="s">
        <v>2716</v>
      </c>
      <c r="D13773" s="1" t="str">
        <f>"PRG-1041437"</f>
        <v>PRG-1041437</v>
      </c>
      <c r="E13773" t="s">
        <v>2717</v>
      </c>
      <c r="F13773" t="s">
        <v>4</v>
      </c>
      <c r="G13773" t="str">
        <f>""</f>
        <v/>
      </c>
    </row>
    <row r="13774" spans="1:7" x14ac:dyDescent="0.25">
      <c r="A13774" t="s">
        <v>8</v>
      </c>
      <c r="B13774" s="1" t="str">
        <f>"000381953 - RICHS(R)-DETWILERS"</f>
        <v>000381953 - RICHS(R)-DETWILERS</v>
      </c>
      <c r="C13774" t="s">
        <v>3657</v>
      </c>
      <c r="D13774" s="1" t="str">
        <f>"PRG-1041437"</f>
        <v>PRG-1041437</v>
      </c>
      <c r="E13774" t="s">
        <v>2717</v>
      </c>
      <c r="F13774" t="s">
        <v>4</v>
      </c>
      <c r="G13774" t="str">
        <f>""</f>
        <v/>
      </c>
    </row>
    <row r="13775" spans="1:7" x14ac:dyDescent="0.25">
      <c r="A13775" t="s">
        <v>8</v>
      </c>
      <c r="B13775" s="1" t="str">
        <f>"000392165 - RICHS-DETWILERS"</f>
        <v>000392165 - RICHS-DETWILERS</v>
      </c>
      <c r="C13775" t="s">
        <v>2716</v>
      </c>
      <c r="D13775" s="1" t="str">
        <f>"PRG-1041437"</f>
        <v>PRG-1041437</v>
      </c>
      <c r="E13775" t="s">
        <v>2717</v>
      </c>
      <c r="F13775" t="s">
        <v>4</v>
      </c>
      <c r="G13775" t="str">
        <f>""</f>
        <v/>
      </c>
    </row>
    <row r="13776" spans="1:7" x14ac:dyDescent="0.25">
      <c r="A13776" t="s">
        <v>8</v>
      </c>
      <c r="B13776" s="1" t="str">
        <f>"000001861 - RICH PRODUCTS-MONARCH CASINO"</f>
        <v>000001861 - RICH PRODUCTS-MONARCH CASINO</v>
      </c>
      <c r="C13776" t="s">
        <v>96</v>
      </c>
      <c r="D13776" s="1" t="str">
        <f>"PRG-1041447"</f>
        <v>PRG-1041447</v>
      </c>
      <c r="E13776" t="s">
        <v>97</v>
      </c>
      <c r="F13776" t="s">
        <v>4</v>
      </c>
      <c r="G13776" t="str">
        <f>""</f>
        <v/>
      </c>
    </row>
    <row r="13777" spans="1:7" x14ac:dyDescent="0.25">
      <c r="A13777" t="s">
        <v>8</v>
      </c>
      <c r="B13777" s="1" t="str">
        <f>"000072565 - RICH PRODUCTS-MONARCH CASINO"</f>
        <v>000072565 - RICH PRODUCTS-MONARCH CASINO</v>
      </c>
      <c r="C13777" t="s">
        <v>96</v>
      </c>
      <c r="D13777" s="1" t="str">
        <f>"PRG-1041447"</f>
        <v>PRG-1041447</v>
      </c>
      <c r="E13777" t="s">
        <v>97</v>
      </c>
      <c r="F13777" t="s">
        <v>4</v>
      </c>
      <c r="G13777" t="str">
        <f>""</f>
        <v/>
      </c>
    </row>
    <row r="13778" spans="1:7" x14ac:dyDescent="0.25">
      <c r="A13778" t="s">
        <v>8</v>
      </c>
      <c r="B13778" s="1" t="str">
        <f>"4100G731"</f>
        <v>4100G731</v>
      </c>
      <c r="C13778" t="s">
        <v>4954</v>
      </c>
      <c r="D13778" s="1" t="str">
        <f>"PRG-1041448"</f>
        <v>PRG-1041448</v>
      </c>
      <c r="E13778" t="s">
        <v>3967</v>
      </c>
      <c r="F13778" t="s">
        <v>5</v>
      </c>
      <c r="G13778" t="str">
        <f>""</f>
        <v/>
      </c>
    </row>
    <row r="13779" spans="1:7" x14ac:dyDescent="0.25">
      <c r="A13779" t="s">
        <v>8</v>
      </c>
      <c r="B13779" s="1" t="str">
        <f>"000385086 - RICH LEGOLAND"</f>
        <v>000385086 - RICH LEGOLAND</v>
      </c>
      <c r="C13779" t="s">
        <v>3462</v>
      </c>
      <c r="D13779" s="1" t="str">
        <f>"PRG-1041460"</f>
        <v>PRG-1041460</v>
      </c>
      <c r="E13779" t="s">
        <v>3663</v>
      </c>
      <c r="F13779" t="s">
        <v>4</v>
      </c>
      <c r="G13779" t="str">
        <f>""</f>
        <v/>
      </c>
    </row>
    <row r="13780" spans="1:7" x14ac:dyDescent="0.25">
      <c r="A13780" t="s">
        <v>8</v>
      </c>
      <c r="B13780" s="1" t="str">
        <f>"000395498 - "</f>
        <v xml:space="preserve">000395498 - </v>
      </c>
      <c r="D13780" s="1" t="str">
        <f>"PRG-1041460"</f>
        <v>PRG-1041460</v>
      </c>
      <c r="E13780" t="s">
        <v>3663</v>
      </c>
      <c r="F13780" t="s">
        <v>4</v>
      </c>
      <c r="G13780" t="str">
        <f>""</f>
        <v/>
      </c>
    </row>
    <row r="13781" spans="1:7" x14ac:dyDescent="0.25">
      <c r="A13781" t="s">
        <v>8</v>
      </c>
      <c r="B13781" s="1" t="str">
        <f>"000407232 - RICH PRODUCTS-LEGOLAND"</f>
        <v>000407232 - RICH PRODUCTS-LEGOLAND</v>
      </c>
      <c r="C13781" t="s">
        <v>3649</v>
      </c>
      <c r="D13781" s="1" t="str">
        <f>"PRG-1041460"</f>
        <v>PRG-1041460</v>
      </c>
      <c r="E13781" t="s">
        <v>3663</v>
      </c>
      <c r="F13781" t="s">
        <v>4</v>
      </c>
      <c r="G13781" t="str">
        <f>""</f>
        <v/>
      </c>
    </row>
    <row r="13782" spans="1:7" x14ac:dyDescent="0.25">
      <c r="A13782" t="s">
        <v>8</v>
      </c>
      <c r="B13782" s="1" t="str">
        <f>"S5G00WB0"</f>
        <v>S5G00WB0</v>
      </c>
      <c r="C13782" t="s">
        <v>5829</v>
      </c>
      <c r="D13782" s="1" t="str">
        <f>"PRG-1041466"</f>
        <v>PRG-1041466</v>
      </c>
      <c r="E13782" t="s">
        <v>5830</v>
      </c>
      <c r="F13782" t="s">
        <v>5</v>
      </c>
      <c r="G13782" t="str">
        <f>""</f>
        <v/>
      </c>
    </row>
    <row r="13783" spans="1:7" x14ac:dyDescent="0.25">
      <c r="A13783" t="s">
        <v>8</v>
      </c>
      <c r="B13783" s="1" t="str">
        <f>"3190E417"</f>
        <v>3190E417</v>
      </c>
      <c r="C13783" t="s">
        <v>4799</v>
      </c>
      <c r="D13783" s="1" t="str">
        <f>"PRG-1041472"</f>
        <v>PRG-1041472</v>
      </c>
      <c r="E13783" t="s">
        <v>4800</v>
      </c>
      <c r="F13783" t="s">
        <v>5</v>
      </c>
      <c r="G13783" t="str">
        <f>""</f>
        <v/>
      </c>
    </row>
    <row r="13784" spans="1:7" x14ac:dyDescent="0.25">
      <c r="A13784" t="s">
        <v>8</v>
      </c>
      <c r="B13784" s="1" t="str">
        <f>"S4V02110"</f>
        <v>S4V02110</v>
      </c>
      <c r="C13784" t="s">
        <v>5791</v>
      </c>
      <c r="D13784" s="1" t="str">
        <f>"PRG-1041472"</f>
        <v>PRG-1041472</v>
      </c>
      <c r="E13784" t="s">
        <v>4800</v>
      </c>
      <c r="F13784" t="s">
        <v>5</v>
      </c>
      <c r="G13784" t="str">
        <f>""</f>
        <v/>
      </c>
    </row>
    <row r="13785" spans="1:7" x14ac:dyDescent="0.25">
      <c r="A13785" t="s">
        <v>8</v>
      </c>
      <c r="B13785" s="1" t="str">
        <f>"11060188"</f>
        <v>11060188</v>
      </c>
      <c r="C13785" t="s">
        <v>3805</v>
      </c>
      <c r="D13785" s="1" t="str">
        <f>"PRG-1041489"</f>
        <v>PRG-1041489</v>
      </c>
      <c r="E13785" t="s">
        <v>3806</v>
      </c>
      <c r="F13785" t="s">
        <v>5</v>
      </c>
      <c r="G13785" t="str">
        <f>""</f>
        <v/>
      </c>
    </row>
    <row r="13786" spans="1:7" x14ac:dyDescent="0.25">
      <c r="A13786" t="s">
        <v>8</v>
      </c>
      <c r="B13786" s="1" t="str">
        <f>"000028453 - RICHS-ASPEN CREEK"</f>
        <v>000028453 - RICHS-ASPEN CREEK</v>
      </c>
      <c r="C13786" t="s">
        <v>469</v>
      </c>
      <c r="D13786" s="1" t="str">
        <f>"PRG-1041504"</f>
        <v>PRG-1041504</v>
      </c>
      <c r="E13786" t="s">
        <v>470</v>
      </c>
      <c r="F13786" t="s">
        <v>4</v>
      </c>
      <c r="G13786" t="str">
        <f>""</f>
        <v/>
      </c>
    </row>
    <row r="13787" spans="1:7" x14ac:dyDescent="0.25">
      <c r="A13787" t="s">
        <v>8</v>
      </c>
      <c r="B13787" s="1" t="str">
        <f>"000265139 - RICHS-ASPEN CREEK"</f>
        <v>000265139 - RICHS-ASPEN CREEK</v>
      </c>
      <c r="C13787" t="s">
        <v>469</v>
      </c>
      <c r="D13787" s="1" t="str">
        <f>"PRG-1041504"</f>
        <v>PRG-1041504</v>
      </c>
      <c r="E13787" t="s">
        <v>470</v>
      </c>
      <c r="F13787" t="s">
        <v>4</v>
      </c>
      <c r="G13787" t="str">
        <f>""</f>
        <v/>
      </c>
    </row>
    <row r="13788" spans="1:7" x14ac:dyDescent="0.25">
      <c r="A13788" t="s">
        <v>8</v>
      </c>
      <c r="B13788" s="1" t="str">
        <f>"000272102 - RICHS-ASPEN CREEK"</f>
        <v>000272102 - RICHS-ASPEN CREEK</v>
      </c>
      <c r="C13788" t="s">
        <v>469</v>
      </c>
      <c r="D13788" s="1" t="str">
        <f>"PRG-1041504"</f>
        <v>PRG-1041504</v>
      </c>
      <c r="E13788" t="s">
        <v>470</v>
      </c>
      <c r="F13788" t="s">
        <v>4</v>
      </c>
      <c r="G13788" t="str">
        <f>""</f>
        <v/>
      </c>
    </row>
    <row r="13789" spans="1:7" x14ac:dyDescent="0.25">
      <c r="A13789" t="s">
        <v>8</v>
      </c>
      <c r="B13789" s="1" t="str">
        <f>"000376091 - RICHS-ASPEN CREEK"</f>
        <v>000376091 - RICHS-ASPEN CREEK</v>
      </c>
      <c r="C13789" t="s">
        <v>469</v>
      </c>
      <c r="D13789" s="1" t="str">
        <f>"PRG-1041504"</f>
        <v>PRG-1041504</v>
      </c>
      <c r="E13789" t="s">
        <v>470</v>
      </c>
      <c r="F13789" t="s">
        <v>4</v>
      </c>
      <c r="G13789" t="str">
        <f>""</f>
        <v/>
      </c>
    </row>
    <row r="13790" spans="1:7" x14ac:dyDescent="0.25">
      <c r="A13790" t="s">
        <v>8</v>
      </c>
      <c r="B13790" s="1" t="str">
        <f>"000333261 - RICHS-PERKINS"</f>
        <v>000333261 - RICHS-PERKINS</v>
      </c>
      <c r="C13790" t="s">
        <v>3366</v>
      </c>
      <c r="D13790" s="1" t="str">
        <f>"PRG-1041509"</f>
        <v>PRG-1041509</v>
      </c>
      <c r="E13790" t="s">
        <v>3367</v>
      </c>
      <c r="F13790" t="s">
        <v>4</v>
      </c>
      <c r="G13790" t="str">
        <f>""</f>
        <v/>
      </c>
    </row>
    <row r="13791" spans="1:7" x14ac:dyDescent="0.25">
      <c r="A13791" t="s">
        <v>8</v>
      </c>
      <c r="B13791" s="1" t="str">
        <f>"000020307 - RICH-HSRG"</f>
        <v>000020307 - RICH-HSRG</v>
      </c>
      <c r="C13791" t="s">
        <v>401</v>
      </c>
      <c r="D13791" s="1" t="str">
        <f>"PRG-1041512"</f>
        <v>PRG-1041512</v>
      </c>
      <c r="E13791" t="s">
        <v>248</v>
      </c>
      <c r="F13791" t="s">
        <v>4</v>
      </c>
      <c r="G13791" t="str">
        <f>""</f>
        <v/>
      </c>
    </row>
    <row r="13792" spans="1:7" x14ac:dyDescent="0.25">
      <c r="A13792" t="s">
        <v>8</v>
      </c>
      <c r="B13792" s="1" t="str">
        <f>"4100G694"</f>
        <v>4100G694</v>
      </c>
      <c r="C13792" t="s">
        <v>4945</v>
      </c>
      <c r="D13792" s="1" t="str">
        <f>"PRG-1041515"</f>
        <v>PRG-1041515</v>
      </c>
      <c r="E13792" t="s">
        <v>4946</v>
      </c>
      <c r="F13792" t="s">
        <v>5</v>
      </c>
      <c r="G13792" t="str">
        <f>""</f>
        <v/>
      </c>
    </row>
    <row r="13793" spans="1:7" x14ac:dyDescent="0.25">
      <c r="A13793" t="s">
        <v>8</v>
      </c>
      <c r="B13793" s="1" t="str">
        <f>"000366053 - RICH-DC KOBE"</f>
        <v>000366053 - RICH-DC KOBE</v>
      </c>
      <c r="C13793" t="s">
        <v>2852</v>
      </c>
      <c r="D13793" s="1" t="str">
        <f>"PRG-1041527"</f>
        <v>PRG-1041527</v>
      </c>
      <c r="E13793" t="s">
        <v>2853</v>
      </c>
      <c r="F13793" t="s">
        <v>4</v>
      </c>
      <c r="G13793" t="str">
        <f>""</f>
        <v/>
      </c>
    </row>
    <row r="13794" spans="1:7" x14ac:dyDescent="0.25">
      <c r="A13794" t="s">
        <v>8</v>
      </c>
      <c r="B13794" s="1" t="str">
        <f>"000410092 - RICH KOBE (DC)"</f>
        <v>000410092 - RICH KOBE (DC)</v>
      </c>
      <c r="C13794" t="s">
        <v>3729</v>
      </c>
      <c r="D13794" s="1" t="str">
        <f>"PRG-1041527"</f>
        <v>PRG-1041527</v>
      </c>
      <c r="E13794" t="s">
        <v>2853</v>
      </c>
      <c r="F13794" t="s">
        <v>4</v>
      </c>
      <c r="G13794" t="str">
        <f>""</f>
        <v/>
      </c>
    </row>
    <row r="13795" spans="1:7" x14ac:dyDescent="0.25">
      <c r="A13795" t="s">
        <v>8</v>
      </c>
      <c r="B13795" s="1" t="str">
        <f>"366053 - RICH-DC KOBE"</f>
        <v>366053 - RICH-DC KOBE</v>
      </c>
      <c r="C13795" t="s">
        <v>2852</v>
      </c>
      <c r="D13795" s="1" t="str">
        <f>"PRG-1041527"</f>
        <v>PRG-1041527</v>
      </c>
      <c r="E13795" t="s">
        <v>2853</v>
      </c>
      <c r="F13795" t="s">
        <v>4</v>
      </c>
      <c r="G13795" t="str">
        <f>""</f>
        <v/>
      </c>
    </row>
    <row r="13796" spans="1:7" x14ac:dyDescent="0.25">
      <c r="A13796" t="s">
        <v>8</v>
      </c>
      <c r="B13796" s="1" t="str">
        <f>"000364838 - RICH UCSD"</f>
        <v>000364838 - RICH UCSD</v>
      </c>
      <c r="C13796" t="s">
        <v>3603</v>
      </c>
      <c r="D13796" s="1" t="str">
        <f>"PRG-1041528"</f>
        <v>PRG-1041528</v>
      </c>
      <c r="E13796" t="s">
        <v>3604</v>
      </c>
      <c r="F13796" t="s">
        <v>4</v>
      </c>
      <c r="G13796" t="str">
        <f>""</f>
        <v/>
      </c>
    </row>
    <row r="13797" spans="1:7" x14ac:dyDescent="0.25">
      <c r="A13797" t="s">
        <v>8</v>
      </c>
      <c r="B13797" s="1" t="str">
        <f>"000277475 - RICH-STEVO'S"</f>
        <v>000277475 - RICH-STEVO'S</v>
      </c>
      <c r="C13797" t="s">
        <v>2598</v>
      </c>
      <c r="D13797" s="1" t="str">
        <f>"PRG-1041533"</f>
        <v>PRG-1041533</v>
      </c>
      <c r="E13797" t="s">
        <v>2599</v>
      </c>
      <c r="F13797" t="s">
        <v>4</v>
      </c>
      <c r="G13797" t="str">
        <f>""</f>
        <v/>
      </c>
    </row>
    <row r="13798" spans="1:7" x14ac:dyDescent="0.25">
      <c r="A13798" t="s">
        <v>8</v>
      </c>
      <c r="B13798" s="1" t="str">
        <f>"32307466"</f>
        <v>32307466</v>
      </c>
      <c r="C13798" t="s">
        <v>4883</v>
      </c>
      <c r="D13798" s="1" t="str">
        <f>"PRG-1041537"</f>
        <v>PRG-1041537</v>
      </c>
      <c r="E13798" t="s">
        <v>4884</v>
      </c>
      <c r="F13798" t="s">
        <v>5</v>
      </c>
      <c r="G13798" t="str">
        <f>""</f>
        <v/>
      </c>
    </row>
    <row r="13799" spans="1:7" x14ac:dyDescent="0.25">
      <c r="A13799" t="s">
        <v>8</v>
      </c>
      <c r="B13799" s="1" t="str">
        <f>"S9D000K0"</f>
        <v>S9D000K0</v>
      </c>
      <c r="C13799" t="s">
        <v>6320</v>
      </c>
      <c r="D13799" s="1" t="str">
        <f>"PRG-1041552"</f>
        <v>PRG-1041552</v>
      </c>
      <c r="E13799" t="s">
        <v>6321</v>
      </c>
      <c r="F13799" t="s">
        <v>5</v>
      </c>
      <c r="G13799" t="str">
        <f>""</f>
        <v/>
      </c>
    </row>
    <row r="13800" spans="1:7" x14ac:dyDescent="0.25">
      <c r="A13800" t="s">
        <v>8</v>
      </c>
      <c r="B13800" s="1" t="str">
        <f>"000269821 - RICHS ROC OFF INV"</f>
        <v>000269821 - RICHS ROC OFF INV</v>
      </c>
      <c r="C13800" t="s">
        <v>1932</v>
      </c>
      <c r="D13800" s="1" t="str">
        <f>"PRG-1041556"</f>
        <v>PRG-1041556</v>
      </c>
      <c r="E13800" t="s">
        <v>2459</v>
      </c>
      <c r="F13800" t="s">
        <v>4</v>
      </c>
      <c r="G13800" t="str">
        <f>""</f>
        <v/>
      </c>
    </row>
    <row r="13801" spans="1:7" x14ac:dyDescent="0.25">
      <c r="A13801" t="s">
        <v>8</v>
      </c>
      <c r="B13801" s="1" t="str">
        <f>"000359578 - RICH CIRCLE M BP"</f>
        <v>000359578 - RICH CIRCLE M BP</v>
      </c>
      <c r="C13801" t="s">
        <v>3578</v>
      </c>
      <c r="D13801" s="1" t="str">
        <f>"PRG-1041559"</f>
        <v>PRG-1041559</v>
      </c>
      <c r="E13801" t="s">
        <v>2103</v>
      </c>
      <c r="F13801" t="s">
        <v>4</v>
      </c>
      <c r="G13801" t="str">
        <f>""</f>
        <v/>
      </c>
    </row>
    <row r="13802" spans="1:7" x14ac:dyDescent="0.25">
      <c r="A13802" t="s">
        <v>8</v>
      </c>
      <c r="B13802" s="1" t="str">
        <f>"000014005 - RICH'S M RESORT"</f>
        <v>000014005 - RICH'S M RESORT</v>
      </c>
      <c r="C13802" t="s">
        <v>351</v>
      </c>
      <c r="D13802" s="1" t="str">
        <f>"PRG-1041561"</f>
        <v>PRG-1041561</v>
      </c>
      <c r="E13802" t="s">
        <v>352</v>
      </c>
      <c r="F13802" t="s">
        <v>4</v>
      </c>
      <c r="G13802" t="str">
        <f>""</f>
        <v/>
      </c>
    </row>
    <row r="13803" spans="1:7" x14ac:dyDescent="0.25">
      <c r="A13803" t="s">
        <v>8</v>
      </c>
      <c r="B13803" s="1" t="str">
        <f>"4100G696"</f>
        <v>4100G696</v>
      </c>
      <c r="C13803" t="s">
        <v>4947</v>
      </c>
      <c r="D13803" s="1" t="str">
        <f>"PRG-1041563"</f>
        <v>PRG-1041563</v>
      </c>
      <c r="E13803" t="s">
        <v>4039</v>
      </c>
      <c r="F13803" t="s">
        <v>5</v>
      </c>
      <c r="G13803" t="str">
        <f>""</f>
        <v/>
      </c>
    </row>
    <row r="13804" spans="1:7" x14ac:dyDescent="0.25">
      <c r="A13804" t="s">
        <v>8</v>
      </c>
      <c r="B13804" s="1" t="str">
        <f>"4100G730"</f>
        <v>4100G730</v>
      </c>
      <c r="C13804" t="s">
        <v>4952</v>
      </c>
      <c r="D13804" s="1" t="str">
        <f>"PRG-1041564"</f>
        <v>PRG-1041564</v>
      </c>
      <c r="E13804" t="s">
        <v>4953</v>
      </c>
      <c r="F13804" t="s">
        <v>5</v>
      </c>
      <c r="G13804" t="str">
        <f>""</f>
        <v/>
      </c>
    </row>
    <row r="13805" spans="1:7" x14ac:dyDescent="0.25">
      <c r="A13805" t="s">
        <v>8</v>
      </c>
      <c r="B13805" s="1" t="str">
        <f>"S9D000Q0"</f>
        <v>S9D000Q0</v>
      </c>
      <c r="C13805" t="s">
        <v>6324</v>
      </c>
      <c r="D13805" s="1" t="str">
        <f>"PRG-1041565"</f>
        <v>PRG-1041565</v>
      </c>
      <c r="E13805" t="s">
        <v>6325</v>
      </c>
      <c r="F13805" t="s">
        <v>5</v>
      </c>
      <c r="G13805" t="str">
        <f>""</f>
        <v/>
      </c>
    </row>
    <row r="13806" spans="1:7" x14ac:dyDescent="0.25">
      <c r="A13806" t="s">
        <v>8</v>
      </c>
      <c r="B13806" s="1" t="str">
        <f>"000331392 - RICH PRODUCTS-PARX"</f>
        <v>000331392 - RICH PRODUCTS-PARX</v>
      </c>
      <c r="C13806" t="s">
        <v>3345</v>
      </c>
      <c r="D13806" s="1" t="str">
        <f>"PRG-1041577"</f>
        <v>PRG-1041577</v>
      </c>
      <c r="E13806" t="s">
        <v>1621</v>
      </c>
      <c r="F13806" t="s">
        <v>4</v>
      </c>
      <c r="G13806" t="str">
        <f>""</f>
        <v/>
      </c>
    </row>
    <row r="13807" spans="1:7" x14ac:dyDescent="0.25">
      <c r="A13807" t="s">
        <v>8</v>
      </c>
      <c r="B13807" s="1" t="str">
        <f>"S4V00UC0"</f>
        <v>S4V00UC0</v>
      </c>
      <c r="C13807" t="s">
        <v>5785</v>
      </c>
      <c r="D13807" s="1" t="str">
        <f>"PRG-1041577"</f>
        <v>PRG-1041577</v>
      </c>
      <c r="E13807" t="s">
        <v>1621</v>
      </c>
      <c r="F13807" t="s">
        <v>5</v>
      </c>
      <c r="G13807" t="str">
        <f>""</f>
        <v/>
      </c>
    </row>
    <row r="13808" spans="1:7" x14ac:dyDescent="0.25">
      <c r="A13808" t="s">
        <v>8</v>
      </c>
      <c r="B13808" s="1" t="str">
        <f>"S6G00100"</f>
        <v>S6G00100</v>
      </c>
      <c r="C13808" t="s">
        <v>6061</v>
      </c>
      <c r="D13808" s="1" t="str">
        <f>"PRG-1041580"</f>
        <v>PRG-1041580</v>
      </c>
      <c r="E13808" t="s">
        <v>6062</v>
      </c>
      <c r="F13808" t="s">
        <v>5</v>
      </c>
      <c r="G13808" t="str">
        <f>""</f>
        <v/>
      </c>
    </row>
    <row r="13809" spans="1:7" x14ac:dyDescent="0.25">
      <c r="A13809" t="s">
        <v>8</v>
      </c>
      <c r="B13809" s="1" t="str">
        <f>"S6G000Z0"</f>
        <v>S6G000Z0</v>
      </c>
      <c r="C13809" t="s">
        <v>6059</v>
      </c>
      <c r="D13809" s="1" t="str">
        <f>"PRG-1041581"</f>
        <v>PRG-1041581</v>
      </c>
      <c r="E13809" t="s">
        <v>6060</v>
      </c>
      <c r="F13809" t="s">
        <v>5</v>
      </c>
      <c r="G13809" t="str">
        <f>""</f>
        <v/>
      </c>
    </row>
    <row r="13810" spans="1:7" x14ac:dyDescent="0.25">
      <c r="A13810" t="s">
        <v>8</v>
      </c>
      <c r="B13810" s="1" t="str">
        <f>"000311581 - RICH-NATURES FOOD PATCH"</f>
        <v>000311581 - RICH-NATURES FOOD PATCH</v>
      </c>
      <c r="C13810" t="s">
        <v>2871</v>
      </c>
      <c r="D13810" s="1" t="str">
        <f>"PRG-1041582"</f>
        <v>PRG-1041582</v>
      </c>
      <c r="E13810" t="s">
        <v>2196</v>
      </c>
      <c r="F13810" t="s">
        <v>4</v>
      </c>
      <c r="G13810" t="str">
        <f>""</f>
        <v/>
      </c>
    </row>
    <row r="13811" spans="1:7" x14ac:dyDescent="0.25">
      <c r="A13811" t="s">
        <v>8</v>
      </c>
      <c r="B13811" s="1" t="str">
        <f>"S6B004P0"</f>
        <v>S6B004P0</v>
      </c>
      <c r="C13811" t="s">
        <v>5985</v>
      </c>
      <c r="D13811" s="1" t="str">
        <f>"PRG-1041589"</f>
        <v>PRG-1041589</v>
      </c>
      <c r="E13811" t="s">
        <v>5985</v>
      </c>
      <c r="F13811" t="s">
        <v>5</v>
      </c>
      <c r="G13811" t="str">
        <f>""</f>
        <v/>
      </c>
    </row>
    <row r="13812" spans="1:7" x14ac:dyDescent="0.25">
      <c r="A13812" t="s">
        <v>8</v>
      </c>
      <c r="B13812" s="1" t="str">
        <f>"000315926 - RICH HENRY DOORLY ZOO"</f>
        <v>000315926 - RICH HENRY DOORLY ZOO</v>
      </c>
      <c r="C13812" t="s">
        <v>3177</v>
      </c>
      <c r="D13812" s="1" t="str">
        <f>"PRG-1041591"</f>
        <v>PRG-1041591</v>
      </c>
      <c r="E13812" t="s">
        <v>3178</v>
      </c>
      <c r="F13812" t="s">
        <v>4</v>
      </c>
      <c r="G13812" t="str">
        <f>""</f>
        <v/>
      </c>
    </row>
    <row r="13813" spans="1:7" x14ac:dyDescent="0.25">
      <c r="A13813" t="s">
        <v>8</v>
      </c>
      <c r="B13813" s="1" t="str">
        <f>"000266584 - RICH FOODS-RTPT 4 RIVERS"</f>
        <v>000266584 - RICH FOODS-RTPT 4 RIVERS</v>
      </c>
      <c r="C13813" t="s">
        <v>2410</v>
      </c>
      <c r="D13813" s="1" t="str">
        <f>"PRG-1041599"</f>
        <v>PRG-1041599</v>
      </c>
      <c r="E13813" t="s">
        <v>1515</v>
      </c>
      <c r="F13813" t="s">
        <v>4</v>
      </c>
      <c r="G13813" t="str">
        <f>""</f>
        <v/>
      </c>
    </row>
    <row r="13814" spans="1:7" x14ac:dyDescent="0.25">
      <c r="A13814" t="s">
        <v>8</v>
      </c>
      <c r="B13814" s="1" t="str">
        <f>"000338044 - "</f>
        <v xml:space="preserve">000338044 - </v>
      </c>
      <c r="D13814" s="1" t="str">
        <f>"PRG-1041599"</f>
        <v>PRG-1041599</v>
      </c>
      <c r="E13814" t="s">
        <v>1515</v>
      </c>
      <c r="F13814" t="s">
        <v>4</v>
      </c>
      <c r="G13814" t="str">
        <f>""</f>
        <v/>
      </c>
    </row>
    <row r="13815" spans="1:7" x14ac:dyDescent="0.25">
      <c r="A13815" t="s">
        <v>8</v>
      </c>
      <c r="B13815" s="1" t="str">
        <f>"000372922 - RICH FOODS-RTPT 4 RIVERS"</f>
        <v>000372922 - RICH FOODS-RTPT 4 RIVERS</v>
      </c>
      <c r="C13815" t="s">
        <v>2410</v>
      </c>
      <c r="D13815" s="1" t="str">
        <f>"PRG-1041599"</f>
        <v>PRG-1041599</v>
      </c>
      <c r="E13815" t="s">
        <v>1515</v>
      </c>
      <c r="F13815" t="s">
        <v>4</v>
      </c>
      <c r="G13815" t="str">
        <f>""</f>
        <v/>
      </c>
    </row>
    <row r="13816" spans="1:7" x14ac:dyDescent="0.25">
      <c r="A13816" t="s">
        <v>8</v>
      </c>
      <c r="B13816" s="1" t="str">
        <f>"000040140 - RICH FOODS-BOWLMOR"</f>
        <v>000040140 - RICH FOODS-BOWLMOR</v>
      </c>
      <c r="C13816" t="s">
        <v>577</v>
      </c>
      <c r="D13816" s="1" t="str">
        <f t="shared" ref="D13816:D13847" si="378">"PRG-1041603"</f>
        <v>PRG-1041603</v>
      </c>
      <c r="E13816" t="s">
        <v>499</v>
      </c>
      <c r="F13816" t="s">
        <v>4</v>
      </c>
      <c r="G13816" t="str">
        <f>""</f>
        <v/>
      </c>
    </row>
    <row r="13817" spans="1:7" x14ac:dyDescent="0.25">
      <c r="A13817" t="s">
        <v>8</v>
      </c>
      <c r="B13817" s="1" t="str">
        <f>"000046803 - RICH FOODS-BOWLMOR"</f>
        <v>000046803 - RICH FOODS-BOWLMOR</v>
      </c>
      <c r="C13817" t="s">
        <v>577</v>
      </c>
      <c r="D13817" s="1" t="str">
        <f t="shared" si="378"/>
        <v>PRG-1041603</v>
      </c>
      <c r="E13817" t="s">
        <v>499</v>
      </c>
      <c r="F13817" t="s">
        <v>4</v>
      </c>
      <c r="G13817" t="str">
        <f>""</f>
        <v/>
      </c>
    </row>
    <row r="13818" spans="1:7" x14ac:dyDescent="0.25">
      <c r="A13818" t="s">
        <v>8</v>
      </c>
      <c r="B13818" s="1" t="str">
        <f>"000050155 - RICH FOODS-BOWLMOR"</f>
        <v>000050155 - RICH FOODS-BOWLMOR</v>
      </c>
      <c r="C13818" t="s">
        <v>577</v>
      </c>
      <c r="D13818" s="1" t="str">
        <f t="shared" si="378"/>
        <v>PRG-1041603</v>
      </c>
      <c r="E13818" t="s">
        <v>499</v>
      </c>
      <c r="F13818" t="s">
        <v>4</v>
      </c>
      <c r="G13818" t="str">
        <f>""</f>
        <v/>
      </c>
    </row>
    <row r="13819" spans="1:7" x14ac:dyDescent="0.25">
      <c r="A13819" t="s">
        <v>8</v>
      </c>
      <c r="B13819" s="1" t="str">
        <f>"000058453 - RICH FOODS-BOWLMOR"</f>
        <v>000058453 - RICH FOODS-BOWLMOR</v>
      </c>
      <c r="C13819" t="s">
        <v>577</v>
      </c>
      <c r="D13819" s="1" t="str">
        <f t="shared" si="378"/>
        <v>PRG-1041603</v>
      </c>
      <c r="E13819" t="s">
        <v>499</v>
      </c>
      <c r="F13819" t="s">
        <v>4</v>
      </c>
      <c r="G13819" t="str">
        <f>""</f>
        <v/>
      </c>
    </row>
    <row r="13820" spans="1:7" x14ac:dyDescent="0.25">
      <c r="A13820" t="s">
        <v>8</v>
      </c>
      <c r="B13820" s="1" t="str">
        <f>"000079895 - RICH FOODS-BOWLMOR"</f>
        <v>000079895 - RICH FOODS-BOWLMOR</v>
      </c>
      <c r="C13820" t="s">
        <v>577</v>
      </c>
      <c r="D13820" s="1" t="str">
        <f t="shared" si="378"/>
        <v>PRG-1041603</v>
      </c>
      <c r="E13820" t="s">
        <v>499</v>
      </c>
      <c r="F13820" t="s">
        <v>4</v>
      </c>
      <c r="G13820" t="str">
        <f>""</f>
        <v/>
      </c>
    </row>
    <row r="13821" spans="1:7" x14ac:dyDescent="0.25">
      <c r="A13821" t="s">
        <v>8</v>
      </c>
      <c r="B13821" s="1" t="str">
        <f>"000086763 - RICH FOODS-BOWLMOR"</f>
        <v>000086763 - RICH FOODS-BOWLMOR</v>
      </c>
      <c r="C13821" t="s">
        <v>577</v>
      </c>
      <c r="D13821" s="1" t="str">
        <f t="shared" si="378"/>
        <v>PRG-1041603</v>
      </c>
      <c r="E13821" t="s">
        <v>499</v>
      </c>
      <c r="F13821" t="s">
        <v>4</v>
      </c>
      <c r="G13821" t="str">
        <f>""</f>
        <v/>
      </c>
    </row>
    <row r="13822" spans="1:7" x14ac:dyDescent="0.25">
      <c r="A13822" t="s">
        <v>8</v>
      </c>
      <c r="B13822" s="1" t="str">
        <f>"000093732 - RICH FOODS-BOWLMOR"</f>
        <v>000093732 - RICH FOODS-BOWLMOR</v>
      </c>
      <c r="C13822" t="s">
        <v>577</v>
      </c>
      <c r="D13822" s="1" t="str">
        <f t="shared" si="378"/>
        <v>PRG-1041603</v>
      </c>
      <c r="E13822" t="s">
        <v>499</v>
      </c>
      <c r="F13822" t="s">
        <v>4</v>
      </c>
      <c r="G13822" t="str">
        <f>""</f>
        <v/>
      </c>
    </row>
    <row r="13823" spans="1:7" x14ac:dyDescent="0.25">
      <c r="A13823" t="s">
        <v>8</v>
      </c>
      <c r="B13823" s="1" t="str">
        <f>"000103595 - RICH FOODS-BOWLMOR"</f>
        <v>000103595 - RICH FOODS-BOWLMOR</v>
      </c>
      <c r="C13823" t="s">
        <v>577</v>
      </c>
      <c r="D13823" s="1" t="str">
        <f t="shared" si="378"/>
        <v>PRG-1041603</v>
      </c>
      <c r="E13823" t="s">
        <v>499</v>
      </c>
      <c r="F13823" t="s">
        <v>4</v>
      </c>
      <c r="G13823" t="str">
        <f>""</f>
        <v/>
      </c>
    </row>
    <row r="13824" spans="1:7" x14ac:dyDescent="0.25">
      <c r="A13824" t="s">
        <v>8</v>
      </c>
      <c r="B13824" s="1" t="str">
        <f>"000111149 - RICH FOODS-BOWLMOR"</f>
        <v>000111149 - RICH FOODS-BOWLMOR</v>
      </c>
      <c r="C13824" t="s">
        <v>577</v>
      </c>
      <c r="D13824" s="1" t="str">
        <f t="shared" si="378"/>
        <v>PRG-1041603</v>
      </c>
      <c r="E13824" t="s">
        <v>499</v>
      </c>
      <c r="F13824" t="s">
        <v>4</v>
      </c>
      <c r="G13824" t="str">
        <f>""</f>
        <v/>
      </c>
    </row>
    <row r="13825" spans="1:7" x14ac:dyDescent="0.25">
      <c r="A13825" t="s">
        <v>8</v>
      </c>
      <c r="B13825" s="1" t="str">
        <f>"000256654 - RICH FOODS-BOWLMOR"</f>
        <v>000256654 - RICH FOODS-BOWLMOR</v>
      </c>
      <c r="C13825" t="s">
        <v>577</v>
      </c>
      <c r="D13825" s="1" t="str">
        <f t="shared" si="378"/>
        <v>PRG-1041603</v>
      </c>
      <c r="E13825" t="s">
        <v>499</v>
      </c>
      <c r="F13825" t="s">
        <v>4</v>
      </c>
      <c r="G13825" t="str">
        <f>""</f>
        <v/>
      </c>
    </row>
    <row r="13826" spans="1:7" x14ac:dyDescent="0.25">
      <c r="A13826" t="s">
        <v>8</v>
      </c>
      <c r="B13826" s="1" t="str">
        <f>"000264961 - RICH FOODS-BOWLMOR"</f>
        <v>000264961 - RICH FOODS-BOWLMOR</v>
      </c>
      <c r="C13826" t="s">
        <v>577</v>
      </c>
      <c r="D13826" s="1" t="str">
        <f t="shared" si="378"/>
        <v>PRG-1041603</v>
      </c>
      <c r="E13826" t="s">
        <v>499</v>
      </c>
      <c r="F13826" t="s">
        <v>4</v>
      </c>
      <c r="G13826" t="str">
        <f>""</f>
        <v/>
      </c>
    </row>
    <row r="13827" spans="1:7" x14ac:dyDescent="0.25">
      <c r="A13827" t="s">
        <v>8</v>
      </c>
      <c r="B13827" s="1" t="str">
        <f>"000267003 - RICH FOODS-BOWLMOR"</f>
        <v>000267003 - RICH FOODS-BOWLMOR</v>
      </c>
      <c r="C13827" t="s">
        <v>577</v>
      </c>
      <c r="D13827" s="1" t="str">
        <f t="shared" si="378"/>
        <v>PRG-1041603</v>
      </c>
      <c r="E13827" t="s">
        <v>499</v>
      </c>
      <c r="F13827" t="s">
        <v>4</v>
      </c>
      <c r="G13827" t="str">
        <f>""</f>
        <v/>
      </c>
    </row>
    <row r="13828" spans="1:7" x14ac:dyDescent="0.25">
      <c r="A13828" t="s">
        <v>8</v>
      </c>
      <c r="B13828" s="1" t="str">
        <f>"000267014 - RICH FOODS-BOWLMOR"</f>
        <v>000267014 - RICH FOODS-BOWLMOR</v>
      </c>
      <c r="C13828" t="s">
        <v>577</v>
      </c>
      <c r="D13828" s="1" t="str">
        <f t="shared" si="378"/>
        <v>PRG-1041603</v>
      </c>
      <c r="E13828" t="s">
        <v>499</v>
      </c>
      <c r="F13828" t="s">
        <v>4</v>
      </c>
      <c r="G13828" t="str">
        <f>""</f>
        <v/>
      </c>
    </row>
    <row r="13829" spans="1:7" x14ac:dyDescent="0.25">
      <c r="A13829" t="s">
        <v>8</v>
      </c>
      <c r="B13829" s="1" t="str">
        <f>"000271716 - RICH FOODS-BOWLMOR"</f>
        <v>000271716 - RICH FOODS-BOWLMOR</v>
      </c>
      <c r="C13829" t="s">
        <v>577</v>
      </c>
      <c r="D13829" s="1" t="str">
        <f t="shared" si="378"/>
        <v>PRG-1041603</v>
      </c>
      <c r="E13829" t="s">
        <v>499</v>
      </c>
      <c r="F13829" t="s">
        <v>4</v>
      </c>
      <c r="G13829" t="str">
        <f>""</f>
        <v/>
      </c>
    </row>
    <row r="13830" spans="1:7" x14ac:dyDescent="0.25">
      <c r="A13830" t="s">
        <v>8</v>
      </c>
      <c r="B13830" s="1" t="str">
        <f>"000274337 - RICH FOODS-BOWLMOR"</f>
        <v>000274337 - RICH FOODS-BOWLMOR</v>
      </c>
      <c r="C13830" t="s">
        <v>577</v>
      </c>
      <c r="D13830" s="1" t="str">
        <f t="shared" si="378"/>
        <v>PRG-1041603</v>
      </c>
      <c r="E13830" t="s">
        <v>499</v>
      </c>
      <c r="F13830" t="s">
        <v>4</v>
      </c>
      <c r="G13830" t="str">
        <f>""</f>
        <v/>
      </c>
    </row>
    <row r="13831" spans="1:7" x14ac:dyDescent="0.25">
      <c r="A13831" t="s">
        <v>8</v>
      </c>
      <c r="B13831" s="1" t="str">
        <f>"000274346 - RICH FOODS-BOWLMOR"</f>
        <v>000274346 - RICH FOODS-BOWLMOR</v>
      </c>
      <c r="C13831" t="s">
        <v>577</v>
      </c>
      <c r="D13831" s="1" t="str">
        <f t="shared" si="378"/>
        <v>PRG-1041603</v>
      </c>
      <c r="E13831" t="s">
        <v>499</v>
      </c>
      <c r="F13831" t="s">
        <v>4</v>
      </c>
      <c r="G13831" t="str">
        <f>""</f>
        <v/>
      </c>
    </row>
    <row r="13832" spans="1:7" x14ac:dyDescent="0.25">
      <c r="A13832" t="s">
        <v>8</v>
      </c>
      <c r="B13832" s="1" t="str">
        <f>"000274672 - RICH-BPAA (NATION BOWLING)"</f>
        <v>000274672 - RICH-BPAA (NATION BOWLING)</v>
      </c>
      <c r="C13832" t="s">
        <v>2546</v>
      </c>
      <c r="D13832" s="1" t="str">
        <f t="shared" si="378"/>
        <v>PRG-1041603</v>
      </c>
      <c r="E13832" t="s">
        <v>499</v>
      </c>
      <c r="F13832" t="s">
        <v>4</v>
      </c>
      <c r="G13832" t="str">
        <f>""</f>
        <v/>
      </c>
    </row>
    <row r="13833" spans="1:7" x14ac:dyDescent="0.25">
      <c r="A13833" t="s">
        <v>8</v>
      </c>
      <c r="B13833" s="1" t="str">
        <f>"000279267 - RICH FOODS-BOWLMOR"</f>
        <v>000279267 - RICH FOODS-BOWLMOR</v>
      </c>
      <c r="C13833" t="s">
        <v>577</v>
      </c>
      <c r="D13833" s="1" t="str">
        <f t="shared" si="378"/>
        <v>PRG-1041603</v>
      </c>
      <c r="E13833" t="s">
        <v>499</v>
      </c>
      <c r="F13833" t="s">
        <v>4</v>
      </c>
      <c r="G13833" t="str">
        <f>""</f>
        <v/>
      </c>
    </row>
    <row r="13834" spans="1:7" x14ac:dyDescent="0.25">
      <c r="A13834" t="s">
        <v>8</v>
      </c>
      <c r="B13834" s="1" t="str">
        <f>"000281200 - RICH FOODS-BOWLMOR"</f>
        <v>000281200 - RICH FOODS-BOWLMOR</v>
      </c>
      <c r="C13834" t="s">
        <v>577</v>
      </c>
      <c r="D13834" s="1" t="str">
        <f t="shared" si="378"/>
        <v>PRG-1041603</v>
      </c>
      <c r="E13834" t="s">
        <v>499</v>
      </c>
      <c r="F13834" t="s">
        <v>4</v>
      </c>
      <c r="G13834" t="str">
        <f>""</f>
        <v/>
      </c>
    </row>
    <row r="13835" spans="1:7" x14ac:dyDescent="0.25">
      <c r="A13835" t="s">
        <v>8</v>
      </c>
      <c r="B13835" s="1" t="str">
        <f>"000281403 - RICH FOODS-BOWLMOR"</f>
        <v>000281403 - RICH FOODS-BOWLMOR</v>
      </c>
      <c r="C13835" t="s">
        <v>577</v>
      </c>
      <c r="D13835" s="1" t="str">
        <f t="shared" si="378"/>
        <v>PRG-1041603</v>
      </c>
      <c r="E13835" t="s">
        <v>499</v>
      </c>
      <c r="F13835" t="s">
        <v>4</v>
      </c>
      <c r="G13835" t="str">
        <f>""</f>
        <v/>
      </c>
    </row>
    <row r="13836" spans="1:7" x14ac:dyDescent="0.25">
      <c r="A13836" t="s">
        <v>8</v>
      </c>
      <c r="B13836" s="1" t="str">
        <f>"000285760 - RICH FOODS-BOWLMOR"</f>
        <v>000285760 - RICH FOODS-BOWLMOR</v>
      </c>
      <c r="C13836" t="s">
        <v>577</v>
      </c>
      <c r="D13836" s="1" t="str">
        <f t="shared" si="378"/>
        <v>PRG-1041603</v>
      </c>
      <c r="E13836" t="s">
        <v>499</v>
      </c>
      <c r="F13836" t="s">
        <v>4</v>
      </c>
      <c r="G13836" t="str">
        <f>""</f>
        <v/>
      </c>
    </row>
    <row r="13837" spans="1:7" x14ac:dyDescent="0.25">
      <c r="A13837" t="s">
        <v>8</v>
      </c>
      <c r="B13837" s="1" t="str">
        <f>"000289841 - RICH FOODS-BOWLMOR"</f>
        <v>000289841 - RICH FOODS-BOWLMOR</v>
      </c>
      <c r="C13837" t="s">
        <v>577</v>
      </c>
      <c r="D13837" s="1" t="str">
        <f t="shared" si="378"/>
        <v>PRG-1041603</v>
      </c>
      <c r="E13837" t="s">
        <v>499</v>
      </c>
      <c r="F13837" t="s">
        <v>4</v>
      </c>
      <c r="G13837" t="str">
        <f>""</f>
        <v/>
      </c>
    </row>
    <row r="13838" spans="1:7" x14ac:dyDescent="0.25">
      <c r="A13838" t="s">
        <v>8</v>
      </c>
      <c r="B13838" s="1" t="str">
        <f>"000293320 - RICH FOODS-BOWLMOR"</f>
        <v>000293320 - RICH FOODS-BOWLMOR</v>
      </c>
      <c r="C13838" t="s">
        <v>577</v>
      </c>
      <c r="D13838" s="1" t="str">
        <f t="shared" si="378"/>
        <v>PRG-1041603</v>
      </c>
      <c r="E13838" t="s">
        <v>499</v>
      </c>
      <c r="F13838" t="s">
        <v>4</v>
      </c>
      <c r="G13838" t="str">
        <f>""</f>
        <v/>
      </c>
    </row>
    <row r="13839" spans="1:7" x14ac:dyDescent="0.25">
      <c r="A13839" t="s">
        <v>8</v>
      </c>
      <c r="B13839" s="1" t="str">
        <f>"000295227 - RICH FOODS-BOWLMOR"</f>
        <v>000295227 - RICH FOODS-BOWLMOR</v>
      </c>
      <c r="C13839" t="s">
        <v>577</v>
      </c>
      <c r="D13839" s="1" t="str">
        <f t="shared" si="378"/>
        <v>PRG-1041603</v>
      </c>
      <c r="E13839" t="s">
        <v>499</v>
      </c>
      <c r="F13839" t="s">
        <v>4</v>
      </c>
      <c r="G13839" t="str">
        <f>""</f>
        <v/>
      </c>
    </row>
    <row r="13840" spans="1:7" x14ac:dyDescent="0.25">
      <c r="A13840" t="s">
        <v>8</v>
      </c>
      <c r="B13840" s="1" t="str">
        <f>"000296834 - RICH FOODS-BOWLMOR"</f>
        <v>000296834 - RICH FOODS-BOWLMOR</v>
      </c>
      <c r="C13840" t="s">
        <v>577</v>
      </c>
      <c r="D13840" s="1" t="str">
        <f t="shared" si="378"/>
        <v>PRG-1041603</v>
      </c>
      <c r="E13840" t="s">
        <v>499</v>
      </c>
      <c r="F13840" t="s">
        <v>4</v>
      </c>
      <c r="G13840" t="str">
        <f>""</f>
        <v/>
      </c>
    </row>
    <row r="13841" spans="1:7" x14ac:dyDescent="0.25">
      <c r="A13841" t="s">
        <v>8</v>
      </c>
      <c r="B13841" s="1" t="str">
        <f>"000299089 - RICH FOODS-BOWLMOR"</f>
        <v>000299089 - RICH FOODS-BOWLMOR</v>
      </c>
      <c r="C13841" t="s">
        <v>577</v>
      </c>
      <c r="D13841" s="1" t="str">
        <f t="shared" si="378"/>
        <v>PRG-1041603</v>
      </c>
      <c r="E13841" t="s">
        <v>499</v>
      </c>
      <c r="F13841" t="s">
        <v>4</v>
      </c>
      <c r="G13841" t="str">
        <f>""</f>
        <v/>
      </c>
    </row>
    <row r="13842" spans="1:7" x14ac:dyDescent="0.25">
      <c r="A13842" t="s">
        <v>8</v>
      </c>
      <c r="B13842" s="1" t="str">
        <f>"000299737 - RICH FOODS-BOWLMOR"</f>
        <v>000299737 - RICH FOODS-BOWLMOR</v>
      </c>
      <c r="C13842" t="s">
        <v>577</v>
      </c>
      <c r="D13842" s="1" t="str">
        <f t="shared" si="378"/>
        <v>PRG-1041603</v>
      </c>
      <c r="E13842" t="s">
        <v>499</v>
      </c>
      <c r="F13842" t="s">
        <v>4</v>
      </c>
      <c r="G13842" t="str">
        <f>""</f>
        <v/>
      </c>
    </row>
    <row r="13843" spans="1:7" x14ac:dyDescent="0.25">
      <c r="A13843" t="s">
        <v>8</v>
      </c>
      <c r="B13843" s="1" t="str">
        <f>"000301749 - RICH FOODS-BOWLMOR"</f>
        <v>000301749 - RICH FOODS-BOWLMOR</v>
      </c>
      <c r="C13843" t="s">
        <v>577</v>
      </c>
      <c r="D13843" s="1" t="str">
        <f t="shared" si="378"/>
        <v>PRG-1041603</v>
      </c>
      <c r="E13843" t="s">
        <v>499</v>
      </c>
      <c r="F13843" t="s">
        <v>4</v>
      </c>
      <c r="G13843" t="str">
        <f>""</f>
        <v/>
      </c>
    </row>
    <row r="13844" spans="1:7" x14ac:dyDescent="0.25">
      <c r="A13844" t="s">
        <v>8</v>
      </c>
      <c r="B13844" s="1" t="str">
        <f>"000303587 - RICH FOODS-BOWLMOR"</f>
        <v>000303587 - RICH FOODS-BOWLMOR</v>
      </c>
      <c r="C13844" t="s">
        <v>577</v>
      </c>
      <c r="D13844" s="1" t="str">
        <f t="shared" si="378"/>
        <v>PRG-1041603</v>
      </c>
      <c r="E13844" t="s">
        <v>499</v>
      </c>
      <c r="F13844" t="s">
        <v>4</v>
      </c>
      <c r="G13844" t="str">
        <f>""</f>
        <v/>
      </c>
    </row>
    <row r="13845" spans="1:7" x14ac:dyDescent="0.25">
      <c r="A13845" t="s">
        <v>8</v>
      </c>
      <c r="B13845" s="1" t="str">
        <f>"000306338 - RICH FOODS-BOWLMOR"</f>
        <v>000306338 - RICH FOODS-BOWLMOR</v>
      </c>
      <c r="C13845" t="s">
        <v>577</v>
      </c>
      <c r="D13845" s="1" t="str">
        <f t="shared" si="378"/>
        <v>PRG-1041603</v>
      </c>
      <c r="E13845" t="s">
        <v>499</v>
      </c>
      <c r="F13845" t="s">
        <v>4</v>
      </c>
      <c r="G13845" t="str">
        <f>""</f>
        <v/>
      </c>
    </row>
    <row r="13846" spans="1:7" x14ac:dyDescent="0.25">
      <c r="A13846" t="s">
        <v>8</v>
      </c>
      <c r="B13846" s="1" t="str">
        <f>"000306887 - RICH FOODS-BOWLMOR"</f>
        <v>000306887 - RICH FOODS-BOWLMOR</v>
      </c>
      <c r="C13846" t="s">
        <v>577</v>
      </c>
      <c r="D13846" s="1" t="str">
        <f t="shared" si="378"/>
        <v>PRG-1041603</v>
      </c>
      <c r="E13846" t="s">
        <v>499</v>
      </c>
      <c r="F13846" t="s">
        <v>4</v>
      </c>
      <c r="G13846" t="str">
        <f>""</f>
        <v/>
      </c>
    </row>
    <row r="13847" spans="1:7" x14ac:dyDescent="0.25">
      <c r="A13847" t="s">
        <v>8</v>
      </c>
      <c r="B13847" s="1" t="str">
        <f>"000307755 - RICH FOODS-BOWLMOR"</f>
        <v>000307755 - RICH FOODS-BOWLMOR</v>
      </c>
      <c r="C13847" t="s">
        <v>577</v>
      </c>
      <c r="D13847" s="1" t="str">
        <f t="shared" si="378"/>
        <v>PRG-1041603</v>
      </c>
      <c r="E13847" t="s">
        <v>499</v>
      </c>
      <c r="F13847" t="s">
        <v>4</v>
      </c>
      <c r="G13847" t="str">
        <f>""</f>
        <v/>
      </c>
    </row>
    <row r="13848" spans="1:7" x14ac:dyDescent="0.25">
      <c r="A13848" t="s">
        <v>8</v>
      </c>
      <c r="B13848" s="1" t="str">
        <f>"000308059 - RICH FOODS-BOWLMOR"</f>
        <v>000308059 - RICH FOODS-BOWLMOR</v>
      </c>
      <c r="C13848" t="s">
        <v>577</v>
      </c>
      <c r="D13848" s="1" t="str">
        <f t="shared" ref="D13848:D13879" si="379">"PRG-1041603"</f>
        <v>PRG-1041603</v>
      </c>
      <c r="E13848" t="s">
        <v>499</v>
      </c>
      <c r="F13848" t="s">
        <v>4</v>
      </c>
      <c r="G13848" t="str">
        <f>""</f>
        <v/>
      </c>
    </row>
    <row r="13849" spans="1:7" x14ac:dyDescent="0.25">
      <c r="A13849" t="s">
        <v>8</v>
      </c>
      <c r="B13849" s="1" t="str">
        <f>"000310477 - RICH FOODS-BOWLMOR"</f>
        <v>000310477 - RICH FOODS-BOWLMOR</v>
      </c>
      <c r="C13849" t="s">
        <v>577</v>
      </c>
      <c r="D13849" s="1" t="str">
        <f t="shared" si="379"/>
        <v>PRG-1041603</v>
      </c>
      <c r="E13849" t="s">
        <v>499</v>
      </c>
      <c r="F13849" t="s">
        <v>4</v>
      </c>
      <c r="G13849" t="str">
        <f>""</f>
        <v/>
      </c>
    </row>
    <row r="13850" spans="1:7" x14ac:dyDescent="0.25">
      <c r="A13850" t="s">
        <v>8</v>
      </c>
      <c r="B13850" s="1" t="str">
        <f>"000311125 - RICH FOODS-BOWLMOR"</f>
        <v>000311125 - RICH FOODS-BOWLMOR</v>
      </c>
      <c r="C13850" t="s">
        <v>577</v>
      </c>
      <c r="D13850" s="1" t="str">
        <f t="shared" si="379"/>
        <v>PRG-1041603</v>
      </c>
      <c r="E13850" t="s">
        <v>499</v>
      </c>
      <c r="F13850" t="s">
        <v>4</v>
      </c>
      <c r="G13850" t="str">
        <f>""</f>
        <v/>
      </c>
    </row>
    <row r="13851" spans="1:7" x14ac:dyDescent="0.25">
      <c r="A13851" t="s">
        <v>8</v>
      </c>
      <c r="B13851" s="1" t="str">
        <f>"000311177 - RICH FOODS-BOWLMOR"</f>
        <v>000311177 - RICH FOODS-BOWLMOR</v>
      </c>
      <c r="C13851" t="s">
        <v>577</v>
      </c>
      <c r="D13851" s="1" t="str">
        <f t="shared" si="379"/>
        <v>PRG-1041603</v>
      </c>
      <c r="E13851" t="s">
        <v>499</v>
      </c>
      <c r="F13851" t="s">
        <v>4</v>
      </c>
      <c r="G13851" t="str">
        <f>""</f>
        <v/>
      </c>
    </row>
    <row r="13852" spans="1:7" x14ac:dyDescent="0.25">
      <c r="A13852" t="s">
        <v>8</v>
      </c>
      <c r="B13852" s="1" t="str">
        <f>"000313416 - RICH FOODS-BOWLMOR"</f>
        <v>000313416 - RICH FOODS-BOWLMOR</v>
      </c>
      <c r="C13852" t="s">
        <v>577</v>
      </c>
      <c r="D13852" s="1" t="str">
        <f t="shared" si="379"/>
        <v>PRG-1041603</v>
      </c>
      <c r="E13852" t="s">
        <v>499</v>
      </c>
      <c r="F13852" t="s">
        <v>4</v>
      </c>
      <c r="G13852" t="str">
        <f>""</f>
        <v/>
      </c>
    </row>
    <row r="13853" spans="1:7" x14ac:dyDescent="0.25">
      <c r="A13853" t="s">
        <v>8</v>
      </c>
      <c r="B13853" s="1" t="str">
        <f>"000315165 - RICH FOODS-BOWLMOR"</f>
        <v>000315165 - RICH FOODS-BOWLMOR</v>
      </c>
      <c r="C13853" t="s">
        <v>577</v>
      </c>
      <c r="D13853" s="1" t="str">
        <f t="shared" si="379"/>
        <v>PRG-1041603</v>
      </c>
      <c r="E13853" t="s">
        <v>499</v>
      </c>
      <c r="F13853" t="s">
        <v>4</v>
      </c>
      <c r="G13853" t="str">
        <f>""</f>
        <v/>
      </c>
    </row>
    <row r="13854" spans="1:7" x14ac:dyDescent="0.25">
      <c r="A13854" t="s">
        <v>8</v>
      </c>
      <c r="B13854" s="1" t="str">
        <f>"000315444 - RICH FOODS-BOWLMOR"</f>
        <v>000315444 - RICH FOODS-BOWLMOR</v>
      </c>
      <c r="C13854" t="s">
        <v>577</v>
      </c>
      <c r="D13854" s="1" t="str">
        <f t="shared" si="379"/>
        <v>PRG-1041603</v>
      </c>
      <c r="E13854" t="s">
        <v>499</v>
      </c>
      <c r="F13854" t="s">
        <v>4</v>
      </c>
      <c r="G13854" t="str">
        <f>""</f>
        <v/>
      </c>
    </row>
    <row r="13855" spans="1:7" x14ac:dyDescent="0.25">
      <c r="A13855" t="s">
        <v>8</v>
      </c>
      <c r="B13855" s="1" t="str">
        <f>"000317230 - RICH FOODS-BOWLMOR"</f>
        <v>000317230 - RICH FOODS-BOWLMOR</v>
      </c>
      <c r="C13855" t="s">
        <v>577</v>
      </c>
      <c r="D13855" s="1" t="str">
        <f t="shared" si="379"/>
        <v>PRG-1041603</v>
      </c>
      <c r="E13855" t="s">
        <v>499</v>
      </c>
      <c r="F13855" t="s">
        <v>4</v>
      </c>
      <c r="G13855" t="str">
        <f>""</f>
        <v/>
      </c>
    </row>
    <row r="13856" spans="1:7" x14ac:dyDescent="0.25">
      <c r="A13856" t="s">
        <v>8</v>
      </c>
      <c r="B13856" s="1" t="str">
        <f>"000319613 - RICH FOODS-BOWLMOR"</f>
        <v>000319613 - RICH FOODS-BOWLMOR</v>
      </c>
      <c r="C13856" t="s">
        <v>577</v>
      </c>
      <c r="D13856" s="1" t="str">
        <f t="shared" si="379"/>
        <v>PRG-1041603</v>
      </c>
      <c r="E13856" t="s">
        <v>499</v>
      </c>
      <c r="F13856" t="s">
        <v>4</v>
      </c>
      <c r="G13856" t="str">
        <f>""</f>
        <v/>
      </c>
    </row>
    <row r="13857" spans="1:7" x14ac:dyDescent="0.25">
      <c r="A13857" t="s">
        <v>8</v>
      </c>
      <c r="B13857" s="1" t="str">
        <f>"000319899 - RICH FOODS-BOWLMOR"</f>
        <v>000319899 - RICH FOODS-BOWLMOR</v>
      </c>
      <c r="C13857" t="s">
        <v>577</v>
      </c>
      <c r="D13857" s="1" t="str">
        <f t="shared" si="379"/>
        <v>PRG-1041603</v>
      </c>
      <c r="E13857" t="s">
        <v>499</v>
      </c>
      <c r="F13857" t="s">
        <v>4</v>
      </c>
      <c r="G13857" t="str">
        <f>""</f>
        <v/>
      </c>
    </row>
    <row r="13858" spans="1:7" x14ac:dyDescent="0.25">
      <c r="A13858" t="s">
        <v>8</v>
      </c>
      <c r="B13858" s="1" t="str">
        <f>"000327432 - RICH FOODS-BOWLMOR"</f>
        <v>000327432 - RICH FOODS-BOWLMOR</v>
      </c>
      <c r="C13858" t="s">
        <v>577</v>
      </c>
      <c r="D13858" s="1" t="str">
        <f t="shared" si="379"/>
        <v>PRG-1041603</v>
      </c>
      <c r="E13858" t="s">
        <v>499</v>
      </c>
      <c r="F13858" t="s">
        <v>4</v>
      </c>
      <c r="G13858" t="str">
        <f>""</f>
        <v/>
      </c>
    </row>
    <row r="13859" spans="1:7" x14ac:dyDescent="0.25">
      <c r="A13859" t="s">
        <v>8</v>
      </c>
      <c r="B13859" s="1" t="str">
        <f>"000329256 - RICH FOODS-BOWLMOR"</f>
        <v>000329256 - RICH FOODS-BOWLMOR</v>
      </c>
      <c r="C13859" t="s">
        <v>577</v>
      </c>
      <c r="D13859" s="1" t="str">
        <f t="shared" si="379"/>
        <v>PRG-1041603</v>
      </c>
      <c r="E13859" t="s">
        <v>499</v>
      </c>
      <c r="F13859" t="s">
        <v>4</v>
      </c>
      <c r="G13859" t="str">
        <f>""</f>
        <v/>
      </c>
    </row>
    <row r="13860" spans="1:7" x14ac:dyDescent="0.25">
      <c r="A13860" t="s">
        <v>8</v>
      </c>
      <c r="B13860" s="1" t="str">
        <f>"000342650 - RICH FOODS-BOWLMOR"</f>
        <v>000342650 - RICH FOODS-BOWLMOR</v>
      </c>
      <c r="C13860" t="s">
        <v>577</v>
      </c>
      <c r="D13860" s="1" t="str">
        <f t="shared" si="379"/>
        <v>PRG-1041603</v>
      </c>
      <c r="E13860" t="s">
        <v>499</v>
      </c>
      <c r="F13860" t="s">
        <v>4</v>
      </c>
      <c r="G13860" t="str">
        <f>""</f>
        <v/>
      </c>
    </row>
    <row r="13861" spans="1:7" x14ac:dyDescent="0.25">
      <c r="A13861" t="s">
        <v>8</v>
      </c>
      <c r="B13861" s="1" t="str">
        <f>"000342697 - RICH FOODS-BOWLMOR"</f>
        <v>000342697 - RICH FOODS-BOWLMOR</v>
      </c>
      <c r="C13861" t="s">
        <v>577</v>
      </c>
      <c r="D13861" s="1" t="str">
        <f t="shared" si="379"/>
        <v>PRG-1041603</v>
      </c>
      <c r="E13861" t="s">
        <v>499</v>
      </c>
      <c r="F13861" t="s">
        <v>4</v>
      </c>
      <c r="G13861" t="str">
        <f>""</f>
        <v/>
      </c>
    </row>
    <row r="13862" spans="1:7" x14ac:dyDescent="0.25">
      <c r="A13862" t="s">
        <v>8</v>
      </c>
      <c r="B13862" s="1" t="str">
        <f>"000352592 - RICH FOODS-BOWLMOR"</f>
        <v>000352592 - RICH FOODS-BOWLMOR</v>
      </c>
      <c r="C13862" t="s">
        <v>577</v>
      </c>
      <c r="D13862" s="1" t="str">
        <f t="shared" si="379"/>
        <v>PRG-1041603</v>
      </c>
      <c r="E13862" t="s">
        <v>499</v>
      </c>
      <c r="F13862" t="s">
        <v>4</v>
      </c>
      <c r="G13862" t="str">
        <f>""</f>
        <v/>
      </c>
    </row>
    <row r="13863" spans="1:7" x14ac:dyDescent="0.25">
      <c r="A13863" t="s">
        <v>8</v>
      </c>
      <c r="B13863" s="1" t="str">
        <f>"000354442 - RICH FOODS-BOWLMOR"</f>
        <v>000354442 - RICH FOODS-BOWLMOR</v>
      </c>
      <c r="C13863" t="s">
        <v>577</v>
      </c>
      <c r="D13863" s="1" t="str">
        <f t="shared" si="379"/>
        <v>PRG-1041603</v>
      </c>
      <c r="E13863" t="s">
        <v>499</v>
      </c>
      <c r="F13863" t="s">
        <v>4</v>
      </c>
      <c r="G13863" t="str">
        <f>""</f>
        <v/>
      </c>
    </row>
    <row r="13864" spans="1:7" x14ac:dyDescent="0.25">
      <c r="A13864" t="s">
        <v>8</v>
      </c>
      <c r="B13864" s="1" t="str">
        <f>"000361828 - RICH FOODS-BOWLMOR"</f>
        <v>000361828 - RICH FOODS-BOWLMOR</v>
      </c>
      <c r="C13864" t="s">
        <v>577</v>
      </c>
      <c r="D13864" s="1" t="str">
        <f t="shared" si="379"/>
        <v>PRG-1041603</v>
      </c>
      <c r="E13864" t="s">
        <v>499</v>
      </c>
      <c r="F13864" t="s">
        <v>4</v>
      </c>
      <c r="G13864" t="str">
        <f>""</f>
        <v/>
      </c>
    </row>
    <row r="13865" spans="1:7" x14ac:dyDescent="0.25">
      <c r="A13865" t="s">
        <v>8</v>
      </c>
      <c r="B13865" s="1" t="str">
        <f>"000362169 - RICH FOODS-BOWLMOR"</f>
        <v>000362169 - RICH FOODS-BOWLMOR</v>
      </c>
      <c r="C13865" t="s">
        <v>577</v>
      </c>
      <c r="D13865" s="1" t="str">
        <f t="shared" si="379"/>
        <v>PRG-1041603</v>
      </c>
      <c r="E13865" t="s">
        <v>499</v>
      </c>
      <c r="F13865" t="s">
        <v>4</v>
      </c>
      <c r="G13865" t="str">
        <f>""</f>
        <v/>
      </c>
    </row>
    <row r="13866" spans="1:7" x14ac:dyDescent="0.25">
      <c r="A13866" t="s">
        <v>8</v>
      </c>
      <c r="B13866" s="1" t="str">
        <f>"000364268 - RICH FOODS-BOWLMOR"</f>
        <v>000364268 - RICH FOODS-BOWLMOR</v>
      </c>
      <c r="C13866" t="s">
        <v>577</v>
      </c>
      <c r="D13866" s="1" t="str">
        <f t="shared" si="379"/>
        <v>PRG-1041603</v>
      </c>
      <c r="E13866" t="s">
        <v>499</v>
      </c>
      <c r="F13866" t="s">
        <v>4</v>
      </c>
      <c r="G13866" t="str">
        <f>""</f>
        <v/>
      </c>
    </row>
    <row r="13867" spans="1:7" x14ac:dyDescent="0.25">
      <c r="A13867" t="s">
        <v>8</v>
      </c>
      <c r="B13867" s="1" t="str">
        <f>"000372596 - RICH FOODS-BOWLMOR"</f>
        <v>000372596 - RICH FOODS-BOWLMOR</v>
      </c>
      <c r="C13867" t="s">
        <v>577</v>
      </c>
      <c r="D13867" s="1" t="str">
        <f t="shared" si="379"/>
        <v>PRG-1041603</v>
      </c>
      <c r="E13867" t="s">
        <v>499</v>
      </c>
      <c r="F13867" t="s">
        <v>4</v>
      </c>
      <c r="G13867" t="str">
        <f>""</f>
        <v/>
      </c>
    </row>
    <row r="13868" spans="1:7" x14ac:dyDescent="0.25">
      <c r="A13868" t="s">
        <v>8</v>
      </c>
      <c r="B13868" s="1" t="str">
        <f>"000373650 - RICH FOODS-BOWLMOR"</f>
        <v>000373650 - RICH FOODS-BOWLMOR</v>
      </c>
      <c r="C13868" t="s">
        <v>577</v>
      </c>
      <c r="D13868" s="1" t="str">
        <f t="shared" si="379"/>
        <v>PRG-1041603</v>
      </c>
      <c r="E13868" t="s">
        <v>499</v>
      </c>
      <c r="F13868" t="s">
        <v>4</v>
      </c>
      <c r="G13868" t="str">
        <f>""</f>
        <v/>
      </c>
    </row>
    <row r="13869" spans="1:7" x14ac:dyDescent="0.25">
      <c r="A13869" t="s">
        <v>8</v>
      </c>
      <c r="B13869" s="1" t="str">
        <f>"000377511 - RICH FOODS-BOWLMOR"</f>
        <v>000377511 - RICH FOODS-BOWLMOR</v>
      </c>
      <c r="C13869" t="s">
        <v>577</v>
      </c>
      <c r="D13869" s="1" t="str">
        <f t="shared" si="379"/>
        <v>PRG-1041603</v>
      </c>
      <c r="E13869" t="s">
        <v>499</v>
      </c>
      <c r="F13869" t="s">
        <v>4</v>
      </c>
      <c r="G13869" t="str">
        <f>""</f>
        <v/>
      </c>
    </row>
    <row r="13870" spans="1:7" x14ac:dyDescent="0.25">
      <c r="A13870" t="s">
        <v>8</v>
      </c>
      <c r="B13870" s="1" t="str">
        <f>"000380679 - RICH FOODS-BOWLMOR"</f>
        <v>000380679 - RICH FOODS-BOWLMOR</v>
      </c>
      <c r="C13870" t="s">
        <v>577</v>
      </c>
      <c r="D13870" s="1" t="str">
        <f t="shared" si="379"/>
        <v>PRG-1041603</v>
      </c>
      <c r="E13870" t="s">
        <v>499</v>
      </c>
      <c r="F13870" t="s">
        <v>4</v>
      </c>
      <c r="G13870" t="str">
        <f>""</f>
        <v/>
      </c>
    </row>
    <row r="13871" spans="1:7" x14ac:dyDescent="0.25">
      <c r="A13871" t="s">
        <v>8</v>
      </c>
      <c r="B13871" s="1" t="str">
        <f>"000383947 - RICH FOODS-BOWLMOR"</f>
        <v>000383947 - RICH FOODS-BOWLMOR</v>
      </c>
      <c r="C13871" t="s">
        <v>577</v>
      </c>
      <c r="D13871" s="1" t="str">
        <f t="shared" si="379"/>
        <v>PRG-1041603</v>
      </c>
      <c r="E13871" t="s">
        <v>499</v>
      </c>
      <c r="F13871" t="s">
        <v>4</v>
      </c>
      <c r="G13871" t="str">
        <f>""</f>
        <v/>
      </c>
    </row>
    <row r="13872" spans="1:7" x14ac:dyDescent="0.25">
      <c r="A13872" t="s">
        <v>8</v>
      </c>
      <c r="B13872" s="1" t="str">
        <f>"000384241 - RICH FOODS-BOWLMOR"</f>
        <v>000384241 - RICH FOODS-BOWLMOR</v>
      </c>
      <c r="C13872" t="s">
        <v>577</v>
      </c>
      <c r="D13872" s="1" t="str">
        <f t="shared" si="379"/>
        <v>PRG-1041603</v>
      </c>
      <c r="E13872" t="s">
        <v>499</v>
      </c>
      <c r="F13872" t="s">
        <v>4</v>
      </c>
      <c r="G13872" t="str">
        <f>""</f>
        <v/>
      </c>
    </row>
    <row r="13873" spans="1:7" x14ac:dyDescent="0.25">
      <c r="A13873" t="s">
        <v>8</v>
      </c>
      <c r="B13873" s="1" t="str">
        <f>"000385630 - RICH FOODS-BOWLMOR"</f>
        <v>000385630 - RICH FOODS-BOWLMOR</v>
      </c>
      <c r="C13873" t="s">
        <v>577</v>
      </c>
      <c r="D13873" s="1" t="str">
        <f t="shared" si="379"/>
        <v>PRG-1041603</v>
      </c>
      <c r="E13873" t="s">
        <v>499</v>
      </c>
      <c r="F13873" t="s">
        <v>4</v>
      </c>
      <c r="G13873" t="str">
        <f>""</f>
        <v/>
      </c>
    </row>
    <row r="13874" spans="1:7" x14ac:dyDescent="0.25">
      <c r="A13874" t="s">
        <v>8</v>
      </c>
      <c r="B13874" s="1" t="str">
        <f>"000387832 - RICH FOODS-BOWLMOR"</f>
        <v>000387832 - RICH FOODS-BOWLMOR</v>
      </c>
      <c r="C13874" t="s">
        <v>577</v>
      </c>
      <c r="D13874" s="1" t="str">
        <f t="shared" si="379"/>
        <v>PRG-1041603</v>
      </c>
      <c r="E13874" t="s">
        <v>499</v>
      </c>
      <c r="F13874" t="s">
        <v>4</v>
      </c>
      <c r="G13874" t="str">
        <f>""</f>
        <v/>
      </c>
    </row>
    <row r="13875" spans="1:7" x14ac:dyDescent="0.25">
      <c r="A13875" t="s">
        <v>8</v>
      </c>
      <c r="B13875" s="1" t="str">
        <f>"000388768 - RICH FOODS-BOWLMOR"</f>
        <v>000388768 - RICH FOODS-BOWLMOR</v>
      </c>
      <c r="C13875" t="s">
        <v>577</v>
      </c>
      <c r="D13875" s="1" t="str">
        <f t="shared" si="379"/>
        <v>PRG-1041603</v>
      </c>
      <c r="E13875" t="s">
        <v>499</v>
      </c>
      <c r="F13875" t="s">
        <v>4</v>
      </c>
      <c r="G13875" t="str">
        <f>""</f>
        <v/>
      </c>
    </row>
    <row r="13876" spans="1:7" x14ac:dyDescent="0.25">
      <c r="A13876" t="s">
        <v>8</v>
      </c>
      <c r="B13876" s="1" t="str">
        <f>"000390389 - RICH FOODS-BOWLMOR"</f>
        <v>000390389 - RICH FOODS-BOWLMOR</v>
      </c>
      <c r="C13876" t="s">
        <v>577</v>
      </c>
      <c r="D13876" s="1" t="str">
        <f t="shared" si="379"/>
        <v>PRG-1041603</v>
      </c>
      <c r="E13876" t="s">
        <v>499</v>
      </c>
      <c r="F13876" t="s">
        <v>4</v>
      </c>
      <c r="G13876" t="str">
        <f>""</f>
        <v/>
      </c>
    </row>
    <row r="13877" spans="1:7" x14ac:dyDescent="0.25">
      <c r="A13877" t="s">
        <v>8</v>
      </c>
      <c r="B13877" s="1" t="str">
        <f>"000397649 - RICH FOODS-BOWLMOR"</f>
        <v>000397649 - RICH FOODS-BOWLMOR</v>
      </c>
      <c r="C13877" t="s">
        <v>577</v>
      </c>
      <c r="D13877" s="1" t="str">
        <f t="shared" si="379"/>
        <v>PRG-1041603</v>
      </c>
      <c r="E13877" t="s">
        <v>499</v>
      </c>
      <c r="F13877" t="s">
        <v>4</v>
      </c>
      <c r="G13877" t="str">
        <f>""</f>
        <v/>
      </c>
    </row>
    <row r="13878" spans="1:7" x14ac:dyDescent="0.25">
      <c r="A13878" t="s">
        <v>8</v>
      </c>
      <c r="B13878" s="1" t="str">
        <f>"000397972 - RICH FOODS-BOWLMOR"</f>
        <v>000397972 - RICH FOODS-BOWLMOR</v>
      </c>
      <c r="C13878" t="s">
        <v>577</v>
      </c>
      <c r="D13878" s="1" t="str">
        <f t="shared" si="379"/>
        <v>PRG-1041603</v>
      </c>
      <c r="E13878" t="s">
        <v>499</v>
      </c>
      <c r="F13878" t="s">
        <v>4</v>
      </c>
      <c r="G13878" t="str">
        <f>""</f>
        <v/>
      </c>
    </row>
    <row r="13879" spans="1:7" x14ac:dyDescent="0.25">
      <c r="A13879" t="s">
        <v>8</v>
      </c>
      <c r="B13879" s="1" t="str">
        <f>"000398875 - RICH FOODS-BOWLMOR"</f>
        <v>000398875 - RICH FOODS-BOWLMOR</v>
      </c>
      <c r="C13879" t="s">
        <v>577</v>
      </c>
      <c r="D13879" s="1" t="str">
        <f t="shared" si="379"/>
        <v>PRG-1041603</v>
      </c>
      <c r="E13879" t="s">
        <v>499</v>
      </c>
      <c r="F13879" t="s">
        <v>4</v>
      </c>
      <c r="G13879" t="str">
        <f>""</f>
        <v/>
      </c>
    </row>
    <row r="13880" spans="1:7" x14ac:dyDescent="0.25">
      <c r="A13880" t="s">
        <v>8</v>
      </c>
      <c r="B13880" s="1" t="str">
        <f>"000399051 - RICH FOODS-BOWLMOR"</f>
        <v>000399051 - RICH FOODS-BOWLMOR</v>
      </c>
      <c r="C13880" t="s">
        <v>577</v>
      </c>
      <c r="D13880" s="1" t="str">
        <f t="shared" ref="D13880:D13890" si="380">"PRG-1041603"</f>
        <v>PRG-1041603</v>
      </c>
      <c r="E13880" t="s">
        <v>499</v>
      </c>
      <c r="F13880" t="s">
        <v>4</v>
      </c>
      <c r="G13880" t="str">
        <f>""</f>
        <v/>
      </c>
    </row>
    <row r="13881" spans="1:7" x14ac:dyDescent="0.25">
      <c r="A13881" t="s">
        <v>8</v>
      </c>
      <c r="B13881" s="1" t="str">
        <f>"000399234 - RICH FOODS-BOWLMOR"</f>
        <v>000399234 - RICH FOODS-BOWLMOR</v>
      </c>
      <c r="C13881" t="s">
        <v>577</v>
      </c>
      <c r="D13881" s="1" t="str">
        <f t="shared" si="380"/>
        <v>PRG-1041603</v>
      </c>
      <c r="E13881" t="s">
        <v>499</v>
      </c>
      <c r="F13881" t="s">
        <v>4</v>
      </c>
      <c r="G13881" t="str">
        <f>""</f>
        <v/>
      </c>
    </row>
    <row r="13882" spans="1:7" x14ac:dyDescent="0.25">
      <c r="A13882" t="s">
        <v>8</v>
      </c>
      <c r="B13882" s="1" t="str">
        <f>"000399291 - RICH FOODS-BOWLMOR"</f>
        <v>000399291 - RICH FOODS-BOWLMOR</v>
      </c>
      <c r="C13882" t="s">
        <v>577</v>
      </c>
      <c r="D13882" s="1" t="str">
        <f t="shared" si="380"/>
        <v>PRG-1041603</v>
      </c>
      <c r="E13882" t="s">
        <v>499</v>
      </c>
      <c r="F13882" t="s">
        <v>4</v>
      </c>
      <c r="G13882" t="str">
        <f>""</f>
        <v/>
      </c>
    </row>
    <row r="13883" spans="1:7" x14ac:dyDescent="0.25">
      <c r="A13883" t="s">
        <v>8</v>
      </c>
      <c r="B13883" s="1" t="str">
        <f>"000408270 - RICH FOODS-BOWLMOR"</f>
        <v>000408270 - RICH FOODS-BOWLMOR</v>
      </c>
      <c r="C13883" t="s">
        <v>577</v>
      </c>
      <c r="D13883" s="1" t="str">
        <f t="shared" si="380"/>
        <v>PRG-1041603</v>
      </c>
      <c r="E13883" t="s">
        <v>499</v>
      </c>
      <c r="F13883" t="s">
        <v>4</v>
      </c>
      <c r="G13883" t="str">
        <f>""</f>
        <v/>
      </c>
    </row>
    <row r="13884" spans="1:7" x14ac:dyDescent="0.25">
      <c r="A13884" t="s">
        <v>8</v>
      </c>
      <c r="B13884" s="1" t="str">
        <f>"000408839 - RICH FOODS-BOWLMOR"</f>
        <v>000408839 - RICH FOODS-BOWLMOR</v>
      </c>
      <c r="C13884" t="s">
        <v>577</v>
      </c>
      <c r="D13884" s="1" t="str">
        <f t="shared" si="380"/>
        <v>PRG-1041603</v>
      </c>
      <c r="E13884" t="s">
        <v>499</v>
      </c>
      <c r="F13884" t="s">
        <v>4</v>
      </c>
      <c r="G13884" t="str">
        <f>""</f>
        <v/>
      </c>
    </row>
    <row r="13885" spans="1:7" x14ac:dyDescent="0.25">
      <c r="A13885" t="s">
        <v>8</v>
      </c>
      <c r="B13885" s="1" t="str">
        <f>"000413405 - RICH FOODS-BOWLMOR"</f>
        <v>000413405 - RICH FOODS-BOWLMOR</v>
      </c>
      <c r="C13885" t="s">
        <v>577</v>
      </c>
      <c r="D13885" s="1" t="str">
        <f t="shared" si="380"/>
        <v>PRG-1041603</v>
      </c>
      <c r="E13885" t="s">
        <v>499</v>
      </c>
      <c r="F13885" t="s">
        <v>4</v>
      </c>
      <c r="G13885" t="str">
        <f>""</f>
        <v/>
      </c>
    </row>
    <row r="13886" spans="1:7" x14ac:dyDescent="0.25">
      <c r="A13886" t="s">
        <v>8</v>
      </c>
      <c r="B13886" s="1" t="str">
        <f>"000417303 - RICH FOODS-BOWLMOR"</f>
        <v>000417303 - RICH FOODS-BOWLMOR</v>
      </c>
      <c r="C13886" t="s">
        <v>577</v>
      </c>
      <c r="D13886" s="1" t="str">
        <f t="shared" si="380"/>
        <v>PRG-1041603</v>
      </c>
      <c r="E13886" t="s">
        <v>499</v>
      </c>
      <c r="F13886" t="s">
        <v>4</v>
      </c>
      <c r="G13886" t="str">
        <f>""</f>
        <v/>
      </c>
    </row>
    <row r="13887" spans="1:7" x14ac:dyDescent="0.25">
      <c r="A13887" t="s">
        <v>8</v>
      </c>
      <c r="B13887" s="1" t="str">
        <f>"000422171 - RICH FOODS-BOWLMOR"</f>
        <v>000422171 - RICH FOODS-BOWLMOR</v>
      </c>
      <c r="C13887" t="s">
        <v>577</v>
      </c>
      <c r="D13887" s="1" t="str">
        <f t="shared" si="380"/>
        <v>PRG-1041603</v>
      </c>
      <c r="E13887" t="s">
        <v>499</v>
      </c>
      <c r="F13887" t="s">
        <v>4</v>
      </c>
      <c r="G13887" t="str">
        <f>""</f>
        <v/>
      </c>
    </row>
    <row r="13888" spans="1:7" x14ac:dyDescent="0.25">
      <c r="A13888" t="s">
        <v>8</v>
      </c>
      <c r="B13888" s="1" t="str">
        <f>"000431511 - RICH FOODS-BOWLMOR"</f>
        <v>000431511 - RICH FOODS-BOWLMOR</v>
      </c>
      <c r="C13888" t="s">
        <v>577</v>
      </c>
      <c r="D13888" s="1" t="str">
        <f t="shared" si="380"/>
        <v>PRG-1041603</v>
      </c>
      <c r="E13888" t="s">
        <v>499</v>
      </c>
      <c r="F13888" t="s">
        <v>4</v>
      </c>
      <c r="G13888" t="str">
        <f>""</f>
        <v/>
      </c>
    </row>
    <row r="13889" spans="1:7" x14ac:dyDescent="0.25">
      <c r="A13889" t="s">
        <v>8</v>
      </c>
      <c r="B13889" s="1" t="str">
        <f>"2000310827 - RICH FOODS-BOWLMOR"</f>
        <v>2000310827 - RICH FOODS-BOWLMOR</v>
      </c>
      <c r="C13889" t="s">
        <v>577</v>
      </c>
      <c r="D13889" s="1" t="str">
        <f t="shared" si="380"/>
        <v>PRG-1041603</v>
      </c>
      <c r="E13889" t="s">
        <v>499</v>
      </c>
      <c r="F13889" t="s">
        <v>4</v>
      </c>
      <c r="G13889" t="str">
        <f>""</f>
        <v/>
      </c>
    </row>
    <row r="13890" spans="1:7" x14ac:dyDescent="0.25">
      <c r="A13890" t="s">
        <v>8</v>
      </c>
      <c r="B13890" s="1" t="str">
        <f>"2000432665 - RICH FOODS-BOWLMOR"</f>
        <v>2000432665 - RICH FOODS-BOWLMOR</v>
      </c>
      <c r="C13890" t="s">
        <v>577</v>
      </c>
      <c r="D13890" s="1" t="str">
        <f t="shared" si="380"/>
        <v>PRG-1041603</v>
      </c>
      <c r="E13890" t="s">
        <v>499</v>
      </c>
      <c r="F13890" t="s">
        <v>4</v>
      </c>
      <c r="G13890" t="str">
        <f>""</f>
        <v/>
      </c>
    </row>
    <row r="13891" spans="1:7" x14ac:dyDescent="0.25">
      <c r="A13891" t="s">
        <v>8</v>
      </c>
      <c r="B13891" s="1" t="str">
        <f>"000000105 - RICH FOODS-OSAGE CASINO"</f>
        <v>000000105 - RICH FOODS-OSAGE CASINO</v>
      </c>
      <c r="C13891" t="s">
        <v>9</v>
      </c>
      <c r="D13891" s="1" t="str">
        <f>"PRG-1041624"</f>
        <v>PRG-1041624</v>
      </c>
      <c r="E13891" t="s">
        <v>10</v>
      </c>
      <c r="F13891" t="s">
        <v>4</v>
      </c>
      <c r="G13891" t="str">
        <f>""</f>
        <v/>
      </c>
    </row>
    <row r="13892" spans="1:7" x14ac:dyDescent="0.25">
      <c r="A13892" t="s">
        <v>8</v>
      </c>
      <c r="B13892" s="1" t="str">
        <f>"000000913 - RICH'S-JIFFY TRIP"</f>
        <v>000000913 - RICH'S-JIFFY TRIP</v>
      </c>
      <c r="C13892" t="s">
        <v>72</v>
      </c>
      <c r="D13892" s="1" t="str">
        <f>"PRG-1041625"</f>
        <v>PRG-1041625</v>
      </c>
      <c r="E13892" t="s">
        <v>73</v>
      </c>
      <c r="F13892" t="s">
        <v>4</v>
      </c>
      <c r="G13892" t="str">
        <f>""</f>
        <v/>
      </c>
    </row>
    <row r="13893" spans="1:7" x14ac:dyDescent="0.25">
      <c r="A13893" t="s">
        <v>8</v>
      </c>
      <c r="B13893" s="1" t="str">
        <f>"000040352 - RICHS JIFFY TRIP"</f>
        <v>000040352 - RICHS JIFFY TRIP</v>
      </c>
      <c r="C13893" t="s">
        <v>579</v>
      </c>
      <c r="D13893" s="1" t="str">
        <f>"PRG-1041625"</f>
        <v>PRG-1041625</v>
      </c>
      <c r="E13893" t="s">
        <v>73</v>
      </c>
      <c r="F13893" t="s">
        <v>4</v>
      </c>
      <c r="G13893" t="str">
        <f>""</f>
        <v/>
      </c>
    </row>
    <row r="13894" spans="1:7" x14ac:dyDescent="0.25">
      <c r="A13894" t="s">
        <v>8</v>
      </c>
      <c r="B13894" s="1" t="str">
        <f>"S6J00GL0"</f>
        <v>S6J00GL0</v>
      </c>
      <c r="C13894" t="s">
        <v>6108</v>
      </c>
      <c r="D13894" s="1" t="str">
        <f>"PRG-1041626"</f>
        <v>PRG-1041626</v>
      </c>
      <c r="E13894" t="s">
        <v>6109</v>
      </c>
      <c r="F13894" t="s">
        <v>5</v>
      </c>
      <c r="G13894" t="str">
        <f>""</f>
        <v/>
      </c>
    </row>
    <row r="13895" spans="1:7" x14ac:dyDescent="0.25">
      <c r="A13895" t="s">
        <v>8</v>
      </c>
      <c r="B13895" s="1" t="str">
        <f>"000403664 - RICHS-DC SOBIK'S"</f>
        <v>000403664 - RICHS-DC SOBIK'S</v>
      </c>
      <c r="C13895" t="s">
        <v>3725</v>
      </c>
      <c r="D13895" s="1" t="str">
        <f>"PRG-1041628"</f>
        <v>PRG-1041628</v>
      </c>
      <c r="E13895" t="s">
        <v>2897</v>
      </c>
      <c r="F13895" t="s">
        <v>4</v>
      </c>
      <c r="G13895" t="str">
        <f>""</f>
        <v/>
      </c>
    </row>
    <row r="13896" spans="1:7" x14ac:dyDescent="0.25">
      <c r="A13896" t="s">
        <v>8</v>
      </c>
      <c r="B13896" s="1" t="str">
        <f>"000293020 - RICH MOHEGAN SUN"</f>
        <v>000293020 - RICH MOHEGAN SUN</v>
      </c>
      <c r="C13896" t="s">
        <v>2797</v>
      </c>
      <c r="D13896" s="1" t="str">
        <f>"PRG-1041653"</f>
        <v>PRG-1041653</v>
      </c>
      <c r="E13896" t="s">
        <v>2873</v>
      </c>
      <c r="F13896" t="s">
        <v>4</v>
      </c>
      <c r="G13896" t="str">
        <f>""</f>
        <v/>
      </c>
    </row>
    <row r="13897" spans="1:7" x14ac:dyDescent="0.25">
      <c r="A13897" t="s">
        <v>8</v>
      </c>
      <c r="B13897" s="1" t="str">
        <f>"15682"</f>
        <v>15682</v>
      </c>
      <c r="C13897" t="s">
        <v>3815</v>
      </c>
      <c r="D13897" s="1" t="str">
        <f>"PRG-1041657"</f>
        <v>PRG-1041657</v>
      </c>
      <c r="E13897" t="s">
        <v>3816</v>
      </c>
      <c r="F13897" t="s">
        <v>7</v>
      </c>
      <c r="G13897" t="str">
        <f>""</f>
        <v/>
      </c>
    </row>
    <row r="13898" spans="1:7" x14ac:dyDescent="0.25">
      <c r="A13898" t="s">
        <v>8</v>
      </c>
      <c r="B13898" s="1" t="str">
        <f>"S5G00630"</f>
        <v>S5G00630</v>
      </c>
      <c r="C13898" t="s">
        <v>5823</v>
      </c>
      <c r="D13898" s="1" t="str">
        <f>"PRG-1041663"</f>
        <v>PRG-1041663</v>
      </c>
      <c r="E13898" t="s">
        <v>5824</v>
      </c>
      <c r="F13898" t="s">
        <v>5</v>
      </c>
      <c r="G13898" t="str">
        <f>""</f>
        <v/>
      </c>
    </row>
    <row r="13899" spans="1:7" x14ac:dyDescent="0.25">
      <c r="A13899" t="s">
        <v>8</v>
      </c>
      <c r="B13899" s="1" t="str">
        <f>"000395784 - IL GOV CAFE RICH PRODUCTS"</f>
        <v>000395784 - IL GOV CAFE RICH PRODUCTS</v>
      </c>
      <c r="C13899" t="s">
        <v>3707</v>
      </c>
      <c r="D13899" s="1" t="str">
        <f>"PRG-1041665"</f>
        <v>PRG-1041665</v>
      </c>
      <c r="E13899" t="s">
        <v>3708</v>
      </c>
      <c r="F13899" t="s">
        <v>4</v>
      </c>
      <c r="G13899" t="str">
        <f>""</f>
        <v/>
      </c>
    </row>
    <row r="13900" spans="1:7" x14ac:dyDescent="0.25">
      <c r="A13900" t="s">
        <v>8</v>
      </c>
      <c r="B13900" s="1" t="str">
        <f>"000244480 - RICHS ROCKAFELLERS"</f>
        <v>000244480 - RICHS ROCKAFELLERS</v>
      </c>
      <c r="C13900" t="s">
        <v>1390</v>
      </c>
      <c r="D13900" s="1" t="str">
        <f>"PRG-1041667"</f>
        <v>PRG-1041667</v>
      </c>
      <c r="E13900" t="s">
        <v>1391</v>
      </c>
      <c r="F13900" t="s">
        <v>4</v>
      </c>
      <c r="G13900" t="str">
        <f>""</f>
        <v/>
      </c>
    </row>
    <row r="13901" spans="1:7" x14ac:dyDescent="0.25">
      <c r="A13901" t="s">
        <v>8</v>
      </c>
      <c r="B13901" s="1" t="str">
        <f>"41001612"</f>
        <v>41001612</v>
      </c>
      <c r="C13901" t="s">
        <v>4925</v>
      </c>
      <c r="D13901" s="1" t="str">
        <f>"PRG-1041668"</f>
        <v>PRG-1041668</v>
      </c>
      <c r="E13901" t="s">
        <v>3996</v>
      </c>
      <c r="F13901" t="s">
        <v>5</v>
      </c>
      <c r="G13901" t="str">
        <f>""</f>
        <v/>
      </c>
    </row>
    <row r="13902" spans="1:7" x14ac:dyDescent="0.25">
      <c r="A13902" t="s">
        <v>8</v>
      </c>
      <c r="B13902" s="1" t="str">
        <f>"000368127 - WORLD OF BEER RICH PRODUCT"</f>
        <v>000368127 - WORLD OF BEER RICH PRODUCT</v>
      </c>
      <c r="C13902" t="s">
        <v>3340</v>
      </c>
      <c r="D13902" s="1" t="str">
        <f>"PRG-1041677"</f>
        <v>PRG-1041677</v>
      </c>
      <c r="E13902" t="s">
        <v>739</v>
      </c>
      <c r="F13902" t="s">
        <v>4</v>
      </c>
      <c r="G13902" t="str">
        <f>""</f>
        <v/>
      </c>
    </row>
    <row r="13903" spans="1:7" x14ac:dyDescent="0.25">
      <c r="A13903" t="s">
        <v>8</v>
      </c>
      <c r="B13903" s="1" t="str">
        <f>"000298762 - RICHS-PD1-EL MEJOR"</f>
        <v>000298762 - RICHS-PD1-EL MEJOR</v>
      </c>
      <c r="C13903" t="s">
        <v>2943</v>
      </c>
      <c r="D13903" s="1" t="str">
        <f>"PRG-1041678"</f>
        <v>PRG-1041678</v>
      </c>
      <c r="E13903" t="s">
        <v>2944</v>
      </c>
      <c r="F13903" t="s">
        <v>4</v>
      </c>
      <c r="G13903" t="str">
        <f>""</f>
        <v/>
      </c>
    </row>
    <row r="13904" spans="1:7" x14ac:dyDescent="0.25">
      <c r="A13904" t="s">
        <v>8</v>
      </c>
      <c r="B13904" s="1" t="str">
        <f>"000109705 - RICH PRODUCTS FRITZ"</f>
        <v>000109705 - RICH PRODUCTS FRITZ</v>
      </c>
      <c r="C13904" t="s">
        <v>828</v>
      </c>
      <c r="D13904" s="1" t="str">
        <f>"PRG-1041684"</f>
        <v>PRG-1041684</v>
      </c>
      <c r="E13904" t="s">
        <v>829</v>
      </c>
      <c r="F13904" t="s">
        <v>4</v>
      </c>
      <c r="G13904" t="str">
        <f>""</f>
        <v/>
      </c>
    </row>
    <row r="13905" spans="1:7" x14ac:dyDescent="0.25">
      <c r="A13905" t="s">
        <v>8</v>
      </c>
      <c r="B13905" s="1" t="str">
        <f>"000169071 - RICH PRODUCTS FRITZ"</f>
        <v>000169071 - RICH PRODUCTS FRITZ</v>
      </c>
      <c r="C13905" t="s">
        <v>828</v>
      </c>
      <c r="D13905" s="1" t="str">
        <f>"PRG-1041684"</f>
        <v>PRG-1041684</v>
      </c>
      <c r="E13905" t="s">
        <v>829</v>
      </c>
      <c r="F13905" t="s">
        <v>4</v>
      </c>
      <c r="G13905" t="str">
        <f>""</f>
        <v/>
      </c>
    </row>
    <row r="13906" spans="1:7" x14ac:dyDescent="0.25">
      <c r="A13906" t="s">
        <v>8</v>
      </c>
      <c r="B13906" s="1" t="str">
        <f>"S5G00YE0"</f>
        <v>S5G00YE0</v>
      </c>
      <c r="C13906" t="s">
        <v>5831</v>
      </c>
      <c r="D13906" s="1" t="str">
        <f>"PRG-1041685"</f>
        <v>PRG-1041685</v>
      </c>
      <c r="E13906" t="s">
        <v>890</v>
      </c>
      <c r="F13906" t="s">
        <v>5</v>
      </c>
      <c r="G13906" t="str">
        <f>""</f>
        <v/>
      </c>
    </row>
    <row r="13907" spans="1:7" x14ac:dyDescent="0.25">
      <c r="A13907" t="s">
        <v>8</v>
      </c>
      <c r="B13907" s="1" t="str">
        <f>"000343954 - UNION JACKS RICH'S"</f>
        <v>000343954 - UNION JACKS RICH'S</v>
      </c>
      <c r="C13907" t="s">
        <v>3005</v>
      </c>
      <c r="D13907" s="1" t="str">
        <f>"PRG-1041686"</f>
        <v>PRG-1041686</v>
      </c>
      <c r="E13907" t="s">
        <v>3006</v>
      </c>
      <c r="F13907" t="s">
        <v>4</v>
      </c>
      <c r="G13907" t="str">
        <f>""</f>
        <v/>
      </c>
    </row>
    <row r="13908" spans="1:7" x14ac:dyDescent="0.25">
      <c r="A13908" t="s">
        <v>8</v>
      </c>
      <c r="B13908" s="1" t="str">
        <f>"000394662 - UNION JACKS RICH'S"</f>
        <v>000394662 - UNION JACKS RICH'S</v>
      </c>
      <c r="C13908" t="s">
        <v>3005</v>
      </c>
      <c r="D13908" s="1" t="str">
        <f>"PRG-1041686"</f>
        <v>PRG-1041686</v>
      </c>
      <c r="E13908" t="s">
        <v>3006</v>
      </c>
      <c r="F13908" t="s">
        <v>4</v>
      </c>
      <c r="G13908" t="str">
        <f>""</f>
        <v/>
      </c>
    </row>
    <row r="13909" spans="1:7" x14ac:dyDescent="0.25">
      <c r="A13909" t="s">
        <v>8</v>
      </c>
      <c r="B13909" s="1" t="str">
        <f>"000369832 - BLUESTONE RESTAURANT RICH'S"</f>
        <v>000369832 - BLUESTONE RESTAURANT RICH'S</v>
      </c>
      <c r="C13909" t="s">
        <v>3450</v>
      </c>
      <c r="D13909" s="1" t="str">
        <f>"PRG-1041695"</f>
        <v>PRG-1041695</v>
      </c>
      <c r="E13909" t="s">
        <v>3002</v>
      </c>
      <c r="F13909" t="s">
        <v>4</v>
      </c>
      <c r="G13909" t="str">
        <f>""</f>
        <v/>
      </c>
    </row>
    <row r="13910" spans="1:7" x14ac:dyDescent="0.25">
      <c r="A13910" t="s">
        <v>8</v>
      </c>
      <c r="B13910" s="1" t="str">
        <f>"S6D00H20"</f>
        <v>S6D00H20</v>
      </c>
      <c r="C13910" t="s">
        <v>6035</v>
      </c>
      <c r="D13910" s="1" t="str">
        <f>"PRG-1041698"</f>
        <v>PRG-1041698</v>
      </c>
      <c r="E13910" t="s">
        <v>6036</v>
      </c>
      <c r="F13910" t="s">
        <v>5</v>
      </c>
      <c r="G13910" t="str">
        <f>""</f>
        <v/>
      </c>
    </row>
    <row r="13911" spans="1:7" x14ac:dyDescent="0.25">
      <c r="A13911" t="s">
        <v>8</v>
      </c>
      <c r="B13911" s="1" t="str">
        <f>"000427331 - RICH PRODUCTS TREASURE ISLAND"</f>
        <v>000427331 - RICH PRODUCTS TREASURE ISLAND</v>
      </c>
      <c r="C13911" t="s">
        <v>3716</v>
      </c>
      <c r="D13911" s="1" t="str">
        <f>"PRG-1041700"</f>
        <v>PRG-1041700</v>
      </c>
      <c r="E13911" t="s">
        <v>3745</v>
      </c>
      <c r="F13911" t="s">
        <v>4</v>
      </c>
      <c r="G13911" t="str">
        <f>""</f>
        <v/>
      </c>
    </row>
    <row r="13912" spans="1:7" x14ac:dyDescent="0.25">
      <c r="A13912" t="s">
        <v>8</v>
      </c>
      <c r="B13912" s="1" t="str">
        <f>"41001617"</f>
        <v>41001617</v>
      </c>
      <c r="C13912" t="s">
        <v>4926</v>
      </c>
      <c r="D13912" s="1" t="str">
        <f>"PRG-1041700"</f>
        <v>PRG-1041700</v>
      </c>
      <c r="E13912" t="s">
        <v>3745</v>
      </c>
      <c r="F13912" t="s">
        <v>5</v>
      </c>
      <c r="G13912" t="str">
        <f>""</f>
        <v/>
      </c>
    </row>
    <row r="13913" spans="1:7" x14ac:dyDescent="0.25">
      <c r="A13913" t="s">
        <v>8</v>
      </c>
      <c r="B13913" s="1" t="str">
        <f>"000013208 - RICH   BURGERFI"</f>
        <v>000013208 - RICH   BURGERFI</v>
      </c>
      <c r="C13913" t="s">
        <v>344</v>
      </c>
      <c r="D13913" s="1" t="str">
        <f t="shared" ref="D13913:D13926" si="381">"PRG-1041701"</f>
        <v>PRG-1041701</v>
      </c>
      <c r="E13913" t="s">
        <v>152</v>
      </c>
      <c r="F13913" t="s">
        <v>4</v>
      </c>
      <c r="G13913" t="str">
        <f>""</f>
        <v/>
      </c>
    </row>
    <row r="13914" spans="1:7" x14ac:dyDescent="0.25">
      <c r="A13914" t="s">
        <v>8</v>
      </c>
      <c r="B13914" s="1" t="str">
        <f>"000019569 - RICH   BURGERFI"</f>
        <v>000019569 - RICH   BURGERFI</v>
      </c>
      <c r="C13914" t="s">
        <v>344</v>
      </c>
      <c r="D13914" s="1" t="str">
        <f t="shared" si="381"/>
        <v>PRG-1041701</v>
      </c>
      <c r="E13914" t="s">
        <v>152</v>
      </c>
      <c r="F13914" t="s">
        <v>4</v>
      </c>
      <c r="G13914" t="str">
        <f>""</f>
        <v/>
      </c>
    </row>
    <row r="13915" spans="1:7" x14ac:dyDescent="0.25">
      <c r="A13915" t="s">
        <v>8</v>
      </c>
      <c r="B13915" s="1" t="str">
        <f>"000078049 - RICH FOODS-BURGERFI"</f>
        <v>000078049 - RICH FOODS-BURGERFI</v>
      </c>
      <c r="C13915" t="s">
        <v>508</v>
      </c>
      <c r="D13915" s="1" t="str">
        <f t="shared" si="381"/>
        <v>PRG-1041701</v>
      </c>
      <c r="E13915" t="s">
        <v>152</v>
      </c>
      <c r="F13915" t="s">
        <v>4</v>
      </c>
      <c r="G13915" t="str">
        <f>""</f>
        <v/>
      </c>
    </row>
    <row r="13916" spans="1:7" x14ac:dyDescent="0.25">
      <c r="A13916" t="s">
        <v>8</v>
      </c>
      <c r="B13916" s="1" t="str">
        <f>"000246668 - RICH FOODS-BURGERFI"</f>
        <v>000246668 - RICH FOODS-BURGERFI</v>
      </c>
      <c r="C13916" t="s">
        <v>508</v>
      </c>
      <c r="D13916" s="1" t="str">
        <f t="shared" si="381"/>
        <v>PRG-1041701</v>
      </c>
      <c r="E13916" t="s">
        <v>152</v>
      </c>
      <c r="F13916" t="s">
        <v>4</v>
      </c>
      <c r="G13916" t="str">
        <f>""</f>
        <v/>
      </c>
    </row>
    <row r="13917" spans="1:7" x14ac:dyDescent="0.25">
      <c r="A13917" t="s">
        <v>8</v>
      </c>
      <c r="B13917" s="1" t="str">
        <f>"000270022 - RICH FOODS-BURGERFI"</f>
        <v>000270022 - RICH FOODS-BURGERFI</v>
      </c>
      <c r="C13917" t="s">
        <v>508</v>
      </c>
      <c r="D13917" s="1" t="str">
        <f t="shared" si="381"/>
        <v>PRG-1041701</v>
      </c>
      <c r="E13917" t="s">
        <v>152</v>
      </c>
      <c r="F13917" t="s">
        <v>4</v>
      </c>
      <c r="G13917" t="str">
        <f>""</f>
        <v/>
      </c>
    </row>
    <row r="13918" spans="1:7" x14ac:dyDescent="0.25">
      <c r="A13918" t="s">
        <v>8</v>
      </c>
      <c r="B13918" s="1" t="str">
        <f>"000276373 - RICH FOODS-BURGERFI"</f>
        <v>000276373 - RICH FOODS-BURGERFI</v>
      </c>
      <c r="C13918" t="s">
        <v>508</v>
      </c>
      <c r="D13918" s="1" t="str">
        <f t="shared" si="381"/>
        <v>PRG-1041701</v>
      </c>
      <c r="E13918" t="s">
        <v>152</v>
      </c>
      <c r="F13918" t="s">
        <v>4</v>
      </c>
      <c r="G13918" t="str">
        <f>""</f>
        <v/>
      </c>
    </row>
    <row r="13919" spans="1:7" x14ac:dyDescent="0.25">
      <c r="A13919" t="s">
        <v>8</v>
      </c>
      <c r="B13919" s="1" t="str">
        <f>"000287033 - RICH FOODS-BURGERFI"</f>
        <v>000287033 - RICH FOODS-BURGERFI</v>
      </c>
      <c r="C13919" t="s">
        <v>508</v>
      </c>
      <c r="D13919" s="1" t="str">
        <f t="shared" si="381"/>
        <v>PRG-1041701</v>
      </c>
      <c r="E13919" t="s">
        <v>152</v>
      </c>
      <c r="F13919" t="s">
        <v>4</v>
      </c>
      <c r="G13919" t="str">
        <f>""</f>
        <v/>
      </c>
    </row>
    <row r="13920" spans="1:7" x14ac:dyDescent="0.25">
      <c r="A13920" t="s">
        <v>8</v>
      </c>
      <c r="B13920" s="1" t="str">
        <f>"000296564 - RICH FOODS-BURGERFI"</f>
        <v>000296564 - RICH FOODS-BURGERFI</v>
      </c>
      <c r="C13920" t="s">
        <v>508</v>
      </c>
      <c r="D13920" s="1" t="str">
        <f t="shared" si="381"/>
        <v>PRG-1041701</v>
      </c>
      <c r="E13920" t="s">
        <v>152</v>
      </c>
      <c r="F13920" t="s">
        <v>4</v>
      </c>
      <c r="G13920" t="str">
        <f>""</f>
        <v/>
      </c>
    </row>
    <row r="13921" spans="1:7" x14ac:dyDescent="0.25">
      <c r="A13921" t="s">
        <v>8</v>
      </c>
      <c r="B13921" s="1" t="str">
        <f>"000296976 - RICH FOODS-BURGERFI"</f>
        <v>000296976 - RICH FOODS-BURGERFI</v>
      </c>
      <c r="C13921" t="s">
        <v>508</v>
      </c>
      <c r="D13921" s="1" t="str">
        <f t="shared" si="381"/>
        <v>PRG-1041701</v>
      </c>
      <c r="E13921" t="s">
        <v>152</v>
      </c>
      <c r="F13921" t="s">
        <v>4</v>
      </c>
      <c r="G13921" t="str">
        <f>""</f>
        <v/>
      </c>
    </row>
    <row r="13922" spans="1:7" x14ac:dyDescent="0.25">
      <c r="A13922" t="s">
        <v>8</v>
      </c>
      <c r="B13922" s="1" t="str">
        <f>"000345820 - RICH FOODS-BURGERFI"</f>
        <v>000345820 - RICH FOODS-BURGERFI</v>
      </c>
      <c r="C13922" t="s">
        <v>508</v>
      </c>
      <c r="D13922" s="1" t="str">
        <f t="shared" si="381"/>
        <v>PRG-1041701</v>
      </c>
      <c r="E13922" t="s">
        <v>152</v>
      </c>
      <c r="F13922" t="s">
        <v>4</v>
      </c>
      <c r="G13922" t="str">
        <f>""</f>
        <v/>
      </c>
    </row>
    <row r="13923" spans="1:7" x14ac:dyDescent="0.25">
      <c r="A13923" t="s">
        <v>8</v>
      </c>
      <c r="B13923" s="1" t="str">
        <f>"000359566 - RICH FOODS-BURGERFI"</f>
        <v>000359566 - RICH FOODS-BURGERFI</v>
      </c>
      <c r="C13923" t="s">
        <v>508</v>
      </c>
      <c r="D13923" s="1" t="str">
        <f t="shared" si="381"/>
        <v>PRG-1041701</v>
      </c>
      <c r="E13923" t="s">
        <v>152</v>
      </c>
      <c r="F13923" t="s">
        <v>4</v>
      </c>
      <c r="G13923" t="str">
        <f>""</f>
        <v/>
      </c>
    </row>
    <row r="13924" spans="1:7" x14ac:dyDescent="0.25">
      <c r="A13924" t="s">
        <v>8</v>
      </c>
      <c r="B13924" s="1" t="str">
        <f>"000361955 - RICH FOODS-BURGERFI"</f>
        <v>000361955 - RICH FOODS-BURGERFI</v>
      </c>
      <c r="C13924" t="s">
        <v>508</v>
      </c>
      <c r="D13924" s="1" t="str">
        <f t="shared" si="381"/>
        <v>PRG-1041701</v>
      </c>
      <c r="E13924" t="s">
        <v>152</v>
      </c>
      <c r="F13924" t="s">
        <v>4</v>
      </c>
      <c r="G13924" t="str">
        <f>""</f>
        <v/>
      </c>
    </row>
    <row r="13925" spans="1:7" x14ac:dyDescent="0.25">
      <c r="A13925" t="s">
        <v>8</v>
      </c>
      <c r="B13925" s="1" t="str">
        <f>"000377347 - RICH FOODS-BURGERFI"</f>
        <v>000377347 - RICH FOODS-BURGERFI</v>
      </c>
      <c r="C13925" t="s">
        <v>508</v>
      </c>
      <c r="D13925" s="1" t="str">
        <f t="shared" si="381"/>
        <v>PRG-1041701</v>
      </c>
      <c r="E13925" t="s">
        <v>152</v>
      </c>
      <c r="F13925" t="s">
        <v>4</v>
      </c>
      <c r="G13925" t="str">
        <f>""</f>
        <v/>
      </c>
    </row>
    <row r="13926" spans="1:7" x14ac:dyDescent="0.25">
      <c r="A13926" t="s">
        <v>8</v>
      </c>
      <c r="B13926" s="1" t="str">
        <f>"000386535 - RICH FOODS-BURGERFI"</f>
        <v>000386535 - RICH FOODS-BURGERFI</v>
      </c>
      <c r="C13926" t="s">
        <v>508</v>
      </c>
      <c r="D13926" s="1" t="str">
        <f t="shared" si="381"/>
        <v>PRG-1041701</v>
      </c>
      <c r="E13926" t="s">
        <v>152</v>
      </c>
      <c r="F13926" t="s">
        <v>4</v>
      </c>
      <c r="G13926" t="str">
        <f>""</f>
        <v/>
      </c>
    </row>
    <row r="13927" spans="1:7" x14ac:dyDescent="0.25">
      <c r="A13927" t="s">
        <v>8</v>
      </c>
      <c r="B13927" s="1" t="str">
        <f>"000402038 - RICH PRODUCTS BLAINBROOK ENT"</f>
        <v>000402038 - RICH PRODUCTS BLAINBROOK ENT</v>
      </c>
      <c r="C13927" t="s">
        <v>3721</v>
      </c>
      <c r="D13927" s="1" t="str">
        <f>"PRG-1041702"</f>
        <v>PRG-1041702</v>
      </c>
      <c r="E13927" t="s">
        <v>3507</v>
      </c>
      <c r="F13927" t="s">
        <v>4</v>
      </c>
      <c r="G13927" t="str">
        <f>""</f>
        <v/>
      </c>
    </row>
    <row r="13928" spans="1:7" x14ac:dyDescent="0.25">
      <c r="A13928" t="s">
        <v>8</v>
      </c>
      <c r="B13928" s="1" t="str">
        <f>"2230A666"</f>
        <v>2230A666</v>
      </c>
      <c r="C13928" t="s">
        <v>4305</v>
      </c>
      <c r="D13928" s="1" t="str">
        <f>"PRG-1041709"</f>
        <v>PRG-1041709</v>
      </c>
      <c r="E13928" t="s">
        <v>4306</v>
      </c>
      <c r="F13928" t="s">
        <v>5</v>
      </c>
      <c r="G13928" t="str">
        <f>""</f>
        <v/>
      </c>
    </row>
    <row r="13929" spans="1:7" x14ac:dyDescent="0.25">
      <c r="A13929" t="s">
        <v>8</v>
      </c>
      <c r="B13929" s="1" t="str">
        <f>"S3M003W0"</f>
        <v>S3M003W0</v>
      </c>
      <c r="C13929" t="s">
        <v>5611</v>
      </c>
      <c r="D13929" s="1" t="str">
        <f>"PRG-1041710"</f>
        <v>PRG-1041710</v>
      </c>
      <c r="E13929" t="s">
        <v>5612</v>
      </c>
      <c r="F13929" t="s">
        <v>5</v>
      </c>
      <c r="G13929" t="str">
        <f>""</f>
        <v/>
      </c>
    </row>
    <row r="13930" spans="1:7" x14ac:dyDescent="0.25">
      <c r="A13930" t="s">
        <v>8</v>
      </c>
      <c r="B13930" s="1" t="str">
        <f>"S1Z06A40"</f>
        <v>S1Z06A40</v>
      </c>
      <c r="C13930" t="s">
        <v>5340</v>
      </c>
      <c r="D13930" s="1" t="str">
        <f>"PRG-1041714"</f>
        <v>PRG-1041714</v>
      </c>
      <c r="E13930" t="s">
        <v>5341</v>
      </c>
      <c r="F13930" t="s">
        <v>5</v>
      </c>
      <c r="G13930" t="str">
        <f>""</f>
        <v/>
      </c>
    </row>
    <row r="13931" spans="1:7" x14ac:dyDescent="0.25">
      <c r="A13931" t="s">
        <v>8</v>
      </c>
      <c r="B13931" s="1" t="str">
        <f>"000267981 - RICH JOSIAHS"</f>
        <v>000267981 - RICH JOSIAHS</v>
      </c>
      <c r="C13931" t="s">
        <v>2430</v>
      </c>
      <c r="D13931" s="1" t="str">
        <f>"PRG-1041719"</f>
        <v>PRG-1041719</v>
      </c>
      <c r="E13931" t="s">
        <v>2191</v>
      </c>
      <c r="F13931" t="s">
        <v>4</v>
      </c>
      <c r="G13931" t="str">
        <f>""</f>
        <v/>
      </c>
    </row>
    <row r="13932" spans="1:7" x14ac:dyDescent="0.25">
      <c r="A13932" t="s">
        <v>8</v>
      </c>
      <c r="B13932" s="1" t="str">
        <f>"32309"</f>
        <v>32309</v>
      </c>
      <c r="C13932" t="s">
        <v>4892</v>
      </c>
      <c r="D13932" s="1" t="str">
        <f>"PRG-1041724"</f>
        <v>PRG-1041724</v>
      </c>
      <c r="E13932" t="s">
        <v>4893</v>
      </c>
      <c r="F13932" t="s">
        <v>7</v>
      </c>
      <c r="G13932" t="str">
        <f>""</f>
        <v/>
      </c>
    </row>
    <row r="13933" spans="1:7" x14ac:dyDescent="0.25">
      <c r="A13933" t="s">
        <v>8</v>
      </c>
      <c r="B13933" s="1" t="str">
        <f>"000373014 - RICH'S GO CHICKEN GO"</f>
        <v>000373014 - RICH'S GO CHICKEN GO</v>
      </c>
      <c r="C13933" t="s">
        <v>3044</v>
      </c>
      <c r="D13933" s="1" t="str">
        <f>"PRG-1041725"</f>
        <v>PRG-1041725</v>
      </c>
      <c r="E13933" t="s">
        <v>3045</v>
      </c>
      <c r="F13933" t="s">
        <v>4</v>
      </c>
      <c r="G13933" t="str">
        <f>""</f>
        <v/>
      </c>
    </row>
    <row r="13934" spans="1:7" x14ac:dyDescent="0.25">
      <c r="A13934" t="s">
        <v>8</v>
      </c>
      <c r="B13934" s="1" t="str">
        <f>"000028982 - RICH FOODS BAPA-PINNACLE"</f>
        <v>000028982 - RICH FOODS BAPA-PINNACLE</v>
      </c>
      <c r="C13934" t="s">
        <v>479</v>
      </c>
      <c r="D13934" s="1" t="str">
        <f t="shared" ref="D13934:D13946" si="382">"PRG-1041728"</f>
        <v>PRG-1041728</v>
      </c>
      <c r="E13934" t="s">
        <v>311</v>
      </c>
      <c r="F13934" t="s">
        <v>4</v>
      </c>
      <c r="G13934" t="str">
        <f>""</f>
        <v/>
      </c>
    </row>
    <row r="13935" spans="1:7" x14ac:dyDescent="0.25">
      <c r="A13935" t="s">
        <v>8</v>
      </c>
      <c r="B13935" s="1" t="str">
        <f>"000030287 - RICH FOODS BAPA-PINNACLE"</f>
        <v>000030287 - RICH FOODS BAPA-PINNACLE</v>
      </c>
      <c r="C13935" t="s">
        <v>479</v>
      </c>
      <c r="D13935" s="1" t="str">
        <f t="shared" si="382"/>
        <v>PRG-1041728</v>
      </c>
      <c r="E13935" t="s">
        <v>311</v>
      </c>
      <c r="F13935" t="s">
        <v>4</v>
      </c>
      <c r="G13935" t="str">
        <f>""</f>
        <v/>
      </c>
    </row>
    <row r="13936" spans="1:7" x14ac:dyDescent="0.25">
      <c r="A13936" t="s">
        <v>8</v>
      </c>
      <c r="B13936" s="1" t="str">
        <f>"000073729 - RICH FOODS BAPA-PINNACLE"</f>
        <v>000073729 - RICH FOODS BAPA-PINNACLE</v>
      </c>
      <c r="C13936" t="s">
        <v>479</v>
      </c>
      <c r="D13936" s="1" t="str">
        <f t="shared" si="382"/>
        <v>PRG-1041728</v>
      </c>
      <c r="E13936" t="s">
        <v>311</v>
      </c>
      <c r="F13936" t="s">
        <v>4</v>
      </c>
      <c r="G13936" t="str">
        <f>""</f>
        <v/>
      </c>
    </row>
    <row r="13937" spans="1:7" x14ac:dyDescent="0.25">
      <c r="A13937" t="s">
        <v>8</v>
      </c>
      <c r="B13937" s="1" t="str">
        <f>"000259842 - RICH FOODS BAPA-PINNACLE"</f>
        <v>000259842 - RICH FOODS BAPA-PINNACLE</v>
      </c>
      <c r="C13937" t="s">
        <v>479</v>
      </c>
      <c r="D13937" s="1" t="str">
        <f t="shared" si="382"/>
        <v>PRG-1041728</v>
      </c>
      <c r="E13937" t="s">
        <v>311</v>
      </c>
      <c r="F13937" t="s">
        <v>4</v>
      </c>
      <c r="G13937" t="str">
        <f>""</f>
        <v/>
      </c>
    </row>
    <row r="13938" spans="1:7" x14ac:dyDescent="0.25">
      <c r="A13938" t="s">
        <v>8</v>
      </c>
      <c r="B13938" s="1" t="str">
        <f>"000263107 - RICH FOODS BAPA-PINNACLE"</f>
        <v>000263107 - RICH FOODS BAPA-PINNACLE</v>
      </c>
      <c r="C13938" t="s">
        <v>479</v>
      </c>
      <c r="D13938" s="1" t="str">
        <f t="shared" si="382"/>
        <v>PRG-1041728</v>
      </c>
      <c r="E13938" t="s">
        <v>311</v>
      </c>
      <c r="F13938" t="s">
        <v>4</v>
      </c>
      <c r="G13938" t="str">
        <f>""</f>
        <v/>
      </c>
    </row>
    <row r="13939" spans="1:7" x14ac:dyDescent="0.25">
      <c r="A13939" t="s">
        <v>8</v>
      </c>
      <c r="B13939" s="1" t="str">
        <f>"000263124 - BB PINNACLE FOB RICH"</f>
        <v>000263124 - BB PINNACLE FOB RICH</v>
      </c>
      <c r="C13939" t="s">
        <v>1393</v>
      </c>
      <c r="D13939" s="1" t="str">
        <f t="shared" si="382"/>
        <v>PRG-1041728</v>
      </c>
      <c r="E13939" t="s">
        <v>311</v>
      </c>
      <c r="F13939" t="s">
        <v>4</v>
      </c>
      <c r="G13939" t="str">
        <f>""</f>
        <v/>
      </c>
    </row>
    <row r="13940" spans="1:7" x14ac:dyDescent="0.25">
      <c r="A13940" t="s">
        <v>8</v>
      </c>
      <c r="B13940" s="1" t="str">
        <f>"000293981 - RICH FOODS BAPA-PINNACLE"</f>
        <v>000293981 - RICH FOODS BAPA-PINNACLE</v>
      </c>
      <c r="C13940" t="s">
        <v>479</v>
      </c>
      <c r="D13940" s="1" t="str">
        <f t="shared" si="382"/>
        <v>PRG-1041728</v>
      </c>
      <c r="E13940" t="s">
        <v>311</v>
      </c>
      <c r="F13940" t="s">
        <v>4</v>
      </c>
      <c r="G13940" t="str">
        <f>""</f>
        <v/>
      </c>
    </row>
    <row r="13941" spans="1:7" x14ac:dyDescent="0.25">
      <c r="A13941" t="s">
        <v>8</v>
      </c>
      <c r="B13941" s="1" t="str">
        <f>"000294681 - RICH FOODS BAPA-PINNACLE"</f>
        <v>000294681 - RICH FOODS BAPA-PINNACLE</v>
      </c>
      <c r="C13941" t="s">
        <v>479</v>
      </c>
      <c r="D13941" s="1" t="str">
        <f t="shared" si="382"/>
        <v>PRG-1041728</v>
      </c>
      <c r="E13941" t="s">
        <v>311</v>
      </c>
      <c r="F13941" t="s">
        <v>4</v>
      </c>
      <c r="G13941" t="str">
        <f>""</f>
        <v/>
      </c>
    </row>
    <row r="13942" spans="1:7" x14ac:dyDescent="0.25">
      <c r="A13942" t="s">
        <v>8</v>
      </c>
      <c r="B13942" s="1" t="str">
        <f>"000309336 - "</f>
        <v xml:space="preserve">000309336 - </v>
      </c>
      <c r="D13942" s="1" t="str">
        <f t="shared" si="382"/>
        <v>PRG-1041728</v>
      </c>
      <c r="E13942" t="s">
        <v>311</v>
      </c>
      <c r="F13942" t="s">
        <v>4</v>
      </c>
      <c r="G13942" t="str">
        <f>""</f>
        <v/>
      </c>
    </row>
    <row r="13943" spans="1:7" x14ac:dyDescent="0.25">
      <c r="A13943" t="s">
        <v>8</v>
      </c>
      <c r="B13943" s="1" t="str">
        <f>"000315116 - RICH FOODS BAPA-PINNACLE"</f>
        <v>000315116 - RICH FOODS BAPA-PINNACLE</v>
      </c>
      <c r="C13943" t="s">
        <v>479</v>
      </c>
      <c r="D13943" s="1" t="str">
        <f t="shared" si="382"/>
        <v>PRG-1041728</v>
      </c>
      <c r="E13943" t="s">
        <v>311</v>
      </c>
      <c r="F13943" t="s">
        <v>4</v>
      </c>
      <c r="G13943" t="str">
        <f>""</f>
        <v/>
      </c>
    </row>
    <row r="13944" spans="1:7" x14ac:dyDescent="0.25">
      <c r="A13944" t="s">
        <v>8</v>
      </c>
      <c r="B13944" s="1" t="str">
        <f>"000361395 - "</f>
        <v xml:space="preserve">000361395 - </v>
      </c>
      <c r="D13944" s="1" t="str">
        <f t="shared" si="382"/>
        <v>PRG-1041728</v>
      </c>
      <c r="E13944" t="s">
        <v>311</v>
      </c>
      <c r="F13944" t="s">
        <v>4</v>
      </c>
      <c r="G13944" t="str">
        <f>""</f>
        <v/>
      </c>
    </row>
    <row r="13945" spans="1:7" x14ac:dyDescent="0.25">
      <c r="A13945" t="s">
        <v>8</v>
      </c>
      <c r="B13945" s="1" t="str">
        <f>"000368350 - RICH FOODS BAPA-PINNACLE"</f>
        <v>000368350 - RICH FOODS BAPA-PINNACLE</v>
      </c>
      <c r="C13945" t="s">
        <v>479</v>
      </c>
      <c r="D13945" s="1" t="str">
        <f t="shared" si="382"/>
        <v>PRG-1041728</v>
      </c>
      <c r="E13945" t="s">
        <v>311</v>
      </c>
      <c r="F13945" t="s">
        <v>4</v>
      </c>
      <c r="G13945" t="str">
        <f>""</f>
        <v/>
      </c>
    </row>
    <row r="13946" spans="1:7" x14ac:dyDescent="0.25">
      <c r="A13946" t="s">
        <v>8</v>
      </c>
      <c r="B13946" s="1" t="str">
        <f>"000368689 - RICH FOODS BAPA-PINNACLE"</f>
        <v>000368689 - RICH FOODS BAPA-PINNACLE</v>
      </c>
      <c r="C13946" t="s">
        <v>479</v>
      </c>
      <c r="D13946" s="1" t="str">
        <f t="shared" si="382"/>
        <v>PRG-1041728</v>
      </c>
      <c r="E13946" t="s">
        <v>311</v>
      </c>
      <c r="F13946" t="s">
        <v>4</v>
      </c>
      <c r="G13946" t="str">
        <f>""</f>
        <v/>
      </c>
    </row>
    <row r="13947" spans="1:7" x14ac:dyDescent="0.25">
      <c r="A13947" t="s">
        <v>8</v>
      </c>
      <c r="B13947" s="1" t="str">
        <f>"S2J00FE0"</f>
        <v>S2J00FE0</v>
      </c>
      <c r="C13947" t="s">
        <v>5540</v>
      </c>
      <c r="D13947" s="1" t="str">
        <f>"PRG-1041738"</f>
        <v>PRG-1041738</v>
      </c>
      <c r="E13947" t="s">
        <v>5541</v>
      </c>
      <c r="F13947" t="s">
        <v>5</v>
      </c>
      <c r="G13947" t="str">
        <f>""</f>
        <v/>
      </c>
    </row>
    <row r="13948" spans="1:7" x14ac:dyDescent="0.25">
      <c r="A13948" t="s">
        <v>8</v>
      </c>
      <c r="B13948" s="1" t="str">
        <f>"000316385 - RICHS PRODUCT-SHEPHARDS"</f>
        <v>000316385 - RICHS PRODUCT-SHEPHARDS</v>
      </c>
      <c r="C13948" t="s">
        <v>2981</v>
      </c>
      <c r="D13948" s="1" t="str">
        <f>"PRG-1041744"</f>
        <v>PRG-1041744</v>
      </c>
      <c r="E13948" t="s">
        <v>3186</v>
      </c>
      <c r="F13948" t="s">
        <v>4</v>
      </c>
      <c r="G13948" t="str">
        <f>""</f>
        <v/>
      </c>
    </row>
    <row r="13949" spans="1:7" x14ac:dyDescent="0.25">
      <c r="A13949" t="s">
        <v>8</v>
      </c>
      <c r="B13949" s="1" t="str">
        <f>"000270671 - RICHS BREAD DOUGH MAIN ST CAFE"</f>
        <v>000270671 - RICHS BREAD DOUGH MAIN ST CAFE</v>
      </c>
      <c r="C13949" t="s">
        <v>1722</v>
      </c>
      <c r="D13949" s="1" t="str">
        <f>"PRG-1041750"</f>
        <v>PRG-1041750</v>
      </c>
      <c r="E13949" t="s">
        <v>1723</v>
      </c>
      <c r="F13949" t="s">
        <v>4</v>
      </c>
      <c r="G13949" t="str">
        <f>""</f>
        <v/>
      </c>
    </row>
    <row r="13950" spans="1:7" x14ac:dyDescent="0.25">
      <c r="A13950" t="s">
        <v>8</v>
      </c>
      <c r="B13950" s="1" t="str">
        <f>"000337491 - RICH'S-FAST &amp; FRESH"</f>
        <v>000337491 - RICH'S-FAST &amp; FRESH</v>
      </c>
      <c r="C13950" t="s">
        <v>2982</v>
      </c>
      <c r="D13950" s="1" t="str">
        <f>"PRG-1041753"</f>
        <v>PRG-1041753</v>
      </c>
      <c r="E13950" t="s">
        <v>3419</v>
      </c>
      <c r="F13950" t="s">
        <v>4</v>
      </c>
      <c r="G13950" t="str">
        <f>""</f>
        <v/>
      </c>
    </row>
    <row r="13951" spans="1:7" x14ac:dyDescent="0.25">
      <c r="A13951" t="s">
        <v>8</v>
      </c>
      <c r="B13951" s="1" t="str">
        <f>"000337394 - RICH PRODUCTS-WYNN'S MARKET"</f>
        <v>000337394 - RICH PRODUCTS-WYNN'S MARKET</v>
      </c>
      <c r="C13951" t="s">
        <v>2998</v>
      </c>
      <c r="D13951" s="1" t="str">
        <f>"PRG-1041759"</f>
        <v>PRG-1041759</v>
      </c>
      <c r="E13951" t="s">
        <v>3417</v>
      </c>
      <c r="F13951" t="s">
        <v>4</v>
      </c>
      <c r="G13951" t="str">
        <f>""</f>
        <v/>
      </c>
    </row>
    <row r="13952" spans="1:7" x14ac:dyDescent="0.25">
      <c r="A13952" t="s">
        <v>8</v>
      </c>
      <c r="B13952" s="1" t="str">
        <f>"000393505 - RICH PRODUCTS-WYNN'S MARKET"</f>
        <v>000393505 - RICH PRODUCTS-WYNN'S MARKET</v>
      </c>
      <c r="C13952" t="s">
        <v>2998</v>
      </c>
      <c r="D13952" s="1" t="str">
        <f>"PRG-1041759"</f>
        <v>PRG-1041759</v>
      </c>
      <c r="E13952" t="s">
        <v>3417</v>
      </c>
      <c r="F13952" t="s">
        <v>4</v>
      </c>
      <c r="G13952" t="str">
        <f>""</f>
        <v/>
      </c>
    </row>
    <row r="13953" spans="1:7" x14ac:dyDescent="0.25">
      <c r="A13953" t="s">
        <v>8</v>
      </c>
      <c r="B13953" s="1" t="str">
        <f>"000393506 - RICH PRODUCTS(R)-WYNN'S MKT"</f>
        <v>000393506 - RICH PRODUCTS(R)-WYNN'S MKT</v>
      </c>
      <c r="C13953" t="s">
        <v>3688</v>
      </c>
      <c r="D13953" s="1" t="str">
        <f>"PRG-1041759"</f>
        <v>PRG-1041759</v>
      </c>
      <c r="E13953" t="s">
        <v>3417</v>
      </c>
      <c r="F13953" t="s">
        <v>4</v>
      </c>
      <c r="G13953" t="str">
        <f>""</f>
        <v/>
      </c>
    </row>
    <row r="13954" spans="1:7" x14ac:dyDescent="0.25">
      <c r="A13954" t="s">
        <v>8</v>
      </c>
      <c r="B13954" s="1" t="str">
        <f>"000096556 - RICH'S  SPOLETO OVAL BRD"</f>
        <v>000096556 - RICH'S  SPOLETO OVAL BRD</v>
      </c>
      <c r="C13954" t="s">
        <v>715</v>
      </c>
      <c r="D13954" s="1" t="str">
        <f>"PRG-1041771"</f>
        <v>PRG-1041771</v>
      </c>
      <c r="E13954" t="s">
        <v>716</v>
      </c>
      <c r="F13954" t="s">
        <v>4</v>
      </c>
      <c r="G13954" t="str">
        <f>""</f>
        <v/>
      </c>
    </row>
    <row r="13955" spans="1:7" x14ac:dyDescent="0.25">
      <c r="A13955" t="s">
        <v>8</v>
      </c>
      <c r="B13955" s="1" t="str">
        <f>"000245154 - RICH'S CAPT GEORGES"</f>
        <v>000245154 - RICH'S CAPT GEORGES</v>
      </c>
      <c r="C13955" t="s">
        <v>1474</v>
      </c>
      <c r="D13955" s="1" t="str">
        <f>"PRG-1041776"</f>
        <v>PRG-1041776</v>
      </c>
      <c r="E13955" t="s">
        <v>1475</v>
      </c>
      <c r="F13955" t="s">
        <v>4</v>
      </c>
      <c r="G13955" t="str">
        <f>""</f>
        <v/>
      </c>
    </row>
    <row r="13956" spans="1:7" x14ac:dyDescent="0.25">
      <c r="A13956" t="s">
        <v>8</v>
      </c>
      <c r="B13956" s="1" t="str">
        <f>"000265454 - RICH'S CAPT GEORGES"</f>
        <v>000265454 - RICH'S CAPT GEORGES</v>
      </c>
      <c r="C13956" t="s">
        <v>1474</v>
      </c>
      <c r="D13956" s="1" t="str">
        <f>"PRG-1041776"</f>
        <v>PRG-1041776</v>
      </c>
      <c r="E13956" t="s">
        <v>1475</v>
      </c>
      <c r="F13956" t="s">
        <v>4</v>
      </c>
      <c r="G13956" t="str">
        <f>""</f>
        <v/>
      </c>
    </row>
    <row r="13957" spans="1:7" x14ac:dyDescent="0.25">
      <c r="A13957" t="s">
        <v>8</v>
      </c>
      <c r="B13957" s="1" t="str">
        <f>"S6I00IH0"</f>
        <v>S6I00IH0</v>
      </c>
      <c r="C13957" t="s">
        <v>6080</v>
      </c>
      <c r="D13957" s="1" t="str">
        <f>"PRG-1041777"</f>
        <v>PRG-1041777</v>
      </c>
      <c r="E13957" t="s">
        <v>6081</v>
      </c>
      <c r="F13957" t="s">
        <v>5</v>
      </c>
      <c r="G13957" t="str">
        <f>""</f>
        <v/>
      </c>
    </row>
    <row r="13958" spans="1:7" x14ac:dyDescent="0.25">
      <c r="A13958" t="s">
        <v>8</v>
      </c>
      <c r="B13958" s="1" t="str">
        <f>"000248045 - RICH CC JET FOOD STORES"</f>
        <v>000248045 - RICH CC JET FOOD STORES</v>
      </c>
      <c r="C13958" t="s">
        <v>1766</v>
      </c>
      <c r="D13958" s="1" t="str">
        <f>"PRG-1041780"</f>
        <v>PRG-1041780</v>
      </c>
      <c r="E13958" t="s">
        <v>1200</v>
      </c>
      <c r="F13958" t="s">
        <v>4</v>
      </c>
      <c r="G13958" t="str">
        <f>""</f>
        <v/>
      </c>
    </row>
    <row r="13959" spans="1:7" x14ac:dyDescent="0.25">
      <c r="A13959" t="s">
        <v>8</v>
      </c>
      <c r="B13959" s="1" t="str">
        <f>"000326688 - PCP RICH'S COMMANDER BB (SUP)"</f>
        <v>000326688 - PCP RICH'S COMMANDER BB (SUP)</v>
      </c>
      <c r="C13959" t="s">
        <v>3303</v>
      </c>
      <c r="D13959" s="1" t="str">
        <f>"PRG-1041787"</f>
        <v>PRG-1041787</v>
      </c>
      <c r="E13959" t="s">
        <v>2942</v>
      </c>
      <c r="F13959" t="s">
        <v>4</v>
      </c>
      <c r="G13959" t="str">
        <f>""</f>
        <v/>
      </c>
    </row>
    <row r="13960" spans="1:7" x14ac:dyDescent="0.25">
      <c r="A13960" t="s">
        <v>8</v>
      </c>
      <c r="B13960" s="1" t="str">
        <f>"000315929 - RICH CUNNINGHAM JOURNAL"</f>
        <v>000315929 - RICH CUNNINGHAM JOURNAL</v>
      </c>
      <c r="C13960" t="s">
        <v>2305</v>
      </c>
      <c r="D13960" s="1" t="str">
        <f>"PRG-1041802"</f>
        <v>PRG-1041802</v>
      </c>
      <c r="E13960" t="s">
        <v>2306</v>
      </c>
      <c r="F13960" t="s">
        <v>4</v>
      </c>
      <c r="G13960" t="str">
        <f>""</f>
        <v/>
      </c>
    </row>
    <row r="13961" spans="1:7" x14ac:dyDescent="0.25">
      <c r="A13961" t="s">
        <v>8</v>
      </c>
      <c r="B13961" s="1" t="str">
        <f>"S4C00RD0"</f>
        <v>S4C00RD0</v>
      </c>
      <c r="C13961" t="s">
        <v>5701</v>
      </c>
      <c r="D13961" s="1" t="str">
        <f>"PRG-1041805"</f>
        <v>PRG-1041805</v>
      </c>
      <c r="E13961" t="s">
        <v>5702</v>
      </c>
      <c r="F13961" t="s">
        <v>5</v>
      </c>
      <c r="G13961" t="str">
        <f>""</f>
        <v/>
      </c>
    </row>
    <row r="13962" spans="1:7" x14ac:dyDescent="0.25">
      <c r="A13962" t="s">
        <v>8</v>
      </c>
      <c r="B13962" s="1" t="str">
        <f>"000311584 - RICH PRODUCTS-KAPPY'S MARKET"</f>
        <v>000311584 - RICH PRODUCTS-KAPPY'S MARKET</v>
      </c>
      <c r="C13962" t="s">
        <v>3023</v>
      </c>
      <c r="D13962" s="1" t="str">
        <f>"PRG-1041812"</f>
        <v>PRG-1041812</v>
      </c>
      <c r="E13962" t="s">
        <v>3122</v>
      </c>
      <c r="F13962" t="s">
        <v>4</v>
      </c>
      <c r="G13962" t="str">
        <f>""</f>
        <v/>
      </c>
    </row>
    <row r="13963" spans="1:7" x14ac:dyDescent="0.25">
      <c r="A13963" t="s">
        <v>8</v>
      </c>
      <c r="B13963" s="1" t="str">
        <f>"311584 - RICH PRODUCTS-KAPPY'S MARKET"</f>
        <v>311584 - RICH PRODUCTS-KAPPY'S MARKET</v>
      </c>
      <c r="C13963" t="s">
        <v>3023</v>
      </c>
      <c r="D13963" s="1" t="str">
        <f>"PRG-1041812"</f>
        <v>PRG-1041812</v>
      </c>
      <c r="E13963" t="s">
        <v>3122</v>
      </c>
      <c r="F13963" t="s">
        <v>4</v>
      </c>
      <c r="G13963" t="str">
        <f>""</f>
        <v/>
      </c>
    </row>
    <row r="13964" spans="1:7" x14ac:dyDescent="0.25">
      <c r="A13964" t="s">
        <v>8</v>
      </c>
      <c r="B13964" s="1" t="str">
        <f>"22105456"</f>
        <v>22105456</v>
      </c>
      <c r="C13964" t="s">
        <v>4230</v>
      </c>
      <c r="D13964" s="1" t="str">
        <f>"PRG-1041818"</f>
        <v>PRG-1041818</v>
      </c>
      <c r="E13964" t="s">
        <v>4231</v>
      </c>
      <c r="F13964" t="s">
        <v>5</v>
      </c>
      <c r="G13964" t="str">
        <f>""</f>
        <v/>
      </c>
    </row>
    <row r="13965" spans="1:7" x14ac:dyDescent="0.25">
      <c r="A13965" t="s">
        <v>8</v>
      </c>
      <c r="B13965" s="1" t="str">
        <f>"S9D00QU0"</f>
        <v>S9D00QU0</v>
      </c>
      <c r="C13965" t="s">
        <v>6340</v>
      </c>
      <c r="D13965" s="1" t="str">
        <f>"PRG-1041819"</f>
        <v>PRG-1041819</v>
      </c>
      <c r="E13965" t="s">
        <v>6341</v>
      </c>
      <c r="F13965" t="s">
        <v>5</v>
      </c>
      <c r="G13965" t="str">
        <f>""</f>
        <v/>
      </c>
    </row>
    <row r="13966" spans="1:7" x14ac:dyDescent="0.25">
      <c r="A13966" t="s">
        <v>8</v>
      </c>
      <c r="B13966" s="1" t="str">
        <f>"S9D01PP0"</f>
        <v>S9D01PP0</v>
      </c>
      <c r="C13966" t="s">
        <v>6366</v>
      </c>
      <c r="D13966" s="1" t="str">
        <f>"PRG-1041819"</f>
        <v>PRG-1041819</v>
      </c>
      <c r="E13966" t="s">
        <v>6341</v>
      </c>
      <c r="F13966" t="s">
        <v>5</v>
      </c>
      <c r="G13966" t="str">
        <f>""</f>
        <v/>
      </c>
    </row>
    <row r="13967" spans="1:7" x14ac:dyDescent="0.25">
      <c r="A13967" t="s">
        <v>8</v>
      </c>
      <c r="B13967" s="1" t="str">
        <f>"S6U00O50"</f>
        <v>S6U00O50</v>
      </c>
      <c r="C13967" t="s">
        <v>6199</v>
      </c>
      <c r="D13967" s="1" t="str">
        <f>"PRG-1041823"</f>
        <v>PRG-1041823</v>
      </c>
      <c r="E13967" t="s">
        <v>6200</v>
      </c>
      <c r="F13967" t="s">
        <v>5</v>
      </c>
      <c r="G13967" t="str">
        <f>""</f>
        <v/>
      </c>
    </row>
    <row r="13968" spans="1:7" x14ac:dyDescent="0.25">
      <c r="A13968" t="s">
        <v>8</v>
      </c>
      <c r="B13968" s="1" t="str">
        <f>"S6G008P0"</f>
        <v>S6G008P0</v>
      </c>
      <c r="C13968" t="s">
        <v>6066</v>
      </c>
      <c r="D13968" s="1" t="str">
        <f>"PRG-1041830"</f>
        <v>PRG-1041830</v>
      </c>
      <c r="E13968" t="s">
        <v>6067</v>
      </c>
      <c r="F13968" t="s">
        <v>5</v>
      </c>
      <c r="G13968" t="str">
        <f>""</f>
        <v/>
      </c>
    </row>
    <row r="13969" spans="1:7" x14ac:dyDescent="0.25">
      <c r="A13969" t="s">
        <v>8</v>
      </c>
      <c r="B13969" s="1" t="str">
        <f>"2160B831"</f>
        <v>2160B831</v>
      </c>
      <c r="C13969" t="s">
        <v>4178</v>
      </c>
      <c r="D13969" s="1" t="str">
        <f>"PRG-1041842"</f>
        <v>PRG-1041842</v>
      </c>
      <c r="E13969" t="s">
        <v>4179</v>
      </c>
      <c r="F13969" t="s">
        <v>5</v>
      </c>
      <c r="G13969" t="str">
        <f>""</f>
        <v/>
      </c>
    </row>
    <row r="13970" spans="1:7" x14ac:dyDescent="0.25">
      <c r="A13970" t="s">
        <v>8</v>
      </c>
      <c r="B13970" s="1" t="str">
        <f>"S5Z01DR0"</f>
        <v>S5Z01DR0</v>
      </c>
      <c r="C13970" t="s">
        <v>5962</v>
      </c>
      <c r="D13970" s="1" t="str">
        <f>"PRG-1041847"</f>
        <v>PRG-1041847</v>
      </c>
      <c r="E13970" t="s">
        <v>5963</v>
      </c>
      <c r="F13970" t="s">
        <v>5</v>
      </c>
      <c r="G13970" t="str">
        <f>""</f>
        <v/>
      </c>
    </row>
    <row r="13971" spans="1:7" x14ac:dyDescent="0.25">
      <c r="A13971" t="s">
        <v>8</v>
      </c>
      <c r="B13971" s="1" t="str">
        <f>"31037205"</f>
        <v>31037205</v>
      </c>
      <c r="C13971" t="s">
        <v>4599</v>
      </c>
      <c r="D13971" s="1" t="str">
        <f>"PRG-1041850"</f>
        <v>PRG-1041850</v>
      </c>
      <c r="E13971" t="s">
        <v>4600</v>
      </c>
      <c r="F13971" t="s">
        <v>5</v>
      </c>
      <c r="G13971" t="str">
        <f>""</f>
        <v/>
      </c>
    </row>
    <row r="13972" spans="1:7" x14ac:dyDescent="0.25">
      <c r="A13972" t="s">
        <v>8</v>
      </c>
      <c r="B13972" s="1" t="str">
        <f>"S4H00BX0"</f>
        <v>S4H00BX0</v>
      </c>
      <c r="C13972" t="s">
        <v>5714</v>
      </c>
      <c r="D13972" s="1" t="str">
        <f>"PRG-1041872"</f>
        <v>PRG-1041872</v>
      </c>
      <c r="E13972" t="s">
        <v>5715</v>
      </c>
      <c r="F13972" t="s">
        <v>5</v>
      </c>
      <c r="G13972" t="str">
        <f>""</f>
        <v/>
      </c>
    </row>
    <row r="13973" spans="1:7" x14ac:dyDescent="0.25">
      <c r="A13973" t="s">
        <v>8</v>
      </c>
      <c r="B13973" s="1" t="str">
        <f>"000369930 - SPENCERVILLE ACADEMY RICH PROD"</f>
        <v>000369930 - SPENCERVILLE ACADEMY RICH PROD</v>
      </c>
      <c r="C13973" t="s">
        <v>3187</v>
      </c>
      <c r="D13973" s="1" t="str">
        <f>"PRG-1041879"</f>
        <v>PRG-1041879</v>
      </c>
      <c r="E13973" t="s">
        <v>3188</v>
      </c>
      <c r="F13973" t="s">
        <v>4</v>
      </c>
      <c r="G13973" t="str">
        <f>""</f>
        <v/>
      </c>
    </row>
    <row r="13974" spans="1:7" x14ac:dyDescent="0.25">
      <c r="A13974" t="s">
        <v>8</v>
      </c>
      <c r="B13974" s="1" t="str">
        <f>"S6D00970"</f>
        <v>S6D00970</v>
      </c>
      <c r="C13974" t="s">
        <v>6027</v>
      </c>
      <c r="D13974" s="1" t="str">
        <f>"PRG-1041889"</f>
        <v>PRG-1041889</v>
      </c>
      <c r="E13974" t="s">
        <v>6028</v>
      </c>
      <c r="F13974" t="s">
        <v>5</v>
      </c>
      <c r="G13974" t="str">
        <f>""</f>
        <v/>
      </c>
    </row>
    <row r="13975" spans="1:7" x14ac:dyDescent="0.25">
      <c r="A13975" t="s">
        <v>8</v>
      </c>
      <c r="B13975" s="1" t="str">
        <f>"S6D00990"</f>
        <v>S6D00990</v>
      </c>
      <c r="C13975" t="s">
        <v>6029</v>
      </c>
      <c r="D13975" s="1" t="str">
        <f>"PRG-1041889"</f>
        <v>PRG-1041889</v>
      </c>
      <c r="E13975" t="s">
        <v>6028</v>
      </c>
      <c r="F13975" t="s">
        <v>5</v>
      </c>
      <c r="G13975" t="str">
        <f>""</f>
        <v/>
      </c>
    </row>
    <row r="13976" spans="1:7" x14ac:dyDescent="0.25">
      <c r="A13976" t="s">
        <v>8</v>
      </c>
      <c r="B13976" s="1" t="str">
        <f>"000262545 - 1041890 SHIPLEY DONUTS #1&amp;#2"</f>
        <v>000262545 - 1041890 SHIPLEY DONUTS #1&amp;#2</v>
      </c>
      <c r="C13976" t="s">
        <v>2320</v>
      </c>
      <c r="D13976" s="1" t="str">
        <f>"PRG-1041890"</f>
        <v>PRG-1041890</v>
      </c>
      <c r="E13976" t="s">
        <v>2321</v>
      </c>
      <c r="F13976" t="s">
        <v>4</v>
      </c>
      <c r="G13976" t="str">
        <f>""</f>
        <v/>
      </c>
    </row>
    <row r="13977" spans="1:7" x14ac:dyDescent="0.25">
      <c r="A13977" t="s">
        <v>8</v>
      </c>
      <c r="B13977" s="1" t="str">
        <f>"000023831 - "</f>
        <v xml:space="preserve">000023831 - </v>
      </c>
      <c r="D13977" s="1" t="str">
        <f t="shared" ref="D13977:D13998" si="383">"PRG-1041915"</f>
        <v>PRG-1041915</v>
      </c>
      <c r="E13977" t="s">
        <v>291</v>
      </c>
      <c r="F13977" t="s">
        <v>4</v>
      </c>
      <c r="G13977" t="str">
        <f>""</f>
        <v/>
      </c>
    </row>
    <row r="13978" spans="1:7" x14ac:dyDescent="0.25">
      <c r="A13978" t="s">
        <v>8</v>
      </c>
      <c r="B13978" s="1" t="str">
        <f>"000025893 - RICH FOODS-BOB"</f>
        <v>000025893 - RICH FOODS-BOB</v>
      </c>
      <c r="C13978" t="s">
        <v>445</v>
      </c>
      <c r="D13978" s="1" t="str">
        <f t="shared" si="383"/>
        <v>PRG-1041915</v>
      </c>
      <c r="E13978" t="s">
        <v>291</v>
      </c>
      <c r="F13978" t="s">
        <v>4</v>
      </c>
      <c r="G13978" t="str">
        <f>""</f>
        <v/>
      </c>
    </row>
    <row r="13979" spans="1:7" x14ac:dyDescent="0.25">
      <c r="A13979" t="s">
        <v>8</v>
      </c>
      <c r="B13979" s="1" t="str">
        <f>"000031705 - RICH FOODS-BOB"</f>
        <v>000031705 - RICH FOODS-BOB</v>
      </c>
      <c r="C13979" t="s">
        <v>445</v>
      </c>
      <c r="D13979" s="1" t="str">
        <f t="shared" si="383"/>
        <v>PRG-1041915</v>
      </c>
      <c r="E13979" t="s">
        <v>291</v>
      </c>
      <c r="F13979" t="s">
        <v>4</v>
      </c>
      <c r="G13979" t="str">
        <f>""</f>
        <v/>
      </c>
    </row>
    <row r="13980" spans="1:7" x14ac:dyDescent="0.25">
      <c r="A13980" t="s">
        <v>8</v>
      </c>
      <c r="B13980" s="1" t="str">
        <f>"000074498 - RICH FOODS-BOB"</f>
        <v>000074498 - RICH FOODS-BOB</v>
      </c>
      <c r="C13980" t="s">
        <v>445</v>
      </c>
      <c r="D13980" s="1" t="str">
        <f t="shared" si="383"/>
        <v>PRG-1041915</v>
      </c>
      <c r="E13980" t="s">
        <v>291</v>
      </c>
      <c r="F13980" t="s">
        <v>4</v>
      </c>
      <c r="G13980" t="str">
        <f>""</f>
        <v/>
      </c>
    </row>
    <row r="13981" spans="1:7" x14ac:dyDescent="0.25">
      <c r="A13981" t="s">
        <v>8</v>
      </c>
      <c r="B13981" s="1" t="str">
        <f>"000148460 - RICH FOODS-BOB"</f>
        <v>000148460 - RICH FOODS-BOB</v>
      </c>
      <c r="C13981" t="s">
        <v>445</v>
      </c>
      <c r="D13981" s="1" t="str">
        <f t="shared" si="383"/>
        <v>PRG-1041915</v>
      </c>
      <c r="E13981" t="s">
        <v>291</v>
      </c>
      <c r="F13981" t="s">
        <v>4</v>
      </c>
      <c r="G13981" t="str">
        <f>""</f>
        <v/>
      </c>
    </row>
    <row r="13982" spans="1:7" x14ac:dyDescent="0.25">
      <c r="A13982" t="s">
        <v>8</v>
      </c>
      <c r="B13982" s="1" t="str">
        <f>"000176784 - RICH FOODS-BOB"</f>
        <v>000176784 - RICH FOODS-BOB</v>
      </c>
      <c r="C13982" t="s">
        <v>445</v>
      </c>
      <c r="D13982" s="1" t="str">
        <f t="shared" si="383"/>
        <v>PRG-1041915</v>
      </c>
      <c r="E13982" t="s">
        <v>291</v>
      </c>
      <c r="F13982" t="s">
        <v>4</v>
      </c>
      <c r="G13982" t="str">
        <f>""</f>
        <v/>
      </c>
    </row>
    <row r="13983" spans="1:7" x14ac:dyDescent="0.25">
      <c r="A13983" t="s">
        <v>8</v>
      </c>
      <c r="B13983" s="1" t="str">
        <f>"000257034 - RICH FOODS BAPA-BEEF OBRADY"</f>
        <v>000257034 - RICH FOODS BAPA-BEEF OBRADY</v>
      </c>
      <c r="C13983" t="s">
        <v>366</v>
      </c>
      <c r="D13983" s="1" t="str">
        <f t="shared" si="383"/>
        <v>PRG-1041915</v>
      </c>
      <c r="E13983" t="s">
        <v>291</v>
      </c>
      <c r="F13983" t="s">
        <v>4</v>
      </c>
      <c r="G13983" t="str">
        <f>""</f>
        <v/>
      </c>
    </row>
    <row r="13984" spans="1:7" x14ac:dyDescent="0.25">
      <c r="A13984" t="s">
        <v>8</v>
      </c>
      <c r="B13984" s="1" t="str">
        <f>"000270794 - RICH FOODS-BOB"</f>
        <v>000270794 - RICH FOODS-BOB</v>
      </c>
      <c r="C13984" t="s">
        <v>445</v>
      </c>
      <c r="D13984" s="1" t="str">
        <f t="shared" si="383"/>
        <v>PRG-1041915</v>
      </c>
      <c r="E13984" t="s">
        <v>291</v>
      </c>
      <c r="F13984" t="s">
        <v>4</v>
      </c>
      <c r="G13984" t="str">
        <f>""</f>
        <v/>
      </c>
    </row>
    <row r="13985" spans="1:7" x14ac:dyDescent="0.25">
      <c r="A13985" t="s">
        <v>8</v>
      </c>
      <c r="B13985" s="1" t="str">
        <f>"000270975 - RICH FOODS-BOB"</f>
        <v>000270975 - RICH FOODS-BOB</v>
      </c>
      <c r="C13985" t="s">
        <v>445</v>
      </c>
      <c r="D13985" s="1" t="str">
        <f t="shared" si="383"/>
        <v>PRG-1041915</v>
      </c>
      <c r="E13985" t="s">
        <v>291</v>
      </c>
      <c r="F13985" t="s">
        <v>4</v>
      </c>
      <c r="G13985" t="str">
        <f>""</f>
        <v/>
      </c>
    </row>
    <row r="13986" spans="1:7" x14ac:dyDescent="0.25">
      <c r="A13986" t="s">
        <v>8</v>
      </c>
      <c r="B13986" s="1" t="str">
        <f>"000282167 - RICH FOODS-BOB"</f>
        <v>000282167 - RICH FOODS-BOB</v>
      </c>
      <c r="C13986" t="s">
        <v>445</v>
      </c>
      <c r="D13986" s="1" t="str">
        <f t="shared" si="383"/>
        <v>PRG-1041915</v>
      </c>
      <c r="E13986" t="s">
        <v>291</v>
      </c>
      <c r="F13986" t="s">
        <v>4</v>
      </c>
      <c r="G13986" t="str">
        <f>""</f>
        <v/>
      </c>
    </row>
    <row r="13987" spans="1:7" x14ac:dyDescent="0.25">
      <c r="A13987" t="s">
        <v>8</v>
      </c>
      <c r="B13987" s="1" t="str">
        <f>"000287370 - RICH FOODS-BOB"</f>
        <v>000287370 - RICH FOODS-BOB</v>
      </c>
      <c r="C13987" t="s">
        <v>445</v>
      </c>
      <c r="D13987" s="1" t="str">
        <f t="shared" si="383"/>
        <v>PRG-1041915</v>
      </c>
      <c r="E13987" t="s">
        <v>291</v>
      </c>
      <c r="F13987" t="s">
        <v>4</v>
      </c>
      <c r="G13987" t="str">
        <f>""</f>
        <v/>
      </c>
    </row>
    <row r="13988" spans="1:7" x14ac:dyDescent="0.25">
      <c r="A13988" t="s">
        <v>8</v>
      </c>
      <c r="B13988" s="1" t="str">
        <f>"000299760 - RICH FOODS-BOB"</f>
        <v>000299760 - RICH FOODS-BOB</v>
      </c>
      <c r="C13988" t="s">
        <v>445</v>
      </c>
      <c r="D13988" s="1" t="str">
        <f t="shared" si="383"/>
        <v>PRG-1041915</v>
      </c>
      <c r="E13988" t="s">
        <v>291</v>
      </c>
      <c r="F13988" t="s">
        <v>4</v>
      </c>
      <c r="G13988" t="str">
        <f>""</f>
        <v/>
      </c>
    </row>
    <row r="13989" spans="1:7" x14ac:dyDescent="0.25">
      <c r="A13989" t="s">
        <v>8</v>
      </c>
      <c r="B13989" s="1" t="str">
        <f>"000318894 - RICH FOODS BAPA-BEEF OBRADY"</f>
        <v>000318894 - RICH FOODS BAPA-BEEF OBRADY</v>
      </c>
      <c r="C13989" t="s">
        <v>366</v>
      </c>
      <c r="D13989" s="1" t="str">
        <f t="shared" si="383"/>
        <v>PRG-1041915</v>
      </c>
      <c r="E13989" t="s">
        <v>291</v>
      </c>
      <c r="F13989" t="s">
        <v>4</v>
      </c>
      <c r="G13989" t="str">
        <f>""</f>
        <v/>
      </c>
    </row>
    <row r="13990" spans="1:7" x14ac:dyDescent="0.25">
      <c r="A13990" t="s">
        <v>8</v>
      </c>
      <c r="B13990" s="1" t="str">
        <f>"000332834 - RICH FOODS-BOB"</f>
        <v>000332834 - RICH FOODS-BOB</v>
      </c>
      <c r="C13990" t="s">
        <v>445</v>
      </c>
      <c r="D13990" s="1" t="str">
        <f t="shared" si="383"/>
        <v>PRG-1041915</v>
      </c>
      <c r="E13990" t="s">
        <v>291</v>
      </c>
      <c r="F13990" t="s">
        <v>4</v>
      </c>
      <c r="G13990" t="str">
        <f>""</f>
        <v/>
      </c>
    </row>
    <row r="13991" spans="1:7" x14ac:dyDescent="0.25">
      <c r="A13991" t="s">
        <v>8</v>
      </c>
      <c r="B13991" s="1" t="str">
        <f>"000358375 - RICH FOODS-BOB"</f>
        <v>000358375 - RICH FOODS-BOB</v>
      </c>
      <c r="C13991" t="s">
        <v>445</v>
      </c>
      <c r="D13991" s="1" t="str">
        <f t="shared" si="383"/>
        <v>PRG-1041915</v>
      </c>
      <c r="E13991" t="s">
        <v>291</v>
      </c>
      <c r="F13991" t="s">
        <v>4</v>
      </c>
      <c r="G13991" t="str">
        <f>""</f>
        <v/>
      </c>
    </row>
    <row r="13992" spans="1:7" x14ac:dyDescent="0.25">
      <c r="A13992" t="s">
        <v>8</v>
      </c>
      <c r="B13992" s="1" t="str">
        <f>"000361090 - RICH FOODS-BOB"</f>
        <v>000361090 - RICH FOODS-BOB</v>
      </c>
      <c r="C13992" t="s">
        <v>445</v>
      </c>
      <c r="D13992" s="1" t="str">
        <f t="shared" si="383"/>
        <v>PRG-1041915</v>
      </c>
      <c r="E13992" t="s">
        <v>291</v>
      </c>
      <c r="F13992" t="s">
        <v>4</v>
      </c>
      <c r="G13992" t="str">
        <f>""</f>
        <v/>
      </c>
    </row>
    <row r="13993" spans="1:7" x14ac:dyDescent="0.25">
      <c r="A13993" t="s">
        <v>8</v>
      </c>
      <c r="B13993" s="1" t="str">
        <f>"000366630 - RICH FOODS-BOB"</f>
        <v>000366630 - RICH FOODS-BOB</v>
      </c>
      <c r="C13993" t="s">
        <v>445</v>
      </c>
      <c r="D13993" s="1" t="str">
        <f t="shared" si="383"/>
        <v>PRG-1041915</v>
      </c>
      <c r="E13993" t="s">
        <v>291</v>
      </c>
      <c r="F13993" t="s">
        <v>4</v>
      </c>
      <c r="G13993" t="str">
        <f>""</f>
        <v/>
      </c>
    </row>
    <row r="13994" spans="1:7" x14ac:dyDescent="0.25">
      <c r="A13994" t="s">
        <v>8</v>
      </c>
      <c r="B13994" s="1" t="str">
        <f>"000369984 - RICH FOODS-BOB"</f>
        <v>000369984 - RICH FOODS-BOB</v>
      </c>
      <c r="C13994" t="s">
        <v>445</v>
      </c>
      <c r="D13994" s="1" t="str">
        <f t="shared" si="383"/>
        <v>PRG-1041915</v>
      </c>
      <c r="E13994" t="s">
        <v>291</v>
      </c>
      <c r="F13994" t="s">
        <v>4</v>
      </c>
      <c r="G13994" t="str">
        <f>""</f>
        <v/>
      </c>
    </row>
    <row r="13995" spans="1:7" x14ac:dyDescent="0.25">
      <c r="A13995" t="s">
        <v>8</v>
      </c>
      <c r="B13995" s="1" t="str">
        <f>"000376271 - RICH FOODS-BOB"</f>
        <v>000376271 - RICH FOODS-BOB</v>
      </c>
      <c r="C13995" t="s">
        <v>445</v>
      </c>
      <c r="D13995" s="1" t="str">
        <f t="shared" si="383"/>
        <v>PRG-1041915</v>
      </c>
      <c r="E13995" t="s">
        <v>291</v>
      </c>
      <c r="F13995" t="s">
        <v>4</v>
      </c>
      <c r="G13995" t="str">
        <f>""</f>
        <v/>
      </c>
    </row>
    <row r="13996" spans="1:7" x14ac:dyDescent="0.25">
      <c r="A13996" t="s">
        <v>8</v>
      </c>
      <c r="B13996" s="1" t="str">
        <f>"000383086 - RICH FOODS BAPA-BEEF OBRADY"</f>
        <v>000383086 - RICH FOODS BAPA-BEEF OBRADY</v>
      </c>
      <c r="C13996" t="s">
        <v>366</v>
      </c>
      <c r="D13996" s="1" t="str">
        <f t="shared" si="383"/>
        <v>PRG-1041915</v>
      </c>
      <c r="E13996" t="s">
        <v>291</v>
      </c>
      <c r="F13996" t="s">
        <v>4</v>
      </c>
      <c r="G13996" t="str">
        <f>""</f>
        <v/>
      </c>
    </row>
    <row r="13997" spans="1:7" x14ac:dyDescent="0.25">
      <c r="A13997" t="s">
        <v>8</v>
      </c>
      <c r="B13997" s="1" t="str">
        <f>"000384131 - RICH FOODS-BOB"</f>
        <v>000384131 - RICH FOODS-BOB</v>
      </c>
      <c r="C13997" t="s">
        <v>445</v>
      </c>
      <c r="D13997" s="1" t="str">
        <f t="shared" si="383"/>
        <v>PRG-1041915</v>
      </c>
      <c r="E13997" t="s">
        <v>291</v>
      </c>
      <c r="F13997" t="s">
        <v>4</v>
      </c>
      <c r="G13997" t="str">
        <f>""</f>
        <v/>
      </c>
    </row>
    <row r="13998" spans="1:7" x14ac:dyDescent="0.25">
      <c r="A13998" t="s">
        <v>8</v>
      </c>
      <c r="B13998" s="1" t="str">
        <f>"000396033 - RICH FOODS-BOB"</f>
        <v>000396033 - RICH FOODS-BOB</v>
      </c>
      <c r="C13998" t="s">
        <v>445</v>
      </c>
      <c r="D13998" s="1" t="str">
        <f t="shared" si="383"/>
        <v>PRG-1041915</v>
      </c>
      <c r="E13998" t="s">
        <v>291</v>
      </c>
      <c r="F13998" t="s">
        <v>4</v>
      </c>
      <c r="G13998" t="str">
        <f>""</f>
        <v/>
      </c>
    </row>
    <row r="13999" spans="1:7" x14ac:dyDescent="0.25">
      <c r="A13999" t="s">
        <v>8</v>
      </c>
      <c r="B13999" s="1" t="str">
        <f>"000283473 - CHUBBYS-RICH PRODUCTS"</f>
        <v>000283473 - CHUBBYS-RICH PRODUCTS</v>
      </c>
      <c r="C13999" t="s">
        <v>1118</v>
      </c>
      <c r="D13999" s="1" t="str">
        <f>"PRG-1041918"</f>
        <v>PRG-1041918</v>
      </c>
      <c r="E13999" t="s">
        <v>2686</v>
      </c>
      <c r="F13999" t="s">
        <v>4</v>
      </c>
      <c r="G13999" t="str">
        <f>""</f>
        <v/>
      </c>
    </row>
    <row r="14000" spans="1:7" x14ac:dyDescent="0.25">
      <c r="A14000" t="s">
        <v>8</v>
      </c>
      <c r="B14000" s="1" t="str">
        <f>"000319431 - RICH ISLES PIZZA"</f>
        <v>000319431 - RICH ISLES PIZZA</v>
      </c>
      <c r="C14000" t="s">
        <v>1753</v>
      </c>
      <c r="D14000" s="1" t="str">
        <f>"PRG-1041925"</f>
        <v>PRG-1041925</v>
      </c>
      <c r="E14000" t="s">
        <v>2429</v>
      </c>
      <c r="F14000" t="s">
        <v>4</v>
      </c>
      <c r="G14000" t="str">
        <f>""</f>
        <v/>
      </c>
    </row>
    <row r="14001" spans="1:7" x14ac:dyDescent="0.25">
      <c r="A14001" t="s">
        <v>8</v>
      </c>
      <c r="B14001" s="1" t="str">
        <f>"S4H00CM0"</f>
        <v>S4H00CM0</v>
      </c>
      <c r="C14001" t="s">
        <v>5718</v>
      </c>
      <c r="D14001" s="1" t="str">
        <f>"PRG-1041934"</f>
        <v>PRG-1041934</v>
      </c>
      <c r="E14001" t="s">
        <v>5719</v>
      </c>
      <c r="F14001" t="s">
        <v>5</v>
      </c>
      <c r="G14001" t="str">
        <f>""</f>
        <v/>
      </c>
    </row>
    <row r="14002" spans="1:7" x14ac:dyDescent="0.25">
      <c r="A14002" t="s">
        <v>8</v>
      </c>
      <c r="B14002" s="1" t="str">
        <f>"000035060 - RICH-SHARIS"</f>
        <v>000035060 - RICH-SHARIS</v>
      </c>
      <c r="C14002" t="s">
        <v>523</v>
      </c>
      <c r="D14002" s="1" t="str">
        <f t="shared" ref="D14002:D14013" si="384">"PRG-1041937"</f>
        <v>PRG-1041937</v>
      </c>
      <c r="E14002" t="s">
        <v>21</v>
      </c>
      <c r="F14002" t="s">
        <v>4</v>
      </c>
      <c r="G14002" t="str">
        <f>""</f>
        <v/>
      </c>
    </row>
    <row r="14003" spans="1:7" x14ac:dyDescent="0.25">
      <c r="A14003" t="s">
        <v>8</v>
      </c>
      <c r="B14003" s="1" t="str">
        <f>"000076295 - RICH-SHARIS"</f>
        <v>000076295 - RICH-SHARIS</v>
      </c>
      <c r="C14003" t="s">
        <v>523</v>
      </c>
      <c r="D14003" s="1" t="str">
        <f t="shared" si="384"/>
        <v>PRG-1041937</v>
      </c>
      <c r="E14003" t="s">
        <v>21</v>
      </c>
      <c r="F14003" t="s">
        <v>4</v>
      </c>
      <c r="G14003" t="str">
        <f>""</f>
        <v/>
      </c>
    </row>
    <row r="14004" spans="1:7" x14ac:dyDescent="0.25">
      <c r="A14004" t="s">
        <v>8</v>
      </c>
      <c r="B14004" s="1" t="str">
        <f>"000095572 - RICH FOODS-SHARIS"</f>
        <v>000095572 - RICH FOODS-SHARIS</v>
      </c>
      <c r="C14004" t="s">
        <v>731</v>
      </c>
      <c r="D14004" s="1" t="str">
        <f t="shared" si="384"/>
        <v>PRG-1041937</v>
      </c>
      <c r="E14004" t="s">
        <v>21</v>
      </c>
      <c r="F14004" t="s">
        <v>4</v>
      </c>
      <c r="G14004" t="str">
        <f>""</f>
        <v/>
      </c>
    </row>
    <row r="14005" spans="1:7" x14ac:dyDescent="0.25">
      <c r="A14005" t="s">
        <v>8</v>
      </c>
      <c r="B14005" s="1" t="str">
        <f>"000176304 - RICH-SHARIS"</f>
        <v>000176304 - RICH-SHARIS</v>
      </c>
      <c r="C14005" t="s">
        <v>523</v>
      </c>
      <c r="D14005" s="1" t="str">
        <f t="shared" si="384"/>
        <v>PRG-1041937</v>
      </c>
      <c r="E14005" t="s">
        <v>21</v>
      </c>
      <c r="F14005" t="s">
        <v>4</v>
      </c>
      <c r="G14005" t="str">
        <f>""</f>
        <v/>
      </c>
    </row>
    <row r="14006" spans="1:7" x14ac:dyDescent="0.25">
      <c r="A14006" t="s">
        <v>8</v>
      </c>
      <c r="B14006" s="1" t="str">
        <f>"000194263 - RICH FOODS-SHARIS"</f>
        <v>000194263 - RICH FOODS-SHARIS</v>
      </c>
      <c r="C14006" t="s">
        <v>731</v>
      </c>
      <c r="D14006" s="1" t="str">
        <f t="shared" si="384"/>
        <v>PRG-1041937</v>
      </c>
      <c r="E14006" t="s">
        <v>21</v>
      </c>
      <c r="F14006" t="s">
        <v>4</v>
      </c>
      <c r="G14006" t="str">
        <f>""</f>
        <v/>
      </c>
    </row>
    <row r="14007" spans="1:7" x14ac:dyDescent="0.25">
      <c r="A14007" t="s">
        <v>8</v>
      </c>
      <c r="B14007" s="1" t="str">
        <f>"000296799 - RICH FOODS 1833359 SHARI'S"</f>
        <v>000296799 - RICH FOODS 1833359 SHARI'S</v>
      </c>
      <c r="C14007" t="s">
        <v>2918</v>
      </c>
      <c r="D14007" s="1" t="str">
        <f t="shared" si="384"/>
        <v>PRG-1041937</v>
      </c>
      <c r="E14007" t="s">
        <v>21</v>
      </c>
      <c r="F14007" t="s">
        <v>4</v>
      </c>
      <c r="G14007" t="str">
        <f>""</f>
        <v/>
      </c>
    </row>
    <row r="14008" spans="1:7" x14ac:dyDescent="0.25">
      <c r="A14008" t="s">
        <v>8</v>
      </c>
      <c r="B14008" s="1" t="str">
        <f>"000335355 - RICH-SHARIS"</f>
        <v>000335355 - RICH-SHARIS</v>
      </c>
      <c r="C14008" t="s">
        <v>523</v>
      </c>
      <c r="D14008" s="1" t="str">
        <f t="shared" si="384"/>
        <v>PRG-1041937</v>
      </c>
      <c r="E14008" t="s">
        <v>21</v>
      </c>
      <c r="F14008" t="s">
        <v>4</v>
      </c>
      <c r="G14008" t="str">
        <f>""</f>
        <v/>
      </c>
    </row>
    <row r="14009" spans="1:7" x14ac:dyDescent="0.25">
      <c r="A14009" t="s">
        <v>8</v>
      </c>
      <c r="B14009" s="1" t="str">
        <f>"000348543 - RICH-SHARIS"</f>
        <v>000348543 - RICH-SHARIS</v>
      </c>
      <c r="C14009" t="s">
        <v>523</v>
      </c>
      <c r="D14009" s="1" t="str">
        <f t="shared" si="384"/>
        <v>PRG-1041937</v>
      </c>
      <c r="E14009" t="s">
        <v>21</v>
      </c>
      <c r="F14009" t="s">
        <v>4</v>
      </c>
      <c r="G14009" t="str">
        <f>""</f>
        <v/>
      </c>
    </row>
    <row r="14010" spans="1:7" x14ac:dyDescent="0.25">
      <c r="A14010" t="s">
        <v>8</v>
      </c>
      <c r="B14010" s="1" t="str">
        <f>"000363445 - RICH FOODS-SHARIS"</f>
        <v>000363445 - RICH FOODS-SHARIS</v>
      </c>
      <c r="C14010" t="s">
        <v>731</v>
      </c>
      <c r="D14010" s="1" t="str">
        <f t="shared" si="384"/>
        <v>PRG-1041937</v>
      </c>
      <c r="E14010" t="s">
        <v>21</v>
      </c>
      <c r="F14010" t="s">
        <v>4</v>
      </c>
      <c r="G14010" t="str">
        <f>""</f>
        <v/>
      </c>
    </row>
    <row r="14011" spans="1:7" x14ac:dyDescent="0.25">
      <c r="A14011" t="s">
        <v>8</v>
      </c>
      <c r="B14011" s="1" t="str">
        <f>"000375397 - RICH FOODS-SHARIS"</f>
        <v>000375397 - RICH FOODS-SHARIS</v>
      </c>
      <c r="C14011" t="s">
        <v>731</v>
      </c>
      <c r="D14011" s="1" t="str">
        <f t="shared" si="384"/>
        <v>PRG-1041937</v>
      </c>
      <c r="E14011" t="s">
        <v>21</v>
      </c>
      <c r="F14011" t="s">
        <v>4</v>
      </c>
      <c r="G14011" t="str">
        <f>""</f>
        <v/>
      </c>
    </row>
    <row r="14012" spans="1:7" x14ac:dyDescent="0.25">
      <c r="A14012" t="s">
        <v>8</v>
      </c>
      <c r="B14012" s="1" t="str">
        <f>"000381669 - RICH-SHARIS"</f>
        <v>000381669 - RICH-SHARIS</v>
      </c>
      <c r="C14012" t="s">
        <v>523</v>
      </c>
      <c r="D14012" s="1" t="str">
        <f t="shared" si="384"/>
        <v>PRG-1041937</v>
      </c>
      <c r="E14012" t="s">
        <v>21</v>
      </c>
      <c r="F14012" t="s">
        <v>4</v>
      </c>
      <c r="G14012" t="str">
        <f>""</f>
        <v/>
      </c>
    </row>
    <row r="14013" spans="1:7" x14ac:dyDescent="0.25">
      <c r="A14013" t="s">
        <v>8</v>
      </c>
      <c r="B14013" s="1" t="str">
        <f>"000408293 - RICH FOODS-SHARIS"</f>
        <v>000408293 - RICH FOODS-SHARIS</v>
      </c>
      <c r="C14013" t="s">
        <v>731</v>
      </c>
      <c r="D14013" s="1" t="str">
        <f t="shared" si="384"/>
        <v>PRG-1041937</v>
      </c>
      <c r="E14013" t="s">
        <v>21</v>
      </c>
      <c r="F14013" t="s">
        <v>4</v>
      </c>
      <c r="G14013" t="str">
        <f>""</f>
        <v/>
      </c>
    </row>
    <row r="14014" spans="1:7" x14ac:dyDescent="0.25">
      <c r="A14014" t="s">
        <v>8</v>
      </c>
      <c r="B14014" s="1" t="str">
        <f>"000121713 - RICH'S CASSANO'S"</f>
        <v>000121713 - RICH'S CASSANO'S</v>
      </c>
      <c r="C14014" t="s">
        <v>891</v>
      </c>
      <c r="D14014" s="1" t="str">
        <f>"PRG-1041939"</f>
        <v>PRG-1041939</v>
      </c>
      <c r="E14014" t="s">
        <v>892</v>
      </c>
      <c r="F14014" t="s">
        <v>4</v>
      </c>
      <c r="G14014" t="str">
        <f>""</f>
        <v/>
      </c>
    </row>
    <row r="14015" spans="1:7" x14ac:dyDescent="0.25">
      <c r="A14015" t="s">
        <v>8</v>
      </c>
      <c r="B14015" s="1" t="str">
        <f>"S9D00UI0"</f>
        <v>S9D00UI0</v>
      </c>
      <c r="C14015" t="s">
        <v>6342</v>
      </c>
      <c r="D14015" s="1" t="str">
        <f>"PRG-1041944"</f>
        <v>PRG-1041944</v>
      </c>
      <c r="E14015" t="s">
        <v>6343</v>
      </c>
      <c r="F14015" t="s">
        <v>5</v>
      </c>
      <c r="G14015" t="str">
        <f>""</f>
        <v/>
      </c>
    </row>
    <row r="14016" spans="1:7" x14ac:dyDescent="0.25">
      <c r="A14016" t="s">
        <v>8</v>
      </c>
      <c r="B14016" s="1" t="str">
        <f>"000250156 - RICH FOODS-BOSTON PIZZA"</f>
        <v>000250156 - RICH FOODS-BOSTON PIZZA</v>
      </c>
      <c r="C14016" t="s">
        <v>899</v>
      </c>
      <c r="D14016" s="1" t="str">
        <f>"PRG-1041945"</f>
        <v>PRG-1041945</v>
      </c>
      <c r="E14016" t="s">
        <v>2092</v>
      </c>
      <c r="F14016" t="s">
        <v>4</v>
      </c>
      <c r="G14016" t="str">
        <f>""</f>
        <v/>
      </c>
    </row>
    <row r="14017" spans="1:7" x14ac:dyDescent="0.25">
      <c r="A14017" t="s">
        <v>8</v>
      </c>
      <c r="B14017" s="1" t="str">
        <f>"000278584 - RICH FOODS-BOSTON PIZZA"</f>
        <v>000278584 - RICH FOODS-BOSTON PIZZA</v>
      </c>
      <c r="C14017" t="s">
        <v>899</v>
      </c>
      <c r="D14017" s="1" t="str">
        <f>"PRG-1041945"</f>
        <v>PRG-1041945</v>
      </c>
      <c r="E14017" t="s">
        <v>2092</v>
      </c>
      <c r="F14017" t="s">
        <v>4</v>
      </c>
      <c r="G14017" t="str">
        <f>""</f>
        <v/>
      </c>
    </row>
    <row r="14018" spans="1:7" x14ac:dyDescent="0.25">
      <c r="A14018" t="s">
        <v>8</v>
      </c>
      <c r="B14018" s="1" t="str">
        <f>"000285020 - RICH FOODS-BOSTON PIZZA"</f>
        <v>000285020 - RICH FOODS-BOSTON PIZZA</v>
      </c>
      <c r="C14018" t="s">
        <v>899</v>
      </c>
      <c r="D14018" s="1" t="str">
        <f>"PRG-1041945"</f>
        <v>PRG-1041945</v>
      </c>
      <c r="E14018" t="s">
        <v>2092</v>
      </c>
      <c r="F14018" t="s">
        <v>4</v>
      </c>
      <c r="G14018" t="str">
        <f>""</f>
        <v/>
      </c>
    </row>
    <row r="14019" spans="1:7" x14ac:dyDescent="0.25">
      <c r="A14019" t="s">
        <v>8</v>
      </c>
      <c r="B14019" s="1" t="str">
        <f>"000381417 - RICH FOODS-BOSTON PIZZA"</f>
        <v>000381417 - RICH FOODS-BOSTON PIZZA</v>
      </c>
      <c r="C14019" t="s">
        <v>899</v>
      </c>
      <c r="D14019" s="1" t="str">
        <f>"PRG-1041945"</f>
        <v>PRG-1041945</v>
      </c>
      <c r="E14019" t="s">
        <v>2092</v>
      </c>
      <c r="F14019" t="s">
        <v>4</v>
      </c>
      <c r="G14019" t="str">
        <f>""</f>
        <v/>
      </c>
    </row>
    <row r="14020" spans="1:7" x14ac:dyDescent="0.25">
      <c r="A14020" t="s">
        <v>8</v>
      </c>
      <c r="B14020" s="1" t="str">
        <f>"000398321 - RICH FOODS-BOSTON PIZZA"</f>
        <v>000398321 - RICH FOODS-BOSTON PIZZA</v>
      </c>
      <c r="C14020" t="s">
        <v>899</v>
      </c>
      <c r="D14020" s="1" t="str">
        <f>"PRG-1041945"</f>
        <v>PRG-1041945</v>
      </c>
      <c r="E14020" t="s">
        <v>2092</v>
      </c>
      <c r="F14020" t="s">
        <v>4</v>
      </c>
      <c r="G14020" t="str">
        <f>""</f>
        <v/>
      </c>
    </row>
    <row r="14021" spans="1:7" x14ac:dyDescent="0.25">
      <c r="A14021" t="s">
        <v>8</v>
      </c>
      <c r="B14021" s="1" t="str">
        <f>"000034490 - RICH FOODS-GOOD SAMARITAN"</f>
        <v>000034490 - RICH FOODS-GOOD SAMARITAN</v>
      </c>
      <c r="C14021" t="s">
        <v>467</v>
      </c>
      <c r="D14021" s="1" t="str">
        <f t="shared" ref="D14021:D14033" si="385">"PRG-1041947"</f>
        <v>PRG-1041947</v>
      </c>
      <c r="E14021" t="s">
        <v>518</v>
      </c>
      <c r="F14021" t="s">
        <v>4</v>
      </c>
      <c r="G14021" t="str">
        <f>""</f>
        <v/>
      </c>
    </row>
    <row r="14022" spans="1:7" x14ac:dyDescent="0.25">
      <c r="A14022" t="s">
        <v>8</v>
      </c>
      <c r="B14022" s="1" t="str">
        <f>"000036151 - RICH FOODS-GOOD SAMARITAN"</f>
        <v>000036151 - RICH FOODS-GOOD SAMARITAN</v>
      </c>
      <c r="C14022" t="s">
        <v>467</v>
      </c>
      <c r="D14022" s="1" t="str">
        <f t="shared" si="385"/>
        <v>PRG-1041947</v>
      </c>
      <c r="E14022" t="s">
        <v>518</v>
      </c>
      <c r="F14022" t="s">
        <v>4</v>
      </c>
      <c r="G14022" t="str">
        <f>""</f>
        <v/>
      </c>
    </row>
    <row r="14023" spans="1:7" x14ac:dyDescent="0.25">
      <c r="A14023" t="s">
        <v>8</v>
      </c>
      <c r="B14023" s="1" t="str">
        <f>"000046127 - RICH FOODS-GOOD SAMARITAN"</f>
        <v>000046127 - RICH FOODS-GOOD SAMARITAN</v>
      </c>
      <c r="C14023" t="s">
        <v>467</v>
      </c>
      <c r="D14023" s="1" t="str">
        <f t="shared" si="385"/>
        <v>PRG-1041947</v>
      </c>
      <c r="E14023" t="s">
        <v>518</v>
      </c>
      <c r="F14023" t="s">
        <v>4</v>
      </c>
      <c r="G14023" t="str">
        <f>""</f>
        <v/>
      </c>
    </row>
    <row r="14024" spans="1:7" x14ac:dyDescent="0.25">
      <c r="A14024" t="s">
        <v>8</v>
      </c>
      <c r="B14024" s="1" t="str">
        <f>"000181686 - RICH FOODS-GOOD SAMARITAN"</f>
        <v>000181686 - RICH FOODS-GOOD SAMARITAN</v>
      </c>
      <c r="C14024" t="s">
        <v>467</v>
      </c>
      <c r="D14024" s="1" t="str">
        <f t="shared" si="385"/>
        <v>PRG-1041947</v>
      </c>
      <c r="E14024" t="s">
        <v>518</v>
      </c>
      <c r="F14024" t="s">
        <v>4</v>
      </c>
      <c r="G14024" t="str">
        <f>""</f>
        <v/>
      </c>
    </row>
    <row r="14025" spans="1:7" x14ac:dyDescent="0.25">
      <c r="A14025" t="s">
        <v>8</v>
      </c>
      <c r="B14025" s="1" t="str">
        <f>"000277964 - RICH FOODS-GOOD SAMARITAN"</f>
        <v>000277964 - RICH FOODS-GOOD SAMARITAN</v>
      </c>
      <c r="C14025" t="s">
        <v>467</v>
      </c>
      <c r="D14025" s="1" t="str">
        <f t="shared" si="385"/>
        <v>PRG-1041947</v>
      </c>
      <c r="E14025" t="s">
        <v>518</v>
      </c>
      <c r="F14025" t="s">
        <v>4</v>
      </c>
      <c r="G14025" t="str">
        <f>""</f>
        <v/>
      </c>
    </row>
    <row r="14026" spans="1:7" x14ac:dyDescent="0.25">
      <c r="A14026" t="s">
        <v>8</v>
      </c>
      <c r="B14026" s="1" t="str">
        <f>"000296207 - RICH FOODS-GOOD SAMARITAN"</f>
        <v>000296207 - RICH FOODS-GOOD SAMARITAN</v>
      </c>
      <c r="C14026" t="s">
        <v>467</v>
      </c>
      <c r="D14026" s="1" t="str">
        <f t="shared" si="385"/>
        <v>PRG-1041947</v>
      </c>
      <c r="E14026" t="s">
        <v>518</v>
      </c>
      <c r="F14026" t="s">
        <v>4</v>
      </c>
      <c r="G14026" t="str">
        <f>""</f>
        <v/>
      </c>
    </row>
    <row r="14027" spans="1:7" x14ac:dyDescent="0.25">
      <c r="A14027" t="s">
        <v>8</v>
      </c>
      <c r="B14027" s="1" t="str">
        <f>"000296324 - RICH FOODS-GOOD SAMARITAN"</f>
        <v>000296324 - RICH FOODS-GOOD SAMARITAN</v>
      </c>
      <c r="C14027" t="s">
        <v>467</v>
      </c>
      <c r="D14027" s="1" t="str">
        <f t="shared" si="385"/>
        <v>PRG-1041947</v>
      </c>
      <c r="E14027" t="s">
        <v>518</v>
      </c>
      <c r="F14027" t="s">
        <v>4</v>
      </c>
      <c r="G14027" t="str">
        <f>""</f>
        <v/>
      </c>
    </row>
    <row r="14028" spans="1:7" x14ac:dyDescent="0.25">
      <c r="A14028" t="s">
        <v>8</v>
      </c>
      <c r="B14028" s="1" t="str">
        <f>"000310323 - RICH FOODS-GOOD SAMARITAN"</f>
        <v>000310323 - RICH FOODS-GOOD SAMARITAN</v>
      </c>
      <c r="C14028" t="s">
        <v>467</v>
      </c>
      <c r="D14028" s="1" t="str">
        <f t="shared" si="385"/>
        <v>PRG-1041947</v>
      </c>
      <c r="E14028" t="s">
        <v>518</v>
      </c>
      <c r="F14028" t="s">
        <v>4</v>
      </c>
      <c r="G14028" t="str">
        <f>""</f>
        <v/>
      </c>
    </row>
    <row r="14029" spans="1:7" x14ac:dyDescent="0.25">
      <c r="A14029" t="s">
        <v>8</v>
      </c>
      <c r="B14029" s="1" t="str">
        <f>"000356726 - RICH FOODS-GOOD SAMARITAN"</f>
        <v>000356726 - RICH FOODS-GOOD SAMARITAN</v>
      </c>
      <c r="C14029" t="s">
        <v>467</v>
      </c>
      <c r="D14029" s="1" t="str">
        <f t="shared" si="385"/>
        <v>PRG-1041947</v>
      </c>
      <c r="E14029" t="s">
        <v>518</v>
      </c>
      <c r="F14029" t="s">
        <v>4</v>
      </c>
      <c r="G14029" t="str">
        <f>""</f>
        <v/>
      </c>
    </row>
    <row r="14030" spans="1:7" x14ac:dyDescent="0.25">
      <c r="A14030" t="s">
        <v>8</v>
      </c>
      <c r="B14030" s="1" t="str">
        <f>"000381025 - RICH FOODS-GOOD SAMARITAN"</f>
        <v>000381025 - RICH FOODS-GOOD SAMARITAN</v>
      </c>
      <c r="C14030" t="s">
        <v>467</v>
      </c>
      <c r="D14030" s="1" t="str">
        <f t="shared" si="385"/>
        <v>PRG-1041947</v>
      </c>
      <c r="E14030" t="s">
        <v>518</v>
      </c>
      <c r="F14030" t="s">
        <v>4</v>
      </c>
      <c r="G14030" t="str">
        <f>""</f>
        <v/>
      </c>
    </row>
    <row r="14031" spans="1:7" x14ac:dyDescent="0.25">
      <c r="A14031" t="s">
        <v>8</v>
      </c>
      <c r="B14031" s="1" t="str">
        <f>"000388612 - RICH FOODS-GOOD SAMARITAN"</f>
        <v>000388612 - RICH FOODS-GOOD SAMARITAN</v>
      </c>
      <c r="C14031" t="s">
        <v>467</v>
      </c>
      <c r="D14031" s="1" t="str">
        <f t="shared" si="385"/>
        <v>PRG-1041947</v>
      </c>
      <c r="E14031" t="s">
        <v>518</v>
      </c>
      <c r="F14031" t="s">
        <v>4</v>
      </c>
      <c r="G14031" t="str">
        <f>""</f>
        <v/>
      </c>
    </row>
    <row r="14032" spans="1:7" x14ac:dyDescent="0.25">
      <c r="A14032" t="s">
        <v>8</v>
      </c>
      <c r="B14032" s="1" t="str">
        <f>"000397398 - RICH FOODS-GOOD SAMARITAN"</f>
        <v>000397398 - RICH FOODS-GOOD SAMARITAN</v>
      </c>
      <c r="C14032" t="s">
        <v>467</v>
      </c>
      <c r="D14032" s="1" t="str">
        <f t="shared" si="385"/>
        <v>PRG-1041947</v>
      </c>
      <c r="E14032" t="s">
        <v>518</v>
      </c>
      <c r="F14032" t="s">
        <v>4</v>
      </c>
      <c r="G14032" t="str">
        <f>""</f>
        <v/>
      </c>
    </row>
    <row r="14033" spans="1:7" x14ac:dyDescent="0.25">
      <c r="A14033" t="s">
        <v>8</v>
      </c>
      <c r="B14033" s="1" t="str">
        <f>"000407782 - RICH FOODS-GOOD SAMARITAN"</f>
        <v>000407782 - RICH FOODS-GOOD SAMARITAN</v>
      </c>
      <c r="C14033" t="s">
        <v>467</v>
      </c>
      <c r="D14033" s="1" t="str">
        <f t="shared" si="385"/>
        <v>PRG-1041947</v>
      </c>
      <c r="E14033" t="s">
        <v>518</v>
      </c>
      <c r="F14033" t="s">
        <v>4</v>
      </c>
      <c r="G14033" t="str">
        <f>""</f>
        <v/>
      </c>
    </row>
    <row r="14034" spans="1:7" x14ac:dyDescent="0.25">
      <c r="A14034" t="s">
        <v>8</v>
      </c>
      <c r="B14034" s="1" t="str">
        <f>"S5O00XJ0"</f>
        <v>S5O00XJ0</v>
      </c>
      <c r="C14034" t="s">
        <v>5931</v>
      </c>
      <c r="D14034" s="1" t="str">
        <f>"PRG-1041950"</f>
        <v>PRG-1041950</v>
      </c>
      <c r="E14034" t="s">
        <v>5932</v>
      </c>
      <c r="F14034" t="s">
        <v>5</v>
      </c>
      <c r="G14034" t="str">
        <f>""</f>
        <v/>
      </c>
    </row>
    <row r="14035" spans="1:7" x14ac:dyDescent="0.25">
      <c r="A14035" t="s">
        <v>8</v>
      </c>
      <c r="B14035" s="1" t="str">
        <f>"000301134 - RICH PRODUCTS IZZY'S"</f>
        <v>000301134 - RICH PRODUCTS IZZY'S</v>
      </c>
      <c r="C14035" t="s">
        <v>2572</v>
      </c>
      <c r="D14035" s="1" t="str">
        <f>"PRG-1041971"</f>
        <v>PRG-1041971</v>
      </c>
      <c r="E14035" t="s">
        <v>2978</v>
      </c>
      <c r="F14035" t="s">
        <v>4</v>
      </c>
      <c r="G14035" t="str">
        <f>""</f>
        <v/>
      </c>
    </row>
    <row r="14036" spans="1:7" x14ac:dyDescent="0.25">
      <c r="A14036" t="s">
        <v>8</v>
      </c>
      <c r="B14036" s="1" t="str">
        <f>"000374689 - RICH'S IZZY'S"</f>
        <v>000374689 - RICH'S IZZY'S</v>
      </c>
      <c r="C14036" t="s">
        <v>3640</v>
      </c>
      <c r="D14036" s="1" t="str">
        <f>"PRG-1041971"</f>
        <v>PRG-1041971</v>
      </c>
      <c r="E14036" t="s">
        <v>2978</v>
      </c>
      <c r="F14036" t="s">
        <v>4</v>
      </c>
      <c r="G14036" t="str">
        <f>""</f>
        <v/>
      </c>
    </row>
    <row r="14037" spans="1:7" x14ac:dyDescent="0.25">
      <c r="A14037" t="s">
        <v>8</v>
      </c>
      <c r="B14037" s="1" t="str">
        <f>"23500411"</f>
        <v>23500411</v>
      </c>
      <c r="C14037" t="s">
        <v>4500</v>
      </c>
      <c r="D14037" s="1" t="str">
        <f>"PRG-1041976"</f>
        <v>PRG-1041976</v>
      </c>
      <c r="E14037" t="s">
        <v>4501</v>
      </c>
      <c r="F14037" t="s">
        <v>5</v>
      </c>
      <c r="G14037" t="str">
        <f>""</f>
        <v/>
      </c>
    </row>
    <row r="14038" spans="1:7" x14ac:dyDescent="0.25">
      <c r="A14038" t="s">
        <v>8</v>
      </c>
      <c r="B14038" s="1" t="str">
        <f>"000273151 - RICH SUGAR BAKERS BILL SFDS"</f>
        <v>000273151 - RICH SUGAR BAKERS BILL SFDS</v>
      </c>
      <c r="C14038" t="s">
        <v>1593</v>
      </c>
      <c r="D14038" s="1" t="str">
        <f>"PRG-1041977"</f>
        <v>PRG-1041977</v>
      </c>
      <c r="E14038" t="s">
        <v>2154</v>
      </c>
      <c r="F14038" t="s">
        <v>4</v>
      </c>
      <c r="G14038" t="str">
        <f>""</f>
        <v/>
      </c>
    </row>
    <row r="14039" spans="1:7" x14ac:dyDescent="0.25">
      <c r="A14039" t="s">
        <v>8</v>
      </c>
      <c r="B14039" s="1" t="str">
        <f>"S3Y00XN0"</f>
        <v>S3Y00XN0</v>
      </c>
      <c r="C14039" t="s">
        <v>5691</v>
      </c>
      <c r="D14039" s="1" t="str">
        <f>"PRG-1041992"</f>
        <v>PRG-1041992</v>
      </c>
      <c r="E14039" t="s">
        <v>3489</v>
      </c>
      <c r="F14039" t="s">
        <v>5</v>
      </c>
      <c r="G14039" t="str">
        <f>""</f>
        <v/>
      </c>
    </row>
    <row r="14040" spans="1:7" x14ac:dyDescent="0.25">
      <c r="A14040" t="s">
        <v>8</v>
      </c>
      <c r="B14040" s="1" t="str">
        <f>"S9D00VG0"</f>
        <v>S9D00VG0</v>
      </c>
      <c r="C14040" t="s">
        <v>6346</v>
      </c>
      <c r="D14040" s="1" t="str">
        <f>"PRG-1041993"</f>
        <v>PRG-1041993</v>
      </c>
      <c r="E14040" t="s">
        <v>6347</v>
      </c>
      <c r="F14040" t="s">
        <v>5</v>
      </c>
      <c r="G14040" t="str">
        <f>""</f>
        <v/>
      </c>
    </row>
    <row r="14041" spans="1:7" x14ac:dyDescent="0.25">
      <c r="A14041" t="s">
        <v>8</v>
      </c>
      <c r="B14041" s="1" t="str">
        <f>"S9D00VH0"</f>
        <v>S9D00VH0</v>
      </c>
      <c r="C14041" t="s">
        <v>6348</v>
      </c>
      <c r="D14041" s="1" t="str">
        <f>"PRG-1041994"</f>
        <v>PRG-1041994</v>
      </c>
      <c r="E14041" t="s">
        <v>6349</v>
      </c>
      <c r="F14041" t="s">
        <v>5</v>
      </c>
      <c r="G14041" t="str">
        <f>""</f>
        <v/>
      </c>
    </row>
    <row r="14042" spans="1:7" x14ac:dyDescent="0.25">
      <c r="A14042" t="s">
        <v>8</v>
      </c>
      <c r="B14042" s="1" t="str">
        <f>"000283361 - RICH DC-SHORT STOP DELI"</f>
        <v>000283361 - RICH DC-SHORT STOP DELI</v>
      </c>
      <c r="C14042" t="s">
        <v>2261</v>
      </c>
      <c r="D14042" s="1" t="str">
        <f>"PRG-1041999"</f>
        <v>PRG-1041999</v>
      </c>
      <c r="E14042" t="s">
        <v>2684</v>
      </c>
      <c r="F14042" t="s">
        <v>4</v>
      </c>
      <c r="G14042" t="str">
        <f>""</f>
        <v/>
      </c>
    </row>
    <row r="14043" spans="1:7" x14ac:dyDescent="0.25">
      <c r="A14043" t="s">
        <v>8</v>
      </c>
      <c r="B14043" s="1" t="str">
        <f>"000326360 - RICH DC-SHORT STOP DELI"</f>
        <v>000326360 - RICH DC-SHORT STOP DELI</v>
      </c>
      <c r="C14043" t="s">
        <v>2261</v>
      </c>
      <c r="D14043" s="1" t="str">
        <f>"PRG-1041999"</f>
        <v>PRG-1041999</v>
      </c>
      <c r="E14043" t="s">
        <v>2684</v>
      </c>
      <c r="F14043" t="s">
        <v>4</v>
      </c>
      <c r="G14043" t="str">
        <f>""</f>
        <v/>
      </c>
    </row>
    <row r="14044" spans="1:7" x14ac:dyDescent="0.25">
      <c r="A14044" t="s">
        <v>8</v>
      </c>
      <c r="B14044" s="1" t="str">
        <f>"000309850 - RICH CACHE CREEK"</f>
        <v>000309850 - RICH CACHE CREEK</v>
      </c>
      <c r="C14044" t="s">
        <v>3100</v>
      </c>
      <c r="D14044" s="1" t="str">
        <f>"PRG-1042001"</f>
        <v>PRG-1042001</v>
      </c>
      <c r="E14044" t="s">
        <v>3101</v>
      </c>
      <c r="F14044" t="s">
        <v>4</v>
      </c>
      <c r="G14044" t="str">
        <f>""</f>
        <v/>
      </c>
    </row>
    <row r="14045" spans="1:7" x14ac:dyDescent="0.25">
      <c r="A14045" t="s">
        <v>8</v>
      </c>
      <c r="B14045" s="1" t="str">
        <f>"000232965 - RICH DC TBONZ"</f>
        <v>000232965 - RICH DC TBONZ</v>
      </c>
      <c r="C14045" t="s">
        <v>1327</v>
      </c>
      <c r="D14045" s="1" t="str">
        <f>"PRG-1042005"</f>
        <v>PRG-1042005</v>
      </c>
      <c r="E14045" t="s">
        <v>1328</v>
      </c>
      <c r="F14045" t="s">
        <v>4</v>
      </c>
      <c r="G14045" t="str">
        <f>""</f>
        <v/>
      </c>
    </row>
    <row r="14046" spans="1:7" x14ac:dyDescent="0.25">
      <c r="A14046" t="s">
        <v>8</v>
      </c>
      <c r="B14046" s="1" t="str">
        <f>"000274066 - RICH DC TBONZ"</f>
        <v>000274066 - RICH DC TBONZ</v>
      </c>
      <c r="C14046" t="s">
        <v>1327</v>
      </c>
      <c r="D14046" s="1" t="str">
        <f>"PRG-1042005"</f>
        <v>PRG-1042005</v>
      </c>
      <c r="E14046" t="s">
        <v>1328</v>
      </c>
      <c r="F14046" t="s">
        <v>4</v>
      </c>
      <c r="G14046" t="str">
        <f>""</f>
        <v/>
      </c>
    </row>
    <row r="14047" spans="1:7" x14ac:dyDescent="0.25">
      <c r="A14047" t="s">
        <v>8</v>
      </c>
      <c r="B14047" s="1" t="str">
        <f>"000364773 - RICH PIZZA DOUGH STEAK 48"</f>
        <v>000364773 - RICH PIZZA DOUGH STEAK 48</v>
      </c>
      <c r="C14047" t="s">
        <v>3244</v>
      </c>
      <c r="D14047" s="1" t="str">
        <f>"PRG-1042023"</f>
        <v>PRG-1042023</v>
      </c>
      <c r="E14047" t="s">
        <v>3600</v>
      </c>
      <c r="F14047" t="s">
        <v>4</v>
      </c>
      <c r="G14047" t="str">
        <f>""</f>
        <v/>
      </c>
    </row>
    <row r="14048" spans="1:7" x14ac:dyDescent="0.25">
      <c r="A14048" t="s">
        <v>8</v>
      </c>
      <c r="B14048" s="1" t="str">
        <f>"KWIK CHEK"</f>
        <v>KWIK CHEK</v>
      </c>
      <c r="C14048" t="s">
        <v>5320</v>
      </c>
      <c r="D14048" s="1" t="str">
        <f>"PRG-1042024"</f>
        <v>PRG-1042024</v>
      </c>
      <c r="E14048" t="s">
        <v>5321</v>
      </c>
      <c r="F14048" t="s">
        <v>7</v>
      </c>
      <c r="G14048" t="str">
        <f>""</f>
        <v/>
      </c>
    </row>
    <row r="14049" spans="1:7" x14ac:dyDescent="0.25">
      <c r="A14049" t="s">
        <v>8</v>
      </c>
      <c r="B14049" s="1" t="str">
        <f>"000067160 - RICH FOODS GLACIER"</f>
        <v>000067160 - RICH FOODS GLACIER</v>
      </c>
      <c r="C14049" t="s">
        <v>433</v>
      </c>
      <c r="D14049" s="1" t="str">
        <f t="shared" ref="D14049:D14056" si="386">"PRG-1042025"</f>
        <v>PRG-1042025</v>
      </c>
      <c r="E14049" t="s">
        <v>722</v>
      </c>
      <c r="F14049" t="s">
        <v>4</v>
      </c>
      <c r="G14049" t="str">
        <f>""</f>
        <v/>
      </c>
    </row>
    <row r="14050" spans="1:7" x14ac:dyDescent="0.25">
      <c r="A14050" t="s">
        <v>8</v>
      </c>
      <c r="B14050" s="1" t="str">
        <f>"000169735 - RICH FOODS GLACIER"</f>
        <v>000169735 - RICH FOODS GLACIER</v>
      </c>
      <c r="C14050" t="s">
        <v>433</v>
      </c>
      <c r="D14050" s="1" t="str">
        <f t="shared" si="386"/>
        <v>PRG-1042025</v>
      </c>
      <c r="E14050" t="s">
        <v>722</v>
      </c>
      <c r="F14050" t="s">
        <v>4</v>
      </c>
      <c r="G14050" t="str">
        <f>""</f>
        <v/>
      </c>
    </row>
    <row r="14051" spans="1:7" x14ac:dyDescent="0.25">
      <c r="A14051" t="s">
        <v>8</v>
      </c>
      <c r="B14051" s="1" t="str">
        <f>"000193270 - RICH FOODS GLACIER"</f>
        <v>000193270 - RICH FOODS GLACIER</v>
      </c>
      <c r="C14051" t="s">
        <v>433</v>
      </c>
      <c r="D14051" s="1" t="str">
        <f t="shared" si="386"/>
        <v>PRG-1042025</v>
      </c>
      <c r="E14051" t="s">
        <v>722</v>
      </c>
      <c r="F14051" t="s">
        <v>4</v>
      </c>
      <c r="G14051" t="str">
        <f>""</f>
        <v/>
      </c>
    </row>
    <row r="14052" spans="1:7" x14ac:dyDescent="0.25">
      <c r="A14052" t="s">
        <v>8</v>
      </c>
      <c r="B14052" s="1" t="str">
        <f>"000248469 - RICH FOODS GLACIER"</f>
        <v>000248469 - RICH FOODS GLACIER</v>
      </c>
      <c r="C14052" t="s">
        <v>433</v>
      </c>
      <c r="D14052" s="1" t="str">
        <f t="shared" si="386"/>
        <v>PRG-1042025</v>
      </c>
      <c r="E14052" t="s">
        <v>722</v>
      </c>
      <c r="F14052" t="s">
        <v>4</v>
      </c>
      <c r="G14052" t="str">
        <f>""</f>
        <v/>
      </c>
    </row>
    <row r="14053" spans="1:7" x14ac:dyDescent="0.25">
      <c r="A14053" t="s">
        <v>8</v>
      </c>
      <c r="B14053" s="1" t="str">
        <f>"000294485 - RICH FOODS GLACIER"</f>
        <v>000294485 - RICH FOODS GLACIER</v>
      </c>
      <c r="C14053" t="s">
        <v>433</v>
      </c>
      <c r="D14053" s="1" t="str">
        <f t="shared" si="386"/>
        <v>PRG-1042025</v>
      </c>
      <c r="E14053" t="s">
        <v>722</v>
      </c>
      <c r="F14053" t="s">
        <v>4</v>
      </c>
      <c r="G14053" t="str">
        <f>""</f>
        <v/>
      </c>
    </row>
    <row r="14054" spans="1:7" x14ac:dyDescent="0.25">
      <c r="A14054" t="s">
        <v>8</v>
      </c>
      <c r="B14054" s="1" t="str">
        <f>"000296213 - RICH FOODS GLACIER"</f>
        <v>000296213 - RICH FOODS GLACIER</v>
      </c>
      <c r="C14054" t="s">
        <v>433</v>
      </c>
      <c r="D14054" s="1" t="str">
        <f t="shared" si="386"/>
        <v>PRG-1042025</v>
      </c>
      <c r="E14054" t="s">
        <v>722</v>
      </c>
      <c r="F14054" t="s">
        <v>4</v>
      </c>
      <c r="G14054" t="str">
        <f>""</f>
        <v/>
      </c>
    </row>
    <row r="14055" spans="1:7" x14ac:dyDescent="0.25">
      <c r="A14055" t="s">
        <v>8</v>
      </c>
      <c r="B14055" s="1" t="str">
        <f>"000311585 - RICH FOODS GLACIER"</f>
        <v>000311585 - RICH FOODS GLACIER</v>
      </c>
      <c r="C14055" t="s">
        <v>433</v>
      </c>
      <c r="D14055" s="1" t="str">
        <f t="shared" si="386"/>
        <v>PRG-1042025</v>
      </c>
      <c r="E14055" t="s">
        <v>722</v>
      </c>
      <c r="F14055" t="s">
        <v>4</v>
      </c>
      <c r="G14055" t="str">
        <f>""</f>
        <v/>
      </c>
    </row>
    <row r="14056" spans="1:7" x14ac:dyDescent="0.25">
      <c r="A14056" t="s">
        <v>8</v>
      </c>
      <c r="B14056" s="1" t="str">
        <f>"000341654 - RICH FOODS GLACIER"</f>
        <v>000341654 - RICH FOODS GLACIER</v>
      </c>
      <c r="C14056" t="s">
        <v>433</v>
      </c>
      <c r="D14056" s="1" t="str">
        <f t="shared" si="386"/>
        <v>PRG-1042025</v>
      </c>
      <c r="E14056" t="s">
        <v>722</v>
      </c>
      <c r="F14056" t="s">
        <v>4</v>
      </c>
      <c r="G14056" t="str">
        <f>""</f>
        <v/>
      </c>
    </row>
    <row r="14057" spans="1:7" x14ac:dyDescent="0.25">
      <c r="A14057" t="s">
        <v>8</v>
      </c>
      <c r="B14057" s="1" t="str">
        <f>"000337747 - RICHS-DC PA MARINA FAM.CTR IGA"</f>
        <v>000337747 - RICHS-DC PA MARINA FAM.CTR IGA</v>
      </c>
      <c r="C14057" t="s">
        <v>3420</v>
      </c>
      <c r="D14057" s="1" t="str">
        <f>"PRG-1042032"</f>
        <v>PRG-1042032</v>
      </c>
      <c r="E14057" t="s">
        <v>3421</v>
      </c>
      <c r="F14057" t="s">
        <v>4</v>
      </c>
      <c r="G14057" t="str">
        <f>""</f>
        <v/>
      </c>
    </row>
    <row r="14058" spans="1:7" x14ac:dyDescent="0.25">
      <c r="A14058" t="s">
        <v>8</v>
      </c>
      <c r="B14058" s="1" t="str">
        <f>"S1Z0PC60"</f>
        <v>S1Z0PC60</v>
      </c>
      <c r="C14058" t="s">
        <v>5431</v>
      </c>
      <c r="D14058" s="1" t="str">
        <f>"PRG-1042035"</f>
        <v>PRG-1042035</v>
      </c>
      <c r="E14058" t="s">
        <v>5432</v>
      </c>
      <c r="F14058" t="s">
        <v>5</v>
      </c>
      <c r="G14058" t="str">
        <f>""</f>
        <v/>
      </c>
    </row>
    <row r="14059" spans="1:7" x14ac:dyDescent="0.25">
      <c r="A14059" t="s">
        <v>8</v>
      </c>
      <c r="B14059" s="1" t="str">
        <f>"000369828 - LOL STATION RICH PRODUCT'S"</f>
        <v>000369828 - LOL STATION RICH PRODUCT'S</v>
      </c>
      <c r="C14059" t="s">
        <v>3276</v>
      </c>
      <c r="D14059" s="1" t="str">
        <f>"PRG-1042038"</f>
        <v>PRG-1042038</v>
      </c>
      <c r="E14059" t="s">
        <v>3277</v>
      </c>
      <c r="F14059" t="s">
        <v>4</v>
      </c>
      <c r="G14059" t="str">
        <f>""</f>
        <v/>
      </c>
    </row>
    <row r="14060" spans="1:7" x14ac:dyDescent="0.25">
      <c r="A14060" t="s">
        <v>8</v>
      </c>
      <c r="B14060" s="1" t="str">
        <f>"000173776 - RICH MONTEREY ENCINO"</f>
        <v>000173776 - RICH MONTEREY ENCINO</v>
      </c>
      <c r="C14060" t="s">
        <v>1108</v>
      </c>
      <c r="D14060" s="1" t="str">
        <f>"PRG-1042052"</f>
        <v>PRG-1042052</v>
      </c>
      <c r="E14060" t="s">
        <v>1109</v>
      </c>
      <c r="F14060" t="s">
        <v>4</v>
      </c>
      <c r="G14060" t="str">
        <f>""</f>
        <v/>
      </c>
    </row>
    <row r="14061" spans="1:7" x14ac:dyDescent="0.25">
      <c r="A14061" t="s">
        <v>8</v>
      </c>
      <c r="B14061" s="1" t="str">
        <f>"000275087 - AW SHUCKS RICHS"</f>
        <v>000275087 - AW SHUCKS RICHS</v>
      </c>
      <c r="C14061" t="s">
        <v>2208</v>
      </c>
      <c r="D14061" s="1" t="str">
        <f>"PRG-1042061"</f>
        <v>PRG-1042061</v>
      </c>
      <c r="E14061" t="s">
        <v>2209</v>
      </c>
      <c r="F14061" t="s">
        <v>4</v>
      </c>
      <c r="G14061" t="str">
        <f>""</f>
        <v/>
      </c>
    </row>
    <row r="14062" spans="1:7" x14ac:dyDescent="0.25">
      <c r="A14062" t="s">
        <v>8</v>
      </c>
      <c r="B14062" s="1" t="str">
        <f>"000325695 - AW SHUCKS RICHS"</f>
        <v>000325695 - AW SHUCKS RICHS</v>
      </c>
      <c r="C14062" t="s">
        <v>2208</v>
      </c>
      <c r="D14062" s="1" t="str">
        <f>"PRG-1042061"</f>
        <v>PRG-1042061</v>
      </c>
      <c r="E14062" t="s">
        <v>2209</v>
      </c>
      <c r="F14062" t="s">
        <v>4</v>
      </c>
      <c r="G14062" t="str">
        <f>""</f>
        <v/>
      </c>
    </row>
    <row r="14063" spans="1:7" x14ac:dyDescent="0.25">
      <c r="A14063" t="s">
        <v>8</v>
      </c>
      <c r="B14063" s="1" t="str">
        <f>"S3M01DW0"</f>
        <v>S3M01DW0</v>
      </c>
      <c r="C14063" t="s">
        <v>5619</v>
      </c>
      <c r="D14063" s="1" t="str">
        <f>"PRG-1042066"</f>
        <v>PRG-1042066</v>
      </c>
      <c r="E14063" t="s">
        <v>5620</v>
      </c>
      <c r="F14063" t="s">
        <v>5</v>
      </c>
      <c r="G14063" t="str">
        <f>""</f>
        <v/>
      </c>
    </row>
    <row r="14064" spans="1:7" x14ac:dyDescent="0.25">
      <c r="A14064" t="s">
        <v>8</v>
      </c>
      <c r="B14064" s="1" t="str">
        <f>"S1Z0CKE0"</f>
        <v>S1Z0CKE0</v>
      </c>
      <c r="C14064" t="s">
        <v>5369</v>
      </c>
      <c r="D14064" s="1" t="str">
        <f>"PRG-1042069"</f>
        <v>PRG-1042069</v>
      </c>
      <c r="E14064" t="s">
        <v>5370</v>
      </c>
      <c r="F14064" t="s">
        <v>5</v>
      </c>
      <c r="G14064" t="str">
        <f>""</f>
        <v/>
      </c>
    </row>
    <row r="14065" spans="1:7" x14ac:dyDescent="0.25">
      <c r="A14065" t="s">
        <v>8</v>
      </c>
      <c r="B14065" s="1" t="str">
        <f>"000382025 - RICH'S LAMBERT'S"</f>
        <v>000382025 - RICH'S LAMBERT'S</v>
      </c>
      <c r="C14065" t="s">
        <v>3490</v>
      </c>
      <c r="D14065" s="1" t="str">
        <f>"PRG-1042075"</f>
        <v>PRG-1042075</v>
      </c>
      <c r="E14065" t="s">
        <v>3491</v>
      </c>
      <c r="F14065" t="s">
        <v>4</v>
      </c>
      <c r="G14065" t="str">
        <f>""</f>
        <v/>
      </c>
    </row>
    <row r="14066" spans="1:7" x14ac:dyDescent="0.25">
      <c r="A14066" t="s">
        <v>8</v>
      </c>
      <c r="B14066" s="1" t="str">
        <f>"S8U00JW0"</f>
        <v>S8U00JW0</v>
      </c>
      <c r="C14066" t="s">
        <v>6282</v>
      </c>
      <c r="D14066" s="1" t="str">
        <f>"PRG-1042075"</f>
        <v>PRG-1042075</v>
      </c>
      <c r="E14066" t="s">
        <v>3491</v>
      </c>
      <c r="F14066" t="s">
        <v>5</v>
      </c>
      <c r="G14066" t="str">
        <f>""</f>
        <v/>
      </c>
    </row>
    <row r="14067" spans="1:7" x14ac:dyDescent="0.25">
      <c r="A14067" t="s">
        <v>8</v>
      </c>
      <c r="B14067" s="1" t="str">
        <f>"S2R00AR0"</f>
        <v>S2R00AR0</v>
      </c>
      <c r="C14067" t="s">
        <v>5585</v>
      </c>
      <c r="D14067" s="1" t="str">
        <f>"PRG-1042076"</f>
        <v>PRG-1042076</v>
      </c>
      <c r="E14067" t="s">
        <v>5586</v>
      </c>
      <c r="F14067" t="s">
        <v>5</v>
      </c>
      <c r="G14067" t="str">
        <f>""</f>
        <v/>
      </c>
    </row>
    <row r="14068" spans="1:7" x14ac:dyDescent="0.25">
      <c r="A14068" t="s">
        <v>8</v>
      </c>
      <c r="B14068" s="1" t="str">
        <f>"000284188 - RICH'S-STEAK 44"</f>
        <v>000284188 - RICH'S-STEAK 44</v>
      </c>
      <c r="C14068" t="s">
        <v>2701</v>
      </c>
      <c r="D14068" s="1" t="str">
        <f>"PRG-1042077"</f>
        <v>PRG-1042077</v>
      </c>
      <c r="E14068" t="s">
        <v>2702</v>
      </c>
      <c r="F14068" t="s">
        <v>4</v>
      </c>
      <c r="G14068" t="str">
        <f>""</f>
        <v/>
      </c>
    </row>
    <row r="14069" spans="1:7" x14ac:dyDescent="0.25">
      <c r="A14069" t="s">
        <v>8</v>
      </c>
      <c r="B14069" s="1" t="str">
        <f>"000349269 - RICH'S ROCK &amp; BREW"</f>
        <v>000349269 - RICH'S ROCK &amp; BREW</v>
      </c>
      <c r="C14069" t="s">
        <v>3492</v>
      </c>
      <c r="D14069" s="1" t="str">
        <f>"PRG-1042081"</f>
        <v>PRG-1042081</v>
      </c>
      <c r="E14069" t="s">
        <v>1871</v>
      </c>
      <c r="F14069" t="s">
        <v>4</v>
      </c>
      <c r="G14069" t="str">
        <f>""</f>
        <v/>
      </c>
    </row>
    <row r="14070" spans="1:7" x14ac:dyDescent="0.25">
      <c r="A14070" t="s">
        <v>8</v>
      </c>
      <c r="B14070" s="1" t="str">
        <f>"S3M01I20"</f>
        <v>S3M01I20</v>
      </c>
      <c r="C14070" t="s">
        <v>5621</v>
      </c>
      <c r="D14070" s="1" t="str">
        <f>"PRG-1042085"</f>
        <v>PRG-1042085</v>
      </c>
      <c r="E14070" t="s">
        <v>5622</v>
      </c>
      <c r="F14070" t="s">
        <v>5</v>
      </c>
      <c r="G14070" t="str">
        <f>""</f>
        <v/>
      </c>
    </row>
    <row r="14071" spans="1:7" x14ac:dyDescent="0.25">
      <c r="A14071" t="s">
        <v>8</v>
      </c>
      <c r="B14071" s="1" t="str">
        <f>"000369830 - CHERRY HILL PARK RICH'S"</f>
        <v>000369830 - CHERRY HILL PARK RICH'S</v>
      </c>
      <c r="C14071" t="s">
        <v>3294</v>
      </c>
      <c r="D14071" s="1" t="str">
        <f>"PRG-1042087"</f>
        <v>PRG-1042087</v>
      </c>
      <c r="E14071" t="s">
        <v>3295</v>
      </c>
      <c r="F14071" t="s">
        <v>4</v>
      </c>
      <c r="G14071" t="str">
        <f>""</f>
        <v/>
      </c>
    </row>
    <row r="14072" spans="1:7" x14ac:dyDescent="0.25">
      <c r="A14072" t="s">
        <v>8</v>
      </c>
      <c r="B14072" s="1" t="str">
        <f>"000235394 - RICH JAX ZOO"</f>
        <v>000235394 - RICH JAX ZOO</v>
      </c>
      <c r="C14072" t="s">
        <v>1841</v>
      </c>
      <c r="D14072" s="1" t="str">
        <f>"PRG-1042090"</f>
        <v>PRG-1042090</v>
      </c>
      <c r="E14072" t="s">
        <v>1842</v>
      </c>
      <c r="F14072" t="s">
        <v>4</v>
      </c>
      <c r="G14072" t="str">
        <f>""</f>
        <v/>
      </c>
    </row>
    <row r="14073" spans="1:7" x14ac:dyDescent="0.25">
      <c r="A14073" t="s">
        <v>8</v>
      </c>
      <c r="B14073" s="1" t="str">
        <f>"S5Z01KF0"</f>
        <v>S5Z01KF0</v>
      </c>
      <c r="C14073" t="s">
        <v>5966</v>
      </c>
      <c r="D14073" s="1" t="str">
        <f>"PRG-1042091"</f>
        <v>PRG-1042091</v>
      </c>
      <c r="E14073" t="s">
        <v>5967</v>
      </c>
      <c r="F14073" t="s">
        <v>5</v>
      </c>
      <c r="G14073" t="str">
        <f>""</f>
        <v/>
      </c>
    </row>
    <row r="14074" spans="1:7" x14ac:dyDescent="0.25">
      <c r="A14074" t="s">
        <v>8</v>
      </c>
      <c r="B14074" s="1" t="str">
        <f>"000310257 - "</f>
        <v xml:space="preserve">000310257 - </v>
      </c>
      <c r="D14074" s="1" t="str">
        <f>"PRG-1042096"</f>
        <v>PRG-1042096</v>
      </c>
      <c r="E14074" t="s">
        <v>2588</v>
      </c>
      <c r="F14074" t="s">
        <v>4</v>
      </c>
      <c r="G14074" t="str">
        <f>""</f>
        <v/>
      </c>
    </row>
    <row r="14075" spans="1:7" x14ac:dyDescent="0.25">
      <c r="A14075" t="s">
        <v>8</v>
      </c>
      <c r="B14075" s="1" t="str">
        <f>"000315936 - RICH'S THE GOOD LIFE"</f>
        <v>000315936 - RICH'S THE GOOD LIFE</v>
      </c>
      <c r="C14075" t="s">
        <v>3179</v>
      </c>
      <c r="D14075" s="1" t="str">
        <f>"PRG-1042096"</f>
        <v>PRG-1042096</v>
      </c>
      <c r="E14075" t="s">
        <v>2588</v>
      </c>
      <c r="F14075" t="s">
        <v>4</v>
      </c>
      <c r="G14075" t="str">
        <f>""</f>
        <v/>
      </c>
    </row>
    <row r="14076" spans="1:7" x14ac:dyDescent="0.25">
      <c r="A14076" t="s">
        <v>8</v>
      </c>
      <c r="B14076" s="1" t="str">
        <f>"000315920 - RICH'S BROOKSIDE CAFE"</f>
        <v>000315920 - RICH'S BROOKSIDE CAFE</v>
      </c>
      <c r="C14076" t="s">
        <v>3175</v>
      </c>
      <c r="D14076" s="1" t="str">
        <f>"PRG-1042097"</f>
        <v>PRG-1042097</v>
      </c>
      <c r="E14076" t="s">
        <v>2582</v>
      </c>
      <c r="F14076" t="s">
        <v>4</v>
      </c>
      <c r="G14076" t="str">
        <f>""</f>
        <v/>
      </c>
    </row>
    <row r="14077" spans="1:7" x14ac:dyDescent="0.25">
      <c r="A14077" t="s">
        <v>8</v>
      </c>
      <c r="B14077" s="1" t="str">
        <f>"000160316 - RICH'S ISLAND WINGS"</f>
        <v>000160316 - RICH'S ISLAND WINGS</v>
      </c>
      <c r="C14077" t="s">
        <v>1038</v>
      </c>
      <c r="D14077" s="1" t="str">
        <f>"PRG-1042098"</f>
        <v>PRG-1042098</v>
      </c>
      <c r="E14077" t="s">
        <v>1039</v>
      </c>
      <c r="F14077" t="s">
        <v>4</v>
      </c>
      <c r="G14077" t="str">
        <f>""</f>
        <v/>
      </c>
    </row>
    <row r="14078" spans="1:7" x14ac:dyDescent="0.25">
      <c r="A14078" t="s">
        <v>8</v>
      </c>
      <c r="B14078" s="1" t="str">
        <f>"000292577 - RICH PRODUCT-RUTGERS"</f>
        <v>000292577 - RICH PRODUCT-RUTGERS</v>
      </c>
      <c r="C14078" t="s">
        <v>1940</v>
      </c>
      <c r="D14078" s="1" t="str">
        <f>"PRG-1042146"</f>
        <v>PRG-1042146</v>
      </c>
      <c r="E14078" t="s">
        <v>1941</v>
      </c>
      <c r="F14078" t="s">
        <v>4</v>
      </c>
      <c r="G14078" t="str">
        <f>""</f>
        <v/>
      </c>
    </row>
    <row r="14079" spans="1:7" x14ac:dyDescent="0.25">
      <c r="A14079" t="s">
        <v>8</v>
      </c>
      <c r="B14079" s="1" t="str">
        <f>"000259109 - RICH DC STU'S SURFSIDE"</f>
        <v>000259109 - RICH DC STU'S SURFSIDE</v>
      </c>
      <c r="C14079" t="s">
        <v>2228</v>
      </c>
      <c r="D14079" s="1" t="str">
        <f>"PRG-1042156"</f>
        <v>PRG-1042156</v>
      </c>
      <c r="E14079" t="s">
        <v>1409</v>
      </c>
      <c r="F14079" t="s">
        <v>4</v>
      </c>
      <c r="G14079" t="str">
        <f>""</f>
        <v/>
      </c>
    </row>
    <row r="14080" spans="1:7" x14ac:dyDescent="0.25">
      <c r="A14080" t="s">
        <v>8</v>
      </c>
      <c r="B14080" s="1" t="str">
        <f>"000319402 - RICH'S FIRE BARN"</f>
        <v>000319402 - RICH'S FIRE BARN</v>
      </c>
      <c r="C14080" t="s">
        <v>3229</v>
      </c>
      <c r="D14080" s="1" t="str">
        <f>"PRG-1042159"</f>
        <v>PRG-1042159</v>
      </c>
      <c r="E14080" t="s">
        <v>2623</v>
      </c>
      <c r="F14080" t="s">
        <v>4</v>
      </c>
      <c r="G14080" t="str">
        <f>""</f>
        <v/>
      </c>
    </row>
    <row r="14081" spans="1:7" x14ac:dyDescent="0.25">
      <c r="A14081" t="s">
        <v>8</v>
      </c>
      <c r="B14081" s="1" t="str">
        <f>"000265920 - HUBERS  RICH'S"</f>
        <v>000265920 - HUBERS  RICH'S</v>
      </c>
      <c r="C14081" t="s">
        <v>1521</v>
      </c>
      <c r="D14081" s="1" t="str">
        <f>"PRG-1042162"</f>
        <v>PRG-1042162</v>
      </c>
      <c r="E14081" t="s">
        <v>2051</v>
      </c>
      <c r="F14081" t="s">
        <v>4</v>
      </c>
      <c r="G14081" t="str">
        <f>""</f>
        <v/>
      </c>
    </row>
    <row r="14082" spans="1:7" x14ac:dyDescent="0.25">
      <c r="A14082" t="s">
        <v>8</v>
      </c>
      <c r="B14082" s="1" t="str">
        <f>"000265732 - RICH   STROUDSMOOR INN TOWN"</f>
        <v>000265732 - RICH   STROUDSMOOR INN TOWN</v>
      </c>
      <c r="C14082" t="s">
        <v>2389</v>
      </c>
      <c r="D14082" s="1" t="str">
        <f>"PRG-1042167"</f>
        <v>PRG-1042167</v>
      </c>
      <c r="E14082" t="s">
        <v>2390</v>
      </c>
      <c r="F14082" t="s">
        <v>4</v>
      </c>
      <c r="G14082" t="str">
        <f>""</f>
        <v/>
      </c>
    </row>
    <row r="14083" spans="1:7" x14ac:dyDescent="0.25">
      <c r="A14083" t="s">
        <v>8</v>
      </c>
      <c r="B14083" s="1" t="str">
        <f>"000035641 - EMAGINE THEATERS RICH PRODUCTS"</f>
        <v>000035641 - EMAGINE THEATERS RICH PRODUCTS</v>
      </c>
      <c r="C14083" t="s">
        <v>528</v>
      </c>
      <c r="D14083" s="1" t="str">
        <f>"PRG-1042188"</f>
        <v>PRG-1042188</v>
      </c>
      <c r="E14083" t="s">
        <v>529</v>
      </c>
      <c r="F14083" t="s">
        <v>4</v>
      </c>
      <c r="G14083" t="str">
        <f>""</f>
        <v/>
      </c>
    </row>
    <row r="14084" spans="1:7" x14ac:dyDescent="0.25">
      <c r="A14084" t="s">
        <v>8</v>
      </c>
      <c r="B14084" s="1" t="str">
        <f>"000044072 - EMAGINE THEATERS RICH PRODUCTS"</f>
        <v>000044072 - EMAGINE THEATERS RICH PRODUCTS</v>
      </c>
      <c r="C14084" t="s">
        <v>528</v>
      </c>
      <c r="D14084" s="1" t="str">
        <f>"PRG-1042188"</f>
        <v>PRG-1042188</v>
      </c>
      <c r="E14084" t="s">
        <v>529</v>
      </c>
      <c r="F14084" t="s">
        <v>4</v>
      </c>
      <c r="G14084" t="str">
        <f>""</f>
        <v/>
      </c>
    </row>
    <row r="14085" spans="1:7" x14ac:dyDescent="0.25">
      <c r="A14085" t="s">
        <v>8</v>
      </c>
      <c r="B14085" s="1" t="str">
        <f>"000055916 - EMAGINE THEATERS RICH PRODUCTS"</f>
        <v>000055916 - EMAGINE THEATERS RICH PRODUCTS</v>
      </c>
      <c r="C14085" t="s">
        <v>528</v>
      </c>
      <c r="D14085" s="1" t="str">
        <f>"PRG-1042188"</f>
        <v>PRG-1042188</v>
      </c>
      <c r="E14085" t="s">
        <v>529</v>
      </c>
      <c r="F14085" t="s">
        <v>4</v>
      </c>
      <c r="G14085" t="str">
        <f>""</f>
        <v/>
      </c>
    </row>
    <row r="14086" spans="1:7" x14ac:dyDescent="0.25">
      <c r="A14086" t="s">
        <v>8</v>
      </c>
      <c r="B14086" s="1" t="str">
        <f>"000214451 - RICH EMAGINE"</f>
        <v>000214451 - RICH EMAGINE</v>
      </c>
      <c r="C14086" t="s">
        <v>1500</v>
      </c>
      <c r="D14086" s="1" t="str">
        <f>"PRG-1042188"</f>
        <v>PRG-1042188</v>
      </c>
      <c r="E14086" t="s">
        <v>529</v>
      </c>
      <c r="F14086" t="s">
        <v>4</v>
      </c>
      <c r="G14086" t="str">
        <f>""</f>
        <v/>
      </c>
    </row>
    <row r="14087" spans="1:7" x14ac:dyDescent="0.25">
      <c r="A14087" t="s">
        <v>8</v>
      </c>
      <c r="B14087" s="1" t="str">
        <f>"000354760 - RICH'S DON'S FAMILY BUFFET"</f>
        <v>000354760 - RICH'S DON'S FAMILY BUFFET</v>
      </c>
      <c r="C14087" t="s">
        <v>3547</v>
      </c>
      <c r="D14087" s="1" t="str">
        <f>"PRG-1042202"</f>
        <v>PRG-1042202</v>
      </c>
      <c r="E14087" t="s">
        <v>3332</v>
      </c>
      <c r="F14087" t="s">
        <v>4</v>
      </c>
      <c r="G14087" t="str">
        <f>""</f>
        <v/>
      </c>
    </row>
    <row r="14088" spans="1:7" x14ac:dyDescent="0.25">
      <c r="A14088" t="s">
        <v>8</v>
      </c>
      <c r="B14088" s="1" t="str">
        <f>"000282496 - RICH PRODUCTS-CRAFTY BURGER"</f>
        <v>000282496 - RICH PRODUCTS-CRAFTY BURGER</v>
      </c>
      <c r="C14088" t="s">
        <v>2670</v>
      </c>
      <c r="D14088" s="1" t="str">
        <f>"PRG-1042207"</f>
        <v>PRG-1042207</v>
      </c>
      <c r="E14088" t="s">
        <v>2671</v>
      </c>
      <c r="F14088" t="s">
        <v>4</v>
      </c>
      <c r="G14088" t="str">
        <f>""</f>
        <v/>
      </c>
    </row>
    <row r="14089" spans="1:7" x14ac:dyDescent="0.25">
      <c r="A14089" t="s">
        <v>8</v>
      </c>
      <c r="B14089" s="1" t="str">
        <f>"000316959 - RICH PRODUCTS-CRAFTY BURGER"</f>
        <v>000316959 - RICH PRODUCTS-CRAFTY BURGER</v>
      </c>
      <c r="C14089" t="s">
        <v>2670</v>
      </c>
      <c r="D14089" s="1" t="str">
        <f>"PRG-1042207"</f>
        <v>PRG-1042207</v>
      </c>
      <c r="E14089" t="s">
        <v>2671</v>
      </c>
      <c r="F14089" t="s">
        <v>4</v>
      </c>
      <c r="G14089" t="str">
        <f>""</f>
        <v/>
      </c>
    </row>
    <row r="14090" spans="1:7" x14ac:dyDescent="0.25">
      <c r="A14090" t="s">
        <v>8</v>
      </c>
      <c r="B14090" s="1" t="str">
        <f>"000315918 - RICH'S CHICKEN COOP"</f>
        <v>000315918 - RICH'S CHICKEN COOP</v>
      </c>
      <c r="C14090" t="s">
        <v>3174</v>
      </c>
      <c r="D14090" s="1" t="str">
        <f>"PRG-1042208"</f>
        <v>PRG-1042208</v>
      </c>
      <c r="E14090" t="s">
        <v>2629</v>
      </c>
      <c r="F14090" t="s">
        <v>4</v>
      </c>
      <c r="G14090" t="str">
        <f>""</f>
        <v/>
      </c>
    </row>
    <row r="14091" spans="1:7" x14ac:dyDescent="0.25">
      <c r="A14091" t="s">
        <v>8</v>
      </c>
      <c r="B14091" s="1" t="str">
        <f>"000394653 - RICHS COHN RESTAURANT GROUP"</f>
        <v>000394653 - RICHS COHN RESTAURANT GROUP</v>
      </c>
      <c r="C14091" t="s">
        <v>3697</v>
      </c>
      <c r="D14091" s="1" t="str">
        <f>"PRG-1042212"</f>
        <v>PRG-1042212</v>
      </c>
      <c r="E14091" t="s">
        <v>3631</v>
      </c>
      <c r="F14091" t="s">
        <v>4</v>
      </c>
      <c r="G14091" t="str">
        <f>""</f>
        <v/>
      </c>
    </row>
    <row r="14092" spans="1:7" x14ac:dyDescent="0.25">
      <c r="A14092" t="s">
        <v>8</v>
      </c>
      <c r="B14092" s="1" t="str">
        <f>"000270604 - RICH FOODS 049-XANTERRA"</f>
        <v>000270604 - RICH FOODS 049-XANTERRA</v>
      </c>
      <c r="C14092" t="s">
        <v>2472</v>
      </c>
      <c r="D14092" s="1" t="str">
        <f>"PRG-1042230"</f>
        <v>PRG-1042230</v>
      </c>
      <c r="E14092" t="s">
        <v>2473</v>
      </c>
      <c r="F14092" t="s">
        <v>4</v>
      </c>
      <c r="G14092" t="str">
        <f>""</f>
        <v/>
      </c>
    </row>
    <row r="14093" spans="1:7" x14ac:dyDescent="0.25">
      <c r="A14093" t="s">
        <v>8</v>
      </c>
      <c r="B14093" s="1" t="str">
        <f>"000322799 - RICH FOODS 049-XANTERRA"</f>
        <v>000322799 - RICH FOODS 049-XANTERRA</v>
      </c>
      <c r="C14093" t="s">
        <v>2472</v>
      </c>
      <c r="D14093" s="1" t="str">
        <f>"PRG-1042230"</f>
        <v>PRG-1042230</v>
      </c>
      <c r="E14093" t="s">
        <v>2473</v>
      </c>
      <c r="F14093" t="s">
        <v>4</v>
      </c>
      <c r="G14093" t="str">
        <f>""</f>
        <v/>
      </c>
    </row>
    <row r="14094" spans="1:7" x14ac:dyDescent="0.25">
      <c r="A14094" t="s">
        <v>8</v>
      </c>
      <c r="B14094" s="1" t="str">
        <f>"000308762 - RICH ATLANTIS CASINO"</f>
        <v>000308762 - RICH ATLANTIS CASINO</v>
      </c>
      <c r="C14094" t="s">
        <v>2756</v>
      </c>
      <c r="D14094" s="1" t="str">
        <f>"PRG-1042239"</f>
        <v>PRG-1042239</v>
      </c>
      <c r="E14094" t="s">
        <v>3088</v>
      </c>
      <c r="F14094" t="s">
        <v>4</v>
      </c>
      <c r="G14094" t="str">
        <f>""</f>
        <v/>
      </c>
    </row>
    <row r="14095" spans="1:7" x14ac:dyDescent="0.25">
      <c r="A14095" t="s">
        <v>8</v>
      </c>
      <c r="B14095" s="1" t="str">
        <f>"000043603 - VON HANSON RICHS PRODUCTS"</f>
        <v>000043603 - VON HANSON RICHS PRODUCTS</v>
      </c>
      <c r="C14095" t="s">
        <v>411</v>
      </c>
      <c r="D14095" s="1" t="str">
        <f>"PRG-1042255"</f>
        <v>PRG-1042255</v>
      </c>
      <c r="E14095" t="s">
        <v>604</v>
      </c>
      <c r="F14095" t="s">
        <v>4</v>
      </c>
      <c r="G14095" t="str">
        <f>""</f>
        <v/>
      </c>
    </row>
    <row r="14096" spans="1:7" x14ac:dyDescent="0.25">
      <c r="A14096" t="s">
        <v>8</v>
      </c>
      <c r="B14096" s="1" t="str">
        <f>"000398790 - RICH PROD VON HANSONS"</f>
        <v>000398790 - RICH PROD VON HANSONS</v>
      </c>
      <c r="C14096" t="s">
        <v>3584</v>
      </c>
      <c r="D14096" s="1" t="str">
        <f>"PRG-1042255"</f>
        <v>PRG-1042255</v>
      </c>
      <c r="E14096" t="s">
        <v>604</v>
      </c>
      <c r="F14096" t="s">
        <v>4</v>
      </c>
      <c r="G14096" t="str">
        <f>""</f>
        <v/>
      </c>
    </row>
    <row r="14097" spans="1:7" x14ac:dyDescent="0.25">
      <c r="A14097" t="s">
        <v>8</v>
      </c>
      <c r="B14097" s="1" t="str">
        <f>"000037827 - RICH-SAPP BROTHERS"</f>
        <v>000037827 - RICH-SAPP BROTHERS</v>
      </c>
      <c r="C14097" t="s">
        <v>553</v>
      </c>
      <c r="D14097" s="1" t="str">
        <f>"PRG-1042256"</f>
        <v>PRG-1042256</v>
      </c>
      <c r="E14097" t="s">
        <v>339</v>
      </c>
      <c r="F14097" t="s">
        <v>4</v>
      </c>
      <c r="G14097" t="str">
        <f>""</f>
        <v/>
      </c>
    </row>
    <row r="14098" spans="1:7" x14ac:dyDescent="0.25">
      <c r="A14098" t="s">
        <v>8</v>
      </c>
      <c r="B14098" s="1" t="str">
        <f>"000315903 - SAPP BROS RICHS OFF INV"</f>
        <v>000315903 - SAPP BROS RICHS OFF INV</v>
      </c>
      <c r="C14098" t="s">
        <v>3173</v>
      </c>
      <c r="D14098" s="1" t="str">
        <f>"PRG-1042256"</f>
        <v>PRG-1042256</v>
      </c>
      <c r="E14098" t="s">
        <v>339</v>
      </c>
      <c r="F14098" t="s">
        <v>4</v>
      </c>
      <c r="G14098" t="str">
        <f>""</f>
        <v/>
      </c>
    </row>
    <row r="14099" spans="1:7" x14ac:dyDescent="0.25">
      <c r="A14099" t="s">
        <v>8</v>
      </c>
      <c r="B14099" s="1" t="str">
        <f>"000318710 - RICH-SAPP BROTHERS"</f>
        <v>000318710 - RICH-SAPP BROTHERS</v>
      </c>
      <c r="C14099" t="s">
        <v>553</v>
      </c>
      <c r="D14099" s="1" t="str">
        <f>"PRG-1042256"</f>
        <v>PRG-1042256</v>
      </c>
      <c r="E14099" t="s">
        <v>339</v>
      </c>
      <c r="F14099" t="s">
        <v>4</v>
      </c>
      <c r="G14099" t="str">
        <f>""</f>
        <v/>
      </c>
    </row>
    <row r="14100" spans="1:7" x14ac:dyDescent="0.25">
      <c r="A14100" t="s">
        <v>8</v>
      </c>
      <c r="B14100" s="1" t="str">
        <f>"000342566 - RICH FOODS-SAPP BROS"</f>
        <v>000342566 - RICH FOODS-SAPP BROS</v>
      </c>
      <c r="C14100" t="s">
        <v>710</v>
      </c>
      <c r="D14100" s="1" t="str">
        <f>"PRG-1042256"</f>
        <v>PRG-1042256</v>
      </c>
      <c r="E14100" t="s">
        <v>339</v>
      </c>
      <c r="F14100" t="s">
        <v>4</v>
      </c>
      <c r="G14100" t="str">
        <f>""</f>
        <v/>
      </c>
    </row>
    <row r="14101" spans="1:7" x14ac:dyDescent="0.25">
      <c r="A14101" t="s">
        <v>8</v>
      </c>
      <c r="B14101" s="1" t="str">
        <f>"000170232 - RICH FOODS-SKY ZONE"</f>
        <v>000170232 - RICH FOODS-SKY ZONE</v>
      </c>
      <c r="C14101" t="s">
        <v>630</v>
      </c>
      <c r="D14101" s="1" t="str">
        <f t="shared" ref="D14101:D14109" si="387">"PRG-1042257"</f>
        <v>PRG-1042257</v>
      </c>
      <c r="E14101" t="s">
        <v>631</v>
      </c>
      <c r="F14101" t="s">
        <v>4</v>
      </c>
      <c r="G14101" t="str">
        <f>""</f>
        <v/>
      </c>
    </row>
    <row r="14102" spans="1:7" x14ac:dyDescent="0.25">
      <c r="A14102" t="s">
        <v>8</v>
      </c>
      <c r="B14102" s="1" t="str">
        <f>"000263350 - RICH FOODS-SKY ZONE"</f>
        <v>000263350 - RICH FOODS-SKY ZONE</v>
      </c>
      <c r="C14102" t="s">
        <v>630</v>
      </c>
      <c r="D14102" s="1" t="str">
        <f t="shared" si="387"/>
        <v>PRG-1042257</v>
      </c>
      <c r="E14102" t="s">
        <v>631</v>
      </c>
      <c r="F14102" t="s">
        <v>4</v>
      </c>
      <c r="G14102" t="str">
        <f>""</f>
        <v/>
      </c>
    </row>
    <row r="14103" spans="1:7" x14ac:dyDescent="0.25">
      <c r="A14103" t="s">
        <v>8</v>
      </c>
      <c r="B14103" s="1" t="str">
        <f>"000280410 - RICH FOODS-SKY ZONE"</f>
        <v>000280410 - RICH FOODS-SKY ZONE</v>
      </c>
      <c r="C14103" t="s">
        <v>630</v>
      </c>
      <c r="D14103" s="1" t="str">
        <f t="shared" si="387"/>
        <v>PRG-1042257</v>
      </c>
      <c r="E14103" t="s">
        <v>631</v>
      </c>
      <c r="F14103" t="s">
        <v>4</v>
      </c>
      <c r="G14103" t="str">
        <f>""</f>
        <v/>
      </c>
    </row>
    <row r="14104" spans="1:7" x14ac:dyDescent="0.25">
      <c r="A14104" t="s">
        <v>8</v>
      </c>
      <c r="B14104" s="1" t="str">
        <f>"000295002 - RICH FOODS-SKY ZONE"</f>
        <v>000295002 - RICH FOODS-SKY ZONE</v>
      </c>
      <c r="C14104" t="s">
        <v>630</v>
      </c>
      <c r="D14104" s="1" t="str">
        <f t="shared" si="387"/>
        <v>PRG-1042257</v>
      </c>
      <c r="E14104" t="s">
        <v>631</v>
      </c>
      <c r="F14104" t="s">
        <v>4</v>
      </c>
      <c r="G14104" t="str">
        <f>""</f>
        <v/>
      </c>
    </row>
    <row r="14105" spans="1:7" x14ac:dyDescent="0.25">
      <c r="A14105" t="s">
        <v>8</v>
      </c>
      <c r="B14105" s="1" t="str">
        <f>"000295151 - RICH FOODS-SKY ZONE"</f>
        <v>000295151 - RICH FOODS-SKY ZONE</v>
      </c>
      <c r="C14105" t="s">
        <v>630</v>
      </c>
      <c r="D14105" s="1" t="str">
        <f t="shared" si="387"/>
        <v>PRG-1042257</v>
      </c>
      <c r="E14105" t="s">
        <v>631</v>
      </c>
      <c r="F14105" t="s">
        <v>4</v>
      </c>
      <c r="G14105" t="str">
        <f>""</f>
        <v/>
      </c>
    </row>
    <row r="14106" spans="1:7" x14ac:dyDescent="0.25">
      <c r="A14106" t="s">
        <v>8</v>
      </c>
      <c r="B14106" s="1" t="str">
        <f>"000307123 - RICH FOODS-SKY ZONE"</f>
        <v>000307123 - RICH FOODS-SKY ZONE</v>
      </c>
      <c r="C14106" t="s">
        <v>630</v>
      </c>
      <c r="D14106" s="1" t="str">
        <f t="shared" si="387"/>
        <v>PRG-1042257</v>
      </c>
      <c r="E14106" t="s">
        <v>631</v>
      </c>
      <c r="F14106" t="s">
        <v>4</v>
      </c>
      <c r="G14106" t="str">
        <f>""</f>
        <v/>
      </c>
    </row>
    <row r="14107" spans="1:7" x14ac:dyDescent="0.25">
      <c r="A14107" t="s">
        <v>8</v>
      </c>
      <c r="B14107" s="1" t="str">
        <f>"000327205 - RICH FOODS-SKY ZONE"</f>
        <v>000327205 - RICH FOODS-SKY ZONE</v>
      </c>
      <c r="C14107" t="s">
        <v>630</v>
      </c>
      <c r="D14107" s="1" t="str">
        <f t="shared" si="387"/>
        <v>PRG-1042257</v>
      </c>
      <c r="E14107" t="s">
        <v>631</v>
      </c>
      <c r="F14107" t="s">
        <v>4</v>
      </c>
      <c r="G14107" t="str">
        <f>""</f>
        <v/>
      </c>
    </row>
    <row r="14108" spans="1:7" x14ac:dyDescent="0.25">
      <c r="A14108" t="s">
        <v>8</v>
      </c>
      <c r="B14108" s="1" t="str">
        <f>"000358267 - RICH FOODS-SKY ZONE"</f>
        <v>000358267 - RICH FOODS-SKY ZONE</v>
      </c>
      <c r="C14108" t="s">
        <v>630</v>
      </c>
      <c r="D14108" s="1" t="str">
        <f t="shared" si="387"/>
        <v>PRG-1042257</v>
      </c>
      <c r="E14108" t="s">
        <v>631</v>
      </c>
      <c r="F14108" t="s">
        <v>4</v>
      </c>
      <c r="G14108" t="str">
        <f>""</f>
        <v/>
      </c>
    </row>
    <row r="14109" spans="1:7" x14ac:dyDescent="0.25">
      <c r="A14109" t="s">
        <v>8</v>
      </c>
      <c r="B14109" s="1" t="str">
        <f>"000383501 - RICH FOODS-SKY ZONE"</f>
        <v>000383501 - RICH FOODS-SKY ZONE</v>
      </c>
      <c r="C14109" t="s">
        <v>630</v>
      </c>
      <c r="D14109" s="1" t="str">
        <f t="shared" si="387"/>
        <v>PRG-1042257</v>
      </c>
      <c r="E14109" t="s">
        <v>631</v>
      </c>
      <c r="F14109" t="s">
        <v>4</v>
      </c>
      <c r="G14109" t="str">
        <f>""</f>
        <v/>
      </c>
    </row>
    <row r="14110" spans="1:7" x14ac:dyDescent="0.25">
      <c r="A14110" t="s">
        <v>8</v>
      </c>
      <c r="B14110" s="1" t="str">
        <f>"000048046 - RICH FOODS-REVOLUTION"</f>
        <v>000048046 - RICH FOODS-REVOLUTION</v>
      </c>
      <c r="C14110" t="s">
        <v>442</v>
      </c>
      <c r="D14110" s="1" t="str">
        <f>"PRG-1042260"</f>
        <v>PRG-1042260</v>
      </c>
      <c r="E14110" t="s">
        <v>633</v>
      </c>
      <c r="F14110" t="s">
        <v>4</v>
      </c>
      <c r="G14110" t="str">
        <f>""</f>
        <v/>
      </c>
    </row>
    <row r="14111" spans="1:7" x14ac:dyDescent="0.25">
      <c r="A14111" t="s">
        <v>8</v>
      </c>
      <c r="B14111" s="1" t="str">
        <f>"000287363 - RICH FOODS-REVOLUTION"</f>
        <v>000287363 - RICH FOODS-REVOLUTION</v>
      </c>
      <c r="C14111" t="s">
        <v>442</v>
      </c>
      <c r="D14111" s="1" t="str">
        <f>"PRG-1042260"</f>
        <v>PRG-1042260</v>
      </c>
      <c r="E14111" t="s">
        <v>633</v>
      </c>
      <c r="F14111" t="s">
        <v>4</v>
      </c>
      <c r="G14111" t="str">
        <f>""</f>
        <v/>
      </c>
    </row>
    <row r="14112" spans="1:7" x14ac:dyDescent="0.25">
      <c r="A14112" t="s">
        <v>8</v>
      </c>
      <c r="B14112" s="1" t="str">
        <f>"000423255 - RICH FOODS-REVOLUTION"</f>
        <v>000423255 - RICH FOODS-REVOLUTION</v>
      </c>
      <c r="C14112" t="s">
        <v>442</v>
      </c>
      <c r="D14112" s="1" t="str">
        <f>"PRG-1042260"</f>
        <v>PRG-1042260</v>
      </c>
      <c r="E14112" t="s">
        <v>633</v>
      </c>
      <c r="F14112" t="s">
        <v>4</v>
      </c>
      <c r="G14112" t="str">
        <f>""</f>
        <v/>
      </c>
    </row>
    <row r="14113" spans="1:7" x14ac:dyDescent="0.25">
      <c r="A14113" t="s">
        <v>8</v>
      </c>
      <c r="B14113" s="1" t="str">
        <f>"000309217 - RICH'S PORTESI"</f>
        <v>000309217 - RICH'S PORTESI</v>
      </c>
      <c r="C14113" t="s">
        <v>3094</v>
      </c>
      <c r="D14113" s="1" t="str">
        <f>"PRG-1042273"</f>
        <v>PRG-1042273</v>
      </c>
      <c r="E14113" t="s">
        <v>3095</v>
      </c>
      <c r="F14113" t="s">
        <v>4</v>
      </c>
      <c r="G14113" t="str">
        <f>""</f>
        <v/>
      </c>
    </row>
    <row r="14114" spans="1:7" x14ac:dyDescent="0.25">
      <c r="A14114" t="s">
        <v>8</v>
      </c>
      <c r="B14114" s="1" t="str">
        <f>"000345726 - RICH'S PORTESI"</f>
        <v>000345726 - RICH'S PORTESI</v>
      </c>
      <c r="C14114" t="s">
        <v>3094</v>
      </c>
      <c r="D14114" s="1" t="str">
        <f>"PRG-1042273"</f>
        <v>PRG-1042273</v>
      </c>
      <c r="E14114" t="s">
        <v>3095</v>
      </c>
      <c r="F14114" t="s">
        <v>4</v>
      </c>
      <c r="G14114" t="str">
        <f>""</f>
        <v/>
      </c>
    </row>
    <row r="14115" spans="1:7" x14ac:dyDescent="0.25">
      <c r="A14115" t="s">
        <v>8</v>
      </c>
      <c r="B14115" s="1" t="str">
        <f>"000010758 - RICHS-BAKED BEAR"</f>
        <v>000010758 - RICHS-BAKED BEAR</v>
      </c>
      <c r="C14115" t="s">
        <v>315</v>
      </c>
      <c r="D14115" s="1" t="str">
        <f>"PRG-1042274"</f>
        <v>PRG-1042274</v>
      </c>
      <c r="E14115" t="s">
        <v>316</v>
      </c>
      <c r="F14115" t="s">
        <v>4</v>
      </c>
      <c r="G14115" t="str">
        <f>""</f>
        <v/>
      </c>
    </row>
    <row r="14116" spans="1:7" x14ac:dyDescent="0.25">
      <c r="A14116" t="s">
        <v>8</v>
      </c>
      <c r="B14116" s="1" t="str">
        <f>"000394616 - RICH PRODUCTS BAKED BEAR"</f>
        <v>000394616 - RICH PRODUCTS BAKED BEAR</v>
      </c>
      <c r="C14116" t="s">
        <v>3696</v>
      </c>
      <c r="D14116" s="1" t="str">
        <f>"PRG-1042274"</f>
        <v>PRG-1042274</v>
      </c>
      <c r="E14116" t="s">
        <v>316</v>
      </c>
      <c r="F14116" t="s">
        <v>4</v>
      </c>
      <c r="G14116" t="str">
        <f>""</f>
        <v/>
      </c>
    </row>
    <row r="14117" spans="1:7" x14ac:dyDescent="0.25">
      <c r="A14117" t="s">
        <v>8</v>
      </c>
      <c r="B14117" s="1" t="str">
        <f>"S6V00S40"</f>
        <v>S6V00S40</v>
      </c>
      <c r="C14117" t="s">
        <v>6203</v>
      </c>
      <c r="D14117" s="1" t="str">
        <f>"PRG-1042277"</f>
        <v>PRG-1042277</v>
      </c>
      <c r="E14117" t="s">
        <v>6204</v>
      </c>
      <c r="F14117" t="s">
        <v>5</v>
      </c>
      <c r="G14117" t="str">
        <f>""</f>
        <v/>
      </c>
    </row>
    <row r="14118" spans="1:7" x14ac:dyDescent="0.25">
      <c r="A14118" t="s">
        <v>8</v>
      </c>
      <c r="B14118" s="1" t="str">
        <f>"000231792 - RICH PRODUCTS WINDY CITY PIZZA"</f>
        <v>000231792 - RICH PRODUCTS WINDY CITY PIZZA</v>
      </c>
      <c r="C14118" t="s">
        <v>1774</v>
      </c>
      <c r="D14118" s="1" t="str">
        <f>"PRG-1042281"</f>
        <v>PRG-1042281</v>
      </c>
      <c r="E14118" t="s">
        <v>1775</v>
      </c>
      <c r="F14118" t="s">
        <v>4</v>
      </c>
      <c r="G14118" t="str">
        <f>""</f>
        <v/>
      </c>
    </row>
    <row r="14119" spans="1:7" x14ac:dyDescent="0.25">
      <c r="A14119" t="s">
        <v>8</v>
      </c>
      <c r="B14119" s="1" t="str">
        <f>"000260704 - RICH FOODS-SPAGHETTI WAREHOUSE"</f>
        <v>000260704 - RICH FOODS-SPAGHETTI WAREHOUSE</v>
      </c>
      <c r="C14119" t="s">
        <v>1423</v>
      </c>
      <c r="D14119" s="1" t="str">
        <f>"PRG-1042281"</f>
        <v>PRG-1042281</v>
      </c>
      <c r="E14119" t="s">
        <v>1775</v>
      </c>
      <c r="F14119" t="s">
        <v>4</v>
      </c>
      <c r="G14119" t="str">
        <f>""</f>
        <v/>
      </c>
    </row>
    <row r="14120" spans="1:7" x14ac:dyDescent="0.25">
      <c r="A14120" t="s">
        <v>8</v>
      </c>
      <c r="B14120" s="1" t="str">
        <f>"000370738 - RICH FOODS-SPAGHETTI WAREHOUSE"</f>
        <v>000370738 - RICH FOODS-SPAGHETTI WAREHOUSE</v>
      </c>
      <c r="C14120" t="s">
        <v>1423</v>
      </c>
      <c r="D14120" s="1" t="str">
        <f>"PRG-1042281"</f>
        <v>PRG-1042281</v>
      </c>
      <c r="E14120" t="s">
        <v>1775</v>
      </c>
      <c r="F14120" t="s">
        <v>4</v>
      </c>
      <c r="G14120" t="str">
        <f>""</f>
        <v/>
      </c>
    </row>
    <row r="14121" spans="1:7" x14ac:dyDescent="0.25">
      <c r="A14121" t="s">
        <v>8</v>
      </c>
      <c r="B14121" s="1" t="str">
        <f>"000315922 - RICH STAUFFERS"</f>
        <v>000315922 - RICH STAUFFERS</v>
      </c>
      <c r="C14121" t="s">
        <v>3176</v>
      </c>
      <c r="D14121" s="1" t="str">
        <f>"PRG-1042294"</f>
        <v>PRG-1042294</v>
      </c>
      <c r="E14121" t="s">
        <v>2774</v>
      </c>
      <c r="F14121" t="s">
        <v>4</v>
      </c>
      <c r="G14121" t="str">
        <f>""</f>
        <v/>
      </c>
    </row>
    <row r="14122" spans="1:7" x14ac:dyDescent="0.25">
      <c r="A14122" t="s">
        <v>8</v>
      </c>
      <c r="B14122" s="1" t="str">
        <f>"S3M025I0"</f>
        <v>S3M025I0</v>
      </c>
      <c r="C14122" t="s">
        <v>5623</v>
      </c>
      <c r="D14122" s="1" t="str">
        <f>"PRG-1042301"</f>
        <v>PRG-1042301</v>
      </c>
      <c r="E14122" t="s">
        <v>5624</v>
      </c>
      <c r="F14122" t="s">
        <v>5</v>
      </c>
      <c r="G14122" t="str">
        <f>""</f>
        <v/>
      </c>
    </row>
    <row r="14123" spans="1:7" x14ac:dyDescent="0.25">
      <c r="A14123" t="s">
        <v>8</v>
      </c>
      <c r="B14123" s="1" t="str">
        <f>"000305432 - RICH DC-DELTA SONIC"</f>
        <v>000305432 - RICH DC-DELTA SONIC</v>
      </c>
      <c r="C14123" t="s">
        <v>2570</v>
      </c>
      <c r="D14123" s="1" t="str">
        <f>"PRG-1042304"</f>
        <v>PRG-1042304</v>
      </c>
      <c r="E14123" t="s">
        <v>2571</v>
      </c>
      <c r="F14123" t="s">
        <v>4</v>
      </c>
      <c r="G14123" t="str">
        <f>""</f>
        <v/>
      </c>
    </row>
    <row r="14124" spans="1:7" x14ac:dyDescent="0.25">
      <c r="A14124" t="s">
        <v>8</v>
      </c>
      <c r="B14124" s="1" t="str">
        <f>"000326292 - RICH DC-DELTA SONIC"</f>
        <v>000326292 - RICH DC-DELTA SONIC</v>
      </c>
      <c r="C14124" t="s">
        <v>2570</v>
      </c>
      <c r="D14124" s="1" t="str">
        <f>"PRG-1042304"</f>
        <v>PRG-1042304</v>
      </c>
      <c r="E14124" t="s">
        <v>2571</v>
      </c>
      <c r="F14124" t="s">
        <v>4</v>
      </c>
      <c r="G14124" t="str">
        <f>""</f>
        <v/>
      </c>
    </row>
    <row r="14125" spans="1:7" x14ac:dyDescent="0.25">
      <c r="A14125" t="s">
        <v>8</v>
      </c>
      <c r="B14125" s="1" t="str">
        <f>"S6I01DV0"</f>
        <v>S6I01DV0</v>
      </c>
      <c r="C14125" t="s">
        <v>6094</v>
      </c>
      <c r="D14125" s="1" t="str">
        <f>"PRG-1042305"</f>
        <v>PRG-1042305</v>
      </c>
      <c r="E14125" t="s">
        <v>6093</v>
      </c>
      <c r="F14125" t="s">
        <v>5</v>
      </c>
      <c r="G14125" t="str">
        <f>""</f>
        <v/>
      </c>
    </row>
    <row r="14126" spans="1:7" x14ac:dyDescent="0.25">
      <c r="A14126" t="s">
        <v>8</v>
      </c>
      <c r="B14126" s="1" t="str">
        <f>"S9D018E0"</f>
        <v>S9D018E0</v>
      </c>
      <c r="C14126" t="s">
        <v>6362</v>
      </c>
      <c r="D14126" s="1" t="str">
        <f>"PRG-1042306"</f>
        <v>PRG-1042306</v>
      </c>
      <c r="E14126" t="s">
        <v>6363</v>
      </c>
      <c r="F14126" t="s">
        <v>5</v>
      </c>
      <c r="G14126" t="str">
        <f>""</f>
        <v/>
      </c>
    </row>
    <row r="14127" spans="1:7" x14ac:dyDescent="0.25">
      <c r="A14127" t="s">
        <v>8</v>
      </c>
      <c r="B14127" s="1" t="str">
        <f>"000284219 - RICH'S-MAKUTU ISLAND"</f>
        <v>000284219 - RICH'S-MAKUTU ISLAND</v>
      </c>
      <c r="C14127" t="s">
        <v>2646</v>
      </c>
      <c r="D14127" s="1" t="str">
        <f>"PRG-1042309"</f>
        <v>PRG-1042309</v>
      </c>
      <c r="E14127" t="s">
        <v>2704</v>
      </c>
      <c r="F14127" t="s">
        <v>4</v>
      </c>
      <c r="G14127" t="str">
        <f>""</f>
        <v/>
      </c>
    </row>
    <row r="14128" spans="1:7" x14ac:dyDescent="0.25">
      <c r="A14128" t="s">
        <v>8</v>
      </c>
      <c r="B14128" s="1" t="str">
        <f>"000289391 - RICH DC-716 SPORT"</f>
        <v>000289391 - RICH DC-716 SPORT</v>
      </c>
      <c r="C14128" t="s">
        <v>2792</v>
      </c>
      <c r="D14128" s="1" t="str">
        <f>"PRG-1042315"</f>
        <v>PRG-1042315</v>
      </c>
      <c r="E14128" t="s">
        <v>2793</v>
      </c>
      <c r="F14128" t="s">
        <v>4</v>
      </c>
      <c r="G14128" t="str">
        <f>""</f>
        <v/>
      </c>
    </row>
    <row r="14129" spans="1:7" x14ac:dyDescent="0.25">
      <c r="A14129" t="s">
        <v>8</v>
      </c>
      <c r="B14129" s="1" t="str">
        <f>"000330223 - RICH DC-716 SPORT"</f>
        <v>000330223 - RICH DC-716 SPORT</v>
      </c>
      <c r="C14129" t="s">
        <v>2792</v>
      </c>
      <c r="D14129" s="1" t="str">
        <f>"PRG-1042315"</f>
        <v>PRG-1042315</v>
      </c>
      <c r="E14129" t="s">
        <v>2793</v>
      </c>
      <c r="F14129" t="s">
        <v>4</v>
      </c>
      <c r="G14129" t="str">
        <f>""</f>
        <v/>
      </c>
    </row>
    <row r="14130" spans="1:7" x14ac:dyDescent="0.25">
      <c r="A14130" t="s">
        <v>8</v>
      </c>
      <c r="B14130" s="1" t="str">
        <f>"6026SS07"</f>
        <v>6026SS07</v>
      </c>
      <c r="C14130" t="s">
        <v>5151</v>
      </c>
      <c r="D14130" s="1" t="str">
        <f>"PRG-1042321"</f>
        <v>PRG-1042321</v>
      </c>
      <c r="E14130" t="s">
        <v>5152</v>
      </c>
      <c r="F14130" t="s">
        <v>5</v>
      </c>
      <c r="G14130" t="str">
        <f>""</f>
        <v/>
      </c>
    </row>
    <row r="14131" spans="1:7" x14ac:dyDescent="0.25">
      <c r="A14131" t="s">
        <v>8</v>
      </c>
      <c r="B14131" s="1" t="str">
        <f>"000019722 - RICH FOODS-BLACK BEAR"</f>
        <v>000019722 - RICH FOODS-BLACK BEAR</v>
      </c>
      <c r="C14131" t="s">
        <v>397</v>
      </c>
      <c r="D14131" s="1" t="str">
        <f t="shared" ref="D14131:D14142" si="388">"PRG-1042353"</f>
        <v>PRG-1042353</v>
      </c>
      <c r="E14131" t="s">
        <v>398</v>
      </c>
      <c r="F14131" t="s">
        <v>4</v>
      </c>
      <c r="G14131" t="str">
        <f>""</f>
        <v/>
      </c>
    </row>
    <row r="14132" spans="1:7" x14ac:dyDescent="0.25">
      <c r="A14132" t="s">
        <v>8</v>
      </c>
      <c r="B14132" s="1" t="str">
        <f>"000033059 - RICH FOODS-BLACK BEAR"</f>
        <v>000033059 - RICH FOODS-BLACK BEAR</v>
      </c>
      <c r="C14132" t="s">
        <v>397</v>
      </c>
      <c r="D14132" s="1" t="str">
        <f t="shared" si="388"/>
        <v>PRG-1042353</v>
      </c>
      <c r="E14132" t="s">
        <v>398</v>
      </c>
      <c r="F14132" t="s">
        <v>4</v>
      </c>
      <c r="G14132" t="str">
        <f>""</f>
        <v/>
      </c>
    </row>
    <row r="14133" spans="1:7" x14ac:dyDescent="0.25">
      <c r="A14133" t="s">
        <v>8</v>
      </c>
      <c r="B14133" s="1" t="str">
        <f>"000036040 - RICH FOODS-BLACK BEAR"</f>
        <v>000036040 - RICH FOODS-BLACK BEAR</v>
      </c>
      <c r="C14133" t="s">
        <v>397</v>
      </c>
      <c r="D14133" s="1" t="str">
        <f t="shared" si="388"/>
        <v>PRG-1042353</v>
      </c>
      <c r="E14133" t="s">
        <v>398</v>
      </c>
      <c r="F14133" t="s">
        <v>4</v>
      </c>
      <c r="G14133" t="str">
        <f>""</f>
        <v/>
      </c>
    </row>
    <row r="14134" spans="1:7" x14ac:dyDescent="0.25">
      <c r="A14134" t="s">
        <v>8</v>
      </c>
      <c r="B14134" s="1" t="str">
        <f>"000038676 - RICH FOODS-BLACK BEAR"</f>
        <v>000038676 - RICH FOODS-BLACK BEAR</v>
      </c>
      <c r="C14134" t="s">
        <v>397</v>
      </c>
      <c r="D14134" s="1" t="str">
        <f t="shared" si="388"/>
        <v>PRG-1042353</v>
      </c>
      <c r="E14134" t="s">
        <v>398</v>
      </c>
      <c r="F14134" t="s">
        <v>4</v>
      </c>
      <c r="G14134" t="str">
        <f>""</f>
        <v/>
      </c>
    </row>
    <row r="14135" spans="1:7" x14ac:dyDescent="0.25">
      <c r="A14135" t="s">
        <v>8</v>
      </c>
      <c r="B14135" s="1" t="str">
        <f>"000283420 - RICH FOODS-BLACK BEAR"</f>
        <v>000283420 - RICH FOODS-BLACK BEAR</v>
      </c>
      <c r="C14135" t="s">
        <v>397</v>
      </c>
      <c r="D14135" s="1" t="str">
        <f t="shared" si="388"/>
        <v>PRG-1042353</v>
      </c>
      <c r="E14135" t="s">
        <v>398</v>
      </c>
      <c r="F14135" t="s">
        <v>4</v>
      </c>
      <c r="G14135" t="str">
        <f>""</f>
        <v/>
      </c>
    </row>
    <row r="14136" spans="1:7" x14ac:dyDescent="0.25">
      <c r="A14136" t="s">
        <v>8</v>
      </c>
      <c r="B14136" s="1" t="str">
        <f>"000333771 - RICH FOODS-BLACK BEAR"</f>
        <v>000333771 - RICH FOODS-BLACK BEAR</v>
      </c>
      <c r="C14136" t="s">
        <v>397</v>
      </c>
      <c r="D14136" s="1" t="str">
        <f t="shared" si="388"/>
        <v>PRG-1042353</v>
      </c>
      <c r="E14136" t="s">
        <v>398</v>
      </c>
      <c r="F14136" t="s">
        <v>4</v>
      </c>
      <c r="G14136" t="str">
        <f>""</f>
        <v/>
      </c>
    </row>
    <row r="14137" spans="1:7" x14ac:dyDescent="0.25">
      <c r="A14137" t="s">
        <v>8</v>
      </c>
      <c r="B14137" s="1" t="str">
        <f>"000334974 - RICH FOODS-BLACK BEAR"</f>
        <v>000334974 - RICH FOODS-BLACK BEAR</v>
      </c>
      <c r="C14137" t="s">
        <v>397</v>
      </c>
      <c r="D14137" s="1" t="str">
        <f t="shared" si="388"/>
        <v>PRG-1042353</v>
      </c>
      <c r="E14137" t="s">
        <v>398</v>
      </c>
      <c r="F14137" t="s">
        <v>4</v>
      </c>
      <c r="G14137" t="str">
        <f>""</f>
        <v/>
      </c>
    </row>
    <row r="14138" spans="1:7" x14ac:dyDescent="0.25">
      <c r="A14138" t="s">
        <v>8</v>
      </c>
      <c r="B14138" s="1" t="str">
        <f>"000346934 - RICH FOODS-BLACK BEAR"</f>
        <v>000346934 - RICH FOODS-BLACK BEAR</v>
      </c>
      <c r="C14138" t="s">
        <v>397</v>
      </c>
      <c r="D14138" s="1" t="str">
        <f t="shared" si="388"/>
        <v>PRG-1042353</v>
      </c>
      <c r="E14138" t="s">
        <v>398</v>
      </c>
      <c r="F14138" t="s">
        <v>4</v>
      </c>
      <c r="G14138" t="str">
        <f>""</f>
        <v/>
      </c>
    </row>
    <row r="14139" spans="1:7" x14ac:dyDescent="0.25">
      <c r="A14139" t="s">
        <v>8</v>
      </c>
      <c r="B14139" s="1" t="str">
        <f>"000367906 - RICH FOODS-BLACK BEAR"</f>
        <v>000367906 - RICH FOODS-BLACK BEAR</v>
      </c>
      <c r="C14139" t="s">
        <v>397</v>
      </c>
      <c r="D14139" s="1" t="str">
        <f t="shared" si="388"/>
        <v>PRG-1042353</v>
      </c>
      <c r="E14139" t="s">
        <v>398</v>
      </c>
      <c r="F14139" t="s">
        <v>4</v>
      </c>
      <c r="G14139" t="str">
        <f>""</f>
        <v/>
      </c>
    </row>
    <row r="14140" spans="1:7" x14ac:dyDescent="0.25">
      <c r="A14140" t="s">
        <v>8</v>
      </c>
      <c r="B14140" s="1" t="str">
        <f>"000378616 - RICH FOODS-BLACK BEAR"</f>
        <v>000378616 - RICH FOODS-BLACK BEAR</v>
      </c>
      <c r="C14140" t="s">
        <v>397</v>
      </c>
      <c r="D14140" s="1" t="str">
        <f t="shared" si="388"/>
        <v>PRG-1042353</v>
      </c>
      <c r="E14140" t="s">
        <v>398</v>
      </c>
      <c r="F14140" t="s">
        <v>4</v>
      </c>
      <c r="G14140" t="str">
        <f>""</f>
        <v/>
      </c>
    </row>
    <row r="14141" spans="1:7" x14ac:dyDescent="0.25">
      <c r="A14141" t="s">
        <v>8</v>
      </c>
      <c r="B14141" s="1" t="str">
        <f>"000380192 - RICH FOODS-BLACK BEAR"</f>
        <v>000380192 - RICH FOODS-BLACK BEAR</v>
      </c>
      <c r="C14141" t="s">
        <v>397</v>
      </c>
      <c r="D14141" s="1" t="str">
        <f t="shared" si="388"/>
        <v>PRG-1042353</v>
      </c>
      <c r="E14141" t="s">
        <v>398</v>
      </c>
      <c r="F14141" t="s">
        <v>4</v>
      </c>
      <c r="G14141" t="str">
        <f>""</f>
        <v/>
      </c>
    </row>
    <row r="14142" spans="1:7" x14ac:dyDescent="0.25">
      <c r="A14142" t="s">
        <v>8</v>
      </c>
      <c r="B14142" s="1" t="str">
        <f>"000411397 - RICH FOODS-BLACK BEAR"</f>
        <v>000411397 - RICH FOODS-BLACK BEAR</v>
      </c>
      <c r="C14142" t="s">
        <v>397</v>
      </c>
      <c r="D14142" s="1" t="str">
        <f t="shared" si="388"/>
        <v>PRG-1042353</v>
      </c>
      <c r="E14142" t="s">
        <v>398</v>
      </c>
      <c r="F14142" t="s">
        <v>4</v>
      </c>
      <c r="G14142" t="str">
        <f>""</f>
        <v/>
      </c>
    </row>
    <row r="14143" spans="1:7" x14ac:dyDescent="0.25">
      <c r="A14143" t="s">
        <v>8</v>
      </c>
      <c r="B14143" s="1" t="str">
        <f>"000034917 - RICH'S FOODS BK'S PIZZA"</f>
        <v>000034917 - RICH'S FOODS BK'S PIZZA</v>
      </c>
      <c r="C14143" t="s">
        <v>521</v>
      </c>
      <c r="D14143" s="1" t="str">
        <f>"PRG-1042362"</f>
        <v>PRG-1042362</v>
      </c>
      <c r="E14143" t="s">
        <v>326</v>
      </c>
      <c r="F14143" t="s">
        <v>4</v>
      </c>
      <c r="G14143" t="str">
        <f>""</f>
        <v/>
      </c>
    </row>
    <row r="14144" spans="1:7" x14ac:dyDescent="0.25">
      <c r="A14144" t="s">
        <v>8</v>
      </c>
      <c r="B14144" s="1" t="str">
        <f>"000037555 - RICH PRODUCTS IHOP"</f>
        <v>000037555 - RICH PRODUCTS IHOP</v>
      </c>
      <c r="C14144" t="s">
        <v>550</v>
      </c>
      <c r="D14144" s="1" t="str">
        <f t="shared" ref="D14144:D14153" si="389">"PRG-1042364"</f>
        <v>PRG-1042364</v>
      </c>
      <c r="E14144" t="s">
        <v>357</v>
      </c>
      <c r="F14144" t="s">
        <v>4</v>
      </c>
      <c r="G14144" t="str">
        <f>""</f>
        <v/>
      </c>
    </row>
    <row r="14145" spans="1:7" x14ac:dyDescent="0.25">
      <c r="A14145" t="s">
        <v>8</v>
      </c>
      <c r="B14145" s="1" t="str">
        <f>"000061446 - RICH FOODS-IHOP"</f>
        <v>000061446 - RICH FOODS-IHOP</v>
      </c>
      <c r="C14145" t="s">
        <v>706</v>
      </c>
      <c r="D14145" s="1" t="str">
        <f t="shared" si="389"/>
        <v>PRG-1042364</v>
      </c>
      <c r="E14145" t="s">
        <v>357</v>
      </c>
      <c r="F14145" t="s">
        <v>4</v>
      </c>
      <c r="G14145" t="str">
        <f>""</f>
        <v/>
      </c>
    </row>
    <row r="14146" spans="1:7" x14ac:dyDescent="0.25">
      <c r="A14146" t="s">
        <v>8</v>
      </c>
      <c r="B14146" s="1" t="str">
        <f>"000061447 - RICH FOODS-IHOP"</f>
        <v>000061447 - RICH FOODS-IHOP</v>
      </c>
      <c r="C14146" t="s">
        <v>706</v>
      </c>
      <c r="D14146" s="1" t="str">
        <f t="shared" si="389"/>
        <v>PRG-1042364</v>
      </c>
      <c r="E14146" t="s">
        <v>357</v>
      </c>
      <c r="F14146" t="s">
        <v>4</v>
      </c>
      <c r="G14146" t="str">
        <f>""</f>
        <v/>
      </c>
    </row>
    <row r="14147" spans="1:7" x14ac:dyDescent="0.25">
      <c r="A14147" t="s">
        <v>8</v>
      </c>
      <c r="B14147" s="1" t="str">
        <f>"000306852 - RICH PRODUCTS         MAR IHOP"</f>
        <v>000306852 - RICH PRODUCTS         MAR IHOP</v>
      </c>
      <c r="C14147" t="s">
        <v>3053</v>
      </c>
      <c r="D14147" s="1" t="str">
        <f t="shared" si="389"/>
        <v>PRG-1042364</v>
      </c>
      <c r="E14147" t="s">
        <v>357</v>
      </c>
      <c r="F14147" t="s">
        <v>4</v>
      </c>
      <c r="G14147" t="str">
        <f>""</f>
        <v/>
      </c>
    </row>
    <row r="14148" spans="1:7" x14ac:dyDescent="0.25">
      <c r="A14148" t="s">
        <v>8</v>
      </c>
      <c r="B14148" s="1" t="str">
        <f>"000310009 - RICH PRODUCTS         APR IHOP"</f>
        <v>000310009 - RICH PRODUCTS         APR IHOP</v>
      </c>
      <c r="C14148" t="s">
        <v>3102</v>
      </c>
      <c r="D14148" s="1" t="str">
        <f t="shared" si="389"/>
        <v>PRG-1042364</v>
      </c>
      <c r="E14148" t="s">
        <v>357</v>
      </c>
      <c r="F14148" t="s">
        <v>4</v>
      </c>
      <c r="G14148" t="str">
        <f>""</f>
        <v/>
      </c>
    </row>
    <row r="14149" spans="1:7" x14ac:dyDescent="0.25">
      <c r="A14149" t="s">
        <v>8</v>
      </c>
      <c r="B14149" s="1" t="str">
        <f>"000316638 - RICH PRODUCTS         JUL IHOP"</f>
        <v>000316638 - RICH PRODUCTS         JUL IHOP</v>
      </c>
      <c r="C14149" t="s">
        <v>3189</v>
      </c>
      <c r="D14149" s="1" t="str">
        <f t="shared" si="389"/>
        <v>PRG-1042364</v>
      </c>
      <c r="E14149" t="s">
        <v>357</v>
      </c>
      <c r="F14149" t="s">
        <v>4</v>
      </c>
      <c r="G14149" t="str">
        <f>""</f>
        <v/>
      </c>
    </row>
    <row r="14150" spans="1:7" x14ac:dyDescent="0.25">
      <c r="A14150" t="s">
        <v>8</v>
      </c>
      <c r="B14150" s="1" t="str">
        <f>"000317944 - RICH PRODUCTS         AUG IHOP"</f>
        <v>000317944 - RICH PRODUCTS         AUG IHOP</v>
      </c>
      <c r="C14150" t="s">
        <v>3211</v>
      </c>
      <c r="D14150" s="1" t="str">
        <f t="shared" si="389"/>
        <v>PRG-1042364</v>
      </c>
      <c r="E14150" t="s">
        <v>357</v>
      </c>
      <c r="F14150" t="s">
        <v>4</v>
      </c>
      <c r="G14150" t="str">
        <f>""</f>
        <v/>
      </c>
    </row>
    <row r="14151" spans="1:7" x14ac:dyDescent="0.25">
      <c r="A14151" t="s">
        <v>8</v>
      </c>
      <c r="B14151" s="1" t="str">
        <f>"000318952 - IHOP RICH'S"</f>
        <v>000318952 - IHOP RICH'S</v>
      </c>
      <c r="C14151" t="s">
        <v>1729</v>
      </c>
      <c r="D14151" s="1" t="str">
        <f t="shared" si="389"/>
        <v>PRG-1042364</v>
      </c>
      <c r="E14151" t="s">
        <v>357</v>
      </c>
      <c r="F14151" t="s">
        <v>4</v>
      </c>
      <c r="G14151" t="str">
        <f>""</f>
        <v/>
      </c>
    </row>
    <row r="14152" spans="1:7" x14ac:dyDescent="0.25">
      <c r="A14152" t="s">
        <v>8</v>
      </c>
      <c r="B14152" s="1" t="str">
        <f>"000322553 - RICH PRODUCTS         OCT IHOP"</f>
        <v>000322553 - RICH PRODUCTS         OCT IHOP</v>
      </c>
      <c r="C14152" t="s">
        <v>3260</v>
      </c>
      <c r="D14152" s="1" t="str">
        <f t="shared" si="389"/>
        <v>PRG-1042364</v>
      </c>
      <c r="E14152" t="s">
        <v>357</v>
      </c>
      <c r="F14152" t="s">
        <v>4</v>
      </c>
      <c r="G14152" t="str">
        <f>""</f>
        <v/>
      </c>
    </row>
    <row r="14153" spans="1:7" x14ac:dyDescent="0.25">
      <c r="A14153" t="s">
        <v>8</v>
      </c>
      <c r="B14153" s="1" t="str">
        <f>"000399521 - RICH PRODUCTS IHOP"</f>
        <v>000399521 - RICH PRODUCTS IHOP</v>
      </c>
      <c r="C14153" t="s">
        <v>550</v>
      </c>
      <c r="D14153" s="1" t="str">
        <f t="shared" si="389"/>
        <v>PRG-1042364</v>
      </c>
      <c r="E14153" t="s">
        <v>357</v>
      </c>
      <c r="F14153" t="s">
        <v>4</v>
      </c>
      <c r="G14153" t="str">
        <f>""</f>
        <v/>
      </c>
    </row>
    <row r="14154" spans="1:7" x14ac:dyDescent="0.25">
      <c r="A14154" t="s">
        <v>8</v>
      </c>
      <c r="B14154" s="1" t="str">
        <f>"000020963 - RICH LOS TRES AMIGOS"</f>
        <v>000020963 - RICH LOS TRES AMIGOS</v>
      </c>
      <c r="C14154" t="s">
        <v>406</v>
      </c>
      <c r="D14154" s="1" t="str">
        <f>"PRG-1042380"</f>
        <v>PRG-1042380</v>
      </c>
      <c r="E14154" t="s">
        <v>407</v>
      </c>
      <c r="F14154" t="s">
        <v>4</v>
      </c>
      <c r="G14154" t="str">
        <f>""</f>
        <v/>
      </c>
    </row>
    <row r="14155" spans="1:7" x14ac:dyDescent="0.25">
      <c r="A14155" t="s">
        <v>8</v>
      </c>
      <c r="B14155" s="1" t="str">
        <f>"S6J06300"</f>
        <v>S6J06300</v>
      </c>
      <c r="C14155" t="s">
        <v>6166</v>
      </c>
      <c r="D14155" s="1" t="str">
        <f>"PRG-1042380"</f>
        <v>PRG-1042380</v>
      </c>
      <c r="E14155" t="s">
        <v>407</v>
      </c>
      <c r="F14155" t="s">
        <v>5</v>
      </c>
      <c r="G14155" t="str">
        <f>""</f>
        <v/>
      </c>
    </row>
    <row r="14156" spans="1:7" x14ac:dyDescent="0.25">
      <c r="A14156" t="s">
        <v>8</v>
      </c>
      <c r="B14156" s="1" t="str">
        <f>"S1Z0HPN0"</f>
        <v>S1Z0HPN0</v>
      </c>
      <c r="C14156" t="s">
        <v>5387</v>
      </c>
      <c r="D14156" s="1" t="str">
        <f>"PRG-1042384"</f>
        <v>PRG-1042384</v>
      </c>
      <c r="E14156" t="s">
        <v>5388</v>
      </c>
      <c r="F14156" t="s">
        <v>5</v>
      </c>
      <c r="G14156" t="str">
        <f>""</f>
        <v/>
      </c>
    </row>
    <row r="14157" spans="1:7" x14ac:dyDescent="0.25">
      <c r="A14157" t="s">
        <v>8</v>
      </c>
      <c r="B14157" s="1" t="str">
        <f>"000253818 - RICHS MOBILE 101"</f>
        <v>000253818 - RICHS MOBILE 101</v>
      </c>
      <c r="C14157" t="s">
        <v>1832</v>
      </c>
      <c r="D14157" s="1" t="str">
        <f>"PRG-1042387"</f>
        <v>PRG-1042387</v>
      </c>
      <c r="E14157" t="s">
        <v>1833</v>
      </c>
      <c r="F14157" t="s">
        <v>4</v>
      </c>
      <c r="G14157" t="str">
        <f>""</f>
        <v/>
      </c>
    </row>
    <row r="14158" spans="1:7" x14ac:dyDescent="0.25">
      <c r="A14158" t="s">
        <v>8</v>
      </c>
      <c r="B14158" s="1" t="str">
        <f>"2350H273"</f>
        <v>2350H273</v>
      </c>
      <c r="C14158" t="s">
        <v>4539</v>
      </c>
      <c r="D14158" s="1" t="str">
        <f>"PRG-1042388"</f>
        <v>PRG-1042388</v>
      </c>
      <c r="E14158" t="s">
        <v>4540</v>
      </c>
      <c r="F14158" t="s">
        <v>5</v>
      </c>
      <c r="G14158" t="str">
        <f>""</f>
        <v/>
      </c>
    </row>
    <row r="14159" spans="1:7" x14ac:dyDescent="0.25">
      <c r="A14159" t="s">
        <v>8</v>
      </c>
      <c r="B14159" s="1" t="str">
        <f>"S3F00K10"</f>
        <v>S3F00K10</v>
      </c>
      <c r="C14159" t="s">
        <v>5599</v>
      </c>
      <c r="D14159" s="1" t="str">
        <f>"PRG-1042390"</f>
        <v>PRG-1042390</v>
      </c>
      <c r="E14159" t="s">
        <v>5600</v>
      </c>
      <c r="F14159" t="s">
        <v>5</v>
      </c>
      <c r="G14159" t="str">
        <f>""</f>
        <v/>
      </c>
    </row>
    <row r="14160" spans="1:7" x14ac:dyDescent="0.25">
      <c r="A14160" t="s">
        <v>8</v>
      </c>
      <c r="B14160" s="1" t="str">
        <f>"S3F003Q0"</f>
        <v>S3F003Q0</v>
      </c>
      <c r="C14160" t="s">
        <v>5597</v>
      </c>
      <c r="D14160" s="1" t="str">
        <f>"PRG-1042391"</f>
        <v>PRG-1042391</v>
      </c>
      <c r="E14160" t="s">
        <v>5598</v>
      </c>
      <c r="F14160" t="s">
        <v>5</v>
      </c>
      <c r="G14160" t="str">
        <f>""</f>
        <v/>
      </c>
    </row>
    <row r="14161" spans="1:7" x14ac:dyDescent="0.25">
      <c r="A14161" t="s">
        <v>8</v>
      </c>
      <c r="B14161" s="1" t="str">
        <f>"2350F252"</f>
        <v>2350F252</v>
      </c>
      <c r="C14161" t="s">
        <v>4531</v>
      </c>
      <c r="D14161" s="1" t="str">
        <f>"PRG-1042392"</f>
        <v>PRG-1042392</v>
      </c>
      <c r="E14161" t="s">
        <v>4532</v>
      </c>
      <c r="F14161" t="s">
        <v>5</v>
      </c>
      <c r="G14161" t="str">
        <f>""</f>
        <v/>
      </c>
    </row>
    <row r="14162" spans="1:7" x14ac:dyDescent="0.25">
      <c r="A14162" t="s">
        <v>8</v>
      </c>
      <c r="B14162" s="1" t="str">
        <f>"000335211 - RICH PRODUCTS-SIZZLER"</f>
        <v>000335211 - RICH PRODUCTS-SIZZLER</v>
      </c>
      <c r="C14162" t="s">
        <v>210</v>
      </c>
      <c r="D14162" s="1" t="str">
        <f>"PRG-1042400"</f>
        <v>PRG-1042400</v>
      </c>
      <c r="E14162" t="s">
        <v>402</v>
      </c>
      <c r="F14162" t="s">
        <v>4</v>
      </c>
      <c r="G14162" t="str">
        <f>""</f>
        <v/>
      </c>
    </row>
    <row r="14163" spans="1:7" x14ac:dyDescent="0.25">
      <c r="A14163" t="s">
        <v>8</v>
      </c>
      <c r="B14163" s="1" t="str">
        <f>"000043209 - PRAIRIE'S EDGE RICH'S PRODUCTS"</f>
        <v>000043209 - PRAIRIE'S EDGE RICH'S PRODUCTS</v>
      </c>
      <c r="C14163" t="s">
        <v>510</v>
      </c>
      <c r="D14163" s="1" t="str">
        <f>"PRG-1042404"</f>
        <v>PRG-1042404</v>
      </c>
      <c r="E14163" t="s">
        <v>600</v>
      </c>
      <c r="F14163" t="s">
        <v>4</v>
      </c>
      <c r="G14163" t="str">
        <f>""</f>
        <v/>
      </c>
    </row>
    <row r="14164" spans="1:7" x14ac:dyDescent="0.25">
      <c r="A14164" t="s">
        <v>8</v>
      </c>
      <c r="B14164" s="1" t="str">
        <f>"000055918 - PRAIRIE'S EDGE RICH'S PRODCUTS"</f>
        <v>000055918 - PRAIRIE'S EDGE RICH'S PRODCUTS</v>
      </c>
      <c r="C14164" t="s">
        <v>684</v>
      </c>
      <c r="D14164" s="1" t="str">
        <f>"PRG-1042404"</f>
        <v>PRG-1042404</v>
      </c>
      <c r="E14164" t="s">
        <v>600</v>
      </c>
      <c r="F14164" t="s">
        <v>4</v>
      </c>
      <c r="G14164" t="str">
        <f>""</f>
        <v/>
      </c>
    </row>
    <row r="14165" spans="1:7" x14ac:dyDescent="0.25">
      <c r="A14165" t="s">
        <v>8</v>
      </c>
      <c r="B14165" s="1" t="str">
        <f>"000176532 - RICH FOODS BAPA-SONNYS BBQ"</f>
        <v>000176532 - RICH FOODS BAPA-SONNYS BBQ</v>
      </c>
      <c r="C14165" t="s">
        <v>1121</v>
      </c>
      <c r="D14165" s="1" t="str">
        <f>"PRG-1042408"</f>
        <v>PRG-1042408</v>
      </c>
      <c r="E14165" t="s">
        <v>793</v>
      </c>
      <c r="F14165" t="s">
        <v>4</v>
      </c>
      <c r="G14165" t="str">
        <f>""</f>
        <v/>
      </c>
    </row>
    <row r="14166" spans="1:7" x14ac:dyDescent="0.25">
      <c r="A14166" t="s">
        <v>8</v>
      </c>
      <c r="B14166" s="1" t="str">
        <f>"000375902 - RICH FOODS BAPA-SONNYS BBQ"</f>
        <v>000375902 - RICH FOODS BAPA-SONNYS BBQ</v>
      </c>
      <c r="C14166" t="s">
        <v>1121</v>
      </c>
      <c r="D14166" s="1" t="str">
        <f>"PRG-1042408"</f>
        <v>PRG-1042408</v>
      </c>
      <c r="E14166" t="s">
        <v>793</v>
      </c>
      <c r="F14166" t="s">
        <v>4</v>
      </c>
      <c r="G14166" t="str">
        <f>""</f>
        <v/>
      </c>
    </row>
    <row r="14167" spans="1:7" x14ac:dyDescent="0.25">
      <c r="A14167" t="s">
        <v>8</v>
      </c>
      <c r="B14167" s="1" t="str">
        <f>"000385033 - RICH FOODS BAPA-SONNYS BBQ"</f>
        <v>000385033 - RICH FOODS BAPA-SONNYS BBQ</v>
      </c>
      <c r="C14167" t="s">
        <v>1121</v>
      </c>
      <c r="D14167" s="1" t="str">
        <f>"PRG-1042408"</f>
        <v>PRG-1042408</v>
      </c>
      <c r="E14167" t="s">
        <v>793</v>
      </c>
      <c r="F14167" t="s">
        <v>4</v>
      </c>
      <c r="G14167" t="str">
        <f>""</f>
        <v/>
      </c>
    </row>
    <row r="14168" spans="1:7" x14ac:dyDescent="0.25">
      <c r="A14168" t="s">
        <v>8</v>
      </c>
      <c r="B14168" s="1" t="str">
        <f>"000150930 - RICH OVATIONS"</f>
        <v>000150930 - RICH OVATIONS</v>
      </c>
      <c r="C14168" t="s">
        <v>785</v>
      </c>
      <c r="D14168" s="1" t="str">
        <f>"PRG-1042409"</f>
        <v>PRG-1042409</v>
      </c>
      <c r="E14168" t="s">
        <v>781</v>
      </c>
      <c r="F14168" t="s">
        <v>4</v>
      </c>
      <c r="G14168" t="str">
        <f>""</f>
        <v/>
      </c>
    </row>
    <row r="14169" spans="1:7" x14ac:dyDescent="0.25">
      <c r="A14169" t="s">
        <v>8</v>
      </c>
      <c r="B14169" s="1" t="str">
        <f>"000076311 - RICH FOODS-HURRICANE GRILL"</f>
        <v>000076311 - RICH FOODS-HURRICANE GRILL</v>
      </c>
      <c r="C14169" t="s">
        <v>475</v>
      </c>
      <c r="D14169" s="1" t="str">
        <f t="shared" ref="D14169:D14176" si="390">"PRG-1042410"</f>
        <v>PRG-1042410</v>
      </c>
      <c r="E14169" t="s">
        <v>233</v>
      </c>
      <c r="F14169" t="s">
        <v>4</v>
      </c>
      <c r="G14169" t="str">
        <f>""</f>
        <v/>
      </c>
    </row>
    <row r="14170" spans="1:7" x14ac:dyDescent="0.25">
      <c r="A14170" t="s">
        <v>8</v>
      </c>
      <c r="B14170" s="1" t="str">
        <f>"000175866 - RICH FOODS-HURRICANE GRILL"</f>
        <v>000175866 - RICH FOODS-HURRICANE GRILL</v>
      </c>
      <c r="C14170" t="s">
        <v>475</v>
      </c>
      <c r="D14170" s="1" t="str">
        <f t="shared" si="390"/>
        <v>PRG-1042410</v>
      </c>
      <c r="E14170" t="s">
        <v>233</v>
      </c>
      <c r="F14170" t="s">
        <v>4</v>
      </c>
      <c r="G14170" t="str">
        <f>""</f>
        <v/>
      </c>
    </row>
    <row r="14171" spans="1:7" x14ac:dyDescent="0.25">
      <c r="A14171" t="s">
        <v>8</v>
      </c>
      <c r="B14171" s="1" t="str">
        <f>"000268238 - RICH FOODS-HURRICANE GRILL"</f>
        <v>000268238 - RICH FOODS-HURRICANE GRILL</v>
      </c>
      <c r="C14171" t="s">
        <v>475</v>
      </c>
      <c r="D14171" s="1" t="str">
        <f t="shared" si="390"/>
        <v>PRG-1042410</v>
      </c>
      <c r="E14171" t="s">
        <v>233</v>
      </c>
      <c r="F14171" t="s">
        <v>4</v>
      </c>
      <c r="G14171" t="str">
        <f>""</f>
        <v/>
      </c>
    </row>
    <row r="14172" spans="1:7" x14ac:dyDescent="0.25">
      <c r="A14172" t="s">
        <v>8</v>
      </c>
      <c r="B14172" s="1" t="str">
        <f>"000285455 - RICH FOODS-HURRICANE GRILL"</f>
        <v>000285455 - RICH FOODS-HURRICANE GRILL</v>
      </c>
      <c r="C14172" t="s">
        <v>475</v>
      </c>
      <c r="D14172" s="1" t="str">
        <f t="shared" si="390"/>
        <v>PRG-1042410</v>
      </c>
      <c r="E14172" t="s">
        <v>233</v>
      </c>
      <c r="F14172" t="s">
        <v>4</v>
      </c>
      <c r="G14172" t="str">
        <f>""</f>
        <v/>
      </c>
    </row>
    <row r="14173" spans="1:7" x14ac:dyDescent="0.25">
      <c r="A14173" t="s">
        <v>8</v>
      </c>
      <c r="B14173" s="1" t="str">
        <f>"000343989 - RICH FOODS-HURRICANE GRILL"</f>
        <v>000343989 - RICH FOODS-HURRICANE GRILL</v>
      </c>
      <c r="C14173" t="s">
        <v>475</v>
      </c>
      <c r="D14173" s="1" t="str">
        <f t="shared" si="390"/>
        <v>PRG-1042410</v>
      </c>
      <c r="E14173" t="s">
        <v>233</v>
      </c>
      <c r="F14173" t="s">
        <v>4</v>
      </c>
      <c r="G14173" t="str">
        <f>""</f>
        <v/>
      </c>
    </row>
    <row r="14174" spans="1:7" x14ac:dyDescent="0.25">
      <c r="A14174" t="s">
        <v>8</v>
      </c>
      <c r="B14174" s="1" t="str">
        <f>"000356669 - RICH FOODS-HURRICANE GRILL"</f>
        <v>000356669 - RICH FOODS-HURRICANE GRILL</v>
      </c>
      <c r="C14174" t="s">
        <v>475</v>
      </c>
      <c r="D14174" s="1" t="str">
        <f t="shared" si="390"/>
        <v>PRG-1042410</v>
      </c>
      <c r="E14174" t="s">
        <v>233</v>
      </c>
      <c r="F14174" t="s">
        <v>4</v>
      </c>
      <c r="G14174" t="str">
        <f>""</f>
        <v/>
      </c>
    </row>
    <row r="14175" spans="1:7" x14ac:dyDescent="0.25">
      <c r="A14175" t="s">
        <v>8</v>
      </c>
      <c r="B14175" s="1" t="str">
        <f>"000359823 - RICH FOODS-HURRICANE GRILL"</f>
        <v>000359823 - RICH FOODS-HURRICANE GRILL</v>
      </c>
      <c r="C14175" t="s">
        <v>475</v>
      </c>
      <c r="D14175" s="1" t="str">
        <f t="shared" si="390"/>
        <v>PRG-1042410</v>
      </c>
      <c r="E14175" t="s">
        <v>233</v>
      </c>
      <c r="F14175" t="s">
        <v>4</v>
      </c>
      <c r="G14175" t="str">
        <f>""</f>
        <v/>
      </c>
    </row>
    <row r="14176" spans="1:7" x14ac:dyDescent="0.25">
      <c r="A14176" t="s">
        <v>8</v>
      </c>
      <c r="B14176" s="1" t="str">
        <f>"000368166 - RICH FOODS-HURRICANE GRILL"</f>
        <v>000368166 - RICH FOODS-HURRICANE GRILL</v>
      </c>
      <c r="C14176" t="s">
        <v>475</v>
      </c>
      <c r="D14176" s="1" t="str">
        <f t="shared" si="390"/>
        <v>PRG-1042410</v>
      </c>
      <c r="E14176" t="s">
        <v>233</v>
      </c>
      <c r="F14176" t="s">
        <v>4</v>
      </c>
      <c r="G14176" t="str">
        <f>""</f>
        <v/>
      </c>
    </row>
    <row r="14177" spans="1:7" x14ac:dyDescent="0.25">
      <c r="A14177" t="s">
        <v>8</v>
      </c>
      <c r="B14177" s="1" t="str">
        <f>"31507332"</f>
        <v>31507332</v>
      </c>
      <c r="C14177" t="s">
        <v>4661</v>
      </c>
      <c r="D14177" s="1" t="str">
        <f>"PRG-1042416"</f>
        <v>PRG-1042416</v>
      </c>
      <c r="E14177" t="s">
        <v>4617</v>
      </c>
      <c r="F14177" t="s">
        <v>5</v>
      </c>
      <c r="G14177" t="str">
        <f>""</f>
        <v/>
      </c>
    </row>
    <row r="14178" spans="1:7" x14ac:dyDescent="0.25">
      <c r="A14178" t="s">
        <v>8</v>
      </c>
      <c r="B14178" s="1" t="str">
        <f>"000036817 - RICH FOODS-GANDOLFO'S"</f>
        <v>000036817 - RICH FOODS-GANDOLFO'S</v>
      </c>
      <c r="C14178" t="s">
        <v>548</v>
      </c>
      <c r="D14178" s="1" t="str">
        <f>"PRG-1042418"</f>
        <v>PRG-1042418</v>
      </c>
      <c r="E14178" t="s">
        <v>503</v>
      </c>
      <c r="F14178" t="s">
        <v>4</v>
      </c>
      <c r="G14178" t="str">
        <f>""</f>
        <v/>
      </c>
    </row>
    <row r="14179" spans="1:7" x14ac:dyDescent="0.25">
      <c r="A14179" t="s">
        <v>8</v>
      </c>
      <c r="B14179" s="1" t="str">
        <f>"000096294 - RICH GANDOLFO'S"</f>
        <v>000096294 - RICH GANDOLFO'S</v>
      </c>
      <c r="C14179" t="s">
        <v>772</v>
      </c>
      <c r="D14179" s="1" t="str">
        <f>"PRG-1042418"</f>
        <v>PRG-1042418</v>
      </c>
      <c r="E14179" t="s">
        <v>503</v>
      </c>
      <c r="F14179" t="s">
        <v>4</v>
      </c>
      <c r="G14179" t="str">
        <f>""</f>
        <v/>
      </c>
    </row>
    <row r="14180" spans="1:7" x14ac:dyDescent="0.25">
      <c r="A14180" t="s">
        <v>8</v>
      </c>
      <c r="B14180" s="1" t="str">
        <f>"000295934 - GANDOLFO'S RICH'S ALLOWANCE"</f>
        <v>000295934 - GANDOLFO'S RICH'S ALLOWANCE</v>
      </c>
      <c r="C14180" t="s">
        <v>2905</v>
      </c>
      <c r="D14180" s="1" t="str">
        <f>"PRG-1042418"</f>
        <v>PRG-1042418</v>
      </c>
      <c r="E14180" t="s">
        <v>503</v>
      </c>
      <c r="F14180" t="s">
        <v>4</v>
      </c>
      <c r="G14180" t="str">
        <f>""</f>
        <v/>
      </c>
    </row>
    <row r="14181" spans="1:7" x14ac:dyDescent="0.25">
      <c r="A14181" t="s">
        <v>8</v>
      </c>
      <c r="B14181" s="1" t="str">
        <f>"000317595 - GANDOLFO'S RICH'S CONTRACT"</f>
        <v>000317595 - GANDOLFO'S RICH'S CONTRACT</v>
      </c>
      <c r="C14181" t="s">
        <v>3205</v>
      </c>
      <c r="D14181" s="1" t="str">
        <f>"PRG-1042418"</f>
        <v>PRG-1042418</v>
      </c>
      <c r="E14181" t="s">
        <v>503</v>
      </c>
      <c r="F14181" t="s">
        <v>4</v>
      </c>
      <c r="G14181" t="str">
        <f>""</f>
        <v/>
      </c>
    </row>
    <row r="14182" spans="1:7" x14ac:dyDescent="0.25">
      <c r="A14182" t="s">
        <v>8</v>
      </c>
      <c r="B14182" s="1" t="str">
        <f>"000380966 - RICH'S   GANDOLFO'S"</f>
        <v>000380966 - RICH'S   GANDOLFO'S</v>
      </c>
      <c r="C14182" t="s">
        <v>3653</v>
      </c>
      <c r="D14182" s="1" t="str">
        <f>"PRG-1042418"</f>
        <v>PRG-1042418</v>
      </c>
      <c r="E14182" t="s">
        <v>503</v>
      </c>
      <c r="F14182" t="s">
        <v>4</v>
      </c>
      <c r="G14182" t="str">
        <f>""</f>
        <v/>
      </c>
    </row>
    <row r="14183" spans="1:7" x14ac:dyDescent="0.25">
      <c r="A14183" t="s">
        <v>8</v>
      </c>
      <c r="B14183" s="1" t="str">
        <f>"000335841 - RICHS SNEAKERS"</f>
        <v>000335841 - RICHS SNEAKERS</v>
      </c>
      <c r="C14183" t="s">
        <v>3400</v>
      </c>
      <c r="D14183" s="1" t="str">
        <f>"PRG-1042421"</f>
        <v>PRG-1042421</v>
      </c>
      <c r="E14183" t="s">
        <v>3162</v>
      </c>
      <c r="F14183" t="s">
        <v>4</v>
      </c>
      <c r="G14183" t="str">
        <f>""</f>
        <v/>
      </c>
    </row>
    <row r="14184" spans="1:7" x14ac:dyDescent="0.25">
      <c r="A14184" t="s">
        <v>8</v>
      </c>
      <c r="B14184" s="1" t="str">
        <f>"000077521 - RICH'S-COUNTRY KITCHEN"</f>
        <v>000077521 - RICH'S-COUNTRY KITCHEN</v>
      </c>
      <c r="C14184" t="s">
        <v>212</v>
      </c>
      <c r="D14184" s="1" t="str">
        <f t="shared" ref="D14184:D14190" si="391">"PRG-1042427"</f>
        <v>PRG-1042427</v>
      </c>
      <c r="E14184" t="s">
        <v>213</v>
      </c>
      <c r="F14184" t="s">
        <v>4</v>
      </c>
      <c r="G14184" t="str">
        <f>""</f>
        <v/>
      </c>
    </row>
    <row r="14185" spans="1:7" x14ac:dyDescent="0.25">
      <c r="A14185" t="s">
        <v>8</v>
      </c>
      <c r="B14185" s="1" t="str">
        <f>"000250320 - RICH'S-COUNTRY KITCHEN"</f>
        <v>000250320 - RICH'S-COUNTRY KITCHEN</v>
      </c>
      <c r="C14185" t="s">
        <v>212</v>
      </c>
      <c r="D14185" s="1" t="str">
        <f t="shared" si="391"/>
        <v>PRG-1042427</v>
      </c>
      <c r="E14185" t="s">
        <v>213</v>
      </c>
      <c r="F14185" t="s">
        <v>4</v>
      </c>
      <c r="G14185" t="str">
        <f>""</f>
        <v/>
      </c>
    </row>
    <row r="14186" spans="1:7" x14ac:dyDescent="0.25">
      <c r="A14186" t="s">
        <v>8</v>
      </c>
      <c r="B14186" s="1" t="str">
        <f>"000269785 - RICH'S-COUNTRY KITCHEN"</f>
        <v>000269785 - RICH'S-COUNTRY KITCHEN</v>
      </c>
      <c r="C14186" t="s">
        <v>212</v>
      </c>
      <c r="D14186" s="1" t="str">
        <f t="shared" si="391"/>
        <v>PRG-1042427</v>
      </c>
      <c r="E14186" t="s">
        <v>213</v>
      </c>
      <c r="F14186" t="s">
        <v>4</v>
      </c>
      <c r="G14186" t="str">
        <f>""</f>
        <v/>
      </c>
    </row>
    <row r="14187" spans="1:7" x14ac:dyDescent="0.25">
      <c r="A14187" t="s">
        <v>8</v>
      </c>
      <c r="B14187" s="1" t="str">
        <f>"000287476 - RICH'S-COUNTRY KITCHEN"</f>
        <v>000287476 - RICH'S-COUNTRY KITCHEN</v>
      </c>
      <c r="C14187" t="s">
        <v>212</v>
      </c>
      <c r="D14187" s="1" t="str">
        <f t="shared" si="391"/>
        <v>PRG-1042427</v>
      </c>
      <c r="E14187" t="s">
        <v>213</v>
      </c>
      <c r="F14187" t="s">
        <v>4</v>
      </c>
      <c r="G14187" t="str">
        <f>""</f>
        <v/>
      </c>
    </row>
    <row r="14188" spans="1:7" x14ac:dyDescent="0.25">
      <c r="A14188" t="s">
        <v>8</v>
      </c>
      <c r="B14188" s="1" t="str">
        <f>"000295309 - RICH'S-COUNTRY KITCHEN"</f>
        <v>000295309 - RICH'S-COUNTRY KITCHEN</v>
      </c>
      <c r="C14188" t="s">
        <v>212</v>
      </c>
      <c r="D14188" s="1" t="str">
        <f t="shared" si="391"/>
        <v>PRG-1042427</v>
      </c>
      <c r="E14188" t="s">
        <v>213</v>
      </c>
      <c r="F14188" t="s">
        <v>4</v>
      </c>
      <c r="G14188" t="str">
        <f>""</f>
        <v/>
      </c>
    </row>
    <row r="14189" spans="1:7" x14ac:dyDescent="0.25">
      <c r="A14189" t="s">
        <v>8</v>
      </c>
      <c r="B14189" s="1" t="str">
        <f>"000295877 - RICH'S-COUNTRY KITCHEN"</f>
        <v>000295877 - RICH'S-COUNTRY KITCHEN</v>
      </c>
      <c r="C14189" t="s">
        <v>212</v>
      </c>
      <c r="D14189" s="1" t="str">
        <f t="shared" si="391"/>
        <v>PRG-1042427</v>
      </c>
      <c r="E14189" t="s">
        <v>213</v>
      </c>
      <c r="F14189" t="s">
        <v>4</v>
      </c>
      <c r="G14189" t="str">
        <f>""</f>
        <v/>
      </c>
    </row>
    <row r="14190" spans="1:7" x14ac:dyDescent="0.25">
      <c r="A14190" t="s">
        <v>8</v>
      </c>
      <c r="B14190" s="1" t="str">
        <f>"000361193 - RICH'S-COUNTRY KITCHEN"</f>
        <v>000361193 - RICH'S-COUNTRY KITCHEN</v>
      </c>
      <c r="C14190" t="s">
        <v>212</v>
      </c>
      <c r="D14190" s="1" t="str">
        <f t="shared" si="391"/>
        <v>PRG-1042427</v>
      </c>
      <c r="E14190" t="s">
        <v>213</v>
      </c>
      <c r="F14190" t="s">
        <v>4</v>
      </c>
      <c r="G14190" t="str">
        <f>""</f>
        <v/>
      </c>
    </row>
    <row r="14191" spans="1:7" x14ac:dyDescent="0.25">
      <c r="A14191" t="s">
        <v>8</v>
      </c>
      <c r="B14191" s="1" t="str">
        <f>"000296221 - RICHS GT"</f>
        <v>000296221 - RICHS GT</v>
      </c>
      <c r="C14191" t="s">
        <v>2242</v>
      </c>
      <c r="D14191" s="1" t="str">
        <f>"PRG-1042433"</f>
        <v>PRG-1042433</v>
      </c>
      <c r="E14191" t="s">
        <v>2243</v>
      </c>
      <c r="F14191" t="s">
        <v>4</v>
      </c>
      <c r="G14191" t="str">
        <f>""</f>
        <v/>
      </c>
    </row>
    <row r="14192" spans="1:7" x14ac:dyDescent="0.25">
      <c r="A14192" t="s">
        <v>8</v>
      </c>
      <c r="B14192" s="1" t="str">
        <f>"6026E958"</f>
        <v>6026E958</v>
      </c>
      <c r="C14192" t="s">
        <v>5059</v>
      </c>
      <c r="D14192" s="1" t="str">
        <f>"PRG-1042436"</f>
        <v>PRG-1042436</v>
      </c>
      <c r="E14192" t="s">
        <v>5060</v>
      </c>
      <c r="F14192" t="s">
        <v>5</v>
      </c>
      <c r="G14192" t="str">
        <f>""</f>
        <v/>
      </c>
    </row>
    <row r="14193" spans="1:7" x14ac:dyDescent="0.25">
      <c r="A14193" t="s">
        <v>8</v>
      </c>
      <c r="B14193" s="1" t="str">
        <f>"6026E959"</f>
        <v>6026E959</v>
      </c>
      <c r="C14193" t="s">
        <v>5061</v>
      </c>
      <c r="D14193" s="1" t="str">
        <f>"PRG-1042436"</f>
        <v>PRG-1042436</v>
      </c>
      <c r="E14193" t="s">
        <v>5060</v>
      </c>
      <c r="F14193" t="s">
        <v>5</v>
      </c>
      <c r="G14193" t="str">
        <f>""</f>
        <v/>
      </c>
    </row>
    <row r="14194" spans="1:7" x14ac:dyDescent="0.25">
      <c r="A14194" t="s">
        <v>8</v>
      </c>
      <c r="B14194" s="1" t="str">
        <f>"S8S00RD0"</f>
        <v>S8S00RD0</v>
      </c>
      <c r="C14194" t="s">
        <v>6277</v>
      </c>
      <c r="D14194" s="1" t="str">
        <f>"PRG-1042441"</f>
        <v>PRG-1042441</v>
      </c>
      <c r="E14194" t="s">
        <v>6278</v>
      </c>
      <c r="F14194" t="s">
        <v>5</v>
      </c>
      <c r="G14194" t="str">
        <f>""</f>
        <v/>
      </c>
    </row>
    <row r="14195" spans="1:7" x14ac:dyDescent="0.25">
      <c r="A14195" t="s">
        <v>8</v>
      </c>
      <c r="B14195" s="1" t="str">
        <f>"000346695 - RICH FOODS-TONY ROMA'S"</f>
        <v>000346695 - RICH FOODS-TONY ROMA'S</v>
      </c>
      <c r="C14195" t="s">
        <v>689</v>
      </c>
      <c r="D14195" s="1" t="str">
        <f>"PRG-1042447"</f>
        <v>PRG-1042447</v>
      </c>
      <c r="E14195" t="s">
        <v>690</v>
      </c>
      <c r="F14195" t="s">
        <v>4</v>
      </c>
      <c r="G14195" t="str">
        <f>""</f>
        <v/>
      </c>
    </row>
    <row r="14196" spans="1:7" x14ac:dyDescent="0.25">
      <c r="A14196" t="s">
        <v>8</v>
      </c>
      <c r="B14196" s="1" t="str">
        <f>"000412339 - RICH FOODS-TONY ROMA'S"</f>
        <v>000412339 - RICH FOODS-TONY ROMA'S</v>
      </c>
      <c r="C14196" t="s">
        <v>689</v>
      </c>
      <c r="D14196" s="1" t="str">
        <f>"PRG-1042447"</f>
        <v>PRG-1042447</v>
      </c>
      <c r="E14196" t="s">
        <v>690</v>
      </c>
      <c r="F14196" t="s">
        <v>4</v>
      </c>
      <c r="G14196" t="str">
        <f>""</f>
        <v/>
      </c>
    </row>
    <row r="14197" spans="1:7" x14ac:dyDescent="0.25">
      <c r="A14197" t="s">
        <v>8</v>
      </c>
      <c r="B14197" s="1" t="str">
        <f>"000270225 - RICH WOODYS"</f>
        <v>000270225 - RICH WOODYS</v>
      </c>
      <c r="C14197" t="s">
        <v>1808</v>
      </c>
      <c r="D14197" s="1" t="str">
        <f>"PRG-1042448"</f>
        <v>PRG-1042448</v>
      </c>
      <c r="E14197" t="s">
        <v>1643</v>
      </c>
      <c r="F14197" t="s">
        <v>4</v>
      </c>
      <c r="G14197" t="str">
        <f>""</f>
        <v/>
      </c>
    </row>
    <row r="14198" spans="1:7" x14ac:dyDescent="0.25">
      <c r="A14198" t="s">
        <v>8</v>
      </c>
      <c r="B14198" s="1" t="str">
        <f>"000303801 - RICH'S WOODY'S BBQ"</f>
        <v>000303801 - RICH'S WOODY'S BBQ</v>
      </c>
      <c r="C14198" t="s">
        <v>3013</v>
      </c>
      <c r="D14198" s="1" t="str">
        <f>"PRG-1042448"</f>
        <v>PRG-1042448</v>
      </c>
      <c r="E14198" t="s">
        <v>1643</v>
      </c>
      <c r="F14198" t="s">
        <v>4</v>
      </c>
      <c r="G14198" t="str">
        <f>""</f>
        <v/>
      </c>
    </row>
    <row r="14199" spans="1:7" x14ac:dyDescent="0.25">
      <c r="A14199" t="s">
        <v>8</v>
      </c>
      <c r="B14199" s="1" t="str">
        <f>"000038794 - RICH FDS-BAPA AVI"</f>
        <v>000038794 - RICH FDS-BAPA AVI</v>
      </c>
      <c r="C14199" t="s">
        <v>214</v>
      </c>
      <c r="D14199" s="1" t="str">
        <f t="shared" ref="D14199:D14230" si="392">"PRG-1042457"</f>
        <v>PRG-1042457</v>
      </c>
      <c r="E14199" t="s">
        <v>215</v>
      </c>
      <c r="F14199" t="s">
        <v>4</v>
      </c>
      <c r="G14199" t="str">
        <f>""</f>
        <v/>
      </c>
    </row>
    <row r="14200" spans="1:7" x14ac:dyDescent="0.25">
      <c r="A14200" t="s">
        <v>8</v>
      </c>
      <c r="B14200" s="1" t="str">
        <f>"000046288 - RICH'S  AVI HOTEL"</f>
        <v>000046288 - RICH'S  AVI HOTEL</v>
      </c>
      <c r="C14200" t="s">
        <v>624</v>
      </c>
      <c r="D14200" s="1" t="str">
        <f t="shared" si="392"/>
        <v>PRG-1042457</v>
      </c>
      <c r="E14200" t="s">
        <v>215</v>
      </c>
      <c r="F14200" t="s">
        <v>4</v>
      </c>
      <c r="G14200" t="str">
        <f>""</f>
        <v/>
      </c>
    </row>
    <row r="14201" spans="1:7" x14ac:dyDescent="0.25">
      <c r="A14201" t="s">
        <v>8</v>
      </c>
      <c r="B14201" s="1" t="str">
        <f>"000081736 - RICH FDS-BAPA AVI"</f>
        <v>000081736 - RICH FDS-BAPA AVI</v>
      </c>
      <c r="C14201" t="s">
        <v>214</v>
      </c>
      <c r="D14201" s="1" t="str">
        <f t="shared" si="392"/>
        <v>PRG-1042457</v>
      </c>
      <c r="E14201" t="s">
        <v>215</v>
      </c>
      <c r="F14201" t="s">
        <v>4</v>
      </c>
      <c r="G14201" t="str">
        <f>""</f>
        <v/>
      </c>
    </row>
    <row r="14202" spans="1:7" x14ac:dyDescent="0.25">
      <c r="A14202" t="s">
        <v>8</v>
      </c>
      <c r="B14202" s="1" t="str">
        <f>"000098359 - RICH FOODS-AVI"</f>
        <v>000098359 - RICH FOODS-AVI</v>
      </c>
      <c r="C14202" t="s">
        <v>713</v>
      </c>
      <c r="D14202" s="1" t="str">
        <f t="shared" si="392"/>
        <v>PRG-1042457</v>
      </c>
      <c r="E14202" t="s">
        <v>215</v>
      </c>
      <c r="F14202" t="s">
        <v>4</v>
      </c>
      <c r="G14202" t="str">
        <f>""</f>
        <v/>
      </c>
    </row>
    <row r="14203" spans="1:7" x14ac:dyDescent="0.25">
      <c r="A14203" t="s">
        <v>8</v>
      </c>
      <c r="B14203" s="1" t="str">
        <f>"000212191 - RICH FDS(NONC)-AVI"</f>
        <v>000212191 - RICH FDS(NONC)-AVI</v>
      </c>
      <c r="C14203" t="s">
        <v>1286</v>
      </c>
      <c r="D14203" s="1" t="str">
        <f t="shared" si="392"/>
        <v>PRG-1042457</v>
      </c>
      <c r="E14203" t="s">
        <v>215</v>
      </c>
      <c r="F14203" t="s">
        <v>4</v>
      </c>
      <c r="G14203" t="str">
        <f>""</f>
        <v/>
      </c>
    </row>
    <row r="14204" spans="1:7" x14ac:dyDescent="0.25">
      <c r="A14204" t="s">
        <v>8</v>
      </c>
      <c r="B14204" s="1" t="str">
        <f>"000216325 - RICH FDS(NONC)-AVI"</f>
        <v>000216325 - RICH FDS(NONC)-AVI</v>
      </c>
      <c r="C14204" t="s">
        <v>1286</v>
      </c>
      <c r="D14204" s="1" t="str">
        <f t="shared" si="392"/>
        <v>PRG-1042457</v>
      </c>
      <c r="E14204" t="s">
        <v>215</v>
      </c>
      <c r="F14204" t="s">
        <v>4</v>
      </c>
      <c r="G14204" t="str">
        <f>""</f>
        <v/>
      </c>
    </row>
    <row r="14205" spans="1:7" x14ac:dyDescent="0.25">
      <c r="A14205" t="s">
        <v>8</v>
      </c>
      <c r="B14205" s="1" t="str">
        <f>"000216326 - RICH FDS(CORE W BB)-AVI"</f>
        <v>000216326 - RICH FDS(CORE W BB)-AVI</v>
      </c>
      <c r="C14205" t="s">
        <v>1462</v>
      </c>
      <c r="D14205" s="1" t="str">
        <f t="shared" si="392"/>
        <v>PRG-1042457</v>
      </c>
      <c r="E14205" t="s">
        <v>215</v>
      </c>
      <c r="F14205" t="s">
        <v>4</v>
      </c>
      <c r="G14205" t="str">
        <f>""</f>
        <v/>
      </c>
    </row>
    <row r="14206" spans="1:7" x14ac:dyDescent="0.25">
      <c r="A14206" t="s">
        <v>8</v>
      </c>
      <c r="B14206" s="1" t="str">
        <f>"000250848 - RICH FDS-BAPA AVI"</f>
        <v>000250848 - RICH FDS-BAPA AVI</v>
      </c>
      <c r="C14206" t="s">
        <v>214</v>
      </c>
      <c r="D14206" s="1" t="str">
        <f t="shared" si="392"/>
        <v>PRG-1042457</v>
      </c>
      <c r="E14206" t="s">
        <v>215</v>
      </c>
      <c r="F14206" t="s">
        <v>4</v>
      </c>
      <c r="G14206" t="str">
        <f>""</f>
        <v/>
      </c>
    </row>
    <row r="14207" spans="1:7" x14ac:dyDescent="0.25">
      <c r="A14207" t="s">
        <v>8</v>
      </c>
      <c r="B14207" s="1" t="str">
        <f>"000252848 - RICH FDS-BAPA AVI"</f>
        <v>000252848 - RICH FDS-BAPA AVI</v>
      </c>
      <c r="C14207" t="s">
        <v>214</v>
      </c>
      <c r="D14207" s="1" t="str">
        <f t="shared" si="392"/>
        <v>PRG-1042457</v>
      </c>
      <c r="E14207" t="s">
        <v>215</v>
      </c>
      <c r="F14207" t="s">
        <v>4</v>
      </c>
      <c r="G14207" t="str">
        <f>""</f>
        <v/>
      </c>
    </row>
    <row r="14208" spans="1:7" x14ac:dyDescent="0.25">
      <c r="A14208" t="s">
        <v>8</v>
      </c>
      <c r="B14208" s="1" t="str">
        <f>"000253420 - RICH FDS-BAPA AVI"</f>
        <v>000253420 - RICH FDS-BAPA AVI</v>
      </c>
      <c r="C14208" t="s">
        <v>214</v>
      </c>
      <c r="D14208" s="1" t="str">
        <f t="shared" si="392"/>
        <v>PRG-1042457</v>
      </c>
      <c r="E14208" t="s">
        <v>215</v>
      </c>
      <c r="F14208" t="s">
        <v>4</v>
      </c>
      <c r="G14208" t="str">
        <f>""</f>
        <v/>
      </c>
    </row>
    <row r="14209" spans="1:7" x14ac:dyDescent="0.25">
      <c r="A14209" t="s">
        <v>8</v>
      </c>
      <c r="B14209" s="1" t="str">
        <f>"000253741 - RICH FDS(NONC)-AVI"</f>
        <v>000253741 - RICH FDS(NONC)-AVI</v>
      </c>
      <c r="C14209" t="s">
        <v>1286</v>
      </c>
      <c r="D14209" s="1" t="str">
        <f t="shared" si="392"/>
        <v>PRG-1042457</v>
      </c>
      <c r="E14209" t="s">
        <v>215</v>
      </c>
      <c r="F14209" t="s">
        <v>4</v>
      </c>
      <c r="G14209" t="str">
        <f>""</f>
        <v/>
      </c>
    </row>
    <row r="14210" spans="1:7" x14ac:dyDescent="0.25">
      <c r="A14210" t="s">
        <v>8</v>
      </c>
      <c r="B14210" s="1" t="str">
        <f>"000253742 - RICH FDS(CORE W BB)-AVI"</f>
        <v>000253742 - RICH FDS(CORE W BB)-AVI</v>
      </c>
      <c r="C14210" t="s">
        <v>1462</v>
      </c>
      <c r="D14210" s="1" t="str">
        <f t="shared" si="392"/>
        <v>PRG-1042457</v>
      </c>
      <c r="E14210" t="s">
        <v>215</v>
      </c>
      <c r="F14210" t="s">
        <v>4</v>
      </c>
      <c r="G14210" t="str">
        <f>""</f>
        <v/>
      </c>
    </row>
    <row r="14211" spans="1:7" x14ac:dyDescent="0.25">
      <c r="A14211" t="s">
        <v>8</v>
      </c>
      <c r="B14211" s="1" t="str">
        <f>"000256748 - RICH FDS-BAPA AVI"</f>
        <v>000256748 - RICH FDS-BAPA AVI</v>
      </c>
      <c r="C14211" t="s">
        <v>214</v>
      </c>
      <c r="D14211" s="1" t="str">
        <f t="shared" si="392"/>
        <v>PRG-1042457</v>
      </c>
      <c r="E14211" t="s">
        <v>215</v>
      </c>
      <c r="F14211" t="s">
        <v>4</v>
      </c>
      <c r="G14211" t="str">
        <f>""</f>
        <v/>
      </c>
    </row>
    <row r="14212" spans="1:7" x14ac:dyDescent="0.25">
      <c r="A14212" t="s">
        <v>8</v>
      </c>
      <c r="B14212" s="1" t="str">
        <f>"000259207 - RICH FDS(NONC)-AVI"</f>
        <v>000259207 - RICH FDS(NONC)-AVI</v>
      </c>
      <c r="C14212" t="s">
        <v>1286</v>
      </c>
      <c r="D14212" s="1" t="str">
        <f t="shared" si="392"/>
        <v>PRG-1042457</v>
      </c>
      <c r="E14212" t="s">
        <v>215</v>
      </c>
      <c r="F14212" t="s">
        <v>4</v>
      </c>
      <c r="G14212" t="str">
        <f>""</f>
        <v/>
      </c>
    </row>
    <row r="14213" spans="1:7" x14ac:dyDescent="0.25">
      <c r="A14213" t="s">
        <v>8</v>
      </c>
      <c r="B14213" s="1" t="str">
        <f>"000261255 - RICH FDS-BAPA AVI"</f>
        <v>000261255 - RICH FDS-BAPA AVI</v>
      </c>
      <c r="C14213" t="s">
        <v>214</v>
      </c>
      <c r="D14213" s="1" t="str">
        <f t="shared" si="392"/>
        <v>PRG-1042457</v>
      </c>
      <c r="E14213" t="s">
        <v>215</v>
      </c>
      <c r="F14213" t="s">
        <v>4</v>
      </c>
      <c r="G14213" t="str">
        <f>""</f>
        <v/>
      </c>
    </row>
    <row r="14214" spans="1:7" x14ac:dyDescent="0.25">
      <c r="A14214" t="s">
        <v>8</v>
      </c>
      <c r="B14214" s="1" t="str">
        <f>"000264815 - RICH FDS-BAPA AVI"</f>
        <v>000264815 - RICH FDS-BAPA AVI</v>
      </c>
      <c r="C14214" t="s">
        <v>214</v>
      </c>
      <c r="D14214" s="1" t="str">
        <f t="shared" si="392"/>
        <v>PRG-1042457</v>
      </c>
      <c r="E14214" t="s">
        <v>215</v>
      </c>
      <c r="F14214" t="s">
        <v>4</v>
      </c>
      <c r="G14214" t="str">
        <f>""</f>
        <v/>
      </c>
    </row>
    <row r="14215" spans="1:7" x14ac:dyDescent="0.25">
      <c r="A14215" t="s">
        <v>8</v>
      </c>
      <c r="B14215" s="1" t="str">
        <f>"000266348 - RICH FOODS-AVI"</f>
        <v>000266348 - RICH FOODS-AVI</v>
      </c>
      <c r="C14215" t="s">
        <v>713</v>
      </c>
      <c r="D14215" s="1" t="str">
        <f t="shared" si="392"/>
        <v>PRG-1042457</v>
      </c>
      <c r="E14215" t="s">
        <v>215</v>
      </c>
      <c r="F14215" t="s">
        <v>4</v>
      </c>
      <c r="G14215" t="str">
        <f>""</f>
        <v/>
      </c>
    </row>
    <row r="14216" spans="1:7" x14ac:dyDescent="0.25">
      <c r="A14216" t="s">
        <v>8</v>
      </c>
      <c r="B14216" s="1" t="str">
        <f>"000269475 - RICH FOODS-AVI"</f>
        <v>000269475 - RICH FOODS-AVI</v>
      </c>
      <c r="C14216" t="s">
        <v>713</v>
      </c>
      <c r="D14216" s="1" t="str">
        <f t="shared" si="392"/>
        <v>PRG-1042457</v>
      </c>
      <c r="E14216" t="s">
        <v>215</v>
      </c>
      <c r="F14216" t="s">
        <v>4</v>
      </c>
      <c r="G14216" t="str">
        <f>""</f>
        <v/>
      </c>
    </row>
    <row r="14217" spans="1:7" x14ac:dyDescent="0.25">
      <c r="A14217" t="s">
        <v>8</v>
      </c>
      <c r="B14217" s="1" t="str">
        <f>"000273047 - RICH FOODS-AVI"</f>
        <v>000273047 - RICH FOODS-AVI</v>
      </c>
      <c r="C14217" t="s">
        <v>713</v>
      </c>
      <c r="D14217" s="1" t="str">
        <f t="shared" si="392"/>
        <v>PRG-1042457</v>
      </c>
      <c r="E14217" t="s">
        <v>215</v>
      </c>
      <c r="F14217" t="s">
        <v>4</v>
      </c>
      <c r="G14217" t="str">
        <f>""</f>
        <v/>
      </c>
    </row>
    <row r="14218" spans="1:7" x14ac:dyDescent="0.25">
      <c r="A14218" t="s">
        <v>8</v>
      </c>
      <c r="B14218" s="1" t="str">
        <f>"000275555 - RICH FDS-BAPA AVI"</f>
        <v>000275555 - RICH FDS-BAPA AVI</v>
      </c>
      <c r="C14218" t="s">
        <v>214</v>
      </c>
      <c r="D14218" s="1" t="str">
        <f t="shared" si="392"/>
        <v>PRG-1042457</v>
      </c>
      <c r="E14218" t="s">
        <v>215</v>
      </c>
      <c r="F14218" t="s">
        <v>4</v>
      </c>
      <c r="G14218" t="str">
        <f>""</f>
        <v/>
      </c>
    </row>
    <row r="14219" spans="1:7" x14ac:dyDescent="0.25">
      <c r="A14219" t="s">
        <v>8</v>
      </c>
      <c r="B14219" s="1" t="str">
        <f>"000275669 - RICH FDS-BAPA AVI"</f>
        <v>000275669 - RICH FDS-BAPA AVI</v>
      </c>
      <c r="C14219" t="s">
        <v>214</v>
      </c>
      <c r="D14219" s="1" t="str">
        <f t="shared" si="392"/>
        <v>PRG-1042457</v>
      </c>
      <c r="E14219" t="s">
        <v>215</v>
      </c>
      <c r="F14219" t="s">
        <v>4</v>
      </c>
      <c r="G14219" t="str">
        <f>""</f>
        <v/>
      </c>
    </row>
    <row r="14220" spans="1:7" x14ac:dyDescent="0.25">
      <c r="A14220" t="s">
        <v>8</v>
      </c>
      <c r="B14220" s="1" t="str">
        <f>"000280227 - RICH FDS-BAPA AVI"</f>
        <v>000280227 - RICH FDS-BAPA AVI</v>
      </c>
      <c r="C14220" t="s">
        <v>214</v>
      </c>
      <c r="D14220" s="1" t="str">
        <f t="shared" si="392"/>
        <v>PRG-1042457</v>
      </c>
      <c r="E14220" t="s">
        <v>215</v>
      </c>
      <c r="F14220" t="s">
        <v>4</v>
      </c>
      <c r="G14220" t="str">
        <f>""</f>
        <v/>
      </c>
    </row>
    <row r="14221" spans="1:7" x14ac:dyDescent="0.25">
      <c r="A14221" t="s">
        <v>8</v>
      </c>
      <c r="B14221" s="1" t="str">
        <f>"000280237 - RICH FDS-BAPA AVI"</f>
        <v>000280237 - RICH FDS-BAPA AVI</v>
      </c>
      <c r="C14221" t="s">
        <v>214</v>
      </c>
      <c r="D14221" s="1" t="str">
        <f t="shared" si="392"/>
        <v>PRG-1042457</v>
      </c>
      <c r="E14221" t="s">
        <v>215</v>
      </c>
      <c r="F14221" t="s">
        <v>4</v>
      </c>
      <c r="G14221" t="str">
        <f>""</f>
        <v/>
      </c>
    </row>
    <row r="14222" spans="1:7" x14ac:dyDescent="0.25">
      <c r="A14222" t="s">
        <v>8</v>
      </c>
      <c r="B14222" s="1" t="str">
        <f>"000289005 - RICH FDS-BAPA AVI"</f>
        <v>000289005 - RICH FDS-BAPA AVI</v>
      </c>
      <c r="C14222" t="s">
        <v>214</v>
      </c>
      <c r="D14222" s="1" t="str">
        <f t="shared" si="392"/>
        <v>PRG-1042457</v>
      </c>
      <c r="E14222" t="s">
        <v>215</v>
      </c>
      <c r="F14222" t="s">
        <v>4</v>
      </c>
      <c r="G14222" t="str">
        <f>""</f>
        <v/>
      </c>
    </row>
    <row r="14223" spans="1:7" x14ac:dyDescent="0.25">
      <c r="A14223" t="s">
        <v>8</v>
      </c>
      <c r="B14223" s="1" t="str">
        <f>"000290323 - RICH FDS-BAPA AVI"</f>
        <v>000290323 - RICH FDS-BAPA AVI</v>
      </c>
      <c r="C14223" t="s">
        <v>214</v>
      </c>
      <c r="D14223" s="1" t="str">
        <f t="shared" si="392"/>
        <v>PRG-1042457</v>
      </c>
      <c r="E14223" t="s">
        <v>215</v>
      </c>
      <c r="F14223" t="s">
        <v>4</v>
      </c>
      <c r="G14223" t="str">
        <f>""</f>
        <v/>
      </c>
    </row>
    <row r="14224" spans="1:7" x14ac:dyDescent="0.25">
      <c r="A14224" t="s">
        <v>8</v>
      </c>
      <c r="B14224" s="1" t="str">
        <f>"000292374 - RICH FDS(CORE W BB)-AVI"</f>
        <v>000292374 - RICH FDS(CORE W BB)-AVI</v>
      </c>
      <c r="C14224" t="s">
        <v>1462</v>
      </c>
      <c r="D14224" s="1" t="str">
        <f t="shared" si="392"/>
        <v>PRG-1042457</v>
      </c>
      <c r="E14224" t="s">
        <v>215</v>
      </c>
      <c r="F14224" t="s">
        <v>4</v>
      </c>
      <c r="G14224" t="str">
        <f>""</f>
        <v/>
      </c>
    </row>
    <row r="14225" spans="1:7" x14ac:dyDescent="0.25">
      <c r="A14225" t="s">
        <v>8</v>
      </c>
      <c r="B14225" s="1" t="str">
        <f>"000292989 - RICH FOODS-AVI"</f>
        <v>000292989 - RICH FOODS-AVI</v>
      </c>
      <c r="C14225" t="s">
        <v>713</v>
      </c>
      <c r="D14225" s="1" t="str">
        <f t="shared" si="392"/>
        <v>PRG-1042457</v>
      </c>
      <c r="E14225" t="s">
        <v>215</v>
      </c>
      <c r="F14225" t="s">
        <v>4</v>
      </c>
      <c r="G14225" t="str">
        <f>""</f>
        <v/>
      </c>
    </row>
    <row r="14226" spans="1:7" x14ac:dyDescent="0.25">
      <c r="A14226" t="s">
        <v>8</v>
      </c>
      <c r="B14226" s="1" t="str">
        <f>"000293871 - RICH FDS-BAPA AVI"</f>
        <v>000293871 - RICH FDS-BAPA AVI</v>
      </c>
      <c r="C14226" t="s">
        <v>214</v>
      </c>
      <c r="D14226" s="1" t="str">
        <f t="shared" si="392"/>
        <v>PRG-1042457</v>
      </c>
      <c r="E14226" t="s">
        <v>215</v>
      </c>
      <c r="F14226" t="s">
        <v>4</v>
      </c>
      <c r="G14226" t="str">
        <f>""</f>
        <v/>
      </c>
    </row>
    <row r="14227" spans="1:7" x14ac:dyDescent="0.25">
      <c r="A14227" t="s">
        <v>8</v>
      </c>
      <c r="B14227" s="1" t="str">
        <f>"000295313 - RICH FOODS-AVI"</f>
        <v>000295313 - RICH FOODS-AVI</v>
      </c>
      <c r="C14227" t="s">
        <v>713</v>
      </c>
      <c r="D14227" s="1" t="str">
        <f t="shared" si="392"/>
        <v>PRG-1042457</v>
      </c>
      <c r="E14227" t="s">
        <v>215</v>
      </c>
      <c r="F14227" t="s">
        <v>4</v>
      </c>
      <c r="G14227" t="str">
        <f>""</f>
        <v/>
      </c>
    </row>
    <row r="14228" spans="1:7" x14ac:dyDescent="0.25">
      <c r="A14228" t="s">
        <v>8</v>
      </c>
      <c r="B14228" s="1" t="str">
        <f>"000295550 - RICH FDS-BAPA AVI"</f>
        <v>000295550 - RICH FDS-BAPA AVI</v>
      </c>
      <c r="C14228" t="s">
        <v>214</v>
      </c>
      <c r="D14228" s="1" t="str">
        <f t="shared" si="392"/>
        <v>PRG-1042457</v>
      </c>
      <c r="E14228" t="s">
        <v>215</v>
      </c>
      <c r="F14228" t="s">
        <v>4</v>
      </c>
      <c r="G14228" t="str">
        <f>""</f>
        <v/>
      </c>
    </row>
    <row r="14229" spans="1:7" x14ac:dyDescent="0.25">
      <c r="A14229" t="s">
        <v>8</v>
      </c>
      <c r="B14229" s="1" t="str">
        <f>"000298810 - RICH FDS-BAPA AVI"</f>
        <v>000298810 - RICH FDS-BAPA AVI</v>
      </c>
      <c r="C14229" t="s">
        <v>214</v>
      </c>
      <c r="D14229" s="1" t="str">
        <f t="shared" si="392"/>
        <v>PRG-1042457</v>
      </c>
      <c r="E14229" t="s">
        <v>215</v>
      </c>
      <c r="F14229" t="s">
        <v>4</v>
      </c>
      <c r="G14229" t="str">
        <f>""</f>
        <v/>
      </c>
    </row>
    <row r="14230" spans="1:7" x14ac:dyDescent="0.25">
      <c r="A14230" t="s">
        <v>8</v>
      </c>
      <c r="B14230" s="1" t="str">
        <f>"000299504 - RICH PROD-AVI"</f>
        <v>000299504 - RICH PROD-AVI</v>
      </c>
      <c r="C14230" t="s">
        <v>1051</v>
      </c>
      <c r="D14230" s="1" t="str">
        <f t="shared" si="392"/>
        <v>PRG-1042457</v>
      </c>
      <c r="E14230" t="s">
        <v>215</v>
      </c>
      <c r="F14230" t="s">
        <v>4</v>
      </c>
      <c r="G14230" t="str">
        <f>""</f>
        <v/>
      </c>
    </row>
    <row r="14231" spans="1:7" x14ac:dyDescent="0.25">
      <c r="A14231" t="s">
        <v>8</v>
      </c>
      <c r="B14231" s="1" t="str">
        <f>"000299817 - RICH FOODS-AVI"</f>
        <v>000299817 - RICH FOODS-AVI</v>
      </c>
      <c r="C14231" t="s">
        <v>713</v>
      </c>
      <c r="D14231" s="1" t="str">
        <f t="shared" ref="D14231:D14260" si="393">"PRG-1042457"</f>
        <v>PRG-1042457</v>
      </c>
      <c r="E14231" t="s">
        <v>215</v>
      </c>
      <c r="F14231" t="s">
        <v>4</v>
      </c>
      <c r="G14231" t="str">
        <f>""</f>
        <v/>
      </c>
    </row>
    <row r="14232" spans="1:7" x14ac:dyDescent="0.25">
      <c r="A14232" t="s">
        <v>8</v>
      </c>
      <c r="B14232" s="1" t="str">
        <f>"000300710 - RICH FDS-BAPA AVI"</f>
        <v>000300710 - RICH FDS-BAPA AVI</v>
      </c>
      <c r="C14232" t="s">
        <v>214</v>
      </c>
      <c r="D14232" s="1" t="str">
        <f t="shared" si="393"/>
        <v>PRG-1042457</v>
      </c>
      <c r="E14232" t="s">
        <v>215</v>
      </c>
      <c r="F14232" t="s">
        <v>4</v>
      </c>
      <c r="G14232" t="str">
        <f>""</f>
        <v/>
      </c>
    </row>
    <row r="14233" spans="1:7" x14ac:dyDescent="0.25">
      <c r="A14233" t="s">
        <v>8</v>
      </c>
      <c r="B14233" s="1" t="str">
        <f>"000300941 - RICH FOODS-AVI"</f>
        <v>000300941 - RICH FOODS-AVI</v>
      </c>
      <c r="C14233" t="s">
        <v>713</v>
      </c>
      <c r="D14233" s="1" t="str">
        <f t="shared" si="393"/>
        <v>PRG-1042457</v>
      </c>
      <c r="E14233" t="s">
        <v>215</v>
      </c>
      <c r="F14233" t="s">
        <v>4</v>
      </c>
      <c r="G14233" t="str">
        <f>""</f>
        <v/>
      </c>
    </row>
    <row r="14234" spans="1:7" x14ac:dyDescent="0.25">
      <c r="A14234" t="s">
        <v>8</v>
      </c>
      <c r="B14234" s="1" t="str">
        <f>"000302876 - RICH PROD-AVI"</f>
        <v>000302876 - RICH PROD-AVI</v>
      </c>
      <c r="C14234" t="s">
        <v>1051</v>
      </c>
      <c r="D14234" s="1" t="str">
        <f t="shared" si="393"/>
        <v>PRG-1042457</v>
      </c>
      <c r="E14234" t="s">
        <v>215</v>
      </c>
      <c r="F14234" t="s">
        <v>4</v>
      </c>
      <c r="G14234" t="str">
        <f>""</f>
        <v/>
      </c>
    </row>
    <row r="14235" spans="1:7" x14ac:dyDescent="0.25">
      <c r="A14235" t="s">
        <v>8</v>
      </c>
      <c r="B14235" s="1" t="str">
        <f>"000304763 - RICH FDS-BAPA AVI"</f>
        <v>000304763 - RICH FDS-BAPA AVI</v>
      </c>
      <c r="C14235" t="s">
        <v>214</v>
      </c>
      <c r="D14235" s="1" t="str">
        <f t="shared" si="393"/>
        <v>PRG-1042457</v>
      </c>
      <c r="E14235" t="s">
        <v>215</v>
      </c>
      <c r="F14235" t="s">
        <v>4</v>
      </c>
      <c r="G14235" t="str">
        <f>""</f>
        <v/>
      </c>
    </row>
    <row r="14236" spans="1:7" x14ac:dyDescent="0.25">
      <c r="A14236" t="s">
        <v>8</v>
      </c>
      <c r="B14236" s="1" t="str">
        <f>"000305478 - RICH FDS-BAPA AVI"</f>
        <v>000305478 - RICH FDS-BAPA AVI</v>
      </c>
      <c r="C14236" t="s">
        <v>214</v>
      </c>
      <c r="D14236" s="1" t="str">
        <f t="shared" si="393"/>
        <v>PRG-1042457</v>
      </c>
      <c r="E14236" t="s">
        <v>215</v>
      </c>
      <c r="F14236" t="s">
        <v>4</v>
      </c>
      <c r="G14236" t="str">
        <f>""</f>
        <v/>
      </c>
    </row>
    <row r="14237" spans="1:7" x14ac:dyDescent="0.25">
      <c r="A14237" t="s">
        <v>8</v>
      </c>
      <c r="B14237" s="1" t="str">
        <f>"000307188 - RICH FOODS-AVI"</f>
        <v>000307188 - RICH FOODS-AVI</v>
      </c>
      <c r="C14237" t="s">
        <v>713</v>
      </c>
      <c r="D14237" s="1" t="str">
        <f t="shared" si="393"/>
        <v>PRG-1042457</v>
      </c>
      <c r="E14237" t="s">
        <v>215</v>
      </c>
      <c r="F14237" t="s">
        <v>4</v>
      </c>
      <c r="G14237" t="str">
        <f>""</f>
        <v/>
      </c>
    </row>
    <row r="14238" spans="1:7" x14ac:dyDescent="0.25">
      <c r="A14238" t="s">
        <v>8</v>
      </c>
      <c r="B14238" s="1" t="str">
        <f>"000307396 - RICH FDS-BAPA AVI"</f>
        <v>000307396 - RICH FDS-BAPA AVI</v>
      </c>
      <c r="C14238" t="s">
        <v>214</v>
      </c>
      <c r="D14238" s="1" t="str">
        <f t="shared" si="393"/>
        <v>PRG-1042457</v>
      </c>
      <c r="E14238" t="s">
        <v>215</v>
      </c>
      <c r="F14238" t="s">
        <v>4</v>
      </c>
      <c r="G14238" t="str">
        <f>""</f>
        <v/>
      </c>
    </row>
    <row r="14239" spans="1:7" x14ac:dyDescent="0.25">
      <c r="A14239" t="s">
        <v>8</v>
      </c>
      <c r="B14239" s="1" t="str">
        <f>"000309533 - RICH FDS(CORE)-AVI"</f>
        <v>000309533 - RICH FDS(CORE)-AVI</v>
      </c>
      <c r="C14239" t="s">
        <v>1285</v>
      </c>
      <c r="D14239" s="1" t="str">
        <f t="shared" si="393"/>
        <v>PRG-1042457</v>
      </c>
      <c r="E14239" t="s">
        <v>215</v>
      </c>
      <c r="F14239" t="s">
        <v>4</v>
      </c>
      <c r="G14239" t="str">
        <f>""</f>
        <v/>
      </c>
    </row>
    <row r="14240" spans="1:7" x14ac:dyDescent="0.25">
      <c r="A14240" t="s">
        <v>8</v>
      </c>
      <c r="B14240" s="1" t="str">
        <f>"000309534 - RICH FDS(NONC)-AVI"</f>
        <v>000309534 - RICH FDS(NONC)-AVI</v>
      </c>
      <c r="C14240" t="s">
        <v>1286</v>
      </c>
      <c r="D14240" s="1" t="str">
        <f t="shared" si="393"/>
        <v>PRG-1042457</v>
      </c>
      <c r="E14240" t="s">
        <v>215</v>
      </c>
      <c r="F14240" t="s">
        <v>4</v>
      </c>
      <c r="G14240" t="str">
        <f>""</f>
        <v/>
      </c>
    </row>
    <row r="14241" spans="1:7" x14ac:dyDescent="0.25">
      <c r="A14241" t="s">
        <v>8</v>
      </c>
      <c r="B14241" s="1" t="str">
        <f>"000315692 - RICH FOODS-AVI"</f>
        <v>000315692 - RICH FOODS-AVI</v>
      </c>
      <c r="C14241" t="s">
        <v>713</v>
      </c>
      <c r="D14241" s="1" t="str">
        <f t="shared" si="393"/>
        <v>PRG-1042457</v>
      </c>
      <c r="E14241" t="s">
        <v>215</v>
      </c>
      <c r="F14241" t="s">
        <v>4</v>
      </c>
      <c r="G14241" t="str">
        <f>""</f>
        <v/>
      </c>
    </row>
    <row r="14242" spans="1:7" x14ac:dyDescent="0.25">
      <c r="A14242" t="s">
        <v>8</v>
      </c>
      <c r="B14242" s="1" t="str">
        <f>"000316024 - RICH FDS(NONC)-AVI"</f>
        <v>000316024 - RICH FDS(NONC)-AVI</v>
      </c>
      <c r="C14242" t="s">
        <v>1286</v>
      </c>
      <c r="D14242" s="1" t="str">
        <f t="shared" si="393"/>
        <v>PRG-1042457</v>
      </c>
      <c r="E14242" t="s">
        <v>215</v>
      </c>
      <c r="F14242" t="s">
        <v>4</v>
      </c>
      <c r="G14242" t="str">
        <f>""</f>
        <v/>
      </c>
    </row>
    <row r="14243" spans="1:7" x14ac:dyDescent="0.25">
      <c r="A14243" t="s">
        <v>8</v>
      </c>
      <c r="B14243" s="1" t="str">
        <f>"000316143 - RICH FOODS-AVI"</f>
        <v>000316143 - RICH FOODS-AVI</v>
      </c>
      <c r="C14243" t="s">
        <v>713</v>
      </c>
      <c r="D14243" s="1" t="str">
        <f t="shared" si="393"/>
        <v>PRG-1042457</v>
      </c>
      <c r="E14243" t="s">
        <v>215</v>
      </c>
      <c r="F14243" t="s">
        <v>4</v>
      </c>
      <c r="G14243" t="str">
        <f>""</f>
        <v/>
      </c>
    </row>
    <row r="14244" spans="1:7" x14ac:dyDescent="0.25">
      <c r="A14244" t="s">
        <v>8</v>
      </c>
      <c r="B14244" s="1" t="str">
        <f>"000320197 - RICH FOODS-AVI"</f>
        <v>000320197 - RICH FOODS-AVI</v>
      </c>
      <c r="C14244" t="s">
        <v>713</v>
      </c>
      <c r="D14244" s="1" t="str">
        <f t="shared" si="393"/>
        <v>PRG-1042457</v>
      </c>
      <c r="E14244" t="s">
        <v>215</v>
      </c>
      <c r="F14244" t="s">
        <v>4</v>
      </c>
      <c r="G14244" t="str">
        <f>""</f>
        <v/>
      </c>
    </row>
    <row r="14245" spans="1:7" x14ac:dyDescent="0.25">
      <c r="A14245" t="s">
        <v>8</v>
      </c>
      <c r="B14245" s="1" t="str">
        <f>"000323278 - RICH FOODS-AVI"</f>
        <v>000323278 - RICH FOODS-AVI</v>
      </c>
      <c r="C14245" t="s">
        <v>713</v>
      </c>
      <c r="D14245" s="1" t="str">
        <f t="shared" si="393"/>
        <v>PRG-1042457</v>
      </c>
      <c r="E14245" t="s">
        <v>215</v>
      </c>
      <c r="F14245" t="s">
        <v>4</v>
      </c>
      <c r="G14245" t="str">
        <f>""</f>
        <v/>
      </c>
    </row>
    <row r="14246" spans="1:7" x14ac:dyDescent="0.25">
      <c r="A14246" t="s">
        <v>8</v>
      </c>
      <c r="B14246" s="1" t="str">
        <f>"000324618 - RICH FOODS-AVI"</f>
        <v>000324618 - RICH FOODS-AVI</v>
      </c>
      <c r="C14246" t="s">
        <v>713</v>
      </c>
      <c r="D14246" s="1" t="str">
        <f t="shared" si="393"/>
        <v>PRG-1042457</v>
      </c>
      <c r="E14246" t="s">
        <v>215</v>
      </c>
      <c r="F14246" t="s">
        <v>4</v>
      </c>
      <c r="G14246" t="str">
        <f>""</f>
        <v/>
      </c>
    </row>
    <row r="14247" spans="1:7" x14ac:dyDescent="0.25">
      <c r="A14247" t="s">
        <v>8</v>
      </c>
      <c r="B14247" s="1" t="str">
        <f>"000324923 - RICH FDS(CORE W BB)-AVI"</f>
        <v>000324923 - RICH FDS(CORE W BB)-AVI</v>
      </c>
      <c r="C14247" t="s">
        <v>1462</v>
      </c>
      <c r="D14247" s="1" t="str">
        <f t="shared" si="393"/>
        <v>PRG-1042457</v>
      </c>
      <c r="E14247" t="s">
        <v>215</v>
      </c>
      <c r="F14247" t="s">
        <v>4</v>
      </c>
      <c r="G14247" t="str">
        <f>""</f>
        <v/>
      </c>
    </row>
    <row r="14248" spans="1:7" x14ac:dyDescent="0.25">
      <c r="A14248" t="s">
        <v>8</v>
      </c>
      <c r="B14248" s="1" t="str">
        <f>"000325204 - RICH FOODS-AVI"</f>
        <v>000325204 - RICH FOODS-AVI</v>
      </c>
      <c r="C14248" t="s">
        <v>713</v>
      </c>
      <c r="D14248" s="1" t="str">
        <f t="shared" si="393"/>
        <v>PRG-1042457</v>
      </c>
      <c r="E14248" t="s">
        <v>215</v>
      </c>
      <c r="F14248" t="s">
        <v>4</v>
      </c>
      <c r="G14248" t="str">
        <f>""</f>
        <v/>
      </c>
    </row>
    <row r="14249" spans="1:7" x14ac:dyDescent="0.25">
      <c r="A14249" t="s">
        <v>8</v>
      </c>
      <c r="B14249" s="1" t="str">
        <f>"000330451 - RICH FDS(NONC)-AVI"</f>
        <v>000330451 - RICH FDS(NONC)-AVI</v>
      </c>
      <c r="C14249" t="s">
        <v>1286</v>
      </c>
      <c r="D14249" s="1" t="str">
        <f t="shared" si="393"/>
        <v>PRG-1042457</v>
      </c>
      <c r="E14249" t="s">
        <v>215</v>
      </c>
      <c r="F14249" t="s">
        <v>4</v>
      </c>
      <c r="G14249" t="str">
        <f>""</f>
        <v/>
      </c>
    </row>
    <row r="14250" spans="1:7" x14ac:dyDescent="0.25">
      <c r="A14250" t="s">
        <v>8</v>
      </c>
      <c r="B14250" s="1" t="str">
        <f>"000330452 - RICH FDS(CORE W BB)-AVI"</f>
        <v>000330452 - RICH FDS(CORE W BB)-AVI</v>
      </c>
      <c r="C14250" t="s">
        <v>1462</v>
      </c>
      <c r="D14250" s="1" t="str">
        <f t="shared" si="393"/>
        <v>PRG-1042457</v>
      </c>
      <c r="E14250" t="s">
        <v>215</v>
      </c>
      <c r="F14250" t="s">
        <v>4</v>
      </c>
      <c r="G14250" t="str">
        <f>""</f>
        <v/>
      </c>
    </row>
    <row r="14251" spans="1:7" x14ac:dyDescent="0.25">
      <c r="A14251" t="s">
        <v>8</v>
      </c>
      <c r="B14251" s="1" t="str">
        <f>"000338131 - RICH FDS-BAPA AVI"</f>
        <v>000338131 - RICH FDS-BAPA AVI</v>
      </c>
      <c r="C14251" t="s">
        <v>214</v>
      </c>
      <c r="D14251" s="1" t="str">
        <f t="shared" si="393"/>
        <v>PRG-1042457</v>
      </c>
      <c r="E14251" t="s">
        <v>215</v>
      </c>
      <c r="F14251" t="s">
        <v>4</v>
      </c>
      <c r="G14251" t="str">
        <f>""</f>
        <v/>
      </c>
    </row>
    <row r="14252" spans="1:7" x14ac:dyDescent="0.25">
      <c r="A14252" t="s">
        <v>8</v>
      </c>
      <c r="B14252" s="1" t="str">
        <f>"000340867 - RICH FDS(CORE W BB)-AVI"</f>
        <v>000340867 - RICH FDS(CORE W BB)-AVI</v>
      </c>
      <c r="C14252" t="s">
        <v>1462</v>
      </c>
      <c r="D14252" s="1" t="str">
        <f t="shared" si="393"/>
        <v>PRG-1042457</v>
      </c>
      <c r="E14252" t="s">
        <v>215</v>
      </c>
      <c r="F14252" t="s">
        <v>4</v>
      </c>
      <c r="G14252" t="str">
        <f>""</f>
        <v/>
      </c>
    </row>
    <row r="14253" spans="1:7" x14ac:dyDescent="0.25">
      <c r="A14253" t="s">
        <v>8</v>
      </c>
      <c r="B14253" s="1" t="str">
        <f>"000364950 - RICH FDS-BAPA AVI"</f>
        <v>000364950 - RICH FDS-BAPA AVI</v>
      </c>
      <c r="C14253" t="s">
        <v>214</v>
      </c>
      <c r="D14253" s="1" t="str">
        <f t="shared" si="393"/>
        <v>PRG-1042457</v>
      </c>
      <c r="E14253" t="s">
        <v>215</v>
      </c>
      <c r="F14253" t="s">
        <v>4</v>
      </c>
      <c r="G14253" t="str">
        <f>""</f>
        <v/>
      </c>
    </row>
    <row r="14254" spans="1:7" x14ac:dyDescent="0.25">
      <c r="A14254" t="s">
        <v>8</v>
      </c>
      <c r="B14254" s="1" t="str">
        <f>"000366582 - RICH FDS-BAPA AVI"</f>
        <v>000366582 - RICH FDS-BAPA AVI</v>
      </c>
      <c r="C14254" t="s">
        <v>214</v>
      </c>
      <c r="D14254" s="1" t="str">
        <f t="shared" si="393"/>
        <v>PRG-1042457</v>
      </c>
      <c r="E14254" t="s">
        <v>215</v>
      </c>
      <c r="F14254" t="s">
        <v>4</v>
      </c>
      <c r="G14254" t="str">
        <f>""</f>
        <v/>
      </c>
    </row>
    <row r="14255" spans="1:7" x14ac:dyDescent="0.25">
      <c r="A14255" t="s">
        <v>8</v>
      </c>
      <c r="B14255" s="1" t="str">
        <f>"000382365 - RICH FDS-BAPA AVI"</f>
        <v>000382365 - RICH FDS-BAPA AVI</v>
      </c>
      <c r="C14255" t="s">
        <v>214</v>
      </c>
      <c r="D14255" s="1" t="str">
        <f t="shared" si="393"/>
        <v>PRG-1042457</v>
      </c>
      <c r="E14255" t="s">
        <v>215</v>
      </c>
      <c r="F14255" t="s">
        <v>4</v>
      </c>
      <c r="G14255" t="str">
        <f>""</f>
        <v/>
      </c>
    </row>
    <row r="14256" spans="1:7" x14ac:dyDescent="0.25">
      <c r="A14256" t="s">
        <v>8</v>
      </c>
      <c r="B14256" s="1" t="str">
        <f>"000391685 - RICH FDS-BAPA AVI"</f>
        <v>000391685 - RICH FDS-BAPA AVI</v>
      </c>
      <c r="C14256" t="s">
        <v>214</v>
      </c>
      <c r="D14256" s="1" t="str">
        <f t="shared" si="393"/>
        <v>PRG-1042457</v>
      </c>
      <c r="E14256" t="s">
        <v>215</v>
      </c>
      <c r="F14256" t="s">
        <v>4</v>
      </c>
      <c r="G14256" t="str">
        <f>""</f>
        <v/>
      </c>
    </row>
    <row r="14257" spans="1:7" x14ac:dyDescent="0.25">
      <c r="A14257" t="s">
        <v>8</v>
      </c>
      <c r="B14257" s="1" t="str">
        <f>"000405994 - RICH FOODS-AVI"</f>
        <v>000405994 - RICH FOODS-AVI</v>
      </c>
      <c r="C14257" t="s">
        <v>713</v>
      </c>
      <c r="D14257" s="1" t="str">
        <f t="shared" si="393"/>
        <v>PRG-1042457</v>
      </c>
      <c r="E14257" t="s">
        <v>215</v>
      </c>
      <c r="F14257" t="s">
        <v>4</v>
      </c>
      <c r="G14257" t="str">
        <f>""</f>
        <v/>
      </c>
    </row>
    <row r="14258" spans="1:7" x14ac:dyDescent="0.25">
      <c r="A14258" t="s">
        <v>8</v>
      </c>
      <c r="B14258" s="1" t="str">
        <f>"2000032954 - RICH FDS-NAVIGATOR"</f>
        <v>2000032954 - RICH FDS-NAVIGATOR</v>
      </c>
      <c r="C14258" t="s">
        <v>3833</v>
      </c>
      <c r="D14258" s="1" t="str">
        <f t="shared" si="393"/>
        <v>PRG-1042457</v>
      </c>
      <c r="E14258" t="s">
        <v>215</v>
      </c>
      <c r="F14258" t="s">
        <v>4</v>
      </c>
      <c r="G14258" t="str">
        <f>""</f>
        <v/>
      </c>
    </row>
    <row r="14259" spans="1:7" x14ac:dyDescent="0.25">
      <c r="A14259" t="s">
        <v>8</v>
      </c>
      <c r="B14259" s="1" t="str">
        <f>"2000330184 - RICH FOODS-AVI"</f>
        <v>2000330184 - RICH FOODS-AVI</v>
      </c>
      <c r="C14259" t="s">
        <v>713</v>
      </c>
      <c r="D14259" s="1" t="str">
        <f t="shared" si="393"/>
        <v>PRG-1042457</v>
      </c>
      <c r="E14259" t="s">
        <v>215</v>
      </c>
      <c r="F14259" t="s">
        <v>4</v>
      </c>
      <c r="G14259" t="str">
        <f>""</f>
        <v/>
      </c>
    </row>
    <row r="14260" spans="1:7" x14ac:dyDescent="0.25">
      <c r="A14260" t="s">
        <v>8</v>
      </c>
      <c r="B14260" s="1" t="str">
        <f>"2000380037 - RICH FOODS-AVI"</f>
        <v>2000380037 - RICH FOODS-AVI</v>
      </c>
      <c r="C14260" t="s">
        <v>713</v>
      </c>
      <c r="D14260" s="1" t="str">
        <f t="shared" si="393"/>
        <v>PRG-1042457</v>
      </c>
      <c r="E14260" t="s">
        <v>215</v>
      </c>
      <c r="F14260" t="s">
        <v>4</v>
      </c>
      <c r="G14260" t="str">
        <f>""</f>
        <v/>
      </c>
    </row>
    <row r="14261" spans="1:7" x14ac:dyDescent="0.25">
      <c r="A14261" t="s">
        <v>8</v>
      </c>
      <c r="B14261" s="1" t="str">
        <f>"S1Z0XQL0"</f>
        <v>S1Z0XQL0</v>
      </c>
      <c r="C14261" t="s">
        <v>5455</v>
      </c>
      <c r="D14261" s="1" t="str">
        <f>"PRG-1042460"</f>
        <v>PRG-1042460</v>
      </c>
      <c r="E14261" t="s">
        <v>5095</v>
      </c>
      <c r="F14261" t="s">
        <v>5</v>
      </c>
      <c r="G14261" t="str">
        <f>""</f>
        <v/>
      </c>
    </row>
    <row r="14262" spans="1:7" x14ac:dyDescent="0.25">
      <c r="A14262" t="s">
        <v>8</v>
      </c>
      <c r="B14262" s="1" t="str">
        <f>"000035755 - RICH FOODS-STAR BUFFET"</f>
        <v>000035755 - RICH FOODS-STAR BUFFET</v>
      </c>
      <c r="C14262" t="s">
        <v>531</v>
      </c>
      <c r="D14262" s="1" t="str">
        <f>"PRG-1042465"</f>
        <v>PRG-1042465</v>
      </c>
      <c r="E14262" t="s">
        <v>532</v>
      </c>
      <c r="F14262" t="s">
        <v>4</v>
      </c>
      <c r="G14262" t="str">
        <f>""</f>
        <v/>
      </c>
    </row>
    <row r="14263" spans="1:7" x14ac:dyDescent="0.25">
      <c r="A14263" t="s">
        <v>8</v>
      </c>
      <c r="B14263" s="1" t="str">
        <f>"000285998 - "</f>
        <v xml:space="preserve">000285998 - </v>
      </c>
      <c r="D14263" s="1" t="str">
        <f>"PRG-1042465"</f>
        <v>PRG-1042465</v>
      </c>
      <c r="E14263" t="s">
        <v>532</v>
      </c>
      <c r="F14263" t="s">
        <v>4</v>
      </c>
      <c r="G14263" t="str">
        <f>""</f>
        <v/>
      </c>
    </row>
    <row r="14264" spans="1:7" x14ac:dyDescent="0.25">
      <c r="A14264" t="s">
        <v>8</v>
      </c>
      <c r="B14264" s="1" t="str">
        <f>"000289747 - RICH FOODS-STAR BUFFET"</f>
        <v>000289747 - RICH FOODS-STAR BUFFET</v>
      </c>
      <c r="C14264" t="s">
        <v>531</v>
      </c>
      <c r="D14264" s="1" t="str">
        <f>"PRG-1042465"</f>
        <v>PRG-1042465</v>
      </c>
      <c r="E14264" t="s">
        <v>532</v>
      </c>
      <c r="F14264" t="s">
        <v>4</v>
      </c>
      <c r="G14264" t="str">
        <f>""</f>
        <v/>
      </c>
    </row>
    <row r="14265" spans="1:7" x14ac:dyDescent="0.25">
      <c r="A14265" t="s">
        <v>8</v>
      </c>
      <c r="B14265" s="1" t="str">
        <f>"000034965 - RICH-DELAWARE"</f>
        <v>000034965 - RICH-DELAWARE</v>
      </c>
      <c r="C14265" t="s">
        <v>405</v>
      </c>
      <c r="D14265" s="1" t="str">
        <f t="shared" ref="D14265:D14285" si="394">"PRG-1042466"</f>
        <v>PRG-1042466</v>
      </c>
      <c r="E14265" t="s">
        <v>191</v>
      </c>
      <c r="F14265" t="s">
        <v>4</v>
      </c>
      <c r="G14265" t="str">
        <f>""</f>
        <v/>
      </c>
    </row>
    <row r="14266" spans="1:7" x14ac:dyDescent="0.25">
      <c r="A14266" t="s">
        <v>8</v>
      </c>
      <c r="B14266" s="1" t="str">
        <f>"000076226 - RICH-DELAWARE"</f>
        <v>000076226 - RICH-DELAWARE</v>
      </c>
      <c r="C14266" t="s">
        <v>405</v>
      </c>
      <c r="D14266" s="1" t="str">
        <f t="shared" si="394"/>
        <v>PRG-1042466</v>
      </c>
      <c r="E14266" t="s">
        <v>191</v>
      </c>
      <c r="F14266" t="s">
        <v>4</v>
      </c>
      <c r="G14266" t="str">
        <f>""</f>
        <v/>
      </c>
    </row>
    <row r="14267" spans="1:7" x14ac:dyDescent="0.25">
      <c r="A14267" t="s">
        <v>8</v>
      </c>
      <c r="B14267" s="1" t="str">
        <f>"000079361 - RICH-DELAWARE"</f>
        <v>000079361 - RICH-DELAWARE</v>
      </c>
      <c r="C14267" t="s">
        <v>405</v>
      </c>
      <c r="D14267" s="1" t="str">
        <f t="shared" si="394"/>
        <v>PRG-1042466</v>
      </c>
      <c r="E14267" t="s">
        <v>191</v>
      </c>
      <c r="F14267" t="s">
        <v>4</v>
      </c>
      <c r="G14267" t="str">
        <f>""</f>
        <v/>
      </c>
    </row>
    <row r="14268" spans="1:7" x14ac:dyDescent="0.25">
      <c r="A14268" t="s">
        <v>8</v>
      </c>
      <c r="B14268" s="1" t="str">
        <f>"000149674 - RICH-DELAWARE"</f>
        <v>000149674 - RICH-DELAWARE</v>
      </c>
      <c r="C14268" t="s">
        <v>405</v>
      </c>
      <c r="D14268" s="1" t="str">
        <f t="shared" si="394"/>
        <v>PRG-1042466</v>
      </c>
      <c r="E14268" t="s">
        <v>191</v>
      </c>
      <c r="F14268" t="s">
        <v>4</v>
      </c>
      <c r="G14268" t="str">
        <f>""</f>
        <v/>
      </c>
    </row>
    <row r="14269" spans="1:7" x14ac:dyDescent="0.25">
      <c r="A14269" t="s">
        <v>8</v>
      </c>
      <c r="B14269" s="1" t="str">
        <f>"000241436 - RICH-DELAWARE"</f>
        <v>000241436 - RICH-DELAWARE</v>
      </c>
      <c r="C14269" t="s">
        <v>405</v>
      </c>
      <c r="D14269" s="1" t="str">
        <f t="shared" si="394"/>
        <v>PRG-1042466</v>
      </c>
      <c r="E14269" t="s">
        <v>191</v>
      </c>
      <c r="F14269" t="s">
        <v>4</v>
      </c>
      <c r="G14269" t="str">
        <f>""</f>
        <v/>
      </c>
    </row>
    <row r="14270" spans="1:7" x14ac:dyDescent="0.25">
      <c r="A14270" t="s">
        <v>8</v>
      </c>
      <c r="B14270" s="1" t="str">
        <f>"000266398 - RICH-DELAWARE"</f>
        <v>000266398 - RICH-DELAWARE</v>
      </c>
      <c r="C14270" t="s">
        <v>405</v>
      </c>
      <c r="D14270" s="1" t="str">
        <f t="shared" si="394"/>
        <v>PRG-1042466</v>
      </c>
      <c r="E14270" t="s">
        <v>191</v>
      </c>
      <c r="F14270" t="s">
        <v>4</v>
      </c>
      <c r="G14270" t="str">
        <f>""</f>
        <v/>
      </c>
    </row>
    <row r="14271" spans="1:7" x14ac:dyDescent="0.25">
      <c r="A14271" t="s">
        <v>8</v>
      </c>
      <c r="B14271" s="1" t="str">
        <f>"000267614 - RICH-DELAWARE"</f>
        <v>000267614 - RICH-DELAWARE</v>
      </c>
      <c r="C14271" t="s">
        <v>405</v>
      </c>
      <c r="D14271" s="1" t="str">
        <f t="shared" si="394"/>
        <v>PRG-1042466</v>
      </c>
      <c r="E14271" t="s">
        <v>191</v>
      </c>
      <c r="F14271" t="s">
        <v>4</v>
      </c>
      <c r="G14271" t="str">
        <f>""</f>
        <v/>
      </c>
    </row>
    <row r="14272" spans="1:7" x14ac:dyDescent="0.25">
      <c r="A14272" t="s">
        <v>8</v>
      </c>
      <c r="B14272" s="1" t="str">
        <f>"000273069 - RICH-DELAWARE"</f>
        <v>000273069 - RICH-DELAWARE</v>
      </c>
      <c r="C14272" t="s">
        <v>405</v>
      </c>
      <c r="D14272" s="1" t="str">
        <f t="shared" si="394"/>
        <v>PRG-1042466</v>
      </c>
      <c r="E14272" t="s">
        <v>191</v>
      </c>
      <c r="F14272" t="s">
        <v>4</v>
      </c>
      <c r="G14272" t="str">
        <f>""</f>
        <v/>
      </c>
    </row>
    <row r="14273" spans="1:7" x14ac:dyDescent="0.25">
      <c r="A14273" t="s">
        <v>8</v>
      </c>
      <c r="B14273" s="1" t="str">
        <f>"000285199 - RICH-DELAWARE"</f>
        <v>000285199 - RICH-DELAWARE</v>
      </c>
      <c r="C14273" t="s">
        <v>405</v>
      </c>
      <c r="D14273" s="1" t="str">
        <f t="shared" si="394"/>
        <v>PRG-1042466</v>
      </c>
      <c r="E14273" t="s">
        <v>191</v>
      </c>
      <c r="F14273" t="s">
        <v>4</v>
      </c>
      <c r="G14273" t="str">
        <f>""</f>
        <v/>
      </c>
    </row>
    <row r="14274" spans="1:7" x14ac:dyDescent="0.25">
      <c r="A14274" t="s">
        <v>8</v>
      </c>
      <c r="B14274" s="1" t="str">
        <f>"000289286 - RICH-DELAWARE"</f>
        <v>000289286 - RICH-DELAWARE</v>
      </c>
      <c r="C14274" t="s">
        <v>405</v>
      </c>
      <c r="D14274" s="1" t="str">
        <f t="shared" si="394"/>
        <v>PRG-1042466</v>
      </c>
      <c r="E14274" t="s">
        <v>191</v>
      </c>
      <c r="F14274" t="s">
        <v>4</v>
      </c>
      <c r="G14274" t="str">
        <f>""</f>
        <v/>
      </c>
    </row>
    <row r="14275" spans="1:7" x14ac:dyDescent="0.25">
      <c r="A14275" t="s">
        <v>8</v>
      </c>
      <c r="B14275" s="1" t="str">
        <f>"000296646 - RICH-DELAWARE"</f>
        <v>000296646 - RICH-DELAWARE</v>
      </c>
      <c r="C14275" t="s">
        <v>405</v>
      </c>
      <c r="D14275" s="1" t="str">
        <f t="shared" si="394"/>
        <v>PRG-1042466</v>
      </c>
      <c r="E14275" t="s">
        <v>191</v>
      </c>
      <c r="F14275" t="s">
        <v>4</v>
      </c>
      <c r="G14275" t="str">
        <f>""</f>
        <v/>
      </c>
    </row>
    <row r="14276" spans="1:7" x14ac:dyDescent="0.25">
      <c r="A14276" t="s">
        <v>8</v>
      </c>
      <c r="B14276" s="1" t="str">
        <f>"000297786 - RICH-DELAWARE"</f>
        <v>000297786 - RICH-DELAWARE</v>
      </c>
      <c r="C14276" t="s">
        <v>405</v>
      </c>
      <c r="D14276" s="1" t="str">
        <f t="shared" si="394"/>
        <v>PRG-1042466</v>
      </c>
      <c r="E14276" t="s">
        <v>191</v>
      </c>
      <c r="F14276" t="s">
        <v>4</v>
      </c>
      <c r="G14276" t="str">
        <f>""</f>
        <v/>
      </c>
    </row>
    <row r="14277" spans="1:7" x14ac:dyDescent="0.25">
      <c r="A14277" t="s">
        <v>8</v>
      </c>
      <c r="B14277" s="1" t="str">
        <f>"000298542 - RICH-DELAWARE"</f>
        <v>000298542 - RICH-DELAWARE</v>
      </c>
      <c r="C14277" t="s">
        <v>405</v>
      </c>
      <c r="D14277" s="1" t="str">
        <f t="shared" si="394"/>
        <v>PRG-1042466</v>
      </c>
      <c r="E14277" t="s">
        <v>191</v>
      </c>
      <c r="F14277" t="s">
        <v>4</v>
      </c>
      <c r="G14277" t="str">
        <f>""</f>
        <v/>
      </c>
    </row>
    <row r="14278" spans="1:7" x14ac:dyDescent="0.25">
      <c r="A14278" t="s">
        <v>8</v>
      </c>
      <c r="B14278" s="1" t="str">
        <f>"000303042 - RICH-DELAWARE"</f>
        <v>000303042 - RICH-DELAWARE</v>
      </c>
      <c r="C14278" t="s">
        <v>405</v>
      </c>
      <c r="D14278" s="1" t="str">
        <f t="shared" si="394"/>
        <v>PRG-1042466</v>
      </c>
      <c r="E14278" t="s">
        <v>191</v>
      </c>
      <c r="F14278" t="s">
        <v>4</v>
      </c>
      <c r="G14278" t="str">
        <f>""</f>
        <v/>
      </c>
    </row>
    <row r="14279" spans="1:7" x14ac:dyDescent="0.25">
      <c r="A14279" t="s">
        <v>8</v>
      </c>
      <c r="B14279" s="1" t="str">
        <f>"000304811 - RICH-DELAWARE"</f>
        <v>000304811 - RICH-DELAWARE</v>
      </c>
      <c r="C14279" t="s">
        <v>405</v>
      </c>
      <c r="D14279" s="1" t="str">
        <f t="shared" si="394"/>
        <v>PRG-1042466</v>
      </c>
      <c r="E14279" t="s">
        <v>191</v>
      </c>
      <c r="F14279" t="s">
        <v>4</v>
      </c>
      <c r="G14279" t="str">
        <f>""</f>
        <v/>
      </c>
    </row>
    <row r="14280" spans="1:7" x14ac:dyDescent="0.25">
      <c r="A14280" t="s">
        <v>8</v>
      </c>
      <c r="B14280" s="1" t="str">
        <f>"000335990 - RICH-DELAWARE"</f>
        <v>000335990 - RICH-DELAWARE</v>
      </c>
      <c r="C14280" t="s">
        <v>405</v>
      </c>
      <c r="D14280" s="1" t="str">
        <f t="shared" si="394"/>
        <v>PRG-1042466</v>
      </c>
      <c r="E14280" t="s">
        <v>191</v>
      </c>
      <c r="F14280" t="s">
        <v>4</v>
      </c>
      <c r="G14280" t="str">
        <f>""</f>
        <v/>
      </c>
    </row>
    <row r="14281" spans="1:7" x14ac:dyDescent="0.25">
      <c r="A14281" t="s">
        <v>8</v>
      </c>
      <c r="B14281" s="1" t="str">
        <f>"000363490 - RICH-DELAWARE"</f>
        <v>000363490 - RICH-DELAWARE</v>
      </c>
      <c r="C14281" t="s">
        <v>405</v>
      </c>
      <c r="D14281" s="1" t="str">
        <f t="shared" si="394"/>
        <v>PRG-1042466</v>
      </c>
      <c r="E14281" t="s">
        <v>191</v>
      </c>
      <c r="F14281" t="s">
        <v>4</v>
      </c>
      <c r="G14281" t="str">
        <f>""</f>
        <v/>
      </c>
    </row>
    <row r="14282" spans="1:7" x14ac:dyDescent="0.25">
      <c r="A14282" t="s">
        <v>8</v>
      </c>
      <c r="B14282" s="1" t="str">
        <f>"000379065 - RICH-DELAWARE"</f>
        <v>000379065 - RICH-DELAWARE</v>
      </c>
      <c r="C14282" t="s">
        <v>405</v>
      </c>
      <c r="D14282" s="1" t="str">
        <f t="shared" si="394"/>
        <v>PRG-1042466</v>
      </c>
      <c r="E14282" t="s">
        <v>191</v>
      </c>
      <c r="F14282" t="s">
        <v>4</v>
      </c>
      <c r="G14282" t="str">
        <f>""</f>
        <v/>
      </c>
    </row>
    <row r="14283" spans="1:7" x14ac:dyDescent="0.25">
      <c r="A14283" t="s">
        <v>8</v>
      </c>
      <c r="B14283" s="1" t="str">
        <f>"000388351 - RICH-DELAWARE"</f>
        <v>000388351 - RICH-DELAWARE</v>
      </c>
      <c r="C14283" t="s">
        <v>405</v>
      </c>
      <c r="D14283" s="1" t="str">
        <f t="shared" si="394"/>
        <v>PRG-1042466</v>
      </c>
      <c r="E14283" t="s">
        <v>191</v>
      </c>
      <c r="F14283" t="s">
        <v>4</v>
      </c>
      <c r="G14283" t="str">
        <f>""</f>
        <v/>
      </c>
    </row>
    <row r="14284" spans="1:7" x14ac:dyDescent="0.25">
      <c r="A14284" t="s">
        <v>8</v>
      </c>
      <c r="B14284" s="1" t="str">
        <f>"000398581 - RICH-DELAWARE"</f>
        <v>000398581 - RICH-DELAWARE</v>
      </c>
      <c r="C14284" t="s">
        <v>405</v>
      </c>
      <c r="D14284" s="1" t="str">
        <f t="shared" si="394"/>
        <v>PRG-1042466</v>
      </c>
      <c r="E14284" t="s">
        <v>191</v>
      </c>
      <c r="F14284" t="s">
        <v>4</v>
      </c>
      <c r="G14284" t="str">
        <f>""</f>
        <v/>
      </c>
    </row>
    <row r="14285" spans="1:7" x14ac:dyDescent="0.25">
      <c r="A14285" t="s">
        <v>8</v>
      </c>
      <c r="B14285" s="1" t="str">
        <f>"000412778 - RICH-DELAWARE"</f>
        <v>000412778 - RICH-DELAWARE</v>
      </c>
      <c r="C14285" t="s">
        <v>405</v>
      </c>
      <c r="D14285" s="1" t="str">
        <f t="shared" si="394"/>
        <v>PRG-1042466</v>
      </c>
      <c r="E14285" t="s">
        <v>191</v>
      </c>
      <c r="F14285" t="s">
        <v>4</v>
      </c>
      <c r="G14285" t="str">
        <f>""</f>
        <v/>
      </c>
    </row>
    <row r="14286" spans="1:7" x14ac:dyDescent="0.25">
      <c r="A14286" t="s">
        <v>8</v>
      </c>
      <c r="B14286" s="1" t="str">
        <f>"S5D03S00"</f>
        <v>S5D03S00</v>
      </c>
      <c r="C14286" t="s">
        <v>5803</v>
      </c>
      <c r="D14286" s="1" t="str">
        <f>"PRG-1042467"</f>
        <v>PRG-1042467</v>
      </c>
      <c r="E14286" t="s">
        <v>5804</v>
      </c>
      <c r="F14286" t="s">
        <v>5</v>
      </c>
      <c r="G14286" t="str">
        <f>""</f>
        <v/>
      </c>
    </row>
    <row r="14287" spans="1:7" x14ac:dyDescent="0.25">
      <c r="A14287" t="s">
        <v>8</v>
      </c>
      <c r="B14287" s="1" t="str">
        <f>"000362867 - "</f>
        <v xml:space="preserve">000362867 - </v>
      </c>
      <c r="D14287" s="1" t="str">
        <f>"PRG-1042469"</f>
        <v>PRG-1042469</v>
      </c>
      <c r="E14287" t="s">
        <v>3586</v>
      </c>
      <c r="F14287" t="s">
        <v>4</v>
      </c>
      <c r="G14287" t="str">
        <f>""</f>
        <v/>
      </c>
    </row>
    <row r="14288" spans="1:7" x14ac:dyDescent="0.25">
      <c r="A14288" t="s">
        <v>8</v>
      </c>
      <c r="B14288" s="1" t="str">
        <f>"000367283 - RICH FDS BUPPY'S GCST"</f>
        <v>000367283 - RICH FDS BUPPY'S GCST</v>
      </c>
      <c r="C14288" t="s">
        <v>3611</v>
      </c>
      <c r="D14288" s="1" t="str">
        <f>"PRG-1042480"</f>
        <v>PRG-1042480</v>
      </c>
      <c r="E14288" t="s">
        <v>3612</v>
      </c>
      <c r="F14288" t="s">
        <v>4</v>
      </c>
      <c r="G14288" t="str">
        <f>""</f>
        <v/>
      </c>
    </row>
    <row r="14289" spans="1:7" x14ac:dyDescent="0.25">
      <c r="A14289" t="s">
        <v>8</v>
      </c>
      <c r="B14289" s="1" t="str">
        <f>"000013240 - RICH'S AIRBORNE SPORT"</f>
        <v>000013240 - RICH'S AIRBORNE SPORT</v>
      </c>
      <c r="C14289" t="s">
        <v>345</v>
      </c>
      <c r="D14289" s="1" t="str">
        <f>"PRG-1042482"</f>
        <v>PRG-1042482</v>
      </c>
      <c r="E14289" t="s">
        <v>346</v>
      </c>
      <c r="F14289" t="s">
        <v>4</v>
      </c>
      <c r="G14289" t="str">
        <f>""</f>
        <v/>
      </c>
    </row>
    <row r="14290" spans="1:7" x14ac:dyDescent="0.25">
      <c r="A14290" t="s">
        <v>8</v>
      </c>
      <c r="B14290" s="1" t="str">
        <f>"000014074 - RICH PRODUCTS-ROY'S CHICKEN"</f>
        <v>000014074 - RICH PRODUCTS-ROY'S CHICKEN</v>
      </c>
      <c r="C14290" t="s">
        <v>71</v>
      </c>
      <c r="D14290" s="1" t="str">
        <f>"PRG-1042484"</f>
        <v>PRG-1042484</v>
      </c>
      <c r="E14290" t="s">
        <v>353</v>
      </c>
      <c r="F14290" t="s">
        <v>4</v>
      </c>
      <c r="G14290" t="str">
        <f>""</f>
        <v/>
      </c>
    </row>
    <row r="14291" spans="1:7" x14ac:dyDescent="0.25">
      <c r="A14291" t="s">
        <v>8</v>
      </c>
      <c r="B14291" s="1" t="str">
        <f>"S6J0EUD0"</f>
        <v>S6J0EUD0</v>
      </c>
      <c r="C14291" t="s">
        <v>6193</v>
      </c>
      <c r="D14291" s="1" t="str">
        <f>"PRG-1042484"</f>
        <v>PRG-1042484</v>
      </c>
      <c r="E14291" t="s">
        <v>353</v>
      </c>
      <c r="F14291" t="s">
        <v>5</v>
      </c>
      <c r="G14291" t="str">
        <f>""</f>
        <v/>
      </c>
    </row>
    <row r="14292" spans="1:7" x14ac:dyDescent="0.25">
      <c r="A14292" t="s">
        <v>8</v>
      </c>
      <c r="B14292" s="1" t="str">
        <f>"000216903 - RICHS  CAFE SERVICES"</f>
        <v>000216903 - RICHS  CAFE SERVICES</v>
      </c>
      <c r="C14292" t="s">
        <v>1539</v>
      </c>
      <c r="D14292" s="1" t="str">
        <f>"PRG-1042485"</f>
        <v>PRG-1042485</v>
      </c>
      <c r="E14292" t="s">
        <v>1540</v>
      </c>
      <c r="F14292" t="s">
        <v>4</v>
      </c>
      <c r="G14292" t="str">
        <f>""</f>
        <v/>
      </c>
    </row>
    <row r="14293" spans="1:7" x14ac:dyDescent="0.25">
      <c r="A14293" t="s">
        <v>8</v>
      </c>
      <c r="B14293" s="1" t="str">
        <f>"000216904 - RICH'S  CAFE SERVICES RETAIL"</f>
        <v>000216904 - RICH'S  CAFE SERVICES RETAIL</v>
      </c>
      <c r="C14293" t="s">
        <v>1541</v>
      </c>
      <c r="D14293" s="1" t="str">
        <f>"PRG-1042485"</f>
        <v>PRG-1042485</v>
      </c>
      <c r="E14293" t="s">
        <v>1540</v>
      </c>
      <c r="F14293" t="s">
        <v>4</v>
      </c>
      <c r="G14293" t="str">
        <f>""</f>
        <v/>
      </c>
    </row>
    <row r="14294" spans="1:7" x14ac:dyDescent="0.25">
      <c r="A14294" t="s">
        <v>8</v>
      </c>
      <c r="B14294" s="1" t="str">
        <f>"S6I01JY0"</f>
        <v>S6I01JY0</v>
      </c>
      <c r="C14294" t="s">
        <v>6095</v>
      </c>
      <c r="D14294" s="1" t="str">
        <f>"PRG-1042504"</f>
        <v>PRG-1042504</v>
      </c>
      <c r="E14294" t="s">
        <v>6096</v>
      </c>
      <c r="F14294" t="s">
        <v>5</v>
      </c>
      <c r="G14294" t="str">
        <f>""</f>
        <v/>
      </c>
    </row>
    <row r="14295" spans="1:7" x14ac:dyDescent="0.25">
      <c r="A14295" t="s">
        <v>8</v>
      </c>
      <c r="B14295" s="1" t="str">
        <f>"S9U001X0"</f>
        <v>S9U001X0</v>
      </c>
      <c r="C14295" t="s">
        <v>6374</v>
      </c>
      <c r="D14295" s="1" t="str">
        <f>"PRG-1042504"</f>
        <v>PRG-1042504</v>
      </c>
      <c r="E14295" t="s">
        <v>6096</v>
      </c>
      <c r="F14295" t="s">
        <v>5</v>
      </c>
      <c r="G14295" t="str">
        <f>""</f>
        <v/>
      </c>
    </row>
    <row r="14296" spans="1:7" x14ac:dyDescent="0.25">
      <c r="A14296" t="s">
        <v>8</v>
      </c>
      <c r="B14296" s="1" t="str">
        <f>"000267293 - RIB CITY RICHS"</f>
        <v>000267293 - RIB CITY RICHS</v>
      </c>
      <c r="C14296" t="s">
        <v>2418</v>
      </c>
      <c r="D14296" s="1" t="str">
        <f>"PRG-1042515"</f>
        <v>PRG-1042515</v>
      </c>
      <c r="E14296" t="s">
        <v>2205</v>
      </c>
      <c r="F14296" t="s">
        <v>4</v>
      </c>
      <c r="G14296" t="str">
        <f>""</f>
        <v/>
      </c>
    </row>
    <row r="14297" spans="1:7" x14ac:dyDescent="0.25">
      <c r="A14297" t="s">
        <v>8</v>
      </c>
      <c r="B14297" s="1" t="str">
        <f>"S5O00R30"</f>
        <v>S5O00R30</v>
      </c>
      <c r="C14297" t="s">
        <v>5917</v>
      </c>
      <c r="D14297" s="1" t="str">
        <f>"PRG-1042626"</f>
        <v>PRG-1042626</v>
      </c>
      <c r="E14297" t="s">
        <v>5918</v>
      </c>
      <c r="F14297" t="s">
        <v>5</v>
      </c>
      <c r="G14297" t="str">
        <f>""</f>
        <v/>
      </c>
    </row>
    <row r="14298" spans="1:7" x14ac:dyDescent="0.25">
      <c r="A14298" t="s">
        <v>8</v>
      </c>
      <c r="B14298" s="1" t="str">
        <f>"S5Y00OA0"</f>
        <v>S5Y00OA0</v>
      </c>
      <c r="C14298" t="s">
        <v>5941</v>
      </c>
      <c r="D14298" s="1" t="str">
        <f>"PRG-1042629"</f>
        <v>PRG-1042629</v>
      </c>
      <c r="E14298" t="s">
        <v>5942</v>
      </c>
      <c r="F14298" t="s">
        <v>5</v>
      </c>
      <c r="G14298" t="str">
        <f>""</f>
        <v/>
      </c>
    </row>
    <row r="14299" spans="1:7" x14ac:dyDescent="0.25">
      <c r="A14299" t="s">
        <v>8</v>
      </c>
      <c r="B14299" s="1" t="str">
        <f>"000016200 - RICH FOODS-TOP GOLF"</f>
        <v>000016200 - RICH FOODS-TOP GOLF</v>
      </c>
      <c r="C14299" t="s">
        <v>203</v>
      </c>
      <c r="D14299" s="1" t="str">
        <f t="shared" ref="D14299:D14335" si="395">"PRG-1042630"</f>
        <v>PRG-1042630</v>
      </c>
      <c r="E14299" t="s">
        <v>204</v>
      </c>
      <c r="F14299" t="s">
        <v>4</v>
      </c>
      <c r="G14299" t="str">
        <f>""</f>
        <v/>
      </c>
    </row>
    <row r="14300" spans="1:7" x14ac:dyDescent="0.25">
      <c r="A14300" t="s">
        <v>8</v>
      </c>
      <c r="B14300" s="1" t="str">
        <f>"000020309 - RICH FOODS-TOP GOLF"</f>
        <v>000020309 - RICH FOODS-TOP GOLF</v>
      </c>
      <c r="C14300" t="s">
        <v>203</v>
      </c>
      <c r="D14300" s="1" t="str">
        <f t="shared" si="395"/>
        <v>PRG-1042630</v>
      </c>
      <c r="E14300" t="s">
        <v>204</v>
      </c>
      <c r="F14300" t="s">
        <v>4</v>
      </c>
      <c r="G14300" t="str">
        <f>""</f>
        <v/>
      </c>
    </row>
    <row r="14301" spans="1:7" x14ac:dyDescent="0.25">
      <c r="A14301" t="s">
        <v>8</v>
      </c>
      <c r="B14301" s="1" t="str">
        <f>"000028943 - RICH FOODS-TOP GOLF"</f>
        <v>000028943 - RICH FOODS-TOP GOLF</v>
      </c>
      <c r="C14301" t="s">
        <v>203</v>
      </c>
      <c r="D14301" s="1" t="str">
        <f t="shared" si="395"/>
        <v>PRG-1042630</v>
      </c>
      <c r="E14301" t="s">
        <v>204</v>
      </c>
      <c r="F14301" t="s">
        <v>4</v>
      </c>
      <c r="G14301" t="str">
        <f>""</f>
        <v/>
      </c>
    </row>
    <row r="14302" spans="1:7" x14ac:dyDescent="0.25">
      <c r="A14302" t="s">
        <v>8</v>
      </c>
      <c r="B14302" s="1" t="str">
        <f>"000037178 - RICH FOODS-TOP GOLF"</f>
        <v>000037178 - RICH FOODS-TOP GOLF</v>
      </c>
      <c r="C14302" t="s">
        <v>203</v>
      </c>
      <c r="D14302" s="1" t="str">
        <f t="shared" si="395"/>
        <v>PRG-1042630</v>
      </c>
      <c r="E14302" t="s">
        <v>204</v>
      </c>
      <c r="F14302" t="s">
        <v>4</v>
      </c>
      <c r="G14302" t="str">
        <f>""</f>
        <v/>
      </c>
    </row>
    <row r="14303" spans="1:7" x14ac:dyDescent="0.25">
      <c r="A14303" t="s">
        <v>8</v>
      </c>
      <c r="B14303" s="1" t="str">
        <f>"000040372 - "</f>
        <v xml:space="preserve">000040372 - </v>
      </c>
      <c r="D14303" s="1" t="str">
        <f t="shared" si="395"/>
        <v>PRG-1042630</v>
      </c>
      <c r="E14303" t="s">
        <v>204</v>
      </c>
      <c r="F14303" t="s">
        <v>4</v>
      </c>
      <c r="G14303" t="str">
        <f>""</f>
        <v/>
      </c>
    </row>
    <row r="14304" spans="1:7" x14ac:dyDescent="0.25">
      <c r="A14304" t="s">
        <v>8</v>
      </c>
      <c r="B14304" s="1" t="str">
        <f>"000046066 - RICH FOODS-TOP GOLF"</f>
        <v>000046066 - RICH FOODS-TOP GOLF</v>
      </c>
      <c r="C14304" t="s">
        <v>203</v>
      </c>
      <c r="D14304" s="1" t="str">
        <f t="shared" si="395"/>
        <v>PRG-1042630</v>
      </c>
      <c r="E14304" t="s">
        <v>204</v>
      </c>
      <c r="F14304" t="s">
        <v>4</v>
      </c>
      <c r="G14304" t="str">
        <f>""</f>
        <v/>
      </c>
    </row>
    <row r="14305" spans="1:7" x14ac:dyDescent="0.25">
      <c r="A14305" t="s">
        <v>8</v>
      </c>
      <c r="B14305" s="1" t="str">
        <f>"000047416 - RICH FOODS-TOP GOLF"</f>
        <v>000047416 - RICH FOODS-TOP GOLF</v>
      </c>
      <c r="C14305" t="s">
        <v>203</v>
      </c>
      <c r="D14305" s="1" t="str">
        <f t="shared" si="395"/>
        <v>PRG-1042630</v>
      </c>
      <c r="E14305" t="s">
        <v>204</v>
      </c>
      <c r="F14305" t="s">
        <v>4</v>
      </c>
      <c r="G14305" t="str">
        <f>""</f>
        <v/>
      </c>
    </row>
    <row r="14306" spans="1:7" x14ac:dyDescent="0.25">
      <c r="A14306" t="s">
        <v>8</v>
      </c>
      <c r="B14306" s="1" t="str">
        <f>"000050529 - RICH FOODS-TOP GOLF"</f>
        <v>000050529 - RICH FOODS-TOP GOLF</v>
      </c>
      <c r="C14306" t="s">
        <v>203</v>
      </c>
      <c r="D14306" s="1" t="str">
        <f t="shared" si="395"/>
        <v>PRG-1042630</v>
      </c>
      <c r="E14306" t="s">
        <v>204</v>
      </c>
      <c r="F14306" t="s">
        <v>4</v>
      </c>
      <c r="G14306" t="str">
        <f>""</f>
        <v/>
      </c>
    </row>
    <row r="14307" spans="1:7" x14ac:dyDescent="0.25">
      <c r="A14307" t="s">
        <v>8</v>
      </c>
      <c r="B14307" s="1" t="str">
        <f>"000260032 - RICH FOODS-TOP GOLF"</f>
        <v>000260032 - RICH FOODS-TOP GOLF</v>
      </c>
      <c r="C14307" t="s">
        <v>203</v>
      </c>
      <c r="D14307" s="1" t="str">
        <f t="shared" si="395"/>
        <v>PRG-1042630</v>
      </c>
      <c r="E14307" t="s">
        <v>204</v>
      </c>
      <c r="F14307" t="s">
        <v>4</v>
      </c>
      <c r="G14307" t="str">
        <f>""</f>
        <v/>
      </c>
    </row>
    <row r="14308" spans="1:7" x14ac:dyDescent="0.25">
      <c r="A14308" t="s">
        <v>8</v>
      </c>
      <c r="B14308" s="1" t="str">
        <f>"000280659 - RICH FOODS-TOP GOLF"</f>
        <v>000280659 - RICH FOODS-TOP GOLF</v>
      </c>
      <c r="C14308" t="s">
        <v>203</v>
      </c>
      <c r="D14308" s="1" t="str">
        <f t="shared" si="395"/>
        <v>PRG-1042630</v>
      </c>
      <c r="E14308" t="s">
        <v>204</v>
      </c>
      <c r="F14308" t="s">
        <v>4</v>
      </c>
      <c r="G14308" t="str">
        <f>""</f>
        <v/>
      </c>
    </row>
    <row r="14309" spans="1:7" x14ac:dyDescent="0.25">
      <c r="A14309" t="s">
        <v>8</v>
      </c>
      <c r="B14309" s="1" t="str">
        <f>"000280722 - RICH FOODS-TOP GOLF"</f>
        <v>000280722 - RICH FOODS-TOP GOLF</v>
      </c>
      <c r="C14309" t="s">
        <v>203</v>
      </c>
      <c r="D14309" s="1" t="str">
        <f t="shared" si="395"/>
        <v>PRG-1042630</v>
      </c>
      <c r="E14309" t="s">
        <v>204</v>
      </c>
      <c r="F14309" t="s">
        <v>4</v>
      </c>
      <c r="G14309" t="str">
        <f>""</f>
        <v/>
      </c>
    </row>
    <row r="14310" spans="1:7" x14ac:dyDescent="0.25">
      <c r="A14310" t="s">
        <v>8</v>
      </c>
      <c r="B14310" s="1" t="str">
        <f>"000281253 - RICH FOODS-TOP GOLF"</f>
        <v>000281253 - RICH FOODS-TOP GOLF</v>
      </c>
      <c r="C14310" t="s">
        <v>203</v>
      </c>
      <c r="D14310" s="1" t="str">
        <f t="shared" si="395"/>
        <v>PRG-1042630</v>
      </c>
      <c r="E14310" t="s">
        <v>204</v>
      </c>
      <c r="F14310" t="s">
        <v>4</v>
      </c>
      <c r="G14310" t="str">
        <f>""</f>
        <v/>
      </c>
    </row>
    <row r="14311" spans="1:7" x14ac:dyDescent="0.25">
      <c r="A14311" t="s">
        <v>8</v>
      </c>
      <c r="B14311" s="1" t="str">
        <f>"000286177 - RICH FOODS-TOP GOLF"</f>
        <v>000286177 - RICH FOODS-TOP GOLF</v>
      </c>
      <c r="C14311" t="s">
        <v>203</v>
      </c>
      <c r="D14311" s="1" t="str">
        <f t="shared" si="395"/>
        <v>PRG-1042630</v>
      </c>
      <c r="E14311" t="s">
        <v>204</v>
      </c>
      <c r="F14311" t="s">
        <v>4</v>
      </c>
      <c r="G14311" t="str">
        <f>""</f>
        <v/>
      </c>
    </row>
    <row r="14312" spans="1:7" x14ac:dyDescent="0.25">
      <c r="A14312" t="s">
        <v>8</v>
      </c>
      <c r="B14312" s="1" t="str">
        <f>"000286801 - RICH FOODS-TOP GOLF"</f>
        <v>000286801 - RICH FOODS-TOP GOLF</v>
      </c>
      <c r="C14312" t="s">
        <v>203</v>
      </c>
      <c r="D14312" s="1" t="str">
        <f t="shared" si="395"/>
        <v>PRG-1042630</v>
      </c>
      <c r="E14312" t="s">
        <v>204</v>
      </c>
      <c r="F14312" t="s">
        <v>4</v>
      </c>
      <c r="G14312" t="str">
        <f>""</f>
        <v/>
      </c>
    </row>
    <row r="14313" spans="1:7" x14ac:dyDescent="0.25">
      <c r="A14313" t="s">
        <v>8</v>
      </c>
      <c r="B14313" s="1" t="str">
        <f>"000289624 - RICH FOODS-TOP GOLF"</f>
        <v>000289624 - RICH FOODS-TOP GOLF</v>
      </c>
      <c r="C14313" t="s">
        <v>203</v>
      </c>
      <c r="D14313" s="1" t="str">
        <f t="shared" si="395"/>
        <v>PRG-1042630</v>
      </c>
      <c r="E14313" t="s">
        <v>204</v>
      </c>
      <c r="F14313" t="s">
        <v>4</v>
      </c>
      <c r="G14313" t="str">
        <f>""</f>
        <v/>
      </c>
    </row>
    <row r="14314" spans="1:7" x14ac:dyDescent="0.25">
      <c r="A14314" t="s">
        <v>8</v>
      </c>
      <c r="B14314" s="1" t="str">
        <f>"000295730 - RICH FOODS-TOP GOLF"</f>
        <v>000295730 - RICH FOODS-TOP GOLF</v>
      </c>
      <c r="C14314" t="s">
        <v>203</v>
      </c>
      <c r="D14314" s="1" t="str">
        <f t="shared" si="395"/>
        <v>PRG-1042630</v>
      </c>
      <c r="E14314" t="s">
        <v>204</v>
      </c>
      <c r="F14314" t="s">
        <v>4</v>
      </c>
      <c r="G14314" t="str">
        <f>""</f>
        <v/>
      </c>
    </row>
    <row r="14315" spans="1:7" x14ac:dyDescent="0.25">
      <c r="A14315" t="s">
        <v>8</v>
      </c>
      <c r="B14315" s="1" t="str">
        <f>"000297407 - RICH FOODS-TOP GOLF"</f>
        <v>000297407 - RICH FOODS-TOP GOLF</v>
      </c>
      <c r="C14315" t="s">
        <v>203</v>
      </c>
      <c r="D14315" s="1" t="str">
        <f t="shared" si="395"/>
        <v>PRG-1042630</v>
      </c>
      <c r="E14315" t="s">
        <v>204</v>
      </c>
      <c r="F14315" t="s">
        <v>4</v>
      </c>
      <c r="G14315" t="str">
        <f>""</f>
        <v/>
      </c>
    </row>
    <row r="14316" spans="1:7" x14ac:dyDescent="0.25">
      <c r="A14316" t="s">
        <v>8</v>
      </c>
      <c r="B14316" s="1" t="str">
        <f>"000300275 - RICH FOODS-TOP GOLF"</f>
        <v>000300275 - RICH FOODS-TOP GOLF</v>
      </c>
      <c r="C14316" t="s">
        <v>203</v>
      </c>
      <c r="D14316" s="1" t="str">
        <f t="shared" si="395"/>
        <v>PRG-1042630</v>
      </c>
      <c r="E14316" t="s">
        <v>204</v>
      </c>
      <c r="F14316" t="s">
        <v>4</v>
      </c>
      <c r="G14316" t="str">
        <f>""</f>
        <v/>
      </c>
    </row>
    <row r="14317" spans="1:7" x14ac:dyDescent="0.25">
      <c r="A14317" t="s">
        <v>8</v>
      </c>
      <c r="B14317" s="1" t="str">
        <f>"000305349 - RICH FOODS-TOP GOLF"</f>
        <v>000305349 - RICH FOODS-TOP GOLF</v>
      </c>
      <c r="C14317" t="s">
        <v>203</v>
      </c>
      <c r="D14317" s="1" t="str">
        <f t="shared" si="395"/>
        <v>PRG-1042630</v>
      </c>
      <c r="E14317" t="s">
        <v>204</v>
      </c>
      <c r="F14317" t="s">
        <v>4</v>
      </c>
      <c r="G14317" t="str">
        <f>""</f>
        <v/>
      </c>
    </row>
    <row r="14318" spans="1:7" x14ac:dyDescent="0.25">
      <c r="A14318" t="s">
        <v>8</v>
      </c>
      <c r="B14318" s="1" t="str">
        <f>"000305897 - RICH FOODS-TOP GOLF"</f>
        <v>000305897 - RICH FOODS-TOP GOLF</v>
      </c>
      <c r="C14318" t="s">
        <v>203</v>
      </c>
      <c r="D14318" s="1" t="str">
        <f t="shared" si="395"/>
        <v>PRG-1042630</v>
      </c>
      <c r="E14318" t="s">
        <v>204</v>
      </c>
      <c r="F14318" t="s">
        <v>4</v>
      </c>
      <c r="G14318" t="str">
        <f>""</f>
        <v/>
      </c>
    </row>
    <row r="14319" spans="1:7" x14ac:dyDescent="0.25">
      <c r="A14319" t="s">
        <v>8</v>
      </c>
      <c r="B14319" s="1" t="str">
        <f>"000306831 - RICH FOODS-TOP GOLF"</f>
        <v>000306831 - RICH FOODS-TOP GOLF</v>
      </c>
      <c r="C14319" t="s">
        <v>203</v>
      </c>
      <c r="D14319" s="1" t="str">
        <f t="shared" si="395"/>
        <v>PRG-1042630</v>
      </c>
      <c r="E14319" t="s">
        <v>204</v>
      </c>
      <c r="F14319" t="s">
        <v>4</v>
      </c>
      <c r="G14319" t="str">
        <f>""</f>
        <v/>
      </c>
    </row>
    <row r="14320" spans="1:7" x14ac:dyDescent="0.25">
      <c r="A14320" t="s">
        <v>8</v>
      </c>
      <c r="B14320" s="1" t="str">
        <f>"000311105 - RICH FOODS-TOP GOLF"</f>
        <v>000311105 - RICH FOODS-TOP GOLF</v>
      </c>
      <c r="C14320" t="s">
        <v>203</v>
      </c>
      <c r="D14320" s="1" t="str">
        <f t="shared" si="395"/>
        <v>PRG-1042630</v>
      </c>
      <c r="E14320" t="s">
        <v>204</v>
      </c>
      <c r="F14320" t="s">
        <v>4</v>
      </c>
      <c r="G14320" t="str">
        <f>""</f>
        <v/>
      </c>
    </row>
    <row r="14321" spans="1:7" x14ac:dyDescent="0.25">
      <c r="A14321" t="s">
        <v>8</v>
      </c>
      <c r="B14321" s="1" t="str">
        <f>"000311661 - RICH FOODS-TOP GOLF"</f>
        <v>000311661 - RICH FOODS-TOP GOLF</v>
      </c>
      <c r="C14321" t="s">
        <v>203</v>
      </c>
      <c r="D14321" s="1" t="str">
        <f t="shared" si="395"/>
        <v>PRG-1042630</v>
      </c>
      <c r="E14321" t="s">
        <v>204</v>
      </c>
      <c r="F14321" t="s">
        <v>4</v>
      </c>
      <c r="G14321" t="str">
        <f>""</f>
        <v/>
      </c>
    </row>
    <row r="14322" spans="1:7" x14ac:dyDescent="0.25">
      <c r="A14322" t="s">
        <v>8</v>
      </c>
      <c r="B14322" s="1" t="str">
        <f>"000330020 - RICH FOODS-TOP GOLF"</f>
        <v>000330020 - RICH FOODS-TOP GOLF</v>
      </c>
      <c r="C14322" t="s">
        <v>203</v>
      </c>
      <c r="D14322" s="1" t="str">
        <f t="shared" si="395"/>
        <v>PRG-1042630</v>
      </c>
      <c r="E14322" t="s">
        <v>204</v>
      </c>
      <c r="F14322" t="s">
        <v>4</v>
      </c>
      <c r="G14322" t="str">
        <f>""</f>
        <v/>
      </c>
    </row>
    <row r="14323" spans="1:7" x14ac:dyDescent="0.25">
      <c r="A14323" t="s">
        <v>8</v>
      </c>
      <c r="B14323" s="1" t="str">
        <f>"000335256 - RICH FOODS-TOP GOLF"</f>
        <v>000335256 - RICH FOODS-TOP GOLF</v>
      </c>
      <c r="C14323" t="s">
        <v>203</v>
      </c>
      <c r="D14323" s="1" t="str">
        <f t="shared" si="395"/>
        <v>PRG-1042630</v>
      </c>
      <c r="E14323" t="s">
        <v>204</v>
      </c>
      <c r="F14323" t="s">
        <v>4</v>
      </c>
      <c r="G14323" t="str">
        <f>""</f>
        <v/>
      </c>
    </row>
    <row r="14324" spans="1:7" x14ac:dyDescent="0.25">
      <c r="A14324" t="s">
        <v>8</v>
      </c>
      <c r="B14324" s="1" t="str">
        <f>"000340255 - "</f>
        <v xml:space="preserve">000340255 - </v>
      </c>
      <c r="D14324" s="1" t="str">
        <f t="shared" si="395"/>
        <v>PRG-1042630</v>
      </c>
      <c r="E14324" t="s">
        <v>204</v>
      </c>
      <c r="F14324" t="s">
        <v>4</v>
      </c>
      <c r="G14324" t="str">
        <f>""</f>
        <v/>
      </c>
    </row>
    <row r="14325" spans="1:7" x14ac:dyDescent="0.25">
      <c r="A14325" t="s">
        <v>8</v>
      </c>
      <c r="B14325" s="1" t="str">
        <f>"000344945 - RICH FOODS-TOP GOLF"</f>
        <v>000344945 - RICH FOODS-TOP GOLF</v>
      </c>
      <c r="C14325" t="s">
        <v>203</v>
      </c>
      <c r="D14325" s="1" t="str">
        <f t="shared" si="395"/>
        <v>PRG-1042630</v>
      </c>
      <c r="E14325" t="s">
        <v>204</v>
      </c>
      <c r="F14325" t="s">
        <v>4</v>
      </c>
      <c r="G14325" t="str">
        <f>""</f>
        <v/>
      </c>
    </row>
    <row r="14326" spans="1:7" x14ac:dyDescent="0.25">
      <c r="A14326" t="s">
        <v>8</v>
      </c>
      <c r="B14326" s="1" t="str">
        <f>"000366447 - RICH FOODS-TOP GOLF"</f>
        <v>000366447 - RICH FOODS-TOP GOLF</v>
      </c>
      <c r="C14326" t="s">
        <v>203</v>
      </c>
      <c r="D14326" s="1" t="str">
        <f t="shared" si="395"/>
        <v>PRG-1042630</v>
      </c>
      <c r="E14326" t="s">
        <v>204</v>
      </c>
      <c r="F14326" t="s">
        <v>4</v>
      </c>
      <c r="G14326" t="str">
        <f>""</f>
        <v/>
      </c>
    </row>
    <row r="14327" spans="1:7" x14ac:dyDescent="0.25">
      <c r="A14327" t="s">
        <v>8</v>
      </c>
      <c r="B14327" s="1" t="str">
        <f>"000367608 - RICH FOODS-TOP GOLF"</f>
        <v>000367608 - RICH FOODS-TOP GOLF</v>
      </c>
      <c r="C14327" t="s">
        <v>203</v>
      </c>
      <c r="D14327" s="1" t="str">
        <f t="shared" si="395"/>
        <v>PRG-1042630</v>
      </c>
      <c r="E14327" t="s">
        <v>204</v>
      </c>
      <c r="F14327" t="s">
        <v>4</v>
      </c>
      <c r="G14327" t="str">
        <f>""</f>
        <v/>
      </c>
    </row>
    <row r="14328" spans="1:7" x14ac:dyDescent="0.25">
      <c r="A14328" t="s">
        <v>8</v>
      </c>
      <c r="B14328" s="1" t="str">
        <f>"000373198 - RICH FOODS-TOP GOLF"</f>
        <v>000373198 - RICH FOODS-TOP GOLF</v>
      </c>
      <c r="C14328" t="s">
        <v>203</v>
      </c>
      <c r="D14328" s="1" t="str">
        <f t="shared" si="395"/>
        <v>PRG-1042630</v>
      </c>
      <c r="E14328" t="s">
        <v>204</v>
      </c>
      <c r="F14328" t="s">
        <v>4</v>
      </c>
      <c r="G14328" t="str">
        <f>""</f>
        <v/>
      </c>
    </row>
    <row r="14329" spans="1:7" x14ac:dyDescent="0.25">
      <c r="A14329" t="s">
        <v>8</v>
      </c>
      <c r="B14329" s="1" t="str">
        <f>"000373726 - RICH FOODS-TOP GOLF"</f>
        <v>000373726 - RICH FOODS-TOP GOLF</v>
      </c>
      <c r="C14329" t="s">
        <v>203</v>
      </c>
      <c r="D14329" s="1" t="str">
        <f t="shared" si="395"/>
        <v>PRG-1042630</v>
      </c>
      <c r="E14329" t="s">
        <v>204</v>
      </c>
      <c r="F14329" t="s">
        <v>4</v>
      </c>
      <c r="G14329" t="str">
        <f>""</f>
        <v/>
      </c>
    </row>
    <row r="14330" spans="1:7" x14ac:dyDescent="0.25">
      <c r="A14330" t="s">
        <v>8</v>
      </c>
      <c r="B14330" s="1" t="str">
        <f>"000374143 - RICH FOODS-TOP GOLF"</f>
        <v>000374143 - RICH FOODS-TOP GOLF</v>
      </c>
      <c r="C14330" t="s">
        <v>203</v>
      </c>
      <c r="D14330" s="1" t="str">
        <f t="shared" si="395"/>
        <v>PRG-1042630</v>
      </c>
      <c r="E14330" t="s">
        <v>204</v>
      </c>
      <c r="F14330" t="s">
        <v>4</v>
      </c>
      <c r="G14330" t="str">
        <f>""</f>
        <v/>
      </c>
    </row>
    <row r="14331" spans="1:7" x14ac:dyDescent="0.25">
      <c r="A14331" t="s">
        <v>8</v>
      </c>
      <c r="B14331" s="1" t="str">
        <f>"000382035 - RICH FOODS-TOP GOLF"</f>
        <v>000382035 - RICH FOODS-TOP GOLF</v>
      </c>
      <c r="C14331" t="s">
        <v>203</v>
      </c>
      <c r="D14331" s="1" t="str">
        <f t="shared" si="395"/>
        <v>PRG-1042630</v>
      </c>
      <c r="E14331" t="s">
        <v>204</v>
      </c>
      <c r="F14331" t="s">
        <v>4</v>
      </c>
      <c r="G14331" t="str">
        <f>""</f>
        <v/>
      </c>
    </row>
    <row r="14332" spans="1:7" x14ac:dyDescent="0.25">
      <c r="A14332" t="s">
        <v>8</v>
      </c>
      <c r="B14332" s="1" t="str">
        <f>"000384707 - RICH FOODS-TOP GOLF"</f>
        <v>000384707 - RICH FOODS-TOP GOLF</v>
      </c>
      <c r="C14332" t="s">
        <v>203</v>
      </c>
      <c r="D14332" s="1" t="str">
        <f t="shared" si="395"/>
        <v>PRG-1042630</v>
      </c>
      <c r="E14332" t="s">
        <v>204</v>
      </c>
      <c r="F14332" t="s">
        <v>4</v>
      </c>
      <c r="G14332" t="str">
        <f>""</f>
        <v/>
      </c>
    </row>
    <row r="14333" spans="1:7" x14ac:dyDescent="0.25">
      <c r="A14333" t="s">
        <v>8</v>
      </c>
      <c r="B14333" s="1" t="str">
        <f>"000392190 - RICH FOODS-TOP GOLF"</f>
        <v>000392190 - RICH FOODS-TOP GOLF</v>
      </c>
      <c r="C14333" t="s">
        <v>203</v>
      </c>
      <c r="D14333" s="1" t="str">
        <f t="shared" si="395"/>
        <v>PRG-1042630</v>
      </c>
      <c r="E14333" t="s">
        <v>204</v>
      </c>
      <c r="F14333" t="s">
        <v>4</v>
      </c>
      <c r="G14333" t="str">
        <f>""</f>
        <v/>
      </c>
    </row>
    <row r="14334" spans="1:7" x14ac:dyDescent="0.25">
      <c r="A14334" t="s">
        <v>8</v>
      </c>
      <c r="B14334" s="1" t="str">
        <f>"000398528 - RICH FOODS-TOP GOLF"</f>
        <v>000398528 - RICH FOODS-TOP GOLF</v>
      </c>
      <c r="C14334" t="s">
        <v>203</v>
      </c>
      <c r="D14334" s="1" t="str">
        <f t="shared" si="395"/>
        <v>PRG-1042630</v>
      </c>
      <c r="E14334" t="s">
        <v>204</v>
      </c>
      <c r="F14334" t="s">
        <v>4</v>
      </c>
      <c r="G14334" t="str">
        <f>""</f>
        <v/>
      </c>
    </row>
    <row r="14335" spans="1:7" x14ac:dyDescent="0.25">
      <c r="A14335" t="s">
        <v>8</v>
      </c>
      <c r="B14335" s="1" t="str">
        <f>"000399745 - RICH FOODS-TOP GOLF"</f>
        <v>000399745 - RICH FOODS-TOP GOLF</v>
      </c>
      <c r="C14335" t="s">
        <v>203</v>
      </c>
      <c r="D14335" s="1" t="str">
        <f t="shared" si="395"/>
        <v>PRG-1042630</v>
      </c>
      <c r="E14335" t="s">
        <v>204</v>
      </c>
      <c r="F14335" t="s">
        <v>4</v>
      </c>
      <c r="G14335" t="str">
        <f>""</f>
        <v/>
      </c>
    </row>
    <row r="14336" spans="1:7" x14ac:dyDescent="0.25">
      <c r="A14336" t="s">
        <v>8</v>
      </c>
      <c r="B14336" s="1" t="str">
        <f>"000026552 - RICH'S-COUNTRY KITCHEN"</f>
        <v>000026552 - RICH'S-COUNTRY KITCHEN</v>
      </c>
      <c r="C14336" t="s">
        <v>212</v>
      </c>
      <c r="D14336" s="1" t="str">
        <f>"PRG-1042633"</f>
        <v>PRG-1042633</v>
      </c>
      <c r="E14336" t="s">
        <v>450</v>
      </c>
      <c r="F14336" t="s">
        <v>4</v>
      </c>
      <c r="G14336" t="str">
        <f>""</f>
        <v/>
      </c>
    </row>
    <row r="14337" spans="1:7" x14ac:dyDescent="0.25">
      <c r="A14337" t="s">
        <v>8</v>
      </c>
      <c r="B14337" s="1" t="str">
        <f>"000031886 - RICH'S-COUNTRY KITCHEN"</f>
        <v>000031886 - RICH'S-COUNTRY KITCHEN</v>
      </c>
      <c r="C14337" t="s">
        <v>212</v>
      </c>
      <c r="D14337" s="1" t="str">
        <f>"PRG-1042633"</f>
        <v>PRG-1042633</v>
      </c>
      <c r="E14337" t="s">
        <v>450</v>
      </c>
      <c r="F14337" t="s">
        <v>4</v>
      </c>
      <c r="G14337" t="str">
        <f>""</f>
        <v/>
      </c>
    </row>
    <row r="14338" spans="1:7" x14ac:dyDescent="0.25">
      <c r="A14338" t="s">
        <v>8</v>
      </c>
      <c r="B14338" s="1" t="str">
        <f>"000074723 - RICH'S-COUNTRY KITCHEN"</f>
        <v>000074723 - RICH'S-COUNTRY KITCHEN</v>
      </c>
      <c r="C14338" t="s">
        <v>212</v>
      </c>
      <c r="D14338" s="1" t="str">
        <f>"PRG-1042633"</f>
        <v>PRG-1042633</v>
      </c>
      <c r="E14338" t="s">
        <v>450</v>
      </c>
      <c r="F14338" t="s">
        <v>4</v>
      </c>
      <c r="G14338" t="str">
        <f>""</f>
        <v/>
      </c>
    </row>
    <row r="14339" spans="1:7" x14ac:dyDescent="0.25">
      <c r="A14339" t="s">
        <v>8</v>
      </c>
      <c r="B14339" s="1" t="str">
        <f>"000426411 - RICH'S-COUNTRY KITCHEN"</f>
        <v>000426411 - RICH'S-COUNTRY KITCHEN</v>
      </c>
      <c r="C14339" t="s">
        <v>212</v>
      </c>
      <c r="D14339" s="1" t="str">
        <f>"PRG-1042633"</f>
        <v>PRG-1042633</v>
      </c>
      <c r="E14339" t="s">
        <v>450</v>
      </c>
      <c r="F14339" t="s">
        <v>4</v>
      </c>
      <c r="G14339" t="str">
        <f>""</f>
        <v/>
      </c>
    </row>
    <row r="14340" spans="1:7" x14ac:dyDescent="0.25">
      <c r="A14340" t="s">
        <v>8</v>
      </c>
      <c r="B14340" s="1" t="str">
        <f>"000349922 - RICH'S SKY ZONE B B"</f>
        <v>000349922 - RICH'S SKY ZONE B B</v>
      </c>
      <c r="C14340" t="s">
        <v>3334</v>
      </c>
      <c r="D14340" s="1" t="str">
        <f>"PRG-1042635"</f>
        <v>PRG-1042635</v>
      </c>
      <c r="E14340" t="s">
        <v>3501</v>
      </c>
      <c r="F14340" t="s">
        <v>4</v>
      </c>
      <c r="G14340" t="str">
        <f>""</f>
        <v/>
      </c>
    </row>
    <row r="14341" spans="1:7" x14ac:dyDescent="0.25">
      <c r="A14341" t="s">
        <v>8</v>
      </c>
      <c r="B14341" s="1" t="str">
        <f>"000301031 - RICH FOODS-GRANITE CITY"</f>
        <v>000301031 - RICH FOODS-GRANITE CITY</v>
      </c>
      <c r="C14341" t="s">
        <v>820</v>
      </c>
      <c r="D14341" s="1" t="str">
        <f>"PRG-1042642"</f>
        <v>PRG-1042642</v>
      </c>
      <c r="E14341" t="s">
        <v>846</v>
      </c>
      <c r="F14341" t="s">
        <v>4</v>
      </c>
      <c r="G14341" t="str">
        <f>""</f>
        <v/>
      </c>
    </row>
    <row r="14342" spans="1:7" x14ac:dyDescent="0.25">
      <c r="A14342" t="s">
        <v>8</v>
      </c>
      <c r="B14342" s="1" t="str">
        <f>"000278974 - RICHS-POKY DOT"</f>
        <v>000278974 - RICHS-POKY DOT</v>
      </c>
      <c r="C14342" t="s">
        <v>2613</v>
      </c>
      <c r="D14342" s="1" t="str">
        <f>"PRG-1042644"</f>
        <v>PRG-1042644</v>
      </c>
      <c r="E14342" t="s">
        <v>2614</v>
      </c>
      <c r="F14342" t="s">
        <v>4</v>
      </c>
      <c r="G14342" t="str">
        <f>""</f>
        <v/>
      </c>
    </row>
    <row r="14343" spans="1:7" x14ac:dyDescent="0.25">
      <c r="A14343" t="s">
        <v>8</v>
      </c>
      <c r="B14343" s="1" t="str">
        <f>"000369653 - OCEAN CITY BREWING RICHS"</f>
        <v>000369653 - OCEAN CITY BREWING RICHS</v>
      </c>
      <c r="C14343" t="s">
        <v>3622</v>
      </c>
      <c r="D14343" s="1" t="str">
        <f>"PRG-1042659"</f>
        <v>PRG-1042659</v>
      </c>
      <c r="E14343" t="s">
        <v>2584</v>
      </c>
      <c r="F14343" t="s">
        <v>4</v>
      </c>
      <c r="G14343" t="str">
        <f>""</f>
        <v/>
      </c>
    </row>
    <row r="14344" spans="1:7" x14ac:dyDescent="0.25">
      <c r="A14344" t="s">
        <v>8</v>
      </c>
      <c r="B14344" s="1" t="str">
        <f>"000040610 - RICH'S PISA PIZZA"</f>
        <v>000040610 - RICH'S PISA PIZZA</v>
      </c>
      <c r="C14344" t="s">
        <v>382</v>
      </c>
      <c r="D14344" s="1" t="str">
        <f>"PRG-1042671"</f>
        <v>PRG-1042671</v>
      </c>
      <c r="E14344" t="s">
        <v>383</v>
      </c>
      <c r="F14344" t="s">
        <v>4</v>
      </c>
      <c r="G14344" t="str">
        <f>""</f>
        <v/>
      </c>
    </row>
    <row r="14345" spans="1:7" x14ac:dyDescent="0.25">
      <c r="A14345" t="s">
        <v>8</v>
      </c>
      <c r="B14345" s="1" t="str">
        <f>"000028135 - RICH FOODS-LANDRYS BAPA LOGIC"</f>
        <v>000028135 - RICH FOODS-LANDRYS BAPA LOGIC</v>
      </c>
      <c r="C14345" t="s">
        <v>260</v>
      </c>
      <c r="D14345" s="1" t="str">
        <f t="shared" ref="D14345:D14369" si="396">"PRG-1042685"</f>
        <v>PRG-1042685</v>
      </c>
      <c r="E14345" t="s">
        <v>199</v>
      </c>
      <c r="F14345" t="s">
        <v>4</v>
      </c>
      <c r="G14345" t="str">
        <f>""</f>
        <v/>
      </c>
    </row>
    <row r="14346" spans="1:7" x14ac:dyDescent="0.25">
      <c r="A14346" t="s">
        <v>8</v>
      </c>
      <c r="B14346" s="1" t="str">
        <f>"000031721 - RICH FOODS-LANDRYS BAPA LOGIC"</f>
        <v>000031721 - RICH FOODS-LANDRYS BAPA LOGIC</v>
      </c>
      <c r="C14346" t="s">
        <v>260</v>
      </c>
      <c r="D14346" s="1" t="str">
        <f t="shared" si="396"/>
        <v>PRG-1042685</v>
      </c>
      <c r="E14346" t="s">
        <v>199</v>
      </c>
      <c r="F14346" t="s">
        <v>4</v>
      </c>
      <c r="G14346" t="str">
        <f>""</f>
        <v/>
      </c>
    </row>
    <row r="14347" spans="1:7" x14ac:dyDescent="0.25">
      <c r="A14347" t="s">
        <v>8</v>
      </c>
      <c r="B14347" s="1" t="str">
        <f>"000034326 - RICH FOODS-LANDRYS BAPA LOGIC"</f>
        <v>000034326 - RICH FOODS-LANDRYS BAPA LOGIC</v>
      </c>
      <c r="C14347" t="s">
        <v>260</v>
      </c>
      <c r="D14347" s="1" t="str">
        <f t="shared" si="396"/>
        <v>PRG-1042685</v>
      </c>
      <c r="E14347" t="s">
        <v>199</v>
      </c>
      <c r="F14347" t="s">
        <v>4</v>
      </c>
      <c r="G14347" t="str">
        <f>""</f>
        <v/>
      </c>
    </row>
    <row r="14348" spans="1:7" x14ac:dyDescent="0.25">
      <c r="A14348" t="s">
        <v>8</v>
      </c>
      <c r="B14348" s="1" t="str">
        <f>"000039810 - RICH FOODS-LANDRYS BAPA LOGIC"</f>
        <v>000039810 - RICH FOODS-LANDRYS BAPA LOGIC</v>
      </c>
      <c r="C14348" t="s">
        <v>260</v>
      </c>
      <c r="D14348" s="1" t="str">
        <f t="shared" si="396"/>
        <v>PRG-1042685</v>
      </c>
      <c r="E14348" t="s">
        <v>199</v>
      </c>
      <c r="F14348" t="s">
        <v>4</v>
      </c>
      <c r="G14348" t="str">
        <f>""</f>
        <v/>
      </c>
    </row>
    <row r="14349" spans="1:7" x14ac:dyDescent="0.25">
      <c r="A14349" t="s">
        <v>8</v>
      </c>
      <c r="B14349" s="1" t="str">
        <f>"000095395 - RICH FOODS-LANDRYS BAPA LOGIC"</f>
        <v>000095395 - RICH FOODS-LANDRYS BAPA LOGIC</v>
      </c>
      <c r="C14349" t="s">
        <v>260</v>
      </c>
      <c r="D14349" s="1" t="str">
        <f t="shared" si="396"/>
        <v>PRG-1042685</v>
      </c>
      <c r="E14349" t="s">
        <v>199</v>
      </c>
      <c r="F14349" t="s">
        <v>4</v>
      </c>
      <c r="G14349" t="str">
        <f>""</f>
        <v/>
      </c>
    </row>
    <row r="14350" spans="1:7" x14ac:dyDescent="0.25">
      <c r="A14350" t="s">
        <v>8</v>
      </c>
      <c r="B14350" s="1" t="str">
        <f>"000149914 - RICH FOODS-LANDRYS BAPA LOGIC"</f>
        <v>000149914 - RICH FOODS-LANDRYS BAPA LOGIC</v>
      </c>
      <c r="C14350" t="s">
        <v>260</v>
      </c>
      <c r="D14350" s="1" t="str">
        <f t="shared" si="396"/>
        <v>PRG-1042685</v>
      </c>
      <c r="E14350" t="s">
        <v>199</v>
      </c>
      <c r="F14350" t="s">
        <v>4</v>
      </c>
      <c r="G14350" t="str">
        <f>""</f>
        <v/>
      </c>
    </row>
    <row r="14351" spans="1:7" x14ac:dyDescent="0.25">
      <c r="A14351" t="s">
        <v>8</v>
      </c>
      <c r="B14351" s="1" t="str">
        <f>"000249816 - RICH FOODS-LANDRYS BAPA LOGIC"</f>
        <v>000249816 - RICH FOODS-LANDRYS BAPA LOGIC</v>
      </c>
      <c r="C14351" t="s">
        <v>260</v>
      </c>
      <c r="D14351" s="1" t="str">
        <f t="shared" si="396"/>
        <v>PRG-1042685</v>
      </c>
      <c r="E14351" t="s">
        <v>199</v>
      </c>
      <c r="F14351" t="s">
        <v>4</v>
      </c>
      <c r="G14351" t="str">
        <f>""</f>
        <v/>
      </c>
    </row>
    <row r="14352" spans="1:7" x14ac:dyDescent="0.25">
      <c r="A14352" t="s">
        <v>8</v>
      </c>
      <c r="B14352" s="1" t="str">
        <f>"000265919 - RICH FOODS-LANDRYS BAPA LOGIC"</f>
        <v>000265919 - RICH FOODS-LANDRYS BAPA LOGIC</v>
      </c>
      <c r="C14352" t="s">
        <v>260</v>
      </c>
      <c r="D14352" s="1" t="str">
        <f t="shared" si="396"/>
        <v>PRG-1042685</v>
      </c>
      <c r="E14352" t="s">
        <v>199</v>
      </c>
      <c r="F14352" t="s">
        <v>4</v>
      </c>
      <c r="G14352" t="str">
        <f>""</f>
        <v/>
      </c>
    </row>
    <row r="14353" spans="1:7" x14ac:dyDescent="0.25">
      <c r="A14353" t="s">
        <v>8</v>
      </c>
      <c r="B14353" s="1" t="str">
        <f>"000266163 - BB LANDRYS FOB RICH"</f>
        <v>000266163 - BB LANDRYS FOB RICH</v>
      </c>
      <c r="C14353" t="s">
        <v>1216</v>
      </c>
      <c r="D14353" s="1" t="str">
        <f t="shared" si="396"/>
        <v>PRG-1042685</v>
      </c>
      <c r="E14353" t="s">
        <v>199</v>
      </c>
      <c r="F14353" t="s">
        <v>4</v>
      </c>
      <c r="G14353" t="str">
        <f>""</f>
        <v/>
      </c>
    </row>
    <row r="14354" spans="1:7" x14ac:dyDescent="0.25">
      <c r="A14354" t="s">
        <v>8</v>
      </c>
      <c r="B14354" s="1" t="str">
        <f>"000276959 - RICH FOODS-LANDRYS BAPA LOGIC"</f>
        <v>000276959 - RICH FOODS-LANDRYS BAPA LOGIC</v>
      </c>
      <c r="C14354" t="s">
        <v>260</v>
      </c>
      <c r="D14354" s="1" t="str">
        <f t="shared" si="396"/>
        <v>PRG-1042685</v>
      </c>
      <c r="E14354" t="s">
        <v>199</v>
      </c>
      <c r="F14354" t="s">
        <v>4</v>
      </c>
      <c r="G14354" t="str">
        <f>""</f>
        <v/>
      </c>
    </row>
    <row r="14355" spans="1:7" x14ac:dyDescent="0.25">
      <c r="A14355" t="s">
        <v>8</v>
      </c>
      <c r="B14355" s="1" t="str">
        <f>"000277261 - RICH FOODS-LANDRYS BAPA LOGIC"</f>
        <v>000277261 - RICH FOODS-LANDRYS BAPA LOGIC</v>
      </c>
      <c r="C14355" t="s">
        <v>260</v>
      </c>
      <c r="D14355" s="1" t="str">
        <f t="shared" si="396"/>
        <v>PRG-1042685</v>
      </c>
      <c r="E14355" t="s">
        <v>199</v>
      </c>
      <c r="F14355" t="s">
        <v>4</v>
      </c>
      <c r="G14355" t="str">
        <f>""</f>
        <v/>
      </c>
    </row>
    <row r="14356" spans="1:7" x14ac:dyDescent="0.25">
      <c r="A14356" t="s">
        <v>8</v>
      </c>
      <c r="B14356" s="1" t="str">
        <f>"000284638 - RICH FOODS-LANDRYS BAPA LOGIC"</f>
        <v>000284638 - RICH FOODS-LANDRYS BAPA LOGIC</v>
      </c>
      <c r="C14356" t="s">
        <v>260</v>
      </c>
      <c r="D14356" s="1" t="str">
        <f t="shared" si="396"/>
        <v>PRG-1042685</v>
      </c>
      <c r="E14356" t="s">
        <v>199</v>
      </c>
      <c r="F14356" t="s">
        <v>4</v>
      </c>
      <c r="G14356" t="str">
        <f>""</f>
        <v/>
      </c>
    </row>
    <row r="14357" spans="1:7" x14ac:dyDescent="0.25">
      <c r="A14357" t="s">
        <v>8</v>
      </c>
      <c r="B14357" s="1" t="str">
        <f>"000302577 - RICH FOODS-LANDRYS BAPA LOGIC"</f>
        <v>000302577 - RICH FOODS-LANDRYS BAPA LOGIC</v>
      </c>
      <c r="C14357" t="s">
        <v>260</v>
      </c>
      <c r="D14357" s="1" t="str">
        <f t="shared" si="396"/>
        <v>PRG-1042685</v>
      </c>
      <c r="E14357" t="s">
        <v>199</v>
      </c>
      <c r="F14357" t="s">
        <v>4</v>
      </c>
      <c r="G14357" t="str">
        <f>""</f>
        <v/>
      </c>
    </row>
    <row r="14358" spans="1:7" x14ac:dyDescent="0.25">
      <c r="A14358" t="s">
        <v>8</v>
      </c>
      <c r="B14358" s="1" t="str">
        <f>"000334783 - RICH FOODS-LANDRYS BAPA LOGIC"</f>
        <v>000334783 - RICH FOODS-LANDRYS BAPA LOGIC</v>
      </c>
      <c r="C14358" t="s">
        <v>260</v>
      </c>
      <c r="D14358" s="1" t="str">
        <f t="shared" si="396"/>
        <v>PRG-1042685</v>
      </c>
      <c r="E14358" t="s">
        <v>199</v>
      </c>
      <c r="F14358" t="s">
        <v>4</v>
      </c>
      <c r="G14358" t="str">
        <f>""</f>
        <v/>
      </c>
    </row>
    <row r="14359" spans="1:7" x14ac:dyDescent="0.25">
      <c r="A14359" t="s">
        <v>8</v>
      </c>
      <c r="B14359" s="1" t="str">
        <f>"000347867 - RICH FOODS-LANDRYS BAPA LOGIC"</f>
        <v>000347867 - RICH FOODS-LANDRYS BAPA LOGIC</v>
      </c>
      <c r="C14359" t="s">
        <v>260</v>
      </c>
      <c r="D14359" s="1" t="str">
        <f t="shared" si="396"/>
        <v>PRG-1042685</v>
      </c>
      <c r="E14359" t="s">
        <v>199</v>
      </c>
      <c r="F14359" t="s">
        <v>4</v>
      </c>
      <c r="G14359" t="str">
        <f>""</f>
        <v/>
      </c>
    </row>
    <row r="14360" spans="1:7" x14ac:dyDescent="0.25">
      <c r="A14360" t="s">
        <v>8</v>
      </c>
      <c r="B14360" s="1" t="str">
        <f>"000360832 - RICH FOODS-LANDRYS BAPA LOGIC"</f>
        <v>000360832 - RICH FOODS-LANDRYS BAPA LOGIC</v>
      </c>
      <c r="C14360" t="s">
        <v>260</v>
      </c>
      <c r="D14360" s="1" t="str">
        <f t="shared" si="396"/>
        <v>PRG-1042685</v>
      </c>
      <c r="E14360" t="s">
        <v>199</v>
      </c>
      <c r="F14360" t="s">
        <v>4</v>
      </c>
      <c r="G14360" t="str">
        <f>""</f>
        <v/>
      </c>
    </row>
    <row r="14361" spans="1:7" x14ac:dyDescent="0.25">
      <c r="A14361" t="s">
        <v>8</v>
      </c>
      <c r="B14361" s="1" t="str">
        <f>"000363077 - RICH FOODS-LANDRYS BAPA LOGIC"</f>
        <v>000363077 - RICH FOODS-LANDRYS BAPA LOGIC</v>
      </c>
      <c r="C14361" t="s">
        <v>260</v>
      </c>
      <c r="D14361" s="1" t="str">
        <f t="shared" si="396"/>
        <v>PRG-1042685</v>
      </c>
      <c r="E14361" t="s">
        <v>199</v>
      </c>
      <c r="F14361" t="s">
        <v>4</v>
      </c>
      <c r="G14361" t="str">
        <f>""</f>
        <v/>
      </c>
    </row>
    <row r="14362" spans="1:7" x14ac:dyDescent="0.25">
      <c r="A14362" t="s">
        <v>8</v>
      </c>
      <c r="B14362" s="1" t="str">
        <f>"000368362 - RICH FOODS-LANDRYS BAPA LOGIC"</f>
        <v>000368362 - RICH FOODS-LANDRYS BAPA LOGIC</v>
      </c>
      <c r="C14362" t="s">
        <v>260</v>
      </c>
      <c r="D14362" s="1" t="str">
        <f t="shared" si="396"/>
        <v>PRG-1042685</v>
      </c>
      <c r="E14362" t="s">
        <v>199</v>
      </c>
      <c r="F14362" t="s">
        <v>4</v>
      </c>
      <c r="G14362" t="str">
        <f>""</f>
        <v/>
      </c>
    </row>
    <row r="14363" spans="1:7" x14ac:dyDescent="0.25">
      <c r="A14363" t="s">
        <v>8</v>
      </c>
      <c r="B14363" s="1" t="str">
        <f>"000371485 - RICH FOODS-LANDRYS BAPA LOGIC"</f>
        <v>000371485 - RICH FOODS-LANDRYS BAPA LOGIC</v>
      </c>
      <c r="C14363" t="s">
        <v>260</v>
      </c>
      <c r="D14363" s="1" t="str">
        <f t="shared" si="396"/>
        <v>PRG-1042685</v>
      </c>
      <c r="E14363" t="s">
        <v>199</v>
      </c>
      <c r="F14363" t="s">
        <v>4</v>
      </c>
      <c r="G14363" t="str">
        <f>""</f>
        <v/>
      </c>
    </row>
    <row r="14364" spans="1:7" x14ac:dyDescent="0.25">
      <c r="A14364" t="s">
        <v>8</v>
      </c>
      <c r="B14364" s="1" t="str">
        <f>"000372264 - RICH FOODS-LANDRYS BAPA LOGIC"</f>
        <v>000372264 - RICH FOODS-LANDRYS BAPA LOGIC</v>
      </c>
      <c r="C14364" t="s">
        <v>260</v>
      </c>
      <c r="D14364" s="1" t="str">
        <f t="shared" si="396"/>
        <v>PRG-1042685</v>
      </c>
      <c r="E14364" t="s">
        <v>199</v>
      </c>
      <c r="F14364" t="s">
        <v>4</v>
      </c>
      <c r="G14364" t="str">
        <f>""</f>
        <v/>
      </c>
    </row>
    <row r="14365" spans="1:7" x14ac:dyDescent="0.25">
      <c r="A14365" t="s">
        <v>8</v>
      </c>
      <c r="B14365" s="1" t="str">
        <f>"000378526 - RICH FOODS-LANDRYS BAPA LOGIC"</f>
        <v>000378526 - RICH FOODS-LANDRYS BAPA LOGIC</v>
      </c>
      <c r="C14365" t="s">
        <v>260</v>
      </c>
      <c r="D14365" s="1" t="str">
        <f t="shared" si="396"/>
        <v>PRG-1042685</v>
      </c>
      <c r="E14365" t="s">
        <v>199</v>
      </c>
      <c r="F14365" t="s">
        <v>4</v>
      </c>
      <c r="G14365" t="str">
        <f>""</f>
        <v/>
      </c>
    </row>
    <row r="14366" spans="1:7" x14ac:dyDescent="0.25">
      <c r="A14366" t="s">
        <v>8</v>
      </c>
      <c r="B14366" s="1" t="str">
        <f>"000379551 - RICH FOODS-LANDRYS BAPA LOGIC"</f>
        <v>000379551 - RICH FOODS-LANDRYS BAPA LOGIC</v>
      </c>
      <c r="C14366" t="s">
        <v>260</v>
      </c>
      <c r="D14366" s="1" t="str">
        <f t="shared" si="396"/>
        <v>PRG-1042685</v>
      </c>
      <c r="E14366" t="s">
        <v>199</v>
      </c>
      <c r="F14366" t="s">
        <v>4</v>
      </c>
      <c r="G14366" t="str">
        <f>""</f>
        <v/>
      </c>
    </row>
    <row r="14367" spans="1:7" x14ac:dyDescent="0.25">
      <c r="A14367" t="s">
        <v>8</v>
      </c>
      <c r="B14367" s="1" t="str">
        <f>"000386501 - RICH FOODS-LANDRYS BAPA LOGIC"</f>
        <v>000386501 - RICH FOODS-LANDRYS BAPA LOGIC</v>
      </c>
      <c r="C14367" t="s">
        <v>260</v>
      </c>
      <c r="D14367" s="1" t="str">
        <f t="shared" si="396"/>
        <v>PRG-1042685</v>
      </c>
      <c r="E14367" t="s">
        <v>199</v>
      </c>
      <c r="F14367" t="s">
        <v>4</v>
      </c>
      <c r="G14367" t="str">
        <f>""</f>
        <v/>
      </c>
    </row>
    <row r="14368" spans="1:7" x14ac:dyDescent="0.25">
      <c r="A14368" t="s">
        <v>8</v>
      </c>
      <c r="B14368" s="1" t="str">
        <f>"000397992 - RICH FOODS-LANDRYS BAPA LOGIC"</f>
        <v>000397992 - RICH FOODS-LANDRYS BAPA LOGIC</v>
      </c>
      <c r="C14368" t="s">
        <v>260</v>
      </c>
      <c r="D14368" s="1" t="str">
        <f t="shared" si="396"/>
        <v>PRG-1042685</v>
      </c>
      <c r="E14368" t="s">
        <v>199</v>
      </c>
      <c r="F14368" t="s">
        <v>4</v>
      </c>
      <c r="G14368" t="str">
        <f>""</f>
        <v/>
      </c>
    </row>
    <row r="14369" spans="1:7" x14ac:dyDescent="0.25">
      <c r="A14369" t="s">
        <v>8</v>
      </c>
      <c r="B14369" s="1" t="str">
        <f>"000404962 - RICH FOODS-LANDRYS BAPA LOGIC"</f>
        <v>000404962 - RICH FOODS-LANDRYS BAPA LOGIC</v>
      </c>
      <c r="C14369" t="s">
        <v>260</v>
      </c>
      <c r="D14369" s="1" t="str">
        <f t="shared" si="396"/>
        <v>PRG-1042685</v>
      </c>
      <c r="E14369" t="s">
        <v>199</v>
      </c>
      <c r="F14369" t="s">
        <v>4</v>
      </c>
      <c r="G14369" t="str">
        <f>""</f>
        <v/>
      </c>
    </row>
    <row r="14370" spans="1:7" x14ac:dyDescent="0.25">
      <c r="A14370" t="s">
        <v>8</v>
      </c>
      <c r="B14370" s="1" t="str">
        <f>"000319406 - RICH'S ELDORADO HILLS"</f>
        <v>000319406 - RICH'S ELDORADO HILLS</v>
      </c>
      <c r="C14370" t="s">
        <v>3230</v>
      </c>
      <c r="D14370" s="1" t="str">
        <f>"PRG-1042687"</f>
        <v>PRG-1042687</v>
      </c>
      <c r="E14370" t="s">
        <v>2965</v>
      </c>
      <c r="F14370" t="s">
        <v>4</v>
      </c>
      <c r="G14370" t="str">
        <f>""</f>
        <v/>
      </c>
    </row>
    <row r="14371" spans="1:7" x14ac:dyDescent="0.25">
      <c r="A14371" t="s">
        <v>8</v>
      </c>
      <c r="B14371" s="1" t="str">
        <f>"S8E00FU0"</f>
        <v>S8E00FU0</v>
      </c>
      <c r="C14371" t="s">
        <v>6219</v>
      </c>
      <c r="D14371" s="1" t="str">
        <f>"PRG-1042692"</f>
        <v>PRG-1042692</v>
      </c>
      <c r="E14371" t="s">
        <v>6220</v>
      </c>
      <c r="F14371" t="s">
        <v>5</v>
      </c>
      <c r="G14371" t="str">
        <f>""</f>
        <v/>
      </c>
    </row>
    <row r="14372" spans="1:7" x14ac:dyDescent="0.25">
      <c r="A14372" t="s">
        <v>8</v>
      </c>
      <c r="B14372" s="1" t="str">
        <f>"10542701"</f>
        <v>10542701</v>
      </c>
      <c r="C14372" t="s">
        <v>3769</v>
      </c>
      <c r="D14372" s="1" t="str">
        <f>"PRG-1042695"</f>
        <v>PRG-1042695</v>
      </c>
      <c r="E14372" t="s">
        <v>3770</v>
      </c>
      <c r="F14372" t="s">
        <v>5</v>
      </c>
      <c r="G14372" t="str">
        <f>""</f>
        <v/>
      </c>
    </row>
    <row r="14373" spans="1:7" x14ac:dyDescent="0.25">
      <c r="A14373" t="s">
        <v>8</v>
      </c>
      <c r="B14373" s="1" t="str">
        <f>"000012722 - RICH FOODS-NUTRITION SYS"</f>
        <v>000012722 - RICH FOODS-NUTRITION SYS</v>
      </c>
      <c r="C14373" t="s">
        <v>337</v>
      </c>
      <c r="D14373" s="1" t="str">
        <f t="shared" ref="D14373:D14379" si="397">"PRG-1042700"</f>
        <v>PRG-1042700</v>
      </c>
      <c r="E14373" t="s">
        <v>325</v>
      </c>
      <c r="F14373" t="s">
        <v>4</v>
      </c>
      <c r="G14373" t="str">
        <f>""</f>
        <v/>
      </c>
    </row>
    <row r="14374" spans="1:7" x14ac:dyDescent="0.25">
      <c r="A14374" t="s">
        <v>8</v>
      </c>
      <c r="B14374" s="1" t="str">
        <f>"000183188 - RICH FOODS-NUTRITION"</f>
        <v>000183188 - RICH FOODS-NUTRITION</v>
      </c>
      <c r="C14374" t="s">
        <v>505</v>
      </c>
      <c r="D14374" s="1" t="str">
        <f t="shared" si="397"/>
        <v>PRG-1042700</v>
      </c>
      <c r="E14374" t="s">
        <v>325</v>
      </c>
      <c r="F14374" t="s">
        <v>4</v>
      </c>
      <c r="G14374" t="str">
        <f>""</f>
        <v/>
      </c>
    </row>
    <row r="14375" spans="1:7" x14ac:dyDescent="0.25">
      <c r="A14375" t="s">
        <v>8</v>
      </c>
      <c r="B14375" s="1" t="str">
        <f>"000245930 - RICH FOODS-NUTRITION"</f>
        <v>000245930 - RICH FOODS-NUTRITION</v>
      </c>
      <c r="C14375" t="s">
        <v>505</v>
      </c>
      <c r="D14375" s="1" t="str">
        <f t="shared" si="397"/>
        <v>PRG-1042700</v>
      </c>
      <c r="E14375" t="s">
        <v>325</v>
      </c>
      <c r="F14375" t="s">
        <v>4</v>
      </c>
      <c r="G14375" t="str">
        <f>""</f>
        <v/>
      </c>
    </row>
    <row r="14376" spans="1:7" x14ac:dyDescent="0.25">
      <c r="A14376" t="s">
        <v>8</v>
      </c>
      <c r="B14376" s="1" t="str">
        <f>"000265499 - RICH FOODS-NUTRITION"</f>
        <v>000265499 - RICH FOODS-NUTRITION</v>
      </c>
      <c r="C14376" t="s">
        <v>505</v>
      </c>
      <c r="D14376" s="1" t="str">
        <f t="shared" si="397"/>
        <v>PRG-1042700</v>
      </c>
      <c r="E14376" t="s">
        <v>325</v>
      </c>
      <c r="F14376" t="s">
        <v>4</v>
      </c>
      <c r="G14376" t="str">
        <f>""</f>
        <v/>
      </c>
    </row>
    <row r="14377" spans="1:7" x14ac:dyDescent="0.25">
      <c r="A14377" t="s">
        <v>8</v>
      </c>
      <c r="B14377" s="1" t="str">
        <f>"000271749 - RICH FOODS-NUTRITION"</f>
        <v>000271749 - RICH FOODS-NUTRITION</v>
      </c>
      <c r="C14377" t="s">
        <v>505</v>
      </c>
      <c r="D14377" s="1" t="str">
        <f t="shared" si="397"/>
        <v>PRG-1042700</v>
      </c>
      <c r="E14377" t="s">
        <v>325</v>
      </c>
      <c r="F14377" t="s">
        <v>4</v>
      </c>
      <c r="G14377" t="str">
        <f>""</f>
        <v/>
      </c>
    </row>
    <row r="14378" spans="1:7" x14ac:dyDescent="0.25">
      <c r="A14378" t="s">
        <v>8</v>
      </c>
      <c r="B14378" s="1" t="str">
        <f>"000282748 - RICH FOODS-NUTRITION"</f>
        <v>000282748 - RICH FOODS-NUTRITION</v>
      </c>
      <c r="C14378" t="s">
        <v>505</v>
      </c>
      <c r="D14378" s="1" t="str">
        <f t="shared" si="397"/>
        <v>PRG-1042700</v>
      </c>
      <c r="E14378" t="s">
        <v>325</v>
      </c>
      <c r="F14378" t="s">
        <v>4</v>
      </c>
      <c r="G14378" t="str">
        <f>""</f>
        <v/>
      </c>
    </row>
    <row r="14379" spans="1:7" x14ac:dyDescent="0.25">
      <c r="A14379" t="s">
        <v>8</v>
      </c>
      <c r="B14379" s="1" t="str">
        <f>"000393811 - RICH FOODS-NUTRITION"</f>
        <v>000393811 - RICH FOODS-NUTRITION</v>
      </c>
      <c r="C14379" t="s">
        <v>505</v>
      </c>
      <c r="D14379" s="1" t="str">
        <f t="shared" si="397"/>
        <v>PRG-1042700</v>
      </c>
      <c r="E14379" t="s">
        <v>325</v>
      </c>
      <c r="F14379" t="s">
        <v>4</v>
      </c>
      <c r="G14379" t="str">
        <f>""</f>
        <v/>
      </c>
    </row>
    <row r="14380" spans="1:7" x14ac:dyDescent="0.25">
      <c r="A14380" t="s">
        <v>8</v>
      </c>
      <c r="B14380" s="1" t="str">
        <f>"000319132 - RICH BUCK SNORT"</f>
        <v>000319132 - RICH BUCK SNORT</v>
      </c>
      <c r="C14380" t="s">
        <v>3225</v>
      </c>
      <c r="D14380" s="1" t="str">
        <f>"PRG-1042701"</f>
        <v>PRG-1042701</v>
      </c>
      <c r="E14380" t="s">
        <v>2952</v>
      </c>
      <c r="F14380" t="s">
        <v>4</v>
      </c>
      <c r="G14380" t="str">
        <f>""</f>
        <v/>
      </c>
    </row>
    <row r="14381" spans="1:7" x14ac:dyDescent="0.25">
      <c r="A14381" t="s">
        <v>8</v>
      </c>
      <c r="B14381" s="1" t="str">
        <f>"000282124 - RICH BUXY'S"</f>
        <v>000282124 - RICH BUXY'S</v>
      </c>
      <c r="C14381" t="s">
        <v>2667</v>
      </c>
      <c r="D14381" s="1" t="str">
        <f>"PRG-1042705"</f>
        <v>PRG-1042705</v>
      </c>
      <c r="E14381" t="s">
        <v>2668</v>
      </c>
      <c r="F14381" t="s">
        <v>4</v>
      </c>
      <c r="G14381" t="str">
        <f>""</f>
        <v/>
      </c>
    </row>
    <row r="14382" spans="1:7" x14ac:dyDescent="0.25">
      <c r="A14382" t="s">
        <v>8</v>
      </c>
      <c r="B14382" s="1" t="str">
        <f>"000319432 - RICH RAMADA OMAHA"</f>
        <v>000319432 - RICH RAMADA OMAHA</v>
      </c>
      <c r="C14382" t="s">
        <v>3231</v>
      </c>
      <c r="D14382" s="1" t="str">
        <f>"PRG-1042706"</f>
        <v>PRG-1042706</v>
      </c>
      <c r="E14382" t="s">
        <v>2964</v>
      </c>
      <c r="F14382" t="s">
        <v>4</v>
      </c>
      <c r="G14382" t="str">
        <f>""</f>
        <v/>
      </c>
    </row>
    <row r="14383" spans="1:7" x14ac:dyDescent="0.25">
      <c r="A14383" t="s">
        <v>8</v>
      </c>
      <c r="B14383" s="1" t="str">
        <f>"4909"</f>
        <v>4909</v>
      </c>
      <c r="C14383" t="s">
        <v>5020</v>
      </c>
      <c r="D14383" s="1" t="str">
        <f>"PRG-1042711"</f>
        <v>PRG-1042711</v>
      </c>
      <c r="E14383" t="s">
        <v>5021</v>
      </c>
      <c r="F14383" t="s">
        <v>7</v>
      </c>
      <c r="G14383" t="str">
        <f>""</f>
        <v/>
      </c>
    </row>
    <row r="14384" spans="1:7" x14ac:dyDescent="0.25">
      <c r="A14384" t="s">
        <v>8</v>
      </c>
      <c r="B14384" s="1" t="str">
        <f>"S1Z0Q910"</f>
        <v>S1Z0Q910</v>
      </c>
      <c r="C14384" t="s">
        <v>5434</v>
      </c>
      <c r="D14384" s="1" t="str">
        <f>"PRG-1042716"</f>
        <v>PRG-1042716</v>
      </c>
      <c r="E14384" t="s">
        <v>5434</v>
      </c>
      <c r="F14384" t="s">
        <v>5</v>
      </c>
      <c r="G14384" t="str">
        <f>""</f>
        <v/>
      </c>
    </row>
    <row r="14385" spans="1:7" x14ac:dyDescent="0.25">
      <c r="A14385" t="s">
        <v>8</v>
      </c>
      <c r="B14385" s="1" t="str">
        <f>"000273023 - RICHS-$OFF-CHUCKS FAMILY PIZZA"</f>
        <v>000273023 - RICHS-$OFF-CHUCKS FAMILY PIZZA</v>
      </c>
      <c r="C14385" t="s">
        <v>2512</v>
      </c>
      <c r="D14385" s="1" t="str">
        <f>"PRG-1042753"</f>
        <v>PRG-1042753</v>
      </c>
      <c r="E14385" t="s">
        <v>2513</v>
      </c>
      <c r="F14385" t="s">
        <v>4</v>
      </c>
      <c r="G14385" t="str">
        <f>""</f>
        <v/>
      </c>
    </row>
    <row r="14386" spans="1:7" x14ac:dyDescent="0.25">
      <c r="A14386" t="s">
        <v>8</v>
      </c>
      <c r="B14386" s="1" t="str">
        <f>"000259077 - GRAY BROTHER'S RICH'S"</f>
        <v>000259077 - GRAY BROTHER'S RICH'S</v>
      </c>
      <c r="C14386" t="s">
        <v>2226</v>
      </c>
      <c r="D14386" s="1" t="str">
        <f>"PRG-1042758"</f>
        <v>PRG-1042758</v>
      </c>
      <c r="E14386" t="s">
        <v>2227</v>
      </c>
      <c r="F14386" t="s">
        <v>4</v>
      </c>
      <c r="G14386" t="str">
        <f>""</f>
        <v/>
      </c>
    </row>
    <row r="14387" spans="1:7" x14ac:dyDescent="0.25">
      <c r="A14387" t="s">
        <v>8</v>
      </c>
      <c r="B14387" s="1" t="str">
        <f>"000300825 - GRAY BROTHER'S RICH'S"</f>
        <v>000300825 - GRAY BROTHER'S RICH'S</v>
      </c>
      <c r="C14387" t="s">
        <v>2226</v>
      </c>
      <c r="D14387" s="1" t="str">
        <f>"PRG-1042758"</f>
        <v>PRG-1042758</v>
      </c>
      <c r="E14387" t="s">
        <v>2227</v>
      </c>
      <c r="F14387" t="s">
        <v>4</v>
      </c>
      <c r="G14387" t="str">
        <f>""</f>
        <v/>
      </c>
    </row>
    <row r="14388" spans="1:7" x14ac:dyDescent="0.25">
      <c r="A14388" t="s">
        <v>8</v>
      </c>
      <c r="B14388" s="1" t="str">
        <f>"000381225 - RICH(DC)-JUMP FREEDOM"</f>
        <v>000381225 - RICH(DC)-JUMP FREEDOM</v>
      </c>
      <c r="C14388" t="s">
        <v>3654</v>
      </c>
      <c r="D14388" s="1" t="str">
        <f>"PRG-1042759"</f>
        <v>PRG-1042759</v>
      </c>
      <c r="E14388" t="s">
        <v>3655</v>
      </c>
      <c r="F14388" t="s">
        <v>4</v>
      </c>
      <c r="G14388" t="str">
        <f>""</f>
        <v/>
      </c>
    </row>
    <row r="14389" spans="1:7" x14ac:dyDescent="0.25">
      <c r="A14389" t="s">
        <v>8</v>
      </c>
      <c r="B14389" s="1" t="str">
        <f>"000303041 - GREENBELLY RICHS"</f>
        <v>000303041 - GREENBELLY RICHS</v>
      </c>
      <c r="C14389" t="s">
        <v>2999</v>
      </c>
      <c r="D14389" s="1" t="str">
        <f>"PRG-1042763"</f>
        <v>PRG-1042763</v>
      </c>
      <c r="E14389" t="s">
        <v>3000</v>
      </c>
      <c r="F14389" t="s">
        <v>4</v>
      </c>
      <c r="G14389" t="str">
        <f>""</f>
        <v/>
      </c>
    </row>
    <row r="14390" spans="1:7" x14ac:dyDescent="0.25">
      <c r="A14390" t="s">
        <v>8</v>
      </c>
      <c r="B14390" s="1" t="str">
        <f>"000259196 - MOE AND JOHNNY'S RICH'S"</f>
        <v>000259196 - MOE AND JOHNNY'S RICH'S</v>
      </c>
      <c r="C14390" t="s">
        <v>2231</v>
      </c>
      <c r="D14390" s="1" t="str">
        <f>"PRG-1042770"</f>
        <v>PRG-1042770</v>
      </c>
      <c r="E14390" t="s">
        <v>2232</v>
      </c>
      <c r="F14390" t="s">
        <v>4</v>
      </c>
      <c r="G14390" t="str">
        <f>""</f>
        <v/>
      </c>
    </row>
    <row r="14391" spans="1:7" x14ac:dyDescent="0.25">
      <c r="A14391" t="s">
        <v>8</v>
      </c>
      <c r="B14391" s="1" t="str">
        <f>"000346447 - RICH PRODUCTS-EXTREME CRAZE"</f>
        <v>000346447 - RICH PRODUCTS-EXTREME CRAZE</v>
      </c>
      <c r="C14391" t="s">
        <v>3192</v>
      </c>
      <c r="D14391" s="1" t="str">
        <f>"PRG-1042772"</f>
        <v>PRG-1042772</v>
      </c>
      <c r="E14391" t="s">
        <v>3193</v>
      </c>
      <c r="F14391" t="s">
        <v>4</v>
      </c>
      <c r="G14391" t="str">
        <f>""</f>
        <v/>
      </c>
    </row>
    <row r="14392" spans="1:7" x14ac:dyDescent="0.25">
      <c r="A14392" t="s">
        <v>8</v>
      </c>
      <c r="B14392" s="1" t="str">
        <f>"000355977 - "</f>
        <v xml:space="preserve">000355977 - </v>
      </c>
      <c r="D14392" s="1" t="str">
        <f>"PRG-1042780"</f>
        <v>PRG-1042780</v>
      </c>
      <c r="E14392" t="s">
        <v>3562</v>
      </c>
      <c r="F14392" t="s">
        <v>4</v>
      </c>
      <c r="G14392" t="str">
        <f>""</f>
        <v/>
      </c>
    </row>
    <row r="14393" spans="1:7" x14ac:dyDescent="0.25">
      <c r="A14393" t="s">
        <v>8</v>
      </c>
      <c r="B14393" s="1" t="str">
        <f>"000364731 - RICH FOODS SILVER PALACE"</f>
        <v>000364731 - RICH FOODS SILVER PALACE</v>
      </c>
      <c r="C14393" t="s">
        <v>3460</v>
      </c>
      <c r="D14393" s="1" t="str">
        <f>"PRG-1042782"</f>
        <v>PRG-1042782</v>
      </c>
      <c r="E14393" t="s">
        <v>3461</v>
      </c>
      <c r="F14393" t="s">
        <v>4</v>
      </c>
      <c r="G14393" t="str">
        <f>""</f>
        <v/>
      </c>
    </row>
    <row r="14394" spans="1:7" x14ac:dyDescent="0.25">
      <c r="A14394" t="s">
        <v>8</v>
      </c>
      <c r="B14394" s="1" t="str">
        <f>"000323913 - RICH'S TICKET BAR"</f>
        <v>000323913 - RICH'S TICKET BAR</v>
      </c>
      <c r="C14394" t="s">
        <v>3274</v>
      </c>
      <c r="D14394" s="1" t="str">
        <f>"PRG-1042790"</f>
        <v>PRG-1042790</v>
      </c>
      <c r="E14394" t="s">
        <v>3275</v>
      </c>
      <c r="F14394" t="s">
        <v>4</v>
      </c>
      <c r="G14394" t="str">
        <f>""</f>
        <v/>
      </c>
    </row>
    <row r="14395" spans="1:7" x14ac:dyDescent="0.25">
      <c r="A14395" t="s">
        <v>8</v>
      </c>
      <c r="B14395" s="1" t="str">
        <f>"000256371 - RICHS FRANKS PIGGLY WIGGLY"</f>
        <v>000256371 - RICHS FRANKS PIGGLY WIGGLY</v>
      </c>
      <c r="C14395" t="s">
        <v>2180</v>
      </c>
      <c r="D14395" s="1" t="str">
        <f>"PRG-1042792"</f>
        <v>PRG-1042792</v>
      </c>
      <c r="E14395" t="s">
        <v>2181</v>
      </c>
      <c r="F14395" t="s">
        <v>4</v>
      </c>
      <c r="G14395" t="str">
        <f>""</f>
        <v/>
      </c>
    </row>
    <row r="14396" spans="1:7" x14ac:dyDescent="0.25">
      <c r="A14396" t="s">
        <v>8</v>
      </c>
      <c r="B14396" s="1" t="str">
        <f>"000277319 - RICH CHUNKY'S (DC)"</f>
        <v>000277319 - RICH CHUNKY'S (DC)</v>
      </c>
      <c r="C14396" t="s">
        <v>2596</v>
      </c>
      <c r="D14396" s="1" t="str">
        <f>"PRG-1042801"</f>
        <v>PRG-1042801</v>
      </c>
      <c r="E14396" t="s">
        <v>2597</v>
      </c>
      <c r="F14396" t="s">
        <v>4</v>
      </c>
      <c r="G14396" t="str">
        <f>""</f>
        <v/>
      </c>
    </row>
    <row r="14397" spans="1:7" x14ac:dyDescent="0.25">
      <c r="A14397" t="s">
        <v>8</v>
      </c>
      <c r="B14397" s="1" t="str">
        <f>"S3V00TQ0"</f>
        <v>S3V00TQ0</v>
      </c>
      <c r="C14397" t="s">
        <v>5675</v>
      </c>
      <c r="D14397" s="1" t="str">
        <f>"PRG-1042803"</f>
        <v>PRG-1042803</v>
      </c>
      <c r="E14397" t="s">
        <v>5676</v>
      </c>
      <c r="F14397" t="s">
        <v>5</v>
      </c>
      <c r="G14397" t="str">
        <f>""</f>
        <v/>
      </c>
    </row>
    <row r="14398" spans="1:7" x14ac:dyDescent="0.25">
      <c r="A14398" t="s">
        <v>8</v>
      </c>
      <c r="B14398" s="1" t="str">
        <f>"S3V014X0"</f>
        <v>S3V014X0</v>
      </c>
      <c r="C14398" t="s">
        <v>5684</v>
      </c>
      <c r="D14398" s="1" t="str">
        <f>"PRG-1042803"</f>
        <v>PRG-1042803</v>
      </c>
      <c r="E14398" t="s">
        <v>5676</v>
      </c>
      <c r="F14398" t="s">
        <v>5</v>
      </c>
      <c r="G14398" t="str">
        <f>""</f>
        <v/>
      </c>
    </row>
    <row r="14399" spans="1:7" x14ac:dyDescent="0.25">
      <c r="A14399" t="s">
        <v>8</v>
      </c>
      <c r="B14399" s="1" t="str">
        <f>"S6G00PS0"</f>
        <v>S6G00PS0</v>
      </c>
      <c r="C14399" t="s">
        <v>6072</v>
      </c>
      <c r="D14399" s="1" t="str">
        <f>"PRG-1042806"</f>
        <v>PRG-1042806</v>
      </c>
      <c r="E14399" t="s">
        <v>6073</v>
      </c>
      <c r="F14399" t="s">
        <v>5</v>
      </c>
      <c r="G14399" t="str">
        <f>""</f>
        <v/>
      </c>
    </row>
    <row r="14400" spans="1:7" x14ac:dyDescent="0.25">
      <c r="A14400" t="s">
        <v>8</v>
      </c>
      <c r="B14400" s="1" t="str">
        <f>"000411466 - RICH FOODS KINGS HAWAIIAN"</f>
        <v>000411466 - RICH FOODS KINGS HAWAIIAN</v>
      </c>
      <c r="C14400" t="s">
        <v>3528</v>
      </c>
      <c r="D14400" s="1" t="str">
        <f>"PRG-1042810"</f>
        <v>PRG-1042810</v>
      </c>
      <c r="E14400" t="s">
        <v>3730</v>
      </c>
      <c r="F14400" t="s">
        <v>4</v>
      </c>
      <c r="G14400" t="str">
        <f>""</f>
        <v/>
      </c>
    </row>
    <row r="14401" spans="1:7" x14ac:dyDescent="0.25">
      <c r="A14401" t="s">
        <v>8</v>
      </c>
      <c r="B14401" s="1" t="str">
        <f>"000256951 - RICHS MOJO ROSAS-PW EGG HARBOR"</f>
        <v>000256951 - RICHS MOJO ROSAS-PW EGG HARBOR</v>
      </c>
      <c r="C14401" t="s">
        <v>2198</v>
      </c>
      <c r="D14401" s="1" t="str">
        <f>"PRG-1042814"</f>
        <v>PRG-1042814</v>
      </c>
      <c r="E14401" t="s">
        <v>2199</v>
      </c>
      <c r="F14401" t="s">
        <v>4</v>
      </c>
      <c r="G14401" t="str">
        <f>""</f>
        <v/>
      </c>
    </row>
    <row r="14402" spans="1:7" x14ac:dyDescent="0.25">
      <c r="A14402" t="s">
        <v>8</v>
      </c>
      <c r="B14402" s="1" t="str">
        <f>"S5O00SX0"</f>
        <v>S5O00SX0</v>
      </c>
      <c r="C14402" t="s">
        <v>5919</v>
      </c>
      <c r="D14402" s="1" t="str">
        <f>"PRG-1042817"</f>
        <v>PRG-1042817</v>
      </c>
      <c r="E14402" t="s">
        <v>5920</v>
      </c>
      <c r="F14402" t="s">
        <v>5</v>
      </c>
      <c r="G14402" t="str">
        <f>""</f>
        <v/>
      </c>
    </row>
    <row r="14403" spans="1:7" x14ac:dyDescent="0.25">
      <c r="A14403" t="s">
        <v>8</v>
      </c>
      <c r="B14403" s="1" t="str">
        <f>"000023767 - RICH PRODUCTS-METRO DINER"</f>
        <v>000023767 - RICH PRODUCTS-METRO DINER</v>
      </c>
      <c r="C14403" t="s">
        <v>429</v>
      </c>
      <c r="D14403" s="1" t="str">
        <f t="shared" ref="D14403:D14418" si="398">"PRG-1042828"</f>
        <v>PRG-1042828</v>
      </c>
      <c r="E14403" t="s">
        <v>430</v>
      </c>
      <c r="F14403" t="s">
        <v>4</v>
      </c>
      <c r="G14403" t="str">
        <f>""</f>
        <v/>
      </c>
    </row>
    <row r="14404" spans="1:7" x14ac:dyDescent="0.25">
      <c r="A14404" t="s">
        <v>8</v>
      </c>
      <c r="B14404" s="1" t="str">
        <f>"000036551 - RICH PRODUCTS-METRO DINER"</f>
        <v>000036551 - RICH PRODUCTS-METRO DINER</v>
      </c>
      <c r="C14404" t="s">
        <v>429</v>
      </c>
      <c r="D14404" s="1" t="str">
        <f t="shared" si="398"/>
        <v>PRG-1042828</v>
      </c>
      <c r="E14404" t="s">
        <v>430</v>
      </c>
      <c r="F14404" t="s">
        <v>4</v>
      </c>
      <c r="G14404" t="str">
        <f>""</f>
        <v/>
      </c>
    </row>
    <row r="14405" spans="1:7" x14ac:dyDescent="0.25">
      <c r="A14405" t="s">
        <v>8</v>
      </c>
      <c r="B14405" s="1" t="str">
        <f>"000268405 - RICH PRODUCTS-METRO DINER"</f>
        <v>000268405 - RICH PRODUCTS-METRO DINER</v>
      </c>
      <c r="C14405" t="s">
        <v>429</v>
      </c>
      <c r="D14405" s="1" t="str">
        <f t="shared" si="398"/>
        <v>PRG-1042828</v>
      </c>
      <c r="E14405" t="s">
        <v>430</v>
      </c>
      <c r="F14405" t="s">
        <v>4</v>
      </c>
      <c r="G14405" t="str">
        <f>""</f>
        <v/>
      </c>
    </row>
    <row r="14406" spans="1:7" x14ac:dyDescent="0.25">
      <c r="A14406" t="s">
        <v>8</v>
      </c>
      <c r="B14406" s="1" t="str">
        <f>"000270090 - RICH PRODUCTS-METRO DINER"</f>
        <v>000270090 - RICH PRODUCTS-METRO DINER</v>
      </c>
      <c r="C14406" t="s">
        <v>429</v>
      </c>
      <c r="D14406" s="1" t="str">
        <f t="shared" si="398"/>
        <v>PRG-1042828</v>
      </c>
      <c r="E14406" t="s">
        <v>430</v>
      </c>
      <c r="F14406" t="s">
        <v>4</v>
      </c>
      <c r="G14406" t="str">
        <f>""</f>
        <v/>
      </c>
    </row>
    <row r="14407" spans="1:7" x14ac:dyDescent="0.25">
      <c r="A14407" t="s">
        <v>8</v>
      </c>
      <c r="B14407" s="1" t="str">
        <f>"000274754 - RICH PRODUCTS-METRO DINER"</f>
        <v>000274754 - RICH PRODUCTS-METRO DINER</v>
      </c>
      <c r="C14407" t="s">
        <v>429</v>
      </c>
      <c r="D14407" s="1" t="str">
        <f t="shared" si="398"/>
        <v>PRG-1042828</v>
      </c>
      <c r="E14407" t="s">
        <v>430</v>
      </c>
      <c r="F14407" t="s">
        <v>4</v>
      </c>
      <c r="G14407" t="str">
        <f>""</f>
        <v/>
      </c>
    </row>
    <row r="14408" spans="1:7" x14ac:dyDescent="0.25">
      <c r="A14408" t="s">
        <v>8</v>
      </c>
      <c r="B14408" s="1" t="str">
        <f>"000284257 - RICH PRODUCTS-METRO DINER"</f>
        <v>000284257 - RICH PRODUCTS-METRO DINER</v>
      </c>
      <c r="C14408" t="s">
        <v>429</v>
      </c>
      <c r="D14408" s="1" t="str">
        <f t="shared" si="398"/>
        <v>PRG-1042828</v>
      </c>
      <c r="E14408" t="s">
        <v>430</v>
      </c>
      <c r="F14408" t="s">
        <v>4</v>
      </c>
      <c r="G14408" t="str">
        <f>""</f>
        <v/>
      </c>
    </row>
    <row r="14409" spans="1:7" x14ac:dyDescent="0.25">
      <c r="A14409" t="s">
        <v>8</v>
      </c>
      <c r="B14409" s="1" t="str">
        <f>"000286029 - RICH PRODUCTS-METRO DINER"</f>
        <v>000286029 - RICH PRODUCTS-METRO DINER</v>
      </c>
      <c r="C14409" t="s">
        <v>429</v>
      </c>
      <c r="D14409" s="1" t="str">
        <f t="shared" si="398"/>
        <v>PRG-1042828</v>
      </c>
      <c r="E14409" t="s">
        <v>430</v>
      </c>
      <c r="F14409" t="s">
        <v>4</v>
      </c>
      <c r="G14409" t="str">
        <f>""</f>
        <v/>
      </c>
    </row>
    <row r="14410" spans="1:7" x14ac:dyDescent="0.25">
      <c r="A14410" t="s">
        <v>8</v>
      </c>
      <c r="B14410" s="1" t="str">
        <f>"000294145 - RICH PRODUCTS-METRO DINER"</f>
        <v>000294145 - RICH PRODUCTS-METRO DINER</v>
      </c>
      <c r="C14410" t="s">
        <v>429</v>
      </c>
      <c r="D14410" s="1" t="str">
        <f t="shared" si="398"/>
        <v>PRG-1042828</v>
      </c>
      <c r="E14410" t="s">
        <v>430</v>
      </c>
      <c r="F14410" t="s">
        <v>4</v>
      </c>
      <c r="G14410" t="str">
        <f>""</f>
        <v/>
      </c>
    </row>
    <row r="14411" spans="1:7" x14ac:dyDescent="0.25">
      <c r="A14411" t="s">
        <v>8</v>
      </c>
      <c r="B14411" s="1" t="str">
        <f>"000295179 - RICH PRODUCTS-METRO DINER"</f>
        <v>000295179 - RICH PRODUCTS-METRO DINER</v>
      </c>
      <c r="C14411" t="s">
        <v>429</v>
      </c>
      <c r="D14411" s="1" t="str">
        <f t="shared" si="398"/>
        <v>PRG-1042828</v>
      </c>
      <c r="E14411" t="s">
        <v>430</v>
      </c>
      <c r="F14411" t="s">
        <v>4</v>
      </c>
      <c r="G14411" t="str">
        <f>""</f>
        <v/>
      </c>
    </row>
    <row r="14412" spans="1:7" x14ac:dyDescent="0.25">
      <c r="A14412" t="s">
        <v>8</v>
      </c>
      <c r="B14412" s="1" t="str">
        <f>"000298494 - RICH PRODUCTS-METRO DINER"</f>
        <v>000298494 - RICH PRODUCTS-METRO DINER</v>
      </c>
      <c r="C14412" t="s">
        <v>429</v>
      </c>
      <c r="D14412" s="1" t="str">
        <f t="shared" si="398"/>
        <v>PRG-1042828</v>
      </c>
      <c r="E14412" t="s">
        <v>430</v>
      </c>
      <c r="F14412" t="s">
        <v>4</v>
      </c>
      <c r="G14412" t="str">
        <f>""</f>
        <v/>
      </c>
    </row>
    <row r="14413" spans="1:7" x14ac:dyDescent="0.25">
      <c r="A14413" t="s">
        <v>8</v>
      </c>
      <c r="B14413" s="1" t="str">
        <f>"000312735 - RICH PRODUCTS-METRO DINER"</f>
        <v>000312735 - RICH PRODUCTS-METRO DINER</v>
      </c>
      <c r="C14413" t="s">
        <v>429</v>
      </c>
      <c r="D14413" s="1" t="str">
        <f t="shared" si="398"/>
        <v>PRG-1042828</v>
      </c>
      <c r="E14413" t="s">
        <v>430</v>
      </c>
      <c r="F14413" t="s">
        <v>4</v>
      </c>
      <c r="G14413" t="str">
        <f>""</f>
        <v/>
      </c>
    </row>
    <row r="14414" spans="1:7" x14ac:dyDescent="0.25">
      <c r="A14414" t="s">
        <v>8</v>
      </c>
      <c r="B14414" s="1" t="str">
        <f>"000314288 - RICH PRODUCTS-METRO DINER"</f>
        <v>000314288 - RICH PRODUCTS-METRO DINER</v>
      </c>
      <c r="C14414" t="s">
        <v>429</v>
      </c>
      <c r="D14414" s="1" t="str">
        <f t="shared" si="398"/>
        <v>PRG-1042828</v>
      </c>
      <c r="E14414" t="s">
        <v>430</v>
      </c>
      <c r="F14414" t="s">
        <v>4</v>
      </c>
      <c r="G14414" t="str">
        <f>""</f>
        <v/>
      </c>
    </row>
    <row r="14415" spans="1:7" x14ac:dyDescent="0.25">
      <c r="A14415" t="s">
        <v>8</v>
      </c>
      <c r="B14415" s="1" t="str">
        <f>"000317063 - RICH FOODS GALV REST GRP #45"</f>
        <v>000317063 - RICH FOODS GALV REST GRP #45</v>
      </c>
      <c r="C14415" t="s">
        <v>3199</v>
      </c>
      <c r="D14415" s="1" t="str">
        <f t="shared" si="398"/>
        <v>PRG-1042828</v>
      </c>
      <c r="E14415" t="s">
        <v>430</v>
      </c>
      <c r="F14415" t="s">
        <v>4</v>
      </c>
      <c r="G14415" t="str">
        <f>""</f>
        <v/>
      </c>
    </row>
    <row r="14416" spans="1:7" x14ac:dyDescent="0.25">
      <c r="A14416" t="s">
        <v>8</v>
      </c>
      <c r="B14416" s="1" t="str">
        <f>"000323658 - RICH PRODUCTS-METRO DINER"</f>
        <v>000323658 - RICH PRODUCTS-METRO DINER</v>
      </c>
      <c r="C14416" t="s">
        <v>429</v>
      </c>
      <c r="D14416" s="1" t="str">
        <f t="shared" si="398"/>
        <v>PRG-1042828</v>
      </c>
      <c r="E14416" t="s">
        <v>430</v>
      </c>
      <c r="F14416" t="s">
        <v>4</v>
      </c>
      <c r="G14416" t="str">
        <f>""</f>
        <v/>
      </c>
    </row>
    <row r="14417" spans="1:7" x14ac:dyDescent="0.25">
      <c r="A14417" t="s">
        <v>8</v>
      </c>
      <c r="B14417" s="1" t="str">
        <f>"000340150 - RICH PRODUCTS-METRO DINER"</f>
        <v>000340150 - RICH PRODUCTS-METRO DINER</v>
      </c>
      <c r="C14417" t="s">
        <v>429</v>
      </c>
      <c r="D14417" s="1" t="str">
        <f t="shared" si="398"/>
        <v>PRG-1042828</v>
      </c>
      <c r="E14417" t="s">
        <v>430</v>
      </c>
      <c r="F14417" t="s">
        <v>4</v>
      </c>
      <c r="G14417" t="str">
        <f>""</f>
        <v/>
      </c>
    </row>
    <row r="14418" spans="1:7" x14ac:dyDescent="0.25">
      <c r="A14418" t="s">
        <v>8</v>
      </c>
      <c r="B14418" s="1" t="str">
        <f>"000384267 - RICH PRODUCTS-METRO DINER"</f>
        <v>000384267 - RICH PRODUCTS-METRO DINER</v>
      </c>
      <c r="C14418" t="s">
        <v>429</v>
      </c>
      <c r="D14418" s="1" t="str">
        <f t="shared" si="398"/>
        <v>PRG-1042828</v>
      </c>
      <c r="E14418" t="s">
        <v>430</v>
      </c>
      <c r="F14418" t="s">
        <v>4</v>
      </c>
      <c r="G14418" t="str">
        <f>""</f>
        <v/>
      </c>
    </row>
    <row r="14419" spans="1:7" x14ac:dyDescent="0.25">
      <c r="A14419" t="s">
        <v>8</v>
      </c>
      <c r="B14419" s="1" t="str">
        <f>"S5O00WF0"</f>
        <v>S5O00WF0</v>
      </c>
      <c r="C14419" t="s">
        <v>5925</v>
      </c>
      <c r="D14419" s="1" t="str">
        <f>"PRG-1042838"</f>
        <v>PRG-1042838</v>
      </c>
      <c r="E14419" t="s">
        <v>5926</v>
      </c>
      <c r="F14419" t="s">
        <v>5</v>
      </c>
      <c r="G14419" t="str">
        <f>""</f>
        <v/>
      </c>
    </row>
    <row r="14420" spans="1:7" x14ac:dyDescent="0.25">
      <c r="A14420" t="s">
        <v>8</v>
      </c>
      <c r="B14420" s="1" t="str">
        <f>"S1Z0TCV0"</f>
        <v>S1Z0TCV0</v>
      </c>
      <c r="C14420" t="s">
        <v>5446</v>
      </c>
      <c r="D14420" s="1" t="str">
        <f>"PRG-1042841"</f>
        <v>PRG-1042841</v>
      </c>
      <c r="E14420" t="s">
        <v>5447</v>
      </c>
      <c r="F14420" t="s">
        <v>5</v>
      </c>
      <c r="G14420" t="str">
        <f>""</f>
        <v/>
      </c>
    </row>
    <row r="14421" spans="1:7" x14ac:dyDescent="0.25">
      <c r="A14421" t="s">
        <v>8</v>
      </c>
      <c r="B14421" s="1" t="str">
        <f>"000306165 - "</f>
        <v xml:space="preserve">000306165 - </v>
      </c>
      <c r="D14421" s="1" t="str">
        <f>"PRG-1042852"</f>
        <v>PRG-1042852</v>
      </c>
      <c r="E14421" t="s">
        <v>3042</v>
      </c>
      <c r="F14421" t="s">
        <v>4</v>
      </c>
      <c r="G14421" t="str">
        <f>""</f>
        <v/>
      </c>
    </row>
    <row r="14422" spans="1:7" x14ac:dyDescent="0.25">
      <c r="A14422" t="s">
        <v>8</v>
      </c>
      <c r="B14422" s="1" t="str">
        <f>"000319285 - RICH M PUBS"</f>
        <v>000319285 - RICH M PUBS</v>
      </c>
      <c r="C14422" t="s">
        <v>3227</v>
      </c>
      <c r="D14422" s="1" t="str">
        <f>"PRG-1042852"</f>
        <v>PRG-1042852</v>
      </c>
      <c r="E14422" t="s">
        <v>3042</v>
      </c>
      <c r="F14422" t="s">
        <v>4</v>
      </c>
      <c r="G14422" t="str">
        <f>""</f>
        <v/>
      </c>
    </row>
    <row r="14423" spans="1:7" x14ac:dyDescent="0.25">
      <c r="A14423" t="s">
        <v>8</v>
      </c>
      <c r="B14423" s="1" t="str">
        <f>"000318921 - RICH DC-SUNY OSWEGO"</f>
        <v>000318921 - RICH DC-SUNY OSWEGO</v>
      </c>
      <c r="C14423" t="s">
        <v>3223</v>
      </c>
      <c r="D14423" s="1" t="str">
        <f>"PRG-1042853"</f>
        <v>PRG-1042853</v>
      </c>
      <c r="E14423" t="s">
        <v>3224</v>
      </c>
      <c r="F14423" t="s">
        <v>4</v>
      </c>
      <c r="G14423" t="str">
        <f>""</f>
        <v/>
      </c>
    </row>
    <row r="14424" spans="1:7" x14ac:dyDescent="0.25">
      <c r="A14424" t="s">
        <v>8</v>
      </c>
      <c r="B14424" s="1" t="str">
        <f>"S4Q00H60"</f>
        <v>S4Q00H60</v>
      </c>
      <c r="C14424" t="s">
        <v>5736</v>
      </c>
      <c r="D14424" s="1" t="str">
        <f>"PRG-1042854"</f>
        <v>PRG-1042854</v>
      </c>
      <c r="E14424" t="s">
        <v>5736</v>
      </c>
      <c r="F14424" t="s">
        <v>5</v>
      </c>
      <c r="G14424" t="str">
        <f>""</f>
        <v/>
      </c>
    </row>
    <row r="14425" spans="1:7" x14ac:dyDescent="0.25">
      <c r="A14425" t="s">
        <v>8</v>
      </c>
      <c r="B14425" s="1" t="str">
        <f>"S5O00WN0"</f>
        <v>S5O00WN0</v>
      </c>
      <c r="C14425" t="s">
        <v>5927</v>
      </c>
      <c r="D14425" s="1" t="str">
        <f>"PRG-1042860"</f>
        <v>PRG-1042860</v>
      </c>
      <c r="E14425" t="s">
        <v>5928</v>
      </c>
      <c r="F14425" t="s">
        <v>5</v>
      </c>
      <c r="G14425" t="str">
        <f>""</f>
        <v/>
      </c>
    </row>
    <row r="14426" spans="1:7" x14ac:dyDescent="0.25">
      <c r="A14426" t="s">
        <v>8</v>
      </c>
      <c r="B14426" s="1" t="str">
        <f>"000245848 - RICHS MEX3 GROUP"</f>
        <v>000245848 - RICHS MEX3 GROUP</v>
      </c>
      <c r="C14426" t="s">
        <v>2010</v>
      </c>
      <c r="D14426" s="1" t="str">
        <f>"PRG-1042865"</f>
        <v>PRG-1042865</v>
      </c>
      <c r="E14426" t="s">
        <v>2011</v>
      </c>
      <c r="F14426" t="s">
        <v>4</v>
      </c>
      <c r="G14426" t="str">
        <f>""</f>
        <v/>
      </c>
    </row>
    <row r="14427" spans="1:7" x14ac:dyDescent="0.25">
      <c r="A14427" t="s">
        <v>8</v>
      </c>
      <c r="B14427" s="1" t="str">
        <f>"000373677 - "</f>
        <v xml:space="preserve">000373677 - </v>
      </c>
      <c r="D14427" s="1" t="str">
        <f>"PRG-1042870"</f>
        <v>PRG-1042870</v>
      </c>
      <c r="E14427" t="s">
        <v>3066</v>
      </c>
      <c r="F14427" t="s">
        <v>4</v>
      </c>
      <c r="G14427" t="str">
        <f>""</f>
        <v/>
      </c>
    </row>
    <row r="14428" spans="1:7" x14ac:dyDescent="0.25">
      <c r="A14428" t="s">
        <v>8</v>
      </c>
      <c r="B14428" s="1" t="str">
        <f>"S6I00DT0"</f>
        <v>S6I00DT0</v>
      </c>
      <c r="C14428" t="s">
        <v>6079</v>
      </c>
      <c r="D14428" s="1" t="str">
        <f>"PRG-1042870"</f>
        <v>PRG-1042870</v>
      </c>
      <c r="E14428" t="s">
        <v>3066</v>
      </c>
      <c r="F14428" t="s">
        <v>5</v>
      </c>
      <c r="G14428" t="str">
        <f>""</f>
        <v/>
      </c>
    </row>
    <row r="14429" spans="1:7" x14ac:dyDescent="0.25">
      <c r="A14429" t="s">
        <v>8</v>
      </c>
      <c r="B14429" s="1" t="str">
        <f>"S5O017Q0"</f>
        <v>S5O017Q0</v>
      </c>
      <c r="C14429" t="s">
        <v>5935</v>
      </c>
      <c r="D14429" s="1" t="str">
        <f>"PRG-1042879"</f>
        <v>PRG-1042879</v>
      </c>
      <c r="E14429" t="s">
        <v>5936</v>
      </c>
      <c r="F14429" t="s">
        <v>5</v>
      </c>
      <c r="G14429" t="str">
        <f>""</f>
        <v/>
      </c>
    </row>
    <row r="14430" spans="1:7" x14ac:dyDescent="0.25">
      <c r="A14430" t="s">
        <v>8</v>
      </c>
      <c r="B14430" s="1" t="str">
        <f>"000030200 - RICH-TILTED KILT"</f>
        <v>000030200 - RICH-TILTED KILT</v>
      </c>
      <c r="C14430" t="s">
        <v>491</v>
      </c>
      <c r="D14430" s="1" t="str">
        <f t="shared" ref="D14430:D14445" si="399">"PRG-1042883"</f>
        <v>PRG-1042883</v>
      </c>
      <c r="E14430" t="s">
        <v>492</v>
      </c>
      <c r="F14430" t="s">
        <v>4</v>
      </c>
      <c r="G14430" t="str">
        <f>""</f>
        <v/>
      </c>
    </row>
    <row r="14431" spans="1:7" x14ac:dyDescent="0.25">
      <c r="A14431" t="s">
        <v>8</v>
      </c>
      <c r="B14431" s="1" t="str">
        <f>"000039047 - RICH FOODS-TILTED KILT"</f>
        <v>000039047 - RICH FOODS-TILTED KILT</v>
      </c>
      <c r="C14431" t="s">
        <v>565</v>
      </c>
      <c r="D14431" s="1" t="str">
        <f t="shared" si="399"/>
        <v>PRG-1042883</v>
      </c>
      <c r="E14431" t="s">
        <v>492</v>
      </c>
      <c r="F14431" t="s">
        <v>4</v>
      </c>
      <c r="G14431" t="str">
        <f>""</f>
        <v/>
      </c>
    </row>
    <row r="14432" spans="1:7" x14ac:dyDescent="0.25">
      <c r="A14432" t="s">
        <v>8</v>
      </c>
      <c r="B14432" s="1" t="str">
        <f>"000039795 - RICH FOODS-TILTED KILT"</f>
        <v>000039795 - RICH FOODS-TILTED KILT</v>
      </c>
      <c r="C14432" t="s">
        <v>565</v>
      </c>
      <c r="D14432" s="1" t="str">
        <f t="shared" si="399"/>
        <v>PRG-1042883</v>
      </c>
      <c r="E14432" t="s">
        <v>492</v>
      </c>
      <c r="F14432" t="s">
        <v>4</v>
      </c>
      <c r="G14432" t="str">
        <f>""</f>
        <v/>
      </c>
    </row>
    <row r="14433" spans="1:7" x14ac:dyDescent="0.25">
      <c r="A14433" t="s">
        <v>8</v>
      </c>
      <c r="B14433" s="1" t="str">
        <f>"000089525 - RICH-TILTED KILT"</f>
        <v>000089525 - RICH-TILTED KILT</v>
      </c>
      <c r="C14433" t="s">
        <v>491</v>
      </c>
      <c r="D14433" s="1" t="str">
        <f t="shared" si="399"/>
        <v>PRG-1042883</v>
      </c>
      <c r="E14433" t="s">
        <v>492</v>
      </c>
      <c r="F14433" t="s">
        <v>4</v>
      </c>
      <c r="G14433" t="str">
        <f>""</f>
        <v/>
      </c>
    </row>
    <row r="14434" spans="1:7" x14ac:dyDescent="0.25">
      <c r="A14434" t="s">
        <v>8</v>
      </c>
      <c r="B14434" s="1" t="str">
        <f>"000099059 - RICH FOODS-TILTED KILT"</f>
        <v>000099059 - RICH FOODS-TILTED KILT</v>
      </c>
      <c r="C14434" t="s">
        <v>565</v>
      </c>
      <c r="D14434" s="1" t="str">
        <f t="shared" si="399"/>
        <v>PRG-1042883</v>
      </c>
      <c r="E14434" t="s">
        <v>492</v>
      </c>
      <c r="F14434" t="s">
        <v>4</v>
      </c>
      <c r="G14434" t="str">
        <f>""</f>
        <v/>
      </c>
    </row>
    <row r="14435" spans="1:7" x14ac:dyDescent="0.25">
      <c r="A14435" t="s">
        <v>8</v>
      </c>
      <c r="B14435" s="1" t="str">
        <f>"000119117 - RICH FOODS-TILTED KILT"</f>
        <v>000119117 - RICH FOODS-TILTED KILT</v>
      </c>
      <c r="C14435" t="s">
        <v>565</v>
      </c>
      <c r="D14435" s="1" t="str">
        <f t="shared" si="399"/>
        <v>PRG-1042883</v>
      </c>
      <c r="E14435" t="s">
        <v>492</v>
      </c>
      <c r="F14435" t="s">
        <v>4</v>
      </c>
      <c r="G14435" t="str">
        <f>""</f>
        <v/>
      </c>
    </row>
    <row r="14436" spans="1:7" x14ac:dyDescent="0.25">
      <c r="A14436" t="s">
        <v>8</v>
      </c>
      <c r="B14436" s="1" t="str">
        <f>"000248634 - RICH-TILTED KILT"</f>
        <v>000248634 - RICH-TILTED KILT</v>
      </c>
      <c r="C14436" t="s">
        <v>491</v>
      </c>
      <c r="D14436" s="1" t="str">
        <f t="shared" si="399"/>
        <v>PRG-1042883</v>
      </c>
      <c r="E14436" t="s">
        <v>492</v>
      </c>
      <c r="F14436" t="s">
        <v>4</v>
      </c>
      <c r="G14436" t="str">
        <f>""</f>
        <v/>
      </c>
    </row>
    <row r="14437" spans="1:7" x14ac:dyDescent="0.25">
      <c r="A14437" t="s">
        <v>8</v>
      </c>
      <c r="B14437" s="1" t="str">
        <f>"000255883 - RICH FOODS-TILTED KILT"</f>
        <v>000255883 - RICH FOODS-TILTED KILT</v>
      </c>
      <c r="C14437" t="s">
        <v>565</v>
      </c>
      <c r="D14437" s="1" t="str">
        <f t="shared" si="399"/>
        <v>PRG-1042883</v>
      </c>
      <c r="E14437" t="s">
        <v>492</v>
      </c>
      <c r="F14437" t="s">
        <v>4</v>
      </c>
      <c r="G14437" t="str">
        <f>""</f>
        <v/>
      </c>
    </row>
    <row r="14438" spans="1:7" x14ac:dyDescent="0.25">
      <c r="A14438" t="s">
        <v>8</v>
      </c>
      <c r="B14438" s="1" t="str">
        <f>"000270217 - RICH-TILTED KILT"</f>
        <v>000270217 - RICH-TILTED KILT</v>
      </c>
      <c r="C14438" t="s">
        <v>491</v>
      </c>
      <c r="D14438" s="1" t="str">
        <f t="shared" si="399"/>
        <v>PRG-1042883</v>
      </c>
      <c r="E14438" t="s">
        <v>492</v>
      </c>
      <c r="F14438" t="s">
        <v>4</v>
      </c>
      <c r="G14438" t="str">
        <f>""</f>
        <v/>
      </c>
    </row>
    <row r="14439" spans="1:7" x14ac:dyDescent="0.25">
      <c r="A14439" t="s">
        <v>8</v>
      </c>
      <c r="B14439" s="1" t="str">
        <f>"000281150 - RICH FOODS-TILTED KILT"</f>
        <v>000281150 - RICH FOODS-TILTED KILT</v>
      </c>
      <c r="C14439" t="s">
        <v>565</v>
      </c>
      <c r="D14439" s="1" t="str">
        <f t="shared" si="399"/>
        <v>PRG-1042883</v>
      </c>
      <c r="E14439" t="s">
        <v>492</v>
      </c>
      <c r="F14439" t="s">
        <v>4</v>
      </c>
      <c r="G14439" t="str">
        <f>""</f>
        <v/>
      </c>
    </row>
    <row r="14440" spans="1:7" x14ac:dyDescent="0.25">
      <c r="A14440" t="s">
        <v>8</v>
      </c>
      <c r="B14440" s="1" t="str">
        <f>"000285053 - RICH-TILTED KILT"</f>
        <v>000285053 - RICH-TILTED KILT</v>
      </c>
      <c r="C14440" t="s">
        <v>491</v>
      </c>
      <c r="D14440" s="1" t="str">
        <f t="shared" si="399"/>
        <v>PRG-1042883</v>
      </c>
      <c r="E14440" t="s">
        <v>492</v>
      </c>
      <c r="F14440" t="s">
        <v>4</v>
      </c>
      <c r="G14440" t="str">
        <f>""</f>
        <v/>
      </c>
    </row>
    <row r="14441" spans="1:7" x14ac:dyDescent="0.25">
      <c r="A14441" t="s">
        <v>8</v>
      </c>
      <c r="B14441" s="1" t="str">
        <f>"000293804 - RICH-TILTED KILT"</f>
        <v>000293804 - RICH-TILTED KILT</v>
      </c>
      <c r="C14441" t="s">
        <v>491</v>
      </c>
      <c r="D14441" s="1" t="str">
        <f t="shared" si="399"/>
        <v>PRG-1042883</v>
      </c>
      <c r="E14441" t="s">
        <v>492</v>
      </c>
      <c r="F14441" t="s">
        <v>4</v>
      </c>
      <c r="G14441" t="str">
        <f>""</f>
        <v/>
      </c>
    </row>
    <row r="14442" spans="1:7" x14ac:dyDescent="0.25">
      <c r="A14442" t="s">
        <v>8</v>
      </c>
      <c r="B14442" s="1" t="str">
        <f>"000296451 - RICH FOODS-TILTED KILT"</f>
        <v>000296451 - RICH FOODS-TILTED KILT</v>
      </c>
      <c r="C14442" t="s">
        <v>565</v>
      </c>
      <c r="D14442" s="1" t="str">
        <f t="shared" si="399"/>
        <v>PRG-1042883</v>
      </c>
      <c r="E14442" t="s">
        <v>492</v>
      </c>
      <c r="F14442" t="s">
        <v>4</v>
      </c>
      <c r="G14442" t="str">
        <f>""</f>
        <v/>
      </c>
    </row>
    <row r="14443" spans="1:7" x14ac:dyDescent="0.25">
      <c r="A14443" t="s">
        <v>8</v>
      </c>
      <c r="B14443" s="1" t="str">
        <f>"000302886 - RICH FOODS-TILTED KILT"</f>
        <v>000302886 - RICH FOODS-TILTED KILT</v>
      </c>
      <c r="C14443" t="s">
        <v>565</v>
      </c>
      <c r="D14443" s="1" t="str">
        <f t="shared" si="399"/>
        <v>PRG-1042883</v>
      </c>
      <c r="E14443" t="s">
        <v>492</v>
      </c>
      <c r="F14443" t="s">
        <v>4</v>
      </c>
      <c r="G14443" t="str">
        <f>""</f>
        <v/>
      </c>
    </row>
    <row r="14444" spans="1:7" x14ac:dyDescent="0.25">
      <c r="A14444" t="s">
        <v>8</v>
      </c>
      <c r="B14444" s="1" t="str">
        <f>"000306186 - RICH FOODS-TILTED KILT"</f>
        <v>000306186 - RICH FOODS-TILTED KILT</v>
      </c>
      <c r="C14444" t="s">
        <v>565</v>
      </c>
      <c r="D14444" s="1" t="str">
        <f t="shared" si="399"/>
        <v>PRG-1042883</v>
      </c>
      <c r="E14444" t="s">
        <v>492</v>
      </c>
      <c r="F14444" t="s">
        <v>4</v>
      </c>
      <c r="G14444" t="str">
        <f>""</f>
        <v/>
      </c>
    </row>
    <row r="14445" spans="1:7" x14ac:dyDescent="0.25">
      <c r="A14445" t="s">
        <v>8</v>
      </c>
      <c r="B14445" s="1" t="str">
        <f>"000350139 - RICH FOODS-TILTED KILT"</f>
        <v>000350139 - RICH FOODS-TILTED KILT</v>
      </c>
      <c r="C14445" t="s">
        <v>565</v>
      </c>
      <c r="D14445" s="1" t="str">
        <f t="shared" si="399"/>
        <v>PRG-1042883</v>
      </c>
      <c r="E14445" t="s">
        <v>492</v>
      </c>
      <c r="F14445" t="s">
        <v>4</v>
      </c>
      <c r="G14445" t="str">
        <f>""</f>
        <v/>
      </c>
    </row>
    <row r="14446" spans="1:7" x14ac:dyDescent="0.25">
      <c r="A14446" t="s">
        <v>8</v>
      </c>
      <c r="B14446" s="1" t="str">
        <f>"000303970 - RICH'S HOME SLICE PIZZA"</f>
        <v>000303970 - RICH'S HOME SLICE PIZZA</v>
      </c>
      <c r="C14446" t="s">
        <v>3014</v>
      </c>
      <c r="D14446" s="1" t="str">
        <f>"PRG-1042889"</f>
        <v>PRG-1042889</v>
      </c>
      <c r="E14446" t="s">
        <v>3015</v>
      </c>
      <c r="F14446" t="s">
        <v>4</v>
      </c>
      <c r="G14446" t="str">
        <f>""</f>
        <v/>
      </c>
    </row>
    <row r="14447" spans="1:7" x14ac:dyDescent="0.25">
      <c r="A14447" t="s">
        <v>8</v>
      </c>
      <c r="B14447" s="1" t="str">
        <f>"S2J023P0"</f>
        <v>S2J023P0</v>
      </c>
      <c r="C14447" t="s">
        <v>5577</v>
      </c>
      <c r="D14447" s="1" t="str">
        <f>"PRG-1042890"</f>
        <v>PRG-1042890</v>
      </c>
      <c r="E14447" t="s">
        <v>5578</v>
      </c>
      <c r="F14447" t="s">
        <v>5</v>
      </c>
      <c r="G14447" t="str">
        <f>""</f>
        <v/>
      </c>
    </row>
    <row r="14448" spans="1:7" x14ac:dyDescent="0.25">
      <c r="A14448" t="s">
        <v>8</v>
      </c>
      <c r="B14448" s="1" t="str">
        <f>"000247809 - RICHS SMALLS SMOKEHOUSE"</f>
        <v>000247809 - RICHS SMALLS SMOKEHOUSE</v>
      </c>
      <c r="C14448" t="s">
        <v>2041</v>
      </c>
      <c r="D14448" s="1" t="str">
        <f>"PRG-1042891"</f>
        <v>PRG-1042891</v>
      </c>
      <c r="E14448" t="s">
        <v>2042</v>
      </c>
      <c r="F14448" t="s">
        <v>4</v>
      </c>
      <c r="G14448" t="str">
        <f>""</f>
        <v/>
      </c>
    </row>
    <row r="14449" spans="1:7" x14ac:dyDescent="0.25">
      <c r="A14449" t="s">
        <v>8</v>
      </c>
      <c r="B14449" s="1" t="str">
        <f>"S4C01M30"</f>
        <v>S4C01M30</v>
      </c>
      <c r="C14449" t="s">
        <v>5705</v>
      </c>
      <c r="D14449" s="1" t="str">
        <f>"PRG-1042893"</f>
        <v>PRG-1042893</v>
      </c>
      <c r="E14449" t="s">
        <v>5706</v>
      </c>
      <c r="F14449" t="s">
        <v>5</v>
      </c>
      <c r="G14449" t="str">
        <f>""</f>
        <v/>
      </c>
    </row>
    <row r="14450" spans="1:7" x14ac:dyDescent="0.25">
      <c r="A14450" t="s">
        <v>8</v>
      </c>
      <c r="B14450" s="1" t="str">
        <f>"10541344"</f>
        <v>10541344</v>
      </c>
      <c r="C14450" t="s">
        <v>3764</v>
      </c>
      <c r="D14450" s="1" t="str">
        <f>"PRG-1042895"</f>
        <v>PRG-1042895</v>
      </c>
      <c r="E14450" t="s">
        <v>3765</v>
      </c>
      <c r="F14450" t="s">
        <v>5</v>
      </c>
      <c r="G14450" t="str">
        <f>""</f>
        <v/>
      </c>
    </row>
    <row r="14451" spans="1:7" x14ac:dyDescent="0.25">
      <c r="A14451" t="s">
        <v>8</v>
      </c>
      <c r="B14451" s="1" t="str">
        <f>"S4Q00HH0"</f>
        <v>S4Q00HH0</v>
      </c>
      <c r="C14451" t="s">
        <v>5737</v>
      </c>
      <c r="D14451" s="1" t="str">
        <f>"PRG-1042897"</f>
        <v>PRG-1042897</v>
      </c>
      <c r="E14451" t="s">
        <v>5738</v>
      </c>
      <c r="F14451" t="s">
        <v>5</v>
      </c>
      <c r="G14451" t="str">
        <f>""</f>
        <v/>
      </c>
    </row>
    <row r="14452" spans="1:7" x14ac:dyDescent="0.25">
      <c r="A14452" t="s">
        <v>8</v>
      </c>
      <c r="B14452" s="1" t="str">
        <f>"000247807 - RICHS FOUNDERS INN"</f>
        <v>000247807 - RICHS FOUNDERS INN</v>
      </c>
      <c r="C14452" t="s">
        <v>2039</v>
      </c>
      <c r="D14452" s="1" t="str">
        <f>"PRG-1042900"</f>
        <v>PRG-1042900</v>
      </c>
      <c r="E14452" t="s">
        <v>2040</v>
      </c>
      <c r="F14452" t="s">
        <v>4</v>
      </c>
      <c r="G14452" t="str">
        <f>""</f>
        <v/>
      </c>
    </row>
    <row r="14453" spans="1:7" x14ac:dyDescent="0.25">
      <c r="A14453" t="s">
        <v>8</v>
      </c>
      <c r="B14453" s="1" t="str">
        <f>"000290045 - DOGMONEY REST.-RICHS FLATBREAD"</f>
        <v>000290045 - DOGMONEY REST.-RICHS FLATBREAD</v>
      </c>
      <c r="C14453" t="s">
        <v>2807</v>
      </c>
      <c r="D14453" s="1" t="str">
        <f>"PRG-1042905"</f>
        <v>PRG-1042905</v>
      </c>
      <c r="E14453" t="s">
        <v>2808</v>
      </c>
      <c r="F14453" t="s">
        <v>4</v>
      </c>
      <c r="G14453" t="str">
        <f>""</f>
        <v/>
      </c>
    </row>
    <row r="14454" spans="1:7" x14ac:dyDescent="0.25">
      <c r="A14454" t="s">
        <v>8</v>
      </c>
      <c r="B14454" s="1" t="str">
        <f>"000292768 - MELT GOURMET CHEESEBURGER RICH"</f>
        <v>000292768 - MELT GOURMET CHEESEBURGER RICH</v>
      </c>
      <c r="C14454" t="s">
        <v>2865</v>
      </c>
      <c r="D14454" s="1" t="str">
        <f>"PRG-1042918"</f>
        <v>PRG-1042918</v>
      </c>
      <c r="E14454" t="s">
        <v>2866</v>
      </c>
      <c r="F14454" t="s">
        <v>4</v>
      </c>
      <c r="G14454" t="str">
        <f>""</f>
        <v/>
      </c>
    </row>
    <row r="14455" spans="1:7" x14ac:dyDescent="0.25">
      <c r="A14455" t="s">
        <v>8</v>
      </c>
      <c r="B14455" s="1" t="str">
        <f>"000270254 - RICH'S PIGGLY WIGGLY"</f>
        <v>000270254 - RICH'S PIGGLY WIGGLY</v>
      </c>
      <c r="C14455" t="s">
        <v>2463</v>
      </c>
      <c r="D14455" s="1" t="str">
        <f>"PRG-1042919"</f>
        <v>PRG-1042919</v>
      </c>
      <c r="E14455" t="s">
        <v>2464</v>
      </c>
      <c r="F14455" t="s">
        <v>4</v>
      </c>
      <c r="G14455" t="str">
        <f>""</f>
        <v/>
      </c>
    </row>
    <row r="14456" spans="1:7" x14ac:dyDescent="0.25">
      <c r="A14456" t="s">
        <v>8</v>
      </c>
      <c r="B14456" s="1" t="str">
        <f>"000144507 - RICH BABY BULLS"</f>
        <v>000144507 - RICH BABY BULLS</v>
      </c>
      <c r="C14456" t="s">
        <v>993</v>
      </c>
      <c r="D14456" s="1" t="str">
        <f>"PRG-1042923"</f>
        <v>PRG-1042923</v>
      </c>
      <c r="E14456" t="s">
        <v>994</v>
      </c>
      <c r="F14456" t="s">
        <v>4</v>
      </c>
      <c r="G14456" t="str">
        <f>""</f>
        <v/>
      </c>
    </row>
    <row r="14457" spans="1:7" x14ac:dyDescent="0.25">
      <c r="A14457" t="s">
        <v>8</v>
      </c>
      <c r="B14457" s="1" t="str">
        <f>"000162980 - RICH BABY BULLS"</f>
        <v>000162980 - RICH BABY BULLS</v>
      </c>
      <c r="C14457" t="s">
        <v>993</v>
      </c>
      <c r="D14457" s="1" t="str">
        <f>"PRG-1042923"</f>
        <v>PRG-1042923</v>
      </c>
      <c r="E14457" t="s">
        <v>994</v>
      </c>
      <c r="F14457" t="s">
        <v>4</v>
      </c>
      <c r="G14457" t="str">
        <f>""</f>
        <v/>
      </c>
    </row>
    <row r="14458" spans="1:7" x14ac:dyDescent="0.25">
      <c r="A14458" t="s">
        <v>8</v>
      </c>
      <c r="B14458" s="1" t="str">
        <f>"000330627 - RICH  SIERRA HILLS MARKET"</f>
        <v>000330627 - RICH  SIERRA HILLS MARKET</v>
      </c>
      <c r="C14458" t="s">
        <v>3342</v>
      </c>
      <c r="D14458" s="1" t="str">
        <f>"PRG-1042943"</f>
        <v>PRG-1042943</v>
      </c>
      <c r="E14458" t="s">
        <v>3120</v>
      </c>
      <c r="F14458" t="s">
        <v>4</v>
      </c>
      <c r="G14458" t="str">
        <f>""</f>
        <v/>
      </c>
    </row>
    <row r="14459" spans="1:7" x14ac:dyDescent="0.25">
      <c r="A14459" t="s">
        <v>8</v>
      </c>
      <c r="B14459" s="1" t="str">
        <f>"S5Y00T70"</f>
        <v>S5Y00T70</v>
      </c>
      <c r="C14459" t="s">
        <v>5944</v>
      </c>
      <c r="D14459" s="1" t="str">
        <f>"PRG-1042945"</f>
        <v>PRG-1042945</v>
      </c>
      <c r="E14459" t="s">
        <v>5945</v>
      </c>
      <c r="F14459" t="s">
        <v>5</v>
      </c>
      <c r="G14459" t="str">
        <f>""</f>
        <v/>
      </c>
    </row>
    <row r="14460" spans="1:7" x14ac:dyDescent="0.25">
      <c r="A14460" t="s">
        <v>8</v>
      </c>
      <c r="B14460" s="1" t="str">
        <f>"S3V00X70"</f>
        <v>S3V00X70</v>
      </c>
      <c r="C14460" t="s">
        <v>5677</v>
      </c>
      <c r="D14460" s="1" t="str">
        <f>"PRG-1042952"</f>
        <v>PRG-1042952</v>
      </c>
      <c r="E14460" t="s">
        <v>5678</v>
      </c>
      <c r="F14460" t="s">
        <v>5</v>
      </c>
      <c r="G14460" t="str">
        <f>""</f>
        <v/>
      </c>
    </row>
    <row r="14461" spans="1:7" x14ac:dyDescent="0.25">
      <c r="A14461" t="s">
        <v>8</v>
      </c>
      <c r="B14461" s="1" t="str">
        <f>"000334784 - RICHS  KOLACHE FACTORY"</f>
        <v>000334784 - RICHS  KOLACHE FACTORY</v>
      </c>
      <c r="C14461" t="s">
        <v>3386</v>
      </c>
      <c r="D14461" s="1" t="str">
        <f>"PRG-1042958"</f>
        <v>PRG-1042958</v>
      </c>
      <c r="E14461" t="s">
        <v>3387</v>
      </c>
      <c r="F14461" t="s">
        <v>4</v>
      </c>
      <c r="G14461" t="str">
        <f>""</f>
        <v/>
      </c>
    </row>
    <row r="14462" spans="1:7" x14ac:dyDescent="0.25">
      <c r="A14462" t="s">
        <v>8</v>
      </c>
      <c r="B14462" s="1" t="str">
        <f>"000364770 - RICH FOODS KOLACHE FACTORY ALW"</f>
        <v>000364770 - RICH FOODS KOLACHE FACTORY ALW</v>
      </c>
      <c r="C14462" t="s">
        <v>3272</v>
      </c>
      <c r="D14462" s="1" t="str">
        <f>"PRG-1042958"</f>
        <v>PRG-1042958</v>
      </c>
      <c r="E14462" t="s">
        <v>3387</v>
      </c>
      <c r="F14462" t="s">
        <v>4</v>
      </c>
      <c r="G14462" t="str">
        <f>""</f>
        <v/>
      </c>
    </row>
    <row r="14463" spans="1:7" x14ac:dyDescent="0.25">
      <c r="A14463" t="s">
        <v>8</v>
      </c>
      <c r="B14463" s="1" t="str">
        <f>"000173250 - RICH'S FOODS - BURNEY'S"</f>
        <v>000173250 - RICH'S FOODS - BURNEY'S</v>
      </c>
      <c r="C14463" t="s">
        <v>1087</v>
      </c>
      <c r="D14463" s="1" t="str">
        <f>"PRG-1042963"</f>
        <v>PRG-1042963</v>
      </c>
      <c r="E14463" t="s">
        <v>1107</v>
      </c>
      <c r="F14463" t="s">
        <v>4</v>
      </c>
      <c r="G14463" t="str">
        <f>""</f>
        <v/>
      </c>
    </row>
    <row r="14464" spans="1:7" x14ac:dyDescent="0.25">
      <c r="A14464" t="s">
        <v>8</v>
      </c>
      <c r="B14464" s="1" t="str">
        <f>"S8E011B0"</f>
        <v>S8E011B0</v>
      </c>
      <c r="C14464" t="s">
        <v>6240</v>
      </c>
      <c r="D14464" s="1" t="str">
        <f>"PRG-1042968"</f>
        <v>PRG-1042968</v>
      </c>
      <c r="E14464" t="s">
        <v>6241</v>
      </c>
      <c r="F14464" t="s">
        <v>5</v>
      </c>
      <c r="G14464" t="str">
        <f>""</f>
        <v/>
      </c>
    </row>
    <row r="14465" spans="1:7" x14ac:dyDescent="0.25">
      <c r="A14465" t="s">
        <v>8</v>
      </c>
      <c r="B14465" s="1" t="str">
        <f>"000301046 - B W &amp; R RICH'S"</f>
        <v>000301046 - B W &amp; R RICH'S</v>
      </c>
      <c r="C14465" t="s">
        <v>2975</v>
      </c>
      <c r="D14465" s="1" t="str">
        <f>"PRG-1042976"</f>
        <v>PRG-1042976</v>
      </c>
      <c r="E14465" t="s">
        <v>2278</v>
      </c>
      <c r="F14465" t="s">
        <v>4</v>
      </c>
      <c r="G14465" t="str">
        <f>""</f>
        <v/>
      </c>
    </row>
    <row r="14466" spans="1:7" x14ac:dyDescent="0.25">
      <c r="A14466" t="s">
        <v>8</v>
      </c>
      <c r="B14466" s="1" t="str">
        <f>"000280513 - RICH FOODS-ELIOR"</f>
        <v>000280513 - RICH FOODS-ELIOR</v>
      </c>
      <c r="C14466" t="s">
        <v>659</v>
      </c>
      <c r="D14466" s="1" t="str">
        <f>"PRG-1042998"</f>
        <v>PRG-1042998</v>
      </c>
      <c r="E14466" t="s">
        <v>2109</v>
      </c>
      <c r="F14466" t="s">
        <v>4</v>
      </c>
      <c r="G14466" t="str">
        <f>""</f>
        <v/>
      </c>
    </row>
    <row r="14467" spans="1:7" x14ac:dyDescent="0.25">
      <c r="A14467" t="s">
        <v>8</v>
      </c>
      <c r="B14467" s="1" t="str">
        <f>"000216905 - RICH'S GLENDALE CAFE SERVICES"</f>
        <v>000216905 - RICH'S GLENDALE CAFE SERVICES</v>
      </c>
      <c r="C14467" t="s">
        <v>1542</v>
      </c>
      <c r="D14467" s="1" t="str">
        <f>"PRG-1043037"</f>
        <v>PRG-1043037</v>
      </c>
      <c r="E14467" t="s">
        <v>1543</v>
      </c>
      <c r="F14467" t="s">
        <v>4</v>
      </c>
      <c r="G14467" t="str">
        <f>""</f>
        <v/>
      </c>
    </row>
    <row r="14468" spans="1:7" x14ac:dyDescent="0.25">
      <c r="A14468" t="s">
        <v>8</v>
      </c>
      <c r="B14468" s="1" t="str">
        <f>"000288900 - RICH FOODS-MEXICAN RESTAURANTS"</f>
        <v>000288900 - RICH FOODS-MEXICAN RESTAURANTS</v>
      </c>
      <c r="C14468" t="s">
        <v>2788</v>
      </c>
      <c r="D14468" s="1" t="str">
        <f>"PRG-1043048"</f>
        <v>PRG-1043048</v>
      </c>
      <c r="E14468" t="s">
        <v>2417</v>
      </c>
      <c r="F14468" t="s">
        <v>4</v>
      </c>
      <c r="G14468" t="str">
        <f>""</f>
        <v/>
      </c>
    </row>
    <row r="14469" spans="1:7" x14ac:dyDescent="0.25">
      <c r="A14469" t="s">
        <v>8</v>
      </c>
      <c r="B14469" s="1" t="str">
        <f>"000357133 - RICH FOODS-MEXICAN RESTAURANTS"</f>
        <v>000357133 - RICH FOODS-MEXICAN RESTAURANTS</v>
      </c>
      <c r="C14469" t="s">
        <v>2788</v>
      </c>
      <c r="D14469" s="1" t="str">
        <f>"PRG-1043048"</f>
        <v>PRG-1043048</v>
      </c>
      <c r="E14469" t="s">
        <v>2417</v>
      </c>
      <c r="F14469" t="s">
        <v>4</v>
      </c>
      <c r="G14469" t="str">
        <f>""</f>
        <v/>
      </c>
    </row>
    <row r="14470" spans="1:7" x14ac:dyDescent="0.25">
      <c r="A14470" t="s">
        <v>8</v>
      </c>
      <c r="B14470" s="1" t="str">
        <f>"000366747 - RICH FOODS-MEXICAN RESTAURANTS"</f>
        <v>000366747 - RICH FOODS-MEXICAN RESTAURANTS</v>
      </c>
      <c r="C14470" t="s">
        <v>2788</v>
      </c>
      <c r="D14470" s="1" t="str">
        <f>"PRG-1043048"</f>
        <v>PRG-1043048</v>
      </c>
      <c r="E14470" t="s">
        <v>2417</v>
      </c>
      <c r="F14470" t="s">
        <v>4</v>
      </c>
      <c r="G14470" t="str">
        <f>""</f>
        <v/>
      </c>
    </row>
    <row r="14471" spans="1:7" x14ac:dyDescent="0.25">
      <c r="A14471" t="s">
        <v>8</v>
      </c>
      <c r="B14471" s="1" t="str">
        <f>"000397587 - RICH PRODUCTS JACS BAR &amp; GRILL"</f>
        <v>000397587 - RICH PRODUCTS JACS BAR &amp; GRILL</v>
      </c>
      <c r="C14471" t="s">
        <v>3714</v>
      </c>
      <c r="D14471" s="1" t="str">
        <f>"PRG-1043087"</f>
        <v>PRG-1043087</v>
      </c>
      <c r="E14471" t="s">
        <v>3715</v>
      </c>
      <c r="F14471" t="s">
        <v>4</v>
      </c>
      <c r="G14471" t="str">
        <f>""</f>
        <v/>
      </c>
    </row>
    <row r="14472" spans="1:7" x14ac:dyDescent="0.25">
      <c r="A14472" t="s">
        <v>8</v>
      </c>
      <c r="B14472" s="1" t="str">
        <f>"000006679 - RICH FOODS-CENTERPLATE"</f>
        <v>000006679 - RICH FOODS-CENTERPLATE</v>
      </c>
      <c r="C14472" t="s">
        <v>242</v>
      </c>
      <c r="D14472" s="1" t="str">
        <f t="shared" ref="D14472:D14503" si="400">"PRG-1043122"</f>
        <v>PRG-1043122</v>
      </c>
      <c r="E14472" t="s">
        <v>243</v>
      </c>
      <c r="F14472" t="s">
        <v>4</v>
      </c>
      <c r="G14472" t="str">
        <f>""</f>
        <v/>
      </c>
    </row>
    <row r="14473" spans="1:7" x14ac:dyDescent="0.25">
      <c r="A14473" t="s">
        <v>8</v>
      </c>
      <c r="B14473" s="1" t="str">
        <f>"000031950 - RICH FOODS-CENTERPLATE"</f>
        <v>000031950 - RICH FOODS-CENTERPLATE</v>
      </c>
      <c r="C14473" t="s">
        <v>242</v>
      </c>
      <c r="D14473" s="1" t="str">
        <f t="shared" si="400"/>
        <v>PRG-1043122</v>
      </c>
      <c r="E14473" t="s">
        <v>243</v>
      </c>
      <c r="F14473" t="s">
        <v>4</v>
      </c>
      <c r="G14473" t="str">
        <f>""</f>
        <v/>
      </c>
    </row>
    <row r="14474" spans="1:7" x14ac:dyDescent="0.25">
      <c r="A14474" t="s">
        <v>8</v>
      </c>
      <c r="B14474" s="1" t="str">
        <f>"000079119 - RICH FOODS-CENTERPLATE"</f>
        <v>000079119 - RICH FOODS-CENTERPLATE</v>
      </c>
      <c r="C14474" t="s">
        <v>242</v>
      </c>
      <c r="D14474" s="1" t="str">
        <f t="shared" si="400"/>
        <v>PRG-1043122</v>
      </c>
      <c r="E14474" t="s">
        <v>243</v>
      </c>
      <c r="F14474" t="s">
        <v>4</v>
      </c>
      <c r="G14474" t="str">
        <f>""</f>
        <v/>
      </c>
    </row>
    <row r="14475" spans="1:7" x14ac:dyDescent="0.25">
      <c r="A14475" t="s">
        <v>8</v>
      </c>
      <c r="B14475" s="1" t="str">
        <f>"000140655 - RICH FOODS NCORE-CENTERPLATE"</f>
        <v>000140655 - RICH FOODS NCORE-CENTERPLATE</v>
      </c>
      <c r="C14475" t="s">
        <v>512</v>
      </c>
      <c r="D14475" s="1" t="str">
        <f t="shared" si="400"/>
        <v>PRG-1043122</v>
      </c>
      <c r="E14475" t="s">
        <v>243</v>
      </c>
      <c r="F14475" t="s">
        <v>4</v>
      </c>
      <c r="G14475" t="str">
        <f>""</f>
        <v/>
      </c>
    </row>
    <row r="14476" spans="1:7" x14ac:dyDescent="0.25">
      <c r="A14476" t="s">
        <v>8</v>
      </c>
      <c r="B14476" s="1" t="str">
        <f>"000152442 - RICH NCORE-CENTERPLATE"</f>
        <v>000152442 - RICH NCORE-CENTERPLATE</v>
      </c>
      <c r="C14476" t="s">
        <v>652</v>
      </c>
      <c r="D14476" s="1" t="str">
        <f t="shared" si="400"/>
        <v>PRG-1043122</v>
      </c>
      <c r="E14476" t="s">
        <v>243</v>
      </c>
      <c r="F14476" t="s">
        <v>4</v>
      </c>
      <c r="G14476" t="str">
        <f>""</f>
        <v/>
      </c>
    </row>
    <row r="14477" spans="1:7" x14ac:dyDescent="0.25">
      <c r="A14477" t="s">
        <v>8</v>
      </c>
      <c r="B14477" s="1" t="str">
        <f>"000172164 - RICH FOODS-CENTERPLATE"</f>
        <v>000172164 - RICH FOODS-CENTERPLATE</v>
      </c>
      <c r="C14477" t="s">
        <v>242</v>
      </c>
      <c r="D14477" s="1" t="str">
        <f t="shared" si="400"/>
        <v>PRG-1043122</v>
      </c>
      <c r="E14477" t="s">
        <v>243</v>
      </c>
      <c r="F14477" t="s">
        <v>4</v>
      </c>
      <c r="G14477" t="str">
        <f>""</f>
        <v/>
      </c>
    </row>
    <row r="14478" spans="1:7" x14ac:dyDescent="0.25">
      <c r="A14478" t="s">
        <v>8</v>
      </c>
      <c r="B14478" s="1" t="str">
        <f>"000174846 - RICH FOODS NCORE-CENTERPLATE"</f>
        <v>000174846 - RICH FOODS NCORE-CENTERPLATE</v>
      </c>
      <c r="C14478" t="s">
        <v>512</v>
      </c>
      <c r="D14478" s="1" t="str">
        <f t="shared" si="400"/>
        <v>PRG-1043122</v>
      </c>
      <c r="E14478" t="s">
        <v>243</v>
      </c>
      <c r="F14478" t="s">
        <v>4</v>
      </c>
      <c r="G14478" t="str">
        <f>""</f>
        <v/>
      </c>
    </row>
    <row r="14479" spans="1:7" x14ac:dyDescent="0.25">
      <c r="A14479" t="s">
        <v>8</v>
      </c>
      <c r="B14479" s="1" t="str">
        <f>"000175996 - RICH FOODS-CENTERPLATE"</f>
        <v>000175996 - RICH FOODS-CENTERPLATE</v>
      </c>
      <c r="C14479" t="s">
        <v>242</v>
      </c>
      <c r="D14479" s="1" t="str">
        <f t="shared" si="400"/>
        <v>PRG-1043122</v>
      </c>
      <c r="E14479" t="s">
        <v>243</v>
      </c>
      <c r="F14479" t="s">
        <v>4</v>
      </c>
      <c r="G14479" t="str">
        <f>""</f>
        <v/>
      </c>
    </row>
    <row r="14480" spans="1:7" x14ac:dyDescent="0.25">
      <c r="A14480" t="s">
        <v>8</v>
      </c>
      <c r="B14480" s="1" t="str">
        <f>"000185625 - RICH FOODS NCOREBB-CENTERPLATE"</f>
        <v>000185625 - RICH FOODS NCOREBB-CENTERPLATE</v>
      </c>
      <c r="C14480" t="s">
        <v>602</v>
      </c>
      <c r="D14480" s="1" t="str">
        <f t="shared" si="400"/>
        <v>PRG-1043122</v>
      </c>
      <c r="E14480" t="s">
        <v>243</v>
      </c>
      <c r="F14480" t="s">
        <v>4</v>
      </c>
      <c r="G14480" t="str">
        <f>""</f>
        <v/>
      </c>
    </row>
    <row r="14481" spans="1:7" x14ac:dyDescent="0.25">
      <c r="A14481" t="s">
        <v>8</v>
      </c>
      <c r="B14481" s="1" t="str">
        <f>"000200445 - RICH FOODS NCOREBB-CENTERPLATE"</f>
        <v>000200445 - RICH FOODS NCOREBB-CENTERPLATE</v>
      </c>
      <c r="C14481" t="s">
        <v>602</v>
      </c>
      <c r="D14481" s="1" t="str">
        <f t="shared" si="400"/>
        <v>PRG-1043122</v>
      </c>
      <c r="E14481" t="s">
        <v>243</v>
      </c>
      <c r="F14481" t="s">
        <v>4</v>
      </c>
      <c r="G14481" t="str">
        <f>""</f>
        <v/>
      </c>
    </row>
    <row r="14482" spans="1:7" x14ac:dyDescent="0.25">
      <c r="A14482" t="s">
        <v>8</v>
      </c>
      <c r="B14482" s="1" t="str">
        <f>"000221173 - RICH PRODUCTS-CENTERPLATE"</f>
        <v>000221173 - RICH PRODUCTS-CENTERPLATE</v>
      </c>
      <c r="C14482" t="s">
        <v>395</v>
      </c>
      <c r="D14482" s="1" t="str">
        <f t="shared" si="400"/>
        <v>PRG-1043122</v>
      </c>
      <c r="E14482" t="s">
        <v>243</v>
      </c>
      <c r="F14482" t="s">
        <v>4</v>
      </c>
      <c r="G14482" t="str">
        <f>""</f>
        <v/>
      </c>
    </row>
    <row r="14483" spans="1:7" x14ac:dyDescent="0.25">
      <c r="A14483" t="s">
        <v>8</v>
      </c>
      <c r="B14483" s="1" t="str">
        <f>"000226391 - RICH FOODS NCORE-CENTERPLATE"</f>
        <v>000226391 - RICH FOODS NCORE-CENTERPLATE</v>
      </c>
      <c r="C14483" t="s">
        <v>512</v>
      </c>
      <c r="D14483" s="1" t="str">
        <f t="shared" si="400"/>
        <v>PRG-1043122</v>
      </c>
      <c r="E14483" t="s">
        <v>243</v>
      </c>
      <c r="F14483" t="s">
        <v>4</v>
      </c>
      <c r="G14483" t="str">
        <f>""</f>
        <v/>
      </c>
    </row>
    <row r="14484" spans="1:7" x14ac:dyDescent="0.25">
      <c r="A14484" t="s">
        <v>8</v>
      </c>
      <c r="B14484" s="1" t="str">
        <f>"000226642 - RICH FOODS-CENTERPLATE"</f>
        <v>000226642 - RICH FOODS-CENTERPLATE</v>
      </c>
      <c r="C14484" t="s">
        <v>242</v>
      </c>
      <c r="D14484" s="1" t="str">
        <f t="shared" si="400"/>
        <v>PRG-1043122</v>
      </c>
      <c r="E14484" t="s">
        <v>243</v>
      </c>
      <c r="F14484" t="s">
        <v>4</v>
      </c>
      <c r="G14484" t="str">
        <f>""</f>
        <v/>
      </c>
    </row>
    <row r="14485" spans="1:7" x14ac:dyDescent="0.25">
      <c r="A14485" t="s">
        <v>8</v>
      </c>
      <c r="B14485" s="1" t="str">
        <f>"000234490 - RICH FOODS NCORE-CENTERPLATE"</f>
        <v>000234490 - RICH FOODS NCORE-CENTERPLATE</v>
      </c>
      <c r="C14485" t="s">
        <v>512</v>
      </c>
      <c r="D14485" s="1" t="str">
        <f t="shared" si="400"/>
        <v>PRG-1043122</v>
      </c>
      <c r="E14485" t="s">
        <v>243</v>
      </c>
      <c r="F14485" t="s">
        <v>4</v>
      </c>
      <c r="G14485" t="str">
        <f>""</f>
        <v/>
      </c>
    </row>
    <row r="14486" spans="1:7" x14ac:dyDescent="0.25">
      <c r="A14486" t="s">
        <v>8</v>
      </c>
      <c r="B14486" s="1" t="str">
        <f>"000236378 - RICH FOODS NCORE-CENTERPLATE"</f>
        <v>000236378 - RICH FOODS NCORE-CENTERPLATE</v>
      </c>
      <c r="C14486" t="s">
        <v>512</v>
      </c>
      <c r="D14486" s="1" t="str">
        <f t="shared" si="400"/>
        <v>PRG-1043122</v>
      </c>
      <c r="E14486" t="s">
        <v>243</v>
      </c>
      <c r="F14486" t="s">
        <v>4</v>
      </c>
      <c r="G14486" t="str">
        <f>""</f>
        <v/>
      </c>
    </row>
    <row r="14487" spans="1:7" x14ac:dyDescent="0.25">
      <c r="A14487" t="s">
        <v>8</v>
      </c>
      <c r="B14487" s="1" t="str">
        <f>"000237295 - RICH FOODS-CENTERPLATE"</f>
        <v>000237295 - RICH FOODS-CENTERPLATE</v>
      </c>
      <c r="C14487" t="s">
        <v>242</v>
      </c>
      <c r="D14487" s="1" t="str">
        <f t="shared" si="400"/>
        <v>PRG-1043122</v>
      </c>
      <c r="E14487" t="s">
        <v>243</v>
      </c>
      <c r="F14487" t="s">
        <v>4</v>
      </c>
      <c r="G14487" t="str">
        <f>""</f>
        <v/>
      </c>
    </row>
    <row r="14488" spans="1:7" x14ac:dyDescent="0.25">
      <c r="A14488" t="s">
        <v>8</v>
      </c>
      <c r="B14488" s="1" t="str">
        <f>"000241212 - RICH FOODS-CENTERPLATE"</f>
        <v>000241212 - RICH FOODS-CENTERPLATE</v>
      </c>
      <c r="C14488" t="s">
        <v>242</v>
      </c>
      <c r="D14488" s="1" t="str">
        <f t="shared" si="400"/>
        <v>PRG-1043122</v>
      </c>
      <c r="E14488" t="s">
        <v>243</v>
      </c>
      <c r="F14488" t="s">
        <v>4</v>
      </c>
      <c r="G14488" t="str">
        <f>""</f>
        <v/>
      </c>
    </row>
    <row r="14489" spans="1:7" x14ac:dyDescent="0.25">
      <c r="A14489" t="s">
        <v>8</v>
      </c>
      <c r="B14489" s="1" t="str">
        <f>"000248060 - RICH FOODS NCORE-CENTERPLATE"</f>
        <v>000248060 - RICH FOODS NCORE-CENTERPLATE</v>
      </c>
      <c r="C14489" t="s">
        <v>512</v>
      </c>
      <c r="D14489" s="1" t="str">
        <f t="shared" si="400"/>
        <v>PRG-1043122</v>
      </c>
      <c r="E14489" t="s">
        <v>243</v>
      </c>
      <c r="F14489" t="s">
        <v>4</v>
      </c>
      <c r="G14489" t="str">
        <f>""</f>
        <v/>
      </c>
    </row>
    <row r="14490" spans="1:7" x14ac:dyDescent="0.25">
      <c r="A14490" t="s">
        <v>8</v>
      </c>
      <c r="B14490" s="1" t="str">
        <f>"000248994 - RICH PRODUCTS-CENTERPLATE"</f>
        <v>000248994 - RICH PRODUCTS-CENTERPLATE</v>
      </c>
      <c r="C14490" t="s">
        <v>395</v>
      </c>
      <c r="D14490" s="1" t="str">
        <f t="shared" si="400"/>
        <v>PRG-1043122</v>
      </c>
      <c r="E14490" t="s">
        <v>243</v>
      </c>
      <c r="F14490" t="s">
        <v>4</v>
      </c>
      <c r="G14490" t="str">
        <f>""</f>
        <v/>
      </c>
    </row>
    <row r="14491" spans="1:7" x14ac:dyDescent="0.25">
      <c r="A14491" t="s">
        <v>8</v>
      </c>
      <c r="B14491" s="1" t="str">
        <f>"000250050 - RICH FOODS-CENTERPLATE"</f>
        <v>000250050 - RICH FOODS-CENTERPLATE</v>
      </c>
      <c r="C14491" t="s">
        <v>242</v>
      </c>
      <c r="D14491" s="1" t="str">
        <f t="shared" si="400"/>
        <v>PRG-1043122</v>
      </c>
      <c r="E14491" t="s">
        <v>243</v>
      </c>
      <c r="F14491" t="s">
        <v>4</v>
      </c>
      <c r="G14491" t="str">
        <f>""</f>
        <v/>
      </c>
    </row>
    <row r="14492" spans="1:7" x14ac:dyDescent="0.25">
      <c r="A14492" t="s">
        <v>8</v>
      </c>
      <c r="B14492" s="1" t="str">
        <f>"000251882 - RICH FOODS-CENTERPLATE"</f>
        <v>000251882 - RICH FOODS-CENTERPLATE</v>
      </c>
      <c r="C14492" t="s">
        <v>242</v>
      </c>
      <c r="D14492" s="1" t="str">
        <f t="shared" si="400"/>
        <v>PRG-1043122</v>
      </c>
      <c r="E14492" t="s">
        <v>243</v>
      </c>
      <c r="F14492" t="s">
        <v>4</v>
      </c>
      <c r="G14492" t="str">
        <f>""</f>
        <v/>
      </c>
    </row>
    <row r="14493" spans="1:7" x14ac:dyDescent="0.25">
      <c r="A14493" t="s">
        <v>8</v>
      </c>
      <c r="B14493" s="1" t="str">
        <f>"000255459 - RICH FOODS-CENTERPLATE"</f>
        <v>000255459 - RICH FOODS-CENTERPLATE</v>
      </c>
      <c r="C14493" t="s">
        <v>242</v>
      </c>
      <c r="D14493" s="1" t="str">
        <f t="shared" si="400"/>
        <v>PRG-1043122</v>
      </c>
      <c r="E14493" t="s">
        <v>243</v>
      </c>
      <c r="F14493" t="s">
        <v>4</v>
      </c>
      <c r="G14493" t="str">
        <f>""</f>
        <v/>
      </c>
    </row>
    <row r="14494" spans="1:7" x14ac:dyDescent="0.25">
      <c r="A14494" t="s">
        <v>8</v>
      </c>
      <c r="B14494" s="1" t="str">
        <f>"000269238 - RICH FOODS-CENTERPLATE"</f>
        <v>000269238 - RICH FOODS-CENTERPLATE</v>
      </c>
      <c r="C14494" t="s">
        <v>242</v>
      </c>
      <c r="D14494" s="1" t="str">
        <f t="shared" si="400"/>
        <v>PRG-1043122</v>
      </c>
      <c r="E14494" t="s">
        <v>243</v>
      </c>
      <c r="F14494" t="s">
        <v>4</v>
      </c>
      <c r="G14494" t="str">
        <f>""</f>
        <v/>
      </c>
    </row>
    <row r="14495" spans="1:7" x14ac:dyDescent="0.25">
      <c r="A14495" t="s">
        <v>8</v>
      </c>
      <c r="B14495" s="1" t="str">
        <f>"000277184 - RICH FOODS-CENTERPLATE"</f>
        <v>000277184 - RICH FOODS-CENTERPLATE</v>
      </c>
      <c r="C14495" t="s">
        <v>242</v>
      </c>
      <c r="D14495" s="1" t="str">
        <f t="shared" si="400"/>
        <v>PRG-1043122</v>
      </c>
      <c r="E14495" t="s">
        <v>243</v>
      </c>
      <c r="F14495" t="s">
        <v>4</v>
      </c>
      <c r="G14495" t="str">
        <f>""</f>
        <v/>
      </c>
    </row>
    <row r="14496" spans="1:7" x14ac:dyDescent="0.25">
      <c r="A14496" t="s">
        <v>8</v>
      </c>
      <c r="B14496" s="1" t="str">
        <f>"000277193 - RICH FOODS-CENTERPLATE"</f>
        <v>000277193 - RICH FOODS-CENTERPLATE</v>
      </c>
      <c r="C14496" t="s">
        <v>242</v>
      </c>
      <c r="D14496" s="1" t="str">
        <f t="shared" si="400"/>
        <v>PRG-1043122</v>
      </c>
      <c r="E14496" t="s">
        <v>243</v>
      </c>
      <c r="F14496" t="s">
        <v>4</v>
      </c>
      <c r="G14496" t="str">
        <f>""</f>
        <v/>
      </c>
    </row>
    <row r="14497" spans="1:7" x14ac:dyDescent="0.25">
      <c r="A14497" t="s">
        <v>8</v>
      </c>
      <c r="B14497" s="1" t="str">
        <f>"000277654 - RICH FOODS NCORE-CENTERPLATE"</f>
        <v>000277654 - RICH FOODS NCORE-CENTERPLATE</v>
      </c>
      <c r="C14497" t="s">
        <v>512</v>
      </c>
      <c r="D14497" s="1" t="str">
        <f t="shared" si="400"/>
        <v>PRG-1043122</v>
      </c>
      <c r="E14497" t="s">
        <v>243</v>
      </c>
      <c r="F14497" t="s">
        <v>4</v>
      </c>
      <c r="G14497" t="str">
        <f>""</f>
        <v/>
      </c>
    </row>
    <row r="14498" spans="1:7" x14ac:dyDescent="0.25">
      <c r="A14498" t="s">
        <v>8</v>
      </c>
      <c r="B14498" s="1" t="str">
        <f>"000278494 - RICH FOODS-CENTERPLATE"</f>
        <v>000278494 - RICH FOODS-CENTERPLATE</v>
      </c>
      <c r="C14498" t="s">
        <v>242</v>
      </c>
      <c r="D14498" s="1" t="str">
        <f t="shared" si="400"/>
        <v>PRG-1043122</v>
      </c>
      <c r="E14498" t="s">
        <v>243</v>
      </c>
      <c r="F14498" t="s">
        <v>4</v>
      </c>
      <c r="G14498" t="str">
        <f>""</f>
        <v/>
      </c>
    </row>
    <row r="14499" spans="1:7" x14ac:dyDescent="0.25">
      <c r="A14499" t="s">
        <v>8</v>
      </c>
      <c r="B14499" s="1" t="str">
        <f>"000280720 - RICH PRODUCTS-CENTERPLATE"</f>
        <v>000280720 - RICH PRODUCTS-CENTERPLATE</v>
      </c>
      <c r="C14499" t="s">
        <v>395</v>
      </c>
      <c r="D14499" s="1" t="str">
        <f t="shared" si="400"/>
        <v>PRG-1043122</v>
      </c>
      <c r="E14499" t="s">
        <v>243</v>
      </c>
      <c r="F14499" t="s">
        <v>4</v>
      </c>
      <c r="G14499" t="str">
        <f>""</f>
        <v/>
      </c>
    </row>
    <row r="14500" spans="1:7" x14ac:dyDescent="0.25">
      <c r="A14500" t="s">
        <v>8</v>
      </c>
      <c r="B14500" s="1" t="str">
        <f>"000287980 - RICH FOODS-CENTERPLATE"</f>
        <v>000287980 - RICH FOODS-CENTERPLATE</v>
      </c>
      <c r="C14500" t="s">
        <v>242</v>
      </c>
      <c r="D14500" s="1" t="str">
        <f t="shared" si="400"/>
        <v>PRG-1043122</v>
      </c>
      <c r="E14500" t="s">
        <v>243</v>
      </c>
      <c r="F14500" t="s">
        <v>4</v>
      </c>
      <c r="G14500" t="str">
        <f>""</f>
        <v/>
      </c>
    </row>
    <row r="14501" spans="1:7" x14ac:dyDescent="0.25">
      <c r="A14501" t="s">
        <v>8</v>
      </c>
      <c r="B14501" s="1" t="str">
        <f>"000296426 - RICH FOODS-CENTERPLATE"</f>
        <v>000296426 - RICH FOODS-CENTERPLATE</v>
      </c>
      <c r="C14501" t="s">
        <v>242</v>
      </c>
      <c r="D14501" s="1" t="str">
        <f t="shared" si="400"/>
        <v>PRG-1043122</v>
      </c>
      <c r="E14501" t="s">
        <v>243</v>
      </c>
      <c r="F14501" t="s">
        <v>4</v>
      </c>
      <c r="G14501" t="str">
        <f>""</f>
        <v/>
      </c>
    </row>
    <row r="14502" spans="1:7" x14ac:dyDescent="0.25">
      <c r="A14502" t="s">
        <v>8</v>
      </c>
      <c r="B14502" s="1" t="str">
        <f>"000297722 - RICH FOODS NCORE-CENTERPLATE"</f>
        <v>000297722 - RICH FOODS NCORE-CENTERPLATE</v>
      </c>
      <c r="C14502" t="s">
        <v>512</v>
      </c>
      <c r="D14502" s="1" t="str">
        <f t="shared" si="400"/>
        <v>PRG-1043122</v>
      </c>
      <c r="E14502" t="s">
        <v>243</v>
      </c>
      <c r="F14502" t="s">
        <v>4</v>
      </c>
      <c r="G14502" t="str">
        <f>""</f>
        <v/>
      </c>
    </row>
    <row r="14503" spans="1:7" x14ac:dyDescent="0.25">
      <c r="A14503" t="s">
        <v>8</v>
      </c>
      <c r="B14503" s="1" t="str">
        <f>"000297729 - RICH FOODS-CENTERPLATE"</f>
        <v>000297729 - RICH FOODS-CENTERPLATE</v>
      </c>
      <c r="C14503" t="s">
        <v>242</v>
      </c>
      <c r="D14503" s="1" t="str">
        <f t="shared" si="400"/>
        <v>PRG-1043122</v>
      </c>
      <c r="E14503" t="s">
        <v>243</v>
      </c>
      <c r="F14503" t="s">
        <v>4</v>
      </c>
      <c r="G14503" t="str">
        <f>""</f>
        <v/>
      </c>
    </row>
    <row r="14504" spans="1:7" x14ac:dyDescent="0.25">
      <c r="A14504" t="s">
        <v>8</v>
      </c>
      <c r="B14504" s="1" t="str">
        <f>"000302789 - RICH FOODS-CENTERPLATE"</f>
        <v>000302789 - RICH FOODS-CENTERPLATE</v>
      </c>
      <c r="C14504" t="s">
        <v>242</v>
      </c>
      <c r="D14504" s="1" t="str">
        <f t="shared" ref="D14504:D14523" si="401">"PRG-1043122"</f>
        <v>PRG-1043122</v>
      </c>
      <c r="E14504" t="s">
        <v>243</v>
      </c>
      <c r="F14504" t="s">
        <v>4</v>
      </c>
      <c r="G14504" t="str">
        <f>""</f>
        <v/>
      </c>
    </row>
    <row r="14505" spans="1:7" x14ac:dyDescent="0.25">
      <c r="A14505" t="s">
        <v>8</v>
      </c>
      <c r="B14505" s="1" t="str">
        <f>"000305525 - RICH FOODS NCORE-CENTERPLATE"</f>
        <v>000305525 - RICH FOODS NCORE-CENTERPLATE</v>
      </c>
      <c r="C14505" t="s">
        <v>512</v>
      </c>
      <c r="D14505" s="1" t="str">
        <f t="shared" si="401"/>
        <v>PRG-1043122</v>
      </c>
      <c r="E14505" t="s">
        <v>243</v>
      </c>
      <c r="F14505" t="s">
        <v>4</v>
      </c>
      <c r="G14505" t="str">
        <f>""</f>
        <v/>
      </c>
    </row>
    <row r="14506" spans="1:7" x14ac:dyDescent="0.25">
      <c r="A14506" t="s">
        <v>8</v>
      </c>
      <c r="B14506" s="1" t="str">
        <f>"000307330 - RICH FOODS NCORE-CENTERPLATE"</f>
        <v>000307330 - RICH FOODS NCORE-CENTERPLATE</v>
      </c>
      <c r="C14506" t="s">
        <v>512</v>
      </c>
      <c r="D14506" s="1" t="str">
        <f t="shared" si="401"/>
        <v>PRG-1043122</v>
      </c>
      <c r="E14506" t="s">
        <v>243</v>
      </c>
      <c r="F14506" t="s">
        <v>4</v>
      </c>
      <c r="G14506" t="str">
        <f>""</f>
        <v/>
      </c>
    </row>
    <row r="14507" spans="1:7" x14ac:dyDescent="0.25">
      <c r="A14507" t="s">
        <v>8</v>
      </c>
      <c r="B14507" s="1" t="str">
        <f>"000309654 - RICH FOODS-CENTERPLATE"</f>
        <v>000309654 - RICH FOODS-CENTERPLATE</v>
      </c>
      <c r="C14507" t="s">
        <v>242</v>
      </c>
      <c r="D14507" s="1" t="str">
        <f t="shared" si="401"/>
        <v>PRG-1043122</v>
      </c>
      <c r="E14507" t="s">
        <v>243</v>
      </c>
      <c r="F14507" t="s">
        <v>4</v>
      </c>
      <c r="G14507" t="str">
        <f>""</f>
        <v/>
      </c>
    </row>
    <row r="14508" spans="1:7" x14ac:dyDescent="0.25">
      <c r="A14508" t="s">
        <v>8</v>
      </c>
      <c r="B14508" s="1" t="str">
        <f>"000312513 - RICH FOODS NCOREBB-CENTERPLATE"</f>
        <v>000312513 - RICH FOODS NCOREBB-CENTERPLATE</v>
      </c>
      <c r="C14508" t="s">
        <v>602</v>
      </c>
      <c r="D14508" s="1" t="str">
        <f t="shared" si="401"/>
        <v>PRG-1043122</v>
      </c>
      <c r="E14508" t="s">
        <v>243</v>
      </c>
      <c r="F14508" t="s">
        <v>4</v>
      </c>
      <c r="G14508" t="str">
        <f>""</f>
        <v/>
      </c>
    </row>
    <row r="14509" spans="1:7" x14ac:dyDescent="0.25">
      <c r="A14509" t="s">
        <v>8</v>
      </c>
      <c r="B14509" s="1" t="str">
        <f>"000312538 - RICH NCORE-CENTERPLATE"</f>
        <v>000312538 - RICH NCORE-CENTERPLATE</v>
      </c>
      <c r="C14509" t="s">
        <v>652</v>
      </c>
      <c r="D14509" s="1" t="str">
        <f t="shared" si="401"/>
        <v>PRG-1043122</v>
      </c>
      <c r="E14509" t="s">
        <v>243</v>
      </c>
      <c r="F14509" t="s">
        <v>4</v>
      </c>
      <c r="G14509" t="str">
        <f>""</f>
        <v/>
      </c>
    </row>
    <row r="14510" spans="1:7" x14ac:dyDescent="0.25">
      <c r="A14510" t="s">
        <v>8</v>
      </c>
      <c r="B14510" s="1" t="str">
        <f>"000313140 - RICH FOODS NCORE-CENTERPLATE"</f>
        <v>000313140 - RICH FOODS NCORE-CENTERPLATE</v>
      </c>
      <c r="C14510" t="s">
        <v>512</v>
      </c>
      <c r="D14510" s="1" t="str">
        <f t="shared" si="401"/>
        <v>PRG-1043122</v>
      </c>
      <c r="E14510" t="s">
        <v>243</v>
      </c>
      <c r="F14510" t="s">
        <v>4</v>
      </c>
      <c r="G14510" t="str">
        <f>""</f>
        <v/>
      </c>
    </row>
    <row r="14511" spans="1:7" x14ac:dyDescent="0.25">
      <c r="A14511" t="s">
        <v>8</v>
      </c>
      <c r="B14511" s="1" t="str">
        <f>"000314103 - RICH FOODS NCORE-CENTERPLATE"</f>
        <v>000314103 - RICH FOODS NCORE-CENTERPLATE</v>
      </c>
      <c r="C14511" t="s">
        <v>512</v>
      </c>
      <c r="D14511" s="1" t="str">
        <f t="shared" si="401"/>
        <v>PRG-1043122</v>
      </c>
      <c r="E14511" t="s">
        <v>243</v>
      </c>
      <c r="F14511" t="s">
        <v>4</v>
      </c>
      <c r="G14511" t="str">
        <f>""</f>
        <v/>
      </c>
    </row>
    <row r="14512" spans="1:7" x14ac:dyDescent="0.25">
      <c r="A14512" t="s">
        <v>8</v>
      </c>
      <c r="B14512" s="1" t="str">
        <f>"000324915 - RICH FOODS NCORE-CENTERPLATE"</f>
        <v>000324915 - RICH FOODS NCORE-CENTERPLATE</v>
      </c>
      <c r="C14512" t="s">
        <v>512</v>
      </c>
      <c r="D14512" s="1" t="str">
        <f t="shared" si="401"/>
        <v>PRG-1043122</v>
      </c>
      <c r="E14512" t="s">
        <v>243</v>
      </c>
      <c r="F14512" t="s">
        <v>4</v>
      </c>
      <c r="G14512" t="str">
        <f>""</f>
        <v/>
      </c>
    </row>
    <row r="14513" spans="1:7" x14ac:dyDescent="0.25">
      <c r="A14513" t="s">
        <v>8</v>
      </c>
      <c r="B14513" s="1" t="str">
        <f>"000325652 - RICH FOODS NCORE-CENTERPLATE"</f>
        <v>000325652 - RICH FOODS NCORE-CENTERPLATE</v>
      </c>
      <c r="C14513" t="s">
        <v>512</v>
      </c>
      <c r="D14513" s="1" t="str">
        <f t="shared" si="401"/>
        <v>PRG-1043122</v>
      </c>
      <c r="E14513" t="s">
        <v>243</v>
      </c>
      <c r="F14513" t="s">
        <v>4</v>
      </c>
      <c r="G14513" t="str">
        <f>""</f>
        <v/>
      </c>
    </row>
    <row r="14514" spans="1:7" x14ac:dyDescent="0.25">
      <c r="A14514" t="s">
        <v>8</v>
      </c>
      <c r="B14514" s="1" t="str">
        <f>"000326587 - RICH FOODS-CENTERPLATE"</f>
        <v>000326587 - RICH FOODS-CENTERPLATE</v>
      </c>
      <c r="C14514" t="s">
        <v>242</v>
      </c>
      <c r="D14514" s="1" t="str">
        <f t="shared" si="401"/>
        <v>PRG-1043122</v>
      </c>
      <c r="E14514" t="s">
        <v>243</v>
      </c>
      <c r="F14514" t="s">
        <v>4</v>
      </c>
      <c r="G14514" t="str">
        <f>""</f>
        <v/>
      </c>
    </row>
    <row r="14515" spans="1:7" x14ac:dyDescent="0.25">
      <c r="A14515" t="s">
        <v>8</v>
      </c>
      <c r="B14515" s="1" t="str">
        <f>"000336015 - RICH FOODS-CENTERPLATE"</f>
        <v>000336015 - RICH FOODS-CENTERPLATE</v>
      </c>
      <c r="C14515" t="s">
        <v>242</v>
      </c>
      <c r="D14515" s="1" t="str">
        <f t="shared" si="401"/>
        <v>PRG-1043122</v>
      </c>
      <c r="E14515" t="s">
        <v>243</v>
      </c>
      <c r="F14515" t="s">
        <v>4</v>
      </c>
      <c r="G14515" t="str">
        <f>""</f>
        <v/>
      </c>
    </row>
    <row r="14516" spans="1:7" x14ac:dyDescent="0.25">
      <c r="A14516" t="s">
        <v>8</v>
      </c>
      <c r="B14516" s="1" t="str">
        <f>"000357224 - "</f>
        <v xml:space="preserve">000357224 - </v>
      </c>
      <c r="D14516" s="1" t="str">
        <f t="shared" si="401"/>
        <v>PRG-1043122</v>
      </c>
      <c r="E14516" t="s">
        <v>243</v>
      </c>
      <c r="F14516" t="s">
        <v>4</v>
      </c>
      <c r="G14516" t="str">
        <f>""</f>
        <v/>
      </c>
    </row>
    <row r="14517" spans="1:7" x14ac:dyDescent="0.25">
      <c r="A14517" t="s">
        <v>8</v>
      </c>
      <c r="B14517" s="1" t="str">
        <f>"000359269 - RICH FOODS-CENTERPLATE"</f>
        <v>000359269 - RICH FOODS-CENTERPLATE</v>
      </c>
      <c r="C14517" t="s">
        <v>242</v>
      </c>
      <c r="D14517" s="1" t="str">
        <f t="shared" si="401"/>
        <v>PRG-1043122</v>
      </c>
      <c r="E14517" t="s">
        <v>243</v>
      </c>
      <c r="F14517" t="s">
        <v>4</v>
      </c>
      <c r="G14517" t="str">
        <f>""</f>
        <v/>
      </c>
    </row>
    <row r="14518" spans="1:7" x14ac:dyDescent="0.25">
      <c r="A14518" t="s">
        <v>8</v>
      </c>
      <c r="B14518" s="1" t="str">
        <f>"000363225 - RICH FOODS-CENTERPLATE"</f>
        <v>000363225 - RICH FOODS-CENTERPLATE</v>
      </c>
      <c r="C14518" t="s">
        <v>242</v>
      </c>
      <c r="D14518" s="1" t="str">
        <f t="shared" si="401"/>
        <v>PRG-1043122</v>
      </c>
      <c r="E14518" t="s">
        <v>243</v>
      </c>
      <c r="F14518" t="s">
        <v>4</v>
      </c>
      <c r="G14518" t="str">
        <f>""</f>
        <v/>
      </c>
    </row>
    <row r="14519" spans="1:7" x14ac:dyDescent="0.25">
      <c r="A14519" t="s">
        <v>8</v>
      </c>
      <c r="B14519" s="1" t="str">
        <f>"000366748 - RICH FOODS-CENTERPLATE"</f>
        <v>000366748 - RICH FOODS-CENTERPLATE</v>
      </c>
      <c r="C14519" t="s">
        <v>242</v>
      </c>
      <c r="D14519" s="1" t="str">
        <f t="shared" si="401"/>
        <v>PRG-1043122</v>
      </c>
      <c r="E14519" t="s">
        <v>243</v>
      </c>
      <c r="F14519" t="s">
        <v>4</v>
      </c>
      <c r="G14519" t="str">
        <f>""</f>
        <v/>
      </c>
    </row>
    <row r="14520" spans="1:7" x14ac:dyDescent="0.25">
      <c r="A14520" t="s">
        <v>8</v>
      </c>
      <c r="B14520" s="1" t="str">
        <f>"000368640 - RICH FOODS-CENTERPLATE"</f>
        <v>000368640 - RICH FOODS-CENTERPLATE</v>
      </c>
      <c r="C14520" t="s">
        <v>242</v>
      </c>
      <c r="D14520" s="1" t="str">
        <f t="shared" si="401"/>
        <v>PRG-1043122</v>
      </c>
      <c r="E14520" t="s">
        <v>243</v>
      </c>
      <c r="F14520" t="s">
        <v>4</v>
      </c>
      <c r="G14520" t="str">
        <f>""</f>
        <v/>
      </c>
    </row>
    <row r="14521" spans="1:7" x14ac:dyDescent="0.25">
      <c r="A14521" t="s">
        <v>8</v>
      </c>
      <c r="B14521" s="1" t="str">
        <f>"000378784 - RICH FOODS-CENTERPLATE"</f>
        <v>000378784 - RICH FOODS-CENTERPLATE</v>
      </c>
      <c r="C14521" t="s">
        <v>242</v>
      </c>
      <c r="D14521" s="1" t="str">
        <f t="shared" si="401"/>
        <v>PRG-1043122</v>
      </c>
      <c r="E14521" t="s">
        <v>243</v>
      </c>
      <c r="F14521" t="s">
        <v>4</v>
      </c>
      <c r="G14521" t="str">
        <f>""</f>
        <v/>
      </c>
    </row>
    <row r="14522" spans="1:7" x14ac:dyDescent="0.25">
      <c r="A14522" t="s">
        <v>8</v>
      </c>
      <c r="B14522" s="1" t="str">
        <f>"2000301701 - RICH FOODS-CENTERPLATE (VSA)"</f>
        <v>2000301701 - RICH FOODS-CENTERPLATE (VSA)</v>
      </c>
      <c r="C14522" t="s">
        <v>3841</v>
      </c>
      <c r="D14522" s="1" t="str">
        <f t="shared" si="401"/>
        <v>PRG-1043122</v>
      </c>
      <c r="E14522" t="s">
        <v>243</v>
      </c>
      <c r="F14522" t="s">
        <v>4</v>
      </c>
      <c r="G14522" t="str">
        <f>""</f>
        <v/>
      </c>
    </row>
    <row r="14523" spans="1:7" x14ac:dyDescent="0.25">
      <c r="A14523" t="s">
        <v>8</v>
      </c>
      <c r="B14523" s="1" t="str">
        <f>"2000308210 - RICH FOODS-CENTERPLATE (VSA)"</f>
        <v>2000308210 - RICH FOODS-CENTERPLATE (VSA)</v>
      </c>
      <c r="C14523" t="s">
        <v>3841</v>
      </c>
      <c r="D14523" s="1" t="str">
        <f t="shared" si="401"/>
        <v>PRG-1043122</v>
      </c>
      <c r="E14523" t="s">
        <v>243</v>
      </c>
      <c r="F14523" t="s">
        <v>4</v>
      </c>
      <c r="G14523" t="str">
        <f>""</f>
        <v/>
      </c>
    </row>
    <row r="14524" spans="1:7" x14ac:dyDescent="0.25">
      <c r="A14524" t="s">
        <v>8</v>
      </c>
      <c r="B14524" s="1" t="str">
        <f>"000003479 - RICHS CASA DI BERTACCHI-SODEXO"</f>
        <v>000003479 - RICHS CASA DI BERTACCHI-SODEXO</v>
      </c>
      <c r="C14524" t="s">
        <v>121</v>
      </c>
      <c r="D14524" s="1" t="str">
        <f t="shared" ref="D14524:D14555" si="402">"PRG-1043146"</f>
        <v>PRG-1043146</v>
      </c>
      <c r="E14524" t="s">
        <v>160</v>
      </c>
      <c r="F14524" t="s">
        <v>4</v>
      </c>
      <c r="G14524" t="str">
        <f>""</f>
        <v/>
      </c>
    </row>
    <row r="14525" spans="1:7" x14ac:dyDescent="0.25">
      <c r="A14525" t="s">
        <v>8</v>
      </c>
      <c r="B14525" s="1" t="str">
        <f>"000003679 - "</f>
        <v xml:space="preserve">000003679 - </v>
      </c>
      <c r="D14525" s="1" t="str">
        <f t="shared" si="402"/>
        <v>PRG-1043146</v>
      </c>
      <c r="E14525" t="s">
        <v>160</v>
      </c>
      <c r="F14525" t="s">
        <v>4</v>
      </c>
      <c r="G14525" t="str">
        <f>""</f>
        <v/>
      </c>
    </row>
    <row r="14526" spans="1:7" x14ac:dyDescent="0.25">
      <c r="A14526" t="s">
        <v>8</v>
      </c>
      <c r="B14526" s="1" t="str">
        <f>"000019999 - RICH-CASA DU BERTACCHI SODEXO"</f>
        <v>000019999 - RICH-CASA DU BERTACCHI SODEXO</v>
      </c>
      <c r="C14526" t="s">
        <v>400</v>
      </c>
      <c r="D14526" s="1" t="str">
        <f t="shared" si="402"/>
        <v>PRG-1043146</v>
      </c>
      <c r="E14526" t="s">
        <v>160</v>
      </c>
      <c r="F14526" t="s">
        <v>4</v>
      </c>
      <c r="G14526" t="str">
        <f>""</f>
        <v/>
      </c>
    </row>
    <row r="14527" spans="1:7" x14ac:dyDescent="0.25">
      <c r="A14527" t="s">
        <v>8</v>
      </c>
      <c r="B14527" s="1" t="str">
        <f>"000021299 - RICHS CASA DE BERTACCHI-SODEXO"</f>
        <v>000021299 - RICHS CASA DE BERTACCHI-SODEXO</v>
      </c>
      <c r="C14527" t="s">
        <v>409</v>
      </c>
      <c r="D14527" s="1" t="str">
        <f t="shared" si="402"/>
        <v>PRG-1043146</v>
      </c>
      <c r="E14527" t="s">
        <v>160</v>
      </c>
      <c r="F14527" t="s">
        <v>4</v>
      </c>
      <c r="G14527" t="str">
        <f>""</f>
        <v/>
      </c>
    </row>
    <row r="14528" spans="1:7" x14ac:dyDescent="0.25">
      <c r="A14528" t="s">
        <v>8</v>
      </c>
      <c r="B14528" s="1" t="str">
        <f>"000024668 - RICHS CASA DE BERTACCHI-SODEXO"</f>
        <v>000024668 - RICHS CASA DE BERTACCHI-SODEXO</v>
      </c>
      <c r="C14528" t="s">
        <v>409</v>
      </c>
      <c r="D14528" s="1" t="str">
        <f t="shared" si="402"/>
        <v>PRG-1043146</v>
      </c>
      <c r="E14528" t="s">
        <v>160</v>
      </c>
      <c r="F14528" t="s">
        <v>4</v>
      </c>
      <c r="G14528" t="str">
        <f>""</f>
        <v/>
      </c>
    </row>
    <row r="14529" spans="1:7" x14ac:dyDescent="0.25">
      <c r="A14529" t="s">
        <v>8</v>
      </c>
      <c r="B14529" s="1" t="str">
        <f>"000031247 - RICHS CASA DE BERTACCHI-SODEXO"</f>
        <v>000031247 - RICHS CASA DE BERTACCHI-SODEXO</v>
      </c>
      <c r="C14529" t="s">
        <v>409</v>
      </c>
      <c r="D14529" s="1" t="str">
        <f t="shared" si="402"/>
        <v>PRG-1043146</v>
      </c>
      <c r="E14529" t="s">
        <v>160</v>
      </c>
      <c r="F14529" t="s">
        <v>4</v>
      </c>
      <c r="G14529" t="str">
        <f>""</f>
        <v/>
      </c>
    </row>
    <row r="14530" spans="1:7" x14ac:dyDescent="0.25">
      <c r="A14530" t="s">
        <v>8</v>
      </c>
      <c r="B14530" s="1" t="str">
        <f>"000032418 - RICHS CASA DE BERTACCHI-SODEXO"</f>
        <v>000032418 - RICHS CASA DE BERTACCHI-SODEXO</v>
      </c>
      <c r="C14530" t="s">
        <v>409</v>
      </c>
      <c r="D14530" s="1" t="str">
        <f t="shared" si="402"/>
        <v>PRG-1043146</v>
      </c>
      <c r="E14530" t="s">
        <v>160</v>
      </c>
      <c r="F14530" t="s">
        <v>4</v>
      </c>
      <c r="G14530" t="str">
        <f>""</f>
        <v/>
      </c>
    </row>
    <row r="14531" spans="1:7" x14ac:dyDescent="0.25">
      <c r="A14531" t="s">
        <v>8</v>
      </c>
      <c r="B14531" s="1" t="str">
        <f>"000036014 - RICHS CASA DE BERTACCHI-SODEXO"</f>
        <v>000036014 - RICHS CASA DE BERTACCHI-SODEXO</v>
      </c>
      <c r="C14531" t="s">
        <v>409</v>
      </c>
      <c r="D14531" s="1" t="str">
        <f t="shared" si="402"/>
        <v>PRG-1043146</v>
      </c>
      <c r="E14531" t="s">
        <v>160</v>
      </c>
      <c r="F14531" t="s">
        <v>4</v>
      </c>
      <c r="G14531" t="str">
        <f>""</f>
        <v/>
      </c>
    </row>
    <row r="14532" spans="1:7" x14ac:dyDescent="0.25">
      <c r="A14532" t="s">
        <v>8</v>
      </c>
      <c r="B14532" s="1" t="str">
        <f>"000039538 - RICHS CASA DE BERTACCHI-SODEXO"</f>
        <v>000039538 - RICHS CASA DE BERTACCHI-SODEXO</v>
      </c>
      <c r="C14532" t="s">
        <v>409</v>
      </c>
      <c r="D14532" s="1" t="str">
        <f t="shared" si="402"/>
        <v>PRG-1043146</v>
      </c>
      <c r="E14532" t="s">
        <v>160</v>
      </c>
      <c r="F14532" t="s">
        <v>4</v>
      </c>
      <c r="G14532" t="str">
        <f>""</f>
        <v/>
      </c>
    </row>
    <row r="14533" spans="1:7" x14ac:dyDescent="0.25">
      <c r="A14533" t="s">
        <v>8</v>
      </c>
      <c r="B14533" s="1" t="str">
        <f>"000040603 - RICHS CASA DE BERTACCHI-SODEXO"</f>
        <v>000040603 - RICHS CASA DE BERTACCHI-SODEXO</v>
      </c>
      <c r="C14533" t="s">
        <v>409</v>
      </c>
      <c r="D14533" s="1" t="str">
        <f t="shared" si="402"/>
        <v>PRG-1043146</v>
      </c>
      <c r="E14533" t="s">
        <v>160</v>
      </c>
      <c r="F14533" t="s">
        <v>4</v>
      </c>
      <c r="G14533" t="str">
        <f>""</f>
        <v/>
      </c>
    </row>
    <row r="14534" spans="1:7" x14ac:dyDescent="0.25">
      <c r="A14534" t="s">
        <v>8</v>
      </c>
      <c r="B14534" s="1" t="str">
        <f>"000044864 - RICHS CASA DE BERTACCHI-SODEXO"</f>
        <v>000044864 - RICHS CASA DE BERTACCHI-SODEXO</v>
      </c>
      <c r="C14534" t="s">
        <v>409</v>
      </c>
      <c r="D14534" s="1" t="str">
        <f t="shared" si="402"/>
        <v>PRG-1043146</v>
      </c>
      <c r="E14534" t="s">
        <v>160</v>
      </c>
      <c r="F14534" t="s">
        <v>4</v>
      </c>
      <c r="G14534" t="str">
        <f>""</f>
        <v/>
      </c>
    </row>
    <row r="14535" spans="1:7" x14ac:dyDescent="0.25">
      <c r="A14535" t="s">
        <v>8</v>
      </c>
      <c r="B14535" s="1" t="str">
        <f>"000079214 - RICHS CASA DE BERTACCHI-SODEXO"</f>
        <v>000079214 - RICHS CASA DE BERTACCHI-SODEXO</v>
      </c>
      <c r="C14535" t="s">
        <v>409</v>
      </c>
      <c r="D14535" s="1" t="str">
        <f t="shared" si="402"/>
        <v>PRG-1043146</v>
      </c>
      <c r="E14535" t="s">
        <v>160</v>
      </c>
      <c r="F14535" t="s">
        <v>4</v>
      </c>
      <c r="G14535" t="str">
        <f>""</f>
        <v/>
      </c>
    </row>
    <row r="14536" spans="1:7" x14ac:dyDescent="0.25">
      <c r="A14536" t="s">
        <v>8</v>
      </c>
      <c r="B14536" s="1" t="str">
        <f>"000082883 - RICHS CASA DE BERTACCHI-SODEXO"</f>
        <v>000082883 - RICHS CASA DE BERTACCHI-SODEXO</v>
      </c>
      <c r="C14536" t="s">
        <v>409</v>
      </c>
      <c r="D14536" s="1" t="str">
        <f t="shared" si="402"/>
        <v>PRG-1043146</v>
      </c>
      <c r="E14536" t="s">
        <v>160</v>
      </c>
      <c r="F14536" t="s">
        <v>4</v>
      </c>
      <c r="G14536" t="str">
        <f>""</f>
        <v/>
      </c>
    </row>
    <row r="14537" spans="1:7" x14ac:dyDescent="0.25">
      <c r="A14537" t="s">
        <v>8</v>
      </c>
      <c r="B14537" s="1" t="str">
        <f>"000153631 - RICHS CASA DE BERTACCHI-SODEXO"</f>
        <v>000153631 - RICHS CASA DE BERTACCHI-SODEXO</v>
      </c>
      <c r="C14537" t="s">
        <v>409</v>
      </c>
      <c r="D14537" s="1" t="str">
        <f t="shared" si="402"/>
        <v>PRG-1043146</v>
      </c>
      <c r="E14537" t="s">
        <v>160</v>
      </c>
      <c r="F14537" t="s">
        <v>4</v>
      </c>
      <c r="G14537" t="str">
        <f>""</f>
        <v/>
      </c>
    </row>
    <row r="14538" spans="1:7" x14ac:dyDescent="0.25">
      <c r="A14538" t="s">
        <v>8</v>
      </c>
      <c r="B14538" s="1" t="str">
        <f>"000173522 - RICHS CASA DE BERTACCHI-SODEXO"</f>
        <v>000173522 - RICHS CASA DE BERTACCHI-SODEXO</v>
      </c>
      <c r="C14538" t="s">
        <v>409</v>
      </c>
      <c r="D14538" s="1" t="str">
        <f t="shared" si="402"/>
        <v>PRG-1043146</v>
      </c>
      <c r="E14538" t="s">
        <v>160</v>
      </c>
      <c r="F14538" t="s">
        <v>4</v>
      </c>
      <c r="G14538" t="str">
        <f>""</f>
        <v/>
      </c>
    </row>
    <row r="14539" spans="1:7" x14ac:dyDescent="0.25">
      <c r="A14539" t="s">
        <v>8</v>
      </c>
      <c r="B14539" s="1" t="str">
        <f>"000179067 - RICHS CASA DE BERTACCHI-SODEXO"</f>
        <v>000179067 - RICHS CASA DE BERTACCHI-SODEXO</v>
      </c>
      <c r="C14539" t="s">
        <v>409</v>
      </c>
      <c r="D14539" s="1" t="str">
        <f t="shared" si="402"/>
        <v>PRG-1043146</v>
      </c>
      <c r="E14539" t="s">
        <v>160</v>
      </c>
      <c r="F14539" t="s">
        <v>4</v>
      </c>
      <c r="G14539" t="str">
        <f>""</f>
        <v/>
      </c>
    </row>
    <row r="14540" spans="1:7" x14ac:dyDescent="0.25">
      <c r="A14540" t="s">
        <v>8</v>
      </c>
      <c r="B14540" s="1" t="str">
        <f>"000182214 - RICHS CASA DE BERTACCHI-SODEXO"</f>
        <v>000182214 - RICHS CASA DE BERTACCHI-SODEXO</v>
      </c>
      <c r="C14540" t="s">
        <v>409</v>
      </c>
      <c r="D14540" s="1" t="str">
        <f t="shared" si="402"/>
        <v>PRG-1043146</v>
      </c>
      <c r="E14540" t="s">
        <v>160</v>
      </c>
      <c r="F14540" t="s">
        <v>4</v>
      </c>
      <c r="G14540" t="str">
        <f>""</f>
        <v/>
      </c>
    </row>
    <row r="14541" spans="1:7" x14ac:dyDescent="0.25">
      <c r="A14541" t="s">
        <v>8</v>
      </c>
      <c r="B14541" s="1" t="str">
        <f>"000200459 - RICHS CASA DE BERTACCHI-SODEXO"</f>
        <v>000200459 - RICHS CASA DE BERTACCHI-SODEXO</v>
      </c>
      <c r="C14541" t="s">
        <v>409</v>
      </c>
      <c r="D14541" s="1" t="str">
        <f t="shared" si="402"/>
        <v>PRG-1043146</v>
      </c>
      <c r="E14541" t="s">
        <v>160</v>
      </c>
      <c r="F14541" t="s">
        <v>4</v>
      </c>
      <c r="G14541" t="str">
        <f>""</f>
        <v/>
      </c>
    </row>
    <row r="14542" spans="1:7" x14ac:dyDescent="0.25">
      <c r="A14542" t="s">
        <v>8</v>
      </c>
      <c r="B14542" s="1" t="str">
        <f>"000244948 - RICHS CASA DE BERTACCHI-SODEXO"</f>
        <v>000244948 - RICHS CASA DE BERTACCHI-SODEXO</v>
      </c>
      <c r="C14542" t="s">
        <v>409</v>
      </c>
      <c r="D14542" s="1" t="str">
        <f t="shared" si="402"/>
        <v>PRG-1043146</v>
      </c>
      <c r="E14542" t="s">
        <v>160</v>
      </c>
      <c r="F14542" t="s">
        <v>4</v>
      </c>
      <c r="G14542" t="str">
        <f>""</f>
        <v/>
      </c>
    </row>
    <row r="14543" spans="1:7" x14ac:dyDescent="0.25">
      <c r="A14543" t="s">
        <v>8</v>
      </c>
      <c r="B14543" s="1" t="str">
        <f>"000252212 - RICHS CASA DE BERTACCHI-SODEXO"</f>
        <v>000252212 - RICHS CASA DE BERTACCHI-SODEXO</v>
      </c>
      <c r="C14543" t="s">
        <v>409</v>
      </c>
      <c r="D14543" s="1" t="str">
        <f t="shared" si="402"/>
        <v>PRG-1043146</v>
      </c>
      <c r="E14543" t="s">
        <v>160</v>
      </c>
      <c r="F14543" t="s">
        <v>4</v>
      </c>
      <c r="G14543" t="str">
        <f>""</f>
        <v/>
      </c>
    </row>
    <row r="14544" spans="1:7" x14ac:dyDescent="0.25">
      <c r="A14544" t="s">
        <v>8</v>
      </c>
      <c r="B14544" s="1" t="str">
        <f>"000256298 - RICHS CASA DE BERTACCHI-SODEXO"</f>
        <v>000256298 - RICHS CASA DE BERTACCHI-SODEXO</v>
      </c>
      <c r="C14544" t="s">
        <v>409</v>
      </c>
      <c r="D14544" s="1" t="str">
        <f t="shared" si="402"/>
        <v>PRG-1043146</v>
      </c>
      <c r="E14544" t="s">
        <v>160</v>
      </c>
      <c r="F14544" t="s">
        <v>4</v>
      </c>
      <c r="G14544" t="str">
        <f>""</f>
        <v/>
      </c>
    </row>
    <row r="14545" spans="1:7" x14ac:dyDescent="0.25">
      <c r="A14545" t="s">
        <v>8</v>
      </c>
      <c r="B14545" s="1" t="str">
        <f>"000274771 - RICHS CASA DE BERTACCHI-SODEXO"</f>
        <v>000274771 - RICHS CASA DE BERTACCHI-SODEXO</v>
      </c>
      <c r="C14545" t="s">
        <v>409</v>
      </c>
      <c r="D14545" s="1" t="str">
        <f t="shared" si="402"/>
        <v>PRG-1043146</v>
      </c>
      <c r="E14545" t="s">
        <v>160</v>
      </c>
      <c r="F14545" t="s">
        <v>4</v>
      </c>
      <c r="G14545" t="str">
        <f>""</f>
        <v/>
      </c>
    </row>
    <row r="14546" spans="1:7" x14ac:dyDescent="0.25">
      <c r="A14546" t="s">
        <v>8</v>
      </c>
      <c r="B14546" s="1" t="str">
        <f>"000275117 - RICHS CASA DE BERTACCHI-SODEXO"</f>
        <v>000275117 - RICHS CASA DE BERTACCHI-SODEXO</v>
      </c>
      <c r="C14546" t="s">
        <v>409</v>
      </c>
      <c r="D14546" s="1" t="str">
        <f t="shared" si="402"/>
        <v>PRG-1043146</v>
      </c>
      <c r="E14546" t="s">
        <v>160</v>
      </c>
      <c r="F14546" t="s">
        <v>4</v>
      </c>
      <c r="G14546" t="str">
        <f>""</f>
        <v/>
      </c>
    </row>
    <row r="14547" spans="1:7" x14ac:dyDescent="0.25">
      <c r="A14547" t="s">
        <v>8</v>
      </c>
      <c r="B14547" s="1" t="str">
        <f>"000281685 - RICHS CASA DE BERTACCHI-SODEXO"</f>
        <v>000281685 - RICHS CASA DE BERTACCHI-SODEXO</v>
      </c>
      <c r="C14547" t="s">
        <v>409</v>
      </c>
      <c r="D14547" s="1" t="str">
        <f t="shared" si="402"/>
        <v>PRG-1043146</v>
      </c>
      <c r="E14547" t="s">
        <v>160</v>
      </c>
      <c r="F14547" t="s">
        <v>4</v>
      </c>
      <c r="G14547" t="str">
        <f>""</f>
        <v/>
      </c>
    </row>
    <row r="14548" spans="1:7" x14ac:dyDescent="0.25">
      <c r="A14548" t="s">
        <v>8</v>
      </c>
      <c r="B14548" s="1" t="str">
        <f>"000281856 - RICHS CASA DE BERTACCHI-SODEXO"</f>
        <v>000281856 - RICHS CASA DE BERTACCHI-SODEXO</v>
      </c>
      <c r="C14548" t="s">
        <v>409</v>
      </c>
      <c r="D14548" s="1" t="str">
        <f t="shared" si="402"/>
        <v>PRG-1043146</v>
      </c>
      <c r="E14548" t="s">
        <v>160</v>
      </c>
      <c r="F14548" t="s">
        <v>4</v>
      </c>
      <c r="G14548" t="str">
        <f>""</f>
        <v/>
      </c>
    </row>
    <row r="14549" spans="1:7" x14ac:dyDescent="0.25">
      <c r="A14549" t="s">
        <v>8</v>
      </c>
      <c r="B14549" s="1" t="str">
        <f>"000281936 - RICHS CASA DE BERTACCHI-SODEXO"</f>
        <v>000281936 - RICHS CASA DE BERTACCHI-SODEXO</v>
      </c>
      <c r="C14549" t="s">
        <v>409</v>
      </c>
      <c r="D14549" s="1" t="str">
        <f t="shared" si="402"/>
        <v>PRG-1043146</v>
      </c>
      <c r="E14549" t="s">
        <v>160</v>
      </c>
      <c r="F14549" t="s">
        <v>4</v>
      </c>
      <c r="G14549" t="str">
        <f>""</f>
        <v/>
      </c>
    </row>
    <row r="14550" spans="1:7" x14ac:dyDescent="0.25">
      <c r="A14550" t="s">
        <v>8</v>
      </c>
      <c r="B14550" s="1" t="str">
        <f>"000290794 - RICHS CASA DE BERTACCHI-SODEXO"</f>
        <v>000290794 - RICHS CASA DE BERTACCHI-SODEXO</v>
      </c>
      <c r="C14550" t="s">
        <v>409</v>
      </c>
      <c r="D14550" s="1" t="str">
        <f t="shared" si="402"/>
        <v>PRG-1043146</v>
      </c>
      <c r="E14550" t="s">
        <v>160</v>
      </c>
      <c r="F14550" t="s">
        <v>4</v>
      </c>
      <c r="G14550" t="str">
        <f>""</f>
        <v/>
      </c>
    </row>
    <row r="14551" spans="1:7" x14ac:dyDescent="0.25">
      <c r="A14551" t="s">
        <v>8</v>
      </c>
      <c r="B14551" s="1" t="str">
        <f>"000291513 - RICHS CASA DE BERTACCHI-SODEXO"</f>
        <v>000291513 - RICHS CASA DE BERTACCHI-SODEXO</v>
      </c>
      <c r="C14551" t="s">
        <v>409</v>
      </c>
      <c r="D14551" s="1" t="str">
        <f t="shared" si="402"/>
        <v>PRG-1043146</v>
      </c>
      <c r="E14551" t="s">
        <v>160</v>
      </c>
      <c r="F14551" t="s">
        <v>4</v>
      </c>
      <c r="G14551" t="str">
        <f>""</f>
        <v/>
      </c>
    </row>
    <row r="14552" spans="1:7" x14ac:dyDescent="0.25">
      <c r="A14552" t="s">
        <v>8</v>
      </c>
      <c r="B14552" s="1" t="str">
        <f>"000296422 - RICHS CASA DE BERTACCHI-SODEXO"</f>
        <v>000296422 - RICHS CASA DE BERTACCHI-SODEXO</v>
      </c>
      <c r="C14552" t="s">
        <v>409</v>
      </c>
      <c r="D14552" s="1" t="str">
        <f t="shared" si="402"/>
        <v>PRG-1043146</v>
      </c>
      <c r="E14552" t="s">
        <v>160</v>
      </c>
      <c r="F14552" t="s">
        <v>4</v>
      </c>
      <c r="G14552" t="str">
        <f>""</f>
        <v/>
      </c>
    </row>
    <row r="14553" spans="1:7" x14ac:dyDescent="0.25">
      <c r="A14553" t="s">
        <v>8</v>
      </c>
      <c r="B14553" s="1" t="str">
        <f>"000297070 - RICHS CASA DE BERTACCHI-SODEXO"</f>
        <v>000297070 - RICHS CASA DE BERTACCHI-SODEXO</v>
      </c>
      <c r="C14553" t="s">
        <v>409</v>
      </c>
      <c r="D14553" s="1" t="str">
        <f t="shared" si="402"/>
        <v>PRG-1043146</v>
      </c>
      <c r="E14553" t="s">
        <v>160</v>
      </c>
      <c r="F14553" t="s">
        <v>4</v>
      </c>
      <c r="G14553" t="str">
        <f>""</f>
        <v/>
      </c>
    </row>
    <row r="14554" spans="1:7" x14ac:dyDescent="0.25">
      <c r="A14554" t="s">
        <v>8</v>
      </c>
      <c r="B14554" s="1" t="str">
        <f>"000302445 - RICHS CASA DE BERTACCHI-SODEXO"</f>
        <v>000302445 - RICHS CASA DE BERTACCHI-SODEXO</v>
      </c>
      <c r="C14554" t="s">
        <v>409</v>
      </c>
      <c r="D14554" s="1" t="str">
        <f t="shared" si="402"/>
        <v>PRG-1043146</v>
      </c>
      <c r="E14554" t="s">
        <v>160</v>
      </c>
      <c r="F14554" t="s">
        <v>4</v>
      </c>
      <c r="G14554" t="str">
        <f>""</f>
        <v/>
      </c>
    </row>
    <row r="14555" spans="1:7" x14ac:dyDescent="0.25">
      <c r="A14555" t="s">
        <v>8</v>
      </c>
      <c r="B14555" s="1" t="str">
        <f>"000302504 - RICHS CASA DE BERTACCHI-SODEXO"</f>
        <v>000302504 - RICHS CASA DE BERTACCHI-SODEXO</v>
      </c>
      <c r="C14555" t="s">
        <v>409</v>
      </c>
      <c r="D14555" s="1" t="str">
        <f t="shared" si="402"/>
        <v>PRG-1043146</v>
      </c>
      <c r="E14555" t="s">
        <v>160</v>
      </c>
      <c r="F14555" t="s">
        <v>4</v>
      </c>
      <c r="G14555" t="str">
        <f>""</f>
        <v/>
      </c>
    </row>
    <row r="14556" spans="1:7" x14ac:dyDescent="0.25">
      <c r="A14556" t="s">
        <v>8</v>
      </c>
      <c r="B14556" s="1" t="str">
        <f>"000302717 - RICHS CASA DE BERTACCHI-SODEXO"</f>
        <v>000302717 - RICHS CASA DE BERTACCHI-SODEXO</v>
      </c>
      <c r="C14556" t="s">
        <v>409</v>
      </c>
      <c r="D14556" s="1" t="str">
        <f t="shared" ref="D14556:D14578" si="403">"PRG-1043146"</f>
        <v>PRG-1043146</v>
      </c>
      <c r="E14556" t="s">
        <v>160</v>
      </c>
      <c r="F14556" t="s">
        <v>4</v>
      </c>
      <c r="G14556" t="str">
        <f>""</f>
        <v/>
      </c>
    </row>
    <row r="14557" spans="1:7" x14ac:dyDescent="0.25">
      <c r="A14557" t="s">
        <v>8</v>
      </c>
      <c r="B14557" s="1" t="str">
        <f>"000303576 - RICHS CASA DE BERTACCHI-SODEXO"</f>
        <v>000303576 - RICHS CASA DE BERTACCHI-SODEXO</v>
      </c>
      <c r="C14557" t="s">
        <v>409</v>
      </c>
      <c r="D14557" s="1" t="str">
        <f t="shared" si="403"/>
        <v>PRG-1043146</v>
      </c>
      <c r="E14557" t="s">
        <v>160</v>
      </c>
      <c r="F14557" t="s">
        <v>4</v>
      </c>
      <c r="G14557" t="str">
        <f>""</f>
        <v/>
      </c>
    </row>
    <row r="14558" spans="1:7" x14ac:dyDescent="0.25">
      <c r="A14558" t="s">
        <v>8</v>
      </c>
      <c r="B14558" s="1" t="str">
        <f>"000306257 - RICHS CASA DI BERTACCHI-SODEXO"</f>
        <v>000306257 - RICHS CASA DI BERTACCHI-SODEXO</v>
      </c>
      <c r="C14558" t="s">
        <v>121</v>
      </c>
      <c r="D14558" s="1" t="str">
        <f t="shared" si="403"/>
        <v>PRG-1043146</v>
      </c>
      <c r="E14558" t="s">
        <v>160</v>
      </c>
      <c r="F14558" t="s">
        <v>4</v>
      </c>
      <c r="G14558" t="str">
        <f>""</f>
        <v/>
      </c>
    </row>
    <row r="14559" spans="1:7" x14ac:dyDescent="0.25">
      <c r="A14559" t="s">
        <v>8</v>
      </c>
      <c r="B14559" s="1" t="str">
        <f>"000306260 - RICHS CASA DE BERTACCHI-SODEXO"</f>
        <v>000306260 - RICHS CASA DE BERTACCHI-SODEXO</v>
      </c>
      <c r="C14559" t="s">
        <v>409</v>
      </c>
      <c r="D14559" s="1" t="str">
        <f t="shared" si="403"/>
        <v>PRG-1043146</v>
      </c>
      <c r="E14559" t="s">
        <v>160</v>
      </c>
      <c r="F14559" t="s">
        <v>4</v>
      </c>
      <c r="G14559" t="str">
        <f>""</f>
        <v/>
      </c>
    </row>
    <row r="14560" spans="1:7" x14ac:dyDescent="0.25">
      <c r="A14560" t="s">
        <v>8</v>
      </c>
      <c r="B14560" s="1" t="str">
        <f>"000306683 - RICHS CASA DE BERTACCHI-SODEXO"</f>
        <v>000306683 - RICHS CASA DE BERTACCHI-SODEXO</v>
      </c>
      <c r="C14560" t="s">
        <v>409</v>
      </c>
      <c r="D14560" s="1" t="str">
        <f t="shared" si="403"/>
        <v>PRG-1043146</v>
      </c>
      <c r="E14560" t="s">
        <v>160</v>
      </c>
      <c r="F14560" t="s">
        <v>4</v>
      </c>
      <c r="G14560" t="str">
        <f>""</f>
        <v/>
      </c>
    </row>
    <row r="14561" spans="1:7" x14ac:dyDescent="0.25">
      <c r="A14561" t="s">
        <v>8</v>
      </c>
      <c r="B14561" s="1" t="str">
        <f>"000308663 - RICHS CASA DE BERTACCHI-SODEXO"</f>
        <v>000308663 - RICHS CASA DE BERTACCHI-SODEXO</v>
      </c>
      <c r="C14561" t="s">
        <v>409</v>
      </c>
      <c r="D14561" s="1" t="str">
        <f t="shared" si="403"/>
        <v>PRG-1043146</v>
      </c>
      <c r="E14561" t="s">
        <v>160</v>
      </c>
      <c r="F14561" t="s">
        <v>4</v>
      </c>
      <c r="G14561" t="str">
        <f>""</f>
        <v/>
      </c>
    </row>
    <row r="14562" spans="1:7" x14ac:dyDescent="0.25">
      <c r="A14562" t="s">
        <v>8</v>
      </c>
      <c r="B14562" s="1" t="str">
        <f>"000330915 - RICHS CASA DE BERTACCHI-SODEXO"</f>
        <v>000330915 - RICHS CASA DE BERTACCHI-SODEXO</v>
      </c>
      <c r="C14562" t="s">
        <v>409</v>
      </c>
      <c r="D14562" s="1" t="str">
        <f t="shared" si="403"/>
        <v>PRG-1043146</v>
      </c>
      <c r="E14562" t="s">
        <v>160</v>
      </c>
      <c r="F14562" t="s">
        <v>4</v>
      </c>
      <c r="G14562" t="str">
        <f>""</f>
        <v/>
      </c>
    </row>
    <row r="14563" spans="1:7" x14ac:dyDescent="0.25">
      <c r="A14563" t="s">
        <v>8</v>
      </c>
      <c r="B14563" s="1" t="str">
        <f>"000339125 - RICHS CASA DE BERTACCHI-SODEXO"</f>
        <v>000339125 - RICHS CASA DE BERTACCHI-SODEXO</v>
      </c>
      <c r="C14563" t="s">
        <v>409</v>
      </c>
      <c r="D14563" s="1" t="str">
        <f t="shared" si="403"/>
        <v>PRG-1043146</v>
      </c>
      <c r="E14563" t="s">
        <v>160</v>
      </c>
      <c r="F14563" t="s">
        <v>4</v>
      </c>
      <c r="G14563" t="str">
        <f>""</f>
        <v/>
      </c>
    </row>
    <row r="14564" spans="1:7" x14ac:dyDescent="0.25">
      <c r="A14564" t="s">
        <v>8</v>
      </c>
      <c r="B14564" s="1" t="str">
        <f>"000339621 - RICHS CASA DE BERTACCHI-SODEXO"</f>
        <v>000339621 - RICHS CASA DE BERTACCHI-SODEXO</v>
      </c>
      <c r="C14564" t="s">
        <v>409</v>
      </c>
      <c r="D14564" s="1" t="str">
        <f t="shared" si="403"/>
        <v>PRG-1043146</v>
      </c>
      <c r="E14564" t="s">
        <v>160</v>
      </c>
      <c r="F14564" t="s">
        <v>4</v>
      </c>
      <c r="G14564" t="str">
        <f>""</f>
        <v/>
      </c>
    </row>
    <row r="14565" spans="1:7" x14ac:dyDescent="0.25">
      <c r="A14565" t="s">
        <v>8</v>
      </c>
      <c r="B14565" s="1" t="str">
        <f>"000350658 - RICHS CASA DE BERTACCHI-SODEXO"</f>
        <v>000350658 - RICHS CASA DE BERTACCHI-SODEXO</v>
      </c>
      <c r="C14565" t="s">
        <v>409</v>
      </c>
      <c r="D14565" s="1" t="str">
        <f t="shared" si="403"/>
        <v>PRG-1043146</v>
      </c>
      <c r="E14565" t="s">
        <v>160</v>
      </c>
      <c r="F14565" t="s">
        <v>4</v>
      </c>
      <c r="G14565" t="str">
        <f>""</f>
        <v/>
      </c>
    </row>
    <row r="14566" spans="1:7" x14ac:dyDescent="0.25">
      <c r="A14566" t="s">
        <v>8</v>
      </c>
      <c r="B14566" s="1" t="str">
        <f>"000358102 - RICHS CASA DI BERTACCHI-SODEXO"</f>
        <v>000358102 - RICHS CASA DI BERTACCHI-SODEXO</v>
      </c>
      <c r="C14566" t="s">
        <v>121</v>
      </c>
      <c r="D14566" s="1" t="str">
        <f t="shared" si="403"/>
        <v>PRG-1043146</v>
      </c>
      <c r="E14566" t="s">
        <v>160</v>
      </c>
      <c r="F14566" t="s">
        <v>4</v>
      </c>
      <c r="G14566" t="str">
        <f>""</f>
        <v/>
      </c>
    </row>
    <row r="14567" spans="1:7" x14ac:dyDescent="0.25">
      <c r="A14567" t="s">
        <v>8</v>
      </c>
      <c r="B14567" s="1" t="str">
        <f>"000366713 - RICHS CASA DE BERTACCHI-SODEXO"</f>
        <v>000366713 - RICHS CASA DE BERTACCHI-SODEXO</v>
      </c>
      <c r="C14567" t="s">
        <v>409</v>
      </c>
      <c r="D14567" s="1" t="str">
        <f t="shared" si="403"/>
        <v>PRG-1043146</v>
      </c>
      <c r="E14567" t="s">
        <v>160</v>
      </c>
      <c r="F14567" t="s">
        <v>4</v>
      </c>
      <c r="G14567" t="str">
        <f>""</f>
        <v/>
      </c>
    </row>
    <row r="14568" spans="1:7" x14ac:dyDescent="0.25">
      <c r="A14568" t="s">
        <v>8</v>
      </c>
      <c r="B14568" s="1" t="str">
        <f>"000368539 - RICHS CASA DE BERTACCHI-SODEXO"</f>
        <v>000368539 - RICHS CASA DE BERTACCHI-SODEXO</v>
      </c>
      <c r="C14568" t="s">
        <v>409</v>
      </c>
      <c r="D14568" s="1" t="str">
        <f t="shared" si="403"/>
        <v>PRG-1043146</v>
      </c>
      <c r="E14568" t="s">
        <v>160</v>
      </c>
      <c r="F14568" t="s">
        <v>4</v>
      </c>
      <c r="G14568" t="str">
        <f>""</f>
        <v/>
      </c>
    </row>
    <row r="14569" spans="1:7" x14ac:dyDescent="0.25">
      <c r="A14569" t="s">
        <v>8</v>
      </c>
      <c r="B14569" s="1" t="str">
        <f>"000368581 - RICHS CASA DE BERTACCHI-SODEXO"</f>
        <v>000368581 - RICHS CASA DE BERTACCHI-SODEXO</v>
      </c>
      <c r="C14569" t="s">
        <v>409</v>
      </c>
      <c r="D14569" s="1" t="str">
        <f t="shared" si="403"/>
        <v>PRG-1043146</v>
      </c>
      <c r="E14569" t="s">
        <v>160</v>
      </c>
      <c r="F14569" t="s">
        <v>4</v>
      </c>
      <c r="G14569" t="str">
        <f>""</f>
        <v/>
      </c>
    </row>
    <row r="14570" spans="1:7" x14ac:dyDescent="0.25">
      <c r="A14570" t="s">
        <v>8</v>
      </c>
      <c r="B14570" s="1" t="str">
        <f>"000373095 - RICHS CASA DE BERTACCHI-SODEXO"</f>
        <v>000373095 - RICHS CASA DE BERTACCHI-SODEXO</v>
      </c>
      <c r="C14570" t="s">
        <v>409</v>
      </c>
      <c r="D14570" s="1" t="str">
        <f t="shared" si="403"/>
        <v>PRG-1043146</v>
      </c>
      <c r="E14570" t="s">
        <v>160</v>
      </c>
      <c r="F14570" t="s">
        <v>4</v>
      </c>
      <c r="G14570" t="str">
        <f>""</f>
        <v/>
      </c>
    </row>
    <row r="14571" spans="1:7" x14ac:dyDescent="0.25">
      <c r="A14571" t="s">
        <v>8</v>
      </c>
      <c r="B14571" s="1" t="str">
        <f>"000376581 - RICHS CASA DE BERTACCHI-SODEXO"</f>
        <v>000376581 - RICHS CASA DE BERTACCHI-SODEXO</v>
      </c>
      <c r="C14571" t="s">
        <v>409</v>
      </c>
      <c r="D14571" s="1" t="str">
        <f t="shared" si="403"/>
        <v>PRG-1043146</v>
      </c>
      <c r="E14571" t="s">
        <v>160</v>
      </c>
      <c r="F14571" t="s">
        <v>4</v>
      </c>
      <c r="G14571" t="str">
        <f>""</f>
        <v/>
      </c>
    </row>
    <row r="14572" spans="1:7" x14ac:dyDescent="0.25">
      <c r="A14572" t="s">
        <v>8</v>
      </c>
      <c r="B14572" s="1" t="str">
        <f>"000383951 - RICHS CASA DE BERTACCHI-SODEXO"</f>
        <v>000383951 - RICHS CASA DE BERTACCHI-SODEXO</v>
      </c>
      <c r="C14572" t="s">
        <v>409</v>
      </c>
      <c r="D14572" s="1" t="str">
        <f t="shared" si="403"/>
        <v>PRG-1043146</v>
      </c>
      <c r="E14572" t="s">
        <v>160</v>
      </c>
      <c r="F14572" t="s">
        <v>4</v>
      </c>
      <c r="G14572" t="str">
        <f>""</f>
        <v/>
      </c>
    </row>
    <row r="14573" spans="1:7" x14ac:dyDescent="0.25">
      <c r="A14573" t="s">
        <v>8</v>
      </c>
      <c r="B14573" s="1" t="str">
        <f>"000384340 - RICHS CASA DE BERTACCHI-SODEXO"</f>
        <v>000384340 - RICHS CASA DE BERTACCHI-SODEXO</v>
      </c>
      <c r="C14573" t="s">
        <v>409</v>
      </c>
      <c r="D14573" s="1" t="str">
        <f t="shared" si="403"/>
        <v>PRG-1043146</v>
      </c>
      <c r="E14573" t="s">
        <v>160</v>
      </c>
      <c r="F14573" t="s">
        <v>4</v>
      </c>
      <c r="G14573" t="str">
        <f>""</f>
        <v/>
      </c>
    </row>
    <row r="14574" spans="1:7" x14ac:dyDescent="0.25">
      <c r="A14574" t="s">
        <v>8</v>
      </c>
      <c r="B14574" s="1" t="str">
        <f>"000385814 - RICHS CASA DE BERTACCHI-SODEXO"</f>
        <v>000385814 - RICHS CASA DE BERTACCHI-SODEXO</v>
      </c>
      <c r="C14574" t="s">
        <v>409</v>
      </c>
      <c r="D14574" s="1" t="str">
        <f t="shared" si="403"/>
        <v>PRG-1043146</v>
      </c>
      <c r="E14574" t="s">
        <v>160</v>
      </c>
      <c r="F14574" t="s">
        <v>4</v>
      </c>
      <c r="G14574" t="str">
        <f>""</f>
        <v/>
      </c>
    </row>
    <row r="14575" spans="1:7" x14ac:dyDescent="0.25">
      <c r="A14575" t="s">
        <v>8</v>
      </c>
      <c r="B14575" s="1" t="str">
        <f>"000392276 - RICHS CASA DE BERTACCHI-SODEXO"</f>
        <v>000392276 - RICHS CASA DE BERTACCHI-SODEXO</v>
      </c>
      <c r="C14575" t="s">
        <v>409</v>
      </c>
      <c r="D14575" s="1" t="str">
        <f t="shared" si="403"/>
        <v>PRG-1043146</v>
      </c>
      <c r="E14575" t="s">
        <v>160</v>
      </c>
      <c r="F14575" t="s">
        <v>4</v>
      </c>
      <c r="G14575" t="str">
        <f>""</f>
        <v/>
      </c>
    </row>
    <row r="14576" spans="1:7" x14ac:dyDescent="0.25">
      <c r="A14576" t="s">
        <v>8</v>
      </c>
      <c r="B14576" s="1" t="str">
        <f>"000393368 - RICHS CASA DE BERTACCHI-SODEXO"</f>
        <v>000393368 - RICHS CASA DE BERTACCHI-SODEXO</v>
      </c>
      <c r="C14576" t="s">
        <v>409</v>
      </c>
      <c r="D14576" s="1" t="str">
        <f t="shared" si="403"/>
        <v>PRG-1043146</v>
      </c>
      <c r="E14576" t="s">
        <v>160</v>
      </c>
      <c r="F14576" t="s">
        <v>4</v>
      </c>
      <c r="G14576" t="str">
        <f>""</f>
        <v/>
      </c>
    </row>
    <row r="14577" spans="1:7" x14ac:dyDescent="0.25">
      <c r="A14577" t="s">
        <v>8</v>
      </c>
      <c r="B14577" s="1" t="str">
        <f>"000403337 - RICHS CASA DE BERTACCHI-SODEXO"</f>
        <v>000403337 - RICHS CASA DE BERTACCHI-SODEXO</v>
      </c>
      <c r="C14577" t="s">
        <v>409</v>
      </c>
      <c r="D14577" s="1" t="str">
        <f t="shared" si="403"/>
        <v>PRG-1043146</v>
      </c>
      <c r="E14577" t="s">
        <v>160</v>
      </c>
      <c r="F14577" t="s">
        <v>4</v>
      </c>
      <c r="G14577" t="str">
        <f>""</f>
        <v/>
      </c>
    </row>
    <row r="14578" spans="1:7" x14ac:dyDescent="0.25">
      <c r="A14578" t="s">
        <v>8</v>
      </c>
      <c r="B14578" s="1" t="str">
        <f>"000417255 - RICHS CASA DE BERTACCHI-SODEXO"</f>
        <v>000417255 - RICHS CASA DE BERTACCHI-SODEXO</v>
      </c>
      <c r="C14578" t="s">
        <v>409</v>
      </c>
      <c r="D14578" s="1" t="str">
        <f t="shared" si="403"/>
        <v>PRG-1043146</v>
      </c>
      <c r="E14578" t="s">
        <v>160</v>
      </c>
      <c r="F14578" t="s">
        <v>4</v>
      </c>
      <c r="G14578" t="str">
        <f>""</f>
        <v/>
      </c>
    </row>
    <row r="14579" spans="1:7" x14ac:dyDescent="0.25">
      <c r="A14579" t="s">
        <v>8</v>
      </c>
      <c r="B14579" s="1" t="str">
        <f>"000298128 - RICH PRODUCTS CIRCLE K"</f>
        <v>000298128 - RICH PRODUCTS CIRCLE K</v>
      </c>
      <c r="C14579" t="s">
        <v>2131</v>
      </c>
      <c r="D14579" s="1" t="str">
        <f>"PRG-1043147"</f>
        <v>PRG-1043147</v>
      </c>
      <c r="E14579" t="s">
        <v>1189</v>
      </c>
      <c r="F14579" t="s">
        <v>4</v>
      </c>
      <c r="G14579" t="str">
        <f>""</f>
        <v/>
      </c>
    </row>
    <row r="14580" spans="1:7" x14ac:dyDescent="0.25">
      <c r="A14580" t="s">
        <v>8</v>
      </c>
      <c r="B14580" s="1" t="str">
        <f>"000050287 - RICHS CASA DI BERTACCHI-SODEXO"</f>
        <v>000050287 - RICHS CASA DI BERTACCHI-SODEXO</v>
      </c>
      <c r="C14580" t="s">
        <v>121</v>
      </c>
      <c r="D14580" s="1" t="str">
        <f>"PRG-1043154"</f>
        <v>PRG-1043154</v>
      </c>
      <c r="E14580" t="s">
        <v>647</v>
      </c>
      <c r="F14580" t="s">
        <v>4</v>
      </c>
      <c r="G14580" t="str">
        <f>""</f>
        <v/>
      </c>
    </row>
    <row r="14581" spans="1:7" x14ac:dyDescent="0.25">
      <c r="A14581" t="s">
        <v>8</v>
      </c>
      <c r="B14581" s="1" t="str">
        <f>"000076297 - RICHS CASA DI BERTACCHI-SODEXO"</f>
        <v>000076297 - RICHS CASA DI BERTACCHI-SODEXO</v>
      </c>
      <c r="C14581" t="s">
        <v>121</v>
      </c>
      <c r="D14581" s="1" t="str">
        <f>"PRG-1043154"</f>
        <v>PRG-1043154</v>
      </c>
      <c r="E14581" t="s">
        <v>647</v>
      </c>
      <c r="F14581" t="s">
        <v>4</v>
      </c>
      <c r="G14581" t="str">
        <f>""</f>
        <v/>
      </c>
    </row>
    <row r="14582" spans="1:7" x14ac:dyDescent="0.25">
      <c r="A14582" t="s">
        <v>8</v>
      </c>
      <c r="B14582" s="1" t="str">
        <f>"000288232 - RICHS CASA DI BERTACCHI-SODEXO"</f>
        <v>000288232 - RICHS CASA DI BERTACCHI-SODEXO</v>
      </c>
      <c r="C14582" t="s">
        <v>121</v>
      </c>
      <c r="D14582" s="1" t="str">
        <f>"PRG-1043154"</f>
        <v>PRG-1043154</v>
      </c>
      <c r="E14582" t="s">
        <v>647</v>
      </c>
      <c r="F14582" t="s">
        <v>4</v>
      </c>
      <c r="G14582" t="str">
        <f>""</f>
        <v/>
      </c>
    </row>
    <row r="14583" spans="1:7" x14ac:dyDescent="0.25">
      <c r="A14583" t="s">
        <v>8</v>
      </c>
      <c r="B14583" s="1" t="str">
        <f>"000292728 - RICHS CASA DI BERTACCHI-SODEXO"</f>
        <v>000292728 - RICHS CASA DI BERTACCHI-SODEXO</v>
      </c>
      <c r="C14583" t="s">
        <v>121</v>
      </c>
      <c r="D14583" s="1" t="str">
        <f>"PRG-1043154"</f>
        <v>PRG-1043154</v>
      </c>
      <c r="E14583" t="s">
        <v>647</v>
      </c>
      <c r="F14583" t="s">
        <v>4</v>
      </c>
      <c r="G14583" t="str">
        <f>""</f>
        <v/>
      </c>
    </row>
    <row r="14584" spans="1:7" x14ac:dyDescent="0.25">
      <c r="A14584" t="s">
        <v>8</v>
      </c>
      <c r="B14584" s="1" t="str">
        <f>"000297881 - RICHS CASA DI BERTACCHI-SODEXO"</f>
        <v>000297881 - RICHS CASA DI BERTACCHI-SODEXO</v>
      </c>
      <c r="C14584" t="s">
        <v>121</v>
      </c>
      <c r="D14584" s="1" t="str">
        <f>"PRG-1043154"</f>
        <v>PRG-1043154</v>
      </c>
      <c r="E14584" t="s">
        <v>647</v>
      </c>
      <c r="F14584" t="s">
        <v>4</v>
      </c>
      <c r="G14584" t="str">
        <f>""</f>
        <v/>
      </c>
    </row>
    <row r="14585" spans="1:7" x14ac:dyDescent="0.25">
      <c r="A14585" t="s">
        <v>8</v>
      </c>
      <c r="B14585" s="1" t="str">
        <f>"000019677 - RICHS BREAD &amp; ROLLS-SODEXO"</f>
        <v>000019677 - RICHS BREAD &amp; ROLLS-SODEXO</v>
      </c>
      <c r="C14585" t="s">
        <v>135</v>
      </c>
      <c r="D14585" s="1" t="str">
        <f t="shared" ref="D14585:D14616" si="404">"PRG-1043282"</f>
        <v>PRG-1043282</v>
      </c>
      <c r="E14585" t="s">
        <v>331</v>
      </c>
      <c r="F14585" t="s">
        <v>4</v>
      </c>
      <c r="G14585" t="str">
        <f>""</f>
        <v/>
      </c>
    </row>
    <row r="14586" spans="1:7" x14ac:dyDescent="0.25">
      <c r="A14586" t="s">
        <v>8</v>
      </c>
      <c r="B14586" s="1" t="str">
        <f>"000022726 - RICHS BREAD &amp; ROLLS-SODEXO"</f>
        <v>000022726 - RICHS BREAD &amp; ROLLS-SODEXO</v>
      </c>
      <c r="C14586" t="s">
        <v>135</v>
      </c>
      <c r="D14586" s="1" t="str">
        <f t="shared" si="404"/>
        <v>PRG-1043282</v>
      </c>
      <c r="E14586" t="s">
        <v>331</v>
      </c>
      <c r="F14586" t="s">
        <v>4</v>
      </c>
      <c r="G14586" t="str">
        <f>""</f>
        <v/>
      </c>
    </row>
    <row r="14587" spans="1:7" x14ac:dyDescent="0.25">
      <c r="A14587" t="s">
        <v>8</v>
      </c>
      <c r="B14587" s="1" t="str">
        <f>"000027950 - RICHS BREAD &amp; ROLLS-SODEXO"</f>
        <v>000027950 - RICHS BREAD &amp; ROLLS-SODEXO</v>
      </c>
      <c r="C14587" t="s">
        <v>135</v>
      </c>
      <c r="D14587" s="1" t="str">
        <f t="shared" si="404"/>
        <v>PRG-1043282</v>
      </c>
      <c r="E14587" t="s">
        <v>331</v>
      </c>
      <c r="F14587" t="s">
        <v>4</v>
      </c>
      <c r="G14587" t="str">
        <f>""</f>
        <v/>
      </c>
    </row>
    <row r="14588" spans="1:7" x14ac:dyDescent="0.25">
      <c r="A14588" t="s">
        <v>8</v>
      </c>
      <c r="B14588" s="1" t="str">
        <f>"000029393 - RICHS BREAD &amp; ROLLS-SODEXO"</f>
        <v>000029393 - RICHS BREAD &amp; ROLLS-SODEXO</v>
      </c>
      <c r="C14588" t="s">
        <v>135</v>
      </c>
      <c r="D14588" s="1" t="str">
        <f t="shared" si="404"/>
        <v>PRG-1043282</v>
      </c>
      <c r="E14588" t="s">
        <v>331</v>
      </c>
      <c r="F14588" t="s">
        <v>4</v>
      </c>
      <c r="G14588" t="str">
        <f>""</f>
        <v/>
      </c>
    </row>
    <row r="14589" spans="1:7" x14ac:dyDescent="0.25">
      <c r="A14589" t="s">
        <v>8</v>
      </c>
      <c r="B14589" s="1" t="str">
        <f>"000030375 - RICHS BREAD &amp; ROLLS-SODEXO"</f>
        <v>000030375 - RICHS BREAD &amp; ROLLS-SODEXO</v>
      </c>
      <c r="C14589" t="s">
        <v>135</v>
      </c>
      <c r="D14589" s="1" t="str">
        <f t="shared" si="404"/>
        <v>PRG-1043282</v>
      </c>
      <c r="E14589" t="s">
        <v>331</v>
      </c>
      <c r="F14589" t="s">
        <v>4</v>
      </c>
      <c r="G14589" t="str">
        <f>""</f>
        <v/>
      </c>
    </row>
    <row r="14590" spans="1:7" x14ac:dyDescent="0.25">
      <c r="A14590" t="s">
        <v>8</v>
      </c>
      <c r="B14590" s="1" t="str">
        <f>"000034039 - RICHS BREAD &amp; ROLLS-SODEXO"</f>
        <v>000034039 - RICHS BREAD &amp; ROLLS-SODEXO</v>
      </c>
      <c r="C14590" t="s">
        <v>135</v>
      </c>
      <c r="D14590" s="1" t="str">
        <f t="shared" si="404"/>
        <v>PRG-1043282</v>
      </c>
      <c r="E14590" t="s">
        <v>331</v>
      </c>
      <c r="F14590" t="s">
        <v>4</v>
      </c>
      <c r="G14590" t="str">
        <f>""</f>
        <v/>
      </c>
    </row>
    <row r="14591" spans="1:7" x14ac:dyDescent="0.25">
      <c r="A14591" t="s">
        <v>8</v>
      </c>
      <c r="B14591" s="1" t="str">
        <f>"000037714 - RICHS BREAD &amp; ROLLS-SODEXO"</f>
        <v>000037714 - RICHS BREAD &amp; ROLLS-SODEXO</v>
      </c>
      <c r="C14591" t="s">
        <v>135</v>
      </c>
      <c r="D14591" s="1" t="str">
        <f t="shared" si="404"/>
        <v>PRG-1043282</v>
      </c>
      <c r="E14591" t="s">
        <v>331</v>
      </c>
      <c r="F14591" t="s">
        <v>4</v>
      </c>
      <c r="G14591" t="str">
        <f>""</f>
        <v/>
      </c>
    </row>
    <row r="14592" spans="1:7" x14ac:dyDescent="0.25">
      <c r="A14592" t="s">
        <v>8</v>
      </c>
      <c r="B14592" s="1" t="str">
        <f>"000037786 - RICHS BREAD &amp; ROLLS-SODEXO"</f>
        <v>000037786 - RICHS BREAD &amp; ROLLS-SODEXO</v>
      </c>
      <c r="C14592" t="s">
        <v>135</v>
      </c>
      <c r="D14592" s="1" t="str">
        <f t="shared" si="404"/>
        <v>PRG-1043282</v>
      </c>
      <c r="E14592" t="s">
        <v>331</v>
      </c>
      <c r="F14592" t="s">
        <v>4</v>
      </c>
      <c r="G14592" t="str">
        <f>""</f>
        <v/>
      </c>
    </row>
    <row r="14593" spans="1:7" x14ac:dyDescent="0.25">
      <c r="A14593" t="s">
        <v>8</v>
      </c>
      <c r="B14593" s="1" t="str">
        <f>"000039221 - RICHS BREAD &amp; ROLLS-SODEXO"</f>
        <v>000039221 - RICHS BREAD &amp; ROLLS-SODEXO</v>
      </c>
      <c r="C14593" t="s">
        <v>135</v>
      </c>
      <c r="D14593" s="1" t="str">
        <f t="shared" si="404"/>
        <v>PRG-1043282</v>
      </c>
      <c r="E14593" t="s">
        <v>331</v>
      </c>
      <c r="F14593" t="s">
        <v>4</v>
      </c>
      <c r="G14593" t="str">
        <f>""</f>
        <v/>
      </c>
    </row>
    <row r="14594" spans="1:7" x14ac:dyDescent="0.25">
      <c r="A14594" t="s">
        <v>8</v>
      </c>
      <c r="B14594" s="1" t="str">
        <f>"000040367 - RICHS BREAD &amp; ROLLS-SODEXO"</f>
        <v>000040367 - RICHS BREAD &amp; ROLLS-SODEXO</v>
      </c>
      <c r="C14594" t="s">
        <v>135</v>
      </c>
      <c r="D14594" s="1" t="str">
        <f t="shared" si="404"/>
        <v>PRG-1043282</v>
      </c>
      <c r="E14594" t="s">
        <v>331</v>
      </c>
      <c r="F14594" t="s">
        <v>4</v>
      </c>
      <c r="G14594" t="str">
        <f>""</f>
        <v/>
      </c>
    </row>
    <row r="14595" spans="1:7" x14ac:dyDescent="0.25">
      <c r="A14595" t="s">
        <v>8</v>
      </c>
      <c r="B14595" s="1" t="str">
        <f>"000044217 - RICHS BREAD &amp; ROLLS-SODEXO"</f>
        <v>000044217 - RICHS BREAD &amp; ROLLS-SODEXO</v>
      </c>
      <c r="C14595" t="s">
        <v>135</v>
      </c>
      <c r="D14595" s="1" t="str">
        <f t="shared" si="404"/>
        <v>PRG-1043282</v>
      </c>
      <c r="E14595" t="s">
        <v>331</v>
      </c>
      <c r="F14595" t="s">
        <v>4</v>
      </c>
      <c r="G14595" t="str">
        <f>""</f>
        <v/>
      </c>
    </row>
    <row r="14596" spans="1:7" x14ac:dyDescent="0.25">
      <c r="A14596" t="s">
        <v>8</v>
      </c>
      <c r="B14596" s="1" t="str">
        <f>"000075355 - RICHS BREAD &amp; ROLLS-SODEXO"</f>
        <v>000075355 - RICHS BREAD &amp; ROLLS-SODEXO</v>
      </c>
      <c r="C14596" t="s">
        <v>135</v>
      </c>
      <c r="D14596" s="1" t="str">
        <f t="shared" si="404"/>
        <v>PRG-1043282</v>
      </c>
      <c r="E14596" t="s">
        <v>331</v>
      </c>
      <c r="F14596" t="s">
        <v>4</v>
      </c>
      <c r="G14596" t="str">
        <f>""</f>
        <v/>
      </c>
    </row>
    <row r="14597" spans="1:7" x14ac:dyDescent="0.25">
      <c r="A14597" t="s">
        <v>8</v>
      </c>
      <c r="B14597" s="1" t="str">
        <f>"000076301 - RICHS BREAD &amp; ROLLS-SODEXO"</f>
        <v>000076301 - RICHS BREAD &amp; ROLLS-SODEXO</v>
      </c>
      <c r="C14597" t="s">
        <v>135</v>
      </c>
      <c r="D14597" s="1" t="str">
        <f t="shared" si="404"/>
        <v>PRG-1043282</v>
      </c>
      <c r="E14597" t="s">
        <v>331</v>
      </c>
      <c r="F14597" t="s">
        <v>4</v>
      </c>
      <c r="G14597" t="str">
        <f>""</f>
        <v/>
      </c>
    </row>
    <row r="14598" spans="1:7" x14ac:dyDescent="0.25">
      <c r="A14598" t="s">
        <v>8</v>
      </c>
      <c r="B14598" s="1" t="str">
        <f>"000077618 - RICHS BREAD &amp; ROLLS-SODEXO"</f>
        <v>000077618 - RICHS BREAD &amp; ROLLS-SODEXO</v>
      </c>
      <c r="C14598" t="s">
        <v>135</v>
      </c>
      <c r="D14598" s="1" t="str">
        <f t="shared" si="404"/>
        <v>PRG-1043282</v>
      </c>
      <c r="E14598" t="s">
        <v>331</v>
      </c>
      <c r="F14598" t="s">
        <v>4</v>
      </c>
      <c r="G14598" t="str">
        <f>""</f>
        <v/>
      </c>
    </row>
    <row r="14599" spans="1:7" x14ac:dyDescent="0.25">
      <c r="A14599" t="s">
        <v>8</v>
      </c>
      <c r="B14599" s="1" t="str">
        <f>"000077894 - RICHES 100912 DOUGH"</f>
        <v>000077894 - RICHES 100912 DOUGH</v>
      </c>
      <c r="C14599" t="s">
        <v>736</v>
      </c>
      <c r="D14599" s="1" t="str">
        <f t="shared" si="404"/>
        <v>PRG-1043282</v>
      </c>
      <c r="E14599" t="s">
        <v>331</v>
      </c>
      <c r="F14599" t="s">
        <v>4</v>
      </c>
      <c r="G14599" t="str">
        <f>""</f>
        <v/>
      </c>
    </row>
    <row r="14600" spans="1:7" x14ac:dyDescent="0.25">
      <c r="A14600" t="s">
        <v>8</v>
      </c>
      <c r="B14600" s="1" t="str">
        <f>"000079416 - RICHS BREAD &amp; ROLLS-SODEXO"</f>
        <v>000079416 - RICHS BREAD &amp; ROLLS-SODEXO</v>
      </c>
      <c r="C14600" t="s">
        <v>135</v>
      </c>
      <c r="D14600" s="1" t="str">
        <f t="shared" si="404"/>
        <v>PRG-1043282</v>
      </c>
      <c r="E14600" t="s">
        <v>331</v>
      </c>
      <c r="F14600" t="s">
        <v>4</v>
      </c>
      <c r="G14600" t="str">
        <f>""</f>
        <v/>
      </c>
    </row>
    <row r="14601" spans="1:7" x14ac:dyDescent="0.25">
      <c r="A14601" t="s">
        <v>8</v>
      </c>
      <c r="B14601" s="1" t="str">
        <f>"000097557 - RICHS BREAD &amp; ROLLS-SODEXO"</f>
        <v>000097557 - RICHS BREAD &amp; ROLLS-SODEXO</v>
      </c>
      <c r="C14601" t="s">
        <v>135</v>
      </c>
      <c r="D14601" s="1" t="str">
        <f t="shared" si="404"/>
        <v>PRG-1043282</v>
      </c>
      <c r="E14601" t="s">
        <v>331</v>
      </c>
      <c r="F14601" t="s">
        <v>4</v>
      </c>
      <c r="G14601" t="str">
        <f>""</f>
        <v/>
      </c>
    </row>
    <row r="14602" spans="1:7" x14ac:dyDescent="0.25">
      <c r="A14602" t="s">
        <v>8</v>
      </c>
      <c r="B14602" s="1" t="str">
        <f>"000149721 - RICHS BREAD &amp; ROLLS-SODEXO"</f>
        <v>000149721 - RICHS BREAD &amp; ROLLS-SODEXO</v>
      </c>
      <c r="C14602" t="s">
        <v>135</v>
      </c>
      <c r="D14602" s="1" t="str">
        <f t="shared" si="404"/>
        <v>PRG-1043282</v>
      </c>
      <c r="E14602" t="s">
        <v>331</v>
      </c>
      <c r="F14602" t="s">
        <v>4</v>
      </c>
      <c r="G14602" t="str">
        <f>""</f>
        <v/>
      </c>
    </row>
    <row r="14603" spans="1:7" x14ac:dyDescent="0.25">
      <c r="A14603" t="s">
        <v>8</v>
      </c>
      <c r="B14603" s="1" t="str">
        <f>"000151871 - RICHS BREAD &amp; ROLLS-SODEXO"</f>
        <v>000151871 - RICHS BREAD &amp; ROLLS-SODEXO</v>
      </c>
      <c r="C14603" t="s">
        <v>135</v>
      </c>
      <c r="D14603" s="1" t="str">
        <f t="shared" si="404"/>
        <v>PRG-1043282</v>
      </c>
      <c r="E14603" t="s">
        <v>331</v>
      </c>
      <c r="F14603" t="s">
        <v>4</v>
      </c>
      <c r="G14603" t="str">
        <f>""</f>
        <v/>
      </c>
    </row>
    <row r="14604" spans="1:7" x14ac:dyDescent="0.25">
      <c r="A14604" t="s">
        <v>8</v>
      </c>
      <c r="B14604" s="1" t="str">
        <f>"000172017 - RICHS BREAD &amp; ROLLS-SODEXO"</f>
        <v>000172017 - RICHS BREAD &amp; ROLLS-SODEXO</v>
      </c>
      <c r="C14604" t="s">
        <v>135</v>
      </c>
      <c r="D14604" s="1" t="str">
        <f t="shared" si="404"/>
        <v>PRG-1043282</v>
      </c>
      <c r="E14604" t="s">
        <v>331</v>
      </c>
      <c r="F14604" t="s">
        <v>4</v>
      </c>
      <c r="G14604" t="str">
        <f>""</f>
        <v/>
      </c>
    </row>
    <row r="14605" spans="1:7" x14ac:dyDescent="0.25">
      <c r="A14605" t="s">
        <v>8</v>
      </c>
      <c r="B14605" s="1" t="str">
        <f>"000173987 - RICHS BREAD &amp; ROLLS-SODEXO"</f>
        <v>000173987 - RICHS BREAD &amp; ROLLS-SODEXO</v>
      </c>
      <c r="C14605" t="s">
        <v>135</v>
      </c>
      <c r="D14605" s="1" t="str">
        <f t="shared" si="404"/>
        <v>PRG-1043282</v>
      </c>
      <c r="E14605" t="s">
        <v>331</v>
      </c>
      <c r="F14605" t="s">
        <v>4</v>
      </c>
      <c r="G14605" t="str">
        <f>""</f>
        <v/>
      </c>
    </row>
    <row r="14606" spans="1:7" x14ac:dyDescent="0.25">
      <c r="A14606" t="s">
        <v>8</v>
      </c>
      <c r="B14606" s="1" t="str">
        <f>"000177540 - RICHS BREAD &amp; ROLLS-SODEXO"</f>
        <v>000177540 - RICHS BREAD &amp; ROLLS-SODEXO</v>
      </c>
      <c r="C14606" t="s">
        <v>135</v>
      </c>
      <c r="D14606" s="1" t="str">
        <f t="shared" si="404"/>
        <v>PRG-1043282</v>
      </c>
      <c r="E14606" t="s">
        <v>331</v>
      </c>
      <c r="F14606" t="s">
        <v>4</v>
      </c>
      <c r="G14606" t="str">
        <f>""</f>
        <v/>
      </c>
    </row>
    <row r="14607" spans="1:7" x14ac:dyDescent="0.25">
      <c r="A14607" t="s">
        <v>8</v>
      </c>
      <c r="B14607" s="1" t="str">
        <f>"000180456 - RICHS BREAD &amp; ROLLS-SODEXO"</f>
        <v>000180456 - RICHS BREAD &amp; ROLLS-SODEXO</v>
      </c>
      <c r="C14607" t="s">
        <v>135</v>
      </c>
      <c r="D14607" s="1" t="str">
        <f t="shared" si="404"/>
        <v>PRG-1043282</v>
      </c>
      <c r="E14607" t="s">
        <v>331</v>
      </c>
      <c r="F14607" t="s">
        <v>4</v>
      </c>
      <c r="G14607" t="str">
        <f>""</f>
        <v/>
      </c>
    </row>
    <row r="14608" spans="1:7" x14ac:dyDescent="0.25">
      <c r="A14608" t="s">
        <v>8</v>
      </c>
      <c r="B14608" s="1" t="str">
        <f>"000197269 - RICHS BREAD &amp; ROLLS-SODEXO"</f>
        <v>000197269 - RICHS BREAD &amp; ROLLS-SODEXO</v>
      </c>
      <c r="C14608" t="s">
        <v>135</v>
      </c>
      <c r="D14608" s="1" t="str">
        <f t="shared" si="404"/>
        <v>PRG-1043282</v>
      </c>
      <c r="E14608" t="s">
        <v>331</v>
      </c>
      <c r="F14608" t="s">
        <v>4</v>
      </c>
      <c r="G14608" t="str">
        <f>""</f>
        <v/>
      </c>
    </row>
    <row r="14609" spans="1:7" x14ac:dyDescent="0.25">
      <c r="A14609" t="s">
        <v>8</v>
      </c>
      <c r="B14609" s="1" t="str">
        <f>"000243030 - RICHS BREAD &amp; ROLLS-SODEXO"</f>
        <v>000243030 - RICHS BREAD &amp; ROLLS-SODEXO</v>
      </c>
      <c r="C14609" t="s">
        <v>135</v>
      </c>
      <c r="D14609" s="1" t="str">
        <f t="shared" si="404"/>
        <v>PRG-1043282</v>
      </c>
      <c r="E14609" t="s">
        <v>331</v>
      </c>
      <c r="F14609" t="s">
        <v>4</v>
      </c>
      <c r="G14609" t="str">
        <f>""</f>
        <v/>
      </c>
    </row>
    <row r="14610" spans="1:7" x14ac:dyDescent="0.25">
      <c r="A14610" t="s">
        <v>8</v>
      </c>
      <c r="B14610" s="1" t="str">
        <f>"000248684 - RICHS BREAD &amp; ROLLS-SODEXO"</f>
        <v>000248684 - RICHS BREAD &amp; ROLLS-SODEXO</v>
      </c>
      <c r="C14610" t="s">
        <v>135</v>
      </c>
      <c r="D14610" s="1" t="str">
        <f t="shared" si="404"/>
        <v>PRG-1043282</v>
      </c>
      <c r="E14610" t="s">
        <v>331</v>
      </c>
      <c r="F14610" t="s">
        <v>4</v>
      </c>
      <c r="G14610" t="str">
        <f>""</f>
        <v/>
      </c>
    </row>
    <row r="14611" spans="1:7" x14ac:dyDescent="0.25">
      <c r="A14611" t="s">
        <v>8</v>
      </c>
      <c r="B14611" s="1" t="str">
        <f>"000250104 - RICHS BREAD &amp; ROLLS-SODEXO"</f>
        <v>000250104 - RICHS BREAD &amp; ROLLS-SODEXO</v>
      </c>
      <c r="C14611" t="s">
        <v>135</v>
      </c>
      <c r="D14611" s="1" t="str">
        <f t="shared" si="404"/>
        <v>PRG-1043282</v>
      </c>
      <c r="E14611" t="s">
        <v>331</v>
      </c>
      <c r="F14611" t="s">
        <v>4</v>
      </c>
      <c r="G14611" t="str">
        <f>""</f>
        <v/>
      </c>
    </row>
    <row r="14612" spans="1:7" x14ac:dyDescent="0.25">
      <c r="A14612" t="s">
        <v>8</v>
      </c>
      <c r="B14612" s="1" t="str">
        <f>"000251738 - RICHS BREAD &amp; ROLLS-SODEXO"</f>
        <v>000251738 - RICHS BREAD &amp; ROLLS-SODEXO</v>
      </c>
      <c r="C14612" t="s">
        <v>135</v>
      </c>
      <c r="D14612" s="1" t="str">
        <f t="shared" si="404"/>
        <v>PRG-1043282</v>
      </c>
      <c r="E14612" t="s">
        <v>331</v>
      </c>
      <c r="F14612" t="s">
        <v>4</v>
      </c>
      <c r="G14612" t="str">
        <f>""</f>
        <v/>
      </c>
    </row>
    <row r="14613" spans="1:7" x14ac:dyDescent="0.25">
      <c r="A14613" t="s">
        <v>8</v>
      </c>
      <c r="B14613" s="1" t="str">
        <f>"000252118 - RICHS BREAD &amp; ROLLS-SODEXO"</f>
        <v>000252118 - RICHS BREAD &amp; ROLLS-SODEXO</v>
      </c>
      <c r="C14613" t="s">
        <v>135</v>
      </c>
      <c r="D14613" s="1" t="str">
        <f t="shared" si="404"/>
        <v>PRG-1043282</v>
      </c>
      <c r="E14613" t="s">
        <v>331</v>
      </c>
      <c r="F14613" t="s">
        <v>4</v>
      </c>
      <c r="G14613" t="str">
        <f>""</f>
        <v/>
      </c>
    </row>
    <row r="14614" spans="1:7" x14ac:dyDescent="0.25">
      <c r="A14614" t="s">
        <v>8</v>
      </c>
      <c r="B14614" s="1" t="str">
        <f>"000253486 - RICHS BREAD &amp; ROLLS-SODEXO"</f>
        <v>000253486 - RICHS BREAD &amp; ROLLS-SODEXO</v>
      </c>
      <c r="C14614" t="s">
        <v>135</v>
      </c>
      <c r="D14614" s="1" t="str">
        <f t="shared" si="404"/>
        <v>PRG-1043282</v>
      </c>
      <c r="E14614" t="s">
        <v>331</v>
      </c>
      <c r="F14614" t="s">
        <v>4</v>
      </c>
      <c r="G14614" t="str">
        <f>""</f>
        <v/>
      </c>
    </row>
    <row r="14615" spans="1:7" x14ac:dyDescent="0.25">
      <c r="A14615" t="s">
        <v>8</v>
      </c>
      <c r="B14615" s="1" t="str">
        <f>"000262130 - RICHS BREAD &amp; ROLLS-SODEXO"</f>
        <v>000262130 - RICHS BREAD &amp; ROLLS-SODEXO</v>
      </c>
      <c r="C14615" t="s">
        <v>135</v>
      </c>
      <c r="D14615" s="1" t="str">
        <f t="shared" si="404"/>
        <v>PRG-1043282</v>
      </c>
      <c r="E14615" t="s">
        <v>331</v>
      </c>
      <c r="F14615" t="s">
        <v>4</v>
      </c>
      <c r="G14615" t="str">
        <f>""</f>
        <v/>
      </c>
    </row>
    <row r="14616" spans="1:7" x14ac:dyDescent="0.25">
      <c r="A14616" t="s">
        <v>8</v>
      </c>
      <c r="B14616" s="1" t="str">
        <f>"000266454 - RICHS BREAD &amp; ROLLS-SODEXO"</f>
        <v>000266454 - RICHS BREAD &amp; ROLLS-SODEXO</v>
      </c>
      <c r="C14616" t="s">
        <v>135</v>
      </c>
      <c r="D14616" s="1" t="str">
        <f t="shared" si="404"/>
        <v>PRG-1043282</v>
      </c>
      <c r="E14616" t="s">
        <v>331</v>
      </c>
      <c r="F14616" t="s">
        <v>4</v>
      </c>
      <c r="G14616" t="str">
        <f>""</f>
        <v/>
      </c>
    </row>
    <row r="14617" spans="1:7" x14ac:dyDescent="0.25">
      <c r="A14617" t="s">
        <v>8</v>
      </c>
      <c r="B14617" s="1" t="str">
        <f>"000267677 - RICHS BREAD &amp; ROLLS-SODEXO"</f>
        <v>000267677 - RICHS BREAD &amp; ROLLS-SODEXO</v>
      </c>
      <c r="C14617" t="s">
        <v>135</v>
      </c>
      <c r="D14617" s="1" t="str">
        <f t="shared" ref="D14617:D14648" si="405">"PRG-1043282"</f>
        <v>PRG-1043282</v>
      </c>
      <c r="E14617" t="s">
        <v>331</v>
      </c>
      <c r="F14617" t="s">
        <v>4</v>
      </c>
      <c r="G14617" t="str">
        <f>""</f>
        <v/>
      </c>
    </row>
    <row r="14618" spans="1:7" x14ac:dyDescent="0.25">
      <c r="A14618" t="s">
        <v>8</v>
      </c>
      <c r="B14618" s="1" t="str">
        <f>"000268146 - RICHS BREAD &amp; ROLLS-SODEXO"</f>
        <v>000268146 - RICHS BREAD &amp; ROLLS-SODEXO</v>
      </c>
      <c r="C14618" t="s">
        <v>135</v>
      </c>
      <c r="D14618" s="1" t="str">
        <f t="shared" si="405"/>
        <v>PRG-1043282</v>
      </c>
      <c r="E14618" t="s">
        <v>331</v>
      </c>
      <c r="F14618" t="s">
        <v>4</v>
      </c>
      <c r="G14618" t="str">
        <f>""</f>
        <v/>
      </c>
    </row>
    <row r="14619" spans="1:7" x14ac:dyDescent="0.25">
      <c r="A14619" t="s">
        <v>8</v>
      </c>
      <c r="B14619" s="1" t="str">
        <f>"000269034 - RICHS BREAD &amp; ROLLS-SODEXO"</f>
        <v>000269034 - RICHS BREAD &amp; ROLLS-SODEXO</v>
      </c>
      <c r="C14619" t="s">
        <v>135</v>
      </c>
      <c r="D14619" s="1" t="str">
        <f t="shared" si="405"/>
        <v>PRG-1043282</v>
      </c>
      <c r="E14619" t="s">
        <v>331</v>
      </c>
      <c r="F14619" t="s">
        <v>4</v>
      </c>
      <c r="G14619" t="str">
        <f>""</f>
        <v/>
      </c>
    </row>
    <row r="14620" spans="1:7" x14ac:dyDescent="0.25">
      <c r="A14620" t="s">
        <v>8</v>
      </c>
      <c r="B14620" s="1" t="str">
        <f>"000273011 - RICHS BREAD &amp; ROLLS-SODEXO"</f>
        <v>000273011 - RICHS BREAD &amp; ROLLS-SODEXO</v>
      </c>
      <c r="C14620" t="s">
        <v>135</v>
      </c>
      <c r="D14620" s="1" t="str">
        <f t="shared" si="405"/>
        <v>PRG-1043282</v>
      </c>
      <c r="E14620" t="s">
        <v>331</v>
      </c>
      <c r="F14620" t="s">
        <v>4</v>
      </c>
      <c r="G14620" t="str">
        <f>""</f>
        <v/>
      </c>
    </row>
    <row r="14621" spans="1:7" x14ac:dyDescent="0.25">
      <c r="A14621" t="s">
        <v>8</v>
      </c>
      <c r="B14621" s="1" t="str">
        <f>"000273132 - RICHS BREAD &amp; ROLLS-SODEXO"</f>
        <v>000273132 - RICHS BREAD &amp; ROLLS-SODEXO</v>
      </c>
      <c r="C14621" t="s">
        <v>135</v>
      </c>
      <c r="D14621" s="1" t="str">
        <f t="shared" si="405"/>
        <v>PRG-1043282</v>
      </c>
      <c r="E14621" t="s">
        <v>331</v>
      </c>
      <c r="F14621" t="s">
        <v>4</v>
      </c>
      <c r="G14621" t="str">
        <f>""</f>
        <v/>
      </c>
    </row>
    <row r="14622" spans="1:7" x14ac:dyDescent="0.25">
      <c r="A14622" t="s">
        <v>8</v>
      </c>
      <c r="B14622" s="1" t="str">
        <f>"000273136 - RICHS BREAD &amp; ROLLS-SODEXO"</f>
        <v>000273136 - RICHS BREAD &amp; ROLLS-SODEXO</v>
      </c>
      <c r="C14622" t="s">
        <v>135</v>
      </c>
      <c r="D14622" s="1" t="str">
        <f t="shared" si="405"/>
        <v>PRG-1043282</v>
      </c>
      <c r="E14622" t="s">
        <v>331</v>
      </c>
      <c r="F14622" t="s">
        <v>4</v>
      </c>
      <c r="G14622" t="str">
        <f>""</f>
        <v/>
      </c>
    </row>
    <row r="14623" spans="1:7" x14ac:dyDescent="0.25">
      <c r="A14623" t="s">
        <v>8</v>
      </c>
      <c r="B14623" s="1" t="str">
        <f>"000273210 - RICHS BREAD &amp; ROLLS-SODEXO"</f>
        <v>000273210 - RICHS BREAD &amp; ROLLS-SODEXO</v>
      </c>
      <c r="C14623" t="s">
        <v>135</v>
      </c>
      <c r="D14623" s="1" t="str">
        <f t="shared" si="405"/>
        <v>PRG-1043282</v>
      </c>
      <c r="E14623" t="s">
        <v>331</v>
      </c>
      <c r="F14623" t="s">
        <v>4</v>
      </c>
      <c r="G14623" t="str">
        <f>""</f>
        <v/>
      </c>
    </row>
    <row r="14624" spans="1:7" x14ac:dyDescent="0.25">
      <c r="A14624" t="s">
        <v>8</v>
      </c>
      <c r="B14624" s="1" t="str">
        <f>"000279525 - RICHS BREAD &amp; ROLLS-SODEXO"</f>
        <v>000279525 - RICHS BREAD &amp; ROLLS-SODEXO</v>
      </c>
      <c r="C14624" t="s">
        <v>135</v>
      </c>
      <c r="D14624" s="1" t="str">
        <f t="shared" si="405"/>
        <v>PRG-1043282</v>
      </c>
      <c r="E14624" t="s">
        <v>331</v>
      </c>
      <c r="F14624" t="s">
        <v>4</v>
      </c>
      <c r="G14624" t="str">
        <f>""</f>
        <v/>
      </c>
    </row>
    <row r="14625" spans="1:7" x14ac:dyDescent="0.25">
      <c r="A14625" t="s">
        <v>8</v>
      </c>
      <c r="B14625" s="1" t="str">
        <f>"000279552 - RICHS BREAD &amp; ROLLS-SODEXO"</f>
        <v>000279552 - RICHS BREAD &amp; ROLLS-SODEXO</v>
      </c>
      <c r="C14625" t="s">
        <v>135</v>
      </c>
      <c r="D14625" s="1" t="str">
        <f t="shared" si="405"/>
        <v>PRG-1043282</v>
      </c>
      <c r="E14625" t="s">
        <v>331</v>
      </c>
      <c r="F14625" t="s">
        <v>4</v>
      </c>
      <c r="G14625" t="str">
        <f>""</f>
        <v/>
      </c>
    </row>
    <row r="14626" spans="1:7" x14ac:dyDescent="0.25">
      <c r="A14626" t="s">
        <v>8</v>
      </c>
      <c r="B14626" s="1" t="str">
        <f>"000280175 - RICHS BREAD &amp; ROLLS-SODEXO"</f>
        <v>000280175 - RICHS BREAD &amp; ROLLS-SODEXO</v>
      </c>
      <c r="C14626" t="s">
        <v>135</v>
      </c>
      <c r="D14626" s="1" t="str">
        <f t="shared" si="405"/>
        <v>PRG-1043282</v>
      </c>
      <c r="E14626" t="s">
        <v>331</v>
      </c>
      <c r="F14626" t="s">
        <v>4</v>
      </c>
      <c r="G14626" t="str">
        <f>""</f>
        <v/>
      </c>
    </row>
    <row r="14627" spans="1:7" x14ac:dyDescent="0.25">
      <c r="A14627" t="s">
        <v>8</v>
      </c>
      <c r="B14627" s="1" t="str">
        <f>"000285317 - RICHS BREAD &amp; ROLLS-SODEXO"</f>
        <v>000285317 - RICHS BREAD &amp; ROLLS-SODEXO</v>
      </c>
      <c r="C14627" t="s">
        <v>135</v>
      </c>
      <c r="D14627" s="1" t="str">
        <f t="shared" si="405"/>
        <v>PRG-1043282</v>
      </c>
      <c r="E14627" t="s">
        <v>331</v>
      </c>
      <c r="F14627" t="s">
        <v>4</v>
      </c>
      <c r="G14627" t="str">
        <f>""</f>
        <v/>
      </c>
    </row>
    <row r="14628" spans="1:7" x14ac:dyDescent="0.25">
      <c r="A14628" t="s">
        <v>8</v>
      </c>
      <c r="B14628" s="1" t="str">
        <f>"000287923 - RICHS BREAD &amp; ROLLS-SODEXO"</f>
        <v>000287923 - RICHS BREAD &amp; ROLLS-SODEXO</v>
      </c>
      <c r="C14628" t="s">
        <v>135</v>
      </c>
      <c r="D14628" s="1" t="str">
        <f t="shared" si="405"/>
        <v>PRG-1043282</v>
      </c>
      <c r="E14628" t="s">
        <v>331</v>
      </c>
      <c r="F14628" t="s">
        <v>4</v>
      </c>
      <c r="G14628" t="str">
        <f>""</f>
        <v/>
      </c>
    </row>
    <row r="14629" spans="1:7" x14ac:dyDescent="0.25">
      <c r="A14629" t="s">
        <v>8</v>
      </c>
      <c r="B14629" s="1" t="str">
        <f>"000289726 - RICHS BREAD &amp; ROLLS-SODEXO"</f>
        <v>000289726 - RICHS BREAD &amp; ROLLS-SODEXO</v>
      </c>
      <c r="C14629" t="s">
        <v>135</v>
      </c>
      <c r="D14629" s="1" t="str">
        <f t="shared" si="405"/>
        <v>PRG-1043282</v>
      </c>
      <c r="E14629" t="s">
        <v>331</v>
      </c>
      <c r="F14629" t="s">
        <v>4</v>
      </c>
      <c r="G14629" t="str">
        <f>""</f>
        <v/>
      </c>
    </row>
    <row r="14630" spans="1:7" x14ac:dyDescent="0.25">
      <c r="A14630" t="s">
        <v>8</v>
      </c>
      <c r="B14630" s="1" t="str">
        <f>"000291053 - RICHS BREAD &amp; ROLLS-SODEXO"</f>
        <v>000291053 - RICHS BREAD &amp; ROLLS-SODEXO</v>
      </c>
      <c r="C14630" t="s">
        <v>135</v>
      </c>
      <c r="D14630" s="1" t="str">
        <f t="shared" si="405"/>
        <v>PRG-1043282</v>
      </c>
      <c r="E14630" t="s">
        <v>331</v>
      </c>
      <c r="F14630" t="s">
        <v>4</v>
      </c>
      <c r="G14630" t="str">
        <f>""</f>
        <v/>
      </c>
    </row>
    <row r="14631" spans="1:7" x14ac:dyDescent="0.25">
      <c r="A14631" t="s">
        <v>8</v>
      </c>
      <c r="B14631" s="1" t="str">
        <f>"000292732 - RICHS BREAD &amp; ROLLS-SODEXO"</f>
        <v>000292732 - RICHS BREAD &amp; ROLLS-SODEXO</v>
      </c>
      <c r="C14631" t="s">
        <v>135</v>
      </c>
      <c r="D14631" s="1" t="str">
        <f t="shared" si="405"/>
        <v>PRG-1043282</v>
      </c>
      <c r="E14631" t="s">
        <v>331</v>
      </c>
      <c r="F14631" t="s">
        <v>4</v>
      </c>
      <c r="G14631" t="str">
        <f>""</f>
        <v/>
      </c>
    </row>
    <row r="14632" spans="1:7" x14ac:dyDescent="0.25">
      <c r="A14632" t="s">
        <v>8</v>
      </c>
      <c r="B14632" s="1" t="str">
        <f>"000294720 - RICHS BREAD &amp; ROLLS-SODEXO"</f>
        <v>000294720 - RICHS BREAD &amp; ROLLS-SODEXO</v>
      </c>
      <c r="C14632" t="s">
        <v>135</v>
      </c>
      <c r="D14632" s="1" t="str">
        <f t="shared" si="405"/>
        <v>PRG-1043282</v>
      </c>
      <c r="E14632" t="s">
        <v>331</v>
      </c>
      <c r="F14632" t="s">
        <v>4</v>
      </c>
      <c r="G14632" t="str">
        <f>""</f>
        <v/>
      </c>
    </row>
    <row r="14633" spans="1:7" x14ac:dyDescent="0.25">
      <c r="A14633" t="s">
        <v>8</v>
      </c>
      <c r="B14633" s="1" t="str">
        <f>"000294819 - RICHS BREAD &amp; ROLLS-SODEXO"</f>
        <v>000294819 - RICHS BREAD &amp; ROLLS-SODEXO</v>
      </c>
      <c r="C14633" t="s">
        <v>135</v>
      </c>
      <c r="D14633" s="1" t="str">
        <f t="shared" si="405"/>
        <v>PRG-1043282</v>
      </c>
      <c r="E14633" t="s">
        <v>331</v>
      </c>
      <c r="F14633" t="s">
        <v>4</v>
      </c>
      <c r="G14633" t="str">
        <f>""</f>
        <v/>
      </c>
    </row>
    <row r="14634" spans="1:7" x14ac:dyDescent="0.25">
      <c r="A14634" t="s">
        <v>8</v>
      </c>
      <c r="B14634" s="1" t="str">
        <f>"000296701 - RICHS BREAD &amp; ROLLS-SODEXO"</f>
        <v>000296701 - RICHS BREAD &amp; ROLLS-SODEXO</v>
      </c>
      <c r="C14634" t="s">
        <v>135</v>
      </c>
      <c r="D14634" s="1" t="str">
        <f t="shared" si="405"/>
        <v>PRG-1043282</v>
      </c>
      <c r="E14634" t="s">
        <v>331</v>
      </c>
      <c r="F14634" t="s">
        <v>4</v>
      </c>
      <c r="G14634" t="str">
        <f>""</f>
        <v/>
      </c>
    </row>
    <row r="14635" spans="1:7" x14ac:dyDescent="0.25">
      <c r="A14635" t="s">
        <v>8</v>
      </c>
      <c r="B14635" s="1" t="str">
        <f>"000298113 - RICHS BREAD &amp; ROLLS-SODEXO"</f>
        <v>000298113 - RICHS BREAD &amp; ROLLS-SODEXO</v>
      </c>
      <c r="C14635" t="s">
        <v>135</v>
      </c>
      <c r="D14635" s="1" t="str">
        <f t="shared" si="405"/>
        <v>PRG-1043282</v>
      </c>
      <c r="E14635" t="s">
        <v>331</v>
      </c>
      <c r="F14635" t="s">
        <v>4</v>
      </c>
      <c r="G14635" t="str">
        <f>""</f>
        <v/>
      </c>
    </row>
    <row r="14636" spans="1:7" x14ac:dyDescent="0.25">
      <c r="A14636" t="s">
        <v>8</v>
      </c>
      <c r="B14636" s="1" t="str">
        <f>"000299300 - RICHS BREAD &amp; ROLLS-SODEXO"</f>
        <v>000299300 - RICHS BREAD &amp; ROLLS-SODEXO</v>
      </c>
      <c r="C14636" t="s">
        <v>135</v>
      </c>
      <c r="D14636" s="1" t="str">
        <f t="shared" si="405"/>
        <v>PRG-1043282</v>
      </c>
      <c r="E14636" t="s">
        <v>331</v>
      </c>
      <c r="F14636" t="s">
        <v>4</v>
      </c>
      <c r="G14636" t="str">
        <f>""</f>
        <v/>
      </c>
    </row>
    <row r="14637" spans="1:7" x14ac:dyDescent="0.25">
      <c r="A14637" t="s">
        <v>8</v>
      </c>
      <c r="B14637" s="1" t="str">
        <f>"000299931 - RICHS BREAD &amp; ROLLS-SODEXO"</f>
        <v>000299931 - RICHS BREAD &amp; ROLLS-SODEXO</v>
      </c>
      <c r="C14637" t="s">
        <v>135</v>
      </c>
      <c r="D14637" s="1" t="str">
        <f t="shared" si="405"/>
        <v>PRG-1043282</v>
      </c>
      <c r="E14637" t="s">
        <v>331</v>
      </c>
      <c r="F14637" t="s">
        <v>4</v>
      </c>
      <c r="G14637" t="str">
        <f>""</f>
        <v/>
      </c>
    </row>
    <row r="14638" spans="1:7" x14ac:dyDescent="0.25">
      <c r="A14638" t="s">
        <v>8</v>
      </c>
      <c r="B14638" s="1" t="str">
        <f>"000299957 - RICHS BREAD &amp; ROLLS-SODEXO"</f>
        <v>000299957 - RICHS BREAD &amp; ROLLS-SODEXO</v>
      </c>
      <c r="C14638" t="s">
        <v>135</v>
      </c>
      <c r="D14638" s="1" t="str">
        <f t="shared" si="405"/>
        <v>PRG-1043282</v>
      </c>
      <c r="E14638" t="s">
        <v>331</v>
      </c>
      <c r="F14638" t="s">
        <v>4</v>
      </c>
      <c r="G14638" t="str">
        <f>""</f>
        <v/>
      </c>
    </row>
    <row r="14639" spans="1:7" x14ac:dyDescent="0.25">
      <c r="A14639" t="s">
        <v>8</v>
      </c>
      <c r="B14639" s="1" t="str">
        <f>"000300418 - RICHS BREAD &amp; ROLLS-SODEXO"</f>
        <v>000300418 - RICHS BREAD &amp; ROLLS-SODEXO</v>
      </c>
      <c r="C14639" t="s">
        <v>135</v>
      </c>
      <c r="D14639" s="1" t="str">
        <f t="shared" si="405"/>
        <v>PRG-1043282</v>
      </c>
      <c r="E14639" t="s">
        <v>331</v>
      </c>
      <c r="F14639" t="s">
        <v>4</v>
      </c>
      <c r="G14639" t="str">
        <f>""</f>
        <v/>
      </c>
    </row>
    <row r="14640" spans="1:7" x14ac:dyDescent="0.25">
      <c r="A14640" t="s">
        <v>8</v>
      </c>
      <c r="B14640" s="1" t="str">
        <f>"000300894 - RICHS BREAD &amp; ROLLS-SODEXO"</f>
        <v>000300894 - RICHS BREAD &amp; ROLLS-SODEXO</v>
      </c>
      <c r="C14640" t="s">
        <v>135</v>
      </c>
      <c r="D14640" s="1" t="str">
        <f t="shared" si="405"/>
        <v>PRG-1043282</v>
      </c>
      <c r="E14640" t="s">
        <v>331</v>
      </c>
      <c r="F14640" t="s">
        <v>4</v>
      </c>
      <c r="G14640" t="str">
        <f>""</f>
        <v/>
      </c>
    </row>
    <row r="14641" spans="1:7" x14ac:dyDescent="0.25">
      <c r="A14641" t="s">
        <v>8</v>
      </c>
      <c r="B14641" s="1" t="str">
        <f>"000301522 - RICHS BREAD &amp; ROLLS-SODEXO"</f>
        <v>000301522 - RICHS BREAD &amp; ROLLS-SODEXO</v>
      </c>
      <c r="C14641" t="s">
        <v>135</v>
      </c>
      <c r="D14641" s="1" t="str">
        <f t="shared" si="405"/>
        <v>PRG-1043282</v>
      </c>
      <c r="E14641" t="s">
        <v>331</v>
      </c>
      <c r="F14641" t="s">
        <v>4</v>
      </c>
      <c r="G14641" t="str">
        <f>""</f>
        <v/>
      </c>
    </row>
    <row r="14642" spans="1:7" x14ac:dyDescent="0.25">
      <c r="A14642" t="s">
        <v>8</v>
      </c>
      <c r="B14642" s="1" t="str">
        <f>"000303903 - RICHS BREAD &amp; ROLLS-SODEXO"</f>
        <v>000303903 - RICHS BREAD &amp; ROLLS-SODEXO</v>
      </c>
      <c r="C14642" t="s">
        <v>135</v>
      </c>
      <c r="D14642" s="1" t="str">
        <f t="shared" si="405"/>
        <v>PRG-1043282</v>
      </c>
      <c r="E14642" t="s">
        <v>331</v>
      </c>
      <c r="F14642" t="s">
        <v>4</v>
      </c>
      <c r="G14642" t="str">
        <f>""</f>
        <v/>
      </c>
    </row>
    <row r="14643" spans="1:7" x14ac:dyDescent="0.25">
      <c r="A14643" t="s">
        <v>8</v>
      </c>
      <c r="B14643" s="1" t="str">
        <f>"000304757 - RICHS BREAD &amp; ROLLS-SODEXO"</f>
        <v>000304757 - RICHS BREAD &amp; ROLLS-SODEXO</v>
      </c>
      <c r="C14643" t="s">
        <v>135</v>
      </c>
      <c r="D14643" s="1" t="str">
        <f t="shared" si="405"/>
        <v>PRG-1043282</v>
      </c>
      <c r="E14643" t="s">
        <v>331</v>
      </c>
      <c r="F14643" t="s">
        <v>4</v>
      </c>
      <c r="G14643" t="str">
        <f>""</f>
        <v/>
      </c>
    </row>
    <row r="14644" spans="1:7" x14ac:dyDescent="0.25">
      <c r="A14644" t="s">
        <v>8</v>
      </c>
      <c r="B14644" s="1" t="str">
        <f>"000306732 - RICHS BREAD &amp; ROLLS-SODEXO"</f>
        <v>000306732 - RICHS BREAD &amp; ROLLS-SODEXO</v>
      </c>
      <c r="C14644" t="s">
        <v>135</v>
      </c>
      <c r="D14644" s="1" t="str">
        <f t="shared" si="405"/>
        <v>PRG-1043282</v>
      </c>
      <c r="E14644" t="s">
        <v>331</v>
      </c>
      <c r="F14644" t="s">
        <v>4</v>
      </c>
      <c r="G14644" t="str">
        <f>""</f>
        <v/>
      </c>
    </row>
    <row r="14645" spans="1:7" x14ac:dyDescent="0.25">
      <c r="A14645" t="s">
        <v>8</v>
      </c>
      <c r="B14645" s="1" t="str">
        <f>"000313790 - "</f>
        <v xml:space="preserve">000313790 - </v>
      </c>
      <c r="D14645" s="1" t="str">
        <f t="shared" si="405"/>
        <v>PRG-1043282</v>
      </c>
      <c r="E14645" t="s">
        <v>331</v>
      </c>
      <c r="F14645" t="s">
        <v>4</v>
      </c>
      <c r="G14645" t="str">
        <f>""</f>
        <v/>
      </c>
    </row>
    <row r="14646" spans="1:7" x14ac:dyDescent="0.25">
      <c r="A14646" t="s">
        <v>8</v>
      </c>
      <c r="B14646" s="1" t="str">
        <f>"000318348 - RICHS BREAD &amp; ROLLS-SODEXO"</f>
        <v>000318348 - RICHS BREAD &amp; ROLLS-SODEXO</v>
      </c>
      <c r="C14646" t="s">
        <v>135</v>
      </c>
      <c r="D14646" s="1" t="str">
        <f t="shared" si="405"/>
        <v>PRG-1043282</v>
      </c>
      <c r="E14646" t="s">
        <v>331</v>
      </c>
      <c r="F14646" t="s">
        <v>4</v>
      </c>
      <c r="G14646" t="str">
        <f>""</f>
        <v/>
      </c>
    </row>
    <row r="14647" spans="1:7" x14ac:dyDescent="0.25">
      <c r="A14647" t="s">
        <v>8</v>
      </c>
      <c r="B14647" s="1" t="str">
        <f>"000320214 - RICHS BREAD &amp; ROLLS-SODEXO"</f>
        <v>000320214 - RICHS BREAD &amp; ROLLS-SODEXO</v>
      </c>
      <c r="C14647" t="s">
        <v>135</v>
      </c>
      <c r="D14647" s="1" t="str">
        <f t="shared" si="405"/>
        <v>PRG-1043282</v>
      </c>
      <c r="E14647" t="s">
        <v>331</v>
      </c>
      <c r="F14647" t="s">
        <v>4</v>
      </c>
      <c r="G14647" t="str">
        <f>""</f>
        <v/>
      </c>
    </row>
    <row r="14648" spans="1:7" x14ac:dyDescent="0.25">
      <c r="A14648" t="s">
        <v>8</v>
      </c>
      <c r="B14648" s="1" t="str">
        <f>"000326974 - RICHS BREAD &amp; ROLLS-SODEXO"</f>
        <v>000326974 - RICHS BREAD &amp; ROLLS-SODEXO</v>
      </c>
      <c r="C14648" t="s">
        <v>135</v>
      </c>
      <c r="D14648" s="1" t="str">
        <f t="shared" si="405"/>
        <v>PRG-1043282</v>
      </c>
      <c r="E14648" t="s">
        <v>331</v>
      </c>
      <c r="F14648" t="s">
        <v>4</v>
      </c>
      <c r="G14648" t="str">
        <f>""</f>
        <v/>
      </c>
    </row>
    <row r="14649" spans="1:7" x14ac:dyDescent="0.25">
      <c r="A14649" t="s">
        <v>8</v>
      </c>
      <c r="B14649" s="1" t="str">
        <f>"000328779 - RICHS BREAD &amp; ROLLS-SODEXO"</f>
        <v>000328779 - RICHS BREAD &amp; ROLLS-SODEXO</v>
      </c>
      <c r="C14649" t="s">
        <v>135</v>
      </c>
      <c r="D14649" s="1" t="str">
        <f t="shared" ref="D14649:D14673" si="406">"PRG-1043282"</f>
        <v>PRG-1043282</v>
      </c>
      <c r="E14649" t="s">
        <v>331</v>
      </c>
      <c r="F14649" t="s">
        <v>4</v>
      </c>
      <c r="G14649" t="str">
        <f>""</f>
        <v/>
      </c>
    </row>
    <row r="14650" spans="1:7" x14ac:dyDescent="0.25">
      <c r="A14650" t="s">
        <v>8</v>
      </c>
      <c r="B14650" s="1" t="str">
        <f>"000330388 - RICHS DOUGH &amp; ICING-SODEXO"</f>
        <v>000330388 - RICHS DOUGH &amp; ICING-SODEXO</v>
      </c>
      <c r="C14650" t="s">
        <v>349</v>
      </c>
      <c r="D14650" s="1" t="str">
        <f t="shared" si="406"/>
        <v>PRG-1043282</v>
      </c>
      <c r="E14650" t="s">
        <v>331</v>
      </c>
      <c r="F14650" t="s">
        <v>4</v>
      </c>
      <c r="G14650" t="str">
        <f>""</f>
        <v/>
      </c>
    </row>
    <row r="14651" spans="1:7" x14ac:dyDescent="0.25">
      <c r="A14651" t="s">
        <v>8</v>
      </c>
      <c r="B14651" s="1" t="str">
        <f>"000336253 - RICHS BREAD &amp; ROLLS-SODEXO"</f>
        <v>000336253 - RICHS BREAD &amp; ROLLS-SODEXO</v>
      </c>
      <c r="C14651" t="s">
        <v>135</v>
      </c>
      <c r="D14651" s="1" t="str">
        <f t="shared" si="406"/>
        <v>PRG-1043282</v>
      </c>
      <c r="E14651" t="s">
        <v>331</v>
      </c>
      <c r="F14651" t="s">
        <v>4</v>
      </c>
      <c r="G14651" t="str">
        <f>""</f>
        <v/>
      </c>
    </row>
    <row r="14652" spans="1:7" x14ac:dyDescent="0.25">
      <c r="A14652" t="s">
        <v>8</v>
      </c>
      <c r="B14652" s="1" t="str">
        <f>"000337551 - RICHS BREAD &amp; ROLLS-SODEXO"</f>
        <v>000337551 - RICHS BREAD &amp; ROLLS-SODEXO</v>
      </c>
      <c r="C14652" t="s">
        <v>135</v>
      </c>
      <c r="D14652" s="1" t="str">
        <f t="shared" si="406"/>
        <v>PRG-1043282</v>
      </c>
      <c r="E14652" t="s">
        <v>331</v>
      </c>
      <c r="F14652" t="s">
        <v>4</v>
      </c>
      <c r="G14652" t="str">
        <f>""</f>
        <v/>
      </c>
    </row>
    <row r="14653" spans="1:7" x14ac:dyDescent="0.25">
      <c r="A14653" t="s">
        <v>8</v>
      </c>
      <c r="B14653" s="1" t="str">
        <f>"000337654 - RICHS BREAD &amp; ROLLS-SODEXO"</f>
        <v>000337654 - RICHS BREAD &amp; ROLLS-SODEXO</v>
      </c>
      <c r="C14653" t="s">
        <v>135</v>
      </c>
      <c r="D14653" s="1" t="str">
        <f t="shared" si="406"/>
        <v>PRG-1043282</v>
      </c>
      <c r="E14653" t="s">
        <v>331</v>
      </c>
      <c r="F14653" t="s">
        <v>4</v>
      </c>
      <c r="G14653" t="str">
        <f>""</f>
        <v/>
      </c>
    </row>
    <row r="14654" spans="1:7" x14ac:dyDescent="0.25">
      <c r="A14654" t="s">
        <v>8</v>
      </c>
      <c r="B14654" s="1" t="str">
        <f>"000348616 - RICHS BREAD &amp; ROLLS-SODEXO"</f>
        <v>000348616 - RICHS BREAD &amp; ROLLS-SODEXO</v>
      </c>
      <c r="C14654" t="s">
        <v>135</v>
      </c>
      <c r="D14654" s="1" t="str">
        <f t="shared" si="406"/>
        <v>PRG-1043282</v>
      </c>
      <c r="E14654" t="s">
        <v>331</v>
      </c>
      <c r="F14654" t="s">
        <v>4</v>
      </c>
      <c r="G14654" t="str">
        <f>""</f>
        <v/>
      </c>
    </row>
    <row r="14655" spans="1:7" x14ac:dyDescent="0.25">
      <c r="A14655" t="s">
        <v>8</v>
      </c>
      <c r="B14655" s="1" t="str">
        <f>"000350405 - RICHS BREAD &amp; ROLLS-SODEXO"</f>
        <v>000350405 - RICHS BREAD &amp; ROLLS-SODEXO</v>
      </c>
      <c r="C14655" t="s">
        <v>135</v>
      </c>
      <c r="D14655" s="1" t="str">
        <f t="shared" si="406"/>
        <v>PRG-1043282</v>
      </c>
      <c r="E14655" t="s">
        <v>331</v>
      </c>
      <c r="F14655" t="s">
        <v>4</v>
      </c>
      <c r="G14655" t="str">
        <f>""</f>
        <v/>
      </c>
    </row>
    <row r="14656" spans="1:7" x14ac:dyDescent="0.25">
      <c r="A14656" t="s">
        <v>8</v>
      </c>
      <c r="B14656" s="1" t="str">
        <f>"000361582 - RICHS BREAD &amp; ROLLS-SODEXO"</f>
        <v>000361582 - RICHS BREAD &amp; ROLLS-SODEXO</v>
      </c>
      <c r="C14656" t="s">
        <v>135</v>
      </c>
      <c r="D14656" s="1" t="str">
        <f t="shared" si="406"/>
        <v>PRG-1043282</v>
      </c>
      <c r="E14656" t="s">
        <v>331</v>
      </c>
      <c r="F14656" t="s">
        <v>4</v>
      </c>
      <c r="G14656" t="str">
        <f>""</f>
        <v/>
      </c>
    </row>
    <row r="14657" spans="1:7" x14ac:dyDescent="0.25">
      <c r="A14657" t="s">
        <v>8</v>
      </c>
      <c r="B14657" s="1" t="str">
        <f>"000363697 - RICHS BREAD &amp; ROLLS-SODEXO"</f>
        <v>000363697 - RICHS BREAD &amp; ROLLS-SODEXO</v>
      </c>
      <c r="C14657" t="s">
        <v>135</v>
      </c>
      <c r="D14657" s="1" t="str">
        <f t="shared" si="406"/>
        <v>PRG-1043282</v>
      </c>
      <c r="E14657" t="s">
        <v>331</v>
      </c>
      <c r="F14657" t="s">
        <v>4</v>
      </c>
      <c r="G14657" t="str">
        <f>""</f>
        <v/>
      </c>
    </row>
    <row r="14658" spans="1:7" x14ac:dyDescent="0.25">
      <c r="A14658" t="s">
        <v>8</v>
      </c>
      <c r="B14658" s="1" t="str">
        <f>"000363876 - RICHS BREAD &amp; ROLLS-SODEXO"</f>
        <v>000363876 - RICHS BREAD &amp; ROLLS-SODEXO</v>
      </c>
      <c r="C14658" t="s">
        <v>135</v>
      </c>
      <c r="D14658" s="1" t="str">
        <f t="shared" si="406"/>
        <v>PRG-1043282</v>
      </c>
      <c r="E14658" t="s">
        <v>331</v>
      </c>
      <c r="F14658" t="s">
        <v>4</v>
      </c>
      <c r="G14658" t="str">
        <f>""</f>
        <v/>
      </c>
    </row>
    <row r="14659" spans="1:7" x14ac:dyDescent="0.25">
      <c r="A14659" t="s">
        <v>8</v>
      </c>
      <c r="B14659" s="1" t="str">
        <f>"000365533 - RICHS BREAD &amp; ROLLS-SODEXO"</f>
        <v>000365533 - RICHS BREAD &amp; ROLLS-SODEXO</v>
      </c>
      <c r="C14659" t="s">
        <v>135</v>
      </c>
      <c r="D14659" s="1" t="str">
        <f t="shared" si="406"/>
        <v>PRG-1043282</v>
      </c>
      <c r="E14659" t="s">
        <v>331</v>
      </c>
      <c r="F14659" t="s">
        <v>4</v>
      </c>
      <c r="G14659" t="str">
        <f>""</f>
        <v/>
      </c>
    </row>
    <row r="14660" spans="1:7" x14ac:dyDescent="0.25">
      <c r="A14660" t="s">
        <v>8</v>
      </c>
      <c r="B14660" s="1" t="str">
        <f>"000365826 - RICHS BREAD &amp; ROLLS-SODEXO"</f>
        <v>000365826 - RICHS BREAD &amp; ROLLS-SODEXO</v>
      </c>
      <c r="C14660" t="s">
        <v>135</v>
      </c>
      <c r="D14660" s="1" t="str">
        <f t="shared" si="406"/>
        <v>PRG-1043282</v>
      </c>
      <c r="E14660" t="s">
        <v>331</v>
      </c>
      <c r="F14660" t="s">
        <v>4</v>
      </c>
      <c r="G14660" t="str">
        <f>""</f>
        <v/>
      </c>
    </row>
    <row r="14661" spans="1:7" x14ac:dyDescent="0.25">
      <c r="A14661" t="s">
        <v>8</v>
      </c>
      <c r="B14661" s="1" t="str">
        <f>"000369009 - RICHS BREAD &amp; ROLLS-SODEXO"</f>
        <v>000369009 - RICHS BREAD &amp; ROLLS-SODEXO</v>
      </c>
      <c r="C14661" t="s">
        <v>135</v>
      </c>
      <c r="D14661" s="1" t="str">
        <f t="shared" si="406"/>
        <v>PRG-1043282</v>
      </c>
      <c r="E14661" t="s">
        <v>331</v>
      </c>
      <c r="F14661" t="s">
        <v>4</v>
      </c>
      <c r="G14661" t="str">
        <f>""</f>
        <v/>
      </c>
    </row>
    <row r="14662" spans="1:7" x14ac:dyDescent="0.25">
      <c r="A14662" t="s">
        <v>8</v>
      </c>
      <c r="B14662" s="1" t="str">
        <f>"000370860 - RICHS BREAD &amp; ROLLS-SODEXO"</f>
        <v>000370860 - RICHS BREAD &amp; ROLLS-SODEXO</v>
      </c>
      <c r="C14662" t="s">
        <v>135</v>
      </c>
      <c r="D14662" s="1" t="str">
        <f t="shared" si="406"/>
        <v>PRG-1043282</v>
      </c>
      <c r="E14662" t="s">
        <v>331</v>
      </c>
      <c r="F14662" t="s">
        <v>4</v>
      </c>
      <c r="G14662" t="str">
        <f>""</f>
        <v/>
      </c>
    </row>
    <row r="14663" spans="1:7" x14ac:dyDescent="0.25">
      <c r="A14663" t="s">
        <v>8</v>
      </c>
      <c r="B14663" s="1" t="str">
        <f>"000372837 - RICHS BREAD &amp; ROLLS-SODEXO"</f>
        <v>000372837 - RICHS BREAD &amp; ROLLS-SODEXO</v>
      </c>
      <c r="C14663" t="s">
        <v>135</v>
      </c>
      <c r="D14663" s="1" t="str">
        <f t="shared" si="406"/>
        <v>PRG-1043282</v>
      </c>
      <c r="E14663" t="s">
        <v>331</v>
      </c>
      <c r="F14663" t="s">
        <v>4</v>
      </c>
      <c r="G14663" t="str">
        <f>""</f>
        <v/>
      </c>
    </row>
    <row r="14664" spans="1:7" x14ac:dyDescent="0.25">
      <c r="A14664" t="s">
        <v>8</v>
      </c>
      <c r="B14664" s="1" t="str">
        <f>"000374204 - RICHS BREAD &amp; ROLLS-SODEXO"</f>
        <v>000374204 - RICHS BREAD &amp; ROLLS-SODEXO</v>
      </c>
      <c r="C14664" t="s">
        <v>135</v>
      </c>
      <c r="D14664" s="1" t="str">
        <f t="shared" si="406"/>
        <v>PRG-1043282</v>
      </c>
      <c r="E14664" t="s">
        <v>331</v>
      </c>
      <c r="F14664" t="s">
        <v>4</v>
      </c>
      <c r="G14664" t="str">
        <f>""</f>
        <v/>
      </c>
    </row>
    <row r="14665" spans="1:7" x14ac:dyDescent="0.25">
      <c r="A14665" t="s">
        <v>8</v>
      </c>
      <c r="B14665" s="1" t="str">
        <f>"000375442 - RICHS BREAD &amp; ROLLS-SODEXO"</f>
        <v>000375442 - RICHS BREAD &amp; ROLLS-SODEXO</v>
      </c>
      <c r="C14665" t="s">
        <v>135</v>
      </c>
      <c r="D14665" s="1" t="str">
        <f t="shared" si="406"/>
        <v>PRG-1043282</v>
      </c>
      <c r="E14665" t="s">
        <v>331</v>
      </c>
      <c r="F14665" t="s">
        <v>4</v>
      </c>
      <c r="G14665" t="str">
        <f>""</f>
        <v/>
      </c>
    </row>
    <row r="14666" spans="1:7" x14ac:dyDescent="0.25">
      <c r="A14666" t="s">
        <v>8</v>
      </c>
      <c r="B14666" s="1" t="str">
        <f>"000381478 - RICHS BREAD &amp; ROLLS-SODEXO"</f>
        <v>000381478 - RICHS BREAD &amp; ROLLS-SODEXO</v>
      </c>
      <c r="C14666" t="s">
        <v>135</v>
      </c>
      <c r="D14666" s="1" t="str">
        <f t="shared" si="406"/>
        <v>PRG-1043282</v>
      </c>
      <c r="E14666" t="s">
        <v>331</v>
      </c>
      <c r="F14666" t="s">
        <v>4</v>
      </c>
      <c r="G14666" t="str">
        <f>""</f>
        <v/>
      </c>
    </row>
    <row r="14667" spans="1:7" x14ac:dyDescent="0.25">
      <c r="A14667" t="s">
        <v>8</v>
      </c>
      <c r="B14667" s="1" t="str">
        <f>"000383666 - RICHS BREAD &amp; ROLLS-SODEXO"</f>
        <v>000383666 - RICHS BREAD &amp; ROLLS-SODEXO</v>
      </c>
      <c r="C14667" t="s">
        <v>135</v>
      </c>
      <c r="D14667" s="1" t="str">
        <f t="shared" si="406"/>
        <v>PRG-1043282</v>
      </c>
      <c r="E14667" t="s">
        <v>331</v>
      </c>
      <c r="F14667" t="s">
        <v>4</v>
      </c>
      <c r="G14667" t="str">
        <f>""</f>
        <v/>
      </c>
    </row>
    <row r="14668" spans="1:7" x14ac:dyDescent="0.25">
      <c r="A14668" t="s">
        <v>8</v>
      </c>
      <c r="B14668" s="1" t="str">
        <f>"000389559 - RICHS BREAD &amp; ROLLS-SODEXO"</f>
        <v>000389559 - RICHS BREAD &amp; ROLLS-SODEXO</v>
      </c>
      <c r="C14668" t="s">
        <v>135</v>
      </c>
      <c r="D14668" s="1" t="str">
        <f t="shared" si="406"/>
        <v>PRG-1043282</v>
      </c>
      <c r="E14668" t="s">
        <v>331</v>
      </c>
      <c r="F14668" t="s">
        <v>4</v>
      </c>
      <c r="G14668" t="str">
        <f>""</f>
        <v/>
      </c>
    </row>
    <row r="14669" spans="1:7" x14ac:dyDescent="0.25">
      <c r="A14669" t="s">
        <v>8</v>
      </c>
      <c r="B14669" s="1" t="str">
        <f>"000390720 - RICHS BREAD &amp; ROLLS-SODEXO"</f>
        <v>000390720 - RICHS BREAD &amp; ROLLS-SODEXO</v>
      </c>
      <c r="C14669" t="s">
        <v>135</v>
      </c>
      <c r="D14669" s="1" t="str">
        <f t="shared" si="406"/>
        <v>PRG-1043282</v>
      </c>
      <c r="E14669" t="s">
        <v>331</v>
      </c>
      <c r="F14669" t="s">
        <v>4</v>
      </c>
      <c r="G14669" t="str">
        <f>""</f>
        <v/>
      </c>
    </row>
    <row r="14670" spans="1:7" x14ac:dyDescent="0.25">
      <c r="A14670" t="s">
        <v>8</v>
      </c>
      <c r="B14670" s="1" t="str">
        <f>"000398639 - RICHS BREAD &amp; ROLLS-SODEXO"</f>
        <v>000398639 - RICHS BREAD &amp; ROLLS-SODEXO</v>
      </c>
      <c r="C14670" t="s">
        <v>135</v>
      </c>
      <c r="D14670" s="1" t="str">
        <f t="shared" si="406"/>
        <v>PRG-1043282</v>
      </c>
      <c r="E14670" t="s">
        <v>331</v>
      </c>
      <c r="F14670" t="s">
        <v>4</v>
      </c>
      <c r="G14670" t="str">
        <f>""</f>
        <v/>
      </c>
    </row>
    <row r="14671" spans="1:7" x14ac:dyDescent="0.25">
      <c r="A14671" t="s">
        <v>8</v>
      </c>
      <c r="B14671" s="1" t="str">
        <f>"000400674 - RICHS BREAD &amp; ROLLS-SODEXO"</f>
        <v>000400674 - RICHS BREAD &amp; ROLLS-SODEXO</v>
      </c>
      <c r="C14671" t="s">
        <v>135</v>
      </c>
      <c r="D14671" s="1" t="str">
        <f t="shared" si="406"/>
        <v>PRG-1043282</v>
      </c>
      <c r="E14671" t="s">
        <v>331</v>
      </c>
      <c r="F14671" t="s">
        <v>4</v>
      </c>
      <c r="G14671" t="str">
        <f>""</f>
        <v/>
      </c>
    </row>
    <row r="14672" spans="1:7" x14ac:dyDescent="0.25">
      <c r="A14672" t="s">
        <v>8</v>
      </c>
      <c r="B14672" s="1" t="str">
        <f>"000406904 - RICHS BREAD &amp; ROLLS-SODEXO"</f>
        <v>000406904 - RICHS BREAD &amp; ROLLS-SODEXO</v>
      </c>
      <c r="C14672" t="s">
        <v>135</v>
      </c>
      <c r="D14672" s="1" t="str">
        <f t="shared" si="406"/>
        <v>PRG-1043282</v>
      </c>
      <c r="E14672" t="s">
        <v>331</v>
      </c>
      <c r="F14672" t="s">
        <v>4</v>
      </c>
      <c r="G14672" t="str">
        <f>""</f>
        <v/>
      </c>
    </row>
    <row r="14673" spans="1:7" x14ac:dyDescent="0.25">
      <c r="A14673" t="s">
        <v>8</v>
      </c>
      <c r="B14673" s="1" t="str">
        <f>"000414970 - RICHS BREAD &amp; ROLLS-SODEXO"</f>
        <v>000414970 - RICHS BREAD &amp; ROLLS-SODEXO</v>
      </c>
      <c r="C14673" t="s">
        <v>135</v>
      </c>
      <c r="D14673" s="1" t="str">
        <f t="shared" si="406"/>
        <v>PRG-1043282</v>
      </c>
      <c r="E14673" t="s">
        <v>331</v>
      </c>
      <c r="F14673" t="s">
        <v>4</v>
      </c>
      <c r="G14673" t="str">
        <f>""</f>
        <v/>
      </c>
    </row>
    <row r="14674" spans="1:7" x14ac:dyDescent="0.25">
      <c r="A14674" t="s">
        <v>8</v>
      </c>
      <c r="B14674" s="1" t="str">
        <f>"000021847 - RICH FOODS-SUBWAY"</f>
        <v>000021847 - RICH FOODS-SUBWAY</v>
      </c>
      <c r="C14674" t="s">
        <v>90</v>
      </c>
      <c r="D14674" s="1" t="str">
        <f t="shared" ref="D14674:D14690" si="407">"PRG-1043292"</f>
        <v>PRG-1043292</v>
      </c>
      <c r="E14674" t="s">
        <v>91</v>
      </c>
      <c r="F14674" t="s">
        <v>4</v>
      </c>
      <c r="G14674" t="str">
        <f>""</f>
        <v/>
      </c>
    </row>
    <row r="14675" spans="1:7" x14ac:dyDescent="0.25">
      <c r="A14675" t="s">
        <v>8</v>
      </c>
      <c r="B14675" s="1" t="str">
        <f>"000025200 - RICH FOODS-SUBWAY"</f>
        <v>000025200 - RICH FOODS-SUBWAY</v>
      </c>
      <c r="C14675" t="s">
        <v>90</v>
      </c>
      <c r="D14675" s="1" t="str">
        <f t="shared" si="407"/>
        <v>PRG-1043292</v>
      </c>
      <c r="E14675" t="s">
        <v>91</v>
      </c>
      <c r="F14675" t="s">
        <v>4</v>
      </c>
      <c r="G14675" t="str">
        <f>""</f>
        <v/>
      </c>
    </row>
    <row r="14676" spans="1:7" x14ac:dyDescent="0.25">
      <c r="A14676" t="s">
        <v>8</v>
      </c>
      <c r="B14676" s="1" t="str">
        <f>"000029529 - RICH FOODS-SUBWAY"</f>
        <v>000029529 - RICH FOODS-SUBWAY</v>
      </c>
      <c r="C14676" t="s">
        <v>90</v>
      </c>
      <c r="D14676" s="1" t="str">
        <f t="shared" si="407"/>
        <v>PRG-1043292</v>
      </c>
      <c r="E14676" t="s">
        <v>91</v>
      </c>
      <c r="F14676" t="s">
        <v>4</v>
      </c>
      <c r="G14676" t="str">
        <f>""</f>
        <v/>
      </c>
    </row>
    <row r="14677" spans="1:7" x14ac:dyDescent="0.25">
      <c r="A14677" t="s">
        <v>8</v>
      </c>
      <c r="B14677" s="1" t="str">
        <f>"000032979 - RICH FOODS-SUBWAY"</f>
        <v>000032979 - RICH FOODS-SUBWAY</v>
      </c>
      <c r="C14677" t="s">
        <v>90</v>
      </c>
      <c r="D14677" s="1" t="str">
        <f t="shared" si="407"/>
        <v>PRG-1043292</v>
      </c>
      <c r="E14677" t="s">
        <v>91</v>
      </c>
      <c r="F14677" t="s">
        <v>4</v>
      </c>
      <c r="G14677" t="str">
        <f>""</f>
        <v/>
      </c>
    </row>
    <row r="14678" spans="1:7" x14ac:dyDescent="0.25">
      <c r="A14678" t="s">
        <v>8</v>
      </c>
      <c r="B14678" s="1" t="str">
        <f>"000045385 - RICH FOODS-SUBWAY"</f>
        <v>000045385 - RICH FOODS-SUBWAY</v>
      </c>
      <c r="C14678" t="s">
        <v>90</v>
      </c>
      <c r="D14678" s="1" t="str">
        <f t="shared" si="407"/>
        <v>PRG-1043292</v>
      </c>
      <c r="E14678" t="s">
        <v>91</v>
      </c>
      <c r="F14678" t="s">
        <v>4</v>
      </c>
      <c r="G14678" t="str">
        <f>""</f>
        <v/>
      </c>
    </row>
    <row r="14679" spans="1:7" x14ac:dyDescent="0.25">
      <c r="A14679" t="s">
        <v>8</v>
      </c>
      <c r="B14679" s="1" t="str">
        <f>"000161357 - RICH FOODS-SUBWAY"</f>
        <v>000161357 - RICH FOODS-SUBWAY</v>
      </c>
      <c r="C14679" t="s">
        <v>90</v>
      </c>
      <c r="D14679" s="1" t="str">
        <f t="shared" si="407"/>
        <v>PRG-1043292</v>
      </c>
      <c r="E14679" t="s">
        <v>91</v>
      </c>
      <c r="F14679" t="s">
        <v>4</v>
      </c>
      <c r="G14679" t="str">
        <f>""</f>
        <v/>
      </c>
    </row>
    <row r="14680" spans="1:7" x14ac:dyDescent="0.25">
      <c r="A14680" t="s">
        <v>8</v>
      </c>
      <c r="B14680" s="1" t="str">
        <f>"000179490 - RICH FOODS-SUBWAY"</f>
        <v>000179490 - RICH FOODS-SUBWAY</v>
      </c>
      <c r="C14680" t="s">
        <v>90</v>
      </c>
      <c r="D14680" s="1" t="str">
        <f t="shared" si="407"/>
        <v>PRG-1043292</v>
      </c>
      <c r="E14680" t="s">
        <v>91</v>
      </c>
      <c r="F14680" t="s">
        <v>4</v>
      </c>
      <c r="G14680" t="str">
        <f>""</f>
        <v/>
      </c>
    </row>
    <row r="14681" spans="1:7" x14ac:dyDescent="0.25">
      <c r="A14681" t="s">
        <v>8</v>
      </c>
      <c r="B14681" s="1" t="str">
        <f>"000216528 - RICH'S NC SUBWAY"</f>
        <v>000216528 - RICH'S NC SUBWAY</v>
      </c>
      <c r="C14681" t="s">
        <v>1533</v>
      </c>
      <c r="D14681" s="1" t="str">
        <f t="shared" si="407"/>
        <v>PRG-1043292</v>
      </c>
      <c r="E14681" t="s">
        <v>91</v>
      </c>
      <c r="F14681" t="s">
        <v>4</v>
      </c>
      <c r="G14681" t="str">
        <f>""</f>
        <v/>
      </c>
    </row>
    <row r="14682" spans="1:7" x14ac:dyDescent="0.25">
      <c r="A14682" t="s">
        <v>8</v>
      </c>
      <c r="B14682" s="1" t="str">
        <f>"000227216 - RICH FOODS-SUBWAY"</f>
        <v>000227216 - RICH FOODS-SUBWAY</v>
      </c>
      <c r="C14682" t="s">
        <v>90</v>
      </c>
      <c r="D14682" s="1" t="str">
        <f t="shared" si="407"/>
        <v>PRG-1043292</v>
      </c>
      <c r="E14682" t="s">
        <v>91</v>
      </c>
      <c r="F14682" t="s">
        <v>4</v>
      </c>
      <c r="G14682" t="str">
        <f>""</f>
        <v/>
      </c>
    </row>
    <row r="14683" spans="1:7" x14ac:dyDescent="0.25">
      <c r="A14683" t="s">
        <v>8</v>
      </c>
      <c r="B14683" s="1" t="str">
        <f>"000227217 - RICH FOODS-SUBWAY"</f>
        <v>000227217 - RICH FOODS-SUBWAY</v>
      </c>
      <c r="C14683" t="s">
        <v>90</v>
      </c>
      <c r="D14683" s="1" t="str">
        <f t="shared" si="407"/>
        <v>PRG-1043292</v>
      </c>
      <c r="E14683" t="s">
        <v>91</v>
      </c>
      <c r="F14683" t="s">
        <v>4</v>
      </c>
      <c r="G14683" t="str">
        <f>""</f>
        <v/>
      </c>
    </row>
    <row r="14684" spans="1:7" x14ac:dyDescent="0.25">
      <c r="A14684" t="s">
        <v>8</v>
      </c>
      <c r="B14684" s="1" t="str">
        <f>"000252965 - RICH PROD SUBWAY"</f>
        <v>000252965 - RICH PROD SUBWAY</v>
      </c>
      <c r="C14684" t="s">
        <v>2142</v>
      </c>
      <c r="D14684" s="1" t="str">
        <f t="shared" si="407"/>
        <v>PRG-1043292</v>
      </c>
      <c r="E14684" t="s">
        <v>91</v>
      </c>
      <c r="F14684" t="s">
        <v>4</v>
      </c>
      <c r="G14684" t="str">
        <f>""</f>
        <v/>
      </c>
    </row>
    <row r="14685" spans="1:7" x14ac:dyDescent="0.25">
      <c r="A14685" t="s">
        <v>8</v>
      </c>
      <c r="B14685" s="1" t="str">
        <f>"000285133 - RICH FOODS-SUBWAY"</f>
        <v>000285133 - RICH FOODS-SUBWAY</v>
      </c>
      <c r="C14685" t="s">
        <v>90</v>
      </c>
      <c r="D14685" s="1" t="str">
        <f t="shared" si="407"/>
        <v>PRG-1043292</v>
      </c>
      <c r="E14685" t="s">
        <v>91</v>
      </c>
      <c r="F14685" t="s">
        <v>4</v>
      </c>
      <c r="G14685" t="str">
        <f>""</f>
        <v/>
      </c>
    </row>
    <row r="14686" spans="1:7" x14ac:dyDescent="0.25">
      <c r="A14686" t="s">
        <v>8</v>
      </c>
      <c r="B14686" s="1" t="str">
        <f>"000302852 - RICH FOODS-SUBWAY"</f>
        <v>000302852 - RICH FOODS-SUBWAY</v>
      </c>
      <c r="C14686" t="s">
        <v>90</v>
      </c>
      <c r="D14686" s="1" t="str">
        <f t="shared" si="407"/>
        <v>PRG-1043292</v>
      </c>
      <c r="E14686" t="s">
        <v>91</v>
      </c>
      <c r="F14686" t="s">
        <v>4</v>
      </c>
      <c r="G14686" t="str">
        <f>""</f>
        <v/>
      </c>
    </row>
    <row r="14687" spans="1:7" x14ac:dyDescent="0.25">
      <c r="A14687" t="s">
        <v>8</v>
      </c>
      <c r="B14687" s="1" t="str">
        <f>"000302853 - RICH FOODS-SUBWAY"</f>
        <v>000302853 - RICH FOODS-SUBWAY</v>
      </c>
      <c r="C14687" t="s">
        <v>90</v>
      </c>
      <c r="D14687" s="1" t="str">
        <f t="shared" si="407"/>
        <v>PRG-1043292</v>
      </c>
      <c r="E14687" t="s">
        <v>91</v>
      </c>
      <c r="F14687" t="s">
        <v>4</v>
      </c>
      <c r="G14687" t="str">
        <f>""</f>
        <v/>
      </c>
    </row>
    <row r="14688" spans="1:7" x14ac:dyDescent="0.25">
      <c r="A14688" t="s">
        <v>8</v>
      </c>
      <c r="B14688" s="1" t="str">
        <f>"000305049 - RICH FOODS-SUBWAY"</f>
        <v>000305049 - RICH FOODS-SUBWAY</v>
      </c>
      <c r="C14688" t="s">
        <v>90</v>
      </c>
      <c r="D14688" s="1" t="str">
        <f t="shared" si="407"/>
        <v>PRG-1043292</v>
      </c>
      <c r="E14688" t="s">
        <v>91</v>
      </c>
      <c r="F14688" t="s">
        <v>4</v>
      </c>
      <c r="G14688" t="str">
        <f>""</f>
        <v/>
      </c>
    </row>
    <row r="14689" spans="1:7" x14ac:dyDescent="0.25">
      <c r="A14689" t="s">
        <v>8</v>
      </c>
      <c r="B14689" s="1" t="str">
        <f>"000305050 - RICH FOODS-SUBWAY"</f>
        <v>000305050 - RICH FOODS-SUBWAY</v>
      </c>
      <c r="C14689" t="s">
        <v>90</v>
      </c>
      <c r="D14689" s="1" t="str">
        <f t="shared" si="407"/>
        <v>PRG-1043292</v>
      </c>
      <c r="E14689" t="s">
        <v>91</v>
      </c>
      <c r="F14689" t="s">
        <v>4</v>
      </c>
      <c r="G14689" t="str">
        <f>""</f>
        <v/>
      </c>
    </row>
    <row r="14690" spans="1:7" x14ac:dyDescent="0.25">
      <c r="A14690" t="s">
        <v>8</v>
      </c>
      <c r="B14690" s="1" t="str">
        <f>"000322608 - RICH FOODS-SUBWAY"</f>
        <v>000322608 - RICH FOODS-SUBWAY</v>
      </c>
      <c r="C14690" t="s">
        <v>90</v>
      </c>
      <c r="D14690" s="1" t="str">
        <f t="shared" si="407"/>
        <v>PRG-1043292</v>
      </c>
      <c r="E14690" t="s">
        <v>91</v>
      </c>
      <c r="F14690" t="s">
        <v>4</v>
      </c>
      <c r="G14690" t="str">
        <f>""</f>
        <v/>
      </c>
    </row>
    <row r="14691" spans="1:7" x14ac:dyDescent="0.25">
      <c r="A14691" t="s">
        <v>8</v>
      </c>
      <c r="B14691" s="1" t="str">
        <f>"000018424 - RICHS BREAD &amp; ROLLS-SODEXO"</f>
        <v>000018424 - RICHS BREAD &amp; ROLLS-SODEXO</v>
      </c>
      <c r="C14691" t="s">
        <v>135</v>
      </c>
      <c r="D14691" s="1" t="str">
        <f t="shared" ref="D14691:D14722" si="408">"PRG-1043332"</f>
        <v>PRG-1043332</v>
      </c>
      <c r="E14691" t="s">
        <v>48</v>
      </c>
      <c r="F14691" t="s">
        <v>4</v>
      </c>
      <c r="G14691" t="str">
        <f>""</f>
        <v/>
      </c>
    </row>
    <row r="14692" spans="1:7" x14ac:dyDescent="0.25">
      <c r="A14692" t="s">
        <v>8</v>
      </c>
      <c r="B14692" s="1" t="str">
        <f>"000018505 - RICHS PIZZ DOUGH &amp; ICING-SODX"</f>
        <v>000018505 - RICHS PIZZ DOUGH &amp; ICING-SODX</v>
      </c>
      <c r="C14692" t="s">
        <v>391</v>
      </c>
      <c r="D14692" s="1" t="str">
        <f t="shared" si="408"/>
        <v>PRG-1043332</v>
      </c>
      <c r="E14692" t="s">
        <v>48</v>
      </c>
      <c r="F14692" t="s">
        <v>4</v>
      </c>
      <c r="G14692" t="str">
        <f>""</f>
        <v/>
      </c>
    </row>
    <row r="14693" spans="1:7" x14ac:dyDescent="0.25">
      <c r="A14693" t="s">
        <v>8</v>
      </c>
      <c r="B14693" s="1" t="str">
        <f>"000020068 - RICHS PIZZA&amp;ICING BAPA SODEXO"</f>
        <v>000020068 - RICHS PIZZA&amp;ICING BAPA SODEXO</v>
      </c>
      <c r="C14693" t="s">
        <v>362</v>
      </c>
      <c r="D14693" s="1" t="str">
        <f t="shared" si="408"/>
        <v>PRG-1043332</v>
      </c>
      <c r="E14693" t="s">
        <v>48</v>
      </c>
      <c r="F14693" t="s">
        <v>4</v>
      </c>
      <c r="G14693" t="str">
        <f>""</f>
        <v/>
      </c>
    </row>
    <row r="14694" spans="1:7" x14ac:dyDescent="0.25">
      <c r="A14694" t="s">
        <v>8</v>
      </c>
      <c r="B14694" s="1" t="str">
        <f>"000021082 - RICHS PIZZ DOUGH &amp; ICING-SODX"</f>
        <v>000021082 - RICHS PIZZ DOUGH &amp; ICING-SODX</v>
      </c>
      <c r="C14694" t="s">
        <v>391</v>
      </c>
      <c r="D14694" s="1" t="str">
        <f t="shared" si="408"/>
        <v>PRG-1043332</v>
      </c>
      <c r="E14694" t="s">
        <v>48</v>
      </c>
      <c r="F14694" t="s">
        <v>4</v>
      </c>
      <c r="G14694" t="str">
        <f>""</f>
        <v/>
      </c>
    </row>
    <row r="14695" spans="1:7" x14ac:dyDescent="0.25">
      <c r="A14695" t="s">
        <v>8</v>
      </c>
      <c r="B14695" s="1" t="str">
        <f>"000028048 - RICHS PIZZ DOUGH &amp; ICING-SODX"</f>
        <v>000028048 - RICHS PIZZ DOUGH &amp; ICING-SODX</v>
      </c>
      <c r="C14695" t="s">
        <v>391</v>
      </c>
      <c r="D14695" s="1" t="str">
        <f t="shared" si="408"/>
        <v>PRG-1043332</v>
      </c>
      <c r="E14695" t="s">
        <v>48</v>
      </c>
      <c r="F14695" t="s">
        <v>4</v>
      </c>
      <c r="G14695" t="str">
        <f>""</f>
        <v/>
      </c>
    </row>
    <row r="14696" spans="1:7" x14ac:dyDescent="0.25">
      <c r="A14696" t="s">
        <v>8</v>
      </c>
      <c r="B14696" s="1" t="str">
        <f>"000028826 - RICHS PIZZ DOUGH &amp; ICING-SODX"</f>
        <v>000028826 - RICHS PIZZ DOUGH &amp; ICING-SODX</v>
      </c>
      <c r="C14696" t="s">
        <v>391</v>
      </c>
      <c r="D14696" s="1" t="str">
        <f t="shared" si="408"/>
        <v>PRG-1043332</v>
      </c>
      <c r="E14696" t="s">
        <v>48</v>
      </c>
      <c r="F14696" t="s">
        <v>4</v>
      </c>
      <c r="G14696" t="str">
        <f>""</f>
        <v/>
      </c>
    </row>
    <row r="14697" spans="1:7" x14ac:dyDescent="0.25">
      <c r="A14697" t="s">
        <v>8</v>
      </c>
      <c r="B14697" s="1" t="str">
        <f>"000032410 - RICHS PIZZ DOUGH &amp; ICING-SODX"</f>
        <v>000032410 - RICHS PIZZ DOUGH &amp; ICING-SODX</v>
      </c>
      <c r="C14697" t="s">
        <v>391</v>
      </c>
      <c r="D14697" s="1" t="str">
        <f t="shared" si="408"/>
        <v>PRG-1043332</v>
      </c>
      <c r="E14697" t="s">
        <v>48</v>
      </c>
      <c r="F14697" t="s">
        <v>4</v>
      </c>
      <c r="G14697" t="str">
        <f>""</f>
        <v/>
      </c>
    </row>
    <row r="14698" spans="1:7" x14ac:dyDescent="0.25">
      <c r="A14698" t="s">
        <v>8</v>
      </c>
      <c r="B14698" s="1" t="str">
        <f>"000034991 - RICHS DOUGH &amp; ICING-SODEXO"</f>
        <v>000034991 - RICHS DOUGH &amp; ICING-SODEXO</v>
      </c>
      <c r="C14698" t="s">
        <v>349</v>
      </c>
      <c r="D14698" s="1" t="str">
        <f t="shared" si="408"/>
        <v>PRG-1043332</v>
      </c>
      <c r="E14698" t="s">
        <v>48</v>
      </c>
      <c r="F14698" t="s">
        <v>4</v>
      </c>
      <c r="G14698" t="str">
        <f>""</f>
        <v/>
      </c>
    </row>
    <row r="14699" spans="1:7" x14ac:dyDescent="0.25">
      <c r="A14699" t="s">
        <v>8</v>
      </c>
      <c r="B14699" s="1" t="str">
        <f>"000035265 - RICHS PIZZ DOUGH &amp; ICING-SODX"</f>
        <v>000035265 - RICHS PIZZ DOUGH &amp; ICING-SODX</v>
      </c>
      <c r="C14699" t="s">
        <v>391</v>
      </c>
      <c r="D14699" s="1" t="str">
        <f t="shared" si="408"/>
        <v>PRG-1043332</v>
      </c>
      <c r="E14699" t="s">
        <v>48</v>
      </c>
      <c r="F14699" t="s">
        <v>4</v>
      </c>
      <c r="G14699" t="str">
        <f>""</f>
        <v/>
      </c>
    </row>
    <row r="14700" spans="1:7" x14ac:dyDescent="0.25">
      <c r="A14700" t="s">
        <v>8</v>
      </c>
      <c r="B14700" s="1" t="str">
        <f>"000036004 - RICHS PIZZ DOUGH &amp; ICING-SODX"</f>
        <v>000036004 - RICHS PIZZ DOUGH &amp; ICING-SODX</v>
      </c>
      <c r="C14700" t="s">
        <v>391</v>
      </c>
      <c r="D14700" s="1" t="str">
        <f t="shared" si="408"/>
        <v>PRG-1043332</v>
      </c>
      <c r="E14700" t="s">
        <v>48</v>
      </c>
      <c r="F14700" t="s">
        <v>4</v>
      </c>
      <c r="G14700" t="str">
        <f>""</f>
        <v/>
      </c>
    </row>
    <row r="14701" spans="1:7" x14ac:dyDescent="0.25">
      <c r="A14701" t="s">
        <v>8</v>
      </c>
      <c r="B14701" s="1" t="str">
        <f>"000037442 - "</f>
        <v xml:space="preserve">000037442 - </v>
      </c>
      <c r="D14701" s="1" t="str">
        <f t="shared" si="408"/>
        <v>PRG-1043332</v>
      </c>
      <c r="E14701" t="s">
        <v>48</v>
      </c>
      <c r="F14701" t="s">
        <v>4</v>
      </c>
      <c r="G14701" t="str">
        <f>""</f>
        <v/>
      </c>
    </row>
    <row r="14702" spans="1:7" x14ac:dyDescent="0.25">
      <c r="A14702" t="s">
        <v>8</v>
      </c>
      <c r="B14702" s="1" t="str">
        <f>"000037578 - RICHS PIZZ DOUGH &amp; ICING-SODX"</f>
        <v>000037578 - RICHS PIZZ DOUGH &amp; ICING-SODX</v>
      </c>
      <c r="C14702" t="s">
        <v>391</v>
      </c>
      <c r="D14702" s="1" t="str">
        <f t="shared" si="408"/>
        <v>PRG-1043332</v>
      </c>
      <c r="E14702" t="s">
        <v>48</v>
      </c>
      <c r="F14702" t="s">
        <v>4</v>
      </c>
      <c r="G14702" t="str">
        <f>""</f>
        <v/>
      </c>
    </row>
    <row r="14703" spans="1:7" x14ac:dyDescent="0.25">
      <c r="A14703" t="s">
        <v>8</v>
      </c>
      <c r="B14703" s="1" t="str">
        <f>"000044279 - RICHS PIZZ DOUGH &amp; ICING-SODX"</f>
        <v>000044279 - RICHS PIZZ DOUGH &amp; ICING-SODX</v>
      </c>
      <c r="C14703" t="s">
        <v>391</v>
      </c>
      <c r="D14703" s="1" t="str">
        <f t="shared" si="408"/>
        <v>PRG-1043332</v>
      </c>
      <c r="E14703" t="s">
        <v>48</v>
      </c>
      <c r="F14703" t="s">
        <v>4</v>
      </c>
      <c r="G14703" t="str">
        <f>""</f>
        <v/>
      </c>
    </row>
    <row r="14704" spans="1:7" x14ac:dyDescent="0.25">
      <c r="A14704" t="s">
        <v>8</v>
      </c>
      <c r="B14704" s="1" t="str">
        <f>"000072890 - RICHS DOUGH &amp; ICING-SODEXO"</f>
        <v>000072890 - RICHS DOUGH &amp; ICING-SODEXO</v>
      </c>
      <c r="C14704" t="s">
        <v>349</v>
      </c>
      <c r="D14704" s="1" t="str">
        <f t="shared" si="408"/>
        <v>PRG-1043332</v>
      </c>
      <c r="E14704" t="s">
        <v>48</v>
      </c>
      <c r="F14704" t="s">
        <v>4</v>
      </c>
      <c r="G14704" t="str">
        <f>""</f>
        <v/>
      </c>
    </row>
    <row r="14705" spans="1:7" x14ac:dyDescent="0.25">
      <c r="A14705" t="s">
        <v>8</v>
      </c>
      <c r="B14705" s="1" t="str">
        <f>"000075351 - RICHS DOUGH &amp; ICING-SODEXO"</f>
        <v>000075351 - RICHS DOUGH &amp; ICING-SODEXO</v>
      </c>
      <c r="C14705" t="s">
        <v>349</v>
      </c>
      <c r="D14705" s="1" t="str">
        <f t="shared" si="408"/>
        <v>PRG-1043332</v>
      </c>
      <c r="E14705" t="s">
        <v>48</v>
      </c>
      <c r="F14705" t="s">
        <v>4</v>
      </c>
      <c r="G14705" t="str">
        <f>""</f>
        <v/>
      </c>
    </row>
    <row r="14706" spans="1:7" x14ac:dyDescent="0.25">
      <c r="A14706" t="s">
        <v>8</v>
      </c>
      <c r="B14706" s="1" t="str">
        <f>"000076406 - RICHS PIZZ DOUGH &amp; ICING-SODX"</f>
        <v>000076406 - RICHS PIZZ DOUGH &amp; ICING-SODX</v>
      </c>
      <c r="C14706" t="s">
        <v>391</v>
      </c>
      <c r="D14706" s="1" t="str">
        <f t="shared" si="408"/>
        <v>PRG-1043332</v>
      </c>
      <c r="E14706" t="s">
        <v>48</v>
      </c>
      <c r="F14706" t="s">
        <v>4</v>
      </c>
      <c r="G14706" t="str">
        <f>""</f>
        <v/>
      </c>
    </row>
    <row r="14707" spans="1:7" x14ac:dyDescent="0.25">
      <c r="A14707" t="s">
        <v>8</v>
      </c>
      <c r="B14707" s="1" t="str">
        <f>"000079531 - RICHS PIZZ DOUGH &amp; ICING-SODX"</f>
        <v>000079531 - RICHS PIZZ DOUGH &amp; ICING-SODX</v>
      </c>
      <c r="C14707" t="s">
        <v>391</v>
      </c>
      <c r="D14707" s="1" t="str">
        <f t="shared" si="408"/>
        <v>PRG-1043332</v>
      </c>
      <c r="E14707" t="s">
        <v>48</v>
      </c>
      <c r="F14707" t="s">
        <v>4</v>
      </c>
      <c r="G14707" t="str">
        <f>""</f>
        <v/>
      </c>
    </row>
    <row r="14708" spans="1:7" x14ac:dyDescent="0.25">
      <c r="A14708" t="s">
        <v>8</v>
      </c>
      <c r="B14708" s="1" t="str">
        <f>"000096008 - RICHS PIZZ DOUGH &amp; ICING-SODX"</f>
        <v>000096008 - RICHS PIZZ DOUGH &amp; ICING-SODX</v>
      </c>
      <c r="C14708" t="s">
        <v>391</v>
      </c>
      <c r="D14708" s="1" t="str">
        <f t="shared" si="408"/>
        <v>PRG-1043332</v>
      </c>
      <c r="E14708" t="s">
        <v>48</v>
      </c>
      <c r="F14708" t="s">
        <v>4</v>
      </c>
      <c r="G14708" t="str">
        <f>""</f>
        <v/>
      </c>
    </row>
    <row r="14709" spans="1:7" x14ac:dyDescent="0.25">
      <c r="A14709" t="s">
        <v>8</v>
      </c>
      <c r="B14709" s="1" t="str">
        <f>"000146720 - RICHS DOUGH &amp; ICING-SODEXO"</f>
        <v>000146720 - RICHS DOUGH &amp; ICING-SODEXO</v>
      </c>
      <c r="C14709" t="s">
        <v>349</v>
      </c>
      <c r="D14709" s="1" t="str">
        <f t="shared" si="408"/>
        <v>PRG-1043332</v>
      </c>
      <c r="E14709" t="s">
        <v>48</v>
      </c>
      <c r="F14709" t="s">
        <v>4</v>
      </c>
      <c r="G14709" t="str">
        <f>""</f>
        <v/>
      </c>
    </row>
    <row r="14710" spans="1:7" x14ac:dyDescent="0.25">
      <c r="A14710" t="s">
        <v>8</v>
      </c>
      <c r="B14710" s="1" t="str">
        <f>"000149821 - RICHS PIZZ DOUGH &amp; ICING-SODX"</f>
        <v>000149821 - RICHS PIZZ DOUGH &amp; ICING-SODX</v>
      </c>
      <c r="C14710" t="s">
        <v>391</v>
      </c>
      <c r="D14710" s="1" t="str">
        <f t="shared" si="408"/>
        <v>PRG-1043332</v>
      </c>
      <c r="E14710" t="s">
        <v>48</v>
      </c>
      <c r="F14710" t="s">
        <v>4</v>
      </c>
      <c r="G14710" t="str">
        <f>""</f>
        <v/>
      </c>
    </row>
    <row r="14711" spans="1:7" x14ac:dyDescent="0.25">
      <c r="A14711" t="s">
        <v>8</v>
      </c>
      <c r="B14711" s="1" t="str">
        <f>"000170981 - RICHS PIZZ DOUGH &amp; ICING-SODX"</f>
        <v>000170981 - RICHS PIZZ DOUGH &amp; ICING-SODX</v>
      </c>
      <c r="C14711" t="s">
        <v>391</v>
      </c>
      <c r="D14711" s="1" t="str">
        <f t="shared" si="408"/>
        <v>PRG-1043332</v>
      </c>
      <c r="E14711" t="s">
        <v>48</v>
      </c>
      <c r="F14711" t="s">
        <v>4</v>
      </c>
      <c r="G14711" t="str">
        <f>""</f>
        <v/>
      </c>
    </row>
    <row r="14712" spans="1:7" x14ac:dyDescent="0.25">
      <c r="A14712" t="s">
        <v>8</v>
      </c>
      <c r="B14712" s="1" t="str">
        <f>"000172609 - RICHS PIZZ DOUGH &amp; ICING-SODX"</f>
        <v>000172609 - RICHS PIZZ DOUGH &amp; ICING-SODX</v>
      </c>
      <c r="C14712" t="s">
        <v>391</v>
      </c>
      <c r="D14712" s="1" t="str">
        <f t="shared" si="408"/>
        <v>PRG-1043332</v>
      </c>
      <c r="E14712" t="s">
        <v>48</v>
      </c>
      <c r="F14712" t="s">
        <v>4</v>
      </c>
      <c r="G14712" t="str">
        <f>""</f>
        <v/>
      </c>
    </row>
    <row r="14713" spans="1:7" x14ac:dyDescent="0.25">
      <c r="A14713" t="s">
        <v>8</v>
      </c>
      <c r="B14713" s="1" t="str">
        <f>"000176416 - RICHS PIZZ DOUGH &amp; ICING-SODX"</f>
        <v>000176416 - RICHS PIZZ DOUGH &amp; ICING-SODX</v>
      </c>
      <c r="C14713" t="s">
        <v>391</v>
      </c>
      <c r="D14713" s="1" t="str">
        <f t="shared" si="408"/>
        <v>PRG-1043332</v>
      </c>
      <c r="E14713" t="s">
        <v>48</v>
      </c>
      <c r="F14713" t="s">
        <v>4</v>
      </c>
      <c r="G14713" t="str">
        <f>""</f>
        <v/>
      </c>
    </row>
    <row r="14714" spans="1:7" x14ac:dyDescent="0.25">
      <c r="A14714" t="s">
        <v>8</v>
      </c>
      <c r="B14714" s="1" t="str">
        <f>"000179059 - RICHS PIZZ DOUGH &amp; ICING-SODX"</f>
        <v>000179059 - RICHS PIZZ DOUGH &amp; ICING-SODX</v>
      </c>
      <c r="C14714" t="s">
        <v>391</v>
      </c>
      <c r="D14714" s="1" t="str">
        <f t="shared" si="408"/>
        <v>PRG-1043332</v>
      </c>
      <c r="E14714" t="s">
        <v>48</v>
      </c>
      <c r="F14714" t="s">
        <v>4</v>
      </c>
      <c r="G14714" t="str">
        <f>""</f>
        <v/>
      </c>
    </row>
    <row r="14715" spans="1:7" x14ac:dyDescent="0.25">
      <c r="A14715" t="s">
        <v>8</v>
      </c>
      <c r="B14715" s="1" t="str">
        <f>"000243022 - RICHS PIZZA DOUGH &amp; ICING-SODX"</f>
        <v>000243022 - RICHS PIZZA DOUGH &amp; ICING-SODX</v>
      </c>
      <c r="C14715" t="s">
        <v>223</v>
      </c>
      <c r="D14715" s="1" t="str">
        <f t="shared" si="408"/>
        <v>PRG-1043332</v>
      </c>
      <c r="E14715" t="s">
        <v>48</v>
      </c>
      <c r="F14715" t="s">
        <v>4</v>
      </c>
      <c r="G14715" t="str">
        <f>""</f>
        <v/>
      </c>
    </row>
    <row r="14716" spans="1:7" x14ac:dyDescent="0.25">
      <c r="A14716" t="s">
        <v>8</v>
      </c>
      <c r="B14716" s="1" t="str">
        <f>"000250507 - RICHS PIZZ DOUGH &amp; ICING-SODX"</f>
        <v>000250507 - RICHS PIZZ DOUGH &amp; ICING-SODX</v>
      </c>
      <c r="C14716" t="s">
        <v>391</v>
      </c>
      <c r="D14716" s="1" t="str">
        <f t="shared" si="408"/>
        <v>PRG-1043332</v>
      </c>
      <c r="E14716" t="s">
        <v>48</v>
      </c>
      <c r="F14716" t="s">
        <v>4</v>
      </c>
      <c r="G14716" t="str">
        <f>""</f>
        <v/>
      </c>
    </row>
    <row r="14717" spans="1:7" x14ac:dyDescent="0.25">
      <c r="A14717" t="s">
        <v>8</v>
      </c>
      <c r="B14717" s="1" t="str">
        <f>"000253563 - RICHS PIZZ DOUGH &amp; ICING-SODX"</f>
        <v>000253563 - RICHS PIZZ DOUGH &amp; ICING-SODX</v>
      </c>
      <c r="C14717" t="s">
        <v>391</v>
      </c>
      <c r="D14717" s="1" t="str">
        <f t="shared" si="408"/>
        <v>PRG-1043332</v>
      </c>
      <c r="E14717" t="s">
        <v>48</v>
      </c>
      <c r="F14717" t="s">
        <v>4</v>
      </c>
      <c r="G14717" t="str">
        <f>""</f>
        <v/>
      </c>
    </row>
    <row r="14718" spans="1:7" x14ac:dyDescent="0.25">
      <c r="A14718" t="s">
        <v>8</v>
      </c>
      <c r="B14718" s="1" t="str">
        <f>"000261991 - BB SODEXO FOB RICH DOUGH&amp;ICNG"</f>
        <v>000261991 - BB SODEXO FOB RICH DOUGH&amp;ICNG</v>
      </c>
      <c r="C14718" t="s">
        <v>2304</v>
      </c>
      <c r="D14718" s="1" t="str">
        <f t="shared" si="408"/>
        <v>PRG-1043332</v>
      </c>
      <c r="E14718" t="s">
        <v>48</v>
      </c>
      <c r="F14718" t="s">
        <v>4</v>
      </c>
      <c r="G14718" t="str">
        <f>""</f>
        <v/>
      </c>
    </row>
    <row r="14719" spans="1:7" x14ac:dyDescent="0.25">
      <c r="A14719" t="s">
        <v>8</v>
      </c>
      <c r="B14719" s="1" t="str">
        <f>"000262208 - RICHS PIZZ DOUGH &amp; ICING-SODX"</f>
        <v>000262208 - RICHS PIZZ DOUGH &amp; ICING-SODX</v>
      </c>
      <c r="C14719" t="s">
        <v>391</v>
      </c>
      <c r="D14719" s="1" t="str">
        <f t="shared" si="408"/>
        <v>PRG-1043332</v>
      </c>
      <c r="E14719" t="s">
        <v>48</v>
      </c>
      <c r="F14719" t="s">
        <v>4</v>
      </c>
      <c r="G14719" t="str">
        <f>""</f>
        <v/>
      </c>
    </row>
    <row r="14720" spans="1:7" x14ac:dyDescent="0.25">
      <c r="A14720" t="s">
        <v>8</v>
      </c>
      <c r="B14720" s="1" t="str">
        <f>"000263232 - RICHS PIZZA DOUGH &amp; ICING-SODX"</f>
        <v>000263232 - RICHS PIZZA DOUGH &amp; ICING-SODX</v>
      </c>
      <c r="C14720" t="s">
        <v>223</v>
      </c>
      <c r="D14720" s="1" t="str">
        <f t="shared" si="408"/>
        <v>PRG-1043332</v>
      </c>
      <c r="E14720" t="s">
        <v>48</v>
      </c>
      <c r="F14720" t="s">
        <v>4</v>
      </c>
      <c r="G14720" t="str">
        <f>""</f>
        <v/>
      </c>
    </row>
    <row r="14721" spans="1:7" x14ac:dyDescent="0.25">
      <c r="A14721" t="s">
        <v>8</v>
      </c>
      <c r="B14721" s="1" t="str">
        <f>"000267797 - RICHS PIZZ DOUGH &amp; ICING-SODX"</f>
        <v>000267797 - RICHS PIZZ DOUGH &amp; ICING-SODX</v>
      </c>
      <c r="C14721" t="s">
        <v>391</v>
      </c>
      <c r="D14721" s="1" t="str">
        <f t="shared" si="408"/>
        <v>PRG-1043332</v>
      </c>
      <c r="E14721" t="s">
        <v>48</v>
      </c>
      <c r="F14721" t="s">
        <v>4</v>
      </c>
      <c r="G14721" t="str">
        <f>""</f>
        <v/>
      </c>
    </row>
    <row r="14722" spans="1:7" x14ac:dyDescent="0.25">
      <c r="A14722" t="s">
        <v>8</v>
      </c>
      <c r="B14722" s="1" t="str">
        <f>"000268845 - RICHS DOUGH &amp; ICING-SODEXO"</f>
        <v>000268845 - RICHS DOUGH &amp; ICING-SODEXO</v>
      </c>
      <c r="C14722" t="s">
        <v>349</v>
      </c>
      <c r="D14722" s="1" t="str">
        <f t="shared" si="408"/>
        <v>PRG-1043332</v>
      </c>
      <c r="E14722" t="s">
        <v>48</v>
      </c>
      <c r="F14722" t="s">
        <v>4</v>
      </c>
      <c r="G14722" t="str">
        <f>""</f>
        <v/>
      </c>
    </row>
    <row r="14723" spans="1:7" x14ac:dyDescent="0.25">
      <c r="A14723" t="s">
        <v>8</v>
      </c>
      <c r="B14723" s="1" t="str">
        <f>"000268847 - RICHS BREAD &amp; ROLLS-SODEXO"</f>
        <v>000268847 - RICHS BREAD &amp; ROLLS-SODEXO</v>
      </c>
      <c r="C14723" t="s">
        <v>135</v>
      </c>
      <c r="D14723" s="1" t="str">
        <f t="shared" ref="D14723:D14754" si="409">"PRG-1043332"</f>
        <v>PRG-1043332</v>
      </c>
      <c r="E14723" t="s">
        <v>48</v>
      </c>
      <c r="F14723" t="s">
        <v>4</v>
      </c>
      <c r="G14723" t="str">
        <f>""</f>
        <v/>
      </c>
    </row>
    <row r="14724" spans="1:7" x14ac:dyDescent="0.25">
      <c r="A14724" t="s">
        <v>8</v>
      </c>
      <c r="B14724" s="1" t="str">
        <f>"000271549 - "</f>
        <v xml:space="preserve">000271549 - </v>
      </c>
      <c r="D14724" s="1" t="str">
        <f t="shared" si="409"/>
        <v>PRG-1043332</v>
      </c>
      <c r="E14724" t="s">
        <v>48</v>
      </c>
      <c r="F14724" t="s">
        <v>4</v>
      </c>
      <c r="G14724" t="str">
        <f>""</f>
        <v/>
      </c>
    </row>
    <row r="14725" spans="1:7" x14ac:dyDescent="0.25">
      <c r="A14725" t="s">
        <v>8</v>
      </c>
      <c r="B14725" s="1" t="str">
        <f>"000271605 - RICHS PIZZ DOUGH &amp; ICING-SODX"</f>
        <v>000271605 - RICHS PIZZ DOUGH &amp; ICING-SODX</v>
      </c>
      <c r="C14725" t="s">
        <v>391</v>
      </c>
      <c r="D14725" s="1" t="str">
        <f t="shared" si="409"/>
        <v>PRG-1043332</v>
      </c>
      <c r="E14725" t="s">
        <v>48</v>
      </c>
      <c r="F14725" t="s">
        <v>4</v>
      </c>
      <c r="G14725" t="str">
        <f>""</f>
        <v/>
      </c>
    </row>
    <row r="14726" spans="1:7" x14ac:dyDescent="0.25">
      <c r="A14726" t="s">
        <v>8</v>
      </c>
      <c r="B14726" s="1" t="str">
        <f>"000271669 - RICHS PIZZ DOUGH &amp; ICING-SODX"</f>
        <v>000271669 - RICHS PIZZ DOUGH &amp; ICING-SODX</v>
      </c>
      <c r="C14726" t="s">
        <v>391</v>
      </c>
      <c r="D14726" s="1" t="str">
        <f t="shared" si="409"/>
        <v>PRG-1043332</v>
      </c>
      <c r="E14726" t="s">
        <v>48</v>
      </c>
      <c r="F14726" t="s">
        <v>4</v>
      </c>
      <c r="G14726" t="str">
        <f>""</f>
        <v/>
      </c>
    </row>
    <row r="14727" spans="1:7" x14ac:dyDescent="0.25">
      <c r="A14727" t="s">
        <v>8</v>
      </c>
      <c r="B14727" s="1" t="str">
        <f>"000273309 - RICHS PIZZ DOUGH &amp; ICING-SODX"</f>
        <v>000273309 - RICHS PIZZ DOUGH &amp; ICING-SODX</v>
      </c>
      <c r="C14727" t="s">
        <v>391</v>
      </c>
      <c r="D14727" s="1" t="str">
        <f t="shared" si="409"/>
        <v>PRG-1043332</v>
      </c>
      <c r="E14727" t="s">
        <v>48</v>
      </c>
      <c r="F14727" t="s">
        <v>4</v>
      </c>
      <c r="G14727" t="str">
        <f>""</f>
        <v/>
      </c>
    </row>
    <row r="14728" spans="1:7" x14ac:dyDescent="0.25">
      <c r="A14728" t="s">
        <v>8</v>
      </c>
      <c r="B14728" s="1" t="str">
        <f>"000275266 - RICHS BREAD &amp; ROLLS-SODEXO"</f>
        <v>000275266 - RICHS BREAD &amp; ROLLS-SODEXO</v>
      </c>
      <c r="C14728" t="s">
        <v>135</v>
      </c>
      <c r="D14728" s="1" t="str">
        <f t="shared" si="409"/>
        <v>PRG-1043332</v>
      </c>
      <c r="E14728" t="s">
        <v>48</v>
      </c>
      <c r="F14728" t="s">
        <v>4</v>
      </c>
      <c r="G14728" t="str">
        <f>""</f>
        <v/>
      </c>
    </row>
    <row r="14729" spans="1:7" x14ac:dyDescent="0.25">
      <c r="A14729" t="s">
        <v>8</v>
      </c>
      <c r="B14729" s="1" t="str">
        <f>"000277614 - RICHS PIZZ DOUGH &amp; ICING-SODX"</f>
        <v>000277614 - RICHS PIZZ DOUGH &amp; ICING-SODX</v>
      </c>
      <c r="C14729" t="s">
        <v>391</v>
      </c>
      <c r="D14729" s="1" t="str">
        <f t="shared" si="409"/>
        <v>PRG-1043332</v>
      </c>
      <c r="E14729" t="s">
        <v>48</v>
      </c>
      <c r="F14729" t="s">
        <v>4</v>
      </c>
      <c r="G14729" t="str">
        <f>""</f>
        <v/>
      </c>
    </row>
    <row r="14730" spans="1:7" x14ac:dyDescent="0.25">
      <c r="A14730" t="s">
        <v>8</v>
      </c>
      <c r="B14730" s="1" t="str">
        <f>"000277860 - RICHS PIZZ DOUGH &amp; ICING-SODX"</f>
        <v>000277860 - RICHS PIZZ DOUGH &amp; ICING-SODX</v>
      </c>
      <c r="C14730" t="s">
        <v>391</v>
      </c>
      <c r="D14730" s="1" t="str">
        <f t="shared" si="409"/>
        <v>PRG-1043332</v>
      </c>
      <c r="E14730" t="s">
        <v>48</v>
      </c>
      <c r="F14730" t="s">
        <v>4</v>
      </c>
      <c r="G14730" t="str">
        <f>""</f>
        <v/>
      </c>
    </row>
    <row r="14731" spans="1:7" x14ac:dyDescent="0.25">
      <c r="A14731" t="s">
        <v>8</v>
      </c>
      <c r="B14731" s="1" t="str">
        <f>"000278878 - RICHS PIZZ DOUGH &amp; ICING-SODX"</f>
        <v>000278878 - RICHS PIZZ DOUGH &amp; ICING-SODX</v>
      </c>
      <c r="C14731" t="s">
        <v>391</v>
      </c>
      <c r="D14731" s="1" t="str">
        <f t="shared" si="409"/>
        <v>PRG-1043332</v>
      </c>
      <c r="E14731" t="s">
        <v>48</v>
      </c>
      <c r="F14731" t="s">
        <v>4</v>
      </c>
      <c r="G14731" t="str">
        <f>""</f>
        <v/>
      </c>
    </row>
    <row r="14732" spans="1:7" x14ac:dyDescent="0.25">
      <c r="A14732" t="s">
        <v>8</v>
      </c>
      <c r="B14732" s="1" t="str">
        <f>"000285248 - "</f>
        <v xml:space="preserve">000285248 - </v>
      </c>
      <c r="D14732" s="1" t="str">
        <f t="shared" si="409"/>
        <v>PRG-1043332</v>
      </c>
      <c r="E14732" t="s">
        <v>48</v>
      </c>
      <c r="F14732" t="s">
        <v>4</v>
      </c>
      <c r="G14732" t="str">
        <f>""</f>
        <v/>
      </c>
    </row>
    <row r="14733" spans="1:7" x14ac:dyDescent="0.25">
      <c r="A14733" t="s">
        <v>8</v>
      </c>
      <c r="B14733" s="1" t="str">
        <f>"000288332 - RICHS PIZZ DOUGH &amp; ICING-SODX"</f>
        <v>000288332 - RICHS PIZZ DOUGH &amp; ICING-SODX</v>
      </c>
      <c r="C14733" t="s">
        <v>391</v>
      </c>
      <c r="D14733" s="1" t="str">
        <f t="shared" si="409"/>
        <v>PRG-1043332</v>
      </c>
      <c r="E14733" t="s">
        <v>48</v>
      </c>
      <c r="F14733" t="s">
        <v>4</v>
      </c>
      <c r="G14733" t="str">
        <f>""</f>
        <v/>
      </c>
    </row>
    <row r="14734" spans="1:7" x14ac:dyDescent="0.25">
      <c r="A14734" t="s">
        <v>8</v>
      </c>
      <c r="B14734" s="1" t="str">
        <f>"000289469 - RICHS PIZZ DOUGH &amp; ICING-SODX"</f>
        <v>000289469 - RICHS PIZZ DOUGH &amp; ICING-SODX</v>
      </c>
      <c r="C14734" t="s">
        <v>391</v>
      </c>
      <c r="D14734" s="1" t="str">
        <f t="shared" si="409"/>
        <v>PRG-1043332</v>
      </c>
      <c r="E14734" t="s">
        <v>48</v>
      </c>
      <c r="F14734" t="s">
        <v>4</v>
      </c>
      <c r="G14734" t="str">
        <f>""</f>
        <v/>
      </c>
    </row>
    <row r="14735" spans="1:7" x14ac:dyDescent="0.25">
      <c r="A14735" t="s">
        <v>8</v>
      </c>
      <c r="B14735" s="1" t="str">
        <f>"000289716 - RICHS PIZZA DOUGH &amp; ICING-SODX"</f>
        <v>000289716 - RICHS PIZZA DOUGH &amp; ICING-SODX</v>
      </c>
      <c r="C14735" t="s">
        <v>223</v>
      </c>
      <c r="D14735" s="1" t="str">
        <f t="shared" si="409"/>
        <v>PRG-1043332</v>
      </c>
      <c r="E14735" t="s">
        <v>48</v>
      </c>
      <c r="F14735" t="s">
        <v>4</v>
      </c>
      <c r="G14735" t="str">
        <f>""</f>
        <v/>
      </c>
    </row>
    <row r="14736" spans="1:7" x14ac:dyDescent="0.25">
      <c r="A14736" t="s">
        <v>8</v>
      </c>
      <c r="B14736" s="1" t="str">
        <f>"000293283 - RICHS PIZZ DOUGH &amp; ICING-SODX"</f>
        <v>000293283 - RICHS PIZZ DOUGH &amp; ICING-SODX</v>
      </c>
      <c r="C14736" t="s">
        <v>391</v>
      </c>
      <c r="D14736" s="1" t="str">
        <f t="shared" si="409"/>
        <v>PRG-1043332</v>
      </c>
      <c r="E14736" t="s">
        <v>48</v>
      </c>
      <c r="F14736" t="s">
        <v>4</v>
      </c>
      <c r="G14736" t="str">
        <f>""</f>
        <v/>
      </c>
    </row>
    <row r="14737" spans="1:7" x14ac:dyDescent="0.25">
      <c r="A14737" t="s">
        <v>8</v>
      </c>
      <c r="B14737" s="1" t="str">
        <f>"000294809 - RICHS PIZZA DOUGH &amp; ICING-SODX"</f>
        <v>000294809 - RICHS PIZZA DOUGH &amp; ICING-SODX</v>
      </c>
      <c r="C14737" t="s">
        <v>223</v>
      </c>
      <c r="D14737" s="1" t="str">
        <f t="shared" si="409"/>
        <v>PRG-1043332</v>
      </c>
      <c r="E14737" t="s">
        <v>48</v>
      </c>
      <c r="F14737" t="s">
        <v>4</v>
      </c>
      <c r="G14737" t="str">
        <f>""</f>
        <v/>
      </c>
    </row>
    <row r="14738" spans="1:7" x14ac:dyDescent="0.25">
      <c r="A14738" t="s">
        <v>8</v>
      </c>
      <c r="B14738" s="1" t="str">
        <f>"000296809 - RICHS PIZZ DOUGH &amp; ICING-SODX"</f>
        <v>000296809 - RICHS PIZZ DOUGH &amp; ICING-SODX</v>
      </c>
      <c r="C14738" t="s">
        <v>391</v>
      </c>
      <c r="D14738" s="1" t="str">
        <f t="shared" si="409"/>
        <v>PRG-1043332</v>
      </c>
      <c r="E14738" t="s">
        <v>48</v>
      </c>
      <c r="F14738" t="s">
        <v>4</v>
      </c>
      <c r="G14738" t="str">
        <f>""</f>
        <v/>
      </c>
    </row>
    <row r="14739" spans="1:7" x14ac:dyDescent="0.25">
      <c r="A14739" t="s">
        <v>8</v>
      </c>
      <c r="B14739" s="1" t="str">
        <f>"000298001 - RICHS PIZZ DOUGH &amp; ICING-SODX"</f>
        <v>000298001 - RICHS PIZZ DOUGH &amp; ICING-SODX</v>
      </c>
      <c r="C14739" t="s">
        <v>391</v>
      </c>
      <c r="D14739" s="1" t="str">
        <f t="shared" si="409"/>
        <v>PRG-1043332</v>
      </c>
      <c r="E14739" t="s">
        <v>48</v>
      </c>
      <c r="F14739" t="s">
        <v>4</v>
      </c>
      <c r="G14739" t="str">
        <f>""</f>
        <v/>
      </c>
    </row>
    <row r="14740" spans="1:7" x14ac:dyDescent="0.25">
      <c r="A14740" t="s">
        <v>8</v>
      </c>
      <c r="B14740" s="1" t="str">
        <f>"000298230 - RICHS PIZZ DOUGH &amp; ICING-SODX"</f>
        <v>000298230 - RICHS PIZZ DOUGH &amp; ICING-SODX</v>
      </c>
      <c r="C14740" t="s">
        <v>391</v>
      </c>
      <c r="D14740" s="1" t="str">
        <f t="shared" si="409"/>
        <v>PRG-1043332</v>
      </c>
      <c r="E14740" t="s">
        <v>48</v>
      </c>
      <c r="F14740" t="s">
        <v>4</v>
      </c>
      <c r="G14740" t="str">
        <f>""</f>
        <v/>
      </c>
    </row>
    <row r="14741" spans="1:7" x14ac:dyDescent="0.25">
      <c r="A14741" t="s">
        <v>8</v>
      </c>
      <c r="B14741" s="1" t="str">
        <f>"000299421 - RICHS PIZZ DOUGH &amp; ICING-SODX"</f>
        <v>000299421 - RICHS PIZZ DOUGH &amp; ICING-SODX</v>
      </c>
      <c r="C14741" t="s">
        <v>391</v>
      </c>
      <c r="D14741" s="1" t="str">
        <f t="shared" si="409"/>
        <v>PRG-1043332</v>
      </c>
      <c r="E14741" t="s">
        <v>48</v>
      </c>
      <c r="F14741" t="s">
        <v>4</v>
      </c>
      <c r="G14741" t="str">
        <f>""</f>
        <v/>
      </c>
    </row>
    <row r="14742" spans="1:7" x14ac:dyDescent="0.25">
      <c r="A14742" t="s">
        <v>8</v>
      </c>
      <c r="B14742" s="1" t="str">
        <f>"000299872 - RICHS PIZZ DOUGH &amp; ICING-SODX"</f>
        <v>000299872 - RICHS PIZZ DOUGH &amp; ICING-SODX</v>
      </c>
      <c r="C14742" t="s">
        <v>391</v>
      </c>
      <c r="D14742" s="1" t="str">
        <f t="shared" si="409"/>
        <v>PRG-1043332</v>
      </c>
      <c r="E14742" t="s">
        <v>48</v>
      </c>
      <c r="F14742" t="s">
        <v>4</v>
      </c>
      <c r="G14742" t="str">
        <f>""</f>
        <v/>
      </c>
    </row>
    <row r="14743" spans="1:7" x14ac:dyDescent="0.25">
      <c r="A14743" t="s">
        <v>8</v>
      </c>
      <c r="B14743" s="1" t="str">
        <f>"000300408 - RICHS PIZZA DOUGH &amp; ICING-SODX"</f>
        <v>000300408 - RICHS PIZZA DOUGH &amp; ICING-SODX</v>
      </c>
      <c r="C14743" t="s">
        <v>223</v>
      </c>
      <c r="D14743" s="1" t="str">
        <f t="shared" si="409"/>
        <v>PRG-1043332</v>
      </c>
      <c r="E14743" t="s">
        <v>48</v>
      </c>
      <c r="F14743" t="s">
        <v>4</v>
      </c>
      <c r="G14743" t="str">
        <f>""</f>
        <v/>
      </c>
    </row>
    <row r="14744" spans="1:7" x14ac:dyDescent="0.25">
      <c r="A14744" t="s">
        <v>8</v>
      </c>
      <c r="B14744" s="1" t="str">
        <f>"000300882 - RICHS PIZZA DOUGH &amp; ICING-SODX"</f>
        <v>000300882 - RICHS PIZZA DOUGH &amp; ICING-SODX</v>
      </c>
      <c r="C14744" t="s">
        <v>223</v>
      </c>
      <c r="D14744" s="1" t="str">
        <f t="shared" si="409"/>
        <v>PRG-1043332</v>
      </c>
      <c r="E14744" t="s">
        <v>48</v>
      </c>
      <c r="F14744" t="s">
        <v>4</v>
      </c>
      <c r="G14744" t="str">
        <f>""</f>
        <v/>
      </c>
    </row>
    <row r="14745" spans="1:7" x14ac:dyDescent="0.25">
      <c r="A14745" t="s">
        <v>8</v>
      </c>
      <c r="B14745" s="1" t="str">
        <f>"000302194 - RICHS PIZZ DOUGH &amp; ICING-SODX"</f>
        <v>000302194 - RICHS PIZZ DOUGH &amp; ICING-SODX</v>
      </c>
      <c r="C14745" t="s">
        <v>391</v>
      </c>
      <c r="D14745" s="1" t="str">
        <f t="shared" si="409"/>
        <v>PRG-1043332</v>
      </c>
      <c r="E14745" t="s">
        <v>48</v>
      </c>
      <c r="F14745" t="s">
        <v>4</v>
      </c>
      <c r="G14745" t="str">
        <f>""</f>
        <v/>
      </c>
    </row>
    <row r="14746" spans="1:7" x14ac:dyDescent="0.25">
      <c r="A14746" t="s">
        <v>8</v>
      </c>
      <c r="B14746" s="1" t="str">
        <f>"000303219 - RICHS PIZZ DOUGH &amp; ICING-SODX"</f>
        <v>000303219 - RICHS PIZZ DOUGH &amp; ICING-SODX</v>
      </c>
      <c r="C14746" t="s">
        <v>391</v>
      </c>
      <c r="D14746" s="1" t="str">
        <f t="shared" si="409"/>
        <v>PRG-1043332</v>
      </c>
      <c r="E14746" t="s">
        <v>48</v>
      </c>
      <c r="F14746" t="s">
        <v>4</v>
      </c>
      <c r="G14746" t="str">
        <f>""</f>
        <v/>
      </c>
    </row>
    <row r="14747" spans="1:7" x14ac:dyDescent="0.25">
      <c r="A14747" t="s">
        <v>8</v>
      </c>
      <c r="B14747" s="1" t="str">
        <f>"000305030 - RICHS PIZZ DOUGH &amp; ICING-SODX"</f>
        <v>000305030 - RICHS PIZZ DOUGH &amp; ICING-SODX</v>
      </c>
      <c r="C14747" t="s">
        <v>391</v>
      </c>
      <c r="D14747" s="1" t="str">
        <f t="shared" si="409"/>
        <v>PRG-1043332</v>
      </c>
      <c r="E14747" t="s">
        <v>48</v>
      </c>
      <c r="F14747" t="s">
        <v>4</v>
      </c>
      <c r="G14747" t="str">
        <f>""</f>
        <v/>
      </c>
    </row>
    <row r="14748" spans="1:7" x14ac:dyDescent="0.25">
      <c r="A14748" t="s">
        <v>8</v>
      </c>
      <c r="B14748" s="1" t="str">
        <f>"000313792 - "</f>
        <v xml:space="preserve">000313792 - </v>
      </c>
      <c r="D14748" s="1" t="str">
        <f t="shared" si="409"/>
        <v>PRG-1043332</v>
      </c>
      <c r="E14748" t="s">
        <v>48</v>
      </c>
      <c r="F14748" t="s">
        <v>4</v>
      </c>
      <c r="G14748" t="str">
        <f>""</f>
        <v/>
      </c>
    </row>
    <row r="14749" spans="1:7" x14ac:dyDescent="0.25">
      <c r="A14749" t="s">
        <v>8</v>
      </c>
      <c r="B14749" s="1" t="str">
        <f>"000318472 - RICHS PIZZ DOUGH &amp; ICING-SODX"</f>
        <v>000318472 - RICHS PIZZ DOUGH &amp; ICING-SODX</v>
      </c>
      <c r="C14749" t="s">
        <v>391</v>
      </c>
      <c r="D14749" s="1" t="str">
        <f t="shared" si="409"/>
        <v>PRG-1043332</v>
      </c>
      <c r="E14749" t="s">
        <v>48</v>
      </c>
      <c r="F14749" t="s">
        <v>4</v>
      </c>
      <c r="G14749" t="str">
        <f>""</f>
        <v/>
      </c>
    </row>
    <row r="14750" spans="1:7" x14ac:dyDescent="0.25">
      <c r="A14750" t="s">
        <v>8</v>
      </c>
      <c r="B14750" s="1" t="str">
        <f>"000320204 - RICHS PIZZA DOUGH &amp; ICING-SODX"</f>
        <v>000320204 - RICHS PIZZA DOUGH &amp; ICING-SODX</v>
      </c>
      <c r="C14750" t="s">
        <v>223</v>
      </c>
      <c r="D14750" s="1" t="str">
        <f t="shared" si="409"/>
        <v>PRG-1043332</v>
      </c>
      <c r="E14750" t="s">
        <v>48</v>
      </c>
      <c r="F14750" t="s">
        <v>4</v>
      </c>
      <c r="G14750" t="str">
        <f>""</f>
        <v/>
      </c>
    </row>
    <row r="14751" spans="1:7" x14ac:dyDescent="0.25">
      <c r="A14751" t="s">
        <v>8</v>
      </c>
      <c r="B14751" s="1" t="str">
        <f>"000327099 - RICHS PIZZ DOUGH &amp; ICING-SODX"</f>
        <v>000327099 - RICHS PIZZ DOUGH &amp; ICING-SODX</v>
      </c>
      <c r="C14751" t="s">
        <v>391</v>
      </c>
      <c r="D14751" s="1" t="str">
        <f t="shared" si="409"/>
        <v>PRG-1043332</v>
      </c>
      <c r="E14751" t="s">
        <v>48</v>
      </c>
      <c r="F14751" t="s">
        <v>4</v>
      </c>
      <c r="G14751" t="str">
        <f>""</f>
        <v/>
      </c>
    </row>
    <row r="14752" spans="1:7" x14ac:dyDescent="0.25">
      <c r="A14752" t="s">
        <v>8</v>
      </c>
      <c r="B14752" s="1" t="str">
        <f>"000332465 - RICHS DOUGH &amp; ICING-SODEXO"</f>
        <v>000332465 - RICHS DOUGH &amp; ICING-SODEXO</v>
      </c>
      <c r="C14752" t="s">
        <v>349</v>
      </c>
      <c r="D14752" s="1" t="str">
        <f t="shared" si="409"/>
        <v>PRG-1043332</v>
      </c>
      <c r="E14752" t="s">
        <v>48</v>
      </c>
      <c r="F14752" t="s">
        <v>4</v>
      </c>
      <c r="G14752" t="str">
        <f>""</f>
        <v/>
      </c>
    </row>
    <row r="14753" spans="1:7" x14ac:dyDescent="0.25">
      <c r="A14753" t="s">
        <v>8</v>
      </c>
      <c r="B14753" s="1" t="str">
        <f>"000335364 - RICHS BREAD &amp; ROLLS-SODEXO"</f>
        <v>000335364 - RICHS BREAD &amp; ROLLS-SODEXO</v>
      </c>
      <c r="C14753" t="s">
        <v>135</v>
      </c>
      <c r="D14753" s="1" t="str">
        <f t="shared" si="409"/>
        <v>PRG-1043332</v>
      </c>
      <c r="E14753" t="s">
        <v>48</v>
      </c>
      <c r="F14753" t="s">
        <v>4</v>
      </c>
      <c r="G14753" t="str">
        <f>""</f>
        <v/>
      </c>
    </row>
    <row r="14754" spans="1:7" x14ac:dyDescent="0.25">
      <c r="A14754" t="s">
        <v>8</v>
      </c>
      <c r="B14754" s="1" t="str">
        <f>"000347164 - RICHS PIZZ DOUGH &amp; ICING-SODX"</f>
        <v>000347164 - RICHS PIZZ DOUGH &amp; ICING-SODX</v>
      </c>
      <c r="C14754" t="s">
        <v>391</v>
      </c>
      <c r="D14754" s="1" t="str">
        <f t="shared" si="409"/>
        <v>PRG-1043332</v>
      </c>
      <c r="E14754" t="s">
        <v>48</v>
      </c>
      <c r="F14754" t="s">
        <v>4</v>
      </c>
      <c r="G14754" t="str">
        <f>""</f>
        <v/>
      </c>
    </row>
    <row r="14755" spans="1:7" x14ac:dyDescent="0.25">
      <c r="A14755" t="s">
        <v>8</v>
      </c>
      <c r="B14755" s="1" t="str">
        <f>"000348724 - RICHS PIZZ DOUGH &amp; ICING-SODX"</f>
        <v>000348724 - RICHS PIZZ DOUGH &amp; ICING-SODX</v>
      </c>
      <c r="C14755" t="s">
        <v>391</v>
      </c>
      <c r="D14755" s="1" t="str">
        <f t="shared" ref="D14755:D14770" si="410">"PRG-1043332"</f>
        <v>PRG-1043332</v>
      </c>
      <c r="E14755" t="s">
        <v>48</v>
      </c>
      <c r="F14755" t="s">
        <v>4</v>
      </c>
      <c r="G14755" t="str">
        <f>""</f>
        <v/>
      </c>
    </row>
    <row r="14756" spans="1:7" x14ac:dyDescent="0.25">
      <c r="A14756" t="s">
        <v>8</v>
      </c>
      <c r="B14756" s="1" t="str">
        <f>"000355049 - RICHS BREAD &amp; ROLLS-SODEXO"</f>
        <v>000355049 - RICHS BREAD &amp; ROLLS-SODEXO</v>
      </c>
      <c r="C14756" t="s">
        <v>135</v>
      </c>
      <c r="D14756" s="1" t="str">
        <f t="shared" si="410"/>
        <v>PRG-1043332</v>
      </c>
      <c r="E14756" t="s">
        <v>48</v>
      </c>
      <c r="F14756" t="s">
        <v>4</v>
      </c>
      <c r="G14756" t="str">
        <f>""</f>
        <v/>
      </c>
    </row>
    <row r="14757" spans="1:7" x14ac:dyDescent="0.25">
      <c r="A14757" t="s">
        <v>8</v>
      </c>
      <c r="B14757" s="1" t="str">
        <f>"000358356 - RICHS DOUGH &amp; ICING-SODEXO"</f>
        <v>000358356 - RICHS DOUGH &amp; ICING-SODEXO</v>
      </c>
      <c r="C14757" t="s">
        <v>349</v>
      </c>
      <c r="D14757" s="1" t="str">
        <f t="shared" si="410"/>
        <v>PRG-1043332</v>
      </c>
      <c r="E14757" t="s">
        <v>48</v>
      </c>
      <c r="F14757" t="s">
        <v>4</v>
      </c>
      <c r="G14757" t="str">
        <f>""</f>
        <v/>
      </c>
    </row>
    <row r="14758" spans="1:7" x14ac:dyDescent="0.25">
      <c r="A14758" t="s">
        <v>8</v>
      </c>
      <c r="B14758" s="1" t="str">
        <f>"000363829 - RICHS PIZZ DOUGH &amp; ICING-SODX"</f>
        <v>000363829 - RICHS PIZZ DOUGH &amp; ICING-SODX</v>
      </c>
      <c r="C14758" t="s">
        <v>391</v>
      </c>
      <c r="D14758" s="1" t="str">
        <f t="shared" si="410"/>
        <v>PRG-1043332</v>
      </c>
      <c r="E14758" t="s">
        <v>48</v>
      </c>
      <c r="F14758" t="s">
        <v>4</v>
      </c>
      <c r="G14758" t="str">
        <f>""</f>
        <v/>
      </c>
    </row>
    <row r="14759" spans="1:7" x14ac:dyDescent="0.25">
      <c r="A14759" t="s">
        <v>8</v>
      </c>
      <c r="B14759" s="1" t="str">
        <f>"000365523 - RICHS PIZZA DOUGH &amp; ICING-SODX"</f>
        <v>000365523 - RICHS PIZZA DOUGH &amp; ICING-SODX</v>
      </c>
      <c r="C14759" t="s">
        <v>223</v>
      </c>
      <c r="D14759" s="1" t="str">
        <f t="shared" si="410"/>
        <v>PRG-1043332</v>
      </c>
      <c r="E14759" t="s">
        <v>48</v>
      </c>
      <c r="F14759" t="s">
        <v>4</v>
      </c>
      <c r="G14759" t="str">
        <f>""</f>
        <v/>
      </c>
    </row>
    <row r="14760" spans="1:7" x14ac:dyDescent="0.25">
      <c r="A14760" t="s">
        <v>8</v>
      </c>
      <c r="B14760" s="1" t="str">
        <f>"000366820 - RICHS DOUGH &amp; ICING-SODEXO"</f>
        <v>000366820 - RICHS DOUGH &amp; ICING-SODEXO</v>
      </c>
      <c r="C14760" t="s">
        <v>349</v>
      </c>
      <c r="D14760" s="1" t="str">
        <f t="shared" si="410"/>
        <v>PRG-1043332</v>
      </c>
      <c r="E14760" t="s">
        <v>48</v>
      </c>
      <c r="F14760" t="s">
        <v>4</v>
      </c>
      <c r="G14760" t="str">
        <f>""</f>
        <v/>
      </c>
    </row>
    <row r="14761" spans="1:7" x14ac:dyDescent="0.25">
      <c r="A14761" t="s">
        <v>8</v>
      </c>
      <c r="B14761" s="1" t="str">
        <f>"000369146 - RICHS PIZZ DOUGH &amp; ICING-SODX"</f>
        <v>000369146 - RICHS PIZZ DOUGH &amp; ICING-SODX</v>
      </c>
      <c r="C14761" t="s">
        <v>391</v>
      </c>
      <c r="D14761" s="1" t="str">
        <f t="shared" si="410"/>
        <v>PRG-1043332</v>
      </c>
      <c r="E14761" t="s">
        <v>48</v>
      </c>
      <c r="F14761" t="s">
        <v>4</v>
      </c>
      <c r="G14761" t="str">
        <f>""</f>
        <v/>
      </c>
    </row>
    <row r="14762" spans="1:7" x14ac:dyDescent="0.25">
      <c r="A14762" t="s">
        <v>8</v>
      </c>
      <c r="B14762" s="1" t="str">
        <f>"000370848 - RICHS PIZZA DOUGH &amp; ICING-SODX"</f>
        <v>000370848 - RICHS PIZZA DOUGH &amp; ICING-SODX</v>
      </c>
      <c r="C14762" t="s">
        <v>223</v>
      </c>
      <c r="D14762" s="1" t="str">
        <f t="shared" si="410"/>
        <v>PRG-1043332</v>
      </c>
      <c r="E14762" t="s">
        <v>48</v>
      </c>
      <c r="F14762" t="s">
        <v>4</v>
      </c>
      <c r="G14762" t="str">
        <f>""</f>
        <v/>
      </c>
    </row>
    <row r="14763" spans="1:7" x14ac:dyDescent="0.25">
      <c r="A14763" t="s">
        <v>8</v>
      </c>
      <c r="B14763" s="1" t="str">
        <f>"000372322 - RICHS PIZZ DOUGH &amp; ICING-SODX"</f>
        <v>000372322 - RICHS PIZZ DOUGH &amp; ICING-SODX</v>
      </c>
      <c r="C14763" t="s">
        <v>391</v>
      </c>
      <c r="D14763" s="1" t="str">
        <f t="shared" si="410"/>
        <v>PRG-1043332</v>
      </c>
      <c r="E14763" t="s">
        <v>48</v>
      </c>
      <c r="F14763" t="s">
        <v>4</v>
      </c>
      <c r="G14763" t="str">
        <f>""</f>
        <v/>
      </c>
    </row>
    <row r="14764" spans="1:7" x14ac:dyDescent="0.25">
      <c r="A14764" t="s">
        <v>8</v>
      </c>
      <c r="B14764" s="1" t="str">
        <f>"000373001 - RICHS PIZZ DOUGH &amp; ICING-SODX"</f>
        <v>000373001 - RICHS PIZZ DOUGH &amp; ICING-SODX</v>
      </c>
      <c r="C14764" t="s">
        <v>391</v>
      </c>
      <c r="D14764" s="1" t="str">
        <f t="shared" si="410"/>
        <v>PRG-1043332</v>
      </c>
      <c r="E14764" t="s">
        <v>48</v>
      </c>
      <c r="F14764" t="s">
        <v>4</v>
      </c>
      <c r="G14764" t="str">
        <f>""</f>
        <v/>
      </c>
    </row>
    <row r="14765" spans="1:7" x14ac:dyDescent="0.25">
      <c r="A14765" t="s">
        <v>8</v>
      </c>
      <c r="B14765" s="1" t="str">
        <f>"000379317 - RICHS PIZZ DOUGH &amp; ICING-SODX"</f>
        <v>000379317 - RICHS PIZZ DOUGH &amp; ICING-SODX</v>
      </c>
      <c r="C14765" t="s">
        <v>391</v>
      </c>
      <c r="D14765" s="1" t="str">
        <f t="shared" si="410"/>
        <v>PRG-1043332</v>
      </c>
      <c r="E14765" t="s">
        <v>48</v>
      </c>
      <c r="F14765" t="s">
        <v>4</v>
      </c>
      <c r="G14765" t="str">
        <f>""</f>
        <v/>
      </c>
    </row>
    <row r="14766" spans="1:7" x14ac:dyDescent="0.25">
      <c r="A14766" t="s">
        <v>8</v>
      </c>
      <c r="B14766" s="1" t="str">
        <f>"000388604 - RICHS PIZZ DOUGH &amp; ICING-SODX"</f>
        <v>000388604 - RICHS PIZZ DOUGH &amp; ICING-SODX</v>
      </c>
      <c r="C14766" t="s">
        <v>391</v>
      </c>
      <c r="D14766" s="1" t="str">
        <f t="shared" si="410"/>
        <v>PRG-1043332</v>
      </c>
      <c r="E14766" t="s">
        <v>48</v>
      </c>
      <c r="F14766" t="s">
        <v>4</v>
      </c>
      <c r="G14766" t="str">
        <f>""</f>
        <v/>
      </c>
    </row>
    <row r="14767" spans="1:7" x14ac:dyDescent="0.25">
      <c r="A14767" t="s">
        <v>8</v>
      </c>
      <c r="B14767" s="1" t="str">
        <f>"000393405 - RICHS DOUGH &amp; ICING-SODEXO"</f>
        <v>000393405 - RICHS DOUGH &amp; ICING-SODEXO</v>
      </c>
      <c r="C14767" t="s">
        <v>349</v>
      </c>
      <c r="D14767" s="1" t="str">
        <f t="shared" si="410"/>
        <v>PRG-1043332</v>
      </c>
      <c r="E14767" t="s">
        <v>48</v>
      </c>
      <c r="F14767" t="s">
        <v>4</v>
      </c>
      <c r="G14767" t="str">
        <f>""</f>
        <v/>
      </c>
    </row>
    <row r="14768" spans="1:7" x14ac:dyDescent="0.25">
      <c r="A14768" t="s">
        <v>8</v>
      </c>
      <c r="B14768" s="1" t="str">
        <f>"000398795 - RICHS PIZZ DOUGH &amp; ICING-SODX"</f>
        <v>000398795 - RICHS PIZZ DOUGH &amp; ICING-SODX</v>
      </c>
      <c r="C14768" t="s">
        <v>391</v>
      </c>
      <c r="D14768" s="1" t="str">
        <f t="shared" si="410"/>
        <v>PRG-1043332</v>
      </c>
      <c r="E14768" t="s">
        <v>48</v>
      </c>
      <c r="F14768" t="s">
        <v>4</v>
      </c>
      <c r="G14768" t="str">
        <f>""</f>
        <v/>
      </c>
    </row>
    <row r="14769" spans="1:7" x14ac:dyDescent="0.25">
      <c r="A14769" t="s">
        <v>8</v>
      </c>
      <c r="B14769" s="1" t="str">
        <f>"000405560 - RICHS PIZZ DOUGH &amp; ICING-SODX"</f>
        <v>000405560 - RICHS PIZZ DOUGH &amp; ICING-SODX</v>
      </c>
      <c r="C14769" t="s">
        <v>391</v>
      </c>
      <c r="D14769" s="1" t="str">
        <f t="shared" si="410"/>
        <v>PRG-1043332</v>
      </c>
      <c r="E14769" t="s">
        <v>48</v>
      </c>
      <c r="F14769" t="s">
        <v>4</v>
      </c>
      <c r="G14769" t="str">
        <f>""</f>
        <v/>
      </c>
    </row>
    <row r="14770" spans="1:7" x14ac:dyDescent="0.25">
      <c r="A14770" t="s">
        <v>8</v>
      </c>
      <c r="B14770" s="1" t="str">
        <f>"000413030 - RICHS PIZZ DOUGH &amp; ICING-SODX"</f>
        <v>000413030 - RICHS PIZZ DOUGH &amp; ICING-SODX</v>
      </c>
      <c r="C14770" t="s">
        <v>391</v>
      </c>
      <c r="D14770" s="1" t="str">
        <f t="shared" si="410"/>
        <v>PRG-1043332</v>
      </c>
      <c r="E14770" t="s">
        <v>48</v>
      </c>
      <c r="F14770" t="s">
        <v>4</v>
      </c>
      <c r="G14770" t="str">
        <f>""</f>
        <v/>
      </c>
    </row>
    <row r="14771" spans="1:7" x14ac:dyDescent="0.25">
      <c r="A14771" t="s">
        <v>8</v>
      </c>
      <c r="B14771" s="1" t="str">
        <f>"000395301 - RICH TREVI RESTAURANT CC CC"</f>
        <v>000395301 - RICH TREVI RESTAURANT CC CC</v>
      </c>
      <c r="C14771" t="s">
        <v>3703</v>
      </c>
      <c r="D14771" s="1" t="str">
        <f>"PRG-1043351"</f>
        <v>PRG-1043351</v>
      </c>
      <c r="E14771" t="s">
        <v>3704</v>
      </c>
      <c r="F14771" t="s">
        <v>4</v>
      </c>
      <c r="G14771" t="str">
        <f>""</f>
        <v/>
      </c>
    </row>
    <row r="14772" spans="1:7" x14ac:dyDescent="0.25">
      <c r="A14772" t="s">
        <v>8</v>
      </c>
      <c r="B14772" s="1" t="str">
        <f>"000028742 - RICH NONMTRTL-COLDSTONE"</f>
        <v>000028742 - RICH NONMTRTL-COLDSTONE</v>
      </c>
      <c r="C14772" t="s">
        <v>474</v>
      </c>
      <c r="D14772" s="1" t="str">
        <f t="shared" ref="D14772:D14796" si="411">"PRG-1043380"</f>
        <v>PRG-1043380</v>
      </c>
      <c r="E14772" t="s">
        <v>132</v>
      </c>
      <c r="F14772" t="s">
        <v>4</v>
      </c>
      <c r="G14772" t="str">
        <f>""</f>
        <v/>
      </c>
    </row>
    <row r="14773" spans="1:7" x14ac:dyDescent="0.25">
      <c r="A14773" t="s">
        <v>8</v>
      </c>
      <c r="B14773" s="1" t="str">
        <f>"000035131 - RICH NONMTRTL-COLDSTONE"</f>
        <v>000035131 - RICH NONMTRTL-COLDSTONE</v>
      </c>
      <c r="C14773" t="s">
        <v>474</v>
      </c>
      <c r="D14773" s="1" t="str">
        <f t="shared" si="411"/>
        <v>PRG-1043380</v>
      </c>
      <c r="E14773" t="s">
        <v>132</v>
      </c>
      <c r="F14773" t="s">
        <v>4</v>
      </c>
      <c r="G14773" t="str">
        <f>""</f>
        <v/>
      </c>
    </row>
    <row r="14774" spans="1:7" x14ac:dyDescent="0.25">
      <c r="A14774" t="s">
        <v>8</v>
      </c>
      <c r="B14774" s="1" t="str">
        <f>"000037481 - RICH NONMTRTL-COLDSTONE"</f>
        <v>000037481 - RICH NONMTRTL-COLDSTONE</v>
      </c>
      <c r="C14774" t="s">
        <v>474</v>
      </c>
      <c r="D14774" s="1" t="str">
        <f t="shared" si="411"/>
        <v>PRG-1043380</v>
      </c>
      <c r="E14774" t="s">
        <v>132</v>
      </c>
      <c r="F14774" t="s">
        <v>4</v>
      </c>
      <c r="G14774" t="str">
        <f>""</f>
        <v/>
      </c>
    </row>
    <row r="14775" spans="1:7" x14ac:dyDescent="0.25">
      <c r="A14775" t="s">
        <v>8</v>
      </c>
      <c r="B14775" s="1" t="str">
        <f>"000040410 - RICH NONMTRTL-COLDSTONE"</f>
        <v>000040410 - RICH NONMTRTL-COLDSTONE</v>
      </c>
      <c r="C14775" t="s">
        <v>474</v>
      </c>
      <c r="D14775" s="1" t="str">
        <f t="shared" si="411"/>
        <v>PRG-1043380</v>
      </c>
      <c r="E14775" t="s">
        <v>132</v>
      </c>
      <c r="F14775" t="s">
        <v>4</v>
      </c>
      <c r="G14775" t="str">
        <f>""</f>
        <v/>
      </c>
    </row>
    <row r="14776" spans="1:7" x14ac:dyDescent="0.25">
      <c r="A14776" t="s">
        <v>8</v>
      </c>
      <c r="B14776" s="1" t="str">
        <f>"000076337 - RICH NONMTRTL-COLDSTONE"</f>
        <v>000076337 - RICH NONMTRTL-COLDSTONE</v>
      </c>
      <c r="C14776" t="s">
        <v>474</v>
      </c>
      <c r="D14776" s="1" t="str">
        <f t="shared" si="411"/>
        <v>PRG-1043380</v>
      </c>
      <c r="E14776" t="s">
        <v>132</v>
      </c>
      <c r="F14776" t="s">
        <v>4</v>
      </c>
      <c r="G14776" t="str">
        <f>""</f>
        <v/>
      </c>
    </row>
    <row r="14777" spans="1:7" x14ac:dyDescent="0.25">
      <c r="A14777" t="s">
        <v>8</v>
      </c>
      <c r="B14777" s="1" t="str">
        <f>"000149747 - RICH NONMTRTL-COLDSTONE"</f>
        <v>000149747 - RICH NONMTRTL-COLDSTONE</v>
      </c>
      <c r="C14777" t="s">
        <v>474</v>
      </c>
      <c r="D14777" s="1" t="str">
        <f t="shared" si="411"/>
        <v>PRG-1043380</v>
      </c>
      <c r="E14777" t="s">
        <v>132</v>
      </c>
      <c r="F14777" t="s">
        <v>4</v>
      </c>
      <c r="G14777" t="str">
        <f>""</f>
        <v/>
      </c>
    </row>
    <row r="14778" spans="1:7" x14ac:dyDescent="0.25">
      <c r="A14778" t="s">
        <v>8</v>
      </c>
      <c r="B14778" s="1" t="str">
        <f>"000170920 - RICH NONMTRTL-COLDSTONE"</f>
        <v>000170920 - RICH NONMTRTL-COLDSTONE</v>
      </c>
      <c r="C14778" t="s">
        <v>474</v>
      </c>
      <c r="D14778" s="1" t="str">
        <f t="shared" si="411"/>
        <v>PRG-1043380</v>
      </c>
      <c r="E14778" t="s">
        <v>132</v>
      </c>
      <c r="F14778" t="s">
        <v>4</v>
      </c>
      <c r="G14778" t="str">
        <f>""</f>
        <v/>
      </c>
    </row>
    <row r="14779" spans="1:7" x14ac:dyDescent="0.25">
      <c r="A14779" t="s">
        <v>8</v>
      </c>
      <c r="B14779" s="1" t="str">
        <f>"000197298 - RICH NONMTRTL-COLDSTONE"</f>
        <v>000197298 - RICH NONMTRTL-COLDSTONE</v>
      </c>
      <c r="C14779" t="s">
        <v>474</v>
      </c>
      <c r="D14779" s="1" t="str">
        <f t="shared" si="411"/>
        <v>PRG-1043380</v>
      </c>
      <c r="E14779" t="s">
        <v>132</v>
      </c>
      <c r="F14779" t="s">
        <v>4</v>
      </c>
      <c r="G14779" t="str">
        <f>""</f>
        <v/>
      </c>
    </row>
    <row r="14780" spans="1:7" x14ac:dyDescent="0.25">
      <c r="A14780" t="s">
        <v>8</v>
      </c>
      <c r="B14780" s="1" t="str">
        <f>"000266489 - RICH NONMTRTL-COLDSTONE"</f>
        <v>000266489 - RICH NONMTRTL-COLDSTONE</v>
      </c>
      <c r="C14780" t="s">
        <v>474</v>
      </c>
      <c r="D14780" s="1" t="str">
        <f t="shared" si="411"/>
        <v>PRG-1043380</v>
      </c>
      <c r="E14780" t="s">
        <v>132</v>
      </c>
      <c r="F14780" t="s">
        <v>4</v>
      </c>
      <c r="G14780" t="str">
        <f>""</f>
        <v/>
      </c>
    </row>
    <row r="14781" spans="1:7" x14ac:dyDescent="0.25">
      <c r="A14781" t="s">
        <v>8</v>
      </c>
      <c r="B14781" s="1" t="str">
        <f>"000267708 - RICH NONMTRTL-COLDSTONE"</f>
        <v>000267708 - RICH NONMTRTL-COLDSTONE</v>
      </c>
      <c r="C14781" t="s">
        <v>474</v>
      </c>
      <c r="D14781" s="1" t="str">
        <f t="shared" si="411"/>
        <v>PRG-1043380</v>
      </c>
      <c r="E14781" t="s">
        <v>132</v>
      </c>
      <c r="F14781" t="s">
        <v>4</v>
      </c>
      <c r="G14781" t="str">
        <f>""</f>
        <v/>
      </c>
    </row>
    <row r="14782" spans="1:7" x14ac:dyDescent="0.25">
      <c r="A14782" t="s">
        <v>8</v>
      </c>
      <c r="B14782" s="1" t="str">
        <f>"000271587 - RICH NONMTRTL-COLDSTONE"</f>
        <v>000271587 - RICH NONMTRTL-COLDSTONE</v>
      </c>
      <c r="C14782" t="s">
        <v>474</v>
      </c>
      <c r="D14782" s="1" t="str">
        <f t="shared" si="411"/>
        <v>PRG-1043380</v>
      </c>
      <c r="E14782" t="s">
        <v>132</v>
      </c>
      <c r="F14782" t="s">
        <v>4</v>
      </c>
      <c r="G14782" t="str">
        <f>""</f>
        <v/>
      </c>
    </row>
    <row r="14783" spans="1:7" x14ac:dyDescent="0.25">
      <c r="A14783" t="s">
        <v>8</v>
      </c>
      <c r="B14783" s="1" t="str">
        <f>"000285362 - RICH NONMTRTL-COLDSTONE"</f>
        <v>000285362 - RICH NONMTRTL-COLDSTONE</v>
      </c>
      <c r="C14783" t="s">
        <v>474</v>
      </c>
      <c r="D14783" s="1" t="str">
        <f t="shared" si="411"/>
        <v>PRG-1043380</v>
      </c>
      <c r="E14783" t="s">
        <v>132</v>
      </c>
      <c r="F14783" t="s">
        <v>4</v>
      </c>
      <c r="G14783" t="str">
        <f>""</f>
        <v/>
      </c>
    </row>
    <row r="14784" spans="1:7" x14ac:dyDescent="0.25">
      <c r="A14784" t="s">
        <v>8</v>
      </c>
      <c r="B14784" s="1" t="str">
        <f>"000289390 - RICH NONMTRTL-COLDSTONE"</f>
        <v>000289390 - RICH NONMTRTL-COLDSTONE</v>
      </c>
      <c r="C14784" t="s">
        <v>474</v>
      </c>
      <c r="D14784" s="1" t="str">
        <f t="shared" si="411"/>
        <v>PRG-1043380</v>
      </c>
      <c r="E14784" t="s">
        <v>132</v>
      </c>
      <c r="F14784" t="s">
        <v>4</v>
      </c>
      <c r="G14784" t="str">
        <f>""</f>
        <v/>
      </c>
    </row>
    <row r="14785" spans="1:7" x14ac:dyDescent="0.25">
      <c r="A14785" t="s">
        <v>8</v>
      </c>
      <c r="B14785" s="1" t="str">
        <f>"000312778 - "</f>
        <v xml:space="preserve">000312778 - </v>
      </c>
      <c r="D14785" s="1" t="str">
        <f t="shared" si="411"/>
        <v>PRG-1043380</v>
      </c>
      <c r="E14785" t="s">
        <v>132</v>
      </c>
      <c r="F14785" t="s">
        <v>4</v>
      </c>
      <c r="G14785" t="str">
        <f>""</f>
        <v/>
      </c>
    </row>
    <row r="14786" spans="1:7" x14ac:dyDescent="0.25">
      <c r="A14786" t="s">
        <v>8</v>
      </c>
      <c r="B14786" s="1" t="str">
        <f>"000318379 - RICH NONMTRTL-COLDSTONE"</f>
        <v>000318379 - RICH NONMTRTL-COLDSTONE</v>
      </c>
      <c r="C14786" t="s">
        <v>474</v>
      </c>
      <c r="D14786" s="1" t="str">
        <f t="shared" si="411"/>
        <v>PRG-1043380</v>
      </c>
      <c r="E14786" t="s">
        <v>132</v>
      </c>
      <c r="F14786" t="s">
        <v>4</v>
      </c>
      <c r="G14786" t="str">
        <f>""</f>
        <v/>
      </c>
    </row>
    <row r="14787" spans="1:7" x14ac:dyDescent="0.25">
      <c r="A14787" t="s">
        <v>8</v>
      </c>
      <c r="B14787" s="1" t="str">
        <f>"000336282 - RICH NONMTRTL-COLDSTONE"</f>
        <v>000336282 - RICH NONMTRTL-COLDSTONE</v>
      </c>
      <c r="C14787" t="s">
        <v>474</v>
      </c>
      <c r="D14787" s="1" t="str">
        <f t="shared" si="411"/>
        <v>PRG-1043380</v>
      </c>
      <c r="E14787" t="s">
        <v>132</v>
      </c>
      <c r="F14787" t="s">
        <v>4</v>
      </c>
      <c r="G14787" t="str">
        <f>""</f>
        <v/>
      </c>
    </row>
    <row r="14788" spans="1:7" x14ac:dyDescent="0.25">
      <c r="A14788" t="s">
        <v>8</v>
      </c>
      <c r="B14788" s="1" t="str">
        <f>"000348594 - RICH NONMTRTL-COLDSTONE"</f>
        <v>000348594 - RICH NONMTRTL-COLDSTONE</v>
      </c>
      <c r="C14788" t="s">
        <v>474</v>
      </c>
      <c r="D14788" s="1" t="str">
        <f t="shared" si="411"/>
        <v>PRG-1043380</v>
      </c>
      <c r="E14788" t="s">
        <v>132</v>
      </c>
      <c r="F14788" t="s">
        <v>4</v>
      </c>
      <c r="G14788" t="str">
        <f>""</f>
        <v/>
      </c>
    </row>
    <row r="14789" spans="1:7" x14ac:dyDescent="0.25">
      <c r="A14789" t="s">
        <v>8</v>
      </c>
      <c r="B14789" s="1" t="str">
        <f>"000365687 - "</f>
        <v xml:space="preserve">000365687 - </v>
      </c>
      <c r="D14789" s="1" t="str">
        <f t="shared" si="411"/>
        <v>PRG-1043380</v>
      </c>
      <c r="E14789" t="s">
        <v>132</v>
      </c>
      <c r="F14789" t="s">
        <v>4</v>
      </c>
      <c r="G14789" t="str">
        <f>""</f>
        <v/>
      </c>
    </row>
    <row r="14790" spans="1:7" x14ac:dyDescent="0.25">
      <c r="A14790" t="s">
        <v>8</v>
      </c>
      <c r="B14790" s="1" t="str">
        <f>"000372225 - RICH NONMTRTL-COLDSTONE"</f>
        <v>000372225 - RICH NONMTRTL-COLDSTONE</v>
      </c>
      <c r="C14790" t="s">
        <v>474</v>
      </c>
      <c r="D14790" s="1" t="str">
        <f t="shared" si="411"/>
        <v>PRG-1043380</v>
      </c>
      <c r="E14790" t="s">
        <v>132</v>
      </c>
      <c r="F14790" t="s">
        <v>4</v>
      </c>
      <c r="G14790" t="str">
        <f>""</f>
        <v/>
      </c>
    </row>
    <row r="14791" spans="1:7" x14ac:dyDescent="0.25">
      <c r="A14791" t="s">
        <v>8</v>
      </c>
      <c r="B14791" s="1" t="str">
        <f>"000372883 - RICH NONMTRTL-COLDSTONE"</f>
        <v>000372883 - RICH NONMTRTL-COLDSTONE</v>
      </c>
      <c r="C14791" t="s">
        <v>474</v>
      </c>
      <c r="D14791" s="1" t="str">
        <f t="shared" si="411"/>
        <v>PRG-1043380</v>
      </c>
      <c r="E14791" t="s">
        <v>132</v>
      </c>
      <c r="F14791" t="s">
        <v>4</v>
      </c>
      <c r="G14791" t="str">
        <f>""</f>
        <v/>
      </c>
    </row>
    <row r="14792" spans="1:7" x14ac:dyDescent="0.25">
      <c r="A14792" t="s">
        <v>8</v>
      </c>
      <c r="B14792" s="1" t="str">
        <f>"000381724 - RICH NONMTRTL-COLDSTONE"</f>
        <v>000381724 - RICH NONMTRTL-COLDSTONE</v>
      </c>
      <c r="C14792" t="s">
        <v>474</v>
      </c>
      <c r="D14792" s="1" t="str">
        <f t="shared" si="411"/>
        <v>PRG-1043380</v>
      </c>
      <c r="E14792" t="s">
        <v>132</v>
      </c>
      <c r="F14792" t="s">
        <v>4</v>
      </c>
      <c r="G14792" t="str">
        <f>""</f>
        <v/>
      </c>
    </row>
    <row r="14793" spans="1:7" x14ac:dyDescent="0.25">
      <c r="A14793" t="s">
        <v>8</v>
      </c>
      <c r="B14793" s="1" t="str">
        <f>"000398673 - RICH NONMTRTL-COLDSTONE"</f>
        <v>000398673 - RICH NONMTRTL-COLDSTONE</v>
      </c>
      <c r="C14793" t="s">
        <v>474</v>
      </c>
      <c r="D14793" s="1" t="str">
        <f t="shared" si="411"/>
        <v>PRG-1043380</v>
      </c>
      <c r="E14793" t="s">
        <v>132</v>
      </c>
      <c r="F14793" t="s">
        <v>4</v>
      </c>
      <c r="G14793" t="str">
        <f>""</f>
        <v/>
      </c>
    </row>
    <row r="14794" spans="1:7" x14ac:dyDescent="0.25">
      <c r="A14794" t="s">
        <v>8</v>
      </c>
      <c r="B14794" s="1" t="str">
        <f>"000400259 - "</f>
        <v xml:space="preserve">000400259 - </v>
      </c>
      <c r="D14794" s="1" t="str">
        <f t="shared" si="411"/>
        <v>PRG-1043380</v>
      </c>
      <c r="E14794" t="s">
        <v>132</v>
      </c>
      <c r="F14794" t="s">
        <v>4</v>
      </c>
      <c r="G14794" t="str">
        <f>""</f>
        <v/>
      </c>
    </row>
    <row r="14795" spans="1:7" x14ac:dyDescent="0.25">
      <c r="A14795" t="s">
        <v>8</v>
      </c>
      <c r="B14795" s="1" t="str">
        <f>"000405481 - RICH NONMTRTL-COLDSTONE"</f>
        <v>000405481 - RICH NONMTRTL-COLDSTONE</v>
      </c>
      <c r="C14795" t="s">
        <v>474</v>
      </c>
      <c r="D14795" s="1" t="str">
        <f t="shared" si="411"/>
        <v>PRG-1043380</v>
      </c>
      <c r="E14795" t="s">
        <v>132</v>
      </c>
      <c r="F14795" t="s">
        <v>4</v>
      </c>
      <c r="G14795" t="str">
        <f>""</f>
        <v/>
      </c>
    </row>
    <row r="14796" spans="1:7" x14ac:dyDescent="0.25">
      <c r="A14796" t="s">
        <v>8</v>
      </c>
      <c r="B14796" s="1" t="str">
        <f>"000412919 - RICH NONMTRTL-COLDSTONE"</f>
        <v>000412919 - RICH NONMTRTL-COLDSTONE</v>
      </c>
      <c r="C14796" t="s">
        <v>474</v>
      </c>
      <c r="D14796" s="1" t="str">
        <f t="shared" si="411"/>
        <v>PRG-1043380</v>
      </c>
      <c r="E14796" t="s">
        <v>132</v>
      </c>
      <c r="F14796" t="s">
        <v>4</v>
      </c>
      <c r="G14796" t="str">
        <f>""</f>
        <v/>
      </c>
    </row>
    <row r="14797" spans="1:7" x14ac:dyDescent="0.25">
      <c r="A14797" t="s">
        <v>8</v>
      </c>
      <c r="B14797" s="1" t="str">
        <f>"000151011 - RICH PRODUCTS BECK OIL CO"</f>
        <v>000151011 - RICH PRODUCTS BECK OIL CO</v>
      </c>
      <c r="C14797" t="s">
        <v>1011</v>
      </c>
      <c r="D14797" s="1" t="str">
        <f>"PRG-1043401"</f>
        <v>PRG-1043401</v>
      </c>
      <c r="E14797" t="s">
        <v>1012</v>
      </c>
      <c r="F14797" t="s">
        <v>4</v>
      </c>
      <c r="G14797" t="str">
        <f>""</f>
        <v/>
      </c>
    </row>
    <row r="14798" spans="1:7" x14ac:dyDescent="0.25">
      <c r="A14798" t="s">
        <v>8</v>
      </c>
      <c r="B14798" s="1" t="str">
        <f>"000322502 - RICH TIMBER CREEK PIZZA"</f>
        <v>000322502 - RICH TIMBER CREEK PIZZA</v>
      </c>
      <c r="C14798" t="s">
        <v>3258</v>
      </c>
      <c r="D14798" s="1" t="str">
        <f>"PRG-1043473"</f>
        <v>PRG-1043473</v>
      </c>
      <c r="E14798" t="s">
        <v>3259</v>
      </c>
      <c r="F14798" t="s">
        <v>4</v>
      </c>
      <c r="G14798" t="str">
        <f>""</f>
        <v/>
      </c>
    </row>
    <row r="14799" spans="1:7" x14ac:dyDescent="0.25">
      <c r="A14799" t="s">
        <v>8</v>
      </c>
      <c r="B14799" s="1" t="str">
        <f>"000034658 - RICH FOODS-EL DORADO"</f>
        <v>000034658 - RICH FOODS-EL DORADO</v>
      </c>
      <c r="C14799" t="s">
        <v>520</v>
      </c>
      <c r="D14799" s="1" t="str">
        <f>"PRG-1043500"</f>
        <v>PRG-1043500</v>
      </c>
      <c r="E14799" t="s">
        <v>258</v>
      </c>
      <c r="F14799" t="s">
        <v>4</v>
      </c>
      <c r="G14799" t="str">
        <f>""</f>
        <v/>
      </c>
    </row>
    <row r="14800" spans="1:7" x14ac:dyDescent="0.25">
      <c r="A14800" t="s">
        <v>8</v>
      </c>
      <c r="B14800" s="1" t="str">
        <f>"000038603 - RICH FOODS-EL DORADO"</f>
        <v>000038603 - RICH FOODS-EL DORADO</v>
      </c>
      <c r="C14800" t="s">
        <v>520</v>
      </c>
      <c r="D14800" s="1" t="str">
        <f>"PRG-1043500"</f>
        <v>PRG-1043500</v>
      </c>
      <c r="E14800" t="s">
        <v>258</v>
      </c>
      <c r="F14800" t="s">
        <v>4</v>
      </c>
      <c r="G14800" t="str">
        <f>""</f>
        <v/>
      </c>
    </row>
    <row r="14801" spans="1:7" x14ac:dyDescent="0.25">
      <c r="A14801" t="s">
        <v>8</v>
      </c>
      <c r="B14801" s="1" t="str">
        <f>"000259513 - ISLE OF CAPRI RICH PRODUCTS"</f>
        <v>000259513 - ISLE OF CAPRI RICH PRODUCTS</v>
      </c>
      <c r="C14801" t="s">
        <v>2012</v>
      </c>
      <c r="D14801" s="1" t="str">
        <f>"PRG-1043500"</f>
        <v>PRG-1043500</v>
      </c>
      <c r="E14801" t="s">
        <v>258</v>
      </c>
      <c r="F14801" t="s">
        <v>4</v>
      </c>
      <c r="G14801" t="str">
        <f>""</f>
        <v/>
      </c>
    </row>
    <row r="14802" spans="1:7" x14ac:dyDescent="0.25">
      <c r="A14802" t="s">
        <v>8</v>
      </c>
      <c r="B14802" s="1" t="str">
        <f>"000298698 - RICH FOODS-EL DORADO"</f>
        <v>000298698 - RICH FOODS-EL DORADO</v>
      </c>
      <c r="C14802" t="s">
        <v>520</v>
      </c>
      <c r="D14802" s="1" t="str">
        <f>"PRG-1043500"</f>
        <v>PRG-1043500</v>
      </c>
      <c r="E14802" t="s">
        <v>258</v>
      </c>
      <c r="F14802" t="s">
        <v>4</v>
      </c>
      <c r="G14802" t="str">
        <f>""</f>
        <v/>
      </c>
    </row>
    <row r="14803" spans="1:7" x14ac:dyDescent="0.25">
      <c r="A14803" t="s">
        <v>8</v>
      </c>
      <c r="B14803" s="1" t="str">
        <f>"000349241 - RICH FOODS-EL DORADO"</f>
        <v>000349241 - RICH FOODS-EL DORADO</v>
      </c>
      <c r="C14803" t="s">
        <v>520</v>
      </c>
      <c r="D14803" s="1" t="str">
        <f>"PRG-1043500"</f>
        <v>PRG-1043500</v>
      </c>
      <c r="E14803" t="s">
        <v>258</v>
      </c>
      <c r="F14803" t="s">
        <v>4</v>
      </c>
      <c r="G14803" t="str">
        <f>""</f>
        <v/>
      </c>
    </row>
    <row r="14804" spans="1:7" x14ac:dyDescent="0.25">
      <c r="A14804" t="s">
        <v>8</v>
      </c>
      <c r="B14804" s="1" t="str">
        <f>"000364523 - RICHS-DC THE TEXAN"</f>
        <v>000364523 - RICHS-DC THE TEXAN</v>
      </c>
      <c r="C14804" t="s">
        <v>3361</v>
      </c>
      <c r="D14804" s="1" t="str">
        <f>"PRG-1043544"</f>
        <v>PRG-1043544</v>
      </c>
      <c r="E14804" t="s">
        <v>3360</v>
      </c>
      <c r="F14804" t="s">
        <v>4</v>
      </c>
      <c r="G14804" t="str">
        <f>""</f>
        <v/>
      </c>
    </row>
    <row r="14805" spans="1:7" x14ac:dyDescent="0.25">
      <c r="A14805" t="s">
        <v>8</v>
      </c>
      <c r="B14805" s="1" t="str">
        <f>"000357635 - RICHS VICTORIA ISD"</f>
        <v>000357635 - RICHS VICTORIA ISD</v>
      </c>
      <c r="C14805" t="s">
        <v>3270</v>
      </c>
      <c r="D14805" s="1" t="str">
        <f>"PRG-1043552"</f>
        <v>PRG-1043552</v>
      </c>
      <c r="E14805" t="s">
        <v>3569</v>
      </c>
      <c r="F14805" t="s">
        <v>4</v>
      </c>
      <c r="G14805" t="str">
        <f>""</f>
        <v/>
      </c>
    </row>
    <row r="14806" spans="1:7" x14ac:dyDescent="0.25">
      <c r="A14806" t="s">
        <v>8</v>
      </c>
      <c r="B14806" s="1" t="str">
        <f>"000080896 - RICH FOODS-WHITSONS"</f>
        <v>000080896 - RICH FOODS-WHITSONS</v>
      </c>
      <c r="C14806" t="s">
        <v>446</v>
      </c>
      <c r="D14806" s="1" t="str">
        <f>"PRG-1043563"</f>
        <v>PRG-1043563</v>
      </c>
      <c r="E14806" t="s">
        <v>756</v>
      </c>
      <c r="F14806" t="s">
        <v>4</v>
      </c>
      <c r="G14806" t="str">
        <f>""</f>
        <v/>
      </c>
    </row>
    <row r="14807" spans="1:7" x14ac:dyDescent="0.25">
      <c r="A14807" t="s">
        <v>8</v>
      </c>
      <c r="B14807" s="1" t="str">
        <f>"000300704 - RICH FOODS-WHITSONS"</f>
        <v>000300704 - RICH FOODS-WHITSONS</v>
      </c>
      <c r="C14807" t="s">
        <v>446</v>
      </c>
      <c r="D14807" s="1" t="str">
        <f>"PRG-1043563"</f>
        <v>PRG-1043563</v>
      </c>
      <c r="E14807" t="s">
        <v>756</v>
      </c>
      <c r="F14807" t="s">
        <v>4</v>
      </c>
      <c r="G14807" t="str">
        <f>""</f>
        <v/>
      </c>
    </row>
    <row r="14808" spans="1:7" x14ac:dyDescent="0.25">
      <c r="A14808" t="s">
        <v>8</v>
      </c>
      <c r="B14808" s="1" t="str">
        <f>"000316149 - RICH FOODS-WHITSONS"</f>
        <v>000316149 - RICH FOODS-WHITSONS</v>
      </c>
      <c r="C14808" t="s">
        <v>446</v>
      </c>
      <c r="D14808" s="1" t="str">
        <f>"PRG-1043563"</f>
        <v>PRG-1043563</v>
      </c>
      <c r="E14808" t="s">
        <v>756</v>
      </c>
      <c r="F14808" t="s">
        <v>4</v>
      </c>
      <c r="G14808" t="str">
        <f>""</f>
        <v/>
      </c>
    </row>
    <row r="14809" spans="1:7" x14ac:dyDescent="0.25">
      <c r="A14809" t="s">
        <v>8</v>
      </c>
      <c r="B14809" s="1" t="str">
        <f>"000291019 - RICH DC LOGANS JOEY G"</f>
        <v>000291019 - RICH DC LOGANS JOEY G</v>
      </c>
      <c r="C14809" t="s">
        <v>2837</v>
      </c>
      <c r="D14809" s="1" t="str">
        <f>"PRG-1043580"</f>
        <v>PRG-1043580</v>
      </c>
      <c r="E14809" t="s">
        <v>2838</v>
      </c>
      <c r="F14809" t="s">
        <v>4</v>
      </c>
      <c r="G14809" t="str">
        <f>""</f>
        <v/>
      </c>
    </row>
    <row r="14810" spans="1:7" x14ac:dyDescent="0.25">
      <c r="A14810" t="s">
        <v>8</v>
      </c>
      <c r="B14810" s="1" t="str">
        <f>"000279528 - RICH-MAX BRENNER"</f>
        <v>000279528 - RICH-MAX BRENNER</v>
      </c>
      <c r="C14810" t="s">
        <v>2624</v>
      </c>
      <c r="D14810" s="1" t="str">
        <f>"PRG-1043586"</f>
        <v>PRG-1043586</v>
      </c>
      <c r="E14810" t="s">
        <v>2625</v>
      </c>
      <c r="F14810" t="s">
        <v>4</v>
      </c>
      <c r="G14810" t="str">
        <f>""</f>
        <v/>
      </c>
    </row>
    <row r="14811" spans="1:7" x14ac:dyDescent="0.25">
      <c r="A14811" t="s">
        <v>8</v>
      </c>
      <c r="B14811" s="1" t="str">
        <f>"000295770 - RICH MAX BRENNER"</f>
        <v>000295770 - RICH MAX BRENNER</v>
      </c>
      <c r="C14811" t="s">
        <v>2903</v>
      </c>
      <c r="D14811" s="1" t="str">
        <f>"PRG-1043586"</f>
        <v>PRG-1043586</v>
      </c>
      <c r="E14811" t="s">
        <v>2625</v>
      </c>
      <c r="F14811" t="s">
        <v>4</v>
      </c>
      <c r="G14811" t="str">
        <f>""</f>
        <v/>
      </c>
    </row>
    <row r="14812" spans="1:7" x14ac:dyDescent="0.25">
      <c r="A14812" t="s">
        <v>8</v>
      </c>
      <c r="B14812" s="1" t="str">
        <f>"000301089 - RICH PRODUCTS MAX BRENNER"</f>
        <v>000301089 - RICH PRODUCTS MAX BRENNER</v>
      </c>
      <c r="C14812" t="s">
        <v>2976</v>
      </c>
      <c r="D14812" s="1" t="str">
        <f>"PRG-1043586"</f>
        <v>PRG-1043586</v>
      </c>
      <c r="E14812" t="s">
        <v>2625</v>
      </c>
      <c r="F14812" t="s">
        <v>4</v>
      </c>
      <c r="G14812" t="str">
        <f>""</f>
        <v/>
      </c>
    </row>
    <row r="14813" spans="1:7" x14ac:dyDescent="0.25">
      <c r="A14813" t="s">
        <v>8</v>
      </c>
      <c r="B14813" s="1" t="str">
        <f>"000300517 - RICHS PINK ON TOP PROM"</f>
        <v>000300517 - RICHS PINK ON TOP PROM</v>
      </c>
      <c r="C14813" t="s">
        <v>2972</v>
      </c>
      <c r="D14813" s="1" t="str">
        <f>"PRG-1043819"</f>
        <v>PRG-1043819</v>
      </c>
      <c r="E14813" t="s">
        <v>2973</v>
      </c>
      <c r="F14813" t="s">
        <v>4</v>
      </c>
      <c r="G14813" t="str">
        <f>""</f>
        <v/>
      </c>
    </row>
    <row r="14814" spans="1:7" x14ac:dyDescent="0.25">
      <c r="A14814" t="s">
        <v>8</v>
      </c>
      <c r="B14814" s="1" t="str">
        <f>"000270649 - RICH'S ZEBB'S #1043903"</f>
        <v>000270649 - RICH'S ZEBB'S #1043903</v>
      </c>
      <c r="C14814" t="s">
        <v>2475</v>
      </c>
      <c r="D14814" s="1" t="str">
        <f>"PRG-1043903"</f>
        <v>PRG-1043903</v>
      </c>
      <c r="E14814" t="s">
        <v>2476</v>
      </c>
      <c r="F14814" t="s">
        <v>4</v>
      </c>
      <c r="G14814" t="str">
        <f>""</f>
        <v/>
      </c>
    </row>
    <row r="14815" spans="1:7" x14ac:dyDescent="0.25">
      <c r="A14815" t="s">
        <v>8</v>
      </c>
      <c r="B14815" s="1" t="str">
        <f>"000022993 - RICH FOODS BAPA RED ROBIN"</f>
        <v>000022993 - RICH FOODS BAPA RED ROBIN</v>
      </c>
      <c r="C14815" t="s">
        <v>422</v>
      </c>
      <c r="D14815" s="1" t="str">
        <f t="shared" ref="D14815:D14846" si="412">"PRG-1043920"</f>
        <v>PRG-1043920</v>
      </c>
      <c r="E14815" t="s">
        <v>423</v>
      </c>
      <c r="F14815" t="s">
        <v>4</v>
      </c>
      <c r="G14815" t="str">
        <f>""</f>
        <v/>
      </c>
    </row>
    <row r="14816" spans="1:7" x14ac:dyDescent="0.25">
      <c r="A14816" t="s">
        <v>8</v>
      </c>
      <c r="B14816" s="1" t="str">
        <f>"000032432 - RICH FOODS DEV-RED ROBIN"</f>
        <v>000032432 - RICH FOODS DEV-RED ROBIN</v>
      </c>
      <c r="C14816" t="s">
        <v>506</v>
      </c>
      <c r="D14816" s="1" t="str">
        <f t="shared" si="412"/>
        <v>PRG-1043920</v>
      </c>
      <c r="E14816" t="s">
        <v>423</v>
      </c>
      <c r="F14816" t="s">
        <v>4</v>
      </c>
      <c r="G14816" t="str">
        <f>""</f>
        <v/>
      </c>
    </row>
    <row r="14817" spans="1:7" x14ac:dyDescent="0.25">
      <c r="A14817" t="s">
        <v>8</v>
      </c>
      <c r="B14817" s="1" t="str">
        <f>"000039453 - RICH FOODS DEV-RED ROBIN"</f>
        <v>000039453 - RICH FOODS DEV-RED ROBIN</v>
      </c>
      <c r="C14817" t="s">
        <v>506</v>
      </c>
      <c r="D14817" s="1" t="str">
        <f t="shared" si="412"/>
        <v>PRG-1043920</v>
      </c>
      <c r="E14817" t="s">
        <v>423</v>
      </c>
      <c r="F14817" t="s">
        <v>4</v>
      </c>
      <c r="G14817" t="str">
        <f>""</f>
        <v/>
      </c>
    </row>
    <row r="14818" spans="1:7" x14ac:dyDescent="0.25">
      <c r="A14818" t="s">
        <v>8</v>
      </c>
      <c r="B14818" s="1" t="str">
        <f>"000045477 - RICH FOODS DEV-RED ROBIN"</f>
        <v>000045477 - RICH FOODS DEV-RED ROBIN</v>
      </c>
      <c r="C14818" t="s">
        <v>506</v>
      </c>
      <c r="D14818" s="1" t="str">
        <f t="shared" si="412"/>
        <v>PRG-1043920</v>
      </c>
      <c r="E14818" t="s">
        <v>423</v>
      </c>
      <c r="F14818" t="s">
        <v>4</v>
      </c>
      <c r="G14818" t="str">
        <f>""</f>
        <v/>
      </c>
    </row>
    <row r="14819" spans="1:7" x14ac:dyDescent="0.25">
      <c r="A14819" t="s">
        <v>8</v>
      </c>
      <c r="B14819" s="1" t="str">
        <f>"000046824 - RICH FOODS DEV-RED ROBIN"</f>
        <v>000046824 - RICH FOODS DEV-RED ROBIN</v>
      </c>
      <c r="C14819" t="s">
        <v>506</v>
      </c>
      <c r="D14819" s="1" t="str">
        <f t="shared" si="412"/>
        <v>PRG-1043920</v>
      </c>
      <c r="E14819" t="s">
        <v>423</v>
      </c>
      <c r="F14819" t="s">
        <v>4</v>
      </c>
      <c r="G14819" t="str">
        <f>""</f>
        <v/>
      </c>
    </row>
    <row r="14820" spans="1:7" x14ac:dyDescent="0.25">
      <c r="A14820" t="s">
        <v>8</v>
      </c>
      <c r="B14820" s="1" t="str">
        <f>"000052914 - RICH FOODS DEV-RED ROBIN"</f>
        <v>000052914 - RICH FOODS DEV-RED ROBIN</v>
      </c>
      <c r="C14820" t="s">
        <v>506</v>
      </c>
      <c r="D14820" s="1" t="str">
        <f t="shared" si="412"/>
        <v>PRG-1043920</v>
      </c>
      <c r="E14820" t="s">
        <v>423</v>
      </c>
      <c r="F14820" t="s">
        <v>4</v>
      </c>
      <c r="G14820" t="str">
        <f>""</f>
        <v/>
      </c>
    </row>
    <row r="14821" spans="1:7" x14ac:dyDescent="0.25">
      <c r="A14821" t="s">
        <v>8</v>
      </c>
      <c r="B14821" s="1" t="str">
        <f>"000052948 - RICH FOODS DEV-RED ROBIN"</f>
        <v>000052948 - RICH FOODS DEV-RED ROBIN</v>
      </c>
      <c r="C14821" t="s">
        <v>506</v>
      </c>
      <c r="D14821" s="1" t="str">
        <f t="shared" si="412"/>
        <v>PRG-1043920</v>
      </c>
      <c r="E14821" t="s">
        <v>423</v>
      </c>
      <c r="F14821" t="s">
        <v>4</v>
      </c>
      <c r="G14821" t="str">
        <f>""</f>
        <v/>
      </c>
    </row>
    <row r="14822" spans="1:7" x14ac:dyDescent="0.25">
      <c r="A14822" t="s">
        <v>8</v>
      </c>
      <c r="B14822" s="1" t="str">
        <f>"000054709 - RICH FOODS DEV-RED ROBIN"</f>
        <v>000054709 - RICH FOODS DEV-RED ROBIN</v>
      </c>
      <c r="C14822" t="s">
        <v>506</v>
      </c>
      <c r="D14822" s="1" t="str">
        <f t="shared" si="412"/>
        <v>PRG-1043920</v>
      </c>
      <c r="E14822" t="s">
        <v>423</v>
      </c>
      <c r="F14822" t="s">
        <v>4</v>
      </c>
      <c r="G14822" t="str">
        <f>""</f>
        <v/>
      </c>
    </row>
    <row r="14823" spans="1:7" x14ac:dyDescent="0.25">
      <c r="A14823" t="s">
        <v>8</v>
      </c>
      <c r="B14823" s="1" t="str">
        <f>"000084253 - RICH FOODS DEV-RED ROBIN"</f>
        <v>000084253 - RICH FOODS DEV-RED ROBIN</v>
      </c>
      <c r="C14823" t="s">
        <v>506</v>
      </c>
      <c r="D14823" s="1" t="str">
        <f t="shared" si="412"/>
        <v>PRG-1043920</v>
      </c>
      <c r="E14823" t="s">
        <v>423</v>
      </c>
      <c r="F14823" t="s">
        <v>4</v>
      </c>
      <c r="G14823" t="str">
        <f>""</f>
        <v/>
      </c>
    </row>
    <row r="14824" spans="1:7" x14ac:dyDescent="0.25">
      <c r="A14824" t="s">
        <v>8</v>
      </c>
      <c r="B14824" s="1" t="str">
        <f>"000085400 - RICH FOODS DEV-RED ROBIN"</f>
        <v>000085400 - RICH FOODS DEV-RED ROBIN</v>
      </c>
      <c r="C14824" t="s">
        <v>506</v>
      </c>
      <c r="D14824" s="1" t="str">
        <f t="shared" si="412"/>
        <v>PRG-1043920</v>
      </c>
      <c r="E14824" t="s">
        <v>423</v>
      </c>
      <c r="F14824" t="s">
        <v>4</v>
      </c>
      <c r="G14824" t="str">
        <f>""</f>
        <v/>
      </c>
    </row>
    <row r="14825" spans="1:7" x14ac:dyDescent="0.25">
      <c r="A14825" t="s">
        <v>8</v>
      </c>
      <c r="B14825" s="1" t="str">
        <f>"000089209 - RICH FOODS DEV-RED ROBIN"</f>
        <v>000089209 - RICH FOODS DEV-RED ROBIN</v>
      </c>
      <c r="C14825" t="s">
        <v>506</v>
      </c>
      <c r="D14825" s="1" t="str">
        <f t="shared" si="412"/>
        <v>PRG-1043920</v>
      </c>
      <c r="E14825" t="s">
        <v>423</v>
      </c>
      <c r="F14825" t="s">
        <v>4</v>
      </c>
      <c r="G14825" t="str">
        <f>""</f>
        <v/>
      </c>
    </row>
    <row r="14826" spans="1:7" x14ac:dyDescent="0.25">
      <c r="A14826" t="s">
        <v>8</v>
      </c>
      <c r="B14826" s="1" t="str">
        <f>"000090549 - RICH FOODS DEV-RED ROBIN"</f>
        <v>000090549 - RICH FOODS DEV-RED ROBIN</v>
      </c>
      <c r="C14826" t="s">
        <v>506</v>
      </c>
      <c r="D14826" s="1" t="str">
        <f t="shared" si="412"/>
        <v>PRG-1043920</v>
      </c>
      <c r="E14826" t="s">
        <v>423</v>
      </c>
      <c r="F14826" t="s">
        <v>4</v>
      </c>
      <c r="G14826" t="str">
        <f>""</f>
        <v/>
      </c>
    </row>
    <row r="14827" spans="1:7" x14ac:dyDescent="0.25">
      <c r="A14827" t="s">
        <v>8</v>
      </c>
      <c r="B14827" s="1" t="str">
        <f>"000181922 - RICH FOODS DEV-RED ROBIN"</f>
        <v>000181922 - RICH FOODS DEV-RED ROBIN</v>
      </c>
      <c r="C14827" t="s">
        <v>506</v>
      </c>
      <c r="D14827" s="1" t="str">
        <f t="shared" si="412"/>
        <v>PRG-1043920</v>
      </c>
      <c r="E14827" t="s">
        <v>423</v>
      </c>
      <c r="F14827" t="s">
        <v>4</v>
      </c>
      <c r="G14827" t="str">
        <f>""</f>
        <v/>
      </c>
    </row>
    <row r="14828" spans="1:7" x14ac:dyDescent="0.25">
      <c r="A14828" t="s">
        <v>8</v>
      </c>
      <c r="B14828" s="1" t="str">
        <f>"000183230 - RICH FOODS DEV-RED ROBIN"</f>
        <v>000183230 - RICH FOODS DEV-RED ROBIN</v>
      </c>
      <c r="C14828" t="s">
        <v>506</v>
      </c>
      <c r="D14828" s="1" t="str">
        <f t="shared" si="412"/>
        <v>PRG-1043920</v>
      </c>
      <c r="E14828" t="s">
        <v>423</v>
      </c>
      <c r="F14828" t="s">
        <v>4</v>
      </c>
      <c r="G14828" t="str">
        <f>""</f>
        <v/>
      </c>
    </row>
    <row r="14829" spans="1:7" x14ac:dyDescent="0.25">
      <c r="A14829" t="s">
        <v>8</v>
      </c>
      <c r="B14829" s="1" t="str">
        <f>"000188151 - RICH FOODS DEV-RED ROBIN"</f>
        <v>000188151 - RICH FOODS DEV-RED ROBIN</v>
      </c>
      <c r="C14829" t="s">
        <v>506</v>
      </c>
      <c r="D14829" s="1" t="str">
        <f t="shared" si="412"/>
        <v>PRG-1043920</v>
      </c>
      <c r="E14829" t="s">
        <v>423</v>
      </c>
      <c r="F14829" t="s">
        <v>4</v>
      </c>
      <c r="G14829" t="str">
        <f>""</f>
        <v/>
      </c>
    </row>
    <row r="14830" spans="1:7" x14ac:dyDescent="0.25">
      <c r="A14830" t="s">
        <v>8</v>
      </c>
      <c r="B14830" s="1" t="str">
        <f>"000189471 - RICH FOODS DEV-RED ROBIN"</f>
        <v>000189471 - RICH FOODS DEV-RED ROBIN</v>
      </c>
      <c r="C14830" t="s">
        <v>506</v>
      </c>
      <c r="D14830" s="1" t="str">
        <f t="shared" si="412"/>
        <v>PRG-1043920</v>
      </c>
      <c r="E14830" t="s">
        <v>423</v>
      </c>
      <c r="F14830" t="s">
        <v>4</v>
      </c>
      <c r="G14830" t="str">
        <f>""</f>
        <v/>
      </c>
    </row>
    <row r="14831" spans="1:7" x14ac:dyDescent="0.25">
      <c r="A14831" t="s">
        <v>8</v>
      </c>
      <c r="B14831" s="1" t="str">
        <f>"000259078 - RICH FOODS DEV-RED ROBIN"</f>
        <v>000259078 - RICH FOODS DEV-RED ROBIN</v>
      </c>
      <c r="C14831" t="s">
        <v>506</v>
      </c>
      <c r="D14831" s="1" t="str">
        <f t="shared" si="412"/>
        <v>PRG-1043920</v>
      </c>
      <c r="E14831" t="s">
        <v>423</v>
      </c>
      <c r="F14831" t="s">
        <v>4</v>
      </c>
      <c r="G14831" t="str">
        <f>""</f>
        <v/>
      </c>
    </row>
    <row r="14832" spans="1:7" x14ac:dyDescent="0.25">
      <c r="A14832" t="s">
        <v>8</v>
      </c>
      <c r="B14832" s="1" t="str">
        <f>"000260582 - RICH FOODS DEV-RED ROBIN"</f>
        <v>000260582 - RICH FOODS DEV-RED ROBIN</v>
      </c>
      <c r="C14832" t="s">
        <v>506</v>
      </c>
      <c r="D14832" s="1" t="str">
        <f t="shared" si="412"/>
        <v>PRG-1043920</v>
      </c>
      <c r="E14832" t="s">
        <v>423</v>
      </c>
      <c r="F14832" t="s">
        <v>4</v>
      </c>
      <c r="G14832" t="str">
        <f>""</f>
        <v/>
      </c>
    </row>
    <row r="14833" spans="1:7" x14ac:dyDescent="0.25">
      <c r="A14833" t="s">
        <v>8</v>
      </c>
      <c r="B14833" s="1" t="str">
        <f>"000261319 - RICH FOODS DEV-RED ROBIN"</f>
        <v>000261319 - RICH FOODS DEV-RED ROBIN</v>
      </c>
      <c r="C14833" t="s">
        <v>506</v>
      </c>
      <c r="D14833" s="1" t="str">
        <f t="shared" si="412"/>
        <v>PRG-1043920</v>
      </c>
      <c r="E14833" t="s">
        <v>423</v>
      </c>
      <c r="F14833" t="s">
        <v>4</v>
      </c>
      <c r="G14833" t="str">
        <f>""</f>
        <v/>
      </c>
    </row>
    <row r="14834" spans="1:7" x14ac:dyDescent="0.25">
      <c r="A14834" t="s">
        <v>8</v>
      </c>
      <c r="B14834" s="1" t="str">
        <f>"000262826 - RICH FOODS DEV-RED ROBIN"</f>
        <v>000262826 - RICH FOODS DEV-RED ROBIN</v>
      </c>
      <c r="C14834" t="s">
        <v>506</v>
      </c>
      <c r="D14834" s="1" t="str">
        <f t="shared" si="412"/>
        <v>PRG-1043920</v>
      </c>
      <c r="E14834" t="s">
        <v>423</v>
      </c>
      <c r="F14834" t="s">
        <v>4</v>
      </c>
      <c r="G14834" t="str">
        <f>""</f>
        <v/>
      </c>
    </row>
    <row r="14835" spans="1:7" x14ac:dyDescent="0.25">
      <c r="A14835" t="s">
        <v>8</v>
      </c>
      <c r="B14835" s="1" t="str">
        <f>"000276798 - RICH FOODS DEV-RED ROBIN"</f>
        <v>000276798 - RICH FOODS DEV-RED ROBIN</v>
      </c>
      <c r="C14835" t="s">
        <v>506</v>
      </c>
      <c r="D14835" s="1" t="str">
        <f t="shared" si="412"/>
        <v>PRG-1043920</v>
      </c>
      <c r="E14835" t="s">
        <v>423</v>
      </c>
      <c r="F14835" t="s">
        <v>4</v>
      </c>
      <c r="G14835" t="str">
        <f>""</f>
        <v/>
      </c>
    </row>
    <row r="14836" spans="1:7" x14ac:dyDescent="0.25">
      <c r="A14836" t="s">
        <v>8</v>
      </c>
      <c r="B14836" s="1" t="str">
        <f>"000277002 - RICH FOODS DEV-RED ROBIN"</f>
        <v>000277002 - RICH FOODS DEV-RED ROBIN</v>
      </c>
      <c r="C14836" t="s">
        <v>506</v>
      </c>
      <c r="D14836" s="1" t="str">
        <f t="shared" si="412"/>
        <v>PRG-1043920</v>
      </c>
      <c r="E14836" t="s">
        <v>423</v>
      </c>
      <c r="F14836" t="s">
        <v>4</v>
      </c>
      <c r="G14836" t="str">
        <f>""</f>
        <v/>
      </c>
    </row>
    <row r="14837" spans="1:7" x14ac:dyDescent="0.25">
      <c r="A14837" t="s">
        <v>8</v>
      </c>
      <c r="B14837" s="1" t="str">
        <f>"000278097 - RICH FOODS DEV-RED ROBIN"</f>
        <v>000278097 - RICH FOODS DEV-RED ROBIN</v>
      </c>
      <c r="C14837" t="s">
        <v>506</v>
      </c>
      <c r="D14837" s="1" t="str">
        <f t="shared" si="412"/>
        <v>PRG-1043920</v>
      </c>
      <c r="E14837" t="s">
        <v>423</v>
      </c>
      <c r="F14837" t="s">
        <v>4</v>
      </c>
      <c r="G14837" t="str">
        <f>""</f>
        <v/>
      </c>
    </row>
    <row r="14838" spans="1:7" x14ac:dyDescent="0.25">
      <c r="A14838" t="s">
        <v>8</v>
      </c>
      <c r="B14838" s="1" t="str">
        <f>"000278455 - RICH FOODS DEV-RED ROBIN"</f>
        <v>000278455 - RICH FOODS DEV-RED ROBIN</v>
      </c>
      <c r="C14838" t="s">
        <v>506</v>
      </c>
      <c r="D14838" s="1" t="str">
        <f t="shared" si="412"/>
        <v>PRG-1043920</v>
      </c>
      <c r="E14838" t="s">
        <v>423</v>
      </c>
      <c r="F14838" t="s">
        <v>4</v>
      </c>
      <c r="G14838" t="str">
        <f>""</f>
        <v/>
      </c>
    </row>
    <row r="14839" spans="1:7" x14ac:dyDescent="0.25">
      <c r="A14839" t="s">
        <v>8</v>
      </c>
      <c r="B14839" s="1" t="str">
        <f>"000280408 - RICH FOODS DEV-RED ROBIN"</f>
        <v>000280408 - RICH FOODS DEV-RED ROBIN</v>
      </c>
      <c r="C14839" t="s">
        <v>506</v>
      </c>
      <c r="D14839" s="1" t="str">
        <f t="shared" si="412"/>
        <v>PRG-1043920</v>
      </c>
      <c r="E14839" t="s">
        <v>423</v>
      </c>
      <c r="F14839" t="s">
        <v>4</v>
      </c>
      <c r="G14839" t="str">
        <f>""</f>
        <v/>
      </c>
    </row>
    <row r="14840" spans="1:7" x14ac:dyDescent="0.25">
      <c r="A14840" t="s">
        <v>8</v>
      </c>
      <c r="B14840" s="1" t="str">
        <f>"000281577 - RICH FOODS DEV-RED ROBIN"</f>
        <v>000281577 - RICH FOODS DEV-RED ROBIN</v>
      </c>
      <c r="C14840" t="s">
        <v>506</v>
      </c>
      <c r="D14840" s="1" t="str">
        <f t="shared" si="412"/>
        <v>PRG-1043920</v>
      </c>
      <c r="E14840" t="s">
        <v>423</v>
      </c>
      <c r="F14840" t="s">
        <v>4</v>
      </c>
      <c r="G14840" t="str">
        <f>""</f>
        <v/>
      </c>
    </row>
    <row r="14841" spans="1:7" x14ac:dyDescent="0.25">
      <c r="A14841" t="s">
        <v>8</v>
      </c>
      <c r="B14841" s="1" t="str">
        <f>"000283421 - RICH FOODS DEV-RED ROBIN"</f>
        <v>000283421 - RICH FOODS DEV-RED ROBIN</v>
      </c>
      <c r="C14841" t="s">
        <v>506</v>
      </c>
      <c r="D14841" s="1" t="str">
        <f t="shared" si="412"/>
        <v>PRG-1043920</v>
      </c>
      <c r="E14841" t="s">
        <v>423</v>
      </c>
      <c r="F14841" t="s">
        <v>4</v>
      </c>
      <c r="G14841" t="str">
        <f>""</f>
        <v/>
      </c>
    </row>
    <row r="14842" spans="1:7" x14ac:dyDescent="0.25">
      <c r="A14842" t="s">
        <v>8</v>
      </c>
      <c r="B14842" s="1" t="str">
        <f>"000284372 - RICH FOODS DEV-RED ROBIN"</f>
        <v>000284372 - RICH FOODS DEV-RED ROBIN</v>
      </c>
      <c r="C14842" t="s">
        <v>506</v>
      </c>
      <c r="D14842" s="1" t="str">
        <f t="shared" si="412"/>
        <v>PRG-1043920</v>
      </c>
      <c r="E14842" t="s">
        <v>423</v>
      </c>
      <c r="F14842" t="s">
        <v>4</v>
      </c>
      <c r="G14842" t="str">
        <f>""</f>
        <v/>
      </c>
    </row>
    <row r="14843" spans="1:7" x14ac:dyDescent="0.25">
      <c r="A14843" t="s">
        <v>8</v>
      </c>
      <c r="B14843" s="1" t="str">
        <f>"000284798 - RICH FOODS DEV-RED ROBIN"</f>
        <v>000284798 - RICH FOODS DEV-RED ROBIN</v>
      </c>
      <c r="C14843" t="s">
        <v>506</v>
      </c>
      <c r="D14843" s="1" t="str">
        <f t="shared" si="412"/>
        <v>PRG-1043920</v>
      </c>
      <c r="E14843" t="s">
        <v>423</v>
      </c>
      <c r="F14843" t="s">
        <v>4</v>
      </c>
      <c r="G14843" t="str">
        <f>""</f>
        <v/>
      </c>
    </row>
    <row r="14844" spans="1:7" x14ac:dyDescent="0.25">
      <c r="A14844" t="s">
        <v>8</v>
      </c>
      <c r="B14844" s="1" t="str">
        <f>"000285913 - RICH FOODS-SKY ZONE"</f>
        <v>000285913 - RICH FOODS-SKY ZONE</v>
      </c>
      <c r="C14844" t="s">
        <v>630</v>
      </c>
      <c r="D14844" s="1" t="str">
        <f t="shared" si="412"/>
        <v>PRG-1043920</v>
      </c>
      <c r="E14844" t="s">
        <v>423</v>
      </c>
      <c r="F14844" t="s">
        <v>4</v>
      </c>
      <c r="G14844" t="str">
        <f>""</f>
        <v/>
      </c>
    </row>
    <row r="14845" spans="1:7" x14ac:dyDescent="0.25">
      <c r="A14845" t="s">
        <v>8</v>
      </c>
      <c r="B14845" s="1" t="str">
        <f>"000299419 - RICH FOODS DEV-RED ROBIN"</f>
        <v>000299419 - RICH FOODS DEV-RED ROBIN</v>
      </c>
      <c r="C14845" t="s">
        <v>506</v>
      </c>
      <c r="D14845" s="1" t="str">
        <f t="shared" si="412"/>
        <v>PRG-1043920</v>
      </c>
      <c r="E14845" t="s">
        <v>423</v>
      </c>
      <c r="F14845" t="s">
        <v>4</v>
      </c>
      <c r="G14845" t="str">
        <f>""</f>
        <v/>
      </c>
    </row>
    <row r="14846" spans="1:7" x14ac:dyDescent="0.25">
      <c r="A14846" t="s">
        <v>8</v>
      </c>
      <c r="B14846" s="1" t="str">
        <f>"000300500 - RICH FOODS DEV-RED ROBIN"</f>
        <v>000300500 - RICH FOODS DEV-RED ROBIN</v>
      </c>
      <c r="C14846" t="s">
        <v>506</v>
      </c>
      <c r="D14846" s="1" t="str">
        <f t="shared" si="412"/>
        <v>PRG-1043920</v>
      </c>
      <c r="E14846" t="s">
        <v>423</v>
      </c>
      <c r="F14846" t="s">
        <v>4</v>
      </c>
      <c r="G14846" t="str">
        <f>""</f>
        <v/>
      </c>
    </row>
    <row r="14847" spans="1:7" x14ac:dyDescent="0.25">
      <c r="A14847" t="s">
        <v>8</v>
      </c>
      <c r="B14847" s="1" t="str">
        <f>"000302725 - RICH FOODS DEV-RED ROBIN"</f>
        <v>000302725 - RICH FOODS DEV-RED ROBIN</v>
      </c>
      <c r="C14847" t="s">
        <v>506</v>
      </c>
      <c r="D14847" s="1" t="str">
        <f t="shared" ref="D14847:D14876" si="413">"PRG-1043920"</f>
        <v>PRG-1043920</v>
      </c>
      <c r="E14847" t="s">
        <v>423</v>
      </c>
      <c r="F14847" t="s">
        <v>4</v>
      </c>
      <c r="G14847" t="str">
        <f>""</f>
        <v/>
      </c>
    </row>
    <row r="14848" spans="1:7" x14ac:dyDescent="0.25">
      <c r="A14848" t="s">
        <v>8</v>
      </c>
      <c r="B14848" s="1" t="str">
        <f>"000304766 - RICH FOODS DEV-RED ROBIN"</f>
        <v>000304766 - RICH FOODS DEV-RED ROBIN</v>
      </c>
      <c r="C14848" t="s">
        <v>506</v>
      </c>
      <c r="D14848" s="1" t="str">
        <f t="shared" si="413"/>
        <v>PRG-1043920</v>
      </c>
      <c r="E14848" t="s">
        <v>423</v>
      </c>
      <c r="F14848" t="s">
        <v>4</v>
      </c>
      <c r="G14848" t="str">
        <f>""</f>
        <v/>
      </c>
    </row>
    <row r="14849" spans="1:7" x14ac:dyDescent="0.25">
      <c r="A14849" t="s">
        <v>8</v>
      </c>
      <c r="B14849" s="1" t="str">
        <f>"000306363 - RICH FOODS DEV-RED ROBIN"</f>
        <v>000306363 - RICH FOODS DEV-RED ROBIN</v>
      </c>
      <c r="C14849" t="s">
        <v>506</v>
      </c>
      <c r="D14849" s="1" t="str">
        <f t="shared" si="413"/>
        <v>PRG-1043920</v>
      </c>
      <c r="E14849" t="s">
        <v>423</v>
      </c>
      <c r="F14849" t="s">
        <v>4</v>
      </c>
      <c r="G14849" t="str">
        <f>""</f>
        <v/>
      </c>
    </row>
    <row r="14850" spans="1:7" x14ac:dyDescent="0.25">
      <c r="A14850" t="s">
        <v>8</v>
      </c>
      <c r="B14850" s="1" t="str">
        <f>"000306464 - RICH FOODS DEV-RED ROBIN"</f>
        <v>000306464 - RICH FOODS DEV-RED ROBIN</v>
      </c>
      <c r="C14850" t="s">
        <v>506</v>
      </c>
      <c r="D14850" s="1" t="str">
        <f t="shared" si="413"/>
        <v>PRG-1043920</v>
      </c>
      <c r="E14850" t="s">
        <v>423</v>
      </c>
      <c r="F14850" t="s">
        <v>4</v>
      </c>
      <c r="G14850" t="str">
        <f>""</f>
        <v/>
      </c>
    </row>
    <row r="14851" spans="1:7" x14ac:dyDescent="0.25">
      <c r="A14851" t="s">
        <v>8</v>
      </c>
      <c r="B14851" s="1" t="str">
        <f>"000307681 - RICH FOODS NCORE-BOSTON"</f>
        <v>000307681 - RICH FOODS NCORE-BOSTON</v>
      </c>
      <c r="C14851" t="s">
        <v>1337</v>
      </c>
      <c r="D14851" s="1" t="str">
        <f t="shared" si="413"/>
        <v>PRG-1043920</v>
      </c>
      <c r="E14851" t="s">
        <v>423</v>
      </c>
      <c r="F14851" t="s">
        <v>4</v>
      </c>
      <c r="G14851" t="str">
        <f>""</f>
        <v/>
      </c>
    </row>
    <row r="14852" spans="1:7" x14ac:dyDescent="0.25">
      <c r="A14852" t="s">
        <v>8</v>
      </c>
      <c r="B14852" s="1" t="str">
        <f>"000309670 - RICH FOODS DEV-RED ROBIN"</f>
        <v>000309670 - RICH FOODS DEV-RED ROBIN</v>
      </c>
      <c r="C14852" t="s">
        <v>506</v>
      </c>
      <c r="D14852" s="1" t="str">
        <f t="shared" si="413"/>
        <v>PRG-1043920</v>
      </c>
      <c r="E14852" t="s">
        <v>423</v>
      </c>
      <c r="F14852" t="s">
        <v>4</v>
      </c>
      <c r="G14852" t="str">
        <f>""</f>
        <v/>
      </c>
    </row>
    <row r="14853" spans="1:7" x14ac:dyDescent="0.25">
      <c r="A14853" t="s">
        <v>8</v>
      </c>
      <c r="B14853" s="1" t="str">
        <f>"000310874 - RICH FOODS DEV-RED ROBIN"</f>
        <v>000310874 - RICH FOODS DEV-RED ROBIN</v>
      </c>
      <c r="C14853" t="s">
        <v>506</v>
      </c>
      <c r="D14853" s="1" t="str">
        <f t="shared" si="413"/>
        <v>PRG-1043920</v>
      </c>
      <c r="E14853" t="s">
        <v>423</v>
      </c>
      <c r="F14853" t="s">
        <v>4</v>
      </c>
      <c r="G14853" t="str">
        <f>""</f>
        <v/>
      </c>
    </row>
    <row r="14854" spans="1:7" x14ac:dyDescent="0.25">
      <c r="A14854" t="s">
        <v>8</v>
      </c>
      <c r="B14854" s="1" t="str">
        <f>"000311343 - RICH FOODS DEV-RED ROBIN"</f>
        <v>000311343 - RICH FOODS DEV-RED ROBIN</v>
      </c>
      <c r="C14854" t="s">
        <v>506</v>
      </c>
      <c r="D14854" s="1" t="str">
        <f t="shared" si="413"/>
        <v>PRG-1043920</v>
      </c>
      <c r="E14854" t="s">
        <v>423</v>
      </c>
      <c r="F14854" t="s">
        <v>4</v>
      </c>
      <c r="G14854" t="str">
        <f>""</f>
        <v/>
      </c>
    </row>
    <row r="14855" spans="1:7" x14ac:dyDescent="0.25">
      <c r="A14855" t="s">
        <v>8</v>
      </c>
      <c r="B14855" s="1" t="str">
        <f>"000312633 - RICH FOODS DEV-RED ROBIN"</f>
        <v>000312633 - RICH FOODS DEV-RED ROBIN</v>
      </c>
      <c r="C14855" t="s">
        <v>506</v>
      </c>
      <c r="D14855" s="1" t="str">
        <f t="shared" si="413"/>
        <v>PRG-1043920</v>
      </c>
      <c r="E14855" t="s">
        <v>423</v>
      </c>
      <c r="F14855" t="s">
        <v>4</v>
      </c>
      <c r="G14855" t="str">
        <f>""</f>
        <v/>
      </c>
    </row>
    <row r="14856" spans="1:7" x14ac:dyDescent="0.25">
      <c r="A14856" t="s">
        <v>8</v>
      </c>
      <c r="B14856" s="1" t="str">
        <f>"000313360 - RICH FOODS DEV-RED ROBIN"</f>
        <v>000313360 - RICH FOODS DEV-RED ROBIN</v>
      </c>
      <c r="C14856" t="s">
        <v>506</v>
      </c>
      <c r="D14856" s="1" t="str">
        <f t="shared" si="413"/>
        <v>PRG-1043920</v>
      </c>
      <c r="E14856" t="s">
        <v>423</v>
      </c>
      <c r="F14856" t="s">
        <v>4</v>
      </c>
      <c r="G14856" t="str">
        <f>""</f>
        <v/>
      </c>
    </row>
    <row r="14857" spans="1:7" x14ac:dyDescent="0.25">
      <c r="A14857" t="s">
        <v>8</v>
      </c>
      <c r="B14857" s="1" t="str">
        <f>"000314835 - RICH FOODS DEV-RED ROBIN"</f>
        <v>000314835 - RICH FOODS DEV-RED ROBIN</v>
      </c>
      <c r="C14857" t="s">
        <v>506</v>
      </c>
      <c r="D14857" s="1" t="str">
        <f t="shared" si="413"/>
        <v>PRG-1043920</v>
      </c>
      <c r="E14857" t="s">
        <v>423</v>
      </c>
      <c r="F14857" t="s">
        <v>4</v>
      </c>
      <c r="G14857" t="str">
        <f>""</f>
        <v/>
      </c>
    </row>
    <row r="14858" spans="1:7" x14ac:dyDescent="0.25">
      <c r="A14858" t="s">
        <v>8</v>
      </c>
      <c r="B14858" s="1" t="str">
        <f>"000314955 - RICH FOODS DEV-RED ROBIN"</f>
        <v>000314955 - RICH FOODS DEV-RED ROBIN</v>
      </c>
      <c r="C14858" t="s">
        <v>506</v>
      </c>
      <c r="D14858" s="1" t="str">
        <f t="shared" si="413"/>
        <v>PRG-1043920</v>
      </c>
      <c r="E14858" t="s">
        <v>423</v>
      </c>
      <c r="F14858" t="s">
        <v>4</v>
      </c>
      <c r="G14858" t="str">
        <f>""</f>
        <v/>
      </c>
    </row>
    <row r="14859" spans="1:7" x14ac:dyDescent="0.25">
      <c r="A14859" t="s">
        <v>8</v>
      </c>
      <c r="B14859" s="1" t="str">
        <f>"000316483 - RICH FOODS DEV-RED ROBIN"</f>
        <v>000316483 - RICH FOODS DEV-RED ROBIN</v>
      </c>
      <c r="C14859" t="s">
        <v>506</v>
      </c>
      <c r="D14859" s="1" t="str">
        <f t="shared" si="413"/>
        <v>PRG-1043920</v>
      </c>
      <c r="E14859" t="s">
        <v>423</v>
      </c>
      <c r="F14859" t="s">
        <v>4</v>
      </c>
      <c r="G14859" t="str">
        <f>""</f>
        <v/>
      </c>
    </row>
    <row r="14860" spans="1:7" x14ac:dyDescent="0.25">
      <c r="A14860" t="s">
        <v>8</v>
      </c>
      <c r="B14860" s="1" t="str">
        <f>"000343997 - &amp;MP RICH FOODS-RED ROBIN BB"</f>
        <v>000343997 - &amp;MP RICH FOODS-RED ROBIN BB</v>
      </c>
      <c r="C14860" t="s">
        <v>3448</v>
      </c>
      <c r="D14860" s="1" t="str">
        <f t="shared" si="413"/>
        <v>PRG-1043920</v>
      </c>
      <c r="E14860" t="s">
        <v>423</v>
      </c>
      <c r="F14860" t="s">
        <v>4</v>
      </c>
      <c r="G14860" t="str">
        <f>""</f>
        <v/>
      </c>
    </row>
    <row r="14861" spans="1:7" x14ac:dyDescent="0.25">
      <c r="A14861" t="s">
        <v>8</v>
      </c>
      <c r="B14861" s="1" t="str">
        <f>"000344990 - RICH FOODS DEV-RED ROBIN"</f>
        <v>000344990 - RICH FOODS DEV-RED ROBIN</v>
      </c>
      <c r="C14861" t="s">
        <v>506</v>
      </c>
      <c r="D14861" s="1" t="str">
        <f t="shared" si="413"/>
        <v>PRG-1043920</v>
      </c>
      <c r="E14861" t="s">
        <v>423</v>
      </c>
      <c r="F14861" t="s">
        <v>4</v>
      </c>
      <c r="G14861" t="str">
        <f>""</f>
        <v/>
      </c>
    </row>
    <row r="14862" spans="1:7" x14ac:dyDescent="0.25">
      <c r="A14862" t="s">
        <v>8</v>
      </c>
      <c r="B14862" s="1" t="str">
        <f>"000346410 - RICH FOODS DEV-RED ROBIN"</f>
        <v>000346410 - RICH FOODS DEV-RED ROBIN</v>
      </c>
      <c r="C14862" t="s">
        <v>506</v>
      </c>
      <c r="D14862" s="1" t="str">
        <f t="shared" si="413"/>
        <v>PRG-1043920</v>
      </c>
      <c r="E14862" t="s">
        <v>423</v>
      </c>
      <c r="F14862" t="s">
        <v>4</v>
      </c>
      <c r="G14862" t="str">
        <f>""</f>
        <v/>
      </c>
    </row>
    <row r="14863" spans="1:7" x14ac:dyDescent="0.25">
      <c r="A14863" t="s">
        <v>8</v>
      </c>
      <c r="B14863" s="1" t="str">
        <f>"000360097 - RICH FOODS DEV-RED ROBIN"</f>
        <v>000360097 - RICH FOODS DEV-RED ROBIN</v>
      </c>
      <c r="C14863" t="s">
        <v>506</v>
      </c>
      <c r="D14863" s="1" t="str">
        <f t="shared" si="413"/>
        <v>PRG-1043920</v>
      </c>
      <c r="E14863" t="s">
        <v>423</v>
      </c>
      <c r="F14863" t="s">
        <v>4</v>
      </c>
      <c r="G14863" t="str">
        <f>""</f>
        <v/>
      </c>
    </row>
    <row r="14864" spans="1:7" x14ac:dyDescent="0.25">
      <c r="A14864" t="s">
        <v>8</v>
      </c>
      <c r="B14864" s="1" t="str">
        <f>"000361675 - RICH FOODS DEV-RED ROBIN"</f>
        <v>000361675 - RICH FOODS DEV-RED ROBIN</v>
      </c>
      <c r="C14864" t="s">
        <v>506</v>
      </c>
      <c r="D14864" s="1" t="str">
        <f t="shared" si="413"/>
        <v>PRG-1043920</v>
      </c>
      <c r="E14864" t="s">
        <v>423</v>
      </c>
      <c r="F14864" t="s">
        <v>4</v>
      </c>
      <c r="G14864" t="str">
        <f>""</f>
        <v/>
      </c>
    </row>
    <row r="14865" spans="1:7" x14ac:dyDescent="0.25">
      <c r="A14865" t="s">
        <v>8</v>
      </c>
      <c r="B14865" s="1" t="str">
        <f>"000376527 - RICH FOODS DEV-RED ROBIN"</f>
        <v>000376527 - RICH FOODS DEV-RED ROBIN</v>
      </c>
      <c r="C14865" t="s">
        <v>506</v>
      </c>
      <c r="D14865" s="1" t="str">
        <f t="shared" si="413"/>
        <v>PRG-1043920</v>
      </c>
      <c r="E14865" t="s">
        <v>423</v>
      </c>
      <c r="F14865" t="s">
        <v>4</v>
      </c>
      <c r="G14865" t="str">
        <f>""</f>
        <v/>
      </c>
    </row>
    <row r="14866" spans="1:7" x14ac:dyDescent="0.25">
      <c r="A14866" t="s">
        <v>8</v>
      </c>
      <c r="B14866" s="1" t="str">
        <f>"000376665 - RICH FOODS DEV-RED ROBIN"</f>
        <v>000376665 - RICH FOODS DEV-RED ROBIN</v>
      </c>
      <c r="C14866" t="s">
        <v>506</v>
      </c>
      <c r="D14866" s="1" t="str">
        <f t="shared" si="413"/>
        <v>PRG-1043920</v>
      </c>
      <c r="E14866" t="s">
        <v>423</v>
      </c>
      <c r="F14866" t="s">
        <v>4</v>
      </c>
      <c r="G14866" t="str">
        <f>""</f>
        <v/>
      </c>
    </row>
    <row r="14867" spans="1:7" x14ac:dyDescent="0.25">
      <c r="A14867" t="s">
        <v>8</v>
      </c>
      <c r="B14867" s="1" t="str">
        <f>"000378386 - RICH FOODS DEV-RED ROBIN"</f>
        <v>000378386 - RICH FOODS DEV-RED ROBIN</v>
      </c>
      <c r="C14867" t="s">
        <v>506</v>
      </c>
      <c r="D14867" s="1" t="str">
        <f t="shared" si="413"/>
        <v>PRG-1043920</v>
      </c>
      <c r="E14867" t="s">
        <v>423</v>
      </c>
      <c r="F14867" t="s">
        <v>4</v>
      </c>
      <c r="G14867" t="str">
        <f>""</f>
        <v/>
      </c>
    </row>
    <row r="14868" spans="1:7" x14ac:dyDescent="0.25">
      <c r="A14868" t="s">
        <v>8</v>
      </c>
      <c r="B14868" s="1" t="str">
        <f>"000378654 - RICH FOODS DEV-RED ROBIN"</f>
        <v>000378654 - RICH FOODS DEV-RED ROBIN</v>
      </c>
      <c r="C14868" t="s">
        <v>506</v>
      </c>
      <c r="D14868" s="1" t="str">
        <f t="shared" si="413"/>
        <v>PRG-1043920</v>
      </c>
      <c r="E14868" t="s">
        <v>423</v>
      </c>
      <c r="F14868" t="s">
        <v>4</v>
      </c>
      <c r="G14868" t="str">
        <f>""</f>
        <v/>
      </c>
    </row>
    <row r="14869" spans="1:7" x14ac:dyDescent="0.25">
      <c r="A14869" t="s">
        <v>8</v>
      </c>
      <c r="B14869" s="1" t="str">
        <f>"000387845 - RICH FOODS DEV-RED ROBIN"</f>
        <v>000387845 - RICH FOODS DEV-RED ROBIN</v>
      </c>
      <c r="C14869" t="s">
        <v>506</v>
      </c>
      <c r="D14869" s="1" t="str">
        <f t="shared" si="413"/>
        <v>PRG-1043920</v>
      </c>
      <c r="E14869" t="s">
        <v>423</v>
      </c>
      <c r="F14869" t="s">
        <v>4</v>
      </c>
      <c r="G14869" t="str">
        <f>""</f>
        <v/>
      </c>
    </row>
    <row r="14870" spans="1:7" x14ac:dyDescent="0.25">
      <c r="A14870" t="s">
        <v>8</v>
      </c>
      <c r="B14870" s="1" t="str">
        <f>"000389815 - RICH FOODS DEV-RED ROBIN"</f>
        <v>000389815 - RICH FOODS DEV-RED ROBIN</v>
      </c>
      <c r="C14870" t="s">
        <v>506</v>
      </c>
      <c r="D14870" s="1" t="str">
        <f t="shared" si="413"/>
        <v>PRG-1043920</v>
      </c>
      <c r="E14870" t="s">
        <v>423</v>
      </c>
      <c r="F14870" t="s">
        <v>4</v>
      </c>
      <c r="G14870" t="str">
        <f>""</f>
        <v/>
      </c>
    </row>
    <row r="14871" spans="1:7" x14ac:dyDescent="0.25">
      <c r="A14871" t="s">
        <v>8</v>
      </c>
      <c r="B14871" s="1" t="str">
        <f>"000393316 - RICH FOODS DEV-RED ROBIN"</f>
        <v>000393316 - RICH FOODS DEV-RED ROBIN</v>
      </c>
      <c r="C14871" t="s">
        <v>506</v>
      </c>
      <c r="D14871" s="1" t="str">
        <f t="shared" si="413"/>
        <v>PRG-1043920</v>
      </c>
      <c r="E14871" t="s">
        <v>423</v>
      </c>
      <c r="F14871" t="s">
        <v>4</v>
      </c>
      <c r="G14871" t="str">
        <f>""</f>
        <v/>
      </c>
    </row>
    <row r="14872" spans="1:7" x14ac:dyDescent="0.25">
      <c r="A14872" t="s">
        <v>8</v>
      </c>
      <c r="B14872" s="1" t="str">
        <f>"000394893 - RICH FOODS DEV-RED ROBIN"</f>
        <v>000394893 - RICH FOODS DEV-RED ROBIN</v>
      </c>
      <c r="C14872" t="s">
        <v>506</v>
      </c>
      <c r="D14872" s="1" t="str">
        <f t="shared" si="413"/>
        <v>PRG-1043920</v>
      </c>
      <c r="E14872" t="s">
        <v>423</v>
      </c>
      <c r="F14872" t="s">
        <v>4</v>
      </c>
      <c r="G14872" t="str">
        <f>""</f>
        <v/>
      </c>
    </row>
    <row r="14873" spans="1:7" x14ac:dyDescent="0.25">
      <c r="A14873" t="s">
        <v>8</v>
      </c>
      <c r="B14873" s="1" t="str">
        <f>"000411387 - RICH FOODS DEV-RED ROBIN"</f>
        <v>000411387 - RICH FOODS DEV-RED ROBIN</v>
      </c>
      <c r="C14873" t="s">
        <v>506</v>
      </c>
      <c r="D14873" s="1" t="str">
        <f t="shared" si="413"/>
        <v>PRG-1043920</v>
      </c>
      <c r="E14873" t="s">
        <v>423</v>
      </c>
      <c r="F14873" t="s">
        <v>4</v>
      </c>
      <c r="G14873" t="str">
        <f>""</f>
        <v/>
      </c>
    </row>
    <row r="14874" spans="1:7" x14ac:dyDescent="0.25">
      <c r="A14874" t="s">
        <v>8</v>
      </c>
      <c r="B14874" s="1" t="str">
        <f>"000413027 - RICH FOODS DEV-RED ROBIN"</f>
        <v>000413027 - RICH FOODS DEV-RED ROBIN</v>
      </c>
      <c r="C14874" t="s">
        <v>506</v>
      </c>
      <c r="D14874" s="1" t="str">
        <f t="shared" si="413"/>
        <v>PRG-1043920</v>
      </c>
      <c r="E14874" t="s">
        <v>423</v>
      </c>
      <c r="F14874" t="s">
        <v>4</v>
      </c>
      <c r="G14874" t="str">
        <f>""</f>
        <v/>
      </c>
    </row>
    <row r="14875" spans="1:7" x14ac:dyDescent="0.25">
      <c r="A14875" t="s">
        <v>8</v>
      </c>
      <c r="B14875" s="1" t="str">
        <f>"000425380 - RICH FOODS DEV-RED ROBIN"</f>
        <v>000425380 - RICH FOODS DEV-RED ROBIN</v>
      </c>
      <c r="C14875" t="s">
        <v>506</v>
      </c>
      <c r="D14875" s="1" t="str">
        <f t="shared" si="413"/>
        <v>PRG-1043920</v>
      </c>
      <c r="E14875" t="s">
        <v>423</v>
      </c>
      <c r="F14875" t="s">
        <v>4</v>
      </c>
      <c r="G14875" t="str">
        <f>""</f>
        <v/>
      </c>
    </row>
    <row r="14876" spans="1:7" x14ac:dyDescent="0.25">
      <c r="A14876" t="s">
        <v>8</v>
      </c>
      <c r="B14876" s="1" t="str">
        <f>"000426960 - RICH FOODS DEV-RED ROBIN"</f>
        <v>000426960 - RICH FOODS DEV-RED ROBIN</v>
      </c>
      <c r="C14876" t="s">
        <v>506</v>
      </c>
      <c r="D14876" s="1" t="str">
        <f t="shared" si="413"/>
        <v>PRG-1043920</v>
      </c>
      <c r="E14876" t="s">
        <v>423</v>
      </c>
      <c r="F14876" t="s">
        <v>4</v>
      </c>
      <c r="G14876" t="str">
        <f>""</f>
        <v/>
      </c>
    </row>
    <row r="14877" spans="1:7" x14ac:dyDescent="0.25">
      <c r="A14877" t="s">
        <v>8</v>
      </c>
      <c r="B14877" s="1" t="str">
        <f>"000006827 - RICHS TOPPINGS-SODEXO"</f>
        <v>000006827 - RICHS TOPPINGS-SODEXO</v>
      </c>
      <c r="C14877" t="s">
        <v>222</v>
      </c>
      <c r="D14877" s="1" t="str">
        <f t="shared" ref="D14877:D14940" si="414">"PRG-1043939"</f>
        <v>PRG-1043939</v>
      </c>
      <c r="E14877" t="s">
        <v>79</v>
      </c>
      <c r="F14877" t="s">
        <v>4</v>
      </c>
      <c r="G14877" t="str">
        <f>""</f>
        <v/>
      </c>
    </row>
    <row r="14878" spans="1:7" x14ac:dyDescent="0.25">
      <c r="A14878" t="s">
        <v>8</v>
      </c>
      <c r="B14878" s="1" t="str">
        <f>"000008537 - RICHS TOPPINGS-SODEXO"</f>
        <v>000008537 - RICHS TOPPINGS-SODEXO</v>
      </c>
      <c r="C14878" t="s">
        <v>222</v>
      </c>
      <c r="D14878" s="1" t="str">
        <f t="shared" si="414"/>
        <v>PRG-1043939</v>
      </c>
      <c r="E14878" t="s">
        <v>79</v>
      </c>
      <c r="F14878" t="s">
        <v>4</v>
      </c>
      <c r="G14878" t="str">
        <f>""</f>
        <v/>
      </c>
    </row>
    <row r="14879" spans="1:7" x14ac:dyDescent="0.25">
      <c r="A14879" t="s">
        <v>8</v>
      </c>
      <c r="B14879" s="1" t="str">
        <f>"000013794 - RICHS TOPPINGS-SODEXO"</f>
        <v>000013794 - RICHS TOPPINGS-SODEXO</v>
      </c>
      <c r="C14879" t="s">
        <v>222</v>
      </c>
      <c r="D14879" s="1" t="str">
        <f t="shared" si="414"/>
        <v>PRG-1043939</v>
      </c>
      <c r="E14879" t="s">
        <v>79</v>
      </c>
      <c r="F14879" t="s">
        <v>4</v>
      </c>
      <c r="G14879" t="str">
        <f>""</f>
        <v/>
      </c>
    </row>
    <row r="14880" spans="1:7" x14ac:dyDescent="0.25">
      <c r="A14880" t="s">
        <v>8</v>
      </c>
      <c r="B14880" s="1" t="str">
        <f>"000016247 - RICHS TOPPINGS-SODEXO"</f>
        <v>000016247 - RICHS TOPPINGS-SODEXO</v>
      </c>
      <c r="C14880" t="s">
        <v>222</v>
      </c>
      <c r="D14880" s="1" t="str">
        <f t="shared" si="414"/>
        <v>PRG-1043939</v>
      </c>
      <c r="E14880" t="s">
        <v>79</v>
      </c>
      <c r="F14880" t="s">
        <v>4</v>
      </c>
      <c r="G14880" t="str">
        <f>""</f>
        <v/>
      </c>
    </row>
    <row r="14881" spans="1:7" x14ac:dyDescent="0.25">
      <c r="A14881" t="s">
        <v>8</v>
      </c>
      <c r="B14881" s="1" t="str">
        <f>"000016625 - RICHS TOPPING SODEXO"</f>
        <v>000016625 - RICHS TOPPING SODEXO</v>
      </c>
      <c r="C14881" t="s">
        <v>371</v>
      </c>
      <c r="D14881" s="1" t="str">
        <f t="shared" si="414"/>
        <v>PRG-1043939</v>
      </c>
      <c r="E14881" t="s">
        <v>79</v>
      </c>
      <c r="F14881" t="s">
        <v>4</v>
      </c>
      <c r="G14881" t="str">
        <f>""</f>
        <v/>
      </c>
    </row>
    <row r="14882" spans="1:7" x14ac:dyDescent="0.25">
      <c r="A14882" t="s">
        <v>8</v>
      </c>
      <c r="B14882" s="1" t="str">
        <f>"000017229 - RICHS TOPPINGS-SODEXO"</f>
        <v>000017229 - RICHS TOPPINGS-SODEXO</v>
      </c>
      <c r="C14882" t="s">
        <v>222</v>
      </c>
      <c r="D14882" s="1" t="str">
        <f t="shared" si="414"/>
        <v>PRG-1043939</v>
      </c>
      <c r="E14882" t="s">
        <v>79</v>
      </c>
      <c r="F14882" t="s">
        <v>4</v>
      </c>
      <c r="G14882" t="str">
        <f>""</f>
        <v/>
      </c>
    </row>
    <row r="14883" spans="1:7" x14ac:dyDescent="0.25">
      <c r="A14883" t="s">
        <v>8</v>
      </c>
      <c r="B14883" s="1" t="str">
        <f>"000018426 - RICHS TOPPINGS-SODEXO"</f>
        <v>000018426 - RICHS TOPPINGS-SODEXO</v>
      </c>
      <c r="C14883" t="s">
        <v>222</v>
      </c>
      <c r="D14883" s="1" t="str">
        <f t="shared" si="414"/>
        <v>PRG-1043939</v>
      </c>
      <c r="E14883" t="s">
        <v>79</v>
      </c>
      <c r="F14883" t="s">
        <v>4</v>
      </c>
      <c r="G14883" t="str">
        <f>""</f>
        <v/>
      </c>
    </row>
    <row r="14884" spans="1:7" x14ac:dyDescent="0.25">
      <c r="A14884" t="s">
        <v>8</v>
      </c>
      <c r="B14884" s="1" t="str">
        <f>"000020003 - RICHS TOPPING SODEXO"</f>
        <v>000020003 - RICHS TOPPING SODEXO</v>
      </c>
      <c r="C14884" t="s">
        <v>371</v>
      </c>
      <c r="D14884" s="1" t="str">
        <f t="shared" si="414"/>
        <v>PRG-1043939</v>
      </c>
      <c r="E14884" t="s">
        <v>79</v>
      </c>
      <c r="F14884" t="s">
        <v>4</v>
      </c>
      <c r="G14884" t="str">
        <f>""</f>
        <v/>
      </c>
    </row>
    <row r="14885" spans="1:7" x14ac:dyDescent="0.25">
      <c r="A14885" t="s">
        <v>8</v>
      </c>
      <c r="B14885" s="1" t="str">
        <f>"000020985 - RICHS TOPPINGS-SODEXO"</f>
        <v>000020985 - RICHS TOPPINGS-SODEXO</v>
      </c>
      <c r="C14885" t="s">
        <v>222</v>
      </c>
      <c r="D14885" s="1" t="str">
        <f t="shared" si="414"/>
        <v>PRG-1043939</v>
      </c>
      <c r="E14885" t="s">
        <v>79</v>
      </c>
      <c r="F14885" t="s">
        <v>4</v>
      </c>
      <c r="G14885" t="str">
        <f>""</f>
        <v/>
      </c>
    </row>
    <row r="14886" spans="1:7" x14ac:dyDescent="0.25">
      <c r="A14886" t="s">
        <v>8</v>
      </c>
      <c r="B14886" s="1" t="str">
        <f>"000022360 - RICHS TOPPINGS-SODEXO"</f>
        <v>000022360 - RICHS TOPPINGS-SODEXO</v>
      </c>
      <c r="C14886" t="s">
        <v>222</v>
      </c>
      <c r="D14886" s="1" t="str">
        <f t="shared" si="414"/>
        <v>PRG-1043939</v>
      </c>
      <c r="E14886" t="s">
        <v>79</v>
      </c>
      <c r="F14886" t="s">
        <v>4</v>
      </c>
      <c r="G14886" t="str">
        <f>""</f>
        <v/>
      </c>
    </row>
    <row r="14887" spans="1:7" x14ac:dyDescent="0.25">
      <c r="A14887" t="s">
        <v>8</v>
      </c>
      <c r="B14887" s="1" t="str">
        <f>"000022446 - RICHS WHIPPED TOPPINGS-SODEXO"</f>
        <v>000022446 - RICHS WHIPPED TOPPINGS-SODEXO</v>
      </c>
      <c r="C14887" t="s">
        <v>419</v>
      </c>
      <c r="D14887" s="1" t="str">
        <f t="shared" si="414"/>
        <v>PRG-1043939</v>
      </c>
      <c r="E14887" t="s">
        <v>79</v>
      </c>
      <c r="F14887" t="s">
        <v>4</v>
      </c>
      <c r="G14887" t="str">
        <f>""</f>
        <v/>
      </c>
    </row>
    <row r="14888" spans="1:7" x14ac:dyDescent="0.25">
      <c r="A14888" t="s">
        <v>8</v>
      </c>
      <c r="B14888" s="1" t="str">
        <f>"000022452 - RICHS TOPPINGS-SODEXO"</f>
        <v>000022452 - RICHS TOPPINGS-SODEXO</v>
      </c>
      <c r="C14888" t="s">
        <v>222</v>
      </c>
      <c r="D14888" s="1" t="str">
        <f t="shared" si="414"/>
        <v>PRG-1043939</v>
      </c>
      <c r="E14888" t="s">
        <v>79</v>
      </c>
      <c r="F14888" t="s">
        <v>4</v>
      </c>
      <c r="G14888" t="str">
        <f>""</f>
        <v/>
      </c>
    </row>
    <row r="14889" spans="1:7" x14ac:dyDescent="0.25">
      <c r="A14889" t="s">
        <v>8</v>
      </c>
      <c r="B14889" s="1" t="str">
        <f>"000023880 - RICHS WHIPPED TOPPINGS-SODEXO"</f>
        <v>000023880 - RICHS WHIPPED TOPPINGS-SODEXO</v>
      </c>
      <c r="C14889" t="s">
        <v>419</v>
      </c>
      <c r="D14889" s="1" t="str">
        <f t="shared" si="414"/>
        <v>PRG-1043939</v>
      </c>
      <c r="E14889" t="s">
        <v>79</v>
      </c>
      <c r="F14889" t="s">
        <v>4</v>
      </c>
      <c r="G14889" t="str">
        <f>""</f>
        <v/>
      </c>
    </row>
    <row r="14890" spans="1:7" x14ac:dyDescent="0.25">
      <c r="A14890" t="s">
        <v>8</v>
      </c>
      <c r="B14890" s="1" t="str">
        <f>"000024777 - RICHS TOPPING SODEXO"</f>
        <v>000024777 - RICHS TOPPING SODEXO</v>
      </c>
      <c r="C14890" t="s">
        <v>371</v>
      </c>
      <c r="D14890" s="1" t="str">
        <f t="shared" si="414"/>
        <v>PRG-1043939</v>
      </c>
      <c r="E14890" t="s">
        <v>79</v>
      </c>
      <c r="F14890" t="s">
        <v>4</v>
      </c>
      <c r="G14890" t="str">
        <f>""</f>
        <v/>
      </c>
    </row>
    <row r="14891" spans="1:7" x14ac:dyDescent="0.25">
      <c r="A14891" t="s">
        <v>8</v>
      </c>
      <c r="B14891" s="1" t="str">
        <f>"000025195 - RICHS TOPPINGS-SODEXO"</f>
        <v>000025195 - RICHS TOPPINGS-SODEXO</v>
      </c>
      <c r="C14891" t="s">
        <v>222</v>
      </c>
      <c r="D14891" s="1" t="str">
        <f t="shared" si="414"/>
        <v>PRG-1043939</v>
      </c>
      <c r="E14891" t="s">
        <v>79</v>
      </c>
      <c r="F14891" t="s">
        <v>4</v>
      </c>
      <c r="G14891" t="str">
        <f>""</f>
        <v/>
      </c>
    </row>
    <row r="14892" spans="1:7" x14ac:dyDescent="0.25">
      <c r="A14892" t="s">
        <v>8</v>
      </c>
      <c r="B14892" s="1" t="str">
        <f>"000025784 - RICHS TOPPINGS-SODEXO"</f>
        <v>000025784 - RICHS TOPPINGS-SODEXO</v>
      </c>
      <c r="C14892" t="s">
        <v>222</v>
      </c>
      <c r="D14892" s="1" t="str">
        <f t="shared" si="414"/>
        <v>PRG-1043939</v>
      </c>
      <c r="E14892" t="s">
        <v>79</v>
      </c>
      <c r="F14892" t="s">
        <v>4</v>
      </c>
      <c r="G14892" t="str">
        <f>""</f>
        <v/>
      </c>
    </row>
    <row r="14893" spans="1:7" x14ac:dyDescent="0.25">
      <c r="A14893" t="s">
        <v>8</v>
      </c>
      <c r="B14893" s="1" t="str">
        <f>"000026084 - RICHS WHIPPED TOPPINGS-SODEXO"</f>
        <v>000026084 - RICHS WHIPPED TOPPINGS-SODEXO</v>
      </c>
      <c r="C14893" t="s">
        <v>419</v>
      </c>
      <c r="D14893" s="1" t="str">
        <f t="shared" si="414"/>
        <v>PRG-1043939</v>
      </c>
      <c r="E14893" t="s">
        <v>79</v>
      </c>
      <c r="F14893" t="s">
        <v>4</v>
      </c>
      <c r="G14893" t="str">
        <f>""</f>
        <v/>
      </c>
    </row>
    <row r="14894" spans="1:7" x14ac:dyDescent="0.25">
      <c r="A14894" t="s">
        <v>8</v>
      </c>
      <c r="B14894" s="1" t="str">
        <f>"000027255 - RICHS TOPPINGS-SODEXO"</f>
        <v>000027255 - RICHS TOPPINGS-SODEXO</v>
      </c>
      <c r="C14894" t="s">
        <v>222</v>
      </c>
      <c r="D14894" s="1" t="str">
        <f t="shared" si="414"/>
        <v>PRG-1043939</v>
      </c>
      <c r="E14894" t="s">
        <v>79</v>
      </c>
      <c r="F14894" t="s">
        <v>4</v>
      </c>
      <c r="G14894" t="str">
        <f>""</f>
        <v/>
      </c>
    </row>
    <row r="14895" spans="1:7" x14ac:dyDescent="0.25">
      <c r="A14895" t="s">
        <v>8</v>
      </c>
      <c r="B14895" s="1" t="str">
        <f>"000027952 - RICHS TOPPINGS-SODEXO"</f>
        <v>000027952 - RICHS TOPPINGS-SODEXO</v>
      </c>
      <c r="C14895" t="s">
        <v>222</v>
      </c>
      <c r="D14895" s="1" t="str">
        <f t="shared" si="414"/>
        <v>PRG-1043939</v>
      </c>
      <c r="E14895" t="s">
        <v>79</v>
      </c>
      <c r="F14895" t="s">
        <v>4</v>
      </c>
      <c r="G14895" t="str">
        <f>""</f>
        <v/>
      </c>
    </row>
    <row r="14896" spans="1:7" x14ac:dyDescent="0.25">
      <c r="A14896" t="s">
        <v>8</v>
      </c>
      <c r="B14896" s="1" t="str">
        <f>"000028025 - RICHS WHIPPED TOPPINGS-SODEXO"</f>
        <v>000028025 - RICHS WHIPPED TOPPINGS-SODEXO</v>
      </c>
      <c r="C14896" t="s">
        <v>419</v>
      </c>
      <c r="D14896" s="1" t="str">
        <f t="shared" si="414"/>
        <v>PRG-1043939</v>
      </c>
      <c r="E14896" t="s">
        <v>79</v>
      </c>
      <c r="F14896" t="s">
        <v>4</v>
      </c>
      <c r="G14896" t="str">
        <f>""</f>
        <v/>
      </c>
    </row>
    <row r="14897" spans="1:7" x14ac:dyDescent="0.25">
      <c r="A14897" t="s">
        <v>8</v>
      </c>
      <c r="B14897" s="1" t="str">
        <f>"000028711 - RICHS TOPPINGS-SODEXO"</f>
        <v>000028711 - RICHS TOPPINGS-SODEXO</v>
      </c>
      <c r="C14897" t="s">
        <v>222</v>
      </c>
      <c r="D14897" s="1" t="str">
        <f t="shared" si="414"/>
        <v>PRG-1043939</v>
      </c>
      <c r="E14897" t="s">
        <v>79</v>
      </c>
      <c r="F14897" t="s">
        <v>4</v>
      </c>
      <c r="G14897" t="str">
        <f>""</f>
        <v/>
      </c>
    </row>
    <row r="14898" spans="1:7" x14ac:dyDescent="0.25">
      <c r="A14898" t="s">
        <v>8</v>
      </c>
      <c r="B14898" s="1" t="str">
        <f>"000031070 - RICHS TOPPINGS-SODEXO"</f>
        <v>000031070 - RICHS TOPPINGS-SODEXO</v>
      </c>
      <c r="C14898" t="s">
        <v>222</v>
      </c>
      <c r="D14898" s="1" t="str">
        <f t="shared" si="414"/>
        <v>PRG-1043939</v>
      </c>
      <c r="E14898" t="s">
        <v>79</v>
      </c>
      <c r="F14898" t="s">
        <v>4</v>
      </c>
      <c r="G14898" t="str">
        <f>""</f>
        <v/>
      </c>
    </row>
    <row r="14899" spans="1:7" x14ac:dyDescent="0.25">
      <c r="A14899" t="s">
        <v>8</v>
      </c>
      <c r="B14899" s="1" t="str">
        <f>"000032095 - RICHS TOPPINGS-SODEXO"</f>
        <v>000032095 - RICHS TOPPINGS-SODEXO</v>
      </c>
      <c r="C14899" t="s">
        <v>222</v>
      </c>
      <c r="D14899" s="1" t="str">
        <f t="shared" si="414"/>
        <v>PRG-1043939</v>
      </c>
      <c r="E14899" t="s">
        <v>79</v>
      </c>
      <c r="F14899" t="s">
        <v>4</v>
      </c>
      <c r="G14899" t="str">
        <f>""</f>
        <v/>
      </c>
    </row>
    <row r="14900" spans="1:7" x14ac:dyDescent="0.25">
      <c r="A14900" t="s">
        <v>8</v>
      </c>
      <c r="B14900" s="1" t="str">
        <f>"000032188 - RICHS TOPPINGS-SODEXO"</f>
        <v>000032188 - RICHS TOPPINGS-SODEXO</v>
      </c>
      <c r="C14900" t="s">
        <v>222</v>
      </c>
      <c r="D14900" s="1" t="str">
        <f t="shared" si="414"/>
        <v>PRG-1043939</v>
      </c>
      <c r="E14900" t="s">
        <v>79</v>
      </c>
      <c r="F14900" t="s">
        <v>4</v>
      </c>
      <c r="G14900" t="str">
        <f>""</f>
        <v/>
      </c>
    </row>
    <row r="14901" spans="1:7" x14ac:dyDescent="0.25">
      <c r="A14901" t="s">
        <v>8</v>
      </c>
      <c r="B14901" s="1" t="str">
        <f>"000032306 - RICHS TOPPINGS-SODEXO"</f>
        <v>000032306 - RICHS TOPPINGS-SODEXO</v>
      </c>
      <c r="C14901" t="s">
        <v>222</v>
      </c>
      <c r="D14901" s="1" t="str">
        <f t="shared" si="414"/>
        <v>PRG-1043939</v>
      </c>
      <c r="E14901" t="s">
        <v>79</v>
      </c>
      <c r="F14901" t="s">
        <v>4</v>
      </c>
      <c r="G14901" t="str">
        <f>""</f>
        <v/>
      </c>
    </row>
    <row r="14902" spans="1:7" x14ac:dyDescent="0.25">
      <c r="A14902" t="s">
        <v>8</v>
      </c>
      <c r="B14902" s="1" t="str">
        <f>"000032583 - RICHS WHIPPED TOPPINGS-SODEXO"</f>
        <v>000032583 - RICHS WHIPPED TOPPINGS-SODEXO</v>
      </c>
      <c r="C14902" t="s">
        <v>419</v>
      </c>
      <c r="D14902" s="1" t="str">
        <f t="shared" si="414"/>
        <v>PRG-1043939</v>
      </c>
      <c r="E14902" t="s">
        <v>79</v>
      </c>
      <c r="F14902" t="s">
        <v>4</v>
      </c>
      <c r="G14902" t="str">
        <f>""</f>
        <v/>
      </c>
    </row>
    <row r="14903" spans="1:7" x14ac:dyDescent="0.25">
      <c r="A14903" t="s">
        <v>8</v>
      </c>
      <c r="B14903" s="1" t="str">
        <f>"000033495 - RICHS TOPPINGS-SODEXO"</f>
        <v>000033495 - RICHS TOPPINGS-SODEXO</v>
      </c>
      <c r="C14903" t="s">
        <v>222</v>
      </c>
      <c r="D14903" s="1" t="str">
        <f t="shared" si="414"/>
        <v>PRG-1043939</v>
      </c>
      <c r="E14903" t="s">
        <v>79</v>
      </c>
      <c r="F14903" t="s">
        <v>4</v>
      </c>
      <c r="G14903" t="str">
        <f>""</f>
        <v/>
      </c>
    </row>
    <row r="14904" spans="1:7" x14ac:dyDescent="0.25">
      <c r="A14904" t="s">
        <v>8</v>
      </c>
      <c r="B14904" s="1" t="str">
        <f>"000033958 - RICHS WHIPPED TOPPINGS-SODEXO"</f>
        <v>000033958 - RICHS WHIPPED TOPPINGS-SODEXO</v>
      </c>
      <c r="C14904" t="s">
        <v>419</v>
      </c>
      <c r="D14904" s="1" t="str">
        <f t="shared" si="414"/>
        <v>PRG-1043939</v>
      </c>
      <c r="E14904" t="s">
        <v>79</v>
      </c>
      <c r="F14904" t="s">
        <v>4</v>
      </c>
      <c r="G14904" t="str">
        <f>""</f>
        <v/>
      </c>
    </row>
    <row r="14905" spans="1:7" x14ac:dyDescent="0.25">
      <c r="A14905" t="s">
        <v>8</v>
      </c>
      <c r="B14905" s="1" t="str">
        <f>"000034369 - RICHS WHIPPED TOPPINGS-SODEXO"</f>
        <v>000034369 - RICHS WHIPPED TOPPINGS-SODEXO</v>
      </c>
      <c r="C14905" t="s">
        <v>419</v>
      </c>
      <c r="D14905" s="1" t="str">
        <f t="shared" si="414"/>
        <v>PRG-1043939</v>
      </c>
      <c r="E14905" t="s">
        <v>79</v>
      </c>
      <c r="F14905" t="s">
        <v>4</v>
      </c>
      <c r="G14905" t="str">
        <f>""</f>
        <v/>
      </c>
    </row>
    <row r="14906" spans="1:7" x14ac:dyDescent="0.25">
      <c r="A14906" t="s">
        <v>8</v>
      </c>
      <c r="B14906" s="1" t="str">
        <f>"000035919 - RICHS TOPPINGS-SODEXO"</f>
        <v>000035919 - RICHS TOPPINGS-SODEXO</v>
      </c>
      <c r="C14906" t="s">
        <v>222</v>
      </c>
      <c r="D14906" s="1" t="str">
        <f t="shared" si="414"/>
        <v>PRG-1043939</v>
      </c>
      <c r="E14906" t="s">
        <v>79</v>
      </c>
      <c r="F14906" t="s">
        <v>4</v>
      </c>
      <c r="G14906" t="str">
        <f>""</f>
        <v/>
      </c>
    </row>
    <row r="14907" spans="1:7" x14ac:dyDescent="0.25">
      <c r="A14907" t="s">
        <v>8</v>
      </c>
      <c r="B14907" s="1" t="str">
        <f>"000036002 - RICHS WHIPPED TOPPINGS-SODEXO"</f>
        <v>000036002 - RICHS WHIPPED TOPPINGS-SODEXO</v>
      </c>
      <c r="C14907" t="s">
        <v>419</v>
      </c>
      <c r="D14907" s="1" t="str">
        <f t="shared" si="414"/>
        <v>PRG-1043939</v>
      </c>
      <c r="E14907" t="s">
        <v>79</v>
      </c>
      <c r="F14907" t="s">
        <v>4</v>
      </c>
      <c r="G14907" t="str">
        <f>""</f>
        <v/>
      </c>
    </row>
    <row r="14908" spans="1:7" x14ac:dyDescent="0.25">
      <c r="A14908" t="s">
        <v>8</v>
      </c>
      <c r="B14908" s="1" t="str">
        <f>"000037447 - RICHS TOPPINGS-SODEXO"</f>
        <v>000037447 - RICHS TOPPINGS-SODEXO</v>
      </c>
      <c r="C14908" t="s">
        <v>222</v>
      </c>
      <c r="D14908" s="1" t="str">
        <f t="shared" si="414"/>
        <v>PRG-1043939</v>
      </c>
      <c r="E14908" t="s">
        <v>79</v>
      </c>
      <c r="F14908" t="s">
        <v>4</v>
      </c>
      <c r="G14908" t="str">
        <f>""</f>
        <v/>
      </c>
    </row>
    <row r="14909" spans="1:7" x14ac:dyDescent="0.25">
      <c r="A14909" t="s">
        <v>8</v>
      </c>
      <c r="B14909" s="1" t="str">
        <f>"000037591 - RICHS TOPPINGS-SODEXO"</f>
        <v>000037591 - RICHS TOPPINGS-SODEXO</v>
      </c>
      <c r="C14909" t="s">
        <v>222</v>
      </c>
      <c r="D14909" s="1" t="str">
        <f t="shared" si="414"/>
        <v>PRG-1043939</v>
      </c>
      <c r="E14909" t="s">
        <v>79</v>
      </c>
      <c r="F14909" t="s">
        <v>4</v>
      </c>
      <c r="G14909" t="str">
        <f>""</f>
        <v/>
      </c>
    </row>
    <row r="14910" spans="1:7" x14ac:dyDescent="0.25">
      <c r="A14910" t="s">
        <v>8</v>
      </c>
      <c r="B14910" s="1" t="str">
        <f>"000038233 - RICHS TOPPINGS-SODEXO"</f>
        <v>000038233 - RICHS TOPPINGS-SODEXO</v>
      </c>
      <c r="C14910" t="s">
        <v>222</v>
      </c>
      <c r="D14910" s="1" t="str">
        <f t="shared" si="414"/>
        <v>PRG-1043939</v>
      </c>
      <c r="E14910" t="s">
        <v>79</v>
      </c>
      <c r="F14910" t="s">
        <v>4</v>
      </c>
      <c r="G14910" t="str">
        <f>""</f>
        <v/>
      </c>
    </row>
    <row r="14911" spans="1:7" x14ac:dyDescent="0.25">
      <c r="A14911" t="s">
        <v>8</v>
      </c>
      <c r="B14911" s="1" t="str">
        <f>"000038877 - RICHS TOPPINGS-SODEXO"</f>
        <v>000038877 - RICHS TOPPINGS-SODEXO</v>
      </c>
      <c r="C14911" t="s">
        <v>222</v>
      </c>
      <c r="D14911" s="1" t="str">
        <f t="shared" si="414"/>
        <v>PRG-1043939</v>
      </c>
      <c r="E14911" t="s">
        <v>79</v>
      </c>
      <c r="F14911" t="s">
        <v>4</v>
      </c>
      <c r="G14911" t="str">
        <f>""</f>
        <v/>
      </c>
    </row>
    <row r="14912" spans="1:7" x14ac:dyDescent="0.25">
      <c r="A14912" t="s">
        <v>8</v>
      </c>
      <c r="B14912" s="1" t="str">
        <f>"000039573 - RICHS WHIPPED TOPPINGS-SODEXO"</f>
        <v>000039573 - RICHS WHIPPED TOPPINGS-SODEXO</v>
      </c>
      <c r="C14912" t="s">
        <v>419</v>
      </c>
      <c r="D14912" s="1" t="str">
        <f t="shared" si="414"/>
        <v>PRG-1043939</v>
      </c>
      <c r="E14912" t="s">
        <v>79</v>
      </c>
      <c r="F14912" t="s">
        <v>4</v>
      </c>
      <c r="G14912" t="str">
        <f>""</f>
        <v/>
      </c>
    </row>
    <row r="14913" spans="1:7" x14ac:dyDescent="0.25">
      <c r="A14913" t="s">
        <v>8</v>
      </c>
      <c r="B14913" s="1" t="str">
        <f>"000040374 - RICHS TOPPINGS-SODEXO"</f>
        <v>000040374 - RICHS TOPPINGS-SODEXO</v>
      </c>
      <c r="C14913" t="s">
        <v>222</v>
      </c>
      <c r="D14913" s="1" t="str">
        <f t="shared" si="414"/>
        <v>PRG-1043939</v>
      </c>
      <c r="E14913" t="s">
        <v>79</v>
      </c>
      <c r="F14913" t="s">
        <v>4</v>
      </c>
      <c r="G14913" t="str">
        <f>""</f>
        <v/>
      </c>
    </row>
    <row r="14914" spans="1:7" x14ac:dyDescent="0.25">
      <c r="A14914" t="s">
        <v>8</v>
      </c>
      <c r="B14914" s="1" t="str">
        <f>"000040617 - RICHS TOPPINGS-SODEXO"</f>
        <v>000040617 - RICHS TOPPINGS-SODEXO</v>
      </c>
      <c r="C14914" t="s">
        <v>222</v>
      </c>
      <c r="D14914" s="1" t="str">
        <f t="shared" si="414"/>
        <v>PRG-1043939</v>
      </c>
      <c r="E14914" t="s">
        <v>79</v>
      </c>
      <c r="F14914" t="s">
        <v>4</v>
      </c>
      <c r="G14914" t="str">
        <f>""</f>
        <v/>
      </c>
    </row>
    <row r="14915" spans="1:7" x14ac:dyDescent="0.25">
      <c r="A14915" t="s">
        <v>8</v>
      </c>
      <c r="B14915" s="1" t="str">
        <f>"000040864 - RICHS WHIPPED TOPPINGS-SODEXO"</f>
        <v>000040864 - RICHS WHIPPED TOPPINGS-SODEXO</v>
      </c>
      <c r="C14915" t="s">
        <v>419</v>
      </c>
      <c r="D14915" s="1" t="str">
        <f t="shared" si="414"/>
        <v>PRG-1043939</v>
      </c>
      <c r="E14915" t="s">
        <v>79</v>
      </c>
      <c r="F14915" t="s">
        <v>4</v>
      </c>
      <c r="G14915" t="str">
        <f>""</f>
        <v/>
      </c>
    </row>
    <row r="14916" spans="1:7" x14ac:dyDescent="0.25">
      <c r="A14916" t="s">
        <v>8</v>
      </c>
      <c r="B14916" s="1" t="str">
        <f>"000041478 - RICHS TOPPINGS-SODEXO"</f>
        <v>000041478 - RICHS TOPPINGS-SODEXO</v>
      </c>
      <c r="C14916" t="s">
        <v>222</v>
      </c>
      <c r="D14916" s="1" t="str">
        <f t="shared" si="414"/>
        <v>PRG-1043939</v>
      </c>
      <c r="E14916" t="s">
        <v>79</v>
      </c>
      <c r="F14916" t="s">
        <v>4</v>
      </c>
      <c r="G14916" t="str">
        <f>""</f>
        <v/>
      </c>
    </row>
    <row r="14917" spans="1:7" x14ac:dyDescent="0.25">
      <c r="A14917" t="s">
        <v>8</v>
      </c>
      <c r="B14917" s="1" t="str">
        <f>"000042702 - RICHS WHIPPED TOPPINGS-SODEXO"</f>
        <v>000042702 - RICHS WHIPPED TOPPINGS-SODEXO</v>
      </c>
      <c r="C14917" t="s">
        <v>419</v>
      </c>
      <c r="D14917" s="1" t="str">
        <f t="shared" si="414"/>
        <v>PRG-1043939</v>
      </c>
      <c r="E14917" t="s">
        <v>79</v>
      </c>
      <c r="F14917" t="s">
        <v>4</v>
      </c>
      <c r="G14917" t="str">
        <f>""</f>
        <v/>
      </c>
    </row>
    <row r="14918" spans="1:7" x14ac:dyDescent="0.25">
      <c r="A14918" t="s">
        <v>8</v>
      </c>
      <c r="B14918" s="1" t="str">
        <f>"000042904 - RICHS WHIPPED TOPPINGS-SODEXO"</f>
        <v>000042904 - RICHS WHIPPED TOPPINGS-SODEXO</v>
      </c>
      <c r="C14918" t="s">
        <v>419</v>
      </c>
      <c r="D14918" s="1" t="str">
        <f t="shared" si="414"/>
        <v>PRG-1043939</v>
      </c>
      <c r="E14918" t="s">
        <v>79</v>
      </c>
      <c r="F14918" t="s">
        <v>4</v>
      </c>
      <c r="G14918" t="str">
        <f>""</f>
        <v/>
      </c>
    </row>
    <row r="14919" spans="1:7" x14ac:dyDescent="0.25">
      <c r="A14919" t="s">
        <v>8</v>
      </c>
      <c r="B14919" s="1" t="str">
        <f>"000043912 - RICHS TOPPINGS-SODEXO"</f>
        <v>000043912 - RICHS TOPPINGS-SODEXO</v>
      </c>
      <c r="C14919" t="s">
        <v>222</v>
      </c>
      <c r="D14919" s="1" t="str">
        <f t="shared" si="414"/>
        <v>PRG-1043939</v>
      </c>
      <c r="E14919" t="s">
        <v>79</v>
      </c>
      <c r="F14919" t="s">
        <v>4</v>
      </c>
      <c r="G14919" t="str">
        <f>""</f>
        <v/>
      </c>
    </row>
    <row r="14920" spans="1:7" x14ac:dyDescent="0.25">
      <c r="A14920" t="s">
        <v>8</v>
      </c>
      <c r="B14920" s="1" t="str">
        <f>"000043937 - RICHS TOPPINGS-SODEXO"</f>
        <v>000043937 - RICHS TOPPINGS-SODEXO</v>
      </c>
      <c r="C14920" t="s">
        <v>222</v>
      </c>
      <c r="D14920" s="1" t="str">
        <f t="shared" si="414"/>
        <v>PRG-1043939</v>
      </c>
      <c r="E14920" t="s">
        <v>79</v>
      </c>
      <c r="F14920" t="s">
        <v>4</v>
      </c>
      <c r="G14920" t="str">
        <f>""</f>
        <v/>
      </c>
    </row>
    <row r="14921" spans="1:7" x14ac:dyDescent="0.25">
      <c r="A14921" t="s">
        <v>8</v>
      </c>
      <c r="B14921" s="1" t="str">
        <f>"000044218 - RICHS TOPPINGS-SODEXO"</f>
        <v>000044218 - RICHS TOPPINGS-SODEXO</v>
      </c>
      <c r="C14921" t="s">
        <v>222</v>
      </c>
      <c r="D14921" s="1" t="str">
        <f t="shared" si="414"/>
        <v>PRG-1043939</v>
      </c>
      <c r="E14921" t="s">
        <v>79</v>
      </c>
      <c r="F14921" t="s">
        <v>4</v>
      </c>
      <c r="G14921" t="str">
        <f>""</f>
        <v/>
      </c>
    </row>
    <row r="14922" spans="1:7" x14ac:dyDescent="0.25">
      <c r="A14922" t="s">
        <v>8</v>
      </c>
      <c r="B14922" s="1" t="str">
        <f>"000045008 - RICHS WHIPPED TOPPINGS-SODEXO"</f>
        <v>000045008 - RICHS WHIPPED TOPPINGS-SODEXO</v>
      </c>
      <c r="C14922" t="s">
        <v>419</v>
      </c>
      <c r="D14922" s="1" t="str">
        <f t="shared" si="414"/>
        <v>PRG-1043939</v>
      </c>
      <c r="E14922" t="s">
        <v>79</v>
      </c>
      <c r="F14922" t="s">
        <v>4</v>
      </c>
      <c r="G14922" t="str">
        <f>""</f>
        <v/>
      </c>
    </row>
    <row r="14923" spans="1:7" x14ac:dyDescent="0.25">
      <c r="A14923" t="s">
        <v>8</v>
      </c>
      <c r="B14923" s="1" t="str">
        <f>"000045938 - RICHS WHIPPED TOPPINGS-SODEXO"</f>
        <v>000045938 - RICHS WHIPPED TOPPINGS-SODEXO</v>
      </c>
      <c r="C14923" t="s">
        <v>419</v>
      </c>
      <c r="D14923" s="1" t="str">
        <f t="shared" si="414"/>
        <v>PRG-1043939</v>
      </c>
      <c r="E14923" t="s">
        <v>79</v>
      </c>
      <c r="F14923" t="s">
        <v>4</v>
      </c>
      <c r="G14923" t="str">
        <f>""</f>
        <v/>
      </c>
    </row>
    <row r="14924" spans="1:7" x14ac:dyDescent="0.25">
      <c r="A14924" t="s">
        <v>8</v>
      </c>
      <c r="B14924" s="1" t="str">
        <f>"000046575 - RICHS TOPPINGS-SODEXO"</f>
        <v>000046575 - RICHS TOPPINGS-SODEXO</v>
      </c>
      <c r="C14924" t="s">
        <v>222</v>
      </c>
      <c r="D14924" s="1" t="str">
        <f t="shared" si="414"/>
        <v>PRG-1043939</v>
      </c>
      <c r="E14924" t="s">
        <v>79</v>
      </c>
      <c r="F14924" t="s">
        <v>4</v>
      </c>
      <c r="G14924" t="str">
        <f>""</f>
        <v/>
      </c>
    </row>
    <row r="14925" spans="1:7" x14ac:dyDescent="0.25">
      <c r="A14925" t="s">
        <v>8</v>
      </c>
      <c r="B14925" s="1" t="str">
        <f>"000046603 - RICHS TOPPINGS-SODEXO"</f>
        <v>000046603 - RICHS TOPPINGS-SODEXO</v>
      </c>
      <c r="C14925" t="s">
        <v>222</v>
      </c>
      <c r="D14925" s="1" t="str">
        <f t="shared" si="414"/>
        <v>PRG-1043939</v>
      </c>
      <c r="E14925" t="s">
        <v>79</v>
      </c>
      <c r="F14925" t="s">
        <v>4</v>
      </c>
      <c r="G14925" t="str">
        <f>""</f>
        <v/>
      </c>
    </row>
    <row r="14926" spans="1:7" x14ac:dyDescent="0.25">
      <c r="A14926" t="s">
        <v>8</v>
      </c>
      <c r="B14926" s="1" t="str">
        <f>"000046703 - RICHS WHIPPED TOPPINGS-SODEXO"</f>
        <v>000046703 - RICHS WHIPPED TOPPINGS-SODEXO</v>
      </c>
      <c r="C14926" t="s">
        <v>419</v>
      </c>
      <c r="D14926" s="1" t="str">
        <f t="shared" si="414"/>
        <v>PRG-1043939</v>
      </c>
      <c r="E14926" t="s">
        <v>79</v>
      </c>
      <c r="F14926" t="s">
        <v>4</v>
      </c>
      <c r="G14926" t="str">
        <f>""</f>
        <v/>
      </c>
    </row>
    <row r="14927" spans="1:7" x14ac:dyDescent="0.25">
      <c r="A14927" t="s">
        <v>8</v>
      </c>
      <c r="B14927" s="1" t="str">
        <f>"000047617 - RICHS WHIPPED TOPPINGS-SODEXO"</f>
        <v>000047617 - RICHS WHIPPED TOPPINGS-SODEXO</v>
      </c>
      <c r="C14927" t="s">
        <v>419</v>
      </c>
      <c r="D14927" s="1" t="str">
        <f t="shared" si="414"/>
        <v>PRG-1043939</v>
      </c>
      <c r="E14927" t="s">
        <v>79</v>
      </c>
      <c r="F14927" t="s">
        <v>4</v>
      </c>
      <c r="G14927" t="str">
        <f>""</f>
        <v/>
      </c>
    </row>
    <row r="14928" spans="1:7" x14ac:dyDescent="0.25">
      <c r="A14928" t="s">
        <v>8</v>
      </c>
      <c r="B14928" s="1" t="str">
        <f>"000049479 - RICHS TOPPINGS-SODEXO"</f>
        <v>000049479 - RICHS TOPPINGS-SODEXO</v>
      </c>
      <c r="C14928" t="s">
        <v>222</v>
      </c>
      <c r="D14928" s="1" t="str">
        <f t="shared" si="414"/>
        <v>PRG-1043939</v>
      </c>
      <c r="E14928" t="s">
        <v>79</v>
      </c>
      <c r="F14928" t="s">
        <v>4</v>
      </c>
      <c r="G14928" t="str">
        <f>""</f>
        <v/>
      </c>
    </row>
    <row r="14929" spans="1:7" x14ac:dyDescent="0.25">
      <c r="A14929" t="s">
        <v>8</v>
      </c>
      <c r="B14929" s="1" t="str">
        <f>"000049814 - RICHS TOPPINGS-SODEXO"</f>
        <v>000049814 - RICHS TOPPINGS-SODEXO</v>
      </c>
      <c r="C14929" t="s">
        <v>222</v>
      </c>
      <c r="D14929" s="1" t="str">
        <f t="shared" si="414"/>
        <v>PRG-1043939</v>
      </c>
      <c r="E14929" t="s">
        <v>79</v>
      </c>
      <c r="F14929" t="s">
        <v>4</v>
      </c>
      <c r="G14929" t="str">
        <f>""</f>
        <v/>
      </c>
    </row>
    <row r="14930" spans="1:7" x14ac:dyDescent="0.25">
      <c r="A14930" t="s">
        <v>8</v>
      </c>
      <c r="B14930" s="1" t="str">
        <f>"000049861 - RICHS TOPPINGS-SODEXO"</f>
        <v>000049861 - RICHS TOPPINGS-SODEXO</v>
      </c>
      <c r="C14930" t="s">
        <v>222</v>
      </c>
      <c r="D14930" s="1" t="str">
        <f t="shared" si="414"/>
        <v>PRG-1043939</v>
      </c>
      <c r="E14930" t="s">
        <v>79</v>
      </c>
      <c r="F14930" t="s">
        <v>4</v>
      </c>
      <c r="G14930" t="str">
        <f>""</f>
        <v/>
      </c>
    </row>
    <row r="14931" spans="1:7" x14ac:dyDescent="0.25">
      <c r="A14931" t="s">
        <v>8</v>
      </c>
      <c r="B14931" s="1" t="str">
        <f>"000049883 - RICHS TOPPINGS-SODEXO"</f>
        <v>000049883 - RICHS TOPPINGS-SODEXO</v>
      </c>
      <c r="C14931" t="s">
        <v>222</v>
      </c>
      <c r="D14931" s="1" t="str">
        <f t="shared" si="414"/>
        <v>PRG-1043939</v>
      </c>
      <c r="E14931" t="s">
        <v>79</v>
      </c>
      <c r="F14931" t="s">
        <v>4</v>
      </c>
      <c r="G14931" t="str">
        <f>""</f>
        <v/>
      </c>
    </row>
    <row r="14932" spans="1:7" x14ac:dyDescent="0.25">
      <c r="A14932" t="s">
        <v>8</v>
      </c>
      <c r="B14932" s="1" t="str">
        <f>"000051608 - RICHS TOPPINGS-SODEXO"</f>
        <v>000051608 - RICHS TOPPINGS-SODEXO</v>
      </c>
      <c r="C14932" t="s">
        <v>222</v>
      </c>
      <c r="D14932" s="1" t="str">
        <f t="shared" si="414"/>
        <v>PRG-1043939</v>
      </c>
      <c r="E14932" t="s">
        <v>79</v>
      </c>
      <c r="F14932" t="s">
        <v>4</v>
      </c>
      <c r="G14932" t="str">
        <f>""</f>
        <v/>
      </c>
    </row>
    <row r="14933" spans="1:7" x14ac:dyDescent="0.25">
      <c r="A14933" t="s">
        <v>8</v>
      </c>
      <c r="B14933" s="1" t="str">
        <f>"000052395 - RICHS TOPPINGS-SODEXO"</f>
        <v>000052395 - RICHS TOPPINGS-SODEXO</v>
      </c>
      <c r="C14933" t="s">
        <v>222</v>
      </c>
      <c r="D14933" s="1" t="str">
        <f t="shared" si="414"/>
        <v>PRG-1043939</v>
      </c>
      <c r="E14933" t="s">
        <v>79</v>
      </c>
      <c r="F14933" t="s">
        <v>4</v>
      </c>
      <c r="G14933" t="str">
        <f>""</f>
        <v/>
      </c>
    </row>
    <row r="14934" spans="1:7" x14ac:dyDescent="0.25">
      <c r="A14934" t="s">
        <v>8</v>
      </c>
      <c r="B14934" s="1" t="str">
        <f>"000054330 - RICHS TOPPINGS-SODEXO"</f>
        <v>000054330 - RICHS TOPPINGS-SODEXO</v>
      </c>
      <c r="C14934" t="s">
        <v>222</v>
      </c>
      <c r="D14934" s="1" t="str">
        <f t="shared" si="414"/>
        <v>PRG-1043939</v>
      </c>
      <c r="E14934" t="s">
        <v>79</v>
      </c>
      <c r="F14934" t="s">
        <v>4</v>
      </c>
      <c r="G14934" t="str">
        <f>""</f>
        <v/>
      </c>
    </row>
    <row r="14935" spans="1:7" x14ac:dyDescent="0.25">
      <c r="A14935" t="s">
        <v>8</v>
      </c>
      <c r="B14935" s="1" t="str">
        <f>"000054427 - RICHS TOPPINGS-SODEXO"</f>
        <v>000054427 - RICHS TOPPINGS-SODEXO</v>
      </c>
      <c r="C14935" t="s">
        <v>222</v>
      </c>
      <c r="D14935" s="1" t="str">
        <f t="shared" si="414"/>
        <v>PRG-1043939</v>
      </c>
      <c r="E14935" t="s">
        <v>79</v>
      </c>
      <c r="F14935" t="s">
        <v>4</v>
      </c>
      <c r="G14935" t="str">
        <f>""</f>
        <v/>
      </c>
    </row>
    <row r="14936" spans="1:7" x14ac:dyDescent="0.25">
      <c r="A14936" t="s">
        <v>8</v>
      </c>
      <c r="B14936" s="1" t="str">
        <f>"000056896 - RICHS TOPPINGS-SODEXO"</f>
        <v>000056896 - RICHS TOPPINGS-SODEXO</v>
      </c>
      <c r="C14936" t="s">
        <v>222</v>
      </c>
      <c r="D14936" s="1" t="str">
        <f t="shared" si="414"/>
        <v>PRG-1043939</v>
      </c>
      <c r="E14936" t="s">
        <v>79</v>
      </c>
      <c r="F14936" t="s">
        <v>4</v>
      </c>
      <c r="G14936" t="str">
        <f>""</f>
        <v/>
      </c>
    </row>
    <row r="14937" spans="1:7" x14ac:dyDescent="0.25">
      <c r="A14937" t="s">
        <v>8</v>
      </c>
      <c r="B14937" s="1" t="str">
        <f>"000059101 - RICHS TOPPINGS-SODEXO"</f>
        <v>000059101 - RICHS TOPPINGS-SODEXO</v>
      </c>
      <c r="C14937" t="s">
        <v>222</v>
      </c>
      <c r="D14937" s="1" t="str">
        <f t="shared" si="414"/>
        <v>PRG-1043939</v>
      </c>
      <c r="E14937" t="s">
        <v>79</v>
      </c>
      <c r="F14937" t="s">
        <v>4</v>
      </c>
      <c r="G14937" t="str">
        <f>""</f>
        <v/>
      </c>
    </row>
    <row r="14938" spans="1:7" x14ac:dyDescent="0.25">
      <c r="A14938" t="s">
        <v>8</v>
      </c>
      <c r="B14938" s="1" t="str">
        <f>"000061050 - RICHS TOPPINGS-SODEXO"</f>
        <v>000061050 - RICHS TOPPINGS-SODEXO</v>
      </c>
      <c r="C14938" t="s">
        <v>222</v>
      </c>
      <c r="D14938" s="1" t="str">
        <f t="shared" si="414"/>
        <v>PRG-1043939</v>
      </c>
      <c r="E14938" t="s">
        <v>79</v>
      </c>
      <c r="F14938" t="s">
        <v>4</v>
      </c>
      <c r="G14938" t="str">
        <f>""</f>
        <v/>
      </c>
    </row>
    <row r="14939" spans="1:7" x14ac:dyDescent="0.25">
      <c r="A14939" t="s">
        <v>8</v>
      </c>
      <c r="B14939" s="1" t="str">
        <f>"000063719 - RICHS TOPPINGS-SODEXO"</f>
        <v>000063719 - RICHS TOPPINGS-SODEXO</v>
      </c>
      <c r="C14939" t="s">
        <v>222</v>
      </c>
      <c r="D14939" s="1" t="str">
        <f t="shared" si="414"/>
        <v>PRG-1043939</v>
      </c>
      <c r="E14939" t="s">
        <v>79</v>
      </c>
      <c r="F14939" t="s">
        <v>4</v>
      </c>
      <c r="G14939" t="str">
        <f>""</f>
        <v/>
      </c>
    </row>
    <row r="14940" spans="1:7" x14ac:dyDescent="0.25">
      <c r="A14940" t="s">
        <v>8</v>
      </c>
      <c r="B14940" s="1" t="str">
        <f>"000073706 - RICHS TOPPINGS-SODEXO"</f>
        <v>000073706 - RICHS TOPPINGS-SODEXO</v>
      </c>
      <c r="C14940" t="s">
        <v>222</v>
      </c>
      <c r="D14940" s="1" t="str">
        <f t="shared" si="414"/>
        <v>PRG-1043939</v>
      </c>
      <c r="E14940" t="s">
        <v>79</v>
      </c>
      <c r="F14940" t="s">
        <v>4</v>
      </c>
      <c r="G14940" t="str">
        <f>""</f>
        <v/>
      </c>
    </row>
    <row r="14941" spans="1:7" x14ac:dyDescent="0.25">
      <c r="A14941" t="s">
        <v>8</v>
      </c>
      <c r="B14941" s="1" t="str">
        <f>"000076306 - RICHS TOPPINGS-SODEXO"</f>
        <v>000076306 - RICHS TOPPINGS-SODEXO</v>
      </c>
      <c r="C14941" t="s">
        <v>222</v>
      </c>
      <c r="D14941" s="1" t="str">
        <f t="shared" ref="D14941:D15004" si="415">"PRG-1043939"</f>
        <v>PRG-1043939</v>
      </c>
      <c r="E14941" t="s">
        <v>79</v>
      </c>
      <c r="F14941" t="s">
        <v>4</v>
      </c>
      <c r="G14941" t="str">
        <f>""</f>
        <v/>
      </c>
    </row>
    <row r="14942" spans="1:7" x14ac:dyDescent="0.25">
      <c r="A14942" t="s">
        <v>8</v>
      </c>
      <c r="B14942" s="1" t="str">
        <f>"000079420 - RICHS TOPPINGS-SODEXO"</f>
        <v>000079420 - RICHS TOPPINGS-SODEXO</v>
      </c>
      <c r="C14942" t="s">
        <v>222</v>
      </c>
      <c r="D14942" s="1" t="str">
        <f t="shared" si="415"/>
        <v>PRG-1043939</v>
      </c>
      <c r="E14942" t="s">
        <v>79</v>
      </c>
      <c r="F14942" t="s">
        <v>4</v>
      </c>
      <c r="G14942" t="str">
        <f>""</f>
        <v/>
      </c>
    </row>
    <row r="14943" spans="1:7" x14ac:dyDescent="0.25">
      <c r="A14943" t="s">
        <v>8</v>
      </c>
      <c r="B14943" s="1" t="str">
        <f>"000080341 - RICHS WHIPPED TOPPINGS-SODEXO"</f>
        <v>000080341 - RICHS WHIPPED TOPPINGS-SODEXO</v>
      </c>
      <c r="C14943" t="s">
        <v>419</v>
      </c>
      <c r="D14943" s="1" t="str">
        <f t="shared" si="415"/>
        <v>PRG-1043939</v>
      </c>
      <c r="E14943" t="s">
        <v>79</v>
      </c>
      <c r="F14943" t="s">
        <v>4</v>
      </c>
      <c r="G14943" t="str">
        <f>""</f>
        <v/>
      </c>
    </row>
    <row r="14944" spans="1:7" x14ac:dyDescent="0.25">
      <c r="A14944" t="s">
        <v>8</v>
      </c>
      <c r="B14944" s="1" t="str">
        <f>"000081923 - RICHS WHIPPED TOPPINGS-SODEXO"</f>
        <v>000081923 - RICHS WHIPPED TOPPINGS-SODEXO</v>
      </c>
      <c r="C14944" t="s">
        <v>419</v>
      </c>
      <c r="D14944" s="1" t="str">
        <f t="shared" si="415"/>
        <v>PRG-1043939</v>
      </c>
      <c r="E14944" t="s">
        <v>79</v>
      </c>
      <c r="F14944" t="s">
        <v>4</v>
      </c>
      <c r="G14944" t="str">
        <f>""</f>
        <v/>
      </c>
    </row>
    <row r="14945" spans="1:7" x14ac:dyDescent="0.25">
      <c r="A14945" t="s">
        <v>8</v>
      </c>
      <c r="B14945" s="1" t="str">
        <f>"000084321 - RICHS WHIPPED TOPPINGS-SODEXO"</f>
        <v>000084321 - RICHS WHIPPED TOPPINGS-SODEXO</v>
      </c>
      <c r="C14945" t="s">
        <v>419</v>
      </c>
      <c r="D14945" s="1" t="str">
        <f t="shared" si="415"/>
        <v>PRG-1043939</v>
      </c>
      <c r="E14945" t="s">
        <v>79</v>
      </c>
      <c r="F14945" t="s">
        <v>4</v>
      </c>
      <c r="G14945" t="str">
        <f>""</f>
        <v/>
      </c>
    </row>
    <row r="14946" spans="1:7" x14ac:dyDescent="0.25">
      <c r="A14946" t="s">
        <v>8</v>
      </c>
      <c r="B14946" s="1" t="str">
        <f>"000084615 - RICHS TOPPINGS-SODEXO"</f>
        <v>000084615 - RICHS TOPPINGS-SODEXO</v>
      </c>
      <c r="C14946" t="s">
        <v>222</v>
      </c>
      <c r="D14946" s="1" t="str">
        <f t="shared" si="415"/>
        <v>PRG-1043939</v>
      </c>
      <c r="E14946" t="s">
        <v>79</v>
      </c>
      <c r="F14946" t="s">
        <v>4</v>
      </c>
      <c r="G14946" t="str">
        <f>""</f>
        <v/>
      </c>
    </row>
    <row r="14947" spans="1:7" x14ac:dyDescent="0.25">
      <c r="A14947" t="s">
        <v>8</v>
      </c>
      <c r="B14947" s="1" t="str">
        <f>"000085199 - RICHS TOPPINGS-SODEXO"</f>
        <v>000085199 - RICHS TOPPINGS-SODEXO</v>
      </c>
      <c r="C14947" t="s">
        <v>222</v>
      </c>
      <c r="D14947" s="1" t="str">
        <f t="shared" si="415"/>
        <v>PRG-1043939</v>
      </c>
      <c r="E14947" t="s">
        <v>79</v>
      </c>
      <c r="F14947" t="s">
        <v>4</v>
      </c>
      <c r="G14947" t="str">
        <f>""</f>
        <v/>
      </c>
    </row>
    <row r="14948" spans="1:7" x14ac:dyDescent="0.25">
      <c r="A14948" t="s">
        <v>8</v>
      </c>
      <c r="B14948" s="1" t="str">
        <f>"000086210 - RICHS WHIPPED TOPPINGS-SODEXO"</f>
        <v>000086210 - RICHS WHIPPED TOPPINGS-SODEXO</v>
      </c>
      <c r="C14948" t="s">
        <v>419</v>
      </c>
      <c r="D14948" s="1" t="str">
        <f t="shared" si="415"/>
        <v>PRG-1043939</v>
      </c>
      <c r="E14948" t="s">
        <v>79</v>
      </c>
      <c r="F14948" t="s">
        <v>4</v>
      </c>
      <c r="G14948" t="str">
        <f>""</f>
        <v/>
      </c>
    </row>
    <row r="14949" spans="1:7" x14ac:dyDescent="0.25">
      <c r="A14949" t="s">
        <v>8</v>
      </c>
      <c r="B14949" s="1" t="str">
        <f>"000089917 - RICHS TOPPINGS-SODEXO"</f>
        <v>000089917 - RICHS TOPPINGS-SODEXO</v>
      </c>
      <c r="C14949" t="s">
        <v>222</v>
      </c>
      <c r="D14949" s="1" t="str">
        <f t="shared" si="415"/>
        <v>PRG-1043939</v>
      </c>
      <c r="E14949" t="s">
        <v>79</v>
      </c>
      <c r="F14949" t="s">
        <v>4</v>
      </c>
      <c r="G14949" t="str">
        <f>""</f>
        <v/>
      </c>
    </row>
    <row r="14950" spans="1:7" x14ac:dyDescent="0.25">
      <c r="A14950" t="s">
        <v>8</v>
      </c>
      <c r="B14950" s="1" t="str">
        <f>"000090249 - RICHS TOPPINGS-SODEXO"</f>
        <v>000090249 - RICHS TOPPINGS-SODEXO</v>
      </c>
      <c r="C14950" t="s">
        <v>222</v>
      </c>
      <c r="D14950" s="1" t="str">
        <f t="shared" si="415"/>
        <v>PRG-1043939</v>
      </c>
      <c r="E14950" t="s">
        <v>79</v>
      </c>
      <c r="F14950" t="s">
        <v>4</v>
      </c>
      <c r="G14950" t="str">
        <f>""</f>
        <v/>
      </c>
    </row>
    <row r="14951" spans="1:7" x14ac:dyDescent="0.25">
      <c r="A14951" t="s">
        <v>8</v>
      </c>
      <c r="B14951" s="1" t="str">
        <f>"000090331 - RICHS TOPPINGS-SODEXO"</f>
        <v>000090331 - RICHS TOPPINGS-SODEXO</v>
      </c>
      <c r="C14951" t="s">
        <v>222</v>
      </c>
      <c r="D14951" s="1" t="str">
        <f t="shared" si="415"/>
        <v>PRG-1043939</v>
      </c>
      <c r="E14951" t="s">
        <v>79</v>
      </c>
      <c r="F14951" t="s">
        <v>4</v>
      </c>
      <c r="G14951" t="str">
        <f>""</f>
        <v/>
      </c>
    </row>
    <row r="14952" spans="1:7" x14ac:dyDescent="0.25">
      <c r="A14952" t="s">
        <v>8</v>
      </c>
      <c r="B14952" s="1" t="str">
        <f>"000095266 - RICHS TOPPINGS-SODEXO"</f>
        <v>000095266 - RICHS TOPPINGS-SODEXO</v>
      </c>
      <c r="C14952" t="s">
        <v>222</v>
      </c>
      <c r="D14952" s="1" t="str">
        <f t="shared" si="415"/>
        <v>PRG-1043939</v>
      </c>
      <c r="E14952" t="s">
        <v>79</v>
      </c>
      <c r="F14952" t="s">
        <v>4</v>
      </c>
      <c r="G14952" t="str">
        <f>""</f>
        <v/>
      </c>
    </row>
    <row r="14953" spans="1:7" x14ac:dyDescent="0.25">
      <c r="A14953" t="s">
        <v>8</v>
      </c>
      <c r="B14953" s="1" t="str">
        <f>"000095910 - RICHS TOPPINGS-SODEXO"</f>
        <v>000095910 - RICHS TOPPINGS-SODEXO</v>
      </c>
      <c r="C14953" t="s">
        <v>222</v>
      </c>
      <c r="D14953" s="1" t="str">
        <f t="shared" si="415"/>
        <v>PRG-1043939</v>
      </c>
      <c r="E14953" t="s">
        <v>79</v>
      </c>
      <c r="F14953" t="s">
        <v>4</v>
      </c>
      <c r="G14953" t="str">
        <f>""</f>
        <v/>
      </c>
    </row>
    <row r="14954" spans="1:7" x14ac:dyDescent="0.25">
      <c r="A14954" t="s">
        <v>8</v>
      </c>
      <c r="B14954" s="1" t="str">
        <f>"000096970 - RICHS TOPPINGS-SODEXO"</f>
        <v>000096970 - RICHS TOPPINGS-SODEXO</v>
      </c>
      <c r="C14954" t="s">
        <v>222</v>
      </c>
      <c r="D14954" s="1" t="str">
        <f t="shared" si="415"/>
        <v>PRG-1043939</v>
      </c>
      <c r="E14954" t="s">
        <v>79</v>
      </c>
      <c r="F14954" t="s">
        <v>4</v>
      </c>
      <c r="G14954" t="str">
        <f>""</f>
        <v/>
      </c>
    </row>
    <row r="14955" spans="1:7" x14ac:dyDescent="0.25">
      <c r="A14955" t="s">
        <v>8</v>
      </c>
      <c r="B14955" s="1" t="str">
        <f>"000101015 - RICHS WHIPPED TOPPINGS-SODEXO"</f>
        <v>000101015 - RICHS WHIPPED TOPPINGS-SODEXO</v>
      </c>
      <c r="C14955" t="s">
        <v>419</v>
      </c>
      <c r="D14955" s="1" t="str">
        <f t="shared" si="415"/>
        <v>PRG-1043939</v>
      </c>
      <c r="E14955" t="s">
        <v>79</v>
      </c>
      <c r="F14955" t="s">
        <v>4</v>
      </c>
      <c r="G14955" t="str">
        <f>""</f>
        <v/>
      </c>
    </row>
    <row r="14956" spans="1:7" x14ac:dyDescent="0.25">
      <c r="A14956" t="s">
        <v>8</v>
      </c>
      <c r="B14956" s="1" t="str">
        <f>"000107318 - RICHS TOPPINGS-SODEXO"</f>
        <v>000107318 - RICHS TOPPINGS-SODEXO</v>
      </c>
      <c r="C14956" t="s">
        <v>222</v>
      </c>
      <c r="D14956" s="1" t="str">
        <f t="shared" si="415"/>
        <v>PRG-1043939</v>
      </c>
      <c r="E14956" t="s">
        <v>79</v>
      </c>
      <c r="F14956" t="s">
        <v>4</v>
      </c>
      <c r="G14956" t="str">
        <f>""</f>
        <v/>
      </c>
    </row>
    <row r="14957" spans="1:7" x14ac:dyDescent="0.25">
      <c r="A14957" t="s">
        <v>8</v>
      </c>
      <c r="B14957" s="1" t="str">
        <f>"000111324 - RICHS TOPPINGS-SODEXO"</f>
        <v>000111324 - RICHS TOPPINGS-SODEXO</v>
      </c>
      <c r="C14957" t="s">
        <v>222</v>
      </c>
      <c r="D14957" s="1" t="str">
        <f t="shared" si="415"/>
        <v>PRG-1043939</v>
      </c>
      <c r="E14957" t="s">
        <v>79</v>
      </c>
      <c r="F14957" t="s">
        <v>4</v>
      </c>
      <c r="G14957" t="str">
        <f>""</f>
        <v/>
      </c>
    </row>
    <row r="14958" spans="1:7" x14ac:dyDescent="0.25">
      <c r="A14958" t="s">
        <v>8</v>
      </c>
      <c r="B14958" s="1" t="str">
        <f>"000112712 - RICHS TOPPINGS-SODEXO"</f>
        <v>000112712 - RICHS TOPPINGS-SODEXO</v>
      </c>
      <c r="C14958" t="s">
        <v>222</v>
      </c>
      <c r="D14958" s="1" t="str">
        <f t="shared" si="415"/>
        <v>PRG-1043939</v>
      </c>
      <c r="E14958" t="s">
        <v>79</v>
      </c>
      <c r="F14958" t="s">
        <v>4</v>
      </c>
      <c r="G14958" t="str">
        <f>""</f>
        <v/>
      </c>
    </row>
    <row r="14959" spans="1:7" x14ac:dyDescent="0.25">
      <c r="A14959" t="s">
        <v>8</v>
      </c>
      <c r="B14959" s="1" t="str">
        <f>"000114421 - RICHS TOPPINGS-SODEXO"</f>
        <v>000114421 - RICHS TOPPINGS-SODEXO</v>
      </c>
      <c r="C14959" t="s">
        <v>222</v>
      </c>
      <c r="D14959" s="1" t="str">
        <f t="shared" si="415"/>
        <v>PRG-1043939</v>
      </c>
      <c r="E14959" t="s">
        <v>79</v>
      </c>
      <c r="F14959" t="s">
        <v>4</v>
      </c>
      <c r="G14959" t="str">
        <f>""</f>
        <v/>
      </c>
    </row>
    <row r="14960" spans="1:7" x14ac:dyDescent="0.25">
      <c r="A14960" t="s">
        <v>8</v>
      </c>
      <c r="B14960" s="1" t="str">
        <f>"000144862 - RICHS TOPPINGS-SODEXO"</f>
        <v>000144862 - RICHS TOPPINGS-SODEXO</v>
      </c>
      <c r="C14960" t="s">
        <v>222</v>
      </c>
      <c r="D14960" s="1" t="str">
        <f t="shared" si="415"/>
        <v>PRG-1043939</v>
      </c>
      <c r="E14960" t="s">
        <v>79</v>
      </c>
      <c r="F14960" t="s">
        <v>4</v>
      </c>
      <c r="G14960" t="str">
        <f>""</f>
        <v/>
      </c>
    </row>
    <row r="14961" spans="1:7" x14ac:dyDescent="0.25">
      <c r="A14961" t="s">
        <v>8</v>
      </c>
      <c r="B14961" s="1" t="str">
        <f>"000145496 - RICHS TOPPINGS-SODEXO"</f>
        <v>000145496 - RICHS TOPPINGS-SODEXO</v>
      </c>
      <c r="C14961" t="s">
        <v>222</v>
      </c>
      <c r="D14961" s="1" t="str">
        <f t="shared" si="415"/>
        <v>PRG-1043939</v>
      </c>
      <c r="E14961" t="s">
        <v>79</v>
      </c>
      <c r="F14961" t="s">
        <v>4</v>
      </c>
      <c r="G14961" t="str">
        <f>""</f>
        <v/>
      </c>
    </row>
    <row r="14962" spans="1:7" x14ac:dyDescent="0.25">
      <c r="A14962" t="s">
        <v>8</v>
      </c>
      <c r="B14962" s="1" t="str">
        <f>"000145536 - RICHS TOPPINGS-SODEXO"</f>
        <v>000145536 - RICHS TOPPINGS-SODEXO</v>
      </c>
      <c r="C14962" t="s">
        <v>222</v>
      </c>
      <c r="D14962" s="1" t="str">
        <f t="shared" si="415"/>
        <v>PRG-1043939</v>
      </c>
      <c r="E14962" t="s">
        <v>79</v>
      </c>
      <c r="F14962" t="s">
        <v>4</v>
      </c>
      <c r="G14962" t="str">
        <f>""</f>
        <v/>
      </c>
    </row>
    <row r="14963" spans="1:7" x14ac:dyDescent="0.25">
      <c r="A14963" t="s">
        <v>8</v>
      </c>
      <c r="B14963" s="1" t="str">
        <f>"000149723 - RICHS TOPPINGS-SODEXO"</f>
        <v>000149723 - RICHS TOPPINGS-SODEXO</v>
      </c>
      <c r="C14963" t="s">
        <v>222</v>
      </c>
      <c r="D14963" s="1" t="str">
        <f t="shared" si="415"/>
        <v>PRG-1043939</v>
      </c>
      <c r="E14963" t="s">
        <v>79</v>
      </c>
      <c r="F14963" t="s">
        <v>4</v>
      </c>
      <c r="G14963" t="str">
        <f>""</f>
        <v/>
      </c>
    </row>
    <row r="14964" spans="1:7" x14ac:dyDescent="0.25">
      <c r="A14964" t="s">
        <v>8</v>
      </c>
      <c r="B14964" s="1" t="str">
        <f>"000150381 - RICHS TOPPINGS-SODEXO"</f>
        <v>000150381 - RICHS TOPPINGS-SODEXO</v>
      </c>
      <c r="C14964" t="s">
        <v>222</v>
      </c>
      <c r="D14964" s="1" t="str">
        <f t="shared" si="415"/>
        <v>PRG-1043939</v>
      </c>
      <c r="E14964" t="s">
        <v>79</v>
      </c>
      <c r="F14964" t="s">
        <v>4</v>
      </c>
      <c r="G14964" t="str">
        <f>""</f>
        <v/>
      </c>
    </row>
    <row r="14965" spans="1:7" x14ac:dyDescent="0.25">
      <c r="A14965" t="s">
        <v>8</v>
      </c>
      <c r="B14965" s="1" t="str">
        <f>"000153548 - RICHS WHIPPED TOPPINGS-SODEXO"</f>
        <v>000153548 - RICHS WHIPPED TOPPINGS-SODEXO</v>
      </c>
      <c r="C14965" t="s">
        <v>419</v>
      </c>
      <c r="D14965" s="1" t="str">
        <f t="shared" si="415"/>
        <v>PRG-1043939</v>
      </c>
      <c r="E14965" t="s">
        <v>79</v>
      </c>
      <c r="F14965" t="s">
        <v>4</v>
      </c>
      <c r="G14965" t="str">
        <f>""</f>
        <v/>
      </c>
    </row>
    <row r="14966" spans="1:7" x14ac:dyDescent="0.25">
      <c r="A14966" t="s">
        <v>8</v>
      </c>
      <c r="B14966" s="1" t="str">
        <f>"000154973 - RICHS WHIPPED TOPPINGS-SODEXO"</f>
        <v>000154973 - RICHS WHIPPED TOPPINGS-SODEXO</v>
      </c>
      <c r="C14966" t="s">
        <v>419</v>
      </c>
      <c r="D14966" s="1" t="str">
        <f t="shared" si="415"/>
        <v>PRG-1043939</v>
      </c>
      <c r="E14966" t="s">
        <v>79</v>
      </c>
      <c r="F14966" t="s">
        <v>4</v>
      </c>
      <c r="G14966" t="str">
        <f>""</f>
        <v/>
      </c>
    </row>
    <row r="14967" spans="1:7" x14ac:dyDescent="0.25">
      <c r="A14967" t="s">
        <v>8</v>
      </c>
      <c r="B14967" s="1" t="str">
        <f>"000155011 - RICHS WHIPPED TOPPINGS-SODEXO"</f>
        <v>000155011 - RICHS WHIPPED TOPPINGS-SODEXO</v>
      </c>
      <c r="C14967" t="s">
        <v>419</v>
      </c>
      <c r="D14967" s="1" t="str">
        <f t="shared" si="415"/>
        <v>PRG-1043939</v>
      </c>
      <c r="E14967" t="s">
        <v>79</v>
      </c>
      <c r="F14967" t="s">
        <v>4</v>
      </c>
      <c r="G14967" t="str">
        <f>""</f>
        <v/>
      </c>
    </row>
    <row r="14968" spans="1:7" x14ac:dyDescent="0.25">
      <c r="A14968" t="s">
        <v>8</v>
      </c>
      <c r="B14968" s="1" t="str">
        <f>"000156821 - RICHS WHIPPED TOPPINGS-SODEXO"</f>
        <v>000156821 - RICHS WHIPPED TOPPINGS-SODEXO</v>
      </c>
      <c r="C14968" t="s">
        <v>419</v>
      </c>
      <c r="D14968" s="1" t="str">
        <f t="shared" si="415"/>
        <v>PRG-1043939</v>
      </c>
      <c r="E14968" t="s">
        <v>79</v>
      </c>
      <c r="F14968" t="s">
        <v>4</v>
      </c>
      <c r="G14968" t="str">
        <f>""</f>
        <v/>
      </c>
    </row>
    <row r="14969" spans="1:7" x14ac:dyDescent="0.25">
      <c r="A14969" t="s">
        <v>8</v>
      </c>
      <c r="B14969" s="1" t="str">
        <f>"000158228 - RICHS TOPPINGS-SODEXO"</f>
        <v>000158228 - RICHS TOPPINGS-SODEXO</v>
      </c>
      <c r="C14969" t="s">
        <v>222</v>
      </c>
      <c r="D14969" s="1" t="str">
        <f t="shared" si="415"/>
        <v>PRG-1043939</v>
      </c>
      <c r="E14969" t="s">
        <v>79</v>
      </c>
      <c r="F14969" t="s">
        <v>4</v>
      </c>
      <c r="G14969" t="str">
        <f>""</f>
        <v/>
      </c>
    </row>
    <row r="14970" spans="1:7" x14ac:dyDescent="0.25">
      <c r="A14970" t="s">
        <v>8</v>
      </c>
      <c r="B14970" s="1" t="str">
        <f>"000160725 - RICHS TOPPINGS-SODEXO"</f>
        <v>000160725 - RICHS TOPPINGS-SODEXO</v>
      </c>
      <c r="C14970" t="s">
        <v>222</v>
      </c>
      <c r="D14970" s="1" t="str">
        <f t="shared" si="415"/>
        <v>PRG-1043939</v>
      </c>
      <c r="E14970" t="s">
        <v>79</v>
      </c>
      <c r="F14970" t="s">
        <v>4</v>
      </c>
      <c r="G14970" t="str">
        <f>""</f>
        <v/>
      </c>
    </row>
    <row r="14971" spans="1:7" x14ac:dyDescent="0.25">
      <c r="A14971" t="s">
        <v>8</v>
      </c>
      <c r="B14971" s="1" t="str">
        <f>"000161448 - RICHS TOPPINGS-SODEXO"</f>
        <v>000161448 - RICHS TOPPINGS-SODEXO</v>
      </c>
      <c r="C14971" t="s">
        <v>222</v>
      </c>
      <c r="D14971" s="1" t="str">
        <f t="shared" si="415"/>
        <v>PRG-1043939</v>
      </c>
      <c r="E14971" t="s">
        <v>79</v>
      </c>
      <c r="F14971" t="s">
        <v>4</v>
      </c>
      <c r="G14971" t="str">
        <f>""</f>
        <v/>
      </c>
    </row>
    <row r="14972" spans="1:7" x14ac:dyDescent="0.25">
      <c r="A14972" t="s">
        <v>8</v>
      </c>
      <c r="B14972" s="1" t="str">
        <f>"000162162 - RICHS TOPPINGS-SODEXO"</f>
        <v>000162162 - RICHS TOPPINGS-SODEXO</v>
      </c>
      <c r="C14972" t="s">
        <v>222</v>
      </c>
      <c r="D14972" s="1" t="str">
        <f t="shared" si="415"/>
        <v>PRG-1043939</v>
      </c>
      <c r="E14972" t="s">
        <v>79</v>
      </c>
      <c r="F14972" t="s">
        <v>4</v>
      </c>
      <c r="G14972" t="str">
        <f>""</f>
        <v/>
      </c>
    </row>
    <row r="14973" spans="1:7" x14ac:dyDescent="0.25">
      <c r="A14973" t="s">
        <v>8</v>
      </c>
      <c r="B14973" s="1" t="str">
        <f>"000162855 - RICHS TOPPINGS-SODEXO"</f>
        <v>000162855 - RICHS TOPPINGS-SODEXO</v>
      </c>
      <c r="C14973" t="s">
        <v>222</v>
      </c>
      <c r="D14973" s="1" t="str">
        <f t="shared" si="415"/>
        <v>PRG-1043939</v>
      </c>
      <c r="E14973" t="s">
        <v>79</v>
      </c>
      <c r="F14973" t="s">
        <v>4</v>
      </c>
      <c r="G14973" t="str">
        <f>""</f>
        <v/>
      </c>
    </row>
    <row r="14974" spans="1:7" x14ac:dyDescent="0.25">
      <c r="A14974" t="s">
        <v>8</v>
      </c>
      <c r="B14974" s="1" t="str">
        <f>"000165361 - RICHS TOPPINGS-SODEXO"</f>
        <v>000165361 - RICHS TOPPINGS-SODEXO</v>
      </c>
      <c r="C14974" t="s">
        <v>222</v>
      </c>
      <c r="D14974" s="1" t="str">
        <f t="shared" si="415"/>
        <v>PRG-1043939</v>
      </c>
      <c r="E14974" t="s">
        <v>79</v>
      </c>
      <c r="F14974" t="s">
        <v>4</v>
      </c>
      <c r="G14974" t="str">
        <f>""</f>
        <v/>
      </c>
    </row>
    <row r="14975" spans="1:7" x14ac:dyDescent="0.25">
      <c r="A14975" t="s">
        <v>8</v>
      </c>
      <c r="B14975" s="1" t="str">
        <f>"000166783 - RICHS TOPPINGS-SODEXO"</f>
        <v>000166783 - RICHS TOPPINGS-SODEXO</v>
      </c>
      <c r="C14975" t="s">
        <v>222</v>
      </c>
      <c r="D14975" s="1" t="str">
        <f t="shared" si="415"/>
        <v>PRG-1043939</v>
      </c>
      <c r="E14975" t="s">
        <v>79</v>
      </c>
      <c r="F14975" t="s">
        <v>4</v>
      </c>
      <c r="G14975" t="str">
        <f>""</f>
        <v/>
      </c>
    </row>
    <row r="14976" spans="1:7" x14ac:dyDescent="0.25">
      <c r="A14976" t="s">
        <v>8</v>
      </c>
      <c r="B14976" s="1" t="str">
        <f>"000166936 - RICHS TOPPINGS-SODEXO"</f>
        <v>000166936 - RICHS TOPPINGS-SODEXO</v>
      </c>
      <c r="C14976" t="s">
        <v>222</v>
      </c>
      <c r="D14976" s="1" t="str">
        <f t="shared" si="415"/>
        <v>PRG-1043939</v>
      </c>
      <c r="E14976" t="s">
        <v>79</v>
      </c>
      <c r="F14976" t="s">
        <v>4</v>
      </c>
      <c r="G14976" t="str">
        <f>""</f>
        <v/>
      </c>
    </row>
    <row r="14977" spans="1:7" x14ac:dyDescent="0.25">
      <c r="A14977" t="s">
        <v>8</v>
      </c>
      <c r="B14977" s="1" t="str">
        <f>"000168322 - RICHS TOPPINGS-SODEXO"</f>
        <v>000168322 - RICHS TOPPINGS-SODEXO</v>
      </c>
      <c r="C14977" t="s">
        <v>222</v>
      </c>
      <c r="D14977" s="1" t="str">
        <f t="shared" si="415"/>
        <v>PRG-1043939</v>
      </c>
      <c r="E14977" t="s">
        <v>79</v>
      </c>
      <c r="F14977" t="s">
        <v>4</v>
      </c>
      <c r="G14977" t="str">
        <f>""</f>
        <v/>
      </c>
    </row>
    <row r="14978" spans="1:7" x14ac:dyDescent="0.25">
      <c r="A14978" t="s">
        <v>8</v>
      </c>
      <c r="B14978" s="1" t="str">
        <f>"000169111 - RICHS TOPPINGS-SODEXO"</f>
        <v>000169111 - RICHS TOPPINGS-SODEXO</v>
      </c>
      <c r="C14978" t="s">
        <v>222</v>
      </c>
      <c r="D14978" s="1" t="str">
        <f t="shared" si="415"/>
        <v>PRG-1043939</v>
      </c>
      <c r="E14978" t="s">
        <v>79</v>
      </c>
      <c r="F14978" t="s">
        <v>4</v>
      </c>
      <c r="G14978" t="str">
        <f>""</f>
        <v/>
      </c>
    </row>
    <row r="14979" spans="1:7" x14ac:dyDescent="0.25">
      <c r="A14979" t="s">
        <v>8</v>
      </c>
      <c r="B14979" s="1" t="str">
        <f>"000170898 - RICHS TOPPINGS-SODEXO"</f>
        <v>000170898 - RICHS TOPPINGS-SODEXO</v>
      </c>
      <c r="C14979" t="s">
        <v>222</v>
      </c>
      <c r="D14979" s="1" t="str">
        <f t="shared" si="415"/>
        <v>PRG-1043939</v>
      </c>
      <c r="E14979" t="s">
        <v>79</v>
      </c>
      <c r="F14979" t="s">
        <v>4</v>
      </c>
      <c r="G14979" t="str">
        <f>""</f>
        <v/>
      </c>
    </row>
    <row r="14980" spans="1:7" x14ac:dyDescent="0.25">
      <c r="A14980" t="s">
        <v>8</v>
      </c>
      <c r="B14980" s="1" t="str">
        <f>"000171954 - RICHS TOPPINGS-SODEXO"</f>
        <v>000171954 - RICHS TOPPINGS-SODEXO</v>
      </c>
      <c r="C14980" t="s">
        <v>222</v>
      </c>
      <c r="D14980" s="1" t="str">
        <f t="shared" si="415"/>
        <v>PRG-1043939</v>
      </c>
      <c r="E14980" t="s">
        <v>79</v>
      </c>
      <c r="F14980" t="s">
        <v>4</v>
      </c>
      <c r="G14980" t="str">
        <f>""</f>
        <v/>
      </c>
    </row>
    <row r="14981" spans="1:7" x14ac:dyDescent="0.25">
      <c r="A14981" t="s">
        <v>8</v>
      </c>
      <c r="B14981" s="1" t="str">
        <f>"000172503 - RICHS TOPPINGS-SODEXO"</f>
        <v>000172503 - RICHS TOPPINGS-SODEXO</v>
      </c>
      <c r="C14981" t="s">
        <v>222</v>
      </c>
      <c r="D14981" s="1" t="str">
        <f t="shared" si="415"/>
        <v>PRG-1043939</v>
      </c>
      <c r="E14981" t="s">
        <v>79</v>
      </c>
      <c r="F14981" t="s">
        <v>4</v>
      </c>
      <c r="G14981" t="str">
        <f>""</f>
        <v/>
      </c>
    </row>
    <row r="14982" spans="1:7" x14ac:dyDescent="0.25">
      <c r="A14982" t="s">
        <v>8</v>
      </c>
      <c r="B14982" s="1" t="str">
        <f>"000173477 - RICHS TOPPINGS-SODEXO"</f>
        <v>000173477 - RICHS TOPPINGS-SODEXO</v>
      </c>
      <c r="C14982" t="s">
        <v>222</v>
      </c>
      <c r="D14982" s="1" t="str">
        <f t="shared" si="415"/>
        <v>PRG-1043939</v>
      </c>
      <c r="E14982" t="s">
        <v>79</v>
      </c>
      <c r="F14982" t="s">
        <v>4</v>
      </c>
      <c r="G14982" t="str">
        <f>""</f>
        <v/>
      </c>
    </row>
    <row r="14983" spans="1:7" x14ac:dyDescent="0.25">
      <c r="A14983" t="s">
        <v>8</v>
      </c>
      <c r="B14983" s="1" t="str">
        <f>"000174536 - RICHS WHIPPED TOPPINGS-SODEXO"</f>
        <v>000174536 - RICHS WHIPPED TOPPINGS-SODEXO</v>
      </c>
      <c r="C14983" t="s">
        <v>419</v>
      </c>
      <c r="D14983" s="1" t="str">
        <f t="shared" si="415"/>
        <v>PRG-1043939</v>
      </c>
      <c r="E14983" t="s">
        <v>79</v>
      </c>
      <c r="F14983" t="s">
        <v>4</v>
      </c>
      <c r="G14983" t="str">
        <f>""</f>
        <v/>
      </c>
    </row>
    <row r="14984" spans="1:7" x14ac:dyDescent="0.25">
      <c r="A14984" t="s">
        <v>8</v>
      </c>
      <c r="B14984" s="1" t="str">
        <f>"000176314 - RICHS TOPPINGS-SODEXO"</f>
        <v>000176314 - RICHS TOPPINGS-SODEXO</v>
      </c>
      <c r="C14984" t="s">
        <v>222</v>
      </c>
      <c r="D14984" s="1" t="str">
        <f t="shared" si="415"/>
        <v>PRG-1043939</v>
      </c>
      <c r="E14984" t="s">
        <v>79</v>
      </c>
      <c r="F14984" t="s">
        <v>4</v>
      </c>
      <c r="G14984" t="str">
        <f>""</f>
        <v/>
      </c>
    </row>
    <row r="14985" spans="1:7" x14ac:dyDescent="0.25">
      <c r="A14985" t="s">
        <v>8</v>
      </c>
      <c r="B14985" s="1" t="str">
        <f>"000177189 - RICHS WHIPPED TOPPINGS-SODEXO"</f>
        <v>000177189 - RICHS WHIPPED TOPPINGS-SODEXO</v>
      </c>
      <c r="C14985" t="s">
        <v>419</v>
      </c>
      <c r="D14985" s="1" t="str">
        <f t="shared" si="415"/>
        <v>PRG-1043939</v>
      </c>
      <c r="E14985" t="s">
        <v>79</v>
      </c>
      <c r="F14985" t="s">
        <v>4</v>
      </c>
      <c r="G14985" t="str">
        <f>""</f>
        <v/>
      </c>
    </row>
    <row r="14986" spans="1:7" x14ac:dyDescent="0.25">
      <c r="A14986" t="s">
        <v>8</v>
      </c>
      <c r="B14986" s="1" t="str">
        <f>"000178978 - RICHS TOPPINGS-SODEXO"</f>
        <v>000178978 - RICHS TOPPINGS-SODEXO</v>
      </c>
      <c r="C14986" t="s">
        <v>222</v>
      </c>
      <c r="D14986" s="1" t="str">
        <f t="shared" si="415"/>
        <v>PRG-1043939</v>
      </c>
      <c r="E14986" t="s">
        <v>79</v>
      </c>
      <c r="F14986" t="s">
        <v>4</v>
      </c>
      <c r="G14986" t="str">
        <f>""</f>
        <v/>
      </c>
    </row>
    <row r="14987" spans="1:7" x14ac:dyDescent="0.25">
      <c r="A14987" t="s">
        <v>8</v>
      </c>
      <c r="B14987" s="1" t="str">
        <f>"000179022 - RICHS WHIPPED TOPPINGS-SODEXO"</f>
        <v>000179022 - RICHS WHIPPED TOPPINGS-SODEXO</v>
      </c>
      <c r="C14987" t="s">
        <v>419</v>
      </c>
      <c r="D14987" s="1" t="str">
        <f t="shared" si="415"/>
        <v>PRG-1043939</v>
      </c>
      <c r="E14987" t="s">
        <v>79</v>
      </c>
      <c r="F14987" t="s">
        <v>4</v>
      </c>
      <c r="G14987" t="str">
        <f>""</f>
        <v/>
      </c>
    </row>
    <row r="14988" spans="1:7" x14ac:dyDescent="0.25">
      <c r="A14988" t="s">
        <v>8</v>
      </c>
      <c r="B14988" s="1" t="str">
        <f>"000180157 - RICHS WHIPPED TOPPINGS-SODEXO"</f>
        <v>000180157 - RICHS WHIPPED TOPPINGS-SODEXO</v>
      </c>
      <c r="C14988" t="s">
        <v>419</v>
      </c>
      <c r="D14988" s="1" t="str">
        <f t="shared" si="415"/>
        <v>PRG-1043939</v>
      </c>
      <c r="E14988" t="s">
        <v>79</v>
      </c>
      <c r="F14988" t="s">
        <v>4</v>
      </c>
      <c r="G14988" t="str">
        <f>""</f>
        <v/>
      </c>
    </row>
    <row r="14989" spans="1:7" x14ac:dyDescent="0.25">
      <c r="A14989" t="s">
        <v>8</v>
      </c>
      <c r="B14989" s="1" t="str">
        <f>"000181593 - RICHS WHIPPED TOPPINGS-SODEXO"</f>
        <v>000181593 - RICHS WHIPPED TOPPINGS-SODEXO</v>
      </c>
      <c r="C14989" t="s">
        <v>419</v>
      </c>
      <c r="D14989" s="1" t="str">
        <f t="shared" si="415"/>
        <v>PRG-1043939</v>
      </c>
      <c r="E14989" t="s">
        <v>79</v>
      </c>
      <c r="F14989" t="s">
        <v>4</v>
      </c>
      <c r="G14989" t="str">
        <f>""</f>
        <v/>
      </c>
    </row>
    <row r="14990" spans="1:7" x14ac:dyDescent="0.25">
      <c r="A14990" t="s">
        <v>8</v>
      </c>
      <c r="B14990" s="1" t="str">
        <f>"000183014 - RICHS TOPPINGS-SODEXO"</f>
        <v>000183014 - RICHS TOPPINGS-SODEXO</v>
      </c>
      <c r="C14990" t="s">
        <v>222</v>
      </c>
      <c r="D14990" s="1" t="str">
        <f t="shared" si="415"/>
        <v>PRG-1043939</v>
      </c>
      <c r="E14990" t="s">
        <v>79</v>
      </c>
      <c r="F14990" t="s">
        <v>4</v>
      </c>
      <c r="G14990" t="str">
        <f>""</f>
        <v/>
      </c>
    </row>
    <row r="14991" spans="1:7" x14ac:dyDescent="0.25">
      <c r="A14991" t="s">
        <v>8</v>
      </c>
      <c r="B14991" s="1" t="str">
        <f>"000183589 - RICHS WHIPPED TOPPINGS-SODEXO"</f>
        <v>000183589 - RICHS WHIPPED TOPPINGS-SODEXO</v>
      </c>
      <c r="C14991" t="s">
        <v>419</v>
      </c>
      <c r="D14991" s="1" t="str">
        <f t="shared" si="415"/>
        <v>PRG-1043939</v>
      </c>
      <c r="E14991" t="s">
        <v>79</v>
      </c>
      <c r="F14991" t="s">
        <v>4</v>
      </c>
      <c r="G14991" t="str">
        <f>""</f>
        <v/>
      </c>
    </row>
    <row r="14992" spans="1:7" x14ac:dyDescent="0.25">
      <c r="A14992" t="s">
        <v>8</v>
      </c>
      <c r="B14992" s="1" t="str">
        <f>"000184772 - RICHS TOPPINGS-SODEXO"</f>
        <v>000184772 - RICHS TOPPINGS-SODEXO</v>
      </c>
      <c r="C14992" t="s">
        <v>222</v>
      </c>
      <c r="D14992" s="1" t="str">
        <f t="shared" si="415"/>
        <v>PRG-1043939</v>
      </c>
      <c r="E14992" t="s">
        <v>79</v>
      </c>
      <c r="F14992" t="s">
        <v>4</v>
      </c>
      <c r="G14992" t="str">
        <f>""</f>
        <v/>
      </c>
    </row>
    <row r="14993" spans="1:7" x14ac:dyDescent="0.25">
      <c r="A14993" t="s">
        <v>8</v>
      </c>
      <c r="B14993" s="1" t="str">
        <f>"000185362 - RICHS WHIPPED TOPPINGS-SODEXO"</f>
        <v>000185362 - RICHS WHIPPED TOPPINGS-SODEXO</v>
      </c>
      <c r="C14993" t="s">
        <v>419</v>
      </c>
      <c r="D14993" s="1" t="str">
        <f t="shared" si="415"/>
        <v>PRG-1043939</v>
      </c>
      <c r="E14993" t="s">
        <v>79</v>
      </c>
      <c r="F14993" t="s">
        <v>4</v>
      </c>
      <c r="G14993" t="str">
        <f>""</f>
        <v/>
      </c>
    </row>
    <row r="14994" spans="1:7" x14ac:dyDescent="0.25">
      <c r="A14994" t="s">
        <v>8</v>
      </c>
      <c r="B14994" s="1" t="str">
        <f>"000188789 - RICHS TOPPINGS-SODEXO"</f>
        <v>000188789 - RICHS TOPPINGS-SODEXO</v>
      </c>
      <c r="C14994" t="s">
        <v>222</v>
      </c>
      <c r="D14994" s="1" t="str">
        <f t="shared" si="415"/>
        <v>PRG-1043939</v>
      </c>
      <c r="E14994" t="s">
        <v>79</v>
      </c>
      <c r="F14994" t="s">
        <v>4</v>
      </c>
      <c r="G14994" t="str">
        <f>""</f>
        <v/>
      </c>
    </row>
    <row r="14995" spans="1:7" x14ac:dyDescent="0.25">
      <c r="A14995" t="s">
        <v>8</v>
      </c>
      <c r="B14995" s="1" t="str">
        <f>"000189253 - RICHS TOPPINGS-SODEXO"</f>
        <v>000189253 - RICHS TOPPINGS-SODEXO</v>
      </c>
      <c r="C14995" t="s">
        <v>222</v>
      </c>
      <c r="D14995" s="1" t="str">
        <f t="shared" si="415"/>
        <v>PRG-1043939</v>
      </c>
      <c r="E14995" t="s">
        <v>79</v>
      </c>
      <c r="F14995" t="s">
        <v>4</v>
      </c>
      <c r="G14995" t="str">
        <f>""</f>
        <v/>
      </c>
    </row>
    <row r="14996" spans="1:7" x14ac:dyDescent="0.25">
      <c r="A14996" t="s">
        <v>8</v>
      </c>
      <c r="B14996" s="1" t="str">
        <f>"000189324 - RICHS TOPPINGS-SODEXO"</f>
        <v>000189324 - RICHS TOPPINGS-SODEXO</v>
      </c>
      <c r="C14996" t="s">
        <v>222</v>
      </c>
      <c r="D14996" s="1" t="str">
        <f t="shared" si="415"/>
        <v>PRG-1043939</v>
      </c>
      <c r="E14996" t="s">
        <v>79</v>
      </c>
      <c r="F14996" t="s">
        <v>4</v>
      </c>
      <c r="G14996" t="str">
        <f>""</f>
        <v/>
      </c>
    </row>
    <row r="14997" spans="1:7" x14ac:dyDescent="0.25">
      <c r="A14997" t="s">
        <v>8</v>
      </c>
      <c r="B14997" s="1" t="str">
        <f>"000190839 - RICHS TOPPINGS-SODEXO"</f>
        <v>000190839 - RICHS TOPPINGS-SODEXO</v>
      </c>
      <c r="C14997" t="s">
        <v>222</v>
      </c>
      <c r="D14997" s="1" t="str">
        <f t="shared" si="415"/>
        <v>PRG-1043939</v>
      </c>
      <c r="E14997" t="s">
        <v>79</v>
      </c>
      <c r="F14997" t="s">
        <v>4</v>
      </c>
      <c r="G14997" t="str">
        <f>""</f>
        <v/>
      </c>
    </row>
    <row r="14998" spans="1:7" x14ac:dyDescent="0.25">
      <c r="A14998" t="s">
        <v>8</v>
      </c>
      <c r="B14998" s="1" t="str">
        <f>"000192323 - RICHS TOPPINGS-SODEXO"</f>
        <v>000192323 - RICHS TOPPINGS-SODEXO</v>
      </c>
      <c r="C14998" t="s">
        <v>222</v>
      </c>
      <c r="D14998" s="1" t="str">
        <f t="shared" si="415"/>
        <v>PRG-1043939</v>
      </c>
      <c r="E14998" t="s">
        <v>79</v>
      </c>
      <c r="F14998" t="s">
        <v>4</v>
      </c>
      <c r="G14998" t="str">
        <f>""</f>
        <v/>
      </c>
    </row>
    <row r="14999" spans="1:7" x14ac:dyDescent="0.25">
      <c r="A14999" t="s">
        <v>8</v>
      </c>
      <c r="B14999" s="1" t="str">
        <f>"000194000 - RICHS TOPPINGS-SODEXO"</f>
        <v>000194000 - RICHS TOPPINGS-SODEXO</v>
      </c>
      <c r="C14999" t="s">
        <v>222</v>
      </c>
      <c r="D14999" s="1" t="str">
        <f t="shared" si="415"/>
        <v>PRG-1043939</v>
      </c>
      <c r="E14999" t="s">
        <v>79</v>
      </c>
      <c r="F14999" t="s">
        <v>4</v>
      </c>
      <c r="G14999" t="str">
        <f>""</f>
        <v/>
      </c>
    </row>
    <row r="15000" spans="1:7" x14ac:dyDescent="0.25">
      <c r="A15000" t="s">
        <v>8</v>
      </c>
      <c r="B15000" s="1" t="str">
        <f>"000195665 - RICHS TOPPINGS-SODEXO"</f>
        <v>000195665 - RICHS TOPPINGS-SODEXO</v>
      </c>
      <c r="C15000" t="s">
        <v>222</v>
      </c>
      <c r="D15000" s="1" t="str">
        <f t="shared" si="415"/>
        <v>PRG-1043939</v>
      </c>
      <c r="E15000" t="s">
        <v>79</v>
      </c>
      <c r="F15000" t="s">
        <v>4</v>
      </c>
      <c r="G15000" t="str">
        <f>""</f>
        <v/>
      </c>
    </row>
    <row r="15001" spans="1:7" x14ac:dyDescent="0.25">
      <c r="A15001" t="s">
        <v>8</v>
      </c>
      <c r="B15001" s="1" t="str">
        <f>"000197273 - RICHS TOPPINGS-SODEXO"</f>
        <v>000197273 - RICHS TOPPINGS-SODEXO</v>
      </c>
      <c r="C15001" t="s">
        <v>222</v>
      </c>
      <c r="D15001" s="1" t="str">
        <f t="shared" si="415"/>
        <v>PRG-1043939</v>
      </c>
      <c r="E15001" t="s">
        <v>79</v>
      </c>
      <c r="F15001" t="s">
        <v>4</v>
      </c>
      <c r="G15001" t="str">
        <f>""</f>
        <v/>
      </c>
    </row>
    <row r="15002" spans="1:7" x14ac:dyDescent="0.25">
      <c r="A15002" t="s">
        <v>8</v>
      </c>
      <c r="B15002" s="1" t="str">
        <f>"000201789 - RICHS WHIPPED TOPPINGS-SODEXO"</f>
        <v>000201789 - RICHS WHIPPED TOPPINGS-SODEXO</v>
      </c>
      <c r="C15002" t="s">
        <v>419</v>
      </c>
      <c r="D15002" s="1" t="str">
        <f t="shared" si="415"/>
        <v>PRG-1043939</v>
      </c>
      <c r="E15002" t="s">
        <v>79</v>
      </c>
      <c r="F15002" t="s">
        <v>4</v>
      </c>
      <c r="G15002" t="str">
        <f>""</f>
        <v/>
      </c>
    </row>
    <row r="15003" spans="1:7" x14ac:dyDescent="0.25">
      <c r="A15003" t="s">
        <v>8</v>
      </c>
      <c r="B15003" s="1" t="str">
        <f>"000203517 - RICHS WHIPPED TOPPINGS-SODEXO"</f>
        <v>000203517 - RICHS WHIPPED TOPPINGS-SODEXO</v>
      </c>
      <c r="C15003" t="s">
        <v>419</v>
      </c>
      <c r="D15003" s="1" t="str">
        <f t="shared" si="415"/>
        <v>PRG-1043939</v>
      </c>
      <c r="E15003" t="s">
        <v>79</v>
      </c>
      <c r="F15003" t="s">
        <v>4</v>
      </c>
      <c r="G15003" t="str">
        <f>""</f>
        <v/>
      </c>
    </row>
    <row r="15004" spans="1:7" x14ac:dyDescent="0.25">
      <c r="A15004" t="s">
        <v>8</v>
      </c>
      <c r="B15004" s="1" t="str">
        <f>"000206365 - RICHS TOPPINGS-SODEXO"</f>
        <v>000206365 - RICHS TOPPINGS-SODEXO</v>
      </c>
      <c r="C15004" t="s">
        <v>222</v>
      </c>
      <c r="D15004" s="1" t="str">
        <f t="shared" si="415"/>
        <v>PRG-1043939</v>
      </c>
      <c r="E15004" t="s">
        <v>79</v>
      </c>
      <c r="F15004" t="s">
        <v>4</v>
      </c>
      <c r="G15004" t="str">
        <f>""</f>
        <v/>
      </c>
    </row>
    <row r="15005" spans="1:7" x14ac:dyDescent="0.25">
      <c r="A15005" t="s">
        <v>8</v>
      </c>
      <c r="B15005" s="1" t="str">
        <f>"000207207 - RICHS TOPPINGS-SODEXO"</f>
        <v>000207207 - RICHS TOPPINGS-SODEXO</v>
      </c>
      <c r="C15005" t="s">
        <v>222</v>
      </c>
      <c r="D15005" s="1" t="str">
        <f t="shared" ref="D15005:D15068" si="416">"PRG-1043939"</f>
        <v>PRG-1043939</v>
      </c>
      <c r="E15005" t="s">
        <v>79</v>
      </c>
      <c r="F15005" t="s">
        <v>4</v>
      </c>
      <c r="G15005" t="str">
        <f>""</f>
        <v/>
      </c>
    </row>
    <row r="15006" spans="1:7" x14ac:dyDescent="0.25">
      <c r="A15006" t="s">
        <v>8</v>
      </c>
      <c r="B15006" s="1" t="str">
        <f>"000208744 - RICHS TOPPINGS-SODEXO"</f>
        <v>000208744 - RICHS TOPPINGS-SODEXO</v>
      </c>
      <c r="C15006" t="s">
        <v>222</v>
      </c>
      <c r="D15006" s="1" t="str">
        <f t="shared" si="416"/>
        <v>PRG-1043939</v>
      </c>
      <c r="E15006" t="s">
        <v>79</v>
      </c>
      <c r="F15006" t="s">
        <v>4</v>
      </c>
      <c r="G15006" t="str">
        <f>""</f>
        <v/>
      </c>
    </row>
    <row r="15007" spans="1:7" x14ac:dyDescent="0.25">
      <c r="A15007" t="s">
        <v>8</v>
      </c>
      <c r="B15007" s="1" t="str">
        <f>"000212362 - RICHS TOPPINGS-SODEXO"</f>
        <v>000212362 - RICHS TOPPINGS-SODEXO</v>
      </c>
      <c r="C15007" t="s">
        <v>222</v>
      </c>
      <c r="D15007" s="1" t="str">
        <f t="shared" si="416"/>
        <v>PRG-1043939</v>
      </c>
      <c r="E15007" t="s">
        <v>79</v>
      </c>
      <c r="F15007" t="s">
        <v>4</v>
      </c>
      <c r="G15007" t="str">
        <f>""</f>
        <v/>
      </c>
    </row>
    <row r="15008" spans="1:7" x14ac:dyDescent="0.25">
      <c r="A15008" t="s">
        <v>8</v>
      </c>
      <c r="B15008" s="1" t="str">
        <f>"000212648 - RICHS TOPPINGS-SODEXO"</f>
        <v>000212648 - RICHS TOPPINGS-SODEXO</v>
      </c>
      <c r="C15008" t="s">
        <v>222</v>
      </c>
      <c r="D15008" s="1" t="str">
        <f t="shared" si="416"/>
        <v>PRG-1043939</v>
      </c>
      <c r="E15008" t="s">
        <v>79</v>
      </c>
      <c r="F15008" t="s">
        <v>4</v>
      </c>
      <c r="G15008" t="str">
        <f>""</f>
        <v/>
      </c>
    </row>
    <row r="15009" spans="1:7" x14ac:dyDescent="0.25">
      <c r="A15009" t="s">
        <v>8</v>
      </c>
      <c r="B15009" s="1" t="str">
        <f>"000216152 - RICHS TOPPINGS-SODEXO"</f>
        <v>000216152 - RICHS TOPPINGS-SODEXO</v>
      </c>
      <c r="C15009" t="s">
        <v>222</v>
      </c>
      <c r="D15009" s="1" t="str">
        <f t="shared" si="416"/>
        <v>PRG-1043939</v>
      </c>
      <c r="E15009" t="s">
        <v>79</v>
      </c>
      <c r="F15009" t="s">
        <v>4</v>
      </c>
      <c r="G15009" t="str">
        <f>""</f>
        <v/>
      </c>
    </row>
    <row r="15010" spans="1:7" x14ac:dyDescent="0.25">
      <c r="A15010" t="s">
        <v>8</v>
      </c>
      <c r="B15010" s="1" t="str">
        <f>"000219700 - RICHS WHIPPED TOPPINGS-SODEXO"</f>
        <v>000219700 - RICHS WHIPPED TOPPINGS-SODEXO</v>
      </c>
      <c r="C15010" t="s">
        <v>419</v>
      </c>
      <c r="D15010" s="1" t="str">
        <f t="shared" si="416"/>
        <v>PRG-1043939</v>
      </c>
      <c r="E15010" t="s">
        <v>79</v>
      </c>
      <c r="F15010" t="s">
        <v>4</v>
      </c>
      <c r="G15010" t="str">
        <f>""</f>
        <v/>
      </c>
    </row>
    <row r="15011" spans="1:7" x14ac:dyDescent="0.25">
      <c r="A15011" t="s">
        <v>8</v>
      </c>
      <c r="B15011" s="1" t="str">
        <f>"000220975 - RICHS WHIPPED TOPPINGS-SODEXO"</f>
        <v>000220975 - RICHS WHIPPED TOPPINGS-SODEXO</v>
      </c>
      <c r="C15011" t="s">
        <v>419</v>
      </c>
      <c r="D15011" s="1" t="str">
        <f t="shared" si="416"/>
        <v>PRG-1043939</v>
      </c>
      <c r="E15011" t="s">
        <v>79</v>
      </c>
      <c r="F15011" t="s">
        <v>4</v>
      </c>
      <c r="G15011" t="str">
        <f>""</f>
        <v/>
      </c>
    </row>
    <row r="15012" spans="1:7" x14ac:dyDescent="0.25">
      <c r="A15012" t="s">
        <v>8</v>
      </c>
      <c r="B15012" s="1" t="str">
        <f>"000223804 - RICHS TOPPINGS-SODEXO"</f>
        <v>000223804 - RICHS TOPPINGS-SODEXO</v>
      </c>
      <c r="C15012" t="s">
        <v>222</v>
      </c>
      <c r="D15012" s="1" t="str">
        <f t="shared" si="416"/>
        <v>PRG-1043939</v>
      </c>
      <c r="E15012" t="s">
        <v>79</v>
      </c>
      <c r="F15012" t="s">
        <v>4</v>
      </c>
      <c r="G15012" t="str">
        <f>""</f>
        <v/>
      </c>
    </row>
    <row r="15013" spans="1:7" x14ac:dyDescent="0.25">
      <c r="A15013" t="s">
        <v>8</v>
      </c>
      <c r="B15013" s="1" t="str">
        <f>"000228228 - RICHS TOPPINGS-SODEXO"</f>
        <v>000228228 - RICHS TOPPINGS-SODEXO</v>
      </c>
      <c r="C15013" t="s">
        <v>222</v>
      </c>
      <c r="D15013" s="1" t="str">
        <f t="shared" si="416"/>
        <v>PRG-1043939</v>
      </c>
      <c r="E15013" t="s">
        <v>79</v>
      </c>
      <c r="F15013" t="s">
        <v>4</v>
      </c>
      <c r="G15013" t="str">
        <f>""</f>
        <v/>
      </c>
    </row>
    <row r="15014" spans="1:7" x14ac:dyDescent="0.25">
      <c r="A15014" t="s">
        <v>8</v>
      </c>
      <c r="B15014" s="1" t="str">
        <f>"000230350 - RICHS TOPPINGS-SODEXO"</f>
        <v>000230350 - RICHS TOPPINGS-SODEXO</v>
      </c>
      <c r="C15014" t="s">
        <v>222</v>
      </c>
      <c r="D15014" s="1" t="str">
        <f t="shared" si="416"/>
        <v>PRG-1043939</v>
      </c>
      <c r="E15014" t="s">
        <v>79</v>
      </c>
      <c r="F15014" t="s">
        <v>4</v>
      </c>
      <c r="G15014" t="str">
        <f>""</f>
        <v/>
      </c>
    </row>
    <row r="15015" spans="1:7" x14ac:dyDescent="0.25">
      <c r="A15015" t="s">
        <v>8</v>
      </c>
      <c r="B15015" s="1" t="str">
        <f>"000235637 - RICHS TOPPINGS-SODEXO"</f>
        <v>000235637 - RICHS TOPPINGS-SODEXO</v>
      </c>
      <c r="C15015" t="s">
        <v>222</v>
      </c>
      <c r="D15015" s="1" t="str">
        <f t="shared" si="416"/>
        <v>PRG-1043939</v>
      </c>
      <c r="E15015" t="s">
        <v>79</v>
      </c>
      <c r="F15015" t="s">
        <v>4</v>
      </c>
      <c r="G15015" t="str">
        <f>""</f>
        <v/>
      </c>
    </row>
    <row r="15016" spans="1:7" x14ac:dyDescent="0.25">
      <c r="A15016" t="s">
        <v>8</v>
      </c>
      <c r="B15016" s="1" t="str">
        <f>"000235644 - RICHS TOPPINGS-SODEXO"</f>
        <v>000235644 - RICHS TOPPINGS-SODEXO</v>
      </c>
      <c r="C15016" t="s">
        <v>222</v>
      </c>
      <c r="D15016" s="1" t="str">
        <f t="shared" si="416"/>
        <v>PRG-1043939</v>
      </c>
      <c r="E15016" t="s">
        <v>79</v>
      </c>
      <c r="F15016" t="s">
        <v>4</v>
      </c>
      <c r="G15016" t="str">
        <f>""</f>
        <v/>
      </c>
    </row>
    <row r="15017" spans="1:7" x14ac:dyDescent="0.25">
      <c r="A15017" t="s">
        <v>8</v>
      </c>
      <c r="B15017" s="1" t="str">
        <f>"000235919 - RICHS TOPPINGS-SODEXO"</f>
        <v>000235919 - RICHS TOPPINGS-SODEXO</v>
      </c>
      <c r="C15017" t="s">
        <v>222</v>
      </c>
      <c r="D15017" s="1" t="str">
        <f t="shared" si="416"/>
        <v>PRG-1043939</v>
      </c>
      <c r="E15017" t="s">
        <v>79</v>
      </c>
      <c r="F15017" t="s">
        <v>4</v>
      </c>
      <c r="G15017" t="str">
        <f>""</f>
        <v/>
      </c>
    </row>
    <row r="15018" spans="1:7" x14ac:dyDescent="0.25">
      <c r="A15018" t="s">
        <v>8</v>
      </c>
      <c r="B15018" s="1" t="str">
        <f>"000238130 - RICHS TOPPINGS-SODEXO"</f>
        <v>000238130 - RICHS TOPPINGS-SODEXO</v>
      </c>
      <c r="C15018" t="s">
        <v>222</v>
      </c>
      <c r="D15018" s="1" t="str">
        <f t="shared" si="416"/>
        <v>PRG-1043939</v>
      </c>
      <c r="E15018" t="s">
        <v>79</v>
      </c>
      <c r="F15018" t="s">
        <v>4</v>
      </c>
      <c r="G15018" t="str">
        <f>""</f>
        <v/>
      </c>
    </row>
    <row r="15019" spans="1:7" x14ac:dyDescent="0.25">
      <c r="A15019" t="s">
        <v>8</v>
      </c>
      <c r="B15019" s="1" t="str">
        <f>"000241469 - RICHS TOPPINGS-SODEXO"</f>
        <v>000241469 - RICHS TOPPINGS-SODEXO</v>
      </c>
      <c r="C15019" t="s">
        <v>222</v>
      </c>
      <c r="D15019" s="1" t="str">
        <f t="shared" si="416"/>
        <v>PRG-1043939</v>
      </c>
      <c r="E15019" t="s">
        <v>79</v>
      </c>
      <c r="F15019" t="s">
        <v>4</v>
      </c>
      <c r="G15019" t="str">
        <f>""</f>
        <v/>
      </c>
    </row>
    <row r="15020" spans="1:7" x14ac:dyDescent="0.25">
      <c r="A15020" t="s">
        <v>8</v>
      </c>
      <c r="B15020" s="1" t="str">
        <f>"000241501 - RICHS TOPPINGS-SODEXO"</f>
        <v>000241501 - RICHS TOPPINGS-SODEXO</v>
      </c>
      <c r="C15020" t="s">
        <v>222</v>
      </c>
      <c r="D15020" s="1" t="str">
        <f t="shared" si="416"/>
        <v>PRG-1043939</v>
      </c>
      <c r="E15020" t="s">
        <v>79</v>
      </c>
      <c r="F15020" t="s">
        <v>4</v>
      </c>
      <c r="G15020" t="str">
        <f>""</f>
        <v/>
      </c>
    </row>
    <row r="15021" spans="1:7" x14ac:dyDescent="0.25">
      <c r="A15021" t="s">
        <v>8</v>
      </c>
      <c r="B15021" s="1" t="str">
        <f>"000241827 - RICHS TOPPINGS-SODEXO"</f>
        <v>000241827 - RICHS TOPPINGS-SODEXO</v>
      </c>
      <c r="C15021" t="s">
        <v>222</v>
      </c>
      <c r="D15021" s="1" t="str">
        <f t="shared" si="416"/>
        <v>PRG-1043939</v>
      </c>
      <c r="E15021" t="s">
        <v>79</v>
      </c>
      <c r="F15021" t="s">
        <v>4</v>
      </c>
      <c r="G15021" t="str">
        <f>""</f>
        <v/>
      </c>
    </row>
    <row r="15022" spans="1:7" x14ac:dyDescent="0.25">
      <c r="A15022" t="s">
        <v>8</v>
      </c>
      <c r="B15022" s="1" t="str">
        <f>"000243842 - RICHS TOPPINGS-SODEXO"</f>
        <v>000243842 - RICHS TOPPINGS-SODEXO</v>
      </c>
      <c r="C15022" t="s">
        <v>222</v>
      </c>
      <c r="D15022" s="1" t="str">
        <f t="shared" si="416"/>
        <v>PRG-1043939</v>
      </c>
      <c r="E15022" t="s">
        <v>79</v>
      </c>
      <c r="F15022" t="s">
        <v>4</v>
      </c>
      <c r="G15022" t="str">
        <f>""</f>
        <v/>
      </c>
    </row>
    <row r="15023" spans="1:7" x14ac:dyDescent="0.25">
      <c r="A15023" t="s">
        <v>8</v>
      </c>
      <c r="B15023" s="1" t="str">
        <f>"000244788 - RICHS TOPPINGS-SODEXO"</f>
        <v>000244788 - RICHS TOPPINGS-SODEXO</v>
      </c>
      <c r="C15023" t="s">
        <v>222</v>
      </c>
      <c r="D15023" s="1" t="str">
        <f t="shared" si="416"/>
        <v>PRG-1043939</v>
      </c>
      <c r="E15023" t="s">
        <v>79</v>
      </c>
      <c r="F15023" t="s">
        <v>4</v>
      </c>
      <c r="G15023" t="str">
        <f>""</f>
        <v/>
      </c>
    </row>
    <row r="15024" spans="1:7" x14ac:dyDescent="0.25">
      <c r="A15024" t="s">
        <v>8</v>
      </c>
      <c r="B15024" s="1" t="str">
        <f>"000248319 - RICHS TOPPINGS-SODEXO"</f>
        <v>000248319 - RICHS TOPPINGS-SODEXO</v>
      </c>
      <c r="C15024" t="s">
        <v>222</v>
      </c>
      <c r="D15024" s="1" t="str">
        <f t="shared" si="416"/>
        <v>PRG-1043939</v>
      </c>
      <c r="E15024" t="s">
        <v>79</v>
      </c>
      <c r="F15024" t="s">
        <v>4</v>
      </c>
      <c r="G15024" t="str">
        <f>""</f>
        <v/>
      </c>
    </row>
    <row r="15025" spans="1:7" x14ac:dyDescent="0.25">
      <c r="A15025" t="s">
        <v>8</v>
      </c>
      <c r="B15025" s="1" t="str">
        <f>"000248906 - RICHS TOPPINGS-SODEXO"</f>
        <v>000248906 - RICHS TOPPINGS-SODEXO</v>
      </c>
      <c r="C15025" t="s">
        <v>222</v>
      </c>
      <c r="D15025" s="1" t="str">
        <f t="shared" si="416"/>
        <v>PRG-1043939</v>
      </c>
      <c r="E15025" t="s">
        <v>79</v>
      </c>
      <c r="F15025" t="s">
        <v>4</v>
      </c>
      <c r="G15025" t="str">
        <f>""</f>
        <v/>
      </c>
    </row>
    <row r="15026" spans="1:7" x14ac:dyDescent="0.25">
      <c r="A15026" t="s">
        <v>8</v>
      </c>
      <c r="B15026" s="1" t="str">
        <f>"000250382 - RICHS TOPPINGS-SODEXO"</f>
        <v>000250382 - RICHS TOPPINGS-SODEXO</v>
      </c>
      <c r="C15026" t="s">
        <v>222</v>
      </c>
      <c r="D15026" s="1" t="str">
        <f t="shared" si="416"/>
        <v>PRG-1043939</v>
      </c>
      <c r="E15026" t="s">
        <v>79</v>
      </c>
      <c r="F15026" t="s">
        <v>4</v>
      </c>
      <c r="G15026" t="str">
        <f>""</f>
        <v/>
      </c>
    </row>
    <row r="15027" spans="1:7" x14ac:dyDescent="0.25">
      <c r="A15027" t="s">
        <v>8</v>
      </c>
      <c r="B15027" s="1" t="str">
        <f>"000252235 - RICHS TOPPINGS-SODEXO"</f>
        <v>000252235 - RICHS TOPPINGS-SODEXO</v>
      </c>
      <c r="C15027" t="s">
        <v>222</v>
      </c>
      <c r="D15027" s="1" t="str">
        <f t="shared" si="416"/>
        <v>PRG-1043939</v>
      </c>
      <c r="E15027" t="s">
        <v>79</v>
      </c>
      <c r="F15027" t="s">
        <v>4</v>
      </c>
      <c r="G15027" t="str">
        <f>""</f>
        <v/>
      </c>
    </row>
    <row r="15028" spans="1:7" x14ac:dyDescent="0.25">
      <c r="A15028" t="s">
        <v>8</v>
      </c>
      <c r="B15028" s="1" t="str">
        <f>"000252736 - RICHS TOPPINGS-SODEXO"</f>
        <v>000252736 - RICHS TOPPINGS-SODEXO</v>
      </c>
      <c r="C15028" t="s">
        <v>222</v>
      </c>
      <c r="D15028" s="1" t="str">
        <f t="shared" si="416"/>
        <v>PRG-1043939</v>
      </c>
      <c r="E15028" t="s">
        <v>79</v>
      </c>
      <c r="F15028" t="s">
        <v>4</v>
      </c>
      <c r="G15028" t="str">
        <f>""</f>
        <v/>
      </c>
    </row>
    <row r="15029" spans="1:7" x14ac:dyDescent="0.25">
      <c r="A15029" t="s">
        <v>8</v>
      </c>
      <c r="B15029" s="1" t="str">
        <f>"000253489 - RICHS TOPPINGS-SODEXO"</f>
        <v>000253489 - RICHS TOPPINGS-SODEXO</v>
      </c>
      <c r="C15029" t="s">
        <v>222</v>
      </c>
      <c r="D15029" s="1" t="str">
        <f t="shared" si="416"/>
        <v>PRG-1043939</v>
      </c>
      <c r="E15029" t="s">
        <v>79</v>
      </c>
      <c r="F15029" t="s">
        <v>4</v>
      </c>
      <c r="G15029" t="str">
        <f>""</f>
        <v/>
      </c>
    </row>
    <row r="15030" spans="1:7" x14ac:dyDescent="0.25">
      <c r="A15030" t="s">
        <v>8</v>
      </c>
      <c r="B15030" s="1" t="str">
        <f>"000253734 - RICHS WHIPPED TOPPINGS-SODEXO"</f>
        <v>000253734 - RICHS WHIPPED TOPPINGS-SODEXO</v>
      </c>
      <c r="C15030" t="s">
        <v>419</v>
      </c>
      <c r="D15030" s="1" t="str">
        <f t="shared" si="416"/>
        <v>PRG-1043939</v>
      </c>
      <c r="E15030" t="s">
        <v>79</v>
      </c>
      <c r="F15030" t="s">
        <v>4</v>
      </c>
      <c r="G15030" t="str">
        <f>""</f>
        <v/>
      </c>
    </row>
    <row r="15031" spans="1:7" x14ac:dyDescent="0.25">
      <c r="A15031" t="s">
        <v>8</v>
      </c>
      <c r="B15031" s="1" t="str">
        <f>"000253889 - RICHS TOPPINGS-SODEXO"</f>
        <v>000253889 - RICHS TOPPINGS-SODEXO</v>
      </c>
      <c r="C15031" t="s">
        <v>222</v>
      </c>
      <c r="D15031" s="1" t="str">
        <f t="shared" si="416"/>
        <v>PRG-1043939</v>
      </c>
      <c r="E15031" t="s">
        <v>79</v>
      </c>
      <c r="F15031" t="s">
        <v>4</v>
      </c>
      <c r="G15031" t="str">
        <f>""</f>
        <v/>
      </c>
    </row>
    <row r="15032" spans="1:7" x14ac:dyDescent="0.25">
      <c r="A15032" t="s">
        <v>8</v>
      </c>
      <c r="B15032" s="1" t="str">
        <f>"000255760 - RICHS WHIPPED TOPPINGS-SODEXO"</f>
        <v>000255760 - RICHS WHIPPED TOPPINGS-SODEXO</v>
      </c>
      <c r="C15032" t="s">
        <v>419</v>
      </c>
      <c r="D15032" s="1" t="str">
        <f t="shared" si="416"/>
        <v>PRG-1043939</v>
      </c>
      <c r="E15032" t="s">
        <v>79</v>
      </c>
      <c r="F15032" t="s">
        <v>4</v>
      </c>
      <c r="G15032" t="str">
        <f>""</f>
        <v/>
      </c>
    </row>
    <row r="15033" spans="1:7" x14ac:dyDescent="0.25">
      <c r="A15033" t="s">
        <v>8</v>
      </c>
      <c r="B15033" s="1" t="str">
        <f>"000255901 - RICHS WHIPPED TOPPINGS-SODEXO"</f>
        <v>000255901 - RICHS WHIPPED TOPPINGS-SODEXO</v>
      </c>
      <c r="C15033" t="s">
        <v>419</v>
      </c>
      <c r="D15033" s="1" t="str">
        <f t="shared" si="416"/>
        <v>PRG-1043939</v>
      </c>
      <c r="E15033" t="s">
        <v>79</v>
      </c>
      <c r="F15033" t="s">
        <v>4</v>
      </c>
      <c r="G15033" t="str">
        <f>""</f>
        <v/>
      </c>
    </row>
    <row r="15034" spans="1:7" x14ac:dyDescent="0.25">
      <c r="A15034" t="s">
        <v>8</v>
      </c>
      <c r="B15034" s="1" t="str">
        <f>"000257515 - RICHS TOPPINGS-SODEXO"</f>
        <v>000257515 - RICHS TOPPINGS-SODEXO</v>
      </c>
      <c r="C15034" t="s">
        <v>222</v>
      </c>
      <c r="D15034" s="1" t="str">
        <f t="shared" si="416"/>
        <v>PRG-1043939</v>
      </c>
      <c r="E15034" t="s">
        <v>79</v>
      </c>
      <c r="F15034" t="s">
        <v>4</v>
      </c>
      <c r="G15034" t="str">
        <f>""</f>
        <v/>
      </c>
    </row>
    <row r="15035" spans="1:7" x14ac:dyDescent="0.25">
      <c r="A15035" t="s">
        <v>8</v>
      </c>
      <c r="B15035" s="1" t="str">
        <f>"000257704 - RICHS WHIPPED TOPPINGS-SODEXO"</f>
        <v>000257704 - RICHS WHIPPED TOPPINGS-SODEXO</v>
      </c>
      <c r="C15035" t="s">
        <v>419</v>
      </c>
      <c r="D15035" s="1" t="str">
        <f t="shared" si="416"/>
        <v>PRG-1043939</v>
      </c>
      <c r="E15035" t="s">
        <v>79</v>
      </c>
      <c r="F15035" t="s">
        <v>4</v>
      </c>
      <c r="G15035" t="str">
        <f>""</f>
        <v/>
      </c>
    </row>
    <row r="15036" spans="1:7" x14ac:dyDescent="0.25">
      <c r="A15036" t="s">
        <v>8</v>
      </c>
      <c r="B15036" s="1" t="str">
        <f>"000257759 - RICHS TOPPINGS-SODEXO"</f>
        <v>000257759 - RICHS TOPPINGS-SODEXO</v>
      </c>
      <c r="C15036" t="s">
        <v>222</v>
      </c>
      <c r="D15036" s="1" t="str">
        <f t="shared" si="416"/>
        <v>PRG-1043939</v>
      </c>
      <c r="E15036" t="s">
        <v>79</v>
      </c>
      <c r="F15036" t="s">
        <v>4</v>
      </c>
      <c r="G15036" t="str">
        <f>""</f>
        <v/>
      </c>
    </row>
    <row r="15037" spans="1:7" x14ac:dyDescent="0.25">
      <c r="A15037" t="s">
        <v>8</v>
      </c>
      <c r="B15037" s="1" t="str">
        <f>"000257974 - RICHS WHIPPED TOPPINGS-SODEXO"</f>
        <v>000257974 - RICHS WHIPPED TOPPINGS-SODEXO</v>
      </c>
      <c r="C15037" t="s">
        <v>419</v>
      </c>
      <c r="D15037" s="1" t="str">
        <f t="shared" si="416"/>
        <v>PRG-1043939</v>
      </c>
      <c r="E15037" t="s">
        <v>79</v>
      </c>
      <c r="F15037" t="s">
        <v>4</v>
      </c>
      <c r="G15037" t="str">
        <f>""</f>
        <v/>
      </c>
    </row>
    <row r="15038" spans="1:7" x14ac:dyDescent="0.25">
      <c r="A15038" t="s">
        <v>8</v>
      </c>
      <c r="B15038" s="1" t="str">
        <f>"000258683 - RICHS TOPPINGS-SODEXO"</f>
        <v>000258683 - RICHS TOPPINGS-SODEXO</v>
      </c>
      <c r="C15038" t="s">
        <v>222</v>
      </c>
      <c r="D15038" s="1" t="str">
        <f t="shared" si="416"/>
        <v>PRG-1043939</v>
      </c>
      <c r="E15038" t="s">
        <v>79</v>
      </c>
      <c r="F15038" t="s">
        <v>4</v>
      </c>
      <c r="G15038" t="str">
        <f>""</f>
        <v/>
      </c>
    </row>
    <row r="15039" spans="1:7" x14ac:dyDescent="0.25">
      <c r="A15039" t="s">
        <v>8</v>
      </c>
      <c r="B15039" s="1" t="str">
        <f>"000259347 - RICHS WHIPPED TOPPINGS-SODEXO"</f>
        <v>000259347 - RICHS WHIPPED TOPPINGS-SODEXO</v>
      </c>
      <c r="C15039" t="s">
        <v>419</v>
      </c>
      <c r="D15039" s="1" t="str">
        <f t="shared" si="416"/>
        <v>PRG-1043939</v>
      </c>
      <c r="E15039" t="s">
        <v>79</v>
      </c>
      <c r="F15039" t="s">
        <v>4</v>
      </c>
      <c r="G15039" t="str">
        <f>""</f>
        <v/>
      </c>
    </row>
    <row r="15040" spans="1:7" x14ac:dyDescent="0.25">
      <c r="A15040" t="s">
        <v>8</v>
      </c>
      <c r="B15040" s="1" t="str">
        <f>"000259851 - RICHS TOPPINGS-SODEXO"</f>
        <v>000259851 - RICHS TOPPINGS-SODEXO</v>
      </c>
      <c r="C15040" t="s">
        <v>222</v>
      </c>
      <c r="D15040" s="1" t="str">
        <f t="shared" si="416"/>
        <v>PRG-1043939</v>
      </c>
      <c r="E15040" t="s">
        <v>79</v>
      </c>
      <c r="F15040" t="s">
        <v>4</v>
      </c>
      <c r="G15040" t="str">
        <f>""</f>
        <v/>
      </c>
    </row>
    <row r="15041" spans="1:7" x14ac:dyDescent="0.25">
      <c r="A15041" t="s">
        <v>8</v>
      </c>
      <c r="B15041" s="1" t="str">
        <f>"000260254 - BB SODEXO FOB RICH TOPPINGS"</f>
        <v>000260254 - BB SODEXO FOB RICH TOPPINGS</v>
      </c>
      <c r="C15041" t="s">
        <v>1300</v>
      </c>
      <c r="D15041" s="1" t="str">
        <f t="shared" si="416"/>
        <v>PRG-1043939</v>
      </c>
      <c r="E15041" t="s">
        <v>79</v>
      </c>
      <c r="F15041" t="s">
        <v>4</v>
      </c>
      <c r="G15041" t="str">
        <f>""</f>
        <v/>
      </c>
    </row>
    <row r="15042" spans="1:7" x14ac:dyDescent="0.25">
      <c r="A15042" t="s">
        <v>8</v>
      </c>
      <c r="B15042" s="1" t="str">
        <f>"000260309 - RICHS TOPPINGS-SODEXO"</f>
        <v>000260309 - RICHS TOPPINGS-SODEXO</v>
      </c>
      <c r="C15042" t="s">
        <v>222</v>
      </c>
      <c r="D15042" s="1" t="str">
        <f t="shared" si="416"/>
        <v>PRG-1043939</v>
      </c>
      <c r="E15042" t="s">
        <v>79</v>
      </c>
      <c r="F15042" t="s">
        <v>4</v>
      </c>
      <c r="G15042" t="str">
        <f>""</f>
        <v/>
      </c>
    </row>
    <row r="15043" spans="1:7" x14ac:dyDescent="0.25">
      <c r="A15043" t="s">
        <v>8</v>
      </c>
      <c r="B15043" s="1" t="str">
        <f>"000262133 - RICHS TOPPINGS-SODEXO"</f>
        <v>000262133 - RICHS TOPPINGS-SODEXO</v>
      </c>
      <c r="C15043" t="s">
        <v>222</v>
      </c>
      <c r="D15043" s="1" t="str">
        <f t="shared" si="416"/>
        <v>PRG-1043939</v>
      </c>
      <c r="E15043" t="s">
        <v>79</v>
      </c>
      <c r="F15043" t="s">
        <v>4</v>
      </c>
      <c r="G15043" t="str">
        <f>""</f>
        <v/>
      </c>
    </row>
    <row r="15044" spans="1:7" x14ac:dyDescent="0.25">
      <c r="A15044" t="s">
        <v>8</v>
      </c>
      <c r="B15044" s="1" t="str">
        <f>"000262323 - RICHS TOPPINGS-SODEXO"</f>
        <v>000262323 - RICHS TOPPINGS-SODEXO</v>
      </c>
      <c r="C15044" t="s">
        <v>222</v>
      </c>
      <c r="D15044" s="1" t="str">
        <f t="shared" si="416"/>
        <v>PRG-1043939</v>
      </c>
      <c r="E15044" t="s">
        <v>79</v>
      </c>
      <c r="F15044" t="s">
        <v>4</v>
      </c>
      <c r="G15044" t="str">
        <f>""</f>
        <v/>
      </c>
    </row>
    <row r="15045" spans="1:7" x14ac:dyDescent="0.25">
      <c r="A15045" t="s">
        <v>8</v>
      </c>
      <c r="B15045" s="1" t="str">
        <f>"000262438 - RICHS TOPPINGS-SODEXO"</f>
        <v>000262438 - RICHS TOPPINGS-SODEXO</v>
      </c>
      <c r="C15045" t="s">
        <v>222</v>
      </c>
      <c r="D15045" s="1" t="str">
        <f t="shared" si="416"/>
        <v>PRG-1043939</v>
      </c>
      <c r="E15045" t="s">
        <v>79</v>
      </c>
      <c r="F15045" t="s">
        <v>4</v>
      </c>
      <c r="G15045" t="str">
        <f>""</f>
        <v/>
      </c>
    </row>
    <row r="15046" spans="1:7" x14ac:dyDescent="0.25">
      <c r="A15046" t="s">
        <v>8</v>
      </c>
      <c r="B15046" s="1" t="str">
        <f>"000262588 - RICHS TOPPINGS-SODEXO"</f>
        <v>000262588 - RICHS TOPPINGS-SODEXO</v>
      </c>
      <c r="C15046" t="s">
        <v>222</v>
      </c>
      <c r="D15046" s="1" t="str">
        <f t="shared" si="416"/>
        <v>PRG-1043939</v>
      </c>
      <c r="E15046" t="s">
        <v>79</v>
      </c>
      <c r="F15046" t="s">
        <v>4</v>
      </c>
      <c r="G15046" t="str">
        <f>""</f>
        <v/>
      </c>
    </row>
    <row r="15047" spans="1:7" x14ac:dyDescent="0.25">
      <c r="A15047" t="s">
        <v>8</v>
      </c>
      <c r="B15047" s="1" t="str">
        <f>"000262686 - RICHS TOPPINGS-SODEXO"</f>
        <v>000262686 - RICHS TOPPINGS-SODEXO</v>
      </c>
      <c r="C15047" t="s">
        <v>222</v>
      </c>
      <c r="D15047" s="1" t="str">
        <f t="shared" si="416"/>
        <v>PRG-1043939</v>
      </c>
      <c r="E15047" t="s">
        <v>79</v>
      </c>
      <c r="F15047" t="s">
        <v>4</v>
      </c>
      <c r="G15047" t="str">
        <f>""</f>
        <v/>
      </c>
    </row>
    <row r="15048" spans="1:7" x14ac:dyDescent="0.25">
      <c r="A15048" t="s">
        <v>8</v>
      </c>
      <c r="B15048" s="1" t="str">
        <f>"000263309 - RICHS TOPPINGS-SODEXO"</f>
        <v>000263309 - RICHS TOPPINGS-SODEXO</v>
      </c>
      <c r="C15048" t="s">
        <v>222</v>
      </c>
      <c r="D15048" s="1" t="str">
        <f t="shared" si="416"/>
        <v>PRG-1043939</v>
      </c>
      <c r="E15048" t="s">
        <v>79</v>
      </c>
      <c r="F15048" t="s">
        <v>4</v>
      </c>
      <c r="G15048" t="str">
        <f>""</f>
        <v/>
      </c>
    </row>
    <row r="15049" spans="1:7" x14ac:dyDescent="0.25">
      <c r="A15049" t="s">
        <v>8</v>
      </c>
      <c r="B15049" s="1" t="str">
        <f>"000265492 - RICHS TOPPINGS-SODEXO"</f>
        <v>000265492 - RICHS TOPPINGS-SODEXO</v>
      </c>
      <c r="C15049" t="s">
        <v>222</v>
      </c>
      <c r="D15049" s="1" t="str">
        <f t="shared" si="416"/>
        <v>PRG-1043939</v>
      </c>
      <c r="E15049" t="s">
        <v>79</v>
      </c>
      <c r="F15049" t="s">
        <v>4</v>
      </c>
      <c r="G15049" t="str">
        <f>""</f>
        <v/>
      </c>
    </row>
    <row r="15050" spans="1:7" x14ac:dyDescent="0.25">
      <c r="A15050" t="s">
        <v>8</v>
      </c>
      <c r="B15050" s="1" t="str">
        <f>"000265800 - RICHS WHIPPED TOPPINGS-SODEXO"</f>
        <v>000265800 - RICHS WHIPPED TOPPINGS-SODEXO</v>
      </c>
      <c r="C15050" t="s">
        <v>419</v>
      </c>
      <c r="D15050" s="1" t="str">
        <f t="shared" si="416"/>
        <v>PRG-1043939</v>
      </c>
      <c r="E15050" t="s">
        <v>79</v>
      </c>
      <c r="F15050" t="s">
        <v>4</v>
      </c>
      <c r="G15050" t="str">
        <f>""</f>
        <v/>
      </c>
    </row>
    <row r="15051" spans="1:7" x14ac:dyDescent="0.25">
      <c r="A15051" t="s">
        <v>8</v>
      </c>
      <c r="B15051" s="1" t="str">
        <f>"000266029 - RICHS TOPPINGS-SODEXO"</f>
        <v>000266029 - RICHS TOPPINGS-SODEXO</v>
      </c>
      <c r="C15051" t="s">
        <v>222</v>
      </c>
      <c r="D15051" s="1" t="str">
        <f t="shared" si="416"/>
        <v>PRG-1043939</v>
      </c>
      <c r="E15051" t="s">
        <v>79</v>
      </c>
      <c r="F15051" t="s">
        <v>4</v>
      </c>
      <c r="G15051" t="str">
        <f>""</f>
        <v/>
      </c>
    </row>
    <row r="15052" spans="1:7" x14ac:dyDescent="0.25">
      <c r="A15052" t="s">
        <v>8</v>
      </c>
      <c r="B15052" s="1" t="str">
        <f>"000266403 - RICHS TOPPINGS-SODEXO"</f>
        <v>000266403 - RICHS TOPPINGS-SODEXO</v>
      </c>
      <c r="C15052" t="s">
        <v>222</v>
      </c>
      <c r="D15052" s="1" t="str">
        <f t="shared" si="416"/>
        <v>PRG-1043939</v>
      </c>
      <c r="E15052" t="s">
        <v>79</v>
      </c>
      <c r="F15052" t="s">
        <v>4</v>
      </c>
      <c r="G15052" t="str">
        <f>""</f>
        <v/>
      </c>
    </row>
    <row r="15053" spans="1:7" x14ac:dyDescent="0.25">
      <c r="A15053" t="s">
        <v>8</v>
      </c>
      <c r="B15053" s="1" t="str">
        <f>"000266457 - RICHS TOPPINGS-SODEXO"</f>
        <v>000266457 - RICHS TOPPINGS-SODEXO</v>
      </c>
      <c r="C15053" t="s">
        <v>222</v>
      </c>
      <c r="D15053" s="1" t="str">
        <f t="shared" si="416"/>
        <v>PRG-1043939</v>
      </c>
      <c r="E15053" t="s">
        <v>79</v>
      </c>
      <c r="F15053" t="s">
        <v>4</v>
      </c>
      <c r="G15053" t="str">
        <f>""</f>
        <v/>
      </c>
    </row>
    <row r="15054" spans="1:7" x14ac:dyDescent="0.25">
      <c r="A15054" t="s">
        <v>8</v>
      </c>
      <c r="B15054" s="1" t="str">
        <f>"000266657 - RICHS TOPPINGS-SODEXO"</f>
        <v>000266657 - RICHS TOPPINGS-SODEXO</v>
      </c>
      <c r="C15054" t="s">
        <v>222</v>
      </c>
      <c r="D15054" s="1" t="str">
        <f t="shared" si="416"/>
        <v>PRG-1043939</v>
      </c>
      <c r="E15054" t="s">
        <v>79</v>
      </c>
      <c r="F15054" t="s">
        <v>4</v>
      </c>
      <c r="G15054" t="str">
        <f>""</f>
        <v/>
      </c>
    </row>
    <row r="15055" spans="1:7" x14ac:dyDescent="0.25">
      <c r="A15055" t="s">
        <v>8</v>
      </c>
      <c r="B15055" s="1" t="str">
        <f>"000267188 - RICHS WHIPPED TOPPINGS-SODEXO"</f>
        <v>000267188 - RICHS WHIPPED TOPPINGS-SODEXO</v>
      </c>
      <c r="C15055" t="s">
        <v>419</v>
      </c>
      <c r="D15055" s="1" t="str">
        <f t="shared" si="416"/>
        <v>PRG-1043939</v>
      </c>
      <c r="E15055" t="s">
        <v>79</v>
      </c>
      <c r="F15055" t="s">
        <v>4</v>
      </c>
      <c r="G15055" t="str">
        <f>""</f>
        <v/>
      </c>
    </row>
    <row r="15056" spans="1:7" x14ac:dyDescent="0.25">
      <c r="A15056" t="s">
        <v>8</v>
      </c>
      <c r="B15056" s="1" t="str">
        <f>"000267231 - RICHS TOPPINGS-SODEXO"</f>
        <v>000267231 - RICHS TOPPINGS-SODEXO</v>
      </c>
      <c r="C15056" t="s">
        <v>222</v>
      </c>
      <c r="D15056" s="1" t="str">
        <f t="shared" si="416"/>
        <v>PRG-1043939</v>
      </c>
      <c r="E15056" t="s">
        <v>79</v>
      </c>
      <c r="F15056" t="s">
        <v>4</v>
      </c>
      <c r="G15056" t="str">
        <f>""</f>
        <v/>
      </c>
    </row>
    <row r="15057" spans="1:7" x14ac:dyDescent="0.25">
      <c r="A15057" t="s">
        <v>8</v>
      </c>
      <c r="B15057" s="1" t="str">
        <f>"000267679 - RICHS TOPPINGS-SODEXO"</f>
        <v>000267679 - RICHS TOPPINGS-SODEXO</v>
      </c>
      <c r="C15057" t="s">
        <v>222</v>
      </c>
      <c r="D15057" s="1" t="str">
        <f t="shared" si="416"/>
        <v>PRG-1043939</v>
      </c>
      <c r="E15057" t="s">
        <v>79</v>
      </c>
      <c r="F15057" t="s">
        <v>4</v>
      </c>
      <c r="G15057" t="str">
        <f>""</f>
        <v/>
      </c>
    </row>
    <row r="15058" spans="1:7" x14ac:dyDescent="0.25">
      <c r="A15058" t="s">
        <v>8</v>
      </c>
      <c r="B15058" s="1" t="str">
        <f>"000267746 - RICHS TOPPINGS-SODEXO"</f>
        <v>000267746 - RICHS TOPPINGS-SODEXO</v>
      </c>
      <c r="C15058" t="s">
        <v>222</v>
      </c>
      <c r="D15058" s="1" t="str">
        <f t="shared" si="416"/>
        <v>PRG-1043939</v>
      </c>
      <c r="E15058" t="s">
        <v>79</v>
      </c>
      <c r="F15058" t="s">
        <v>4</v>
      </c>
      <c r="G15058" t="str">
        <f>""</f>
        <v/>
      </c>
    </row>
    <row r="15059" spans="1:7" x14ac:dyDescent="0.25">
      <c r="A15059" t="s">
        <v>8</v>
      </c>
      <c r="B15059" s="1" t="str">
        <f>"000267901 - RICHS TOPPINGS-SODEXO"</f>
        <v>000267901 - RICHS TOPPINGS-SODEXO</v>
      </c>
      <c r="C15059" t="s">
        <v>222</v>
      </c>
      <c r="D15059" s="1" t="str">
        <f t="shared" si="416"/>
        <v>PRG-1043939</v>
      </c>
      <c r="E15059" t="s">
        <v>79</v>
      </c>
      <c r="F15059" t="s">
        <v>4</v>
      </c>
      <c r="G15059" t="str">
        <f>""</f>
        <v/>
      </c>
    </row>
    <row r="15060" spans="1:7" x14ac:dyDescent="0.25">
      <c r="A15060" t="s">
        <v>8</v>
      </c>
      <c r="B15060" s="1" t="str">
        <f>"000269330 - RICHS TOPPINGS-SODEXO"</f>
        <v>000269330 - RICHS TOPPINGS-SODEXO</v>
      </c>
      <c r="C15060" t="s">
        <v>222</v>
      </c>
      <c r="D15060" s="1" t="str">
        <f t="shared" si="416"/>
        <v>PRG-1043939</v>
      </c>
      <c r="E15060" t="s">
        <v>79</v>
      </c>
      <c r="F15060" t="s">
        <v>4</v>
      </c>
      <c r="G15060" t="str">
        <f>""</f>
        <v/>
      </c>
    </row>
    <row r="15061" spans="1:7" x14ac:dyDescent="0.25">
      <c r="A15061" t="s">
        <v>8</v>
      </c>
      <c r="B15061" s="1" t="str">
        <f>"000269432 - RICHS TOPPINGS-SODEXO"</f>
        <v>000269432 - RICHS TOPPINGS-SODEXO</v>
      </c>
      <c r="C15061" t="s">
        <v>222</v>
      </c>
      <c r="D15061" s="1" t="str">
        <f t="shared" si="416"/>
        <v>PRG-1043939</v>
      </c>
      <c r="E15061" t="s">
        <v>79</v>
      </c>
      <c r="F15061" t="s">
        <v>4</v>
      </c>
      <c r="G15061" t="str">
        <f>""</f>
        <v/>
      </c>
    </row>
    <row r="15062" spans="1:7" x14ac:dyDescent="0.25">
      <c r="A15062" t="s">
        <v>8</v>
      </c>
      <c r="B15062" s="1" t="str">
        <f>"000269440 - RICHS TOPPINGS-SODEXO"</f>
        <v>000269440 - RICHS TOPPINGS-SODEXO</v>
      </c>
      <c r="C15062" t="s">
        <v>222</v>
      </c>
      <c r="D15062" s="1" t="str">
        <f t="shared" si="416"/>
        <v>PRG-1043939</v>
      </c>
      <c r="E15062" t="s">
        <v>79</v>
      </c>
      <c r="F15062" t="s">
        <v>4</v>
      </c>
      <c r="G15062" t="str">
        <f>""</f>
        <v/>
      </c>
    </row>
    <row r="15063" spans="1:7" x14ac:dyDescent="0.25">
      <c r="A15063" t="s">
        <v>8</v>
      </c>
      <c r="B15063" s="1" t="str">
        <f>"000270286 - RICHS TOPPINGS-SODEXO"</f>
        <v>000270286 - RICHS TOPPINGS-SODEXO</v>
      </c>
      <c r="C15063" t="s">
        <v>222</v>
      </c>
      <c r="D15063" s="1" t="str">
        <f t="shared" si="416"/>
        <v>PRG-1043939</v>
      </c>
      <c r="E15063" t="s">
        <v>79</v>
      </c>
      <c r="F15063" t="s">
        <v>4</v>
      </c>
      <c r="G15063" t="str">
        <f>""</f>
        <v/>
      </c>
    </row>
    <row r="15064" spans="1:7" x14ac:dyDescent="0.25">
      <c r="A15064" t="s">
        <v>8</v>
      </c>
      <c r="B15064" s="1" t="str">
        <f>"000270616 - RICHS TOPPINGS-SODEXO"</f>
        <v>000270616 - RICHS TOPPINGS-SODEXO</v>
      </c>
      <c r="C15064" t="s">
        <v>222</v>
      </c>
      <c r="D15064" s="1" t="str">
        <f t="shared" si="416"/>
        <v>PRG-1043939</v>
      </c>
      <c r="E15064" t="s">
        <v>79</v>
      </c>
      <c r="F15064" t="s">
        <v>4</v>
      </c>
      <c r="G15064" t="str">
        <f>""</f>
        <v/>
      </c>
    </row>
    <row r="15065" spans="1:7" x14ac:dyDescent="0.25">
      <c r="A15065" t="s">
        <v>8</v>
      </c>
      <c r="B15065" s="1" t="str">
        <f>"000271505 - RICHS TOPPINGS-SODEXO"</f>
        <v>000271505 - RICHS TOPPINGS-SODEXO</v>
      </c>
      <c r="C15065" t="s">
        <v>222</v>
      </c>
      <c r="D15065" s="1" t="str">
        <f t="shared" si="416"/>
        <v>PRG-1043939</v>
      </c>
      <c r="E15065" t="s">
        <v>79</v>
      </c>
      <c r="F15065" t="s">
        <v>4</v>
      </c>
      <c r="G15065" t="str">
        <f>""</f>
        <v/>
      </c>
    </row>
    <row r="15066" spans="1:7" x14ac:dyDescent="0.25">
      <c r="A15066" t="s">
        <v>8</v>
      </c>
      <c r="B15066" s="1" t="str">
        <f>"000271552 - RICHS TOPPINGS-SODEXO"</f>
        <v>000271552 - RICHS TOPPINGS-SODEXO</v>
      </c>
      <c r="C15066" t="s">
        <v>222</v>
      </c>
      <c r="D15066" s="1" t="str">
        <f t="shared" si="416"/>
        <v>PRG-1043939</v>
      </c>
      <c r="E15066" t="s">
        <v>79</v>
      </c>
      <c r="F15066" t="s">
        <v>4</v>
      </c>
      <c r="G15066" t="str">
        <f>""</f>
        <v/>
      </c>
    </row>
    <row r="15067" spans="1:7" x14ac:dyDescent="0.25">
      <c r="A15067" t="s">
        <v>8</v>
      </c>
      <c r="B15067" s="1" t="str">
        <f>"000271912 - RICHS TOPPINGS-SODEXO"</f>
        <v>000271912 - RICHS TOPPINGS-SODEXO</v>
      </c>
      <c r="C15067" t="s">
        <v>222</v>
      </c>
      <c r="D15067" s="1" t="str">
        <f t="shared" si="416"/>
        <v>PRG-1043939</v>
      </c>
      <c r="E15067" t="s">
        <v>79</v>
      </c>
      <c r="F15067" t="s">
        <v>4</v>
      </c>
      <c r="G15067" t="str">
        <f>""</f>
        <v/>
      </c>
    </row>
    <row r="15068" spans="1:7" x14ac:dyDescent="0.25">
      <c r="A15068" t="s">
        <v>8</v>
      </c>
      <c r="B15068" s="1" t="str">
        <f>"000272046 - RICHS WHIPPED TOPPINGS-SODEXO"</f>
        <v>000272046 - RICHS WHIPPED TOPPINGS-SODEXO</v>
      </c>
      <c r="C15068" t="s">
        <v>419</v>
      </c>
      <c r="D15068" s="1" t="str">
        <f t="shared" si="416"/>
        <v>PRG-1043939</v>
      </c>
      <c r="E15068" t="s">
        <v>79</v>
      </c>
      <c r="F15068" t="s">
        <v>4</v>
      </c>
      <c r="G15068" t="str">
        <f>""</f>
        <v/>
      </c>
    </row>
    <row r="15069" spans="1:7" x14ac:dyDescent="0.25">
      <c r="A15069" t="s">
        <v>8</v>
      </c>
      <c r="B15069" s="1" t="str">
        <f>"000273213 - RICHS TOPPINGS-SODEXO"</f>
        <v>000273213 - RICHS TOPPINGS-SODEXO</v>
      </c>
      <c r="C15069" t="s">
        <v>222</v>
      </c>
      <c r="D15069" s="1" t="str">
        <f t="shared" ref="D15069:D15132" si="417">"PRG-1043939"</f>
        <v>PRG-1043939</v>
      </c>
      <c r="E15069" t="s">
        <v>79</v>
      </c>
      <c r="F15069" t="s">
        <v>4</v>
      </c>
      <c r="G15069" t="str">
        <f>""</f>
        <v/>
      </c>
    </row>
    <row r="15070" spans="1:7" x14ac:dyDescent="0.25">
      <c r="A15070" t="s">
        <v>8</v>
      </c>
      <c r="B15070" s="1" t="str">
        <f>"000273788 - RICHS WHIPPED TOPPINGS-SODEXO"</f>
        <v>000273788 - RICHS WHIPPED TOPPINGS-SODEXO</v>
      </c>
      <c r="C15070" t="s">
        <v>419</v>
      </c>
      <c r="D15070" s="1" t="str">
        <f t="shared" si="417"/>
        <v>PRG-1043939</v>
      </c>
      <c r="E15070" t="s">
        <v>79</v>
      </c>
      <c r="F15070" t="s">
        <v>4</v>
      </c>
      <c r="G15070" t="str">
        <f>""</f>
        <v/>
      </c>
    </row>
    <row r="15071" spans="1:7" x14ac:dyDescent="0.25">
      <c r="A15071" t="s">
        <v>8</v>
      </c>
      <c r="B15071" s="1" t="str">
        <f>"000273821 - RICHS WHIPPED TOPPINGS-SODEXO"</f>
        <v>000273821 - RICHS WHIPPED TOPPINGS-SODEXO</v>
      </c>
      <c r="C15071" t="s">
        <v>419</v>
      </c>
      <c r="D15071" s="1" t="str">
        <f t="shared" si="417"/>
        <v>PRG-1043939</v>
      </c>
      <c r="E15071" t="s">
        <v>79</v>
      </c>
      <c r="F15071" t="s">
        <v>4</v>
      </c>
      <c r="G15071" t="str">
        <f>""</f>
        <v/>
      </c>
    </row>
    <row r="15072" spans="1:7" x14ac:dyDescent="0.25">
      <c r="A15072" t="s">
        <v>8</v>
      </c>
      <c r="B15072" s="1" t="str">
        <f>"000273891 - RICHS TOPPINGS-SODEXO"</f>
        <v>000273891 - RICHS TOPPINGS-SODEXO</v>
      </c>
      <c r="C15072" t="s">
        <v>222</v>
      </c>
      <c r="D15072" s="1" t="str">
        <f t="shared" si="417"/>
        <v>PRG-1043939</v>
      </c>
      <c r="E15072" t="s">
        <v>79</v>
      </c>
      <c r="F15072" t="s">
        <v>4</v>
      </c>
      <c r="G15072" t="str">
        <f>""</f>
        <v/>
      </c>
    </row>
    <row r="15073" spans="1:7" x14ac:dyDescent="0.25">
      <c r="A15073" t="s">
        <v>8</v>
      </c>
      <c r="B15073" s="1" t="str">
        <f>"000274254 - RICHS TOPPINGS-SODEXO"</f>
        <v>000274254 - RICHS TOPPINGS-SODEXO</v>
      </c>
      <c r="C15073" t="s">
        <v>222</v>
      </c>
      <c r="D15073" s="1" t="str">
        <f t="shared" si="417"/>
        <v>PRG-1043939</v>
      </c>
      <c r="E15073" t="s">
        <v>79</v>
      </c>
      <c r="F15073" t="s">
        <v>4</v>
      </c>
      <c r="G15073" t="str">
        <f>""</f>
        <v/>
      </c>
    </row>
    <row r="15074" spans="1:7" x14ac:dyDescent="0.25">
      <c r="A15074" t="s">
        <v>8</v>
      </c>
      <c r="B15074" s="1" t="str">
        <f>"000275031 - RICHS TOPPINGS-SODEXO"</f>
        <v>000275031 - RICHS TOPPINGS-SODEXO</v>
      </c>
      <c r="C15074" t="s">
        <v>222</v>
      </c>
      <c r="D15074" s="1" t="str">
        <f t="shared" si="417"/>
        <v>PRG-1043939</v>
      </c>
      <c r="E15074" t="s">
        <v>79</v>
      </c>
      <c r="F15074" t="s">
        <v>4</v>
      </c>
      <c r="G15074" t="str">
        <f>""</f>
        <v/>
      </c>
    </row>
    <row r="15075" spans="1:7" x14ac:dyDescent="0.25">
      <c r="A15075" t="s">
        <v>8</v>
      </c>
      <c r="B15075" s="1" t="str">
        <f>"000276007 - RICHS WHIPPED TOPPINGS-SODEXO"</f>
        <v>000276007 - RICHS WHIPPED TOPPINGS-SODEXO</v>
      </c>
      <c r="C15075" t="s">
        <v>419</v>
      </c>
      <c r="D15075" s="1" t="str">
        <f t="shared" si="417"/>
        <v>PRG-1043939</v>
      </c>
      <c r="E15075" t="s">
        <v>79</v>
      </c>
      <c r="F15075" t="s">
        <v>4</v>
      </c>
      <c r="G15075" t="str">
        <f>""</f>
        <v/>
      </c>
    </row>
    <row r="15076" spans="1:7" x14ac:dyDescent="0.25">
      <c r="A15076" t="s">
        <v>8</v>
      </c>
      <c r="B15076" s="1" t="str">
        <f>"000276298 - RICHS TOPPINGS-SODEXO"</f>
        <v>000276298 - RICHS TOPPINGS-SODEXO</v>
      </c>
      <c r="C15076" t="s">
        <v>222</v>
      </c>
      <c r="D15076" s="1" t="str">
        <f t="shared" si="417"/>
        <v>PRG-1043939</v>
      </c>
      <c r="E15076" t="s">
        <v>79</v>
      </c>
      <c r="F15076" t="s">
        <v>4</v>
      </c>
      <c r="G15076" t="str">
        <f>""</f>
        <v/>
      </c>
    </row>
    <row r="15077" spans="1:7" x14ac:dyDescent="0.25">
      <c r="A15077" t="s">
        <v>8</v>
      </c>
      <c r="B15077" s="1" t="str">
        <f>"000277511 - RICHS TOPPINGS-SODEXO"</f>
        <v>000277511 - RICHS TOPPINGS-SODEXO</v>
      </c>
      <c r="C15077" t="s">
        <v>222</v>
      </c>
      <c r="D15077" s="1" t="str">
        <f t="shared" si="417"/>
        <v>PRG-1043939</v>
      </c>
      <c r="E15077" t="s">
        <v>79</v>
      </c>
      <c r="F15077" t="s">
        <v>4</v>
      </c>
      <c r="G15077" t="str">
        <f>""</f>
        <v/>
      </c>
    </row>
    <row r="15078" spans="1:7" x14ac:dyDescent="0.25">
      <c r="A15078" t="s">
        <v>8</v>
      </c>
      <c r="B15078" s="1" t="str">
        <f>"000277773 - RICHS TOPPINGS-SODEXO"</f>
        <v>000277773 - RICHS TOPPINGS-SODEXO</v>
      </c>
      <c r="C15078" t="s">
        <v>222</v>
      </c>
      <c r="D15078" s="1" t="str">
        <f t="shared" si="417"/>
        <v>PRG-1043939</v>
      </c>
      <c r="E15078" t="s">
        <v>79</v>
      </c>
      <c r="F15078" t="s">
        <v>4</v>
      </c>
      <c r="G15078" t="str">
        <f>""</f>
        <v/>
      </c>
    </row>
    <row r="15079" spans="1:7" x14ac:dyDescent="0.25">
      <c r="A15079" t="s">
        <v>8</v>
      </c>
      <c r="B15079" s="1" t="str">
        <f>"000277830 - RICHS WHIPPED TOPPINGS-SODEXO"</f>
        <v>000277830 - RICHS WHIPPED TOPPINGS-SODEXO</v>
      </c>
      <c r="C15079" t="s">
        <v>419</v>
      </c>
      <c r="D15079" s="1" t="str">
        <f t="shared" si="417"/>
        <v>PRG-1043939</v>
      </c>
      <c r="E15079" t="s">
        <v>79</v>
      </c>
      <c r="F15079" t="s">
        <v>4</v>
      </c>
      <c r="G15079" t="str">
        <f>""</f>
        <v/>
      </c>
    </row>
    <row r="15080" spans="1:7" x14ac:dyDescent="0.25">
      <c r="A15080" t="s">
        <v>8</v>
      </c>
      <c r="B15080" s="1" t="str">
        <f>"000277887 - RICHS TOPPINGS-SODEXO"</f>
        <v>000277887 - RICHS TOPPINGS-SODEXO</v>
      </c>
      <c r="C15080" t="s">
        <v>222</v>
      </c>
      <c r="D15080" s="1" t="str">
        <f t="shared" si="417"/>
        <v>PRG-1043939</v>
      </c>
      <c r="E15080" t="s">
        <v>79</v>
      </c>
      <c r="F15080" t="s">
        <v>4</v>
      </c>
      <c r="G15080" t="str">
        <f>""</f>
        <v/>
      </c>
    </row>
    <row r="15081" spans="1:7" x14ac:dyDescent="0.25">
      <c r="A15081" t="s">
        <v>8</v>
      </c>
      <c r="B15081" s="1" t="str">
        <f>"000277905 - RICHS TOPPINGS-SODEXO"</f>
        <v>000277905 - RICHS TOPPINGS-SODEXO</v>
      </c>
      <c r="C15081" t="s">
        <v>222</v>
      </c>
      <c r="D15081" s="1" t="str">
        <f t="shared" si="417"/>
        <v>PRG-1043939</v>
      </c>
      <c r="E15081" t="s">
        <v>79</v>
      </c>
      <c r="F15081" t="s">
        <v>4</v>
      </c>
      <c r="G15081" t="str">
        <f>""</f>
        <v/>
      </c>
    </row>
    <row r="15082" spans="1:7" x14ac:dyDescent="0.25">
      <c r="A15082" t="s">
        <v>8</v>
      </c>
      <c r="B15082" s="1" t="str">
        <f>"000278209 - RICHS TOPPINGS-SODEXO"</f>
        <v>000278209 - RICHS TOPPINGS-SODEXO</v>
      </c>
      <c r="C15082" t="s">
        <v>222</v>
      </c>
      <c r="D15082" s="1" t="str">
        <f t="shared" si="417"/>
        <v>PRG-1043939</v>
      </c>
      <c r="E15082" t="s">
        <v>79</v>
      </c>
      <c r="F15082" t="s">
        <v>4</v>
      </c>
      <c r="G15082" t="str">
        <f>""</f>
        <v/>
      </c>
    </row>
    <row r="15083" spans="1:7" x14ac:dyDescent="0.25">
      <c r="A15083" t="s">
        <v>8</v>
      </c>
      <c r="B15083" s="1" t="str">
        <f>"000278273 - RICHS WHIPPED TOPPINGS-SODEXO"</f>
        <v>000278273 - RICHS WHIPPED TOPPINGS-SODEXO</v>
      </c>
      <c r="C15083" t="s">
        <v>419</v>
      </c>
      <c r="D15083" s="1" t="str">
        <f t="shared" si="417"/>
        <v>PRG-1043939</v>
      </c>
      <c r="E15083" t="s">
        <v>79</v>
      </c>
      <c r="F15083" t="s">
        <v>4</v>
      </c>
      <c r="G15083" t="str">
        <f>""</f>
        <v/>
      </c>
    </row>
    <row r="15084" spans="1:7" x14ac:dyDescent="0.25">
      <c r="A15084" t="s">
        <v>8</v>
      </c>
      <c r="B15084" s="1" t="str">
        <f>"000278433 - RICHS TOPPINGS-SODEXO"</f>
        <v>000278433 - RICHS TOPPINGS-SODEXO</v>
      </c>
      <c r="C15084" t="s">
        <v>222</v>
      </c>
      <c r="D15084" s="1" t="str">
        <f t="shared" si="417"/>
        <v>PRG-1043939</v>
      </c>
      <c r="E15084" t="s">
        <v>79</v>
      </c>
      <c r="F15084" t="s">
        <v>4</v>
      </c>
      <c r="G15084" t="str">
        <f>""</f>
        <v/>
      </c>
    </row>
    <row r="15085" spans="1:7" x14ac:dyDescent="0.25">
      <c r="A15085" t="s">
        <v>8</v>
      </c>
      <c r="B15085" s="1" t="str">
        <f>"000278566 - RICHS WHIPPED TOPPINGS-SODEXO"</f>
        <v>000278566 - RICHS WHIPPED TOPPINGS-SODEXO</v>
      </c>
      <c r="C15085" t="s">
        <v>419</v>
      </c>
      <c r="D15085" s="1" t="str">
        <f t="shared" si="417"/>
        <v>PRG-1043939</v>
      </c>
      <c r="E15085" t="s">
        <v>79</v>
      </c>
      <c r="F15085" t="s">
        <v>4</v>
      </c>
      <c r="G15085" t="str">
        <f>""</f>
        <v/>
      </c>
    </row>
    <row r="15086" spans="1:7" x14ac:dyDescent="0.25">
      <c r="A15086" t="s">
        <v>8</v>
      </c>
      <c r="B15086" s="1" t="str">
        <f>"000278785 - RICHS TOPPINGS-SODEXO"</f>
        <v>000278785 - RICHS TOPPINGS-SODEXO</v>
      </c>
      <c r="C15086" t="s">
        <v>222</v>
      </c>
      <c r="D15086" s="1" t="str">
        <f t="shared" si="417"/>
        <v>PRG-1043939</v>
      </c>
      <c r="E15086" t="s">
        <v>79</v>
      </c>
      <c r="F15086" t="s">
        <v>4</v>
      </c>
      <c r="G15086" t="str">
        <f>""</f>
        <v/>
      </c>
    </row>
    <row r="15087" spans="1:7" x14ac:dyDescent="0.25">
      <c r="A15087" t="s">
        <v>8</v>
      </c>
      <c r="B15087" s="1" t="str">
        <f>"000279507 - RICHS TOPPINGS-SODEXO"</f>
        <v>000279507 - RICHS TOPPINGS-SODEXO</v>
      </c>
      <c r="C15087" t="s">
        <v>222</v>
      </c>
      <c r="D15087" s="1" t="str">
        <f t="shared" si="417"/>
        <v>PRG-1043939</v>
      </c>
      <c r="E15087" t="s">
        <v>79</v>
      </c>
      <c r="F15087" t="s">
        <v>4</v>
      </c>
      <c r="G15087" t="str">
        <f>""</f>
        <v/>
      </c>
    </row>
    <row r="15088" spans="1:7" x14ac:dyDescent="0.25">
      <c r="A15088" t="s">
        <v>8</v>
      </c>
      <c r="B15088" s="1" t="str">
        <f>"000280307 - RICHS WHIPPED TOPPINGS-SODEXO"</f>
        <v>000280307 - RICHS WHIPPED TOPPINGS-SODEXO</v>
      </c>
      <c r="C15088" t="s">
        <v>419</v>
      </c>
      <c r="D15088" s="1" t="str">
        <f t="shared" si="417"/>
        <v>PRG-1043939</v>
      </c>
      <c r="E15088" t="s">
        <v>79</v>
      </c>
      <c r="F15088" t="s">
        <v>4</v>
      </c>
      <c r="G15088" t="str">
        <f>""</f>
        <v/>
      </c>
    </row>
    <row r="15089" spans="1:7" x14ac:dyDescent="0.25">
      <c r="A15089" t="s">
        <v>8</v>
      </c>
      <c r="B15089" s="1" t="str">
        <f>"000281376 - RICHS TOPPINGS-SODEXO"</f>
        <v>000281376 - RICHS TOPPINGS-SODEXO</v>
      </c>
      <c r="C15089" t="s">
        <v>222</v>
      </c>
      <c r="D15089" s="1" t="str">
        <f t="shared" si="417"/>
        <v>PRG-1043939</v>
      </c>
      <c r="E15089" t="s">
        <v>79</v>
      </c>
      <c r="F15089" t="s">
        <v>4</v>
      </c>
      <c r="G15089" t="str">
        <f>""</f>
        <v/>
      </c>
    </row>
    <row r="15090" spans="1:7" x14ac:dyDescent="0.25">
      <c r="A15090" t="s">
        <v>8</v>
      </c>
      <c r="B15090" s="1" t="str">
        <f>"000281490 - RICHS TOPPINGS-SODEXO"</f>
        <v>000281490 - RICHS TOPPINGS-SODEXO</v>
      </c>
      <c r="C15090" t="s">
        <v>222</v>
      </c>
      <c r="D15090" s="1" t="str">
        <f t="shared" si="417"/>
        <v>PRG-1043939</v>
      </c>
      <c r="E15090" t="s">
        <v>79</v>
      </c>
      <c r="F15090" t="s">
        <v>4</v>
      </c>
      <c r="G15090" t="str">
        <f>""</f>
        <v/>
      </c>
    </row>
    <row r="15091" spans="1:7" x14ac:dyDescent="0.25">
      <c r="A15091" t="s">
        <v>8</v>
      </c>
      <c r="B15091" s="1" t="str">
        <f>"000282522 - RICHS TOPPINGS-SODEXO"</f>
        <v>000282522 - RICHS TOPPINGS-SODEXO</v>
      </c>
      <c r="C15091" t="s">
        <v>222</v>
      </c>
      <c r="D15091" s="1" t="str">
        <f t="shared" si="417"/>
        <v>PRG-1043939</v>
      </c>
      <c r="E15091" t="s">
        <v>79</v>
      </c>
      <c r="F15091" t="s">
        <v>4</v>
      </c>
      <c r="G15091" t="str">
        <f>""</f>
        <v/>
      </c>
    </row>
    <row r="15092" spans="1:7" x14ac:dyDescent="0.25">
      <c r="A15092" t="s">
        <v>8</v>
      </c>
      <c r="B15092" s="1" t="str">
        <f>"000282818 - RICHS TOPPINGS-SODEXO"</f>
        <v>000282818 - RICHS TOPPINGS-SODEXO</v>
      </c>
      <c r="C15092" t="s">
        <v>222</v>
      </c>
      <c r="D15092" s="1" t="str">
        <f t="shared" si="417"/>
        <v>PRG-1043939</v>
      </c>
      <c r="E15092" t="s">
        <v>79</v>
      </c>
      <c r="F15092" t="s">
        <v>4</v>
      </c>
      <c r="G15092" t="str">
        <f>""</f>
        <v/>
      </c>
    </row>
    <row r="15093" spans="1:7" x14ac:dyDescent="0.25">
      <c r="A15093" t="s">
        <v>8</v>
      </c>
      <c r="B15093" s="1" t="str">
        <f>"000282960 - RICHS TOPPINGS-SODEXO"</f>
        <v>000282960 - RICHS TOPPINGS-SODEXO</v>
      </c>
      <c r="C15093" t="s">
        <v>222</v>
      </c>
      <c r="D15093" s="1" t="str">
        <f t="shared" si="417"/>
        <v>PRG-1043939</v>
      </c>
      <c r="E15093" t="s">
        <v>79</v>
      </c>
      <c r="F15093" t="s">
        <v>4</v>
      </c>
      <c r="G15093" t="str">
        <f>""</f>
        <v/>
      </c>
    </row>
    <row r="15094" spans="1:7" x14ac:dyDescent="0.25">
      <c r="A15094" t="s">
        <v>8</v>
      </c>
      <c r="B15094" s="1" t="str">
        <f>"000283148 - RICHS WHIPPED TOPPINGS-SODEXO"</f>
        <v>000283148 - RICHS WHIPPED TOPPINGS-SODEXO</v>
      </c>
      <c r="C15094" t="s">
        <v>419</v>
      </c>
      <c r="D15094" s="1" t="str">
        <f t="shared" si="417"/>
        <v>PRG-1043939</v>
      </c>
      <c r="E15094" t="s">
        <v>79</v>
      </c>
      <c r="F15094" t="s">
        <v>4</v>
      </c>
      <c r="G15094" t="str">
        <f>""</f>
        <v/>
      </c>
    </row>
    <row r="15095" spans="1:7" x14ac:dyDescent="0.25">
      <c r="A15095" t="s">
        <v>8</v>
      </c>
      <c r="B15095" s="1" t="str">
        <f>"000283207 - RICHS TOPPINGS-SODEXO"</f>
        <v>000283207 - RICHS TOPPINGS-SODEXO</v>
      </c>
      <c r="C15095" t="s">
        <v>222</v>
      </c>
      <c r="D15095" s="1" t="str">
        <f t="shared" si="417"/>
        <v>PRG-1043939</v>
      </c>
      <c r="E15095" t="s">
        <v>79</v>
      </c>
      <c r="F15095" t="s">
        <v>4</v>
      </c>
      <c r="G15095" t="str">
        <f>""</f>
        <v/>
      </c>
    </row>
    <row r="15096" spans="1:7" x14ac:dyDescent="0.25">
      <c r="A15096" t="s">
        <v>8</v>
      </c>
      <c r="B15096" s="1" t="str">
        <f>"000283234 - RICHS WHIPPED TOPPINGS-SODEXO"</f>
        <v>000283234 - RICHS WHIPPED TOPPINGS-SODEXO</v>
      </c>
      <c r="C15096" t="s">
        <v>419</v>
      </c>
      <c r="D15096" s="1" t="str">
        <f t="shared" si="417"/>
        <v>PRG-1043939</v>
      </c>
      <c r="E15096" t="s">
        <v>79</v>
      </c>
      <c r="F15096" t="s">
        <v>4</v>
      </c>
      <c r="G15096" t="str">
        <f>""</f>
        <v/>
      </c>
    </row>
    <row r="15097" spans="1:7" x14ac:dyDescent="0.25">
      <c r="A15097" t="s">
        <v>8</v>
      </c>
      <c r="B15097" s="1" t="str">
        <f>"000283410 - RICHS WHIPPED TOPPINGS-SODEXO"</f>
        <v>000283410 - RICHS WHIPPED TOPPINGS-SODEXO</v>
      </c>
      <c r="C15097" t="s">
        <v>419</v>
      </c>
      <c r="D15097" s="1" t="str">
        <f t="shared" si="417"/>
        <v>PRG-1043939</v>
      </c>
      <c r="E15097" t="s">
        <v>79</v>
      </c>
      <c r="F15097" t="s">
        <v>4</v>
      </c>
      <c r="G15097" t="str">
        <f>""</f>
        <v/>
      </c>
    </row>
    <row r="15098" spans="1:7" x14ac:dyDescent="0.25">
      <c r="A15098" t="s">
        <v>8</v>
      </c>
      <c r="B15098" s="1" t="str">
        <f>"000283667 - RICHS TOPPINGS-SODEXO"</f>
        <v>000283667 - RICHS TOPPINGS-SODEXO</v>
      </c>
      <c r="C15098" t="s">
        <v>222</v>
      </c>
      <c r="D15098" s="1" t="str">
        <f t="shared" si="417"/>
        <v>PRG-1043939</v>
      </c>
      <c r="E15098" t="s">
        <v>79</v>
      </c>
      <c r="F15098" t="s">
        <v>4</v>
      </c>
      <c r="G15098" t="str">
        <f>""</f>
        <v/>
      </c>
    </row>
    <row r="15099" spans="1:7" x14ac:dyDescent="0.25">
      <c r="A15099" t="s">
        <v>8</v>
      </c>
      <c r="B15099" s="1" t="str">
        <f>"000284080 - RICHS TOPPINGS-SODEXO"</f>
        <v>000284080 - RICHS TOPPINGS-SODEXO</v>
      </c>
      <c r="C15099" t="s">
        <v>222</v>
      </c>
      <c r="D15099" s="1" t="str">
        <f t="shared" si="417"/>
        <v>PRG-1043939</v>
      </c>
      <c r="E15099" t="s">
        <v>79</v>
      </c>
      <c r="F15099" t="s">
        <v>4</v>
      </c>
      <c r="G15099" t="str">
        <f>""</f>
        <v/>
      </c>
    </row>
    <row r="15100" spans="1:7" x14ac:dyDescent="0.25">
      <c r="A15100" t="s">
        <v>8</v>
      </c>
      <c r="B15100" s="1" t="str">
        <f>"000284124 - RICHS TOPPINGS-SODEXO"</f>
        <v>000284124 - RICHS TOPPINGS-SODEXO</v>
      </c>
      <c r="C15100" t="s">
        <v>222</v>
      </c>
      <c r="D15100" s="1" t="str">
        <f t="shared" si="417"/>
        <v>PRG-1043939</v>
      </c>
      <c r="E15100" t="s">
        <v>79</v>
      </c>
      <c r="F15100" t="s">
        <v>4</v>
      </c>
      <c r="G15100" t="str">
        <f>""</f>
        <v/>
      </c>
    </row>
    <row r="15101" spans="1:7" x14ac:dyDescent="0.25">
      <c r="A15101" t="s">
        <v>8</v>
      </c>
      <c r="B15101" s="1" t="str">
        <f>"000284577 - RICHS TOPPINGS-SODEXO"</f>
        <v>000284577 - RICHS TOPPINGS-SODEXO</v>
      </c>
      <c r="C15101" t="s">
        <v>222</v>
      </c>
      <c r="D15101" s="1" t="str">
        <f t="shared" si="417"/>
        <v>PRG-1043939</v>
      </c>
      <c r="E15101" t="s">
        <v>79</v>
      </c>
      <c r="F15101" t="s">
        <v>4</v>
      </c>
      <c r="G15101" t="str">
        <f>""</f>
        <v/>
      </c>
    </row>
    <row r="15102" spans="1:7" x14ac:dyDescent="0.25">
      <c r="A15102" t="s">
        <v>8</v>
      </c>
      <c r="B15102" s="1" t="str">
        <f>"000284830 - RICHS TOPPINGS-SODEXO"</f>
        <v>000284830 - RICHS TOPPINGS-SODEXO</v>
      </c>
      <c r="C15102" t="s">
        <v>222</v>
      </c>
      <c r="D15102" s="1" t="str">
        <f t="shared" si="417"/>
        <v>PRG-1043939</v>
      </c>
      <c r="E15102" t="s">
        <v>79</v>
      </c>
      <c r="F15102" t="s">
        <v>4</v>
      </c>
      <c r="G15102" t="str">
        <f>""</f>
        <v/>
      </c>
    </row>
    <row r="15103" spans="1:7" x14ac:dyDescent="0.25">
      <c r="A15103" t="s">
        <v>8</v>
      </c>
      <c r="B15103" s="1" t="str">
        <f>"000284890 - RICHS WHIPPED TOPPINGS-SODEXO"</f>
        <v>000284890 - RICHS WHIPPED TOPPINGS-SODEXO</v>
      </c>
      <c r="C15103" t="s">
        <v>419</v>
      </c>
      <c r="D15103" s="1" t="str">
        <f t="shared" si="417"/>
        <v>PRG-1043939</v>
      </c>
      <c r="E15103" t="s">
        <v>79</v>
      </c>
      <c r="F15103" t="s">
        <v>4</v>
      </c>
      <c r="G15103" t="str">
        <f>""</f>
        <v/>
      </c>
    </row>
    <row r="15104" spans="1:7" x14ac:dyDescent="0.25">
      <c r="A15104" t="s">
        <v>8</v>
      </c>
      <c r="B15104" s="1" t="str">
        <f>"000285196 - RICHS WHIPPED TOPPINGS-SODEXO"</f>
        <v>000285196 - RICHS WHIPPED TOPPINGS-SODEXO</v>
      </c>
      <c r="C15104" t="s">
        <v>419</v>
      </c>
      <c r="D15104" s="1" t="str">
        <f t="shared" si="417"/>
        <v>PRG-1043939</v>
      </c>
      <c r="E15104" t="s">
        <v>79</v>
      </c>
      <c r="F15104" t="s">
        <v>4</v>
      </c>
      <c r="G15104" t="str">
        <f>""</f>
        <v/>
      </c>
    </row>
    <row r="15105" spans="1:7" x14ac:dyDescent="0.25">
      <c r="A15105" t="s">
        <v>8</v>
      </c>
      <c r="B15105" s="1" t="str">
        <f>"000285491 - RICHS TOPPINGS-SODEXO"</f>
        <v>000285491 - RICHS TOPPINGS-SODEXO</v>
      </c>
      <c r="C15105" t="s">
        <v>222</v>
      </c>
      <c r="D15105" s="1" t="str">
        <f t="shared" si="417"/>
        <v>PRG-1043939</v>
      </c>
      <c r="E15105" t="s">
        <v>79</v>
      </c>
      <c r="F15105" t="s">
        <v>4</v>
      </c>
      <c r="G15105" t="str">
        <f>""</f>
        <v/>
      </c>
    </row>
    <row r="15106" spans="1:7" x14ac:dyDescent="0.25">
      <c r="A15106" t="s">
        <v>8</v>
      </c>
      <c r="B15106" s="1" t="str">
        <f>"000285671 - RICHS TOPPINGS-SODEXO"</f>
        <v>000285671 - RICHS TOPPINGS-SODEXO</v>
      </c>
      <c r="C15106" t="s">
        <v>222</v>
      </c>
      <c r="D15106" s="1" t="str">
        <f t="shared" si="417"/>
        <v>PRG-1043939</v>
      </c>
      <c r="E15106" t="s">
        <v>79</v>
      </c>
      <c r="F15106" t="s">
        <v>4</v>
      </c>
      <c r="G15106" t="str">
        <f>""</f>
        <v/>
      </c>
    </row>
    <row r="15107" spans="1:7" x14ac:dyDescent="0.25">
      <c r="A15107" t="s">
        <v>8</v>
      </c>
      <c r="B15107" s="1" t="str">
        <f>"000285787 - RICHS WHIPPED TOPPINGS-SODEXO"</f>
        <v>000285787 - RICHS WHIPPED TOPPINGS-SODEXO</v>
      </c>
      <c r="C15107" t="s">
        <v>419</v>
      </c>
      <c r="D15107" s="1" t="str">
        <f t="shared" si="417"/>
        <v>PRG-1043939</v>
      </c>
      <c r="E15107" t="s">
        <v>79</v>
      </c>
      <c r="F15107" t="s">
        <v>4</v>
      </c>
      <c r="G15107" t="str">
        <f>""</f>
        <v/>
      </c>
    </row>
    <row r="15108" spans="1:7" x14ac:dyDescent="0.25">
      <c r="A15108" t="s">
        <v>8</v>
      </c>
      <c r="B15108" s="1" t="str">
        <f>"000285977 - RICHS TOPPINGS-SODEXO"</f>
        <v>000285977 - RICHS TOPPINGS-SODEXO</v>
      </c>
      <c r="C15108" t="s">
        <v>222</v>
      </c>
      <c r="D15108" s="1" t="str">
        <f t="shared" si="417"/>
        <v>PRG-1043939</v>
      </c>
      <c r="E15108" t="s">
        <v>79</v>
      </c>
      <c r="F15108" t="s">
        <v>4</v>
      </c>
      <c r="G15108" t="str">
        <f>""</f>
        <v/>
      </c>
    </row>
    <row r="15109" spans="1:7" x14ac:dyDescent="0.25">
      <c r="A15109" t="s">
        <v>8</v>
      </c>
      <c r="B15109" s="1" t="str">
        <f>"000286005 - RICHS TOPPINGS-SODEXO"</f>
        <v>000286005 - RICHS TOPPINGS-SODEXO</v>
      </c>
      <c r="C15109" t="s">
        <v>222</v>
      </c>
      <c r="D15109" s="1" t="str">
        <f t="shared" si="417"/>
        <v>PRG-1043939</v>
      </c>
      <c r="E15109" t="s">
        <v>79</v>
      </c>
      <c r="F15109" t="s">
        <v>4</v>
      </c>
      <c r="G15109" t="str">
        <f>""</f>
        <v/>
      </c>
    </row>
    <row r="15110" spans="1:7" x14ac:dyDescent="0.25">
      <c r="A15110" t="s">
        <v>8</v>
      </c>
      <c r="B15110" s="1" t="str">
        <f>"000286637 - RICHS TOPPINGS-SODEXO"</f>
        <v>000286637 - RICHS TOPPINGS-SODEXO</v>
      </c>
      <c r="C15110" t="s">
        <v>222</v>
      </c>
      <c r="D15110" s="1" t="str">
        <f t="shared" si="417"/>
        <v>PRG-1043939</v>
      </c>
      <c r="E15110" t="s">
        <v>79</v>
      </c>
      <c r="F15110" t="s">
        <v>4</v>
      </c>
      <c r="G15110" t="str">
        <f>""</f>
        <v/>
      </c>
    </row>
    <row r="15111" spans="1:7" x14ac:dyDescent="0.25">
      <c r="A15111" t="s">
        <v>8</v>
      </c>
      <c r="B15111" s="1" t="str">
        <f>"000287763 - RICHS TOPPINGS-SODEXO"</f>
        <v>000287763 - RICHS TOPPINGS-SODEXO</v>
      </c>
      <c r="C15111" t="s">
        <v>222</v>
      </c>
      <c r="D15111" s="1" t="str">
        <f t="shared" si="417"/>
        <v>PRG-1043939</v>
      </c>
      <c r="E15111" t="s">
        <v>79</v>
      </c>
      <c r="F15111" t="s">
        <v>4</v>
      </c>
      <c r="G15111" t="str">
        <f>""</f>
        <v/>
      </c>
    </row>
    <row r="15112" spans="1:7" x14ac:dyDescent="0.25">
      <c r="A15112" t="s">
        <v>8</v>
      </c>
      <c r="B15112" s="1" t="str">
        <f>"000288238 - RICHS TOPPINGS-SODEXO"</f>
        <v>000288238 - RICHS TOPPINGS-SODEXO</v>
      </c>
      <c r="C15112" t="s">
        <v>222</v>
      </c>
      <c r="D15112" s="1" t="str">
        <f t="shared" si="417"/>
        <v>PRG-1043939</v>
      </c>
      <c r="E15112" t="s">
        <v>79</v>
      </c>
      <c r="F15112" t="s">
        <v>4</v>
      </c>
      <c r="G15112" t="str">
        <f>""</f>
        <v/>
      </c>
    </row>
    <row r="15113" spans="1:7" x14ac:dyDescent="0.25">
      <c r="A15113" t="s">
        <v>8</v>
      </c>
      <c r="B15113" s="1" t="str">
        <f>"000288938 - RICHS TOPPINGS-SODEXO"</f>
        <v>000288938 - RICHS TOPPINGS-SODEXO</v>
      </c>
      <c r="C15113" t="s">
        <v>222</v>
      </c>
      <c r="D15113" s="1" t="str">
        <f t="shared" si="417"/>
        <v>PRG-1043939</v>
      </c>
      <c r="E15113" t="s">
        <v>79</v>
      </c>
      <c r="F15113" t="s">
        <v>4</v>
      </c>
      <c r="G15113" t="str">
        <f>""</f>
        <v/>
      </c>
    </row>
    <row r="15114" spans="1:7" x14ac:dyDescent="0.25">
      <c r="A15114" t="s">
        <v>8</v>
      </c>
      <c r="B15114" s="1" t="str">
        <f>"000289540 - RICHS TOPPINGS-SODEXO"</f>
        <v>000289540 - RICHS TOPPINGS-SODEXO</v>
      </c>
      <c r="C15114" t="s">
        <v>222</v>
      </c>
      <c r="D15114" s="1" t="str">
        <f t="shared" si="417"/>
        <v>PRG-1043939</v>
      </c>
      <c r="E15114" t="s">
        <v>79</v>
      </c>
      <c r="F15114" t="s">
        <v>4</v>
      </c>
      <c r="G15114" t="str">
        <f>""</f>
        <v/>
      </c>
    </row>
    <row r="15115" spans="1:7" x14ac:dyDescent="0.25">
      <c r="A15115" t="s">
        <v>8</v>
      </c>
      <c r="B15115" s="1" t="str">
        <f>"000289758 - RICHS TOPPINGS-SODEXO"</f>
        <v>000289758 - RICHS TOPPINGS-SODEXO</v>
      </c>
      <c r="C15115" t="s">
        <v>222</v>
      </c>
      <c r="D15115" s="1" t="str">
        <f t="shared" si="417"/>
        <v>PRG-1043939</v>
      </c>
      <c r="E15115" t="s">
        <v>79</v>
      </c>
      <c r="F15115" t="s">
        <v>4</v>
      </c>
      <c r="G15115" t="str">
        <f>""</f>
        <v/>
      </c>
    </row>
    <row r="15116" spans="1:7" x14ac:dyDescent="0.25">
      <c r="A15116" t="s">
        <v>8</v>
      </c>
      <c r="B15116" s="1" t="str">
        <f>"000289766 - RICHS TOPPINGS-SODEXO"</f>
        <v>000289766 - RICHS TOPPINGS-SODEXO</v>
      </c>
      <c r="C15116" t="s">
        <v>222</v>
      </c>
      <c r="D15116" s="1" t="str">
        <f t="shared" si="417"/>
        <v>PRG-1043939</v>
      </c>
      <c r="E15116" t="s">
        <v>79</v>
      </c>
      <c r="F15116" t="s">
        <v>4</v>
      </c>
      <c r="G15116" t="str">
        <f>""</f>
        <v/>
      </c>
    </row>
    <row r="15117" spans="1:7" x14ac:dyDescent="0.25">
      <c r="A15117" t="s">
        <v>8</v>
      </c>
      <c r="B15117" s="1" t="str">
        <f>"000290565 - RICHS TOPPINGS-SODEXO"</f>
        <v>000290565 - RICHS TOPPINGS-SODEXO</v>
      </c>
      <c r="C15117" t="s">
        <v>222</v>
      </c>
      <c r="D15117" s="1" t="str">
        <f t="shared" si="417"/>
        <v>PRG-1043939</v>
      </c>
      <c r="E15117" t="s">
        <v>79</v>
      </c>
      <c r="F15117" t="s">
        <v>4</v>
      </c>
      <c r="G15117" t="str">
        <f>""</f>
        <v/>
      </c>
    </row>
    <row r="15118" spans="1:7" x14ac:dyDescent="0.25">
      <c r="A15118" t="s">
        <v>8</v>
      </c>
      <c r="B15118" s="1" t="str">
        <f>"000290840 - RICHS TOPPINGS-SODEXO"</f>
        <v>000290840 - RICHS TOPPINGS-SODEXO</v>
      </c>
      <c r="C15118" t="s">
        <v>222</v>
      </c>
      <c r="D15118" s="1" t="str">
        <f t="shared" si="417"/>
        <v>PRG-1043939</v>
      </c>
      <c r="E15118" t="s">
        <v>79</v>
      </c>
      <c r="F15118" t="s">
        <v>4</v>
      </c>
      <c r="G15118" t="str">
        <f>""</f>
        <v/>
      </c>
    </row>
    <row r="15119" spans="1:7" x14ac:dyDescent="0.25">
      <c r="A15119" t="s">
        <v>8</v>
      </c>
      <c r="B15119" s="1" t="str">
        <f>"000291664 - RICHS TOPPINGS-SODEXO"</f>
        <v>000291664 - RICHS TOPPINGS-SODEXO</v>
      </c>
      <c r="C15119" t="s">
        <v>222</v>
      </c>
      <c r="D15119" s="1" t="str">
        <f t="shared" si="417"/>
        <v>PRG-1043939</v>
      </c>
      <c r="E15119" t="s">
        <v>79</v>
      </c>
      <c r="F15119" t="s">
        <v>4</v>
      </c>
      <c r="G15119" t="str">
        <f>""</f>
        <v/>
      </c>
    </row>
    <row r="15120" spans="1:7" x14ac:dyDescent="0.25">
      <c r="A15120" t="s">
        <v>8</v>
      </c>
      <c r="B15120" s="1" t="str">
        <f>"000291701 - RICHS TOPPINGS-SODEXO"</f>
        <v>000291701 - RICHS TOPPINGS-SODEXO</v>
      </c>
      <c r="C15120" t="s">
        <v>222</v>
      </c>
      <c r="D15120" s="1" t="str">
        <f t="shared" si="417"/>
        <v>PRG-1043939</v>
      </c>
      <c r="E15120" t="s">
        <v>79</v>
      </c>
      <c r="F15120" t="s">
        <v>4</v>
      </c>
      <c r="G15120" t="str">
        <f>""</f>
        <v/>
      </c>
    </row>
    <row r="15121" spans="1:7" x14ac:dyDescent="0.25">
      <c r="A15121" t="s">
        <v>8</v>
      </c>
      <c r="B15121" s="1" t="str">
        <f>"000291732 - RICHS TOPPINGS-SODEXO"</f>
        <v>000291732 - RICHS TOPPINGS-SODEXO</v>
      </c>
      <c r="C15121" t="s">
        <v>222</v>
      </c>
      <c r="D15121" s="1" t="str">
        <f t="shared" si="417"/>
        <v>PRG-1043939</v>
      </c>
      <c r="E15121" t="s">
        <v>79</v>
      </c>
      <c r="F15121" t="s">
        <v>4</v>
      </c>
      <c r="G15121" t="str">
        <f>""</f>
        <v/>
      </c>
    </row>
    <row r="15122" spans="1:7" x14ac:dyDescent="0.25">
      <c r="A15122" t="s">
        <v>8</v>
      </c>
      <c r="B15122" s="1" t="str">
        <f>"000291905 - RICHS TOPPINGS-SODEXO"</f>
        <v>000291905 - RICHS TOPPINGS-SODEXO</v>
      </c>
      <c r="C15122" t="s">
        <v>222</v>
      </c>
      <c r="D15122" s="1" t="str">
        <f t="shared" si="417"/>
        <v>PRG-1043939</v>
      </c>
      <c r="E15122" t="s">
        <v>79</v>
      </c>
      <c r="F15122" t="s">
        <v>4</v>
      </c>
      <c r="G15122" t="str">
        <f>""</f>
        <v/>
      </c>
    </row>
    <row r="15123" spans="1:7" x14ac:dyDescent="0.25">
      <c r="A15123" t="s">
        <v>8</v>
      </c>
      <c r="B15123" s="1" t="str">
        <f>"000292736 - RICHS TOPPINGS-SODEXO"</f>
        <v>000292736 - RICHS TOPPINGS-SODEXO</v>
      </c>
      <c r="C15123" t="s">
        <v>222</v>
      </c>
      <c r="D15123" s="1" t="str">
        <f t="shared" si="417"/>
        <v>PRG-1043939</v>
      </c>
      <c r="E15123" t="s">
        <v>79</v>
      </c>
      <c r="F15123" t="s">
        <v>4</v>
      </c>
      <c r="G15123" t="str">
        <f>""</f>
        <v/>
      </c>
    </row>
    <row r="15124" spans="1:7" x14ac:dyDescent="0.25">
      <c r="A15124" t="s">
        <v>8</v>
      </c>
      <c r="B15124" s="1" t="str">
        <f>"000292966 - RICHS WHIPPED TOPPINGS-SODEXO"</f>
        <v>000292966 - RICHS WHIPPED TOPPINGS-SODEXO</v>
      </c>
      <c r="C15124" t="s">
        <v>419</v>
      </c>
      <c r="D15124" s="1" t="str">
        <f t="shared" si="417"/>
        <v>PRG-1043939</v>
      </c>
      <c r="E15124" t="s">
        <v>79</v>
      </c>
      <c r="F15124" t="s">
        <v>4</v>
      </c>
      <c r="G15124" t="str">
        <f>""</f>
        <v/>
      </c>
    </row>
    <row r="15125" spans="1:7" x14ac:dyDescent="0.25">
      <c r="A15125" t="s">
        <v>8</v>
      </c>
      <c r="B15125" s="1" t="str">
        <f>"000293009 - RICHS WHIPPED TOPPINGS-SODEXO"</f>
        <v>000293009 - RICHS WHIPPED TOPPINGS-SODEXO</v>
      </c>
      <c r="C15125" t="s">
        <v>419</v>
      </c>
      <c r="D15125" s="1" t="str">
        <f t="shared" si="417"/>
        <v>PRG-1043939</v>
      </c>
      <c r="E15125" t="s">
        <v>79</v>
      </c>
      <c r="F15125" t="s">
        <v>4</v>
      </c>
      <c r="G15125" t="str">
        <f>""</f>
        <v/>
      </c>
    </row>
    <row r="15126" spans="1:7" x14ac:dyDescent="0.25">
      <c r="A15126" t="s">
        <v>8</v>
      </c>
      <c r="B15126" s="1" t="str">
        <f>"000293191 - RICHS TOPPINGS-SODEXO"</f>
        <v>000293191 - RICHS TOPPINGS-SODEXO</v>
      </c>
      <c r="C15126" t="s">
        <v>222</v>
      </c>
      <c r="D15126" s="1" t="str">
        <f t="shared" si="417"/>
        <v>PRG-1043939</v>
      </c>
      <c r="E15126" t="s">
        <v>79</v>
      </c>
      <c r="F15126" t="s">
        <v>4</v>
      </c>
      <c r="G15126" t="str">
        <f>""</f>
        <v/>
      </c>
    </row>
    <row r="15127" spans="1:7" x14ac:dyDescent="0.25">
      <c r="A15127" t="s">
        <v>8</v>
      </c>
      <c r="B15127" s="1" t="str">
        <f>"000293477 - RICHS TOPPINGS-SODEXO"</f>
        <v>000293477 - RICHS TOPPINGS-SODEXO</v>
      </c>
      <c r="C15127" t="s">
        <v>222</v>
      </c>
      <c r="D15127" s="1" t="str">
        <f t="shared" si="417"/>
        <v>PRG-1043939</v>
      </c>
      <c r="E15127" t="s">
        <v>79</v>
      </c>
      <c r="F15127" t="s">
        <v>4</v>
      </c>
      <c r="G15127" t="str">
        <f>""</f>
        <v/>
      </c>
    </row>
    <row r="15128" spans="1:7" x14ac:dyDescent="0.25">
      <c r="A15128" t="s">
        <v>8</v>
      </c>
      <c r="B15128" s="1" t="str">
        <f>"000293835 - RICHS TOPPINGS-SODEXO"</f>
        <v>000293835 - RICHS TOPPINGS-SODEXO</v>
      </c>
      <c r="C15128" t="s">
        <v>222</v>
      </c>
      <c r="D15128" s="1" t="str">
        <f t="shared" si="417"/>
        <v>PRG-1043939</v>
      </c>
      <c r="E15128" t="s">
        <v>79</v>
      </c>
      <c r="F15128" t="s">
        <v>4</v>
      </c>
      <c r="G15128" t="str">
        <f>""</f>
        <v/>
      </c>
    </row>
    <row r="15129" spans="1:7" x14ac:dyDescent="0.25">
      <c r="A15129" t="s">
        <v>8</v>
      </c>
      <c r="B15129" s="1" t="str">
        <f>"000293936 - RICHS TOPPINGS-SODEXO"</f>
        <v>000293936 - RICHS TOPPINGS-SODEXO</v>
      </c>
      <c r="C15129" t="s">
        <v>222</v>
      </c>
      <c r="D15129" s="1" t="str">
        <f t="shared" si="417"/>
        <v>PRG-1043939</v>
      </c>
      <c r="E15129" t="s">
        <v>79</v>
      </c>
      <c r="F15129" t="s">
        <v>4</v>
      </c>
      <c r="G15129" t="str">
        <f>""</f>
        <v/>
      </c>
    </row>
    <row r="15130" spans="1:7" x14ac:dyDescent="0.25">
      <c r="A15130" t="s">
        <v>8</v>
      </c>
      <c r="B15130" s="1" t="str">
        <f>"000294151 - RICHS TOPPINGS-SODEXO"</f>
        <v>000294151 - RICHS TOPPINGS-SODEXO</v>
      </c>
      <c r="C15130" t="s">
        <v>222</v>
      </c>
      <c r="D15130" s="1" t="str">
        <f t="shared" si="417"/>
        <v>PRG-1043939</v>
      </c>
      <c r="E15130" t="s">
        <v>79</v>
      </c>
      <c r="F15130" t="s">
        <v>4</v>
      </c>
      <c r="G15130" t="str">
        <f>""</f>
        <v/>
      </c>
    </row>
    <row r="15131" spans="1:7" x14ac:dyDescent="0.25">
      <c r="A15131" t="s">
        <v>8</v>
      </c>
      <c r="B15131" s="1" t="str">
        <f>"000294259 - RICHS WHIPPED TOPPINGS-SODEXO"</f>
        <v>000294259 - RICHS WHIPPED TOPPINGS-SODEXO</v>
      </c>
      <c r="C15131" t="s">
        <v>419</v>
      </c>
      <c r="D15131" s="1" t="str">
        <f t="shared" si="417"/>
        <v>PRG-1043939</v>
      </c>
      <c r="E15131" t="s">
        <v>79</v>
      </c>
      <c r="F15131" t="s">
        <v>4</v>
      </c>
      <c r="G15131" t="str">
        <f>""</f>
        <v/>
      </c>
    </row>
    <row r="15132" spans="1:7" x14ac:dyDescent="0.25">
      <c r="A15132" t="s">
        <v>8</v>
      </c>
      <c r="B15132" s="1" t="str">
        <f>"000294910 - RICHS WHIPPED TOPPINGS-SODEXO"</f>
        <v>000294910 - RICHS WHIPPED TOPPINGS-SODEXO</v>
      </c>
      <c r="C15132" t="s">
        <v>419</v>
      </c>
      <c r="D15132" s="1" t="str">
        <f t="shared" si="417"/>
        <v>PRG-1043939</v>
      </c>
      <c r="E15132" t="s">
        <v>79</v>
      </c>
      <c r="F15132" t="s">
        <v>4</v>
      </c>
      <c r="G15132" t="str">
        <f>""</f>
        <v/>
      </c>
    </row>
    <row r="15133" spans="1:7" x14ac:dyDescent="0.25">
      <c r="A15133" t="s">
        <v>8</v>
      </c>
      <c r="B15133" s="1" t="str">
        <f>"000295232 - RICHS TOPPINGS-SODEXO"</f>
        <v>000295232 - RICHS TOPPINGS-SODEXO</v>
      </c>
      <c r="C15133" t="s">
        <v>222</v>
      </c>
      <c r="D15133" s="1" t="str">
        <f t="shared" ref="D15133:D15196" si="418">"PRG-1043939"</f>
        <v>PRG-1043939</v>
      </c>
      <c r="E15133" t="s">
        <v>79</v>
      </c>
      <c r="F15133" t="s">
        <v>4</v>
      </c>
      <c r="G15133" t="str">
        <f>""</f>
        <v/>
      </c>
    </row>
    <row r="15134" spans="1:7" x14ac:dyDescent="0.25">
      <c r="A15134" t="s">
        <v>8</v>
      </c>
      <c r="B15134" s="1" t="str">
        <f>"000295974 - RICHS WHIPPED TOPPINGS-SODEXO"</f>
        <v>000295974 - RICHS WHIPPED TOPPINGS-SODEXO</v>
      </c>
      <c r="C15134" t="s">
        <v>419</v>
      </c>
      <c r="D15134" s="1" t="str">
        <f t="shared" si="418"/>
        <v>PRG-1043939</v>
      </c>
      <c r="E15134" t="s">
        <v>79</v>
      </c>
      <c r="F15134" t="s">
        <v>4</v>
      </c>
      <c r="G15134" t="str">
        <f>""</f>
        <v/>
      </c>
    </row>
    <row r="15135" spans="1:7" x14ac:dyDescent="0.25">
      <c r="A15135" t="s">
        <v>8</v>
      </c>
      <c r="B15135" s="1" t="str">
        <f>"000296172 - RICHS WHIPPED TOPPINGS-SODEXO"</f>
        <v>000296172 - RICHS WHIPPED TOPPINGS-SODEXO</v>
      </c>
      <c r="C15135" t="s">
        <v>419</v>
      </c>
      <c r="D15135" s="1" t="str">
        <f t="shared" si="418"/>
        <v>PRG-1043939</v>
      </c>
      <c r="E15135" t="s">
        <v>79</v>
      </c>
      <c r="F15135" t="s">
        <v>4</v>
      </c>
      <c r="G15135" t="str">
        <f>""</f>
        <v/>
      </c>
    </row>
    <row r="15136" spans="1:7" x14ac:dyDescent="0.25">
      <c r="A15136" t="s">
        <v>8</v>
      </c>
      <c r="B15136" s="1" t="str">
        <f>"000296704 - RICHS TOPPINGS-SODEXO"</f>
        <v>000296704 - RICHS TOPPINGS-SODEXO</v>
      </c>
      <c r="C15136" t="s">
        <v>222</v>
      </c>
      <c r="D15136" s="1" t="str">
        <f t="shared" si="418"/>
        <v>PRG-1043939</v>
      </c>
      <c r="E15136" t="s">
        <v>79</v>
      </c>
      <c r="F15136" t="s">
        <v>4</v>
      </c>
      <c r="G15136" t="str">
        <f>""</f>
        <v/>
      </c>
    </row>
    <row r="15137" spans="1:7" x14ac:dyDescent="0.25">
      <c r="A15137" t="s">
        <v>8</v>
      </c>
      <c r="B15137" s="1" t="str">
        <f>"000296941 - RICHS TOPPINGS-SODEXO"</f>
        <v>000296941 - RICHS TOPPINGS-SODEXO</v>
      </c>
      <c r="C15137" t="s">
        <v>222</v>
      </c>
      <c r="D15137" s="1" t="str">
        <f t="shared" si="418"/>
        <v>PRG-1043939</v>
      </c>
      <c r="E15137" t="s">
        <v>79</v>
      </c>
      <c r="F15137" t="s">
        <v>4</v>
      </c>
      <c r="G15137" t="str">
        <f>""</f>
        <v/>
      </c>
    </row>
    <row r="15138" spans="1:7" x14ac:dyDescent="0.25">
      <c r="A15138" t="s">
        <v>8</v>
      </c>
      <c r="B15138" s="1" t="str">
        <f>"000297092 - RICHS TOPPINGS-SODEXO"</f>
        <v>000297092 - RICHS TOPPINGS-SODEXO</v>
      </c>
      <c r="C15138" t="s">
        <v>222</v>
      </c>
      <c r="D15138" s="1" t="str">
        <f t="shared" si="418"/>
        <v>PRG-1043939</v>
      </c>
      <c r="E15138" t="s">
        <v>79</v>
      </c>
      <c r="F15138" t="s">
        <v>4</v>
      </c>
      <c r="G15138" t="str">
        <f>""</f>
        <v/>
      </c>
    </row>
    <row r="15139" spans="1:7" x14ac:dyDescent="0.25">
      <c r="A15139" t="s">
        <v>8</v>
      </c>
      <c r="B15139" s="1" t="str">
        <f>"000297726 - RICHS WHIPPED TOPPINGS-SODEXO"</f>
        <v>000297726 - RICHS WHIPPED TOPPINGS-SODEXO</v>
      </c>
      <c r="C15139" t="s">
        <v>419</v>
      </c>
      <c r="D15139" s="1" t="str">
        <f t="shared" si="418"/>
        <v>PRG-1043939</v>
      </c>
      <c r="E15139" t="s">
        <v>79</v>
      </c>
      <c r="F15139" t="s">
        <v>4</v>
      </c>
      <c r="G15139" t="str">
        <f>""</f>
        <v/>
      </c>
    </row>
    <row r="15140" spans="1:7" x14ac:dyDescent="0.25">
      <c r="A15140" t="s">
        <v>8</v>
      </c>
      <c r="B15140" s="1" t="str">
        <f>"000297888 - RICHS TOPPINGS-SODEXO"</f>
        <v>000297888 - RICHS TOPPINGS-SODEXO</v>
      </c>
      <c r="C15140" t="s">
        <v>222</v>
      </c>
      <c r="D15140" s="1" t="str">
        <f t="shared" si="418"/>
        <v>PRG-1043939</v>
      </c>
      <c r="E15140" t="s">
        <v>79</v>
      </c>
      <c r="F15140" t="s">
        <v>4</v>
      </c>
      <c r="G15140" t="str">
        <f>""</f>
        <v/>
      </c>
    </row>
    <row r="15141" spans="1:7" x14ac:dyDescent="0.25">
      <c r="A15141" t="s">
        <v>8</v>
      </c>
      <c r="B15141" s="1" t="str">
        <f>"000298116 - RICHS TOPPINGS-SODEXO"</f>
        <v>000298116 - RICHS TOPPINGS-SODEXO</v>
      </c>
      <c r="C15141" t="s">
        <v>222</v>
      </c>
      <c r="D15141" s="1" t="str">
        <f t="shared" si="418"/>
        <v>PRG-1043939</v>
      </c>
      <c r="E15141" t="s">
        <v>79</v>
      </c>
      <c r="F15141" t="s">
        <v>4</v>
      </c>
      <c r="G15141" t="str">
        <f>""</f>
        <v/>
      </c>
    </row>
    <row r="15142" spans="1:7" x14ac:dyDescent="0.25">
      <c r="A15142" t="s">
        <v>8</v>
      </c>
      <c r="B15142" s="1" t="str">
        <f>"000298612 - RICHS TOPPINGS-SODEXO"</f>
        <v>000298612 - RICHS TOPPINGS-SODEXO</v>
      </c>
      <c r="C15142" t="s">
        <v>222</v>
      </c>
      <c r="D15142" s="1" t="str">
        <f t="shared" si="418"/>
        <v>PRG-1043939</v>
      </c>
      <c r="E15142" t="s">
        <v>79</v>
      </c>
      <c r="F15142" t="s">
        <v>4</v>
      </c>
      <c r="G15142" t="str">
        <f>""</f>
        <v/>
      </c>
    </row>
    <row r="15143" spans="1:7" x14ac:dyDescent="0.25">
      <c r="A15143" t="s">
        <v>8</v>
      </c>
      <c r="B15143" s="1" t="str">
        <f>"000298705 - RICHS WHIPPED TOPPINGS-SODEXO"</f>
        <v>000298705 - RICHS WHIPPED TOPPINGS-SODEXO</v>
      </c>
      <c r="C15143" t="s">
        <v>419</v>
      </c>
      <c r="D15143" s="1" t="str">
        <f t="shared" si="418"/>
        <v>PRG-1043939</v>
      </c>
      <c r="E15143" t="s">
        <v>79</v>
      </c>
      <c r="F15143" t="s">
        <v>4</v>
      </c>
      <c r="G15143" t="str">
        <f>""</f>
        <v/>
      </c>
    </row>
    <row r="15144" spans="1:7" x14ac:dyDescent="0.25">
      <c r="A15144" t="s">
        <v>8</v>
      </c>
      <c r="B15144" s="1" t="str">
        <f>"000298989 - RICHS TOPPINGS-SODEXO"</f>
        <v>000298989 - RICHS TOPPINGS-SODEXO</v>
      </c>
      <c r="C15144" t="s">
        <v>222</v>
      </c>
      <c r="D15144" s="1" t="str">
        <f t="shared" si="418"/>
        <v>PRG-1043939</v>
      </c>
      <c r="E15144" t="s">
        <v>79</v>
      </c>
      <c r="F15144" t="s">
        <v>4</v>
      </c>
      <c r="G15144" t="str">
        <f>""</f>
        <v/>
      </c>
    </row>
    <row r="15145" spans="1:7" x14ac:dyDescent="0.25">
      <c r="A15145" t="s">
        <v>8</v>
      </c>
      <c r="B15145" s="1" t="str">
        <f>"000299000 - RICHS TOPPINGS-SODEXO"</f>
        <v>000299000 - RICHS TOPPINGS-SODEXO</v>
      </c>
      <c r="C15145" t="s">
        <v>222</v>
      </c>
      <c r="D15145" s="1" t="str">
        <f t="shared" si="418"/>
        <v>PRG-1043939</v>
      </c>
      <c r="E15145" t="s">
        <v>79</v>
      </c>
      <c r="F15145" t="s">
        <v>4</v>
      </c>
      <c r="G15145" t="str">
        <f>""</f>
        <v/>
      </c>
    </row>
    <row r="15146" spans="1:7" x14ac:dyDescent="0.25">
      <c r="A15146" t="s">
        <v>8</v>
      </c>
      <c r="B15146" s="1" t="str">
        <f>"000299257 - RICHS TOPPINGS-SODEXO"</f>
        <v>000299257 - RICHS TOPPINGS-SODEXO</v>
      </c>
      <c r="C15146" t="s">
        <v>222</v>
      </c>
      <c r="D15146" s="1" t="str">
        <f t="shared" si="418"/>
        <v>PRG-1043939</v>
      </c>
      <c r="E15146" t="s">
        <v>79</v>
      </c>
      <c r="F15146" t="s">
        <v>4</v>
      </c>
      <c r="G15146" t="str">
        <f>""</f>
        <v/>
      </c>
    </row>
    <row r="15147" spans="1:7" x14ac:dyDescent="0.25">
      <c r="A15147" t="s">
        <v>8</v>
      </c>
      <c r="B15147" s="1" t="str">
        <f>"000299306 - RICHS TOPPINGS-SODEXO"</f>
        <v>000299306 - RICHS TOPPINGS-SODEXO</v>
      </c>
      <c r="C15147" t="s">
        <v>222</v>
      </c>
      <c r="D15147" s="1" t="str">
        <f t="shared" si="418"/>
        <v>PRG-1043939</v>
      </c>
      <c r="E15147" t="s">
        <v>79</v>
      </c>
      <c r="F15147" t="s">
        <v>4</v>
      </c>
      <c r="G15147" t="str">
        <f>""</f>
        <v/>
      </c>
    </row>
    <row r="15148" spans="1:7" x14ac:dyDescent="0.25">
      <c r="A15148" t="s">
        <v>8</v>
      </c>
      <c r="B15148" s="1" t="str">
        <f>"000299473 - RICHS WHIPPED TOPPINGS-SODEXO"</f>
        <v>000299473 - RICHS WHIPPED TOPPINGS-SODEXO</v>
      </c>
      <c r="C15148" t="s">
        <v>419</v>
      </c>
      <c r="D15148" s="1" t="str">
        <f t="shared" si="418"/>
        <v>PRG-1043939</v>
      </c>
      <c r="E15148" t="s">
        <v>79</v>
      </c>
      <c r="F15148" t="s">
        <v>4</v>
      </c>
      <c r="G15148" t="str">
        <f>""</f>
        <v/>
      </c>
    </row>
    <row r="15149" spans="1:7" x14ac:dyDescent="0.25">
      <c r="A15149" t="s">
        <v>8</v>
      </c>
      <c r="B15149" s="1" t="str">
        <f>"000299747 - RICHS TOPPINGS-SODEXO"</f>
        <v>000299747 - RICHS TOPPINGS-SODEXO</v>
      </c>
      <c r="C15149" t="s">
        <v>222</v>
      </c>
      <c r="D15149" s="1" t="str">
        <f t="shared" si="418"/>
        <v>PRG-1043939</v>
      </c>
      <c r="E15149" t="s">
        <v>79</v>
      </c>
      <c r="F15149" t="s">
        <v>4</v>
      </c>
      <c r="G15149" t="str">
        <f>""</f>
        <v/>
      </c>
    </row>
    <row r="15150" spans="1:7" x14ac:dyDescent="0.25">
      <c r="A15150" t="s">
        <v>8</v>
      </c>
      <c r="B15150" s="1" t="str">
        <f>"000300564 - RICHS TOPPINGS-SODEXO"</f>
        <v>000300564 - RICHS TOPPINGS-SODEXO</v>
      </c>
      <c r="C15150" t="s">
        <v>222</v>
      </c>
      <c r="D15150" s="1" t="str">
        <f t="shared" si="418"/>
        <v>PRG-1043939</v>
      </c>
      <c r="E15150" t="s">
        <v>79</v>
      </c>
      <c r="F15150" t="s">
        <v>4</v>
      </c>
      <c r="G15150" t="str">
        <f>""</f>
        <v/>
      </c>
    </row>
    <row r="15151" spans="1:7" x14ac:dyDescent="0.25">
      <c r="A15151" t="s">
        <v>8</v>
      </c>
      <c r="B15151" s="1" t="str">
        <f>"000301155 - RICHS WHIPPED TOPPINGS-SODEXO"</f>
        <v>000301155 - RICHS WHIPPED TOPPINGS-SODEXO</v>
      </c>
      <c r="C15151" t="s">
        <v>419</v>
      </c>
      <c r="D15151" s="1" t="str">
        <f t="shared" si="418"/>
        <v>PRG-1043939</v>
      </c>
      <c r="E15151" t="s">
        <v>79</v>
      </c>
      <c r="F15151" t="s">
        <v>4</v>
      </c>
      <c r="G15151" t="str">
        <f>""</f>
        <v/>
      </c>
    </row>
    <row r="15152" spans="1:7" x14ac:dyDescent="0.25">
      <c r="A15152" t="s">
        <v>8</v>
      </c>
      <c r="B15152" s="1" t="str">
        <f>"000301200 - RICHS WHIPPED TOPPINGS-SODEXO"</f>
        <v>000301200 - RICHS WHIPPED TOPPINGS-SODEXO</v>
      </c>
      <c r="C15152" t="s">
        <v>419</v>
      </c>
      <c r="D15152" s="1" t="str">
        <f t="shared" si="418"/>
        <v>PRG-1043939</v>
      </c>
      <c r="E15152" t="s">
        <v>79</v>
      </c>
      <c r="F15152" t="s">
        <v>4</v>
      </c>
      <c r="G15152" t="str">
        <f>""</f>
        <v/>
      </c>
    </row>
    <row r="15153" spans="1:7" x14ac:dyDescent="0.25">
      <c r="A15153" t="s">
        <v>8</v>
      </c>
      <c r="B15153" s="1" t="str">
        <f>"000302101 - RICHS TOPPINGS-SODEXO"</f>
        <v>000302101 - RICHS TOPPINGS-SODEXO</v>
      </c>
      <c r="C15153" t="s">
        <v>222</v>
      </c>
      <c r="D15153" s="1" t="str">
        <f t="shared" si="418"/>
        <v>PRG-1043939</v>
      </c>
      <c r="E15153" t="s">
        <v>79</v>
      </c>
      <c r="F15153" t="s">
        <v>4</v>
      </c>
      <c r="G15153" t="str">
        <f>""</f>
        <v/>
      </c>
    </row>
    <row r="15154" spans="1:7" x14ac:dyDescent="0.25">
      <c r="A15154" t="s">
        <v>8</v>
      </c>
      <c r="B15154" s="1" t="str">
        <f>"000302317 - RICHS TOPPINGS-SODEXO"</f>
        <v>000302317 - RICHS TOPPINGS-SODEXO</v>
      </c>
      <c r="C15154" t="s">
        <v>222</v>
      </c>
      <c r="D15154" s="1" t="str">
        <f t="shared" si="418"/>
        <v>PRG-1043939</v>
      </c>
      <c r="E15154" t="s">
        <v>79</v>
      </c>
      <c r="F15154" t="s">
        <v>4</v>
      </c>
      <c r="G15154" t="str">
        <f>""</f>
        <v/>
      </c>
    </row>
    <row r="15155" spans="1:7" x14ac:dyDescent="0.25">
      <c r="A15155" t="s">
        <v>8</v>
      </c>
      <c r="B15155" s="1" t="str">
        <f>"000302371 - RICHS TOPPINGS-SODEXO"</f>
        <v>000302371 - RICHS TOPPINGS-SODEXO</v>
      </c>
      <c r="C15155" t="s">
        <v>222</v>
      </c>
      <c r="D15155" s="1" t="str">
        <f t="shared" si="418"/>
        <v>PRG-1043939</v>
      </c>
      <c r="E15155" t="s">
        <v>79</v>
      </c>
      <c r="F15155" t="s">
        <v>4</v>
      </c>
      <c r="G15155" t="str">
        <f>""</f>
        <v/>
      </c>
    </row>
    <row r="15156" spans="1:7" x14ac:dyDescent="0.25">
      <c r="A15156" t="s">
        <v>8</v>
      </c>
      <c r="B15156" s="1" t="str">
        <f>"000303055 - RICHS WHIPPED TOPPINGS-SODEXO"</f>
        <v>000303055 - RICHS WHIPPED TOPPINGS-SODEXO</v>
      </c>
      <c r="C15156" t="s">
        <v>419</v>
      </c>
      <c r="D15156" s="1" t="str">
        <f t="shared" si="418"/>
        <v>PRG-1043939</v>
      </c>
      <c r="E15156" t="s">
        <v>79</v>
      </c>
      <c r="F15156" t="s">
        <v>4</v>
      </c>
      <c r="G15156" t="str">
        <f>""</f>
        <v/>
      </c>
    </row>
    <row r="15157" spans="1:7" x14ac:dyDescent="0.25">
      <c r="A15157" t="s">
        <v>8</v>
      </c>
      <c r="B15157" s="1" t="str">
        <f>"000303107 - RICHS TOPPINGS-SODEXO"</f>
        <v>000303107 - RICHS TOPPINGS-SODEXO</v>
      </c>
      <c r="C15157" t="s">
        <v>222</v>
      </c>
      <c r="D15157" s="1" t="str">
        <f t="shared" si="418"/>
        <v>PRG-1043939</v>
      </c>
      <c r="E15157" t="s">
        <v>79</v>
      </c>
      <c r="F15157" t="s">
        <v>4</v>
      </c>
      <c r="G15157" t="str">
        <f>""</f>
        <v/>
      </c>
    </row>
    <row r="15158" spans="1:7" x14ac:dyDescent="0.25">
      <c r="A15158" t="s">
        <v>8</v>
      </c>
      <c r="B15158" s="1" t="str">
        <f>"000303457 - RICHS TOPPINGS-SODEXO"</f>
        <v>000303457 - RICHS TOPPINGS-SODEXO</v>
      </c>
      <c r="C15158" t="s">
        <v>222</v>
      </c>
      <c r="D15158" s="1" t="str">
        <f t="shared" si="418"/>
        <v>PRG-1043939</v>
      </c>
      <c r="E15158" t="s">
        <v>79</v>
      </c>
      <c r="F15158" t="s">
        <v>4</v>
      </c>
      <c r="G15158" t="str">
        <f>""</f>
        <v/>
      </c>
    </row>
    <row r="15159" spans="1:7" x14ac:dyDescent="0.25">
      <c r="A15159" t="s">
        <v>8</v>
      </c>
      <c r="B15159" s="1" t="str">
        <f>"000303628 - RICHS WHIPPED TOPPINGS-SODEXO"</f>
        <v>000303628 - RICHS WHIPPED TOPPINGS-SODEXO</v>
      </c>
      <c r="C15159" t="s">
        <v>419</v>
      </c>
      <c r="D15159" s="1" t="str">
        <f t="shared" si="418"/>
        <v>PRG-1043939</v>
      </c>
      <c r="E15159" t="s">
        <v>79</v>
      </c>
      <c r="F15159" t="s">
        <v>4</v>
      </c>
      <c r="G15159" t="str">
        <f>""</f>
        <v/>
      </c>
    </row>
    <row r="15160" spans="1:7" x14ac:dyDescent="0.25">
      <c r="A15160" t="s">
        <v>8</v>
      </c>
      <c r="B15160" s="1" t="str">
        <f>"000303845 - RICHS TOPPINGS-SODEXO"</f>
        <v>000303845 - RICHS TOPPINGS-SODEXO</v>
      </c>
      <c r="C15160" t="s">
        <v>222</v>
      </c>
      <c r="D15160" s="1" t="str">
        <f t="shared" si="418"/>
        <v>PRG-1043939</v>
      </c>
      <c r="E15160" t="s">
        <v>79</v>
      </c>
      <c r="F15160" t="s">
        <v>4</v>
      </c>
      <c r="G15160" t="str">
        <f>""</f>
        <v/>
      </c>
    </row>
    <row r="15161" spans="1:7" x14ac:dyDescent="0.25">
      <c r="A15161" t="s">
        <v>8</v>
      </c>
      <c r="B15161" s="1" t="str">
        <f>"000304022 - RICHS WHIPPED TOPPINGS-SODEXO"</f>
        <v>000304022 - RICHS WHIPPED TOPPINGS-SODEXO</v>
      </c>
      <c r="C15161" t="s">
        <v>419</v>
      </c>
      <c r="D15161" s="1" t="str">
        <f t="shared" si="418"/>
        <v>PRG-1043939</v>
      </c>
      <c r="E15161" t="s">
        <v>79</v>
      </c>
      <c r="F15161" t="s">
        <v>4</v>
      </c>
      <c r="G15161" t="str">
        <f>""</f>
        <v/>
      </c>
    </row>
    <row r="15162" spans="1:7" x14ac:dyDescent="0.25">
      <c r="A15162" t="s">
        <v>8</v>
      </c>
      <c r="B15162" s="1" t="str">
        <f>"000304032 - RICHS WHIPPED TOPPINGS-SODEXO"</f>
        <v>000304032 - RICHS WHIPPED TOPPINGS-SODEXO</v>
      </c>
      <c r="C15162" t="s">
        <v>419</v>
      </c>
      <c r="D15162" s="1" t="str">
        <f t="shared" si="418"/>
        <v>PRG-1043939</v>
      </c>
      <c r="E15162" t="s">
        <v>79</v>
      </c>
      <c r="F15162" t="s">
        <v>4</v>
      </c>
      <c r="G15162" t="str">
        <f>""</f>
        <v/>
      </c>
    </row>
    <row r="15163" spans="1:7" x14ac:dyDescent="0.25">
      <c r="A15163" t="s">
        <v>8</v>
      </c>
      <c r="B15163" s="1" t="str">
        <f>"000304362 - RICHS WHIPPED TOPPINGS-SODEXO"</f>
        <v>000304362 - RICHS WHIPPED TOPPINGS-SODEXO</v>
      </c>
      <c r="C15163" t="s">
        <v>419</v>
      </c>
      <c r="D15163" s="1" t="str">
        <f t="shared" si="418"/>
        <v>PRG-1043939</v>
      </c>
      <c r="E15163" t="s">
        <v>79</v>
      </c>
      <c r="F15163" t="s">
        <v>4</v>
      </c>
      <c r="G15163" t="str">
        <f>""</f>
        <v/>
      </c>
    </row>
    <row r="15164" spans="1:7" x14ac:dyDescent="0.25">
      <c r="A15164" t="s">
        <v>8</v>
      </c>
      <c r="B15164" s="1" t="str">
        <f>"000304930 - RICHS TOPPINGS-SODEXO"</f>
        <v>000304930 - RICHS TOPPINGS-SODEXO</v>
      </c>
      <c r="C15164" t="s">
        <v>222</v>
      </c>
      <c r="D15164" s="1" t="str">
        <f t="shared" si="418"/>
        <v>PRG-1043939</v>
      </c>
      <c r="E15164" t="s">
        <v>79</v>
      </c>
      <c r="F15164" t="s">
        <v>4</v>
      </c>
      <c r="G15164" t="str">
        <f>""</f>
        <v/>
      </c>
    </row>
    <row r="15165" spans="1:7" x14ac:dyDescent="0.25">
      <c r="A15165" t="s">
        <v>8</v>
      </c>
      <c r="B15165" s="1" t="str">
        <f>"000305009 - RICHS WHIPPED TOPPINGS-SODEXO"</f>
        <v>000305009 - RICHS WHIPPED TOPPINGS-SODEXO</v>
      </c>
      <c r="C15165" t="s">
        <v>419</v>
      </c>
      <c r="D15165" s="1" t="str">
        <f t="shared" si="418"/>
        <v>PRG-1043939</v>
      </c>
      <c r="E15165" t="s">
        <v>79</v>
      </c>
      <c r="F15165" t="s">
        <v>4</v>
      </c>
      <c r="G15165" t="str">
        <f>""</f>
        <v/>
      </c>
    </row>
    <row r="15166" spans="1:7" x14ac:dyDescent="0.25">
      <c r="A15166" t="s">
        <v>8</v>
      </c>
      <c r="B15166" s="1" t="str">
        <f>"000305705 - RICHS TOPPINGS-SODEXO"</f>
        <v>000305705 - RICHS TOPPINGS-SODEXO</v>
      </c>
      <c r="C15166" t="s">
        <v>222</v>
      </c>
      <c r="D15166" s="1" t="str">
        <f t="shared" si="418"/>
        <v>PRG-1043939</v>
      </c>
      <c r="E15166" t="s">
        <v>79</v>
      </c>
      <c r="F15166" t="s">
        <v>4</v>
      </c>
      <c r="G15166" t="str">
        <f>""</f>
        <v/>
      </c>
    </row>
    <row r="15167" spans="1:7" x14ac:dyDescent="0.25">
      <c r="A15167" t="s">
        <v>8</v>
      </c>
      <c r="B15167" s="1" t="str">
        <f>"000305869 - RICHS WHIPPED TOPPINGS-SODEXO"</f>
        <v>000305869 - RICHS WHIPPED TOPPINGS-SODEXO</v>
      </c>
      <c r="C15167" t="s">
        <v>419</v>
      </c>
      <c r="D15167" s="1" t="str">
        <f t="shared" si="418"/>
        <v>PRG-1043939</v>
      </c>
      <c r="E15167" t="s">
        <v>79</v>
      </c>
      <c r="F15167" t="s">
        <v>4</v>
      </c>
      <c r="G15167" t="str">
        <f>""</f>
        <v/>
      </c>
    </row>
    <row r="15168" spans="1:7" x14ac:dyDescent="0.25">
      <c r="A15168" t="s">
        <v>8</v>
      </c>
      <c r="B15168" s="1" t="str">
        <f>"000305885 - RICHS WHIPPED TOPPINGS-SODEXO"</f>
        <v>000305885 - RICHS WHIPPED TOPPINGS-SODEXO</v>
      </c>
      <c r="C15168" t="s">
        <v>419</v>
      </c>
      <c r="D15168" s="1" t="str">
        <f t="shared" si="418"/>
        <v>PRG-1043939</v>
      </c>
      <c r="E15168" t="s">
        <v>79</v>
      </c>
      <c r="F15168" t="s">
        <v>4</v>
      </c>
      <c r="G15168" t="str">
        <f>""</f>
        <v/>
      </c>
    </row>
    <row r="15169" spans="1:7" x14ac:dyDescent="0.25">
      <c r="A15169" t="s">
        <v>8</v>
      </c>
      <c r="B15169" s="1" t="str">
        <f>"000306192 - RICHS TOPPINGS-SODEXO"</f>
        <v>000306192 - RICHS TOPPINGS-SODEXO</v>
      </c>
      <c r="C15169" t="s">
        <v>222</v>
      </c>
      <c r="D15169" s="1" t="str">
        <f t="shared" si="418"/>
        <v>PRG-1043939</v>
      </c>
      <c r="E15169" t="s">
        <v>79</v>
      </c>
      <c r="F15169" t="s">
        <v>4</v>
      </c>
      <c r="G15169" t="str">
        <f>""</f>
        <v/>
      </c>
    </row>
    <row r="15170" spans="1:7" x14ac:dyDescent="0.25">
      <c r="A15170" t="s">
        <v>8</v>
      </c>
      <c r="B15170" s="1" t="str">
        <f>"000306194 - RICHS TOPPINGS-SODEXO"</f>
        <v>000306194 - RICHS TOPPINGS-SODEXO</v>
      </c>
      <c r="C15170" t="s">
        <v>222</v>
      </c>
      <c r="D15170" s="1" t="str">
        <f t="shared" si="418"/>
        <v>PRG-1043939</v>
      </c>
      <c r="E15170" t="s">
        <v>79</v>
      </c>
      <c r="F15170" t="s">
        <v>4</v>
      </c>
      <c r="G15170" t="str">
        <f>""</f>
        <v/>
      </c>
    </row>
    <row r="15171" spans="1:7" x14ac:dyDescent="0.25">
      <c r="A15171" t="s">
        <v>8</v>
      </c>
      <c r="B15171" s="1" t="str">
        <f>"000306521 - RICHS TOPPINGS-SODEXO"</f>
        <v>000306521 - RICHS TOPPINGS-SODEXO</v>
      </c>
      <c r="C15171" t="s">
        <v>222</v>
      </c>
      <c r="D15171" s="1" t="str">
        <f t="shared" si="418"/>
        <v>PRG-1043939</v>
      </c>
      <c r="E15171" t="s">
        <v>79</v>
      </c>
      <c r="F15171" t="s">
        <v>4</v>
      </c>
      <c r="G15171" t="str">
        <f>""</f>
        <v/>
      </c>
    </row>
    <row r="15172" spans="1:7" x14ac:dyDescent="0.25">
      <c r="A15172" t="s">
        <v>8</v>
      </c>
      <c r="B15172" s="1" t="str">
        <f>"000306937 - RICHS TOPPINGS-SODEXO"</f>
        <v>000306937 - RICHS TOPPINGS-SODEXO</v>
      </c>
      <c r="C15172" t="s">
        <v>222</v>
      </c>
      <c r="D15172" s="1" t="str">
        <f t="shared" si="418"/>
        <v>PRG-1043939</v>
      </c>
      <c r="E15172" t="s">
        <v>79</v>
      </c>
      <c r="F15172" t="s">
        <v>4</v>
      </c>
      <c r="G15172" t="str">
        <f>""</f>
        <v/>
      </c>
    </row>
    <row r="15173" spans="1:7" x14ac:dyDescent="0.25">
      <c r="A15173" t="s">
        <v>8</v>
      </c>
      <c r="B15173" s="1" t="str">
        <f>"000307043 - RICHS WHIPPED TOPPINGS-SODEXO"</f>
        <v>000307043 - RICHS WHIPPED TOPPINGS-SODEXO</v>
      </c>
      <c r="C15173" t="s">
        <v>419</v>
      </c>
      <c r="D15173" s="1" t="str">
        <f t="shared" si="418"/>
        <v>PRG-1043939</v>
      </c>
      <c r="E15173" t="s">
        <v>79</v>
      </c>
      <c r="F15173" t="s">
        <v>4</v>
      </c>
      <c r="G15173" t="str">
        <f>""</f>
        <v/>
      </c>
    </row>
    <row r="15174" spans="1:7" x14ac:dyDescent="0.25">
      <c r="A15174" t="s">
        <v>8</v>
      </c>
      <c r="B15174" s="1" t="str">
        <f>"000307073 - RICHS WHIPPED TOPPINGS-SODEXO"</f>
        <v>000307073 - RICHS WHIPPED TOPPINGS-SODEXO</v>
      </c>
      <c r="C15174" t="s">
        <v>419</v>
      </c>
      <c r="D15174" s="1" t="str">
        <f t="shared" si="418"/>
        <v>PRG-1043939</v>
      </c>
      <c r="E15174" t="s">
        <v>79</v>
      </c>
      <c r="F15174" t="s">
        <v>4</v>
      </c>
      <c r="G15174" t="str">
        <f>""</f>
        <v/>
      </c>
    </row>
    <row r="15175" spans="1:7" x14ac:dyDescent="0.25">
      <c r="A15175" t="s">
        <v>8</v>
      </c>
      <c r="B15175" s="1" t="str">
        <f>"000307448 - RICHS TOPPINGS-SODEXO"</f>
        <v>000307448 - RICHS TOPPINGS-SODEXO</v>
      </c>
      <c r="C15175" t="s">
        <v>222</v>
      </c>
      <c r="D15175" s="1" t="str">
        <f t="shared" si="418"/>
        <v>PRG-1043939</v>
      </c>
      <c r="E15175" t="s">
        <v>79</v>
      </c>
      <c r="F15175" t="s">
        <v>4</v>
      </c>
      <c r="G15175" t="str">
        <f>""</f>
        <v/>
      </c>
    </row>
    <row r="15176" spans="1:7" x14ac:dyDescent="0.25">
      <c r="A15176" t="s">
        <v>8</v>
      </c>
      <c r="B15176" s="1" t="str">
        <f>"000308132 - RICHS WHIPPED TOPPINGS-SODEXO"</f>
        <v>000308132 - RICHS WHIPPED TOPPINGS-SODEXO</v>
      </c>
      <c r="C15176" t="s">
        <v>419</v>
      </c>
      <c r="D15176" s="1" t="str">
        <f t="shared" si="418"/>
        <v>PRG-1043939</v>
      </c>
      <c r="E15176" t="s">
        <v>79</v>
      </c>
      <c r="F15176" t="s">
        <v>4</v>
      </c>
      <c r="G15176" t="str">
        <f>""</f>
        <v/>
      </c>
    </row>
    <row r="15177" spans="1:7" x14ac:dyDescent="0.25">
      <c r="A15177" t="s">
        <v>8</v>
      </c>
      <c r="B15177" s="1" t="str">
        <f>"000308343 - RICHS TOPPINGS-SODEXO"</f>
        <v>000308343 - RICHS TOPPINGS-SODEXO</v>
      </c>
      <c r="C15177" t="s">
        <v>222</v>
      </c>
      <c r="D15177" s="1" t="str">
        <f t="shared" si="418"/>
        <v>PRG-1043939</v>
      </c>
      <c r="E15177" t="s">
        <v>79</v>
      </c>
      <c r="F15177" t="s">
        <v>4</v>
      </c>
      <c r="G15177" t="str">
        <f>""</f>
        <v/>
      </c>
    </row>
    <row r="15178" spans="1:7" x14ac:dyDescent="0.25">
      <c r="A15178" t="s">
        <v>8</v>
      </c>
      <c r="B15178" s="1" t="str">
        <f>"000308344 - RICHS WHIPPED TOPPINGS-SODEXO"</f>
        <v>000308344 - RICHS WHIPPED TOPPINGS-SODEXO</v>
      </c>
      <c r="C15178" t="s">
        <v>419</v>
      </c>
      <c r="D15178" s="1" t="str">
        <f t="shared" si="418"/>
        <v>PRG-1043939</v>
      </c>
      <c r="E15178" t="s">
        <v>79</v>
      </c>
      <c r="F15178" t="s">
        <v>4</v>
      </c>
      <c r="G15178" t="str">
        <f>""</f>
        <v/>
      </c>
    </row>
    <row r="15179" spans="1:7" x14ac:dyDescent="0.25">
      <c r="A15179" t="s">
        <v>8</v>
      </c>
      <c r="B15179" s="1" t="str">
        <f>"000309950 - RICHS TOPPINGS-SODEXO"</f>
        <v>000309950 - RICHS TOPPINGS-SODEXO</v>
      </c>
      <c r="C15179" t="s">
        <v>222</v>
      </c>
      <c r="D15179" s="1" t="str">
        <f t="shared" si="418"/>
        <v>PRG-1043939</v>
      </c>
      <c r="E15179" t="s">
        <v>79</v>
      </c>
      <c r="F15179" t="s">
        <v>4</v>
      </c>
      <c r="G15179" t="str">
        <f>""</f>
        <v/>
      </c>
    </row>
    <row r="15180" spans="1:7" x14ac:dyDescent="0.25">
      <c r="A15180" t="s">
        <v>8</v>
      </c>
      <c r="B15180" s="1" t="str">
        <f>"000309952 - RICHS TOPPINGS-SODEXO"</f>
        <v>000309952 - RICHS TOPPINGS-SODEXO</v>
      </c>
      <c r="C15180" t="s">
        <v>222</v>
      </c>
      <c r="D15180" s="1" t="str">
        <f t="shared" si="418"/>
        <v>PRG-1043939</v>
      </c>
      <c r="E15180" t="s">
        <v>79</v>
      </c>
      <c r="F15180" t="s">
        <v>4</v>
      </c>
      <c r="G15180" t="str">
        <f>""</f>
        <v/>
      </c>
    </row>
    <row r="15181" spans="1:7" x14ac:dyDescent="0.25">
      <c r="A15181" t="s">
        <v>8</v>
      </c>
      <c r="B15181" s="1" t="str">
        <f>"000310098 - RICHS WHIPPED TOPPINGS-SODEXO"</f>
        <v>000310098 - RICHS WHIPPED TOPPINGS-SODEXO</v>
      </c>
      <c r="C15181" t="s">
        <v>419</v>
      </c>
      <c r="D15181" s="1" t="str">
        <f t="shared" si="418"/>
        <v>PRG-1043939</v>
      </c>
      <c r="E15181" t="s">
        <v>79</v>
      </c>
      <c r="F15181" t="s">
        <v>4</v>
      </c>
      <c r="G15181" t="str">
        <f>""</f>
        <v/>
      </c>
    </row>
    <row r="15182" spans="1:7" x14ac:dyDescent="0.25">
      <c r="A15182" t="s">
        <v>8</v>
      </c>
      <c r="B15182" s="1" t="str">
        <f>"000310189 - RICHS WHIPPED TOPPINGS-SODEXO"</f>
        <v>000310189 - RICHS WHIPPED TOPPINGS-SODEXO</v>
      </c>
      <c r="C15182" t="s">
        <v>419</v>
      </c>
      <c r="D15182" s="1" t="str">
        <f t="shared" si="418"/>
        <v>PRG-1043939</v>
      </c>
      <c r="E15182" t="s">
        <v>79</v>
      </c>
      <c r="F15182" t="s">
        <v>4</v>
      </c>
      <c r="G15182" t="str">
        <f>""</f>
        <v/>
      </c>
    </row>
    <row r="15183" spans="1:7" x14ac:dyDescent="0.25">
      <c r="A15183" t="s">
        <v>8</v>
      </c>
      <c r="B15183" s="1" t="str">
        <f>"000310288 - RICHS TOPPINGS-SODEXO"</f>
        <v>000310288 - RICHS TOPPINGS-SODEXO</v>
      </c>
      <c r="C15183" t="s">
        <v>222</v>
      </c>
      <c r="D15183" s="1" t="str">
        <f t="shared" si="418"/>
        <v>PRG-1043939</v>
      </c>
      <c r="E15183" t="s">
        <v>79</v>
      </c>
      <c r="F15183" t="s">
        <v>4</v>
      </c>
      <c r="G15183" t="str">
        <f>""</f>
        <v/>
      </c>
    </row>
    <row r="15184" spans="1:7" x14ac:dyDescent="0.25">
      <c r="A15184" t="s">
        <v>8</v>
      </c>
      <c r="B15184" s="1" t="str">
        <f>"000310431 - RICHS TOPPINGS-SODEXO"</f>
        <v>000310431 - RICHS TOPPINGS-SODEXO</v>
      </c>
      <c r="C15184" t="s">
        <v>222</v>
      </c>
      <c r="D15184" s="1" t="str">
        <f t="shared" si="418"/>
        <v>PRG-1043939</v>
      </c>
      <c r="E15184" t="s">
        <v>79</v>
      </c>
      <c r="F15184" t="s">
        <v>4</v>
      </c>
      <c r="G15184" t="str">
        <f>""</f>
        <v/>
      </c>
    </row>
    <row r="15185" spans="1:7" x14ac:dyDescent="0.25">
      <c r="A15185" t="s">
        <v>8</v>
      </c>
      <c r="B15185" s="1" t="str">
        <f>"000310557 - RICHS WHIPPED TOPPINGS-SODEXO"</f>
        <v>000310557 - RICHS WHIPPED TOPPINGS-SODEXO</v>
      </c>
      <c r="C15185" t="s">
        <v>419</v>
      </c>
      <c r="D15185" s="1" t="str">
        <f t="shared" si="418"/>
        <v>PRG-1043939</v>
      </c>
      <c r="E15185" t="s">
        <v>79</v>
      </c>
      <c r="F15185" t="s">
        <v>4</v>
      </c>
      <c r="G15185" t="str">
        <f>""</f>
        <v/>
      </c>
    </row>
    <row r="15186" spans="1:7" x14ac:dyDescent="0.25">
      <c r="A15186" t="s">
        <v>8</v>
      </c>
      <c r="B15186" s="1" t="str">
        <f>"000311074 - RICHS TOPPINGS-SODEXO"</f>
        <v>000311074 - RICHS TOPPINGS-SODEXO</v>
      </c>
      <c r="C15186" t="s">
        <v>222</v>
      </c>
      <c r="D15186" s="1" t="str">
        <f t="shared" si="418"/>
        <v>PRG-1043939</v>
      </c>
      <c r="E15186" t="s">
        <v>79</v>
      </c>
      <c r="F15186" t="s">
        <v>4</v>
      </c>
      <c r="G15186" t="str">
        <f>""</f>
        <v/>
      </c>
    </row>
    <row r="15187" spans="1:7" x14ac:dyDescent="0.25">
      <c r="A15187" t="s">
        <v>8</v>
      </c>
      <c r="B15187" s="1" t="str">
        <f>"000311458 - RICHS TOPPINGS-SODEXO"</f>
        <v>000311458 - RICHS TOPPINGS-SODEXO</v>
      </c>
      <c r="C15187" t="s">
        <v>222</v>
      </c>
      <c r="D15187" s="1" t="str">
        <f t="shared" si="418"/>
        <v>PRG-1043939</v>
      </c>
      <c r="E15187" t="s">
        <v>79</v>
      </c>
      <c r="F15187" t="s">
        <v>4</v>
      </c>
      <c r="G15187" t="str">
        <f>""</f>
        <v/>
      </c>
    </row>
    <row r="15188" spans="1:7" x14ac:dyDescent="0.25">
      <c r="A15188" t="s">
        <v>8</v>
      </c>
      <c r="B15188" s="1" t="str">
        <f>"000312079 - RICHS WHIPPED TOPPINGS-SODEXO"</f>
        <v>000312079 - RICHS WHIPPED TOPPINGS-SODEXO</v>
      </c>
      <c r="C15188" t="s">
        <v>419</v>
      </c>
      <c r="D15188" s="1" t="str">
        <f t="shared" si="418"/>
        <v>PRG-1043939</v>
      </c>
      <c r="E15188" t="s">
        <v>79</v>
      </c>
      <c r="F15188" t="s">
        <v>4</v>
      </c>
      <c r="G15188" t="str">
        <f>""</f>
        <v/>
      </c>
    </row>
    <row r="15189" spans="1:7" x14ac:dyDescent="0.25">
      <c r="A15189" t="s">
        <v>8</v>
      </c>
      <c r="B15189" s="1" t="str">
        <f>"000312180 - RICHS TOPPINGS-SODEXO"</f>
        <v>000312180 - RICHS TOPPINGS-SODEXO</v>
      </c>
      <c r="C15189" t="s">
        <v>222</v>
      </c>
      <c r="D15189" s="1" t="str">
        <f t="shared" si="418"/>
        <v>PRG-1043939</v>
      </c>
      <c r="E15189" t="s">
        <v>79</v>
      </c>
      <c r="F15189" t="s">
        <v>4</v>
      </c>
      <c r="G15189" t="str">
        <f>""</f>
        <v/>
      </c>
    </row>
    <row r="15190" spans="1:7" x14ac:dyDescent="0.25">
      <c r="A15190" t="s">
        <v>8</v>
      </c>
      <c r="B15190" s="1" t="str">
        <f>"000312373 - RICHS TOPPINGS-SODEXO"</f>
        <v>000312373 - RICHS TOPPINGS-SODEXO</v>
      </c>
      <c r="C15190" t="s">
        <v>222</v>
      </c>
      <c r="D15190" s="1" t="str">
        <f t="shared" si="418"/>
        <v>PRG-1043939</v>
      </c>
      <c r="E15190" t="s">
        <v>79</v>
      </c>
      <c r="F15190" t="s">
        <v>4</v>
      </c>
      <c r="G15190" t="str">
        <f>""</f>
        <v/>
      </c>
    </row>
    <row r="15191" spans="1:7" x14ac:dyDescent="0.25">
      <c r="A15191" t="s">
        <v>8</v>
      </c>
      <c r="B15191" s="1" t="str">
        <f>"000312377 - RICHS TOPPINGS-SODEXO"</f>
        <v>000312377 - RICHS TOPPINGS-SODEXO</v>
      </c>
      <c r="C15191" t="s">
        <v>222</v>
      </c>
      <c r="D15191" s="1" t="str">
        <f t="shared" si="418"/>
        <v>PRG-1043939</v>
      </c>
      <c r="E15191" t="s">
        <v>79</v>
      </c>
      <c r="F15191" t="s">
        <v>4</v>
      </c>
      <c r="G15191" t="str">
        <f>""</f>
        <v/>
      </c>
    </row>
    <row r="15192" spans="1:7" x14ac:dyDescent="0.25">
      <c r="A15192" t="s">
        <v>8</v>
      </c>
      <c r="B15192" s="1" t="str">
        <f>"000312684 - RICHS TOPPINGS-SODEXO"</f>
        <v>000312684 - RICHS TOPPINGS-SODEXO</v>
      </c>
      <c r="C15192" t="s">
        <v>222</v>
      </c>
      <c r="D15192" s="1" t="str">
        <f t="shared" si="418"/>
        <v>PRG-1043939</v>
      </c>
      <c r="E15192" t="s">
        <v>79</v>
      </c>
      <c r="F15192" t="s">
        <v>4</v>
      </c>
      <c r="G15192" t="str">
        <f>""</f>
        <v/>
      </c>
    </row>
    <row r="15193" spans="1:7" x14ac:dyDescent="0.25">
      <c r="A15193" t="s">
        <v>8</v>
      </c>
      <c r="B15193" s="1" t="str">
        <f>"000312837 - RICHS TOPPINGS-SODEXO"</f>
        <v>000312837 - RICHS TOPPINGS-SODEXO</v>
      </c>
      <c r="C15193" t="s">
        <v>222</v>
      </c>
      <c r="D15193" s="1" t="str">
        <f t="shared" si="418"/>
        <v>PRG-1043939</v>
      </c>
      <c r="E15193" t="s">
        <v>79</v>
      </c>
      <c r="F15193" t="s">
        <v>4</v>
      </c>
      <c r="G15193" t="str">
        <f>""</f>
        <v/>
      </c>
    </row>
    <row r="15194" spans="1:7" x14ac:dyDescent="0.25">
      <c r="A15194" t="s">
        <v>8</v>
      </c>
      <c r="B15194" s="1" t="str">
        <f>"000314298 - RICHS TOPPINGS-SODEXO"</f>
        <v>000314298 - RICHS TOPPINGS-SODEXO</v>
      </c>
      <c r="C15194" t="s">
        <v>222</v>
      </c>
      <c r="D15194" s="1" t="str">
        <f t="shared" si="418"/>
        <v>PRG-1043939</v>
      </c>
      <c r="E15194" t="s">
        <v>79</v>
      </c>
      <c r="F15194" t="s">
        <v>4</v>
      </c>
      <c r="G15194" t="str">
        <f>""</f>
        <v/>
      </c>
    </row>
    <row r="15195" spans="1:7" x14ac:dyDescent="0.25">
      <c r="A15195" t="s">
        <v>8</v>
      </c>
      <c r="B15195" s="1" t="str">
        <f>"000314318 - RICHS TOPPINGS-SODEXO"</f>
        <v>000314318 - RICHS TOPPINGS-SODEXO</v>
      </c>
      <c r="C15195" t="s">
        <v>222</v>
      </c>
      <c r="D15195" s="1" t="str">
        <f t="shared" si="418"/>
        <v>PRG-1043939</v>
      </c>
      <c r="E15195" t="s">
        <v>79</v>
      </c>
      <c r="F15195" t="s">
        <v>4</v>
      </c>
      <c r="G15195" t="str">
        <f>""</f>
        <v/>
      </c>
    </row>
    <row r="15196" spans="1:7" x14ac:dyDescent="0.25">
      <c r="A15196" t="s">
        <v>8</v>
      </c>
      <c r="B15196" s="1" t="str">
        <f>"000314523 - RICHS TOPPINGS-SODEXO"</f>
        <v>000314523 - RICHS TOPPINGS-SODEXO</v>
      </c>
      <c r="C15196" t="s">
        <v>222</v>
      </c>
      <c r="D15196" s="1" t="str">
        <f t="shared" si="418"/>
        <v>PRG-1043939</v>
      </c>
      <c r="E15196" t="s">
        <v>79</v>
      </c>
      <c r="F15196" t="s">
        <v>4</v>
      </c>
      <c r="G15196" t="str">
        <f>""</f>
        <v/>
      </c>
    </row>
    <row r="15197" spans="1:7" x14ac:dyDescent="0.25">
      <c r="A15197" t="s">
        <v>8</v>
      </c>
      <c r="B15197" s="1" t="str">
        <f>"000314566 - RICHS TOPPINGS-SODEXO"</f>
        <v>000314566 - RICHS TOPPINGS-SODEXO</v>
      </c>
      <c r="C15197" t="s">
        <v>222</v>
      </c>
      <c r="D15197" s="1" t="str">
        <f t="shared" ref="D15197:D15260" si="419">"PRG-1043939"</f>
        <v>PRG-1043939</v>
      </c>
      <c r="E15197" t="s">
        <v>79</v>
      </c>
      <c r="F15197" t="s">
        <v>4</v>
      </c>
      <c r="G15197" t="str">
        <f>""</f>
        <v/>
      </c>
    </row>
    <row r="15198" spans="1:7" x14ac:dyDescent="0.25">
      <c r="A15198" t="s">
        <v>8</v>
      </c>
      <c r="B15198" s="1" t="str">
        <f>"000314846 - RICHS TOPPINGS-SODEXO"</f>
        <v>000314846 - RICHS TOPPINGS-SODEXO</v>
      </c>
      <c r="C15198" t="s">
        <v>222</v>
      </c>
      <c r="D15198" s="1" t="str">
        <f t="shared" si="419"/>
        <v>PRG-1043939</v>
      </c>
      <c r="E15198" t="s">
        <v>79</v>
      </c>
      <c r="F15198" t="s">
        <v>4</v>
      </c>
      <c r="G15198" t="str">
        <f>""</f>
        <v/>
      </c>
    </row>
    <row r="15199" spans="1:7" x14ac:dyDescent="0.25">
      <c r="A15199" t="s">
        <v>8</v>
      </c>
      <c r="B15199" s="1" t="str">
        <f>"000315270 - RICHS TOPPINGS-SODEXO"</f>
        <v>000315270 - RICHS TOPPINGS-SODEXO</v>
      </c>
      <c r="C15199" t="s">
        <v>222</v>
      </c>
      <c r="D15199" s="1" t="str">
        <f t="shared" si="419"/>
        <v>PRG-1043939</v>
      </c>
      <c r="E15199" t="s">
        <v>79</v>
      </c>
      <c r="F15199" t="s">
        <v>4</v>
      </c>
      <c r="G15199" t="str">
        <f>""</f>
        <v/>
      </c>
    </row>
    <row r="15200" spans="1:7" x14ac:dyDescent="0.25">
      <c r="A15200" t="s">
        <v>8</v>
      </c>
      <c r="B15200" s="1" t="str">
        <f>"000315421 - RICHS TOPPINGS-SODEXO"</f>
        <v>000315421 - RICHS TOPPINGS-SODEXO</v>
      </c>
      <c r="C15200" t="s">
        <v>222</v>
      </c>
      <c r="D15200" s="1" t="str">
        <f t="shared" si="419"/>
        <v>PRG-1043939</v>
      </c>
      <c r="E15200" t="s">
        <v>79</v>
      </c>
      <c r="F15200" t="s">
        <v>4</v>
      </c>
      <c r="G15200" t="str">
        <f>""</f>
        <v/>
      </c>
    </row>
    <row r="15201" spans="1:7" x14ac:dyDescent="0.25">
      <c r="A15201" t="s">
        <v>8</v>
      </c>
      <c r="B15201" s="1" t="str">
        <f>"000316262 - RICHS TOPPINGS-SODEXO"</f>
        <v>000316262 - RICHS TOPPINGS-SODEXO</v>
      </c>
      <c r="C15201" t="s">
        <v>222</v>
      </c>
      <c r="D15201" s="1" t="str">
        <f t="shared" si="419"/>
        <v>PRG-1043939</v>
      </c>
      <c r="E15201" t="s">
        <v>79</v>
      </c>
      <c r="F15201" t="s">
        <v>4</v>
      </c>
      <c r="G15201" t="str">
        <f>""</f>
        <v/>
      </c>
    </row>
    <row r="15202" spans="1:7" x14ac:dyDescent="0.25">
      <c r="A15202" t="s">
        <v>8</v>
      </c>
      <c r="B15202" s="1" t="str">
        <f>"000316472 - RICHS TOPPINGS-SODEXO"</f>
        <v>000316472 - RICHS TOPPINGS-SODEXO</v>
      </c>
      <c r="C15202" t="s">
        <v>222</v>
      </c>
      <c r="D15202" s="1" t="str">
        <f t="shared" si="419"/>
        <v>PRG-1043939</v>
      </c>
      <c r="E15202" t="s">
        <v>79</v>
      </c>
      <c r="F15202" t="s">
        <v>4</v>
      </c>
      <c r="G15202" t="str">
        <f>""</f>
        <v/>
      </c>
    </row>
    <row r="15203" spans="1:7" x14ac:dyDescent="0.25">
      <c r="A15203" t="s">
        <v>8</v>
      </c>
      <c r="B15203" s="1" t="str">
        <f>"000316620 - RICHS TOPPINGS-SODEXO"</f>
        <v>000316620 - RICHS TOPPINGS-SODEXO</v>
      </c>
      <c r="C15203" t="s">
        <v>222</v>
      </c>
      <c r="D15203" s="1" t="str">
        <f t="shared" si="419"/>
        <v>PRG-1043939</v>
      </c>
      <c r="E15203" t="s">
        <v>79</v>
      </c>
      <c r="F15203" t="s">
        <v>4</v>
      </c>
      <c r="G15203" t="str">
        <f>""</f>
        <v/>
      </c>
    </row>
    <row r="15204" spans="1:7" x14ac:dyDescent="0.25">
      <c r="A15204" t="s">
        <v>8</v>
      </c>
      <c r="B15204" s="1" t="str">
        <f>"000316752 - RICHS TOPPINGS-SODEXO"</f>
        <v>000316752 - RICHS TOPPINGS-SODEXO</v>
      </c>
      <c r="C15204" t="s">
        <v>222</v>
      </c>
      <c r="D15204" s="1" t="str">
        <f t="shared" si="419"/>
        <v>PRG-1043939</v>
      </c>
      <c r="E15204" t="s">
        <v>79</v>
      </c>
      <c r="F15204" t="s">
        <v>4</v>
      </c>
      <c r="G15204" t="str">
        <f>""</f>
        <v/>
      </c>
    </row>
    <row r="15205" spans="1:7" x14ac:dyDescent="0.25">
      <c r="A15205" t="s">
        <v>8</v>
      </c>
      <c r="B15205" s="1" t="str">
        <f>"000316813 - RICHS TOPPINGS-SODEXO"</f>
        <v>000316813 - RICHS TOPPINGS-SODEXO</v>
      </c>
      <c r="C15205" t="s">
        <v>222</v>
      </c>
      <c r="D15205" s="1" t="str">
        <f t="shared" si="419"/>
        <v>PRG-1043939</v>
      </c>
      <c r="E15205" t="s">
        <v>79</v>
      </c>
      <c r="F15205" t="s">
        <v>4</v>
      </c>
      <c r="G15205" t="str">
        <f>""</f>
        <v/>
      </c>
    </row>
    <row r="15206" spans="1:7" x14ac:dyDescent="0.25">
      <c r="A15206" t="s">
        <v>8</v>
      </c>
      <c r="B15206" s="1" t="str">
        <f>"000318353 - RICHS TOPPINGS-SODEXO"</f>
        <v>000318353 - RICHS TOPPINGS-SODEXO</v>
      </c>
      <c r="C15206" t="s">
        <v>222</v>
      </c>
      <c r="D15206" s="1" t="str">
        <f t="shared" si="419"/>
        <v>PRG-1043939</v>
      </c>
      <c r="E15206" t="s">
        <v>79</v>
      </c>
      <c r="F15206" t="s">
        <v>4</v>
      </c>
      <c r="G15206" t="str">
        <f>""</f>
        <v/>
      </c>
    </row>
    <row r="15207" spans="1:7" x14ac:dyDescent="0.25">
      <c r="A15207" t="s">
        <v>8</v>
      </c>
      <c r="B15207" s="1" t="str">
        <f>"000318461 - RICHS TOPPINGS-SODEXO"</f>
        <v>000318461 - RICHS TOPPINGS-SODEXO</v>
      </c>
      <c r="C15207" t="s">
        <v>222</v>
      </c>
      <c r="D15207" s="1" t="str">
        <f t="shared" si="419"/>
        <v>PRG-1043939</v>
      </c>
      <c r="E15207" t="s">
        <v>79</v>
      </c>
      <c r="F15207" t="s">
        <v>4</v>
      </c>
      <c r="G15207" t="str">
        <f>""</f>
        <v/>
      </c>
    </row>
    <row r="15208" spans="1:7" x14ac:dyDescent="0.25">
      <c r="A15208" t="s">
        <v>8</v>
      </c>
      <c r="B15208" s="1" t="str">
        <f>"000318628 - RICHS TOPPINGS-SODEXO"</f>
        <v>000318628 - RICHS TOPPINGS-SODEXO</v>
      </c>
      <c r="C15208" t="s">
        <v>222</v>
      </c>
      <c r="D15208" s="1" t="str">
        <f t="shared" si="419"/>
        <v>PRG-1043939</v>
      </c>
      <c r="E15208" t="s">
        <v>79</v>
      </c>
      <c r="F15208" t="s">
        <v>4</v>
      </c>
      <c r="G15208" t="str">
        <f>""</f>
        <v/>
      </c>
    </row>
    <row r="15209" spans="1:7" x14ac:dyDescent="0.25">
      <c r="A15209" t="s">
        <v>8</v>
      </c>
      <c r="B15209" s="1" t="str">
        <f>"000318683 - RICHS TOPPINGS-SODEXO"</f>
        <v>000318683 - RICHS TOPPINGS-SODEXO</v>
      </c>
      <c r="C15209" t="s">
        <v>222</v>
      </c>
      <c r="D15209" s="1" t="str">
        <f t="shared" si="419"/>
        <v>PRG-1043939</v>
      </c>
      <c r="E15209" t="s">
        <v>79</v>
      </c>
      <c r="F15209" t="s">
        <v>4</v>
      </c>
      <c r="G15209" t="str">
        <f>""</f>
        <v/>
      </c>
    </row>
    <row r="15210" spans="1:7" x14ac:dyDescent="0.25">
      <c r="A15210" t="s">
        <v>8</v>
      </c>
      <c r="B15210" s="1" t="str">
        <f>"000319403 - RICHS TOPPINGS-SODEXO"</f>
        <v>000319403 - RICHS TOPPINGS-SODEXO</v>
      </c>
      <c r="C15210" t="s">
        <v>222</v>
      </c>
      <c r="D15210" s="1" t="str">
        <f t="shared" si="419"/>
        <v>PRG-1043939</v>
      </c>
      <c r="E15210" t="s">
        <v>79</v>
      </c>
      <c r="F15210" t="s">
        <v>4</v>
      </c>
      <c r="G15210" t="str">
        <f>""</f>
        <v/>
      </c>
    </row>
    <row r="15211" spans="1:7" x14ac:dyDescent="0.25">
      <c r="A15211" t="s">
        <v>8</v>
      </c>
      <c r="B15211" s="1" t="str">
        <f>"000319609 - RICHS TOPPINGS-SODEXO"</f>
        <v>000319609 - RICHS TOPPINGS-SODEXO</v>
      </c>
      <c r="C15211" t="s">
        <v>222</v>
      </c>
      <c r="D15211" s="1" t="str">
        <f t="shared" si="419"/>
        <v>PRG-1043939</v>
      </c>
      <c r="E15211" t="s">
        <v>79</v>
      </c>
      <c r="F15211" t="s">
        <v>4</v>
      </c>
      <c r="G15211" t="str">
        <f>""</f>
        <v/>
      </c>
    </row>
    <row r="15212" spans="1:7" x14ac:dyDescent="0.25">
      <c r="A15212" t="s">
        <v>8</v>
      </c>
      <c r="B15212" s="1" t="str">
        <f>"000319985 - RICHS TOPPINGS-SODEXO"</f>
        <v>000319985 - RICHS TOPPINGS-SODEXO</v>
      </c>
      <c r="C15212" t="s">
        <v>222</v>
      </c>
      <c r="D15212" s="1" t="str">
        <f t="shared" si="419"/>
        <v>PRG-1043939</v>
      </c>
      <c r="E15212" t="s">
        <v>79</v>
      </c>
      <c r="F15212" t="s">
        <v>4</v>
      </c>
      <c r="G15212" t="str">
        <f>""</f>
        <v/>
      </c>
    </row>
    <row r="15213" spans="1:7" x14ac:dyDescent="0.25">
      <c r="A15213" t="s">
        <v>8</v>
      </c>
      <c r="B15213" s="1" t="str">
        <f>"000320527 - RICHS TOPPINGS-SODEXO"</f>
        <v>000320527 - RICHS TOPPINGS-SODEXO</v>
      </c>
      <c r="C15213" t="s">
        <v>222</v>
      </c>
      <c r="D15213" s="1" t="str">
        <f t="shared" si="419"/>
        <v>PRG-1043939</v>
      </c>
      <c r="E15213" t="s">
        <v>79</v>
      </c>
      <c r="F15213" t="s">
        <v>4</v>
      </c>
      <c r="G15213" t="str">
        <f>""</f>
        <v/>
      </c>
    </row>
    <row r="15214" spans="1:7" x14ac:dyDescent="0.25">
      <c r="A15214" t="s">
        <v>8</v>
      </c>
      <c r="B15214" s="1" t="str">
        <f>"000320630 - RICHS TOPPINGS-SODEXO"</f>
        <v>000320630 - RICHS TOPPINGS-SODEXO</v>
      </c>
      <c r="C15214" t="s">
        <v>222</v>
      </c>
      <c r="D15214" s="1" t="str">
        <f t="shared" si="419"/>
        <v>PRG-1043939</v>
      </c>
      <c r="E15214" t="s">
        <v>79</v>
      </c>
      <c r="F15214" t="s">
        <v>4</v>
      </c>
      <c r="G15214" t="str">
        <f>""</f>
        <v/>
      </c>
    </row>
    <row r="15215" spans="1:7" x14ac:dyDescent="0.25">
      <c r="A15215" t="s">
        <v>8</v>
      </c>
      <c r="B15215" s="1" t="str">
        <f>"000321385 - RICHS TOPPINGS-SODEXO"</f>
        <v>000321385 - RICHS TOPPINGS-SODEXO</v>
      </c>
      <c r="C15215" t="s">
        <v>222</v>
      </c>
      <c r="D15215" s="1" t="str">
        <f t="shared" si="419"/>
        <v>PRG-1043939</v>
      </c>
      <c r="E15215" t="s">
        <v>79</v>
      </c>
      <c r="F15215" t="s">
        <v>4</v>
      </c>
      <c r="G15215" t="str">
        <f>""</f>
        <v/>
      </c>
    </row>
    <row r="15216" spans="1:7" x14ac:dyDescent="0.25">
      <c r="A15216" t="s">
        <v>8</v>
      </c>
      <c r="B15216" s="1" t="str">
        <f>"000321503 - RICHS TOPPINGS-SODEXO"</f>
        <v>000321503 - RICHS TOPPINGS-SODEXO</v>
      </c>
      <c r="C15216" t="s">
        <v>222</v>
      </c>
      <c r="D15216" s="1" t="str">
        <f t="shared" si="419"/>
        <v>PRG-1043939</v>
      </c>
      <c r="E15216" t="s">
        <v>79</v>
      </c>
      <c r="F15216" t="s">
        <v>4</v>
      </c>
      <c r="G15216" t="str">
        <f>""</f>
        <v/>
      </c>
    </row>
    <row r="15217" spans="1:7" x14ac:dyDescent="0.25">
      <c r="A15217" t="s">
        <v>8</v>
      </c>
      <c r="B15217" s="1" t="str">
        <f>"000321672 - RICHS TOPPINGS-SODEXO"</f>
        <v>000321672 - RICHS TOPPINGS-SODEXO</v>
      </c>
      <c r="C15217" t="s">
        <v>222</v>
      </c>
      <c r="D15217" s="1" t="str">
        <f t="shared" si="419"/>
        <v>PRG-1043939</v>
      </c>
      <c r="E15217" t="s">
        <v>79</v>
      </c>
      <c r="F15217" t="s">
        <v>4</v>
      </c>
      <c r="G15217" t="str">
        <f>""</f>
        <v/>
      </c>
    </row>
    <row r="15218" spans="1:7" x14ac:dyDescent="0.25">
      <c r="A15218" t="s">
        <v>8</v>
      </c>
      <c r="B15218" s="1" t="str">
        <f>"000321784 - RICHS TOPPINGS-SODEXO"</f>
        <v>000321784 - RICHS TOPPINGS-SODEXO</v>
      </c>
      <c r="C15218" t="s">
        <v>222</v>
      </c>
      <c r="D15218" s="1" t="str">
        <f t="shared" si="419"/>
        <v>PRG-1043939</v>
      </c>
      <c r="E15218" t="s">
        <v>79</v>
      </c>
      <c r="F15218" t="s">
        <v>4</v>
      </c>
      <c r="G15218" t="str">
        <f>""</f>
        <v/>
      </c>
    </row>
    <row r="15219" spans="1:7" x14ac:dyDescent="0.25">
      <c r="A15219" t="s">
        <v>8</v>
      </c>
      <c r="B15219" s="1" t="str">
        <f>"000321916 - RICHS TOPPINGS-SODEXO"</f>
        <v>000321916 - RICHS TOPPINGS-SODEXO</v>
      </c>
      <c r="C15219" t="s">
        <v>222</v>
      </c>
      <c r="D15219" s="1" t="str">
        <f t="shared" si="419"/>
        <v>PRG-1043939</v>
      </c>
      <c r="E15219" t="s">
        <v>79</v>
      </c>
      <c r="F15219" t="s">
        <v>4</v>
      </c>
      <c r="G15219" t="str">
        <f>""</f>
        <v/>
      </c>
    </row>
    <row r="15220" spans="1:7" x14ac:dyDescent="0.25">
      <c r="A15220" t="s">
        <v>8</v>
      </c>
      <c r="B15220" s="1" t="str">
        <f>"000323133 - RICHS TOPPINGS-SODEXO"</f>
        <v>000323133 - RICHS TOPPINGS-SODEXO</v>
      </c>
      <c r="C15220" t="s">
        <v>222</v>
      </c>
      <c r="D15220" s="1" t="str">
        <f t="shared" si="419"/>
        <v>PRG-1043939</v>
      </c>
      <c r="E15220" t="s">
        <v>79</v>
      </c>
      <c r="F15220" t="s">
        <v>4</v>
      </c>
      <c r="G15220" t="str">
        <f>""</f>
        <v/>
      </c>
    </row>
    <row r="15221" spans="1:7" x14ac:dyDescent="0.25">
      <c r="A15221" t="s">
        <v>8</v>
      </c>
      <c r="B15221" s="1" t="str">
        <f>"000323549 - RICHS TOPPINGS-SODEXO"</f>
        <v>000323549 - RICHS TOPPINGS-SODEXO</v>
      </c>
      <c r="C15221" t="s">
        <v>222</v>
      </c>
      <c r="D15221" s="1" t="str">
        <f t="shared" si="419"/>
        <v>PRG-1043939</v>
      </c>
      <c r="E15221" t="s">
        <v>79</v>
      </c>
      <c r="F15221" t="s">
        <v>4</v>
      </c>
      <c r="G15221" t="str">
        <f>""</f>
        <v/>
      </c>
    </row>
    <row r="15222" spans="1:7" x14ac:dyDescent="0.25">
      <c r="A15222" t="s">
        <v>8</v>
      </c>
      <c r="B15222" s="1" t="str">
        <f>"000323684 - RICHS WHIPPED TOPPINGS-SODEXO"</f>
        <v>000323684 - RICHS WHIPPED TOPPINGS-SODEXO</v>
      </c>
      <c r="C15222" t="s">
        <v>419</v>
      </c>
      <c r="D15222" s="1" t="str">
        <f t="shared" si="419"/>
        <v>PRG-1043939</v>
      </c>
      <c r="E15222" t="s">
        <v>79</v>
      </c>
      <c r="F15222" t="s">
        <v>4</v>
      </c>
      <c r="G15222" t="str">
        <f>""</f>
        <v/>
      </c>
    </row>
    <row r="15223" spans="1:7" x14ac:dyDescent="0.25">
      <c r="A15223" t="s">
        <v>8</v>
      </c>
      <c r="B15223" s="1" t="str">
        <f>"000323748 - RICHS TOPPINGS-SODEXO"</f>
        <v>000323748 - RICHS TOPPINGS-SODEXO</v>
      </c>
      <c r="C15223" t="s">
        <v>222</v>
      </c>
      <c r="D15223" s="1" t="str">
        <f t="shared" si="419"/>
        <v>PRG-1043939</v>
      </c>
      <c r="E15223" t="s">
        <v>79</v>
      </c>
      <c r="F15223" t="s">
        <v>4</v>
      </c>
      <c r="G15223" t="str">
        <f>""</f>
        <v/>
      </c>
    </row>
    <row r="15224" spans="1:7" x14ac:dyDescent="0.25">
      <c r="A15224" t="s">
        <v>8</v>
      </c>
      <c r="B15224" s="1" t="str">
        <f>"000325785 - RICHS WHIPPED TOPPINGS-SODEXO"</f>
        <v>000325785 - RICHS WHIPPED TOPPINGS-SODEXO</v>
      </c>
      <c r="C15224" t="s">
        <v>419</v>
      </c>
      <c r="D15224" s="1" t="str">
        <f t="shared" si="419"/>
        <v>PRG-1043939</v>
      </c>
      <c r="E15224" t="s">
        <v>79</v>
      </c>
      <c r="F15224" t="s">
        <v>4</v>
      </c>
      <c r="G15224" t="str">
        <f>""</f>
        <v/>
      </c>
    </row>
    <row r="15225" spans="1:7" x14ac:dyDescent="0.25">
      <c r="A15225" t="s">
        <v>8</v>
      </c>
      <c r="B15225" s="1" t="str">
        <f>"000326981 - RICHS TOPPINGS-SODEXO"</f>
        <v>000326981 - RICHS TOPPINGS-SODEXO</v>
      </c>
      <c r="C15225" t="s">
        <v>222</v>
      </c>
      <c r="D15225" s="1" t="str">
        <f t="shared" si="419"/>
        <v>PRG-1043939</v>
      </c>
      <c r="E15225" t="s">
        <v>79</v>
      </c>
      <c r="F15225" t="s">
        <v>4</v>
      </c>
      <c r="G15225" t="str">
        <f>""</f>
        <v/>
      </c>
    </row>
    <row r="15226" spans="1:7" x14ac:dyDescent="0.25">
      <c r="A15226" t="s">
        <v>8</v>
      </c>
      <c r="B15226" s="1" t="str">
        <f>"000330300 - RICHS TOPPINGS-SODEXO"</f>
        <v>000330300 - RICHS TOPPINGS-SODEXO</v>
      </c>
      <c r="C15226" t="s">
        <v>222</v>
      </c>
      <c r="D15226" s="1" t="str">
        <f t="shared" si="419"/>
        <v>PRG-1043939</v>
      </c>
      <c r="E15226" t="s">
        <v>79</v>
      </c>
      <c r="F15226" t="s">
        <v>4</v>
      </c>
      <c r="G15226" t="str">
        <f>""</f>
        <v/>
      </c>
    </row>
    <row r="15227" spans="1:7" x14ac:dyDescent="0.25">
      <c r="A15227" t="s">
        <v>8</v>
      </c>
      <c r="B15227" s="1" t="str">
        <f>"000330553 - RICHS TOPPINGS-SODEXO"</f>
        <v>000330553 - RICHS TOPPINGS-SODEXO</v>
      </c>
      <c r="C15227" t="s">
        <v>222</v>
      </c>
      <c r="D15227" s="1" t="str">
        <f t="shared" si="419"/>
        <v>PRG-1043939</v>
      </c>
      <c r="E15227" t="s">
        <v>79</v>
      </c>
      <c r="F15227" t="s">
        <v>4</v>
      </c>
      <c r="G15227" t="str">
        <f>""</f>
        <v/>
      </c>
    </row>
    <row r="15228" spans="1:7" x14ac:dyDescent="0.25">
      <c r="A15228" t="s">
        <v>8</v>
      </c>
      <c r="B15228" s="1" t="str">
        <f>"000332014 - RICHS TOPPINGS-SODEXO"</f>
        <v>000332014 - RICHS TOPPINGS-SODEXO</v>
      </c>
      <c r="C15228" t="s">
        <v>222</v>
      </c>
      <c r="D15228" s="1" t="str">
        <f t="shared" si="419"/>
        <v>PRG-1043939</v>
      </c>
      <c r="E15228" t="s">
        <v>79</v>
      </c>
      <c r="F15228" t="s">
        <v>4</v>
      </c>
      <c r="G15228" t="str">
        <f>""</f>
        <v/>
      </c>
    </row>
    <row r="15229" spans="1:7" x14ac:dyDescent="0.25">
      <c r="A15229" t="s">
        <v>8</v>
      </c>
      <c r="B15229" s="1" t="str">
        <f>"000332330 - RICHS WHIPPED TOPPINGS-SODEXO"</f>
        <v>000332330 - RICHS WHIPPED TOPPINGS-SODEXO</v>
      </c>
      <c r="C15229" t="s">
        <v>419</v>
      </c>
      <c r="D15229" s="1" t="str">
        <f t="shared" si="419"/>
        <v>PRG-1043939</v>
      </c>
      <c r="E15229" t="s">
        <v>79</v>
      </c>
      <c r="F15229" t="s">
        <v>4</v>
      </c>
      <c r="G15229" t="str">
        <f>""</f>
        <v/>
      </c>
    </row>
    <row r="15230" spans="1:7" x14ac:dyDescent="0.25">
      <c r="A15230" t="s">
        <v>8</v>
      </c>
      <c r="B15230" s="1" t="str">
        <f>"000334395 - RICHS WHIPPED TOPPINGS-SODEXO"</f>
        <v>000334395 - RICHS WHIPPED TOPPINGS-SODEXO</v>
      </c>
      <c r="C15230" t="s">
        <v>419</v>
      </c>
      <c r="D15230" s="1" t="str">
        <f t="shared" si="419"/>
        <v>PRG-1043939</v>
      </c>
      <c r="E15230" t="s">
        <v>79</v>
      </c>
      <c r="F15230" t="s">
        <v>4</v>
      </c>
      <c r="G15230" t="str">
        <f>""</f>
        <v/>
      </c>
    </row>
    <row r="15231" spans="1:7" x14ac:dyDescent="0.25">
      <c r="A15231" t="s">
        <v>8</v>
      </c>
      <c r="B15231" s="1" t="str">
        <f>"000335371 - RICHS TOPPINGS-SODEXO"</f>
        <v>000335371 - RICHS TOPPINGS-SODEXO</v>
      </c>
      <c r="C15231" t="s">
        <v>222</v>
      </c>
      <c r="D15231" s="1" t="str">
        <f t="shared" si="419"/>
        <v>PRG-1043939</v>
      </c>
      <c r="E15231" t="s">
        <v>79</v>
      </c>
      <c r="F15231" t="s">
        <v>4</v>
      </c>
      <c r="G15231" t="str">
        <f>""</f>
        <v/>
      </c>
    </row>
    <row r="15232" spans="1:7" x14ac:dyDescent="0.25">
      <c r="A15232" t="s">
        <v>8</v>
      </c>
      <c r="B15232" s="1" t="str">
        <f>"000335545 - RICHS TOPPINGS-SODEXO"</f>
        <v>000335545 - RICHS TOPPINGS-SODEXO</v>
      </c>
      <c r="C15232" t="s">
        <v>222</v>
      </c>
      <c r="D15232" s="1" t="str">
        <f t="shared" si="419"/>
        <v>PRG-1043939</v>
      </c>
      <c r="E15232" t="s">
        <v>79</v>
      </c>
      <c r="F15232" t="s">
        <v>4</v>
      </c>
      <c r="G15232" t="str">
        <f>""</f>
        <v/>
      </c>
    </row>
    <row r="15233" spans="1:7" x14ac:dyDescent="0.25">
      <c r="A15233" t="s">
        <v>8</v>
      </c>
      <c r="B15233" s="1" t="str">
        <f>"000335674 - RICHS TOPPINGS-SODEXO"</f>
        <v>000335674 - RICHS TOPPINGS-SODEXO</v>
      </c>
      <c r="C15233" t="s">
        <v>222</v>
      </c>
      <c r="D15233" s="1" t="str">
        <f t="shared" si="419"/>
        <v>PRG-1043939</v>
      </c>
      <c r="E15233" t="s">
        <v>79</v>
      </c>
      <c r="F15233" t="s">
        <v>4</v>
      </c>
      <c r="G15233" t="str">
        <f>""</f>
        <v/>
      </c>
    </row>
    <row r="15234" spans="1:7" x14ac:dyDescent="0.25">
      <c r="A15234" t="s">
        <v>8</v>
      </c>
      <c r="B15234" s="1" t="str">
        <f>"000336055 - RICHS TOPPINGS-SODEXO"</f>
        <v>000336055 - RICHS TOPPINGS-SODEXO</v>
      </c>
      <c r="C15234" t="s">
        <v>222</v>
      </c>
      <c r="D15234" s="1" t="str">
        <f t="shared" si="419"/>
        <v>PRG-1043939</v>
      </c>
      <c r="E15234" t="s">
        <v>79</v>
      </c>
      <c r="F15234" t="s">
        <v>4</v>
      </c>
      <c r="G15234" t="str">
        <f>""</f>
        <v/>
      </c>
    </row>
    <row r="15235" spans="1:7" x14ac:dyDescent="0.25">
      <c r="A15235" t="s">
        <v>8</v>
      </c>
      <c r="B15235" s="1" t="str">
        <f>"000336256 - RICHS TOPPINGS-SODEXO"</f>
        <v>000336256 - RICHS TOPPINGS-SODEXO</v>
      </c>
      <c r="C15235" t="s">
        <v>222</v>
      </c>
      <c r="D15235" s="1" t="str">
        <f t="shared" si="419"/>
        <v>PRG-1043939</v>
      </c>
      <c r="E15235" t="s">
        <v>79</v>
      </c>
      <c r="F15235" t="s">
        <v>4</v>
      </c>
      <c r="G15235" t="str">
        <f>""</f>
        <v/>
      </c>
    </row>
    <row r="15236" spans="1:7" x14ac:dyDescent="0.25">
      <c r="A15236" t="s">
        <v>8</v>
      </c>
      <c r="B15236" s="1" t="str">
        <f>"000336540 - RICHS TOPPINGS-SODEXO"</f>
        <v>000336540 - RICHS TOPPINGS-SODEXO</v>
      </c>
      <c r="C15236" t="s">
        <v>222</v>
      </c>
      <c r="D15236" s="1" t="str">
        <f t="shared" si="419"/>
        <v>PRG-1043939</v>
      </c>
      <c r="E15236" t="s">
        <v>79</v>
      </c>
      <c r="F15236" t="s">
        <v>4</v>
      </c>
      <c r="G15236" t="str">
        <f>""</f>
        <v/>
      </c>
    </row>
    <row r="15237" spans="1:7" x14ac:dyDescent="0.25">
      <c r="A15237" t="s">
        <v>8</v>
      </c>
      <c r="B15237" s="1" t="str">
        <f>"000338498 - RICHS TOPPINGS-SODEXO"</f>
        <v>000338498 - RICHS TOPPINGS-SODEXO</v>
      </c>
      <c r="C15237" t="s">
        <v>222</v>
      </c>
      <c r="D15237" s="1" t="str">
        <f t="shared" si="419"/>
        <v>PRG-1043939</v>
      </c>
      <c r="E15237" t="s">
        <v>79</v>
      </c>
      <c r="F15237" t="s">
        <v>4</v>
      </c>
      <c r="G15237" t="str">
        <f>""</f>
        <v/>
      </c>
    </row>
    <row r="15238" spans="1:7" x14ac:dyDescent="0.25">
      <c r="A15238" t="s">
        <v>8</v>
      </c>
      <c r="B15238" s="1" t="str">
        <f>"000338656 - RICHS TOPPINGS-SODEXO"</f>
        <v>000338656 - RICHS TOPPINGS-SODEXO</v>
      </c>
      <c r="C15238" t="s">
        <v>222</v>
      </c>
      <c r="D15238" s="1" t="str">
        <f t="shared" si="419"/>
        <v>PRG-1043939</v>
      </c>
      <c r="E15238" t="s">
        <v>79</v>
      </c>
      <c r="F15238" t="s">
        <v>4</v>
      </c>
      <c r="G15238" t="str">
        <f>""</f>
        <v/>
      </c>
    </row>
    <row r="15239" spans="1:7" x14ac:dyDescent="0.25">
      <c r="A15239" t="s">
        <v>8</v>
      </c>
      <c r="B15239" s="1" t="str">
        <f>"000340452 - RICHS WHIPPED TOPPINGS-SODEXO"</f>
        <v>000340452 - RICHS WHIPPED TOPPINGS-SODEXO</v>
      </c>
      <c r="C15239" t="s">
        <v>419</v>
      </c>
      <c r="D15239" s="1" t="str">
        <f t="shared" si="419"/>
        <v>PRG-1043939</v>
      </c>
      <c r="E15239" t="s">
        <v>79</v>
      </c>
      <c r="F15239" t="s">
        <v>4</v>
      </c>
      <c r="G15239" t="str">
        <f>""</f>
        <v/>
      </c>
    </row>
    <row r="15240" spans="1:7" x14ac:dyDescent="0.25">
      <c r="A15240" t="s">
        <v>8</v>
      </c>
      <c r="B15240" s="1" t="str">
        <f>"000340507 - RICHS WHIPPED TOPPINGS-SODEXO"</f>
        <v>000340507 - RICHS WHIPPED TOPPINGS-SODEXO</v>
      </c>
      <c r="C15240" t="s">
        <v>419</v>
      </c>
      <c r="D15240" s="1" t="str">
        <f t="shared" si="419"/>
        <v>PRG-1043939</v>
      </c>
      <c r="E15240" t="s">
        <v>79</v>
      </c>
      <c r="F15240" t="s">
        <v>4</v>
      </c>
      <c r="G15240" t="str">
        <f>""</f>
        <v/>
      </c>
    </row>
    <row r="15241" spans="1:7" x14ac:dyDescent="0.25">
      <c r="A15241" t="s">
        <v>8</v>
      </c>
      <c r="B15241" s="1" t="str">
        <f>"000341205 - RICHS TOPPINGS-SODEXO"</f>
        <v>000341205 - RICHS TOPPINGS-SODEXO</v>
      </c>
      <c r="C15241" t="s">
        <v>222</v>
      </c>
      <c r="D15241" s="1" t="str">
        <f t="shared" si="419"/>
        <v>PRG-1043939</v>
      </c>
      <c r="E15241" t="s">
        <v>79</v>
      </c>
      <c r="F15241" t="s">
        <v>4</v>
      </c>
      <c r="G15241" t="str">
        <f>""</f>
        <v/>
      </c>
    </row>
    <row r="15242" spans="1:7" x14ac:dyDescent="0.25">
      <c r="A15242" t="s">
        <v>8</v>
      </c>
      <c r="B15242" s="1" t="str">
        <f>"000341342 - RICHS WHIPPED TOPPINGS-SODEXO"</f>
        <v>000341342 - RICHS WHIPPED TOPPINGS-SODEXO</v>
      </c>
      <c r="C15242" t="s">
        <v>419</v>
      </c>
      <c r="D15242" s="1" t="str">
        <f t="shared" si="419"/>
        <v>PRG-1043939</v>
      </c>
      <c r="E15242" t="s">
        <v>79</v>
      </c>
      <c r="F15242" t="s">
        <v>4</v>
      </c>
      <c r="G15242" t="str">
        <f>""</f>
        <v/>
      </c>
    </row>
    <row r="15243" spans="1:7" x14ac:dyDescent="0.25">
      <c r="A15243" t="s">
        <v>8</v>
      </c>
      <c r="B15243" s="1" t="str">
        <f>"000341650 - RICHS TOPPINGS-SODEXO"</f>
        <v>000341650 - RICHS TOPPINGS-SODEXO</v>
      </c>
      <c r="C15243" t="s">
        <v>222</v>
      </c>
      <c r="D15243" s="1" t="str">
        <f t="shared" si="419"/>
        <v>PRG-1043939</v>
      </c>
      <c r="E15243" t="s">
        <v>79</v>
      </c>
      <c r="F15243" t="s">
        <v>4</v>
      </c>
      <c r="G15243" t="str">
        <f>""</f>
        <v/>
      </c>
    </row>
    <row r="15244" spans="1:7" x14ac:dyDescent="0.25">
      <c r="A15244" t="s">
        <v>8</v>
      </c>
      <c r="B15244" s="1" t="str">
        <f>"000342003 - RICHS WHIPPED TOPPINGS-SODEXO"</f>
        <v>000342003 - RICHS WHIPPED TOPPINGS-SODEXO</v>
      </c>
      <c r="C15244" t="s">
        <v>419</v>
      </c>
      <c r="D15244" s="1" t="str">
        <f t="shared" si="419"/>
        <v>PRG-1043939</v>
      </c>
      <c r="E15244" t="s">
        <v>79</v>
      </c>
      <c r="F15244" t="s">
        <v>4</v>
      </c>
      <c r="G15244" t="str">
        <f>""</f>
        <v/>
      </c>
    </row>
    <row r="15245" spans="1:7" x14ac:dyDescent="0.25">
      <c r="A15245" t="s">
        <v>8</v>
      </c>
      <c r="B15245" s="1" t="str">
        <f>"000342154 - RICHS WHIPPED TOPPINGS-SODEXO"</f>
        <v>000342154 - RICHS WHIPPED TOPPINGS-SODEXO</v>
      </c>
      <c r="C15245" t="s">
        <v>419</v>
      </c>
      <c r="D15245" s="1" t="str">
        <f t="shared" si="419"/>
        <v>PRG-1043939</v>
      </c>
      <c r="E15245" t="s">
        <v>79</v>
      </c>
      <c r="F15245" t="s">
        <v>4</v>
      </c>
      <c r="G15245" t="str">
        <f>""</f>
        <v/>
      </c>
    </row>
    <row r="15246" spans="1:7" x14ac:dyDescent="0.25">
      <c r="A15246" t="s">
        <v>8</v>
      </c>
      <c r="B15246" s="1" t="str">
        <f>"000343723 - RICHS WHIPPED TOPPINGS-SODEXO"</f>
        <v>000343723 - RICHS WHIPPED TOPPINGS-SODEXO</v>
      </c>
      <c r="C15246" t="s">
        <v>419</v>
      </c>
      <c r="D15246" s="1" t="str">
        <f t="shared" si="419"/>
        <v>PRG-1043939</v>
      </c>
      <c r="E15246" t="s">
        <v>79</v>
      </c>
      <c r="F15246" t="s">
        <v>4</v>
      </c>
      <c r="G15246" t="str">
        <f>""</f>
        <v/>
      </c>
    </row>
    <row r="15247" spans="1:7" x14ac:dyDescent="0.25">
      <c r="A15247" t="s">
        <v>8</v>
      </c>
      <c r="B15247" s="1" t="str">
        <f>"000344304 - RICHS TOPPINGS-SODEXO"</f>
        <v>000344304 - RICHS TOPPINGS-SODEXO</v>
      </c>
      <c r="C15247" t="s">
        <v>222</v>
      </c>
      <c r="D15247" s="1" t="str">
        <f t="shared" si="419"/>
        <v>PRG-1043939</v>
      </c>
      <c r="E15247" t="s">
        <v>79</v>
      </c>
      <c r="F15247" t="s">
        <v>4</v>
      </c>
      <c r="G15247" t="str">
        <f>""</f>
        <v/>
      </c>
    </row>
    <row r="15248" spans="1:7" x14ac:dyDescent="0.25">
      <c r="A15248" t="s">
        <v>8</v>
      </c>
      <c r="B15248" s="1" t="str">
        <f>"000344821 - RICHS TOPPINGS-SODEXO"</f>
        <v>000344821 - RICHS TOPPINGS-SODEXO</v>
      </c>
      <c r="C15248" t="s">
        <v>222</v>
      </c>
      <c r="D15248" s="1" t="str">
        <f t="shared" si="419"/>
        <v>PRG-1043939</v>
      </c>
      <c r="E15248" t="s">
        <v>79</v>
      </c>
      <c r="F15248" t="s">
        <v>4</v>
      </c>
      <c r="G15248" t="str">
        <f>""</f>
        <v/>
      </c>
    </row>
    <row r="15249" spans="1:7" x14ac:dyDescent="0.25">
      <c r="A15249" t="s">
        <v>8</v>
      </c>
      <c r="B15249" s="1" t="str">
        <f>"000345509 - RICHS TOPPINGS-SODEXO"</f>
        <v>000345509 - RICHS TOPPINGS-SODEXO</v>
      </c>
      <c r="C15249" t="s">
        <v>222</v>
      </c>
      <c r="D15249" s="1" t="str">
        <f t="shared" si="419"/>
        <v>PRG-1043939</v>
      </c>
      <c r="E15249" t="s">
        <v>79</v>
      </c>
      <c r="F15249" t="s">
        <v>4</v>
      </c>
      <c r="G15249" t="str">
        <f>""</f>
        <v/>
      </c>
    </row>
    <row r="15250" spans="1:7" x14ac:dyDescent="0.25">
      <c r="A15250" t="s">
        <v>8</v>
      </c>
      <c r="B15250" s="1" t="str">
        <f>"000346194 - RICHS TOPPINGS-SODEXO"</f>
        <v>000346194 - RICHS TOPPINGS-SODEXO</v>
      </c>
      <c r="C15250" t="s">
        <v>222</v>
      </c>
      <c r="D15250" s="1" t="str">
        <f t="shared" si="419"/>
        <v>PRG-1043939</v>
      </c>
      <c r="E15250" t="s">
        <v>79</v>
      </c>
      <c r="F15250" t="s">
        <v>4</v>
      </c>
      <c r="G15250" t="str">
        <f>""</f>
        <v/>
      </c>
    </row>
    <row r="15251" spans="1:7" x14ac:dyDescent="0.25">
      <c r="A15251" t="s">
        <v>8</v>
      </c>
      <c r="B15251" s="1" t="str">
        <f>"000346199 - RICHS TOPPINGS-SODEXO"</f>
        <v>000346199 - RICHS TOPPINGS-SODEXO</v>
      </c>
      <c r="C15251" t="s">
        <v>222</v>
      </c>
      <c r="D15251" s="1" t="str">
        <f t="shared" si="419"/>
        <v>PRG-1043939</v>
      </c>
      <c r="E15251" t="s">
        <v>79</v>
      </c>
      <c r="F15251" t="s">
        <v>4</v>
      </c>
      <c r="G15251" t="str">
        <f>""</f>
        <v/>
      </c>
    </row>
    <row r="15252" spans="1:7" x14ac:dyDescent="0.25">
      <c r="A15252" t="s">
        <v>8</v>
      </c>
      <c r="B15252" s="1" t="str">
        <f>"000346314 - RICHS TOPPINGS-SODEXO"</f>
        <v>000346314 - RICHS TOPPINGS-SODEXO</v>
      </c>
      <c r="C15252" t="s">
        <v>222</v>
      </c>
      <c r="D15252" s="1" t="str">
        <f t="shared" si="419"/>
        <v>PRG-1043939</v>
      </c>
      <c r="E15252" t="s">
        <v>79</v>
      </c>
      <c r="F15252" t="s">
        <v>4</v>
      </c>
      <c r="G15252" t="str">
        <f>""</f>
        <v/>
      </c>
    </row>
    <row r="15253" spans="1:7" x14ac:dyDescent="0.25">
      <c r="A15253" t="s">
        <v>8</v>
      </c>
      <c r="B15253" s="1" t="str">
        <f>"000347059 - RICHS TOPPINGS-SODEXO"</f>
        <v>000347059 - RICHS TOPPINGS-SODEXO</v>
      </c>
      <c r="C15253" t="s">
        <v>222</v>
      </c>
      <c r="D15253" s="1" t="str">
        <f t="shared" si="419"/>
        <v>PRG-1043939</v>
      </c>
      <c r="E15253" t="s">
        <v>79</v>
      </c>
      <c r="F15253" t="s">
        <v>4</v>
      </c>
      <c r="G15253" t="str">
        <f>""</f>
        <v/>
      </c>
    </row>
    <row r="15254" spans="1:7" x14ac:dyDescent="0.25">
      <c r="A15254" t="s">
        <v>8</v>
      </c>
      <c r="B15254" s="1" t="str">
        <f>"000348555 - RICHS TOPPINGS-SODEXO"</f>
        <v>000348555 - RICHS TOPPINGS-SODEXO</v>
      </c>
      <c r="C15254" t="s">
        <v>222</v>
      </c>
      <c r="D15254" s="1" t="str">
        <f t="shared" si="419"/>
        <v>PRG-1043939</v>
      </c>
      <c r="E15254" t="s">
        <v>79</v>
      </c>
      <c r="F15254" t="s">
        <v>4</v>
      </c>
      <c r="G15254" t="str">
        <f>""</f>
        <v/>
      </c>
    </row>
    <row r="15255" spans="1:7" x14ac:dyDescent="0.25">
      <c r="A15255" t="s">
        <v>8</v>
      </c>
      <c r="B15255" s="1" t="str">
        <f>"000348990 - RICHS TOPPINGS-SODEXO"</f>
        <v>000348990 - RICHS TOPPINGS-SODEXO</v>
      </c>
      <c r="C15255" t="s">
        <v>222</v>
      </c>
      <c r="D15255" s="1" t="str">
        <f t="shared" si="419"/>
        <v>PRG-1043939</v>
      </c>
      <c r="E15255" t="s">
        <v>79</v>
      </c>
      <c r="F15255" t="s">
        <v>4</v>
      </c>
      <c r="G15255" t="str">
        <f>""</f>
        <v/>
      </c>
    </row>
    <row r="15256" spans="1:7" x14ac:dyDescent="0.25">
      <c r="A15256" t="s">
        <v>8</v>
      </c>
      <c r="B15256" s="1" t="str">
        <f>"000349067 - RICHS TOPPINGS-SODEXO"</f>
        <v>000349067 - RICHS TOPPINGS-SODEXO</v>
      </c>
      <c r="C15256" t="s">
        <v>222</v>
      </c>
      <c r="D15256" s="1" t="str">
        <f t="shared" si="419"/>
        <v>PRG-1043939</v>
      </c>
      <c r="E15256" t="s">
        <v>79</v>
      </c>
      <c r="F15256" t="s">
        <v>4</v>
      </c>
      <c r="G15256" t="str">
        <f>""</f>
        <v/>
      </c>
    </row>
    <row r="15257" spans="1:7" x14ac:dyDescent="0.25">
      <c r="A15257" t="s">
        <v>8</v>
      </c>
      <c r="B15257" s="1" t="str">
        <f>"000349520 - RICHS TOPPINGS-SODEXO"</f>
        <v>000349520 - RICHS TOPPINGS-SODEXO</v>
      </c>
      <c r="C15257" t="s">
        <v>222</v>
      </c>
      <c r="D15257" s="1" t="str">
        <f t="shared" si="419"/>
        <v>PRG-1043939</v>
      </c>
      <c r="E15257" t="s">
        <v>79</v>
      </c>
      <c r="F15257" t="s">
        <v>4</v>
      </c>
      <c r="G15257" t="str">
        <f>""</f>
        <v/>
      </c>
    </row>
    <row r="15258" spans="1:7" x14ac:dyDescent="0.25">
      <c r="A15258" t="s">
        <v>8</v>
      </c>
      <c r="B15258" s="1" t="str">
        <f>"000351539 - RICHS TOPPINGS-SODEXO"</f>
        <v>000351539 - RICHS TOPPINGS-SODEXO</v>
      </c>
      <c r="C15258" t="s">
        <v>222</v>
      </c>
      <c r="D15258" s="1" t="str">
        <f t="shared" si="419"/>
        <v>PRG-1043939</v>
      </c>
      <c r="E15258" t="s">
        <v>79</v>
      </c>
      <c r="F15258" t="s">
        <v>4</v>
      </c>
      <c r="G15258" t="str">
        <f>""</f>
        <v/>
      </c>
    </row>
    <row r="15259" spans="1:7" x14ac:dyDescent="0.25">
      <c r="A15259" t="s">
        <v>8</v>
      </c>
      <c r="B15259" s="1" t="str">
        <f>"000351948 - RICHS WHIPPED TOPPINGS-SODEXO"</f>
        <v>000351948 - RICHS WHIPPED TOPPINGS-SODEXO</v>
      </c>
      <c r="C15259" t="s">
        <v>419</v>
      </c>
      <c r="D15259" s="1" t="str">
        <f t="shared" si="419"/>
        <v>PRG-1043939</v>
      </c>
      <c r="E15259" t="s">
        <v>79</v>
      </c>
      <c r="F15259" t="s">
        <v>4</v>
      </c>
      <c r="G15259" t="str">
        <f>""</f>
        <v/>
      </c>
    </row>
    <row r="15260" spans="1:7" x14ac:dyDescent="0.25">
      <c r="A15260" t="s">
        <v>8</v>
      </c>
      <c r="B15260" s="1" t="str">
        <f>"000352997 - RICHS TOPPINGS-SODEXO"</f>
        <v>000352997 - RICHS TOPPINGS-SODEXO</v>
      </c>
      <c r="C15260" t="s">
        <v>222</v>
      </c>
      <c r="D15260" s="1" t="str">
        <f t="shared" si="419"/>
        <v>PRG-1043939</v>
      </c>
      <c r="E15260" t="s">
        <v>79</v>
      </c>
      <c r="F15260" t="s">
        <v>4</v>
      </c>
      <c r="G15260" t="str">
        <f>""</f>
        <v/>
      </c>
    </row>
    <row r="15261" spans="1:7" x14ac:dyDescent="0.25">
      <c r="A15261" t="s">
        <v>8</v>
      </c>
      <c r="B15261" s="1" t="str">
        <f>"000353877 - RICHS WHIPPED TOPPINGS-SODEXO"</f>
        <v>000353877 - RICHS WHIPPED TOPPINGS-SODEXO</v>
      </c>
      <c r="C15261" t="s">
        <v>419</v>
      </c>
      <c r="D15261" s="1" t="str">
        <f t="shared" ref="D15261:D15324" si="420">"PRG-1043939"</f>
        <v>PRG-1043939</v>
      </c>
      <c r="E15261" t="s">
        <v>79</v>
      </c>
      <c r="F15261" t="s">
        <v>4</v>
      </c>
      <c r="G15261" t="str">
        <f>""</f>
        <v/>
      </c>
    </row>
    <row r="15262" spans="1:7" x14ac:dyDescent="0.25">
      <c r="A15262" t="s">
        <v>8</v>
      </c>
      <c r="B15262" s="1" t="str">
        <f>"000354325 - RICHS WHIPPED TOPPINGS-SODEXO"</f>
        <v>000354325 - RICHS WHIPPED TOPPINGS-SODEXO</v>
      </c>
      <c r="C15262" t="s">
        <v>419</v>
      </c>
      <c r="D15262" s="1" t="str">
        <f t="shared" si="420"/>
        <v>PRG-1043939</v>
      </c>
      <c r="E15262" t="s">
        <v>79</v>
      </c>
      <c r="F15262" t="s">
        <v>4</v>
      </c>
      <c r="G15262" t="str">
        <f>""</f>
        <v/>
      </c>
    </row>
    <row r="15263" spans="1:7" x14ac:dyDescent="0.25">
      <c r="A15263" t="s">
        <v>8</v>
      </c>
      <c r="B15263" s="1" t="str">
        <f>"000354676 - RICHS TOPPINGS-SODEXO"</f>
        <v>000354676 - RICHS TOPPINGS-SODEXO</v>
      </c>
      <c r="C15263" t="s">
        <v>222</v>
      </c>
      <c r="D15263" s="1" t="str">
        <f t="shared" si="420"/>
        <v>PRG-1043939</v>
      </c>
      <c r="E15263" t="s">
        <v>79</v>
      </c>
      <c r="F15263" t="s">
        <v>4</v>
      </c>
      <c r="G15263" t="str">
        <f>""</f>
        <v/>
      </c>
    </row>
    <row r="15264" spans="1:7" x14ac:dyDescent="0.25">
      <c r="A15264" t="s">
        <v>8</v>
      </c>
      <c r="B15264" s="1" t="str">
        <f>"000356381 - RICHS TOPPINGS-SODEXO"</f>
        <v>000356381 - RICHS TOPPINGS-SODEXO</v>
      </c>
      <c r="C15264" t="s">
        <v>222</v>
      </c>
      <c r="D15264" s="1" t="str">
        <f t="shared" si="420"/>
        <v>PRG-1043939</v>
      </c>
      <c r="E15264" t="s">
        <v>79</v>
      </c>
      <c r="F15264" t="s">
        <v>4</v>
      </c>
      <c r="G15264" t="str">
        <f>""</f>
        <v/>
      </c>
    </row>
    <row r="15265" spans="1:7" x14ac:dyDescent="0.25">
      <c r="A15265" t="s">
        <v>8</v>
      </c>
      <c r="B15265" s="1" t="str">
        <f>"000356404 - RICHS TOPPINGS-SODEXO"</f>
        <v>000356404 - RICHS TOPPINGS-SODEXO</v>
      </c>
      <c r="C15265" t="s">
        <v>222</v>
      </c>
      <c r="D15265" s="1" t="str">
        <f t="shared" si="420"/>
        <v>PRG-1043939</v>
      </c>
      <c r="E15265" t="s">
        <v>79</v>
      </c>
      <c r="F15265" t="s">
        <v>4</v>
      </c>
      <c r="G15265" t="str">
        <f>""</f>
        <v/>
      </c>
    </row>
    <row r="15266" spans="1:7" x14ac:dyDescent="0.25">
      <c r="A15266" t="s">
        <v>8</v>
      </c>
      <c r="B15266" s="1" t="str">
        <f>"000356591 - RICHS WHIPPED TOPPINGS-SODEXO"</f>
        <v>000356591 - RICHS WHIPPED TOPPINGS-SODEXO</v>
      </c>
      <c r="C15266" t="s">
        <v>419</v>
      </c>
      <c r="D15266" s="1" t="str">
        <f t="shared" si="420"/>
        <v>PRG-1043939</v>
      </c>
      <c r="E15266" t="s">
        <v>79</v>
      </c>
      <c r="F15266" t="s">
        <v>4</v>
      </c>
      <c r="G15266" t="str">
        <f>""</f>
        <v/>
      </c>
    </row>
    <row r="15267" spans="1:7" x14ac:dyDescent="0.25">
      <c r="A15267" t="s">
        <v>8</v>
      </c>
      <c r="B15267" s="1" t="str">
        <f>"000357903 - RICHS TOPPINGS-SODEXO"</f>
        <v>000357903 - RICHS TOPPINGS-SODEXO</v>
      </c>
      <c r="C15267" t="s">
        <v>222</v>
      </c>
      <c r="D15267" s="1" t="str">
        <f t="shared" si="420"/>
        <v>PRG-1043939</v>
      </c>
      <c r="E15267" t="s">
        <v>79</v>
      </c>
      <c r="F15267" t="s">
        <v>4</v>
      </c>
      <c r="G15267" t="str">
        <f>""</f>
        <v/>
      </c>
    </row>
    <row r="15268" spans="1:7" x14ac:dyDescent="0.25">
      <c r="A15268" t="s">
        <v>8</v>
      </c>
      <c r="B15268" s="1" t="str">
        <f>"000359343 - RICHS TOPPINGS-SODEXO"</f>
        <v>000359343 - RICHS TOPPINGS-SODEXO</v>
      </c>
      <c r="C15268" t="s">
        <v>222</v>
      </c>
      <c r="D15268" s="1" t="str">
        <f t="shared" si="420"/>
        <v>PRG-1043939</v>
      </c>
      <c r="E15268" t="s">
        <v>79</v>
      </c>
      <c r="F15268" t="s">
        <v>4</v>
      </c>
      <c r="G15268" t="str">
        <f>""</f>
        <v/>
      </c>
    </row>
    <row r="15269" spans="1:7" x14ac:dyDescent="0.25">
      <c r="A15269" t="s">
        <v>8</v>
      </c>
      <c r="B15269" s="1" t="str">
        <f>"000363579 - RICHS TOPPINGS-SODEXO"</f>
        <v>000363579 - RICHS TOPPINGS-SODEXO</v>
      </c>
      <c r="C15269" t="s">
        <v>222</v>
      </c>
      <c r="D15269" s="1" t="str">
        <f t="shared" si="420"/>
        <v>PRG-1043939</v>
      </c>
      <c r="E15269" t="s">
        <v>79</v>
      </c>
      <c r="F15269" t="s">
        <v>4</v>
      </c>
      <c r="G15269" t="str">
        <f>""</f>
        <v/>
      </c>
    </row>
    <row r="15270" spans="1:7" x14ac:dyDescent="0.25">
      <c r="A15270" t="s">
        <v>8</v>
      </c>
      <c r="B15270" s="1" t="str">
        <f>"000363701 - RICHS TOPPINGS-SODEXO"</f>
        <v>000363701 - RICHS TOPPINGS-SODEXO</v>
      </c>
      <c r="C15270" t="s">
        <v>222</v>
      </c>
      <c r="D15270" s="1" t="str">
        <f t="shared" si="420"/>
        <v>PRG-1043939</v>
      </c>
      <c r="E15270" t="s">
        <v>79</v>
      </c>
      <c r="F15270" t="s">
        <v>4</v>
      </c>
      <c r="G15270" t="str">
        <f>""</f>
        <v/>
      </c>
    </row>
    <row r="15271" spans="1:7" x14ac:dyDescent="0.25">
      <c r="A15271" t="s">
        <v>8</v>
      </c>
      <c r="B15271" s="1" t="str">
        <f>"000363890 - RICHS TOPPINGS-SODEXO"</f>
        <v>000363890 - RICHS TOPPINGS-SODEXO</v>
      </c>
      <c r="C15271" t="s">
        <v>222</v>
      </c>
      <c r="D15271" s="1" t="str">
        <f t="shared" si="420"/>
        <v>PRG-1043939</v>
      </c>
      <c r="E15271" t="s">
        <v>79</v>
      </c>
      <c r="F15271" t="s">
        <v>4</v>
      </c>
      <c r="G15271" t="str">
        <f>""</f>
        <v/>
      </c>
    </row>
    <row r="15272" spans="1:7" x14ac:dyDescent="0.25">
      <c r="A15272" t="s">
        <v>8</v>
      </c>
      <c r="B15272" s="1" t="str">
        <f>"000364302 - RICHS TOPPINGS-SODEXO"</f>
        <v>000364302 - RICHS TOPPINGS-SODEXO</v>
      </c>
      <c r="C15272" t="s">
        <v>222</v>
      </c>
      <c r="D15272" s="1" t="str">
        <f t="shared" si="420"/>
        <v>PRG-1043939</v>
      </c>
      <c r="E15272" t="s">
        <v>79</v>
      </c>
      <c r="F15272" t="s">
        <v>4</v>
      </c>
      <c r="G15272" t="str">
        <f>""</f>
        <v/>
      </c>
    </row>
    <row r="15273" spans="1:7" x14ac:dyDescent="0.25">
      <c r="A15273" t="s">
        <v>8</v>
      </c>
      <c r="B15273" s="1" t="str">
        <f>"000364986 - RICHS TOPPINGS-SODEXO"</f>
        <v>000364986 - RICHS TOPPINGS-SODEXO</v>
      </c>
      <c r="C15273" t="s">
        <v>222</v>
      </c>
      <c r="D15273" s="1" t="str">
        <f t="shared" si="420"/>
        <v>PRG-1043939</v>
      </c>
      <c r="E15273" t="s">
        <v>79</v>
      </c>
      <c r="F15273" t="s">
        <v>4</v>
      </c>
      <c r="G15273" t="str">
        <f>""</f>
        <v/>
      </c>
    </row>
    <row r="15274" spans="1:7" x14ac:dyDescent="0.25">
      <c r="A15274" t="s">
        <v>8</v>
      </c>
      <c r="B15274" s="1" t="str">
        <f>"000365553 - RICHS TOPPINGS-SODEXO"</f>
        <v>000365553 - RICHS TOPPINGS-SODEXO</v>
      </c>
      <c r="C15274" t="s">
        <v>222</v>
      </c>
      <c r="D15274" s="1" t="str">
        <f t="shared" si="420"/>
        <v>PRG-1043939</v>
      </c>
      <c r="E15274" t="s">
        <v>79</v>
      </c>
      <c r="F15274" t="s">
        <v>4</v>
      </c>
      <c r="G15274" t="str">
        <f>""</f>
        <v/>
      </c>
    </row>
    <row r="15275" spans="1:7" x14ac:dyDescent="0.25">
      <c r="A15275" t="s">
        <v>8</v>
      </c>
      <c r="B15275" s="1" t="str">
        <f>"000367202 - RICHS TOPPINGS-SODEXO"</f>
        <v>000367202 - RICHS TOPPINGS-SODEXO</v>
      </c>
      <c r="C15275" t="s">
        <v>222</v>
      </c>
      <c r="D15275" s="1" t="str">
        <f t="shared" si="420"/>
        <v>PRG-1043939</v>
      </c>
      <c r="E15275" t="s">
        <v>79</v>
      </c>
      <c r="F15275" t="s">
        <v>4</v>
      </c>
      <c r="G15275" t="str">
        <f>""</f>
        <v/>
      </c>
    </row>
    <row r="15276" spans="1:7" x14ac:dyDescent="0.25">
      <c r="A15276" t="s">
        <v>8</v>
      </c>
      <c r="B15276" s="1" t="str">
        <f>"000368067 - RICHS TOPPINGS-SODEXO"</f>
        <v>000368067 - RICHS TOPPINGS-SODEXO</v>
      </c>
      <c r="C15276" t="s">
        <v>222</v>
      </c>
      <c r="D15276" s="1" t="str">
        <f t="shared" si="420"/>
        <v>PRG-1043939</v>
      </c>
      <c r="E15276" t="s">
        <v>79</v>
      </c>
      <c r="F15276" t="s">
        <v>4</v>
      </c>
      <c r="G15276" t="str">
        <f>""</f>
        <v/>
      </c>
    </row>
    <row r="15277" spans="1:7" x14ac:dyDescent="0.25">
      <c r="A15277" t="s">
        <v>8</v>
      </c>
      <c r="B15277" s="1" t="str">
        <f>"000368232 - RICHS TOPPINGS-SODEXO"</f>
        <v>000368232 - RICHS TOPPINGS-SODEXO</v>
      </c>
      <c r="C15277" t="s">
        <v>222</v>
      </c>
      <c r="D15277" s="1" t="str">
        <f t="shared" si="420"/>
        <v>PRG-1043939</v>
      </c>
      <c r="E15277" t="s">
        <v>79</v>
      </c>
      <c r="F15277" t="s">
        <v>4</v>
      </c>
      <c r="G15277" t="str">
        <f>""</f>
        <v/>
      </c>
    </row>
    <row r="15278" spans="1:7" x14ac:dyDescent="0.25">
      <c r="A15278" t="s">
        <v>8</v>
      </c>
      <c r="B15278" s="1" t="str">
        <f>"000368801 - RICHS WHIPPED TOPPINGS-SODEXO"</f>
        <v>000368801 - RICHS WHIPPED TOPPINGS-SODEXO</v>
      </c>
      <c r="C15278" t="s">
        <v>419</v>
      </c>
      <c r="D15278" s="1" t="str">
        <f t="shared" si="420"/>
        <v>PRG-1043939</v>
      </c>
      <c r="E15278" t="s">
        <v>79</v>
      </c>
      <c r="F15278" t="s">
        <v>4</v>
      </c>
      <c r="G15278" t="str">
        <f>""</f>
        <v/>
      </c>
    </row>
    <row r="15279" spans="1:7" x14ac:dyDescent="0.25">
      <c r="A15279" t="s">
        <v>8</v>
      </c>
      <c r="B15279" s="1" t="str">
        <f>"000369014 - RICHS TOPPINGS-SODEXO"</f>
        <v>000369014 - RICHS TOPPINGS-SODEXO</v>
      </c>
      <c r="C15279" t="s">
        <v>222</v>
      </c>
      <c r="D15279" s="1" t="str">
        <f t="shared" si="420"/>
        <v>PRG-1043939</v>
      </c>
      <c r="E15279" t="s">
        <v>79</v>
      </c>
      <c r="F15279" t="s">
        <v>4</v>
      </c>
      <c r="G15279" t="str">
        <f>""</f>
        <v/>
      </c>
    </row>
    <row r="15280" spans="1:7" x14ac:dyDescent="0.25">
      <c r="A15280" t="s">
        <v>8</v>
      </c>
      <c r="B15280" s="1" t="str">
        <f>"000369412 - RICHS TOPPINGS-SODEXO"</f>
        <v>000369412 - RICHS TOPPINGS-SODEXO</v>
      </c>
      <c r="C15280" t="s">
        <v>222</v>
      </c>
      <c r="D15280" s="1" t="str">
        <f t="shared" si="420"/>
        <v>PRG-1043939</v>
      </c>
      <c r="E15280" t="s">
        <v>79</v>
      </c>
      <c r="F15280" t="s">
        <v>4</v>
      </c>
      <c r="G15280" t="str">
        <f>""</f>
        <v/>
      </c>
    </row>
    <row r="15281" spans="1:7" x14ac:dyDescent="0.25">
      <c r="A15281" t="s">
        <v>8</v>
      </c>
      <c r="B15281" s="1" t="str">
        <f>"000370290 - RICHS WHIPPED TOPPINGS-SODEXO"</f>
        <v>000370290 - RICHS WHIPPED TOPPINGS-SODEXO</v>
      </c>
      <c r="C15281" t="s">
        <v>419</v>
      </c>
      <c r="D15281" s="1" t="str">
        <f t="shared" si="420"/>
        <v>PRG-1043939</v>
      </c>
      <c r="E15281" t="s">
        <v>79</v>
      </c>
      <c r="F15281" t="s">
        <v>4</v>
      </c>
      <c r="G15281" t="str">
        <f>""</f>
        <v/>
      </c>
    </row>
    <row r="15282" spans="1:7" x14ac:dyDescent="0.25">
      <c r="A15282" t="s">
        <v>8</v>
      </c>
      <c r="B15282" s="1" t="str">
        <f>"000370435 - RICHS WHIPPED TOPPINGS-SODEXO"</f>
        <v>000370435 - RICHS WHIPPED TOPPINGS-SODEXO</v>
      </c>
      <c r="C15282" t="s">
        <v>419</v>
      </c>
      <c r="D15282" s="1" t="str">
        <f t="shared" si="420"/>
        <v>PRG-1043939</v>
      </c>
      <c r="E15282" t="s">
        <v>79</v>
      </c>
      <c r="F15282" t="s">
        <v>4</v>
      </c>
      <c r="G15282" t="str">
        <f>""</f>
        <v/>
      </c>
    </row>
    <row r="15283" spans="1:7" x14ac:dyDescent="0.25">
      <c r="A15283" t="s">
        <v>8</v>
      </c>
      <c r="B15283" s="1" t="str">
        <f>"000371318 - RICHS TOPPINGS-SODEXO"</f>
        <v>000371318 - RICHS TOPPINGS-SODEXO</v>
      </c>
      <c r="C15283" t="s">
        <v>222</v>
      </c>
      <c r="D15283" s="1" t="str">
        <f t="shared" si="420"/>
        <v>PRG-1043939</v>
      </c>
      <c r="E15283" t="s">
        <v>79</v>
      </c>
      <c r="F15283" t="s">
        <v>4</v>
      </c>
      <c r="G15283" t="str">
        <f>""</f>
        <v/>
      </c>
    </row>
    <row r="15284" spans="1:7" x14ac:dyDescent="0.25">
      <c r="A15284" t="s">
        <v>8</v>
      </c>
      <c r="B15284" s="1" t="str">
        <f>"000371411 - RICHS TOPPINGS-SODEXO"</f>
        <v>000371411 - RICHS TOPPINGS-SODEXO</v>
      </c>
      <c r="C15284" t="s">
        <v>222</v>
      </c>
      <c r="D15284" s="1" t="str">
        <f t="shared" si="420"/>
        <v>PRG-1043939</v>
      </c>
      <c r="E15284" t="s">
        <v>79</v>
      </c>
      <c r="F15284" t="s">
        <v>4</v>
      </c>
      <c r="G15284" t="str">
        <f>""</f>
        <v/>
      </c>
    </row>
    <row r="15285" spans="1:7" x14ac:dyDescent="0.25">
      <c r="A15285" t="s">
        <v>8</v>
      </c>
      <c r="B15285" s="1" t="str">
        <f>"000371887 - RICHS WHIPPED TOPPINGS-SODEXO"</f>
        <v>000371887 - RICHS WHIPPED TOPPINGS-SODEXO</v>
      </c>
      <c r="C15285" t="s">
        <v>419</v>
      </c>
      <c r="D15285" s="1" t="str">
        <f t="shared" si="420"/>
        <v>PRG-1043939</v>
      </c>
      <c r="E15285" t="s">
        <v>79</v>
      </c>
      <c r="F15285" t="s">
        <v>4</v>
      </c>
      <c r="G15285" t="str">
        <f>""</f>
        <v/>
      </c>
    </row>
    <row r="15286" spans="1:7" x14ac:dyDescent="0.25">
      <c r="A15286" t="s">
        <v>8</v>
      </c>
      <c r="B15286" s="1" t="str">
        <f>"000372191 - RICHS TOPPINGS-SODEXO"</f>
        <v>000372191 - RICHS TOPPINGS-SODEXO</v>
      </c>
      <c r="C15286" t="s">
        <v>222</v>
      </c>
      <c r="D15286" s="1" t="str">
        <f t="shared" si="420"/>
        <v>PRG-1043939</v>
      </c>
      <c r="E15286" t="s">
        <v>79</v>
      </c>
      <c r="F15286" t="s">
        <v>4</v>
      </c>
      <c r="G15286" t="str">
        <f>""</f>
        <v/>
      </c>
    </row>
    <row r="15287" spans="1:7" x14ac:dyDescent="0.25">
      <c r="A15287" t="s">
        <v>8</v>
      </c>
      <c r="B15287" s="1" t="str">
        <f>"000372578 - RICHS WHIPPED TOPPINGS-SODEXO"</f>
        <v>000372578 - RICHS WHIPPED TOPPINGS-SODEXO</v>
      </c>
      <c r="C15287" t="s">
        <v>419</v>
      </c>
      <c r="D15287" s="1" t="str">
        <f t="shared" si="420"/>
        <v>PRG-1043939</v>
      </c>
      <c r="E15287" t="s">
        <v>79</v>
      </c>
      <c r="F15287" t="s">
        <v>4</v>
      </c>
      <c r="G15287" t="str">
        <f>""</f>
        <v/>
      </c>
    </row>
    <row r="15288" spans="1:7" x14ac:dyDescent="0.25">
      <c r="A15288" t="s">
        <v>8</v>
      </c>
      <c r="B15288" s="1" t="str">
        <f>"000372842 - RICHS TOPPINGS-SODEXO"</f>
        <v>000372842 - RICHS TOPPINGS-SODEXO</v>
      </c>
      <c r="C15288" t="s">
        <v>222</v>
      </c>
      <c r="D15288" s="1" t="str">
        <f t="shared" si="420"/>
        <v>PRG-1043939</v>
      </c>
      <c r="E15288" t="s">
        <v>79</v>
      </c>
      <c r="F15288" t="s">
        <v>4</v>
      </c>
      <c r="G15288" t="str">
        <f>""</f>
        <v/>
      </c>
    </row>
    <row r="15289" spans="1:7" x14ac:dyDescent="0.25">
      <c r="A15289" t="s">
        <v>8</v>
      </c>
      <c r="B15289" s="1" t="str">
        <f>"000372944 - RICHS TOPPINGS-SODEXO"</f>
        <v>000372944 - RICHS TOPPINGS-SODEXO</v>
      </c>
      <c r="C15289" t="s">
        <v>222</v>
      </c>
      <c r="D15289" s="1" t="str">
        <f t="shared" si="420"/>
        <v>PRG-1043939</v>
      </c>
      <c r="E15289" t="s">
        <v>79</v>
      </c>
      <c r="F15289" t="s">
        <v>4</v>
      </c>
      <c r="G15289" t="str">
        <f>""</f>
        <v/>
      </c>
    </row>
    <row r="15290" spans="1:7" x14ac:dyDescent="0.25">
      <c r="A15290" t="s">
        <v>8</v>
      </c>
      <c r="B15290" s="1" t="str">
        <f>"000373017 - RICHS WHIPPED TOPPINGS-SODEXO"</f>
        <v>000373017 - RICHS WHIPPED TOPPINGS-SODEXO</v>
      </c>
      <c r="C15290" t="s">
        <v>419</v>
      </c>
      <c r="D15290" s="1" t="str">
        <f t="shared" si="420"/>
        <v>PRG-1043939</v>
      </c>
      <c r="E15290" t="s">
        <v>79</v>
      </c>
      <c r="F15290" t="s">
        <v>4</v>
      </c>
      <c r="G15290" t="str">
        <f>""</f>
        <v/>
      </c>
    </row>
    <row r="15291" spans="1:7" x14ac:dyDescent="0.25">
      <c r="A15291" t="s">
        <v>8</v>
      </c>
      <c r="B15291" s="1" t="str">
        <f>"000374692 - RICHS WHIPPED TOPPINGS-SODEXO"</f>
        <v>000374692 - RICHS WHIPPED TOPPINGS-SODEXO</v>
      </c>
      <c r="C15291" t="s">
        <v>419</v>
      </c>
      <c r="D15291" s="1" t="str">
        <f t="shared" si="420"/>
        <v>PRG-1043939</v>
      </c>
      <c r="E15291" t="s">
        <v>79</v>
      </c>
      <c r="F15291" t="s">
        <v>4</v>
      </c>
      <c r="G15291" t="str">
        <f>""</f>
        <v/>
      </c>
    </row>
    <row r="15292" spans="1:7" x14ac:dyDescent="0.25">
      <c r="A15292" t="s">
        <v>8</v>
      </c>
      <c r="B15292" s="1" t="str">
        <f>"000376959 - RICHS WHIPPED TOPPINGS-SODEXO"</f>
        <v>000376959 - RICHS WHIPPED TOPPINGS-SODEXO</v>
      </c>
      <c r="C15292" t="s">
        <v>419</v>
      </c>
      <c r="D15292" s="1" t="str">
        <f t="shared" si="420"/>
        <v>PRG-1043939</v>
      </c>
      <c r="E15292" t="s">
        <v>79</v>
      </c>
      <c r="F15292" t="s">
        <v>4</v>
      </c>
      <c r="G15292" t="str">
        <f>""</f>
        <v/>
      </c>
    </row>
    <row r="15293" spans="1:7" x14ac:dyDescent="0.25">
      <c r="A15293" t="s">
        <v>8</v>
      </c>
      <c r="B15293" s="1" t="str">
        <f>"000378102 - RICHS TOPPINGS-SODEXO"</f>
        <v>000378102 - RICHS TOPPINGS-SODEXO</v>
      </c>
      <c r="C15293" t="s">
        <v>222</v>
      </c>
      <c r="D15293" s="1" t="str">
        <f t="shared" si="420"/>
        <v>PRG-1043939</v>
      </c>
      <c r="E15293" t="s">
        <v>79</v>
      </c>
      <c r="F15293" t="s">
        <v>4</v>
      </c>
      <c r="G15293" t="str">
        <f>""</f>
        <v/>
      </c>
    </row>
    <row r="15294" spans="1:7" x14ac:dyDescent="0.25">
      <c r="A15294" t="s">
        <v>8</v>
      </c>
      <c r="B15294" s="1" t="str">
        <f>"000378309 - RICHS TOPPINGS-SODEXO"</f>
        <v>000378309 - RICHS TOPPINGS-SODEXO</v>
      </c>
      <c r="C15294" t="s">
        <v>222</v>
      </c>
      <c r="D15294" s="1" t="str">
        <f t="shared" si="420"/>
        <v>PRG-1043939</v>
      </c>
      <c r="E15294" t="s">
        <v>79</v>
      </c>
      <c r="F15294" t="s">
        <v>4</v>
      </c>
      <c r="G15294" t="str">
        <f>""</f>
        <v/>
      </c>
    </row>
    <row r="15295" spans="1:7" x14ac:dyDescent="0.25">
      <c r="A15295" t="s">
        <v>8</v>
      </c>
      <c r="B15295" s="1" t="str">
        <f>"000378406 - RICHS WHIPPED TOPPINGS-SODEXO"</f>
        <v>000378406 - RICHS WHIPPED TOPPINGS-SODEXO</v>
      </c>
      <c r="C15295" t="s">
        <v>419</v>
      </c>
      <c r="D15295" s="1" t="str">
        <f t="shared" si="420"/>
        <v>PRG-1043939</v>
      </c>
      <c r="E15295" t="s">
        <v>79</v>
      </c>
      <c r="F15295" t="s">
        <v>4</v>
      </c>
      <c r="G15295" t="str">
        <f>""</f>
        <v/>
      </c>
    </row>
    <row r="15296" spans="1:7" x14ac:dyDescent="0.25">
      <c r="A15296" t="s">
        <v>8</v>
      </c>
      <c r="B15296" s="1" t="str">
        <f>"000378542 - RICHS TOPPINGS-SODEXO"</f>
        <v>000378542 - RICHS TOPPINGS-SODEXO</v>
      </c>
      <c r="C15296" t="s">
        <v>222</v>
      </c>
      <c r="D15296" s="1" t="str">
        <f t="shared" si="420"/>
        <v>PRG-1043939</v>
      </c>
      <c r="E15296" t="s">
        <v>79</v>
      </c>
      <c r="F15296" t="s">
        <v>4</v>
      </c>
      <c r="G15296" t="str">
        <f>""</f>
        <v/>
      </c>
    </row>
    <row r="15297" spans="1:7" x14ac:dyDescent="0.25">
      <c r="A15297" t="s">
        <v>8</v>
      </c>
      <c r="B15297" s="1" t="str">
        <f>"000379198 - RICHS TOPPINGS-SODEXO"</f>
        <v>000379198 - RICHS TOPPINGS-SODEXO</v>
      </c>
      <c r="C15297" t="s">
        <v>222</v>
      </c>
      <c r="D15297" s="1" t="str">
        <f t="shared" si="420"/>
        <v>PRG-1043939</v>
      </c>
      <c r="E15297" t="s">
        <v>79</v>
      </c>
      <c r="F15297" t="s">
        <v>4</v>
      </c>
      <c r="G15297" t="str">
        <f>""</f>
        <v/>
      </c>
    </row>
    <row r="15298" spans="1:7" x14ac:dyDescent="0.25">
      <c r="A15298" t="s">
        <v>8</v>
      </c>
      <c r="B15298" s="1" t="str">
        <f>"000380178 - RICHS TOPPINGS-SODEXO"</f>
        <v>000380178 - RICHS TOPPINGS-SODEXO</v>
      </c>
      <c r="C15298" t="s">
        <v>222</v>
      </c>
      <c r="D15298" s="1" t="str">
        <f t="shared" si="420"/>
        <v>PRG-1043939</v>
      </c>
      <c r="E15298" t="s">
        <v>79</v>
      </c>
      <c r="F15298" t="s">
        <v>4</v>
      </c>
      <c r="G15298" t="str">
        <f>""</f>
        <v/>
      </c>
    </row>
    <row r="15299" spans="1:7" x14ac:dyDescent="0.25">
      <c r="A15299" t="s">
        <v>8</v>
      </c>
      <c r="B15299" s="1" t="str">
        <f>"000380232 - RICHS WHIPPED TOPPINGS-SODEXO"</f>
        <v>000380232 - RICHS WHIPPED TOPPINGS-SODEXO</v>
      </c>
      <c r="C15299" t="s">
        <v>419</v>
      </c>
      <c r="D15299" s="1" t="str">
        <f t="shared" si="420"/>
        <v>PRG-1043939</v>
      </c>
      <c r="E15299" t="s">
        <v>79</v>
      </c>
      <c r="F15299" t="s">
        <v>4</v>
      </c>
      <c r="G15299" t="str">
        <f>""</f>
        <v/>
      </c>
    </row>
    <row r="15300" spans="1:7" x14ac:dyDescent="0.25">
      <c r="A15300" t="s">
        <v>8</v>
      </c>
      <c r="B15300" s="1" t="str">
        <f>"000380876 - RICHS WHIPPED TOPPINGS-SODEXO"</f>
        <v>000380876 - RICHS WHIPPED TOPPINGS-SODEXO</v>
      </c>
      <c r="C15300" t="s">
        <v>419</v>
      </c>
      <c r="D15300" s="1" t="str">
        <f t="shared" si="420"/>
        <v>PRG-1043939</v>
      </c>
      <c r="E15300" t="s">
        <v>79</v>
      </c>
      <c r="F15300" t="s">
        <v>4</v>
      </c>
      <c r="G15300" t="str">
        <f>""</f>
        <v/>
      </c>
    </row>
    <row r="15301" spans="1:7" x14ac:dyDescent="0.25">
      <c r="A15301" t="s">
        <v>8</v>
      </c>
      <c r="B15301" s="1" t="str">
        <f>"000381596 - RICHS TOPPINGS-SODEXO"</f>
        <v>000381596 - RICHS TOPPINGS-SODEXO</v>
      </c>
      <c r="C15301" t="s">
        <v>222</v>
      </c>
      <c r="D15301" s="1" t="str">
        <f t="shared" si="420"/>
        <v>PRG-1043939</v>
      </c>
      <c r="E15301" t="s">
        <v>79</v>
      </c>
      <c r="F15301" t="s">
        <v>4</v>
      </c>
      <c r="G15301" t="str">
        <f>""</f>
        <v/>
      </c>
    </row>
    <row r="15302" spans="1:7" x14ac:dyDescent="0.25">
      <c r="A15302" t="s">
        <v>8</v>
      </c>
      <c r="B15302" s="1" t="str">
        <f>"000381684 - RICHS TOPPINGS-SODEXO"</f>
        <v>000381684 - RICHS TOPPINGS-SODEXO</v>
      </c>
      <c r="C15302" t="s">
        <v>222</v>
      </c>
      <c r="D15302" s="1" t="str">
        <f t="shared" si="420"/>
        <v>PRG-1043939</v>
      </c>
      <c r="E15302" t="s">
        <v>79</v>
      </c>
      <c r="F15302" t="s">
        <v>4</v>
      </c>
      <c r="G15302" t="str">
        <f>""</f>
        <v/>
      </c>
    </row>
    <row r="15303" spans="1:7" x14ac:dyDescent="0.25">
      <c r="A15303" t="s">
        <v>8</v>
      </c>
      <c r="B15303" s="1" t="str">
        <f>"000383377 - RICHS WHIPPED TOPPINGS-SODEXO"</f>
        <v>000383377 - RICHS WHIPPED TOPPINGS-SODEXO</v>
      </c>
      <c r="C15303" t="s">
        <v>419</v>
      </c>
      <c r="D15303" s="1" t="str">
        <f t="shared" si="420"/>
        <v>PRG-1043939</v>
      </c>
      <c r="E15303" t="s">
        <v>79</v>
      </c>
      <c r="F15303" t="s">
        <v>4</v>
      </c>
      <c r="G15303" t="str">
        <f>""</f>
        <v/>
      </c>
    </row>
    <row r="15304" spans="1:7" x14ac:dyDescent="0.25">
      <c r="A15304" t="s">
        <v>8</v>
      </c>
      <c r="B15304" s="1" t="str">
        <f>"000384720 - RICHS TOPPINGS-SODEXO"</f>
        <v>000384720 - RICHS TOPPINGS-SODEXO</v>
      </c>
      <c r="C15304" t="s">
        <v>222</v>
      </c>
      <c r="D15304" s="1" t="str">
        <f t="shared" si="420"/>
        <v>PRG-1043939</v>
      </c>
      <c r="E15304" t="s">
        <v>79</v>
      </c>
      <c r="F15304" t="s">
        <v>4</v>
      </c>
      <c r="G15304" t="str">
        <f>""</f>
        <v/>
      </c>
    </row>
    <row r="15305" spans="1:7" x14ac:dyDescent="0.25">
      <c r="A15305" t="s">
        <v>8</v>
      </c>
      <c r="B15305" s="1" t="str">
        <f>"000385854 - RICHS WHIPPED TOPPINGS-SODEXO"</f>
        <v>000385854 - RICHS WHIPPED TOPPINGS-SODEXO</v>
      </c>
      <c r="C15305" t="s">
        <v>419</v>
      </c>
      <c r="D15305" s="1" t="str">
        <f t="shared" si="420"/>
        <v>PRG-1043939</v>
      </c>
      <c r="E15305" t="s">
        <v>79</v>
      </c>
      <c r="F15305" t="s">
        <v>4</v>
      </c>
      <c r="G15305" t="str">
        <f>""</f>
        <v/>
      </c>
    </row>
    <row r="15306" spans="1:7" x14ac:dyDescent="0.25">
      <c r="A15306" t="s">
        <v>8</v>
      </c>
      <c r="B15306" s="1" t="str">
        <f>"000386425 - RICHS TOPPINGS-SODEXO"</f>
        <v>000386425 - RICHS TOPPINGS-SODEXO</v>
      </c>
      <c r="C15306" t="s">
        <v>222</v>
      </c>
      <c r="D15306" s="1" t="str">
        <f t="shared" si="420"/>
        <v>PRG-1043939</v>
      </c>
      <c r="E15306" t="s">
        <v>79</v>
      </c>
      <c r="F15306" t="s">
        <v>4</v>
      </c>
      <c r="G15306" t="str">
        <f>""</f>
        <v/>
      </c>
    </row>
    <row r="15307" spans="1:7" x14ac:dyDescent="0.25">
      <c r="A15307" t="s">
        <v>8</v>
      </c>
      <c r="B15307" s="1" t="str">
        <f>"000386841 - RICHS TOPPINGS-SODEXO"</f>
        <v>000386841 - RICHS TOPPINGS-SODEXO</v>
      </c>
      <c r="C15307" t="s">
        <v>222</v>
      </c>
      <c r="D15307" s="1" t="str">
        <f t="shared" si="420"/>
        <v>PRG-1043939</v>
      </c>
      <c r="E15307" t="s">
        <v>79</v>
      </c>
      <c r="F15307" t="s">
        <v>4</v>
      </c>
      <c r="G15307" t="str">
        <f>""</f>
        <v/>
      </c>
    </row>
    <row r="15308" spans="1:7" x14ac:dyDescent="0.25">
      <c r="A15308" t="s">
        <v>8</v>
      </c>
      <c r="B15308" s="1" t="str">
        <f>"000387172 - RICHS TOPPINGS-SODEXO"</f>
        <v>000387172 - RICHS TOPPINGS-SODEXO</v>
      </c>
      <c r="C15308" t="s">
        <v>222</v>
      </c>
      <c r="D15308" s="1" t="str">
        <f t="shared" si="420"/>
        <v>PRG-1043939</v>
      </c>
      <c r="E15308" t="s">
        <v>79</v>
      </c>
      <c r="F15308" t="s">
        <v>4</v>
      </c>
      <c r="G15308" t="str">
        <f>""</f>
        <v/>
      </c>
    </row>
    <row r="15309" spans="1:7" x14ac:dyDescent="0.25">
      <c r="A15309" t="s">
        <v>8</v>
      </c>
      <c r="B15309" s="1" t="str">
        <f>"000387459 - RICHS WHIPPED TOPPINGS-SODEXO"</f>
        <v>000387459 - RICHS WHIPPED TOPPINGS-SODEXO</v>
      </c>
      <c r="C15309" t="s">
        <v>419</v>
      </c>
      <c r="D15309" s="1" t="str">
        <f t="shared" si="420"/>
        <v>PRG-1043939</v>
      </c>
      <c r="E15309" t="s">
        <v>79</v>
      </c>
      <c r="F15309" t="s">
        <v>4</v>
      </c>
      <c r="G15309" t="str">
        <f>""</f>
        <v/>
      </c>
    </row>
    <row r="15310" spans="1:7" x14ac:dyDescent="0.25">
      <c r="A15310" t="s">
        <v>8</v>
      </c>
      <c r="B15310" s="1" t="str">
        <f>"000388424 - RICHS WHIPPED TOPPINGS-SODEXO"</f>
        <v>000388424 - RICHS WHIPPED TOPPINGS-SODEXO</v>
      </c>
      <c r="C15310" t="s">
        <v>419</v>
      </c>
      <c r="D15310" s="1" t="str">
        <f t="shared" si="420"/>
        <v>PRG-1043939</v>
      </c>
      <c r="E15310" t="s">
        <v>79</v>
      </c>
      <c r="F15310" t="s">
        <v>4</v>
      </c>
      <c r="G15310" t="str">
        <f>""</f>
        <v/>
      </c>
    </row>
    <row r="15311" spans="1:7" x14ac:dyDescent="0.25">
      <c r="A15311" t="s">
        <v>8</v>
      </c>
      <c r="B15311" s="1" t="str">
        <f>"000388471 - RICHS TOPPINGS-SODEXO"</f>
        <v>000388471 - RICHS TOPPINGS-SODEXO</v>
      </c>
      <c r="C15311" t="s">
        <v>222</v>
      </c>
      <c r="D15311" s="1" t="str">
        <f t="shared" si="420"/>
        <v>PRG-1043939</v>
      </c>
      <c r="E15311" t="s">
        <v>79</v>
      </c>
      <c r="F15311" t="s">
        <v>4</v>
      </c>
      <c r="G15311" t="str">
        <f>""</f>
        <v/>
      </c>
    </row>
    <row r="15312" spans="1:7" x14ac:dyDescent="0.25">
      <c r="A15312" t="s">
        <v>8</v>
      </c>
      <c r="B15312" s="1" t="str">
        <f>"000388652 - RICHS TOPPINGS-SODEXO"</f>
        <v>000388652 - RICHS TOPPINGS-SODEXO</v>
      </c>
      <c r="C15312" t="s">
        <v>222</v>
      </c>
      <c r="D15312" s="1" t="str">
        <f t="shared" si="420"/>
        <v>PRG-1043939</v>
      </c>
      <c r="E15312" t="s">
        <v>79</v>
      </c>
      <c r="F15312" t="s">
        <v>4</v>
      </c>
      <c r="G15312" t="str">
        <f>""</f>
        <v/>
      </c>
    </row>
    <row r="15313" spans="1:7" x14ac:dyDescent="0.25">
      <c r="A15313" t="s">
        <v>8</v>
      </c>
      <c r="B15313" s="1" t="str">
        <f>"000389245 - RICHS TOPPINGS-SODEXO"</f>
        <v>000389245 - RICHS TOPPINGS-SODEXO</v>
      </c>
      <c r="C15313" t="s">
        <v>222</v>
      </c>
      <c r="D15313" s="1" t="str">
        <f t="shared" si="420"/>
        <v>PRG-1043939</v>
      </c>
      <c r="E15313" t="s">
        <v>79</v>
      </c>
      <c r="F15313" t="s">
        <v>4</v>
      </c>
      <c r="G15313" t="str">
        <f>""</f>
        <v/>
      </c>
    </row>
    <row r="15314" spans="1:7" x14ac:dyDescent="0.25">
      <c r="A15314" t="s">
        <v>8</v>
      </c>
      <c r="B15314" s="1" t="str">
        <f>"000389264 - RICHS WHIPPED TOPPINGS-SODEXO"</f>
        <v>000389264 - RICHS WHIPPED TOPPINGS-SODEXO</v>
      </c>
      <c r="C15314" t="s">
        <v>419</v>
      </c>
      <c r="D15314" s="1" t="str">
        <f t="shared" si="420"/>
        <v>PRG-1043939</v>
      </c>
      <c r="E15314" t="s">
        <v>79</v>
      </c>
      <c r="F15314" t="s">
        <v>4</v>
      </c>
      <c r="G15314" t="str">
        <f>""</f>
        <v/>
      </c>
    </row>
    <row r="15315" spans="1:7" x14ac:dyDescent="0.25">
      <c r="A15315" t="s">
        <v>8</v>
      </c>
      <c r="B15315" s="1" t="str">
        <f>"000389334 - RICHS TOPPINGS-SODEXO"</f>
        <v>000389334 - RICHS TOPPINGS-SODEXO</v>
      </c>
      <c r="C15315" t="s">
        <v>222</v>
      </c>
      <c r="D15315" s="1" t="str">
        <f t="shared" si="420"/>
        <v>PRG-1043939</v>
      </c>
      <c r="E15315" t="s">
        <v>79</v>
      </c>
      <c r="F15315" t="s">
        <v>4</v>
      </c>
      <c r="G15315" t="str">
        <f>""</f>
        <v/>
      </c>
    </row>
    <row r="15316" spans="1:7" x14ac:dyDescent="0.25">
      <c r="A15316" t="s">
        <v>8</v>
      </c>
      <c r="B15316" s="1" t="str">
        <f>"000389499 - RICHS TOPPINGS-SODEXO"</f>
        <v>000389499 - RICHS TOPPINGS-SODEXO</v>
      </c>
      <c r="C15316" t="s">
        <v>222</v>
      </c>
      <c r="D15316" s="1" t="str">
        <f t="shared" si="420"/>
        <v>PRG-1043939</v>
      </c>
      <c r="E15316" t="s">
        <v>79</v>
      </c>
      <c r="F15316" t="s">
        <v>4</v>
      </c>
      <c r="G15316" t="str">
        <f>""</f>
        <v/>
      </c>
    </row>
    <row r="15317" spans="1:7" x14ac:dyDescent="0.25">
      <c r="A15317" t="s">
        <v>8</v>
      </c>
      <c r="B15317" s="1" t="str">
        <f>"000389780 - RICHS WHIPPED TOPPINGS-SODEXO"</f>
        <v>000389780 - RICHS WHIPPED TOPPINGS-SODEXO</v>
      </c>
      <c r="C15317" t="s">
        <v>419</v>
      </c>
      <c r="D15317" s="1" t="str">
        <f t="shared" si="420"/>
        <v>PRG-1043939</v>
      </c>
      <c r="E15317" t="s">
        <v>79</v>
      </c>
      <c r="F15317" t="s">
        <v>4</v>
      </c>
      <c r="G15317" t="str">
        <f>""</f>
        <v/>
      </c>
    </row>
    <row r="15318" spans="1:7" x14ac:dyDescent="0.25">
      <c r="A15318" t="s">
        <v>8</v>
      </c>
      <c r="B15318" s="1" t="str">
        <f>"000391424 - RICHS TOPPINGS-SODEXO"</f>
        <v>000391424 - RICHS TOPPINGS-SODEXO</v>
      </c>
      <c r="C15318" t="s">
        <v>222</v>
      </c>
      <c r="D15318" s="1" t="str">
        <f t="shared" si="420"/>
        <v>PRG-1043939</v>
      </c>
      <c r="E15318" t="s">
        <v>79</v>
      </c>
      <c r="F15318" t="s">
        <v>4</v>
      </c>
      <c r="G15318" t="str">
        <f>""</f>
        <v/>
      </c>
    </row>
    <row r="15319" spans="1:7" x14ac:dyDescent="0.25">
      <c r="A15319" t="s">
        <v>8</v>
      </c>
      <c r="B15319" s="1" t="str">
        <f>"000393084 - RICHS TOPPINGS-SODEXO"</f>
        <v>000393084 - RICHS TOPPINGS-SODEXO</v>
      </c>
      <c r="C15319" t="s">
        <v>222</v>
      </c>
      <c r="D15319" s="1" t="str">
        <f t="shared" si="420"/>
        <v>PRG-1043939</v>
      </c>
      <c r="E15319" t="s">
        <v>79</v>
      </c>
      <c r="F15319" t="s">
        <v>4</v>
      </c>
      <c r="G15319" t="str">
        <f>""</f>
        <v/>
      </c>
    </row>
    <row r="15320" spans="1:7" x14ac:dyDescent="0.25">
      <c r="A15320" t="s">
        <v>8</v>
      </c>
      <c r="B15320" s="1" t="str">
        <f>"000394082 - RICHS TOPPINGS-SODEXO"</f>
        <v>000394082 - RICHS TOPPINGS-SODEXO</v>
      </c>
      <c r="C15320" t="s">
        <v>222</v>
      </c>
      <c r="D15320" s="1" t="str">
        <f t="shared" si="420"/>
        <v>PRG-1043939</v>
      </c>
      <c r="E15320" t="s">
        <v>79</v>
      </c>
      <c r="F15320" t="s">
        <v>4</v>
      </c>
      <c r="G15320" t="str">
        <f>""</f>
        <v/>
      </c>
    </row>
    <row r="15321" spans="1:7" x14ac:dyDescent="0.25">
      <c r="A15321" t="s">
        <v>8</v>
      </c>
      <c r="B15321" s="1" t="str">
        <f>"000394320 - RICHS WHIPPED TOPPINGS-SODEXO"</f>
        <v>000394320 - RICHS WHIPPED TOPPINGS-SODEXO</v>
      </c>
      <c r="C15321" t="s">
        <v>419</v>
      </c>
      <c r="D15321" s="1" t="str">
        <f t="shared" si="420"/>
        <v>PRG-1043939</v>
      </c>
      <c r="E15321" t="s">
        <v>79</v>
      </c>
      <c r="F15321" t="s">
        <v>4</v>
      </c>
      <c r="G15321" t="str">
        <f>""</f>
        <v/>
      </c>
    </row>
    <row r="15322" spans="1:7" x14ac:dyDescent="0.25">
      <c r="A15322" t="s">
        <v>8</v>
      </c>
      <c r="B15322" s="1" t="str">
        <f>"000394641 - RICHS TOPPINGS-SODEXO"</f>
        <v>000394641 - RICHS TOPPINGS-SODEXO</v>
      </c>
      <c r="C15322" t="s">
        <v>222</v>
      </c>
      <c r="D15322" s="1" t="str">
        <f t="shared" si="420"/>
        <v>PRG-1043939</v>
      </c>
      <c r="E15322" t="s">
        <v>79</v>
      </c>
      <c r="F15322" t="s">
        <v>4</v>
      </c>
      <c r="G15322" t="str">
        <f>""</f>
        <v/>
      </c>
    </row>
    <row r="15323" spans="1:7" x14ac:dyDescent="0.25">
      <c r="A15323" t="s">
        <v>8</v>
      </c>
      <c r="B15323" s="1" t="str">
        <f>"000395472 - RICHS WHIPPED TOPPINGS-SODEXO"</f>
        <v>000395472 - RICHS WHIPPED TOPPINGS-SODEXO</v>
      </c>
      <c r="C15323" t="s">
        <v>419</v>
      </c>
      <c r="D15323" s="1" t="str">
        <f t="shared" si="420"/>
        <v>PRG-1043939</v>
      </c>
      <c r="E15323" t="s">
        <v>79</v>
      </c>
      <c r="F15323" t="s">
        <v>4</v>
      </c>
      <c r="G15323" t="str">
        <f>""</f>
        <v/>
      </c>
    </row>
    <row r="15324" spans="1:7" x14ac:dyDescent="0.25">
      <c r="A15324" t="s">
        <v>8</v>
      </c>
      <c r="B15324" s="1" t="str">
        <f>"000397213 - RICHS WHIPPED TOPPINGS-SODEXO"</f>
        <v>000397213 - RICHS WHIPPED TOPPINGS-SODEXO</v>
      </c>
      <c r="C15324" t="s">
        <v>419</v>
      </c>
      <c r="D15324" s="1" t="str">
        <f t="shared" si="420"/>
        <v>PRG-1043939</v>
      </c>
      <c r="E15324" t="s">
        <v>79</v>
      </c>
      <c r="F15324" t="s">
        <v>4</v>
      </c>
      <c r="G15324" t="str">
        <f>""</f>
        <v/>
      </c>
    </row>
    <row r="15325" spans="1:7" x14ac:dyDescent="0.25">
      <c r="A15325" t="s">
        <v>8</v>
      </c>
      <c r="B15325" s="1" t="str">
        <f>"000398519 - RICHS WHIPPED TOPPINGS-SODEXO"</f>
        <v>000398519 - RICHS WHIPPED TOPPINGS-SODEXO</v>
      </c>
      <c r="C15325" t="s">
        <v>419</v>
      </c>
      <c r="D15325" s="1" t="str">
        <f t="shared" ref="D15325:D15352" si="421">"PRG-1043939"</f>
        <v>PRG-1043939</v>
      </c>
      <c r="E15325" t="s">
        <v>79</v>
      </c>
      <c r="F15325" t="s">
        <v>4</v>
      </c>
      <c r="G15325" t="str">
        <f>""</f>
        <v/>
      </c>
    </row>
    <row r="15326" spans="1:7" x14ac:dyDescent="0.25">
      <c r="A15326" t="s">
        <v>8</v>
      </c>
      <c r="B15326" s="1" t="str">
        <f>"000398641 - RICHS TOPPINGS-SODEXO"</f>
        <v>000398641 - RICHS TOPPINGS-SODEXO</v>
      </c>
      <c r="C15326" t="s">
        <v>222</v>
      </c>
      <c r="D15326" s="1" t="str">
        <f t="shared" si="421"/>
        <v>PRG-1043939</v>
      </c>
      <c r="E15326" t="s">
        <v>79</v>
      </c>
      <c r="F15326" t="s">
        <v>4</v>
      </c>
      <c r="G15326" t="str">
        <f>""</f>
        <v/>
      </c>
    </row>
    <row r="15327" spans="1:7" x14ac:dyDescent="0.25">
      <c r="A15327" t="s">
        <v>8</v>
      </c>
      <c r="B15327" s="1" t="str">
        <f>"000399707 - RICHS TOPPINGS-SODEXO"</f>
        <v>000399707 - RICHS TOPPINGS-SODEXO</v>
      </c>
      <c r="C15327" t="s">
        <v>222</v>
      </c>
      <c r="D15327" s="1" t="str">
        <f t="shared" si="421"/>
        <v>PRG-1043939</v>
      </c>
      <c r="E15327" t="s">
        <v>79</v>
      </c>
      <c r="F15327" t="s">
        <v>4</v>
      </c>
      <c r="G15327" t="str">
        <f>""</f>
        <v/>
      </c>
    </row>
    <row r="15328" spans="1:7" x14ac:dyDescent="0.25">
      <c r="A15328" t="s">
        <v>8</v>
      </c>
      <c r="B15328" s="1" t="str">
        <f>"000401484 - RICHS TOPPINGS-SODEXO"</f>
        <v>000401484 - RICHS TOPPINGS-SODEXO</v>
      </c>
      <c r="C15328" t="s">
        <v>222</v>
      </c>
      <c r="D15328" s="1" t="str">
        <f t="shared" si="421"/>
        <v>PRG-1043939</v>
      </c>
      <c r="E15328" t="s">
        <v>79</v>
      </c>
      <c r="F15328" t="s">
        <v>4</v>
      </c>
      <c r="G15328" t="str">
        <f>""</f>
        <v/>
      </c>
    </row>
    <row r="15329" spans="1:7" x14ac:dyDescent="0.25">
      <c r="A15329" t="s">
        <v>8</v>
      </c>
      <c r="B15329" s="1" t="str">
        <f>"000403311 - RICHS TOPPINGS-SODEXO"</f>
        <v>000403311 - RICHS TOPPINGS-SODEXO</v>
      </c>
      <c r="C15329" t="s">
        <v>222</v>
      </c>
      <c r="D15329" s="1" t="str">
        <f t="shared" si="421"/>
        <v>PRG-1043939</v>
      </c>
      <c r="E15329" t="s">
        <v>79</v>
      </c>
      <c r="F15329" t="s">
        <v>4</v>
      </c>
      <c r="G15329" t="str">
        <f>""</f>
        <v/>
      </c>
    </row>
    <row r="15330" spans="1:7" x14ac:dyDescent="0.25">
      <c r="A15330" t="s">
        <v>8</v>
      </c>
      <c r="B15330" s="1" t="str">
        <f>"000403973 - RICHS TOPPINGS-SODEXO"</f>
        <v>000403973 - RICHS TOPPINGS-SODEXO</v>
      </c>
      <c r="C15330" t="s">
        <v>222</v>
      </c>
      <c r="D15330" s="1" t="str">
        <f t="shared" si="421"/>
        <v>PRG-1043939</v>
      </c>
      <c r="E15330" t="s">
        <v>79</v>
      </c>
      <c r="F15330" t="s">
        <v>4</v>
      </c>
      <c r="G15330" t="str">
        <f>""</f>
        <v/>
      </c>
    </row>
    <row r="15331" spans="1:7" x14ac:dyDescent="0.25">
      <c r="A15331" t="s">
        <v>8</v>
      </c>
      <c r="B15331" s="1" t="str">
        <f>"000404548 - RICHS TOPPINGS-SODEXO"</f>
        <v>000404548 - RICHS TOPPINGS-SODEXO</v>
      </c>
      <c r="C15331" t="s">
        <v>222</v>
      </c>
      <c r="D15331" s="1" t="str">
        <f t="shared" si="421"/>
        <v>PRG-1043939</v>
      </c>
      <c r="E15331" t="s">
        <v>79</v>
      </c>
      <c r="F15331" t="s">
        <v>4</v>
      </c>
      <c r="G15331" t="str">
        <f>""</f>
        <v/>
      </c>
    </row>
    <row r="15332" spans="1:7" x14ac:dyDescent="0.25">
      <c r="A15332" t="s">
        <v>8</v>
      </c>
      <c r="B15332" s="1" t="str">
        <f>"000405098 - RICHS WHIPPED TOPPINGS-SODEXO"</f>
        <v>000405098 - RICHS WHIPPED TOPPINGS-SODEXO</v>
      </c>
      <c r="C15332" t="s">
        <v>419</v>
      </c>
      <c r="D15332" s="1" t="str">
        <f t="shared" si="421"/>
        <v>PRG-1043939</v>
      </c>
      <c r="E15332" t="s">
        <v>79</v>
      </c>
      <c r="F15332" t="s">
        <v>4</v>
      </c>
      <c r="G15332" t="str">
        <f>""</f>
        <v/>
      </c>
    </row>
    <row r="15333" spans="1:7" x14ac:dyDescent="0.25">
      <c r="A15333" t="s">
        <v>8</v>
      </c>
      <c r="B15333" s="1" t="str">
        <f>"000405448 - RICHS TOPPINGS-SODEXO"</f>
        <v>000405448 - RICHS TOPPINGS-SODEXO</v>
      </c>
      <c r="C15333" t="s">
        <v>222</v>
      </c>
      <c r="D15333" s="1" t="str">
        <f t="shared" si="421"/>
        <v>PRG-1043939</v>
      </c>
      <c r="E15333" t="s">
        <v>79</v>
      </c>
      <c r="F15333" t="s">
        <v>4</v>
      </c>
      <c r="G15333" t="str">
        <f>""</f>
        <v/>
      </c>
    </row>
    <row r="15334" spans="1:7" x14ac:dyDescent="0.25">
      <c r="A15334" t="s">
        <v>8</v>
      </c>
      <c r="B15334" s="1" t="str">
        <f>"000405526 - RICHS TOPPINGS-SODEXO"</f>
        <v>000405526 - RICHS TOPPINGS-SODEXO</v>
      </c>
      <c r="C15334" t="s">
        <v>222</v>
      </c>
      <c r="D15334" s="1" t="str">
        <f t="shared" si="421"/>
        <v>PRG-1043939</v>
      </c>
      <c r="E15334" t="s">
        <v>79</v>
      </c>
      <c r="F15334" t="s">
        <v>4</v>
      </c>
      <c r="G15334" t="str">
        <f>""</f>
        <v/>
      </c>
    </row>
    <row r="15335" spans="1:7" x14ac:dyDescent="0.25">
      <c r="A15335" t="s">
        <v>8</v>
      </c>
      <c r="B15335" s="1" t="str">
        <f>"000407624 - RICHS WHIPPED TOPPINGS-SODEXO"</f>
        <v>000407624 - RICHS WHIPPED TOPPINGS-SODEXO</v>
      </c>
      <c r="C15335" t="s">
        <v>419</v>
      </c>
      <c r="D15335" s="1" t="str">
        <f t="shared" si="421"/>
        <v>PRG-1043939</v>
      </c>
      <c r="E15335" t="s">
        <v>79</v>
      </c>
      <c r="F15335" t="s">
        <v>4</v>
      </c>
      <c r="G15335" t="str">
        <f>""</f>
        <v/>
      </c>
    </row>
    <row r="15336" spans="1:7" x14ac:dyDescent="0.25">
      <c r="A15336" t="s">
        <v>8</v>
      </c>
      <c r="B15336" s="1" t="str">
        <f>"000410111 - RICHS WHIPPED TOPPINGS-SODEXO"</f>
        <v>000410111 - RICHS WHIPPED TOPPINGS-SODEXO</v>
      </c>
      <c r="C15336" t="s">
        <v>419</v>
      </c>
      <c r="D15336" s="1" t="str">
        <f t="shared" si="421"/>
        <v>PRG-1043939</v>
      </c>
      <c r="E15336" t="s">
        <v>79</v>
      </c>
      <c r="F15336" t="s">
        <v>4</v>
      </c>
      <c r="G15336" t="str">
        <f>""</f>
        <v/>
      </c>
    </row>
    <row r="15337" spans="1:7" x14ac:dyDescent="0.25">
      <c r="A15337" t="s">
        <v>8</v>
      </c>
      <c r="B15337" s="1" t="str">
        <f>"000411163 - RICHS TOPPINGS-SODEXO"</f>
        <v>000411163 - RICHS TOPPINGS-SODEXO</v>
      </c>
      <c r="C15337" t="s">
        <v>222</v>
      </c>
      <c r="D15337" s="1" t="str">
        <f t="shared" si="421"/>
        <v>PRG-1043939</v>
      </c>
      <c r="E15337" t="s">
        <v>79</v>
      </c>
      <c r="F15337" t="s">
        <v>4</v>
      </c>
      <c r="G15337" t="str">
        <f>""</f>
        <v/>
      </c>
    </row>
    <row r="15338" spans="1:7" x14ac:dyDescent="0.25">
      <c r="A15338" t="s">
        <v>8</v>
      </c>
      <c r="B15338" s="1" t="str">
        <f>"000411939 - RICHS WHIPPED TOPPINGS-SODEXO"</f>
        <v>000411939 - RICHS WHIPPED TOPPINGS-SODEXO</v>
      </c>
      <c r="C15338" t="s">
        <v>419</v>
      </c>
      <c r="D15338" s="1" t="str">
        <f t="shared" si="421"/>
        <v>PRG-1043939</v>
      </c>
      <c r="E15338" t="s">
        <v>79</v>
      </c>
      <c r="F15338" t="s">
        <v>4</v>
      </c>
      <c r="G15338" t="str">
        <f>""</f>
        <v/>
      </c>
    </row>
    <row r="15339" spans="1:7" x14ac:dyDescent="0.25">
      <c r="A15339" t="s">
        <v>8</v>
      </c>
      <c r="B15339" s="1" t="str">
        <f>"000412278 - RICHS TOPPINGS-SODEXO"</f>
        <v>000412278 - RICHS TOPPINGS-SODEXO</v>
      </c>
      <c r="C15339" t="s">
        <v>222</v>
      </c>
      <c r="D15339" s="1" t="str">
        <f t="shared" si="421"/>
        <v>PRG-1043939</v>
      </c>
      <c r="E15339" t="s">
        <v>79</v>
      </c>
      <c r="F15339" t="s">
        <v>4</v>
      </c>
      <c r="G15339" t="str">
        <f>""</f>
        <v/>
      </c>
    </row>
    <row r="15340" spans="1:7" x14ac:dyDescent="0.25">
      <c r="A15340" t="s">
        <v>8</v>
      </c>
      <c r="B15340" s="1" t="str">
        <f>"000412797 - RICHS TOPPINGS-SODEXO"</f>
        <v>000412797 - RICHS TOPPINGS-SODEXO</v>
      </c>
      <c r="C15340" t="s">
        <v>222</v>
      </c>
      <c r="D15340" s="1" t="str">
        <f t="shared" si="421"/>
        <v>PRG-1043939</v>
      </c>
      <c r="E15340" t="s">
        <v>79</v>
      </c>
      <c r="F15340" t="s">
        <v>4</v>
      </c>
      <c r="G15340" t="str">
        <f>""</f>
        <v/>
      </c>
    </row>
    <row r="15341" spans="1:7" x14ac:dyDescent="0.25">
      <c r="A15341" t="s">
        <v>8</v>
      </c>
      <c r="B15341" s="1" t="str">
        <f>"000412885 - RICHS TOPPINGS-SODEXO"</f>
        <v>000412885 - RICHS TOPPINGS-SODEXO</v>
      </c>
      <c r="C15341" t="s">
        <v>222</v>
      </c>
      <c r="D15341" s="1" t="str">
        <f t="shared" si="421"/>
        <v>PRG-1043939</v>
      </c>
      <c r="E15341" t="s">
        <v>79</v>
      </c>
      <c r="F15341" t="s">
        <v>4</v>
      </c>
      <c r="G15341" t="str">
        <f>""</f>
        <v/>
      </c>
    </row>
    <row r="15342" spans="1:7" x14ac:dyDescent="0.25">
      <c r="A15342" t="s">
        <v>8</v>
      </c>
      <c r="B15342" s="1" t="str">
        <f>"000413806 - RICHS TOPPINGS-SODEXO"</f>
        <v>000413806 - RICHS TOPPINGS-SODEXO</v>
      </c>
      <c r="C15342" t="s">
        <v>222</v>
      </c>
      <c r="D15342" s="1" t="str">
        <f t="shared" si="421"/>
        <v>PRG-1043939</v>
      </c>
      <c r="E15342" t="s">
        <v>79</v>
      </c>
      <c r="F15342" t="s">
        <v>4</v>
      </c>
      <c r="G15342" t="str">
        <f>""</f>
        <v/>
      </c>
    </row>
    <row r="15343" spans="1:7" x14ac:dyDescent="0.25">
      <c r="A15343" t="s">
        <v>8</v>
      </c>
      <c r="B15343" s="1" t="str">
        <f>"000414769 - RICHS TOPPINGS-SODEXO"</f>
        <v>000414769 - RICHS TOPPINGS-SODEXO</v>
      </c>
      <c r="C15343" t="s">
        <v>222</v>
      </c>
      <c r="D15343" s="1" t="str">
        <f t="shared" si="421"/>
        <v>PRG-1043939</v>
      </c>
      <c r="E15343" t="s">
        <v>79</v>
      </c>
      <c r="F15343" t="s">
        <v>4</v>
      </c>
      <c r="G15343" t="str">
        <f>""</f>
        <v/>
      </c>
    </row>
    <row r="15344" spans="1:7" x14ac:dyDescent="0.25">
      <c r="A15344" t="s">
        <v>8</v>
      </c>
      <c r="B15344" s="1" t="str">
        <f>"000416137 - RICHS TOPPINGS-SODEXO"</f>
        <v>000416137 - RICHS TOPPINGS-SODEXO</v>
      </c>
      <c r="C15344" t="s">
        <v>222</v>
      </c>
      <c r="D15344" s="1" t="str">
        <f t="shared" si="421"/>
        <v>PRG-1043939</v>
      </c>
      <c r="E15344" t="s">
        <v>79</v>
      </c>
      <c r="F15344" t="s">
        <v>4</v>
      </c>
      <c r="G15344" t="str">
        <f>""</f>
        <v/>
      </c>
    </row>
    <row r="15345" spans="1:7" x14ac:dyDescent="0.25">
      <c r="A15345" t="s">
        <v>8</v>
      </c>
      <c r="B15345" s="1" t="str">
        <f>"000418902 - RICHS WHIPPED TOPPINGS-SODEXO"</f>
        <v>000418902 - RICHS WHIPPED TOPPINGS-SODEXO</v>
      </c>
      <c r="C15345" t="s">
        <v>419</v>
      </c>
      <c r="D15345" s="1" t="str">
        <f t="shared" si="421"/>
        <v>PRG-1043939</v>
      </c>
      <c r="E15345" t="s">
        <v>79</v>
      </c>
      <c r="F15345" t="s">
        <v>4</v>
      </c>
      <c r="G15345" t="str">
        <f>""</f>
        <v/>
      </c>
    </row>
    <row r="15346" spans="1:7" x14ac:dyDescent="0.25">
      <c r="A15346" t="s">
        <v>8</v>
      </c>
      <c r="B15346" s="1" t="str">
        <f>"000419265 - RICHS TOPPINGS-SODEXO"</f>
        <v>000419265 - RICHS TOPPINGS-SODEXO</v>
      </c>
      <c r="C15346" t="s">
        <v>222</v>
      </c>
      <c r="D15346" s="1" t="str">
        <f t="shared" si="421"/>
        <v>PRG-1043939</v>
      </c>
      <c r="E15346" t="s">
        <v>79</v>
      </c>
      <c r="F15346" t="s">
        <v>4</v>
      </c>
      <c r="G15346" t="str">
        <f>""</f>
        <v/>
      </c>
    </row>
    <row r="15347" spans="1:7" x14ac:dyDescent="0.25">
      <c r="A15347" t="s">
        <v>8</v>
      </c>
      <c r="B15347" s="1" t="str">
        <f>"000421325 - RICHS TOPPINGS-SODEXO"</f>
        <v>000421325 - RICHS TOPPINGS-SODEXO</v>
      </c>
      <c r="C15347" t="s">
        <v>222</v>
      </c>
      <c r="D15347" s="1" t="str">
        <f t="shared" si="421"/>
        <v>PRG-1043939</v>
      </c>
      <c r="E15347" t="s">
        <v>79</v>
      </c>
      <c r="F15347" t="s">
        <v>4</v>
      </c>
      <c r="G15347" t="str">
        <f>""</f>
        <v/>
      </c>
    </row>
    <row r="15348" spans="1:7" x14ac:dyDescent="0.25">
      <c r="A15348" t="s">
        <v>8</v>
      </c>
      <c r="B15348" s="1" t="str">
        <f>"000421429 - RICHS TOPPINGS-SODEXO"</f>
        <v>000421429 - RICHS TOPPINGS-SODEXO</v>
      </c>
      <c r="C15348" t="s">
        <v>222</v>
      </c>
      <c r="D15348" s="1" t="str">
        <f t="shared" si="421"/>
        <v>PRG-1043939</v>
      </c>
      <c r="E15348" t="s">
        <v>79</v>
      </c>
      <c r="F15348" t="s">
        <v>4</v>
      </c>
      <c r="G15348" t="str">
        <f>""</f>
        <v/>
      </c>
    </row>
    <row r="15349" spans="1:7" x14ac:dyDescent="0.25">
      <c r="A15349" t="s">
        <v>8</v>
      </c>
      <c r="B15349" s="1" t="str">
        <f>"000421517 - RICHS WHIPPED TOPPINGS-SODEXO"</f>
        <v>000421517 - RICHS WHIPPED TOPPINGS-SODEXO</v>
      </c>
      <c r="C15349" t="s">
        <v>419</v>
      </c>
      <c r="D15349" s="1" t="str">
        <f t="shared" si="421"/>
        <v>PRG-1043939</v>
      </c>
      <c r="E15349" t="s">
        <v>79</v>
      </c>
      <c r="F15349" t="s">
        <v>4</v>
      </c>
      <c r="G15349" t="str">
        <f>""</f>
        <v/>
      </c>
    </row>
    <row r="15350" spans="1:7" x14ac:dyDescent="0.25">
      <c r="A15350" t="s">
        <v>8</v>
      </c>
      <c r="B15350" s="1" t="str">
        <f>"000423067 - RICHS TOPPINGS-SODEXO"</f>
        <v>000423067 - RICHS TOPPINGS-SODEXO</v>
      </c>
      <c r="C15350" t="s">
        <v>222</v>
      </c>
      <c r="D15350" s="1" t="str">
        <f t="shared" si="421"/>
        <v>PRG-1043939</v>
      </c>
      <c r="E15350" t="s">
        <v>79</v>
      </c>
      <c r="F15350" t="s">
        <v>4</v>
      </c>
      <c r="G15350" t="str">
        <f>""</f>
        <v/>
      </c>
    </row>
    <row r="15351" spans="1:7" x14ac:dyDescent="0.25">
      <c r="A15351" t="s">
        <v>8</v>
      </c>
      <c r="B15351" s="1" t="str">
        <f>"000426677 - RICHS TOPPINGS-SODEXO"</f>
        <v>000426677 - RICHS TOPPINGS-SODEXO</v>
      </c>
      <c r="C15351" t="s">
        <v>222</v>
      </c>
      <c r="D15351" s="1" t="str">
        <f t="shared" si="421"/>
        <v>PRG-1043939</v>
      </c>
      <c r="E15351" t="s">
        <v>79</v>
      </c>
      <c r="F15351" t="s">
        <v>4</v>
      </c>
      <c r="G15351" t="str">
        <f>""</f>
        <v/>
      </c>
    </row>
    <row r="15352" spans="1:7" x14ac:dyDescent="0.25">
      <c r="A15352" t="s">
        <v>8</v>
      </c>
      <c r="B15352" s="1" t="str">
        <f>"000433270 - RICHS TOPPINGS-SODEXO"</f>
        <v>000433270 - RICHS TOPPINGS-SODEXO</v>
      </c>
      <c r="C15352" t="s">
        <v>222</v>
      </c>
      <c r="D15352" s="1" t="str">
        <f t="shared" si="421"/>
        <v>PRG-1043939</v>
      </c>
      <c r="E15352" t="s">
        <v>79</v>
      </c>
      <c r="F15352" t="s">
        <v>4</v>
      </c>
      <c r="G15352" t="str">
        <f>""</f>
        <v/>
      </c>
    </row>
    <row r="15353" spans="1:7" x14ac:dyDescent="0.25">
      <c r="A15353" t="s">
        <v>8</v>
      </c>
      <c r="B15353" s="1" t="str">
        <f>"000018444 - RICHS SWEET DOUGH-SODEXO"</f>
        <v>000018444 - RICHS SWEET DOUGH-SODEXO</v>
      </c>
      <c r="C15353" t="s">
        <v>137</v>
      </c>
      <c r="D15353" s="1" t="str">
        <f t="shared" ref="D15353:D15416" si="422">"PRG-1043974"</f>
        <v>PRG-1043974</v>
      </c>
      <c r="E15353" t="s">
        <v>390</v>
      </c>
      <c r="F15353" t="s">
        <v>4</v>
      </c>
      <c r="G15353" t="str">
        <f>""</f>
        <v/>
      </c>
    </row>
    <row r="15354" spans="1:7" x14ac:dyDescent="0.25">
      <c r="A15354" t="s">
        <v>8</v>
      </c>
      <c r="B15354" s="1" t="str">
        <f>"000020004 - RICHS SWEET DOUGH BAPA SODEXO"</f>
        <v>000020004 - RICHS SWEET DOUGH BAPA SODEXO</v>
      </c>
      <c r="C15354" t="s">
        <v>360</v>
      </c>
      <c r="D15354" s="1" t="str">
        <f t="shared" si="422"/>
        <v>PRG-1043974</v>
      </c>
      <c r="E15354" t="s">
        <v>390</v>
      </c>
      <c r="F15354" t="s">
        <v>4</v>
      </c>
      <c r="G15354" t="str">
        <f>""</f>
        <v/>
      </c>
    </row>
    <row r="15355" spans="1:7" x14ac:dyDescent="0.25">
      <c r="A15355" t="s">
        <v>8</v>
      </c>
      <c r="B15355" s="1" t="str">
        <f>"000021004 - RICHS SWEET DOUGH-SODEXO"</f>
        <v>000021004 - RICHS SWEET DOUGH-SODEXO</v>
      </c>
      <c r="C15355" t="s">
        <v>137</v>
      </c>
      <c r="D15355" s="1" t="str">
        <f t="shared" si="422"/>
        <v>PRG-1043974</v>
      </c>
      <c r="E15355" t="s">
        <v>390</v>
      </c>
      <c r="F15355" t="s">
        <v>4</v>
      </c>
      <c r="G15355" t="str">
        <f>""</f>
        <v/>
      </c>
    </row>
    <row r="15356" spans="1:7" x14ac:dyDescent="0.25">
      <c r="A15356" t="s">
        <v>8</v>
      </c>
      <c r="B15356" s="1" t="str">
        <f>"000021412 - RICHS SWEET DOUGH-SODEXO"</f>
        <v>000021412 - RICHS SWEET DOUGH-SODEXO</v>
      </c>
      <c r="C15356" t="s">
        <v>137</v>
      </c>
      <c r="D15356" s="1" t="str">
        <f t="shared" si="422"/>
        <v>PRG-1043974</v>
      </c>
      <c r="E15356" t="s">
        <v>390</v>
      </c>
      <c r="F15356" t="s">
        <v>4</v>
      </c>
      <c r="G15356" t="str">
        <f>""</f>
        <v/>
      </c>
    </row>
    <row r="15357" spans="1:7" x14ac:dyDescent="0.25">
      <c r="A15357" t="s">
        <v>8</v>
      </c>
      <c r="B15357" s="1" t="str">
        <f>"000022539 - RICHS SWEET DOUGH-SODEXO"</f>
        <v>000022539 - RICHS SWEET DOUGH-SODEXO</v>
      </c>
      <c r="C15357" t="s">
        <v>137</v>
      </c>
      <c r="D15357" s="1" t="str">
        <f t="shared" si="422"/>
        <v>PRG-1043974</v>
      </c>
      <c r="E15357" t="s">
        <v>390</v>
      </c>
      <c r="F15357" t="s">
        <v>4</v>
      </c>
      <c r="G15357" t="str">
        <f>""</f>
        <v/>
      </c>
    </row>
    <row r="15358" spans="1:7" x14ac:dyDescent="0.25">
      <c r="A15358" t="s">
        <v>8</v>
      </c>
      <c r="B15358" s="1" t="str">
        <f>"000023275 - RICHS SWEET DOUGH BAPA SODEXO"</f>
        <v>000023275 - RICHS SWEET DOUGH BAPA SODEXO</v>
      </c>
      <c r="C15358" t="s">
        <v>360</v>
      </c>
      <c r="D15358" s="1" t="str">
        <f t="shared" si="422"/>
        <v>PRG-1043974</v>
      </c>
      <c r="E15358" t="s">
        <v>390</v>
      </c>
      <c r="F15358" t="s">
        <v>4</v>
      </c>
      <c r="G15358" t="str">
        <f>""</f>
        <v/>
      </c>
    </row>
    <row r="15359" spans="1:7" x14ac:dyDescent="0.25">
      <c r="A15359" t="s">
        <v>8</v>
      </c>
      <c r="B15359" s="1" t="str">
        <f>"000024805 - RICHS SWEET DOUGH-SODEXO"</f>
        <v>000024805 - RICHS SWEET DOUGH-SODEXO</v>
      </c>
      <c r="C15359" t="s">
        <v>137</v>
      </c>
      <c r="D15359" s="1" t="str">
        <f t="shared" si="422"/>
        <v>PRG-1043974</v>
      </c>
      <c r="E15359" t="s">
        <v>390</v>
      </c>
      <c r="F15359" t="s">
        <v>4</v>
      </c>
      <c r="G15359" t="str">
        <f>""</f>
        <v/>
      </c>
    </row>
    <row r="15360" spans="1:7" x14ac:dyDescent="0.25">
      <c r="A15360" t="s">
        <v>8</v>
      </c>
      <c r="B15360" s="1" t="str">
        <f>"000026222 - RICHS SWEET DOUGH-SODEXO"</f>
        <v>000026222 - RICHS SWEET DOUGH-SODEXO</v>
      </c>
      <c r="C15360" t="s">
        <v>137</v>
      </c>
      <c r="D15360" s="1" t="str">
        <f t="shared" si="422"/>
        <v>PRG-1043974</v>
      </c>
      <c r="E15360" t="s">
        <v>390</v>
      </c>
      <c r="F15360" t="s">
        <v>4</v>
      </c>
      <c r="G15360" t="str">
        <f>""</f>
        <v/>
      </c>
    </row>
    <row r="15361" spans="1:7" x14ac:dyDescent="0.25">
      <c r="A15361" t="s">
        <v>8</v>
      </c>
      <c r="B15361" s="1" t="str">
        <f>"000027248 - RICHS SWEET DOUGH-SODEXO"</f>
        <v>000027248 - RICHS SWEET DOUGH-SODEXO</v>
      </c>
      <c r="C15361" t="s">
        <v>137</v>
      </c>
      <c r="D15361" s="1" t="str">
        <f t="shared" si="422"/>
        <v>PRG-1043974</v>
      </c>
      <c r="E15361" t="s">
        <v>390</v>
      </c>
      <c r="F15361" t="s">
        <v>4</v>
      </c>
      <c r="G15361" t="str">
        <f>""</f>
        <v/>
      </c>
    </row>
    <row r="15362" spans="1:7" x14ac:dyDescent="0.25">
      <c r="A15362" t="s">
        <v>8</v>
      </c>
      <c r="B15362" s="1" t="str">
        <f>"000027973 - RICHS SWEET DOUGH-SODEXO"</f>
        <v>000027973 - RICHS SWEET DOUGH-SODEXO</v>
      </c>
      <c r="C15362" t="s">
        <v>137</v>
      </c>
      <c r="D15362" s="1" t="str">
        <f t="shared" si="422"/>
        <v>PRG-1043974</v>
      </c>
      <c r="E15362" t="s">
        <v>390</v>
      </c>
      <c r="F15362" t="s">
        <v>4</v>
      </c>
      <c r="G15362" t="str">
        <f>""</f>
        <v/>
      </c>
    </row>
    <row r="15363" spans="1:7" x14ac:dyDescent="0.25">
      <c r="A15363" t="s">
        <v>8</v>
      </c>
      <c r="B15363" s="1" t="str">
        <f>"000028737 - RICHS SWEET DOUGH-SODEXO"</f>
        <v>000028737 - RICHS SWEET DOUGH-SODEXO</v>
      </c>
      <c r="C15363" t="s">
        <v>137</v>
      </c>
      <c r="D15363" s="1" t="str">
        <f t="shared" si="422"/>
        <v>PRG-1043974</v>
      </c>
      <c r="E15363" t="s">
        <v>390</v>
      </c>
      <c r="F15363" t="s">
        <v>4</v>
      </c>
      <c r="G15363" t="str">
        <f>""</f>
        <v/>
      </c>
    </row>
    <row r="15364" spans="1:7" x14ac:dyDescent="0.25">
      <c r="A15364" t="s">
        <v>8</v>
      </c>
      <c r="B15364" s="1" t="str">
        <f>"000029804 - RICHS SWEET DOUGH-SODEXO"</f>
        <v>000029804 - RICHS SWEET DOUGH-SODEXO</v>
      </c>
      <c r="C15364" t="s">
        <v>137</v>
      </c>
      <c r="D15364" s="1" t="str">
        <f t="shared" si="422"/>
        <v>PRG-1043974</v>
      </c>
      <c r="E15364" t="s">
        <v>390</v>
      </c>
      <c r="F15364" t="s">
        <v>4</v>
      </c>
      <c r="G15364" t="str">
        <f>""</f>
        <v/>
      </c>
    </row>
    <row r="15365" spans="1:7" x14ac:dyDescent="0.25">
      <c r="A15365" t="s">
        <v>8</v>
      </c>
      <c r="B15365" s="1" t="str">
        <f>"000031383 - RICHS SWEET DOUGH-SODEXO"</f>
        <v>000031383 - RICHS SWEET DOUGH-SODEXO</v>
      </c>
      <c r="C15365" t="s">
        <v>137</v>
      </c>
      <c r="D15365" s="1" t="str">
        <f t="shared" si="422"/>
        <v>PRG-1043974</v>
      </c>
      <c r="E15365" t="s">
        <v>390</v>
      </c>
      <c r="F15365" t="s">
        <v>4</v>
      </c>
      <c r="G15365" t="str">
        <f>""</f>
        <v/>
      </c>
    </row>
    <row r="15366" spans="1:7" x14ac:dyDescent="0.25">
      <c r="A15366" t="s">
        <v>8</v>
      </c>
      <c r="B15366" s="1" t="str">
        <f>"000032143 - RICHS SWEET DOUGH-SODEXO"</f>
        <v>000032143 - RICHS SWEET DOUGH-SODEXO</v>
      </c>
      <c r="C15366" t="s">
        <v>137</v>
      </c>
      <c r="D15366" s="1" t="str">
        <f t="shared" si="422"/>
        <v>PRG-1043974</v>
      </c>
      <c r="E15366" t="s">
        <v>390</v>
      </c>
      <c r="F15366" t="s">
        <v>4</v>
      </c>
      <c r="G15366" t="str">
        <f>""</f>
        <v/>
      </c>
    </row>
    <row r="15367" spans="1:7" x14ac:dyDescent="0.25">
      <c r="A15367" t="s">
        <v>8</v>
      </c>
      <c r="B15367" s="1" t="str">
        <f>"000032183 - RICHS SWEET DOUGH-SODEXO"</f>
        <v>000032183 - RICHS SWEET DOUGH-SODEXO</v>
      </c>
      <c r="C15367" t="s">
        <v>137</v>
      </c>
      <c r="D15367" s="1" t="str">
        <f t="shared" si="422"/>
        <v>PRG-1043974</v>
      </c>
      <c r="E15367" t="s">
        <v>390</v>
      </c>
      <c r="F15367" t="s">
        <v>4</v>
      </c>
      <c r="G15367" t="str">
        <f>""</f>
        <v/>
      </c>
    </row>
    <row r="15368" spans="1:7" x14ac:dyDescent="0.25">
      <c r="A15368" t="s">
        <v>8</v>
      </c>
      <c r="B15368" s="1" t="str">
        <f>"000032330 - RICHS SWEET DOUGH-SODEXO"</f>
        <v>000032330 - RICHS SWEET DOUGH-SODEXO</v>
      </c>
      <c r="C15368" t="s">
        <v>137</v>
      </c>
      <c r="D15368" s="1" t="str">
        <f t="shared" si="422"/>
        <v>PRG-1043974</v>
      </c>
      <c r="E15368" t="s">
        <v>390</v>
      </c>
      <c r="F15368" t="s">
        <v>4</v>
      </c>
      <c r="G15368" t="str">
        <f>""</f>
        <v/>
      </c>
    </row>
    <row r="15369" spans="1:7" x14ac:dyDescent="0.25">
      <c r="A15369" t="s">
        <v>8</v>
      </c>
      <c r="B15369" s="1" t="str">
        <f>"000032561 - RICHS SWEET DOUGH-SODEXO"</f>
        <v>000032561 - RICHS SWEET DOUGH-SODEXO</v>
      </c>
      <c r="C15369" t="s">
        <v>137</v>
      </c>
      <c r="D15369" s="1" t="str">
        <f t="shared" si="422"/>
        <v>PRG-1043974</v>
      </c>
      <c r="E15369" t="s">
        <v>390</v>
      </c>
      <c r="F15369" t="s">
        <v>4</v>
      </c>
      <c r="G15369" t="str">
        <f>""</f>
        <v/>
      </c>
    </row>
    <row r="15370" spans="1:7" x14ac:dyDescent="0.25">
      <c r="A15370" t="s">
        <v>8</v>
      </c>
      <c r="B15370" s="1" t="str">
        <f>"000032903 - RICHS SWEET DOUGH-SODEXO"</f>
        <v>000032903 - RICHS SWEET DOUGH-SODEXO</v>
      </c>
      <c r="C15370" t="s">
        <v>137</v>
      </c>
      <c r="D15370" s="1" t="str">
        <f t="shared" si="422"/>
        <v>PRG-1043974</v>
      </c>
      <c r="E15370" t="s">
        <v>390</v>
      </c>
      <c r="F15370" t="s">
        <v>4</v>
      </c>
      <c r="G15370" t="str">
        <f>""</f>
        <v/>
      </c>
    </row>
    <row r="15371" spans="1:7" x14ac:dyDescent="0.25">
      <c r="A15371" t="s">
        <v>8</v>
      </c>
      <c r="B15371" s="1" t="str">
        <f>"000033501 - RICHS SWEET DOUGH-SODEXO"</f>
        <v>000033501 - RICHS SWEET DOUGH-SODEXO</v>
      </c>
      <c r="C15371" t="s">
        <v>137</v>
      </c>
      <c r="D15371" s="1" t="str">
        <f t="shared" si="422"/>
        <v>PRG-1043974</v>
      </c>
      <c r="E15371" t="s">
        <v>390</v>
      </c>
      <c r="F15371" t="s">
        <v>4</v>
      </c>
      <c r="G15371" t="str">
        <f>""</f>
        <v/>
      </c>
    </row>
    <row r="15372" spans="1:7" x14ac:dyDescent="0.25">
      <c r="A15372" t="s">
        <v>8</v>
      </c>
      <c r="B15372" s="1" t="str">
        <f>"000034081 - RICHS SWEET DOUGH-SODEXO"</f>
        <v>000034081 - RICHS SWEET DOUGH-SODEXO</v>
      </c>
      <c r="C15372" t="s">
        <v>137</v>
      </c>
      <c r="D15372" s="1" t="str">
        <f t="shared" si="422"/>
        <v>PRG-1043974</v>
      </c>
      <c r="E15372" t="s">
        <v>390</v>
      </c>
      <c r="F15372" t="s">
        <v>4</v>
      </c>
      <c r="G15372" t="str">
        <f>""</f>
        <v/>
      </c>
    </row>
    <row r="15373" spans="1:7" x14ac:dyDescent="0.25">
      <c r="A15373" t="s">
        <v>8</v>
      </c>
      <c r="B15373" s="1" t="str">
        <f>"000034849 - RICHS SWEET DOUGH-SODEXO"</f>
        <v>000034849 - RICHS SWEET DOUGH-SODEXO</v>
      </c>
      <c r="C15373" t="s">
        <v>137</v>
      </c>
      <c r="D15373" s="1" t="str">
        <f t="shared" si="422"/>
        <v>PRG-1043974</v>
      </c>
      <c r="E15373" t="s">
        <v>390</v>
      </c>
      <c r="F15373" t="s">
        <v>4</v>
      </c>
      <c r="G15373" t="str">
        <f>""</f>
        <v/>
      </c>
    </row>
    <row r="15374" spans="1:7" x14ac:dyDescent="0.25">
      <c r="A15374" t="s">
        <v>8</v>
      </c>
      <c r="B15374" s="1" t="str">
        <f>"000035939 - RICHS SWEET DOUGH-SODEXO"</f>
        <v>000035939 - RICHS SWEET DOUGH-SODEXO</v>
      </c>
      <c r="C15374" t="s">
        <v>137</v>
      </c>
      <c r="D15374" s="1" t="str">
        <f t="shared" si="422"/>
        <v>PRG-1043974</v>
      </c>
      <c r="E15374" t="s">
        <v>390</v>
      </c>
      <c r="F15374" t="s">
        <v>4</v>
      </c>
      <c r="G15374" t="str">
        <f>""</f>
        <v/>
      </c>
    </row>
    <row r="15375" spans="1:7" x14ac:dyDescent="0.25">
      <c r="A15375" t="s">
        <v>8</v>
      </c>
      <c r="B15375" s="1" t="str">
        <f>"000036170 - RICHS SWEET DOUGH-SODEXO"</f>
        <v>000036170 - RICHS SWEET DOUGH-SODEXO</v>
      </c>
      <c r="C15375" t="s">
        <v>137</v>
      </c>
      <c r="D15375" s="1" t="str">
        <f t="shared" si="422"/>
        <v>PRG-1043974</v>
      </c>
      <c r="E15375" t="s">
        <v>390</v>
      </c>
      <c r="F15375" t="s">
        <v>4</v>
      </c>
      <c r="G15375" t="str">
        <f>""</f>
        <v/>
      </c>
    </row>
    <row r="15376" spans="1:7" x14ac:dyDescent="0.25">
      <c r="A15376" t="s">
        <v>8</v>
      </c>
      <c r="B15376" s="1" t="str">
        <f>"000037474 - RICHS SWEET DOUGH-SODEXO"</f>
        <v>000037474 - RICHS SWEET DOUGH-SODEXO</v>
      </c>
      <c r="C15376" t="s">
        <v>137</v>
      </c>
      <c r="D15376" s="1" t="str">
        <f t="shared" si="422"/>
        <v>PRG-1043974</v>
      </c>
      <c r="E15376" t="s">
        <v>390</v>
      </c>
      <c r="F15376" t="s">
        <v>4</v>
      </c>
      <c r="G15376" t="str">
        <f>""</f>
        <v/>
      </c>
    </row>
    <row r="15377" spans="1:7" x14ac:dyDescent="0.25">
      <c r="A15377" t="s">
        <v>8</v>
      </c>
      <c r="B15377" s="1" t="str">
        <f>"000037634 - RICHS SWEET DOUGH-SODEXO"</f>
        <v>000037634 - RICHS SWEET DOUGH-SODEXO</v>
      </c>
      <c r="C15377" t="s">
        <v>137</v>
      </c>
      <c r="D15377" s="1" t="str">
        <f t="shared" si="422"/>
        <v>PRG-1043974</v>
      </c>
      <c r="E15377" t="s">
        <v>390</v>
      </c>
      <c r="F15377" t="s">
        <v>4</v>
      </c>
      <c r="G15377" t="str">
        <f>""</f>
        <v/>
      </c>
    </row>
    <row r="15378" spans="1:7" x14ac:dyDescent="0.25">
      <c r="A15378" t="s">
        <v>8</v>
      </c>
      <c r="B15378" s="1" t="str">
        <f>"000037710 - RICHS SWEET DOUGH-SODEXO"</f>
        <v>000037710 - RICHS SWEET DOUGH-SODEXO</v>
      </c>
      <c r="C15378" t="s">
        <v>137</v>
      </c>
      <c r="D15378" s="1" t="str">
        <f t="shared" si="422"/>
        <v>PRG-1043974</v>
      </c>
      <c r="E15378" t="s">
        <v>390</v>
      </c>
      <c r="F15378" t="s">
        <v>4</v>
      </c>
      <c r="G15378" t="str">
        <f>""</f>
        <v/>
      </c>
    </row>
    <row r="15379" spans="1:7" x14ac:dyDescent="0.25">
      <c r="A15379" t="s">
        <v>8</v>
      </c>
      <c r="B15379" s="1" t="str">
        <f>"000038222 - RICHS SWEET DOUGH-SODEXO"</f>
        <v>000038222 - RICHS SWEET DOUGH-SODEXO</v>
      </c>
      <c r="C15379" t="s">
        <v>137</v>
      </c>
      <c r="D15379" s="1" t="str">
        <f t="shared" si="422"/>
        <v>PRG-1043974</v>
      </c>
      <c r="E15379" t="s">
        <v>390</v>
      </c>
      <c r="F15379" t="s">
        <v>4</v>
      </c>
      <c r="G15379" t="str">
        <f>""</f>
        <v/>
      </c>
    </row>
    <row r="15380" spans="1:7" x14ac:dyDescent="0.25">
      <c r="A15380" t="s">
        <v>8</v>
      </c>
      <c r="B15380" s="1" t="str">
        <f>"000039667 - RICHS SWEET DOUGH-SODEXO"</f>
        <v>000039667 - RICHS SWEET DOUGH-SODEXO</v>
      </c>
      <c r="C15380" t="s">
        <v>137</v>
      </c>
      <c r="D15380" s="1" t="str">
        <f t="shared" si="422"/>
        <v>PRG-1043974</v>
      </c>
      <c r="E15380" t="s">
        <v>390</v>
      </c>
      <c r="F15380" t="s">
        <v>4</v>
      </c>
      <c r="G15380" t="str">
        <f>""</f>
        <v/>
      </c>
    </row>
    <row r="15381" spans="1:7" x14ac:dyDescent="0.25">
      <c r="A15381" t="s">
        <v>8</v>
      </c>
      <c r="B15381" s="1" t="str">
        <f>"000040612 - RICHS SWEET DOUGH-SODEXO"</f>
        <v>000040612 - RICHS SWEET DOUGH-SODEXO</v>
      </c>
      <c r="C15381" t="s">
        <v>137</v>
      </c>
      <c r="D15381" s="1" t="str">
        <f t="shared" si="422"/>
        <v>PRG-1043974</v>
      </c>
      <c r="E15381" t="s">
        <v>390</v>
      </c>
      <c r="F15381" t="s">
        <v>4</v>
      </c>
      <c r="G15381" t="str">
        <f>""</f>
        <v/>
      </c>
    </row>
    <row r="15382" spans="1:7" x14ac:dyDescent="0.25">
      <c r="A15382" t="s">
        <v>8</v>
      </c>
      <c r="B15382" s="1" t="str">
        <f>"000040697 - RICHS SWEET DOUGH-SODEXO"</f>
        <v>000040697 - RICHS SWEET DOUGH-SODEXO</v>
      </c>
      <c r="C15382" t="s">
        <v>137</v>
      </c>
      <c r="D15382" s="1" t="str">
        <f t="shared" si="422"/>
        <v>PRG-1043974</v>
      </c>
      <c r="E15382" t="s">
        <v>390</v>
      </c>
      <c r="F15382" t="s">
        <v>4</v>
      </c>
      <c r="G15382" t="str">
        <f>""</f>
        <v/>
      </c>
    </row>
    <row r="15383" spans="1:7" x14ac:dyDescent="0.25">
      <c r="A15383" t="s">
        <v>8</v>
      </c>
      <c r="B15383" s="1" t="str">
        <f>"000040978 - RICHS SWEET DOUGH-SODEXO"</f>
        <v>000040978 - RICHS SWEET DOUGH-SODEXO</v>
      </c>
      <c r="C15383" t="s">
        <v>137</v>
      </c>
      <c r="D15383" s="1" t="str">
        <f t="shared" si="422"/>
        <v>PRG-1043974</v>
      </c>
      <c r="E15383" t="s">
        <v>390</v>
      </c>
      <c r="F15383" t="s">
        <v>4</v>
      </c>
      <c r="G15383" t="str">
        <f>""</f>
        <v/>
      </c>
    </row>
    <row r="15384" spans="1:7" x14ac:dyDescent="0.25">
      <c r="A15384" t="s">
        <v>8</v>
      </c>
      <c r="B15384" s="1" t="str">
        <f>"000041420 - RICHS SWEET DOUGH-SODEXO"</f>
        <v>000041420 - RICHS SWEET DOUGH-SODEXO</v>
      </c>
      <c r="C15384" t="s">
        <v>137</v>
      </c>
      <c r="D15384" s="1" t="str">
        <f t="shared" si="422"/>
        <v>PRG-1043974</v>
      </c>
      <c r="E15384" t="s">
        <v>390</v>
      </c>
      <c r="F15384" t="s">
        <v>4</v>
      </c>
      <c r="G15384" t="str">
        <f>""</f>
        <v/>
      </c>
    </row>
    <row r="15385" spans="1:7" x14ac:dyDescent="0.25">
      <c r="A15385" t="s">
        <v>8</v>
      </c>
      <c r="B15385" s="1" t="str">
        <f>"000043068 - RICHS SWEET DOUGH-SODEXO"</f>
        <v>000043068 - RICHS SWEET DOUGH-SODEXO</v>
      </c>
      <c r="C15385" t="s">
        <v>137</v>
      </c>
      <c r="D15385" s="1" t="str">
        <f t="shared" si="422"/>
        <v>PRG-1043974</v>
      </c>
      <c r="E15385" t="s">
        <v>390</v>
      </c>
      <c r="F15385" t="s">
        <v>4</v>
      </c>
      <c r="G15385" t="str">
        <f>""</f>
        <v/>
      </c>
    </row>
    <row r="15386" spans="1:7" x14ac:dyDescent="0.25">
      <c r="A15386" t="s">
        <v>8</v>
      </c>
      <c r="B15386" s="1" t="str">
        <f>"000043071 - RICHS SWEET DOUGH-SODEXO"</f>
        <v>000043071 - RICHS SWEET DOUGH-SODEXO</v>
      </c>
      <c r="C15386" t="s">
        <v>137</v>
      </c>
      <c r="D15386" s="1" t="str">
        <f t="shared" si="422"/>
        <v>PRG-1043974</v>
      </c>
      <c r="E15386" t="s">
        <v>390</v>
      </c>
      <c r="F15386" t="s">
        <v>4</v>
      </c>
      <c r="G15386" t="str">
        <f>""</f>
        <v/>
      </c>
    </row>
    <row r="15387" spans="1:7" x14ac:dyDescent="0.25">
      <c r="A15387" t="s">
        <v>8</v>
      </c>
      <c r="B15387" s="1" t="str">
        <f>"000043552 - RICHS SWEET DOUGH-SODEXO"</f>
        <v>000043552 - RICHS SWEET DOUGH-SODEXO</v>
      </c>
      <c r="C15387" t="s">
        <v>137</v>
      </c>
      <c r="D15387" s="1" t="str">
        <f t="shared" si="422"/>
        <v>PRG-1043974</v>
      </c>
      <c r="E15387" t="s">
        <v>390</v>
      </c>
      <c r="F15387" t="s">
        <v>4</v>
      </c>
      <c r="G15387" t="str">
        <f>""</f>
        <v/>
      </c>
    </row>
    <row r="15388" spans="1:7" x14ac:dyDescent="0.25">
      <c r="A15388" t="s">
        <v>8</v>
      </c>
      <c r="B15388" s="1" t="str">
        <f>"000043928 - RICHS SWEET DOUGH-SODEXO"</f>
        <v>000043928 - RICHS SWEET DOUGH-SODEXO</v>
      </c>
      <c r="C15388" t="s">
        <v>137</v>
      </c>
      <c r="D15388" s="1" t="str">
        <f t="shared" si="422"/>
        <v>PRG-1043974</v>
      </c>
      <c r="E15388" t="s">
        <v>390</v>
      </c>
      <c r="F15388" t="s">
        <v>4</v>
      </c>
      <c r="G15388" t="str">
        <f>""</f>
        <v/>
      </c>
    </row>
    <row r="15389" spans="1:7" x14ac:dyDescent="0.25">
      <c r="A15389" t="s">
        <v>8</v>
      </c>
      <c r="B15389" s="1" t="str">
        <f>"000044231 - RICHS SWEET DOUGH-SODEXO"</f>
        <v>000044231 - RICHS SWEET DOUGH-SODEXO</v>
      </c>
      <c r="C15389" t="s">
        <v>137</v>
      </c>
      <c r="D15389" s="1" t="str">
        <f t="shared" si="422"/>
        <v>PRG-1043974</v>
      </c>
      <c r="E15389" t="s">
        <v>390</v>
      </c>
      <c r="F15389" t="s">
        <v>4</v>
      </c>
      <c r="G15389" t="str">
        <f>""</f>
        <v/>
      </c>
    </row>
    <row r="15390" spans="1:7" x14ac:dyDescent="0.25">
      <c r="A15390" t="s">
        <v>8</v>
      </c>
      <c r="B15390" s="1" t="str">
        <f>"000046064 - RICHS SWEET DOUGH-SODEXO"</f>
        <v>000046064 - RICHS SWEET DOUGH-SODEXO</v>
      </c>
      <c r="C15390" t="s">
        <v>137</v>
      </c>
      <c r="D15390" s="1" t="str">
        <f t="shared" si="422"/>
        <v>PRG-1043974</v>
      </c>
      <c r="E15390" t="s">
        <v>390</v>
      </c>
      <c r="F15390" t="s">
        <v>4</v>
      </c>
      <c r="G15390" t="str">
        <f>""</f>
        <v/>
      </c>
    </row>
    <row r="15391" spans="1:7" x14ac:dyDescent="0.25">
      <c r="A15391" t="s">
        <v>8</v>
      </c>
      <c r="B15391" s="1" t="str">
        <f>"000046598 - RICHS SWEET DOUGH-SODEXO"</f>
        <v>000046598 - RICHS SWEET DOUGH-SODEXO</v>
      </c>
      <c r="C15391" t="s">
        <v>137</v>
      </c>
      <c r="D15391" s="1" t="str">
        <f t="shared" si="422"/>
        <v>PRG-1043974</v>
      </c>
      <c r="E15391" t="s">
        <v>390</v>
      </c>
      <c r="F15391" t="s">
        <v>4</v>
      </c>
      <c r="G15391" t="str">
        <f>""</f>
        <v/>
      </c>
    </row>
    <row r="15392" spans="1:7" x14ac:dyDescent="0.25">
      <c r="A15392" t="s">
        <v>8</v>
      </c>
      <c r="B15392" s="1" t="str">
        <f>"000046694 - RICHS SWEET DOUGH-SODEXO"</f>
        <v>000046694 - RICHS SWEET DOUGH-SODEXO</v>
      </c>
      <c r="C15392" t="s">
        <v>137</v>
      </c>
      <c r="D15392" s="1" t="str">
        <f t="shared" si="422"/>
        <v>PRG-1043974</v>
      </c>
      <c r="E15392" t="s">
        <v>390</v>
      </c>
      <c r="F15392" t="s">
        <v>4</v>
      </c>
      <c r="G15392" t="str">
        <f>""</f>
        <v/>
      </c>
    </row>
    <row r="15393" spans="1:7" x14ac:dyDescent="0.25">
      <c r="A15393" t="s">
        <v>8</v>
      </c>
      <c r="B15393" s="1" t="str">
        <f>"000046746 - RICHS SWEET DOUGH-SODEXO"</f>
        <v>000046746 - RICHS SWEET DOUGH-SODEXO</v>
      </c>
      <c r="C15393" t="s">
        <v>137</v>
      </c>
      <c r="D15393" s="1" t="str">
        <f t="shared" si="422"/>
        <v>PRG-1043974</v>
      </c>
      <c r="E15393" t="s">
        <v>390</v>
      </c>
      <c r="F15393" t="s">
        <v>4</v>
      </c>
      <c r="G15393" t="str">
        <f>""</f>
        <v/>
      </c>
    </row>
    <row r="15394" spans="1:7" x14ac:dyDescent="0.25">
      <c r="A15394" t="s">
        <v>8</v>
      </c>
      <c r="B15394" s="1" t="str">
        <f>"000048605 - RICHS SWEET DOUGH-SODEXO"</f>
        <v>000048605 - RICHS SWEET DOUGH-SODEXO</v>
      </c>
      <c r="C15394" t="s">
        <v>137</v>
      </c>
      <c r="D15394" s="1" t="str">
        <f t="shared" si="422"/>
        <v>PRG-1043974</v>
      </c>
      <c r="E15394" t="s">
        <v>390</v>
      </c>
      <c r="F15394" t="s">
        <v>4</v>
      </c>
      <c r="G15394" t="str">
        <f>""</f>
        <v/>
      </c>
    </row>
    <row r="15395" spans="1:7" x14ac:dyDescent="0.25">
      <c r="A15395" t="s">
        <v>8</v>
      </c>
      <c r="B15395" s="1" t="str">
        <f>"000049855 - RICHS SWEET DOUGH-SODEXO"</f>
        <v>000049855 - RICHS SWEET DOUGH-SODEXO</v>
      </c>
      <c r="C15395" t="s">
        <v>137</v>
      </c>
      <c r="D15395" s="1" t="str">
        <f t="shared" si="422"/>
        <v>PRG-1043974</v>
      </c>
      <c r="E15395" t="s">
        <v>390</v>
      </c>
      <c r="F15395" t="s">
        <v>4</v>
      </c>
      <c r="G15395" t="str">
        <f>""</f>
        <v/>
      </c>
    </row>
    <row r="15396" spans="1:7" x14ac:dyDescent="0.25">
      <c r="A15396" t="s">
        <v>8</v>
      </c>
      <c r="B15396" s="1" t="str">
        <f>"000049882 - RICHS SWEET DOUGH-SODEXO"</f>
        <v>000049882 - RICHS SWEET DOUGH-SODEXO</v>
      </c>
      <c r="C15396" t="s">
        <v>137</v>
      </c>
      <c r="D15396" s="1" t="str">
        <f t="shared" si="422"/>
        <v>PRG-1043974</v>
      </c>
      <c r="E15396" t="s">
        <v>390</v>
      </c>
      <c r="F15396" t="s">
        <v>4</v>
      </c>
      <c r="G15396" t="str">
        <f>""</f>
        <v/>
      </c>
    </row>
    <row r="15397" spans="1:7" x14ac:dyDescent="0.25">
      <c r="A15397" t="s">
        <v>8</v>
      </c>
      <c r="B15397" s="1" t="str">
        <f>"000051662 - RICHS SWEET DOUGH-SODEXO"</f>
        <v>000051662 - RICHS SWEET DOUGH-SODEXO</v>
      </c>
      <c r="C15397" t="s">
        <v>137</v>
      </c>
      <c r="D15397" s="1" t="str">
        <f t="shared" si="422"/>
        <v>PRG-1043974</v>
      </c>
      <c r="E15397" t="s">
        <v>390</v>
      </c>
      <c r="F15397" t="s">
        <v>4</v>
      </c>
      <c r="G15397" t="str">
        <f>""</f>
        <v/>
      </c>
    </row>
    <row r="15398" spans="1:7" x14ac:dyDescent="0.25">
      <c r="A15398" t="s">
        <v>8</v>
      </c>
      <c r="B15398" s="1" t="str">
        <f>"000052382 - RICHS SWEET DOUGH-SODEXO"</f>
        <v>000052382 - RICHS SWEET DOUGH-SODEXO</v>
      </c>
      <c r="C15398" t="s">
        <v>137</v>
      </c>
      <c r="D15398" s="1" t="str">
        <f t="shared" si="422"/>
        <v>PRG-1043974</v>
      </c>
      <c r="E15398" t="s">
        <v>390</v>
      </c>
      <c r="F15398" t="s">
        <v>4</v>
      </c>
      <c r="G15398" t="str">
        <f>""</f>
        <v/>
      </c>
    </row>
    <row r="15399" spans="1:7" x14ac:dyDescent="0.25">
      <c r="A15399" t="s">
        <v>8</v>
      </c>
      <c r="B15399" s="1" t="str">
        <f>"000052829 - RICHS SWEET DOUGH-SODEXO"</f>
        <v>000052829 - RICHS SWEET DOUGH-SODEXO</v>
      </c>
      <c r="C15399" t="s">
        <v>137</v>
      </c>
      <c r="D15399" s="1" t="str">
        <f t="shared" si="422"/>
        <v>PRG-1043974</v>
      </c>
      <c r="E15399" t="s">
        <v>390</v>
      </c>
      <c r="F15399" t="s">
        <v>4</v>
      </c>
      <c r="G15399" t="str">
        <f>""</f>
        <v/>
      </c>
    </row>
    <row r="15400" spans="1:7" x14ac:dyDescent="0.25">
      <c r="A15400" t="s">
        <v>8</v>
      </c>
      <c r="B15400" s="1" t="str">
        <f>"000053206 - RICHS SWEET DOUGH-SODEXO"</f>
        <v>000053206 - RICHS SWEET DOUGH-SODEXO</v>
      </c>
      <c r="C15400" t="s">
        <v>137</v>
      </c>
      <c r="D15400" s="1" t="str">
        <f t="shared" si="422"/>
        <v>PRG-1043974</v>
      </c>
      <c r="E15400" t="s">
        <v>390</v>
      </c>
      <c r="F15400" t="s">
        <v>4</v>
      </c>
      <c r="G15400" t="str">
        <f>""</f>
        <v/>
      </c>
    </row>
    <row r="15401" spans="1:7" x14ac:dyDescent="0.25">
      <c r="A15401" t="s">
        <v>8</v>
      </c>
      <c r="B15401" s="1" t="str">
        <f>"000056464 - RICHS SWEET DOUGH-SODEXO"</f>
        <v>000056464 - RICHS SWEET DOUGH-SODEXO</v>
      </c>
      <c r="C15401" t="s">
        <v>137</v>
      </c>
      <c r="D15401" s="1" t="str">
        <f t="shared" si="422"/>
        <v>PRG-1043974</v>
      </c>
      <c r="E15401" t="s">
        <v>390</v>
      </c>
      <c r="F15401" t="s">
        <v>4</v>
      </c>
      <c r="G15401" t="str">
        <f>""</f>
        <v/>
      </c>
    </row>
    <row r="15402" spans="1:7" x14ac:dyDescent="0.25">
      <c r="A15402" t="s">
        <v>8</v>
      </c>
      <c r="B15402" s="1" t="str">
        <f>"000056953 - RICHS SWEET DOUGH-SODEXO"</f>
        <v>000056953 - RICHS SWEET DOUGH-SODEXO</v>
      </c>
      <c r="C15402" t="s">
        <v>137</v>
      </c>
      <c r="D15402" s="1" t="str">
        <f t="shared" si="422"/>
        <v>PRG-1043974</v>
      </c>
      <c r="E15402" t="s">
        <v>390</v>
      </c>
      <c r="F15402" t="s">
        <v>4</v>
      </c>
      <c r="G15402" t="str">
        <f>""</f>
        <v/>
      </c>
    </row>
    <row r="15403" spans="1:7" x14ac:dyDescent="0.25">
      <c r="A15403" t="s">
        <v>8</v>
      </c>
      <c r="B15403" s="1" t="str">
        <f>"000061019 - RICHS SWEET DOUGH-SODEXO"</f>
        <v>000061019 - RICHS SWEET DOUGH-SODEXO</v>
      </c>
      <c r="C15403" t="s">
        <v>137</v>
      </c>
      <c r="D15403" s="1" t="str">
        <f t="shared" si="422"/>
        <v>PRG-1043974</v>
      </c>
      <c r="E15403" t="s">
        <v>390</v>
      </c>
      <c r="F15403" t="s">
        <v>4</v>
      </c>
      <c r="G15403" t="str">
        <f>""</f>
        <v/>
      </c>
    </row>
    <row r="15404" spans="1:7" x14ac:dyDescent="0.25">
      <c r="A15404" t="s">
        <v>8</v>
      </c>
      <c r="B15404" s="1" t="str">
        <f>"000063815 - RICHS SWEET DOUGH-SODEXO"</f>
        <v>000063815 - RICHS SWEET DOUGH-SODEXO</v>
      </c>
      <c r="C15404" t="s">
        <v>137</v>
      </c>
      <c r="D15404" s="1" t="str">
        <f t="shared" si="422"/>
        <v>PRG-1043974</v>
      </c>
      <c r="E15404" t="s">
        <v>390</v>
      </c>
      <c r="F15404" t="s">
        <v>4</v>
      </c>
      <c r="G15404" t="str">
        <f>""</f>
        <v/>
      </c>
    </row>
    <row r="15405" spans="1:7" x14ac:dyDescent="0.25">
      <c r="A15405" t="s">
        <v>8</v>
      </c>
      <c r="B15405" s="1" t="str">
        <f>"000071509 - RICHS SWEET DOUGH-SODEXO"</f>
        <v>000071509 - RICHS SWEET DOUGH-SODEXO</v>
      </c>
      <c r="C15405" t="s">
        <v>137</v>
      </c>
      <c r="D15405" s="1" t="str">
        <f t="shared" si="422"/>
        <v>PRG-1043974</v>
      </c>
      <c r="E15405" t="s">
        <v>390</v>
      </c>
      <c r="F15405" t="s">
        <v>4</v>
      </c>
      <c r="G15405" t="str">
        <f>""</f>
        <v/>
      </c>
    </row>
    <row r="15406" spans="1:7" x14ac:dyDescent="0.25">
      <c r="A15406" t="s">
        <v>8</v>
      </c>
      <c r="B15406" s="1" t="str">
        <f>"000073625 - RICHS SWEET DOUGH-SODEXO"</f>
        <v>000073625 - RICHS SWEET DOUGH-SODEXO</v>
      </c>
      <c r="C15406" t="s">
        <v>137</v>
      </c>
      <c r="D15406" s="1" t="str">
        <f t="shared" si="422"/>
        <v>PRG-1043974</v>
      </c>
      <c r="E15406" t="s">
        <v>390</v>
      </c>
      <c r="F15406" t="s">
        <v>4</v>
      </c>
      <c r="G15406" t="str">
        <f>""</f>
        <v/>
      </c>
    </row>
    <row r="15407" spans="1:7" x14ac:dyDescent="0.25">
      <c r="A15407" t="s">
        <v>8</v>
      </c>
      <c r="B15407" s="1" t="str">
        <f>"000076329 - RICHS SWEET DOUGH-SODEXO"</f>
        <v>000076329 - RICHS SWEET DOUGH-SODEXO</v>
      </c>
      <c r="C15407" t="s">
        <v>137</v>
      </c>
      <c r="D15407" s="1" t="str">
        <f t="shared" si="422"/>
        <v>PRG-1043974</v>
      </c>
      <c r="E15407" t="s">
        <v>390</v>
      </c>
      <c r="F15407" t="s">
        <v>4</v>
      </c>
      <c r="G15407" t="str">
        <f>""</f>
        <v/>
      </c>
    </row>
    <row r="15408" spans="1:7" x14ac:dyDescent="0.25">
      <c r="A15408" t="s">
        <v>8</v>
      </c>
      <c r="B15408" s="1" t="str">
        <f>"000079324 - RICHS SWEET DOUGH-SODEXO"</f>
        <v>000079324 - RICHS SWEET DOUGH-SODEXO</v>
      </c>
      <c r="C15408" t="s">
        <v>137</v>
      </c>
      <c r="D15408" s="1" t="str">
        <f t="shared" si="422"/>
        <v>PRG-1043974</v>
      </c>
      <c r="E15408" t="s">
        <v>390</v>
      </c>
      <c r="F15408" t="s">
        <v>4</v>
      </c>
      <c r="G15408" t="str">
        <f>""</f>
        <v/>
      </c>
    </row>
    <row r="15409" spans="1:7" x14ac:dyDescent="0.25">
      <c r="A15409" t="s">
        <v>8</v>
      </c>
      <c r="B15409" s="1" t="str">
        <f>"000084467 - RICHS SWEET DOUGH-SODEXO"</f>
        <v>000084467 - RICHS SWEET DOUGH-SODEXO</v>
      </c>
      <c r="C15409" t="s">
        <v>137</v>
      </c>
      <c r="D15409" s="1" t="str">
        <f t="shared" si="422"/>
        <v>PRG-1043974</v>
      </c>
      <c r="E15409" t="s">
        <v>390</v>
      </c>
      <c r="F15409" t="s">
        <v>4</v>
      </c>
      <c r="G15409" t="str">
        <f>""</f>
        <v/>
      </c>
    </row>
    <row r="15410" spans="1:7" x14ac:dyDescent="0.25">
      <c r="A15410" t="s">
        <v>8</v>
      </c>
      <c r="B15410" s="1" t="str">
        <f>"000090326 - RICHS SWEET DOUGH-SODEXO"</f>
        <v>000090326 - RICHS SWEET DOUGH-SODEXO</v>
      </c>
      <c r="C15410" t="s">
        <v>137</v>
      </c>
      <c r="D15410" s="1" t="str">
        <f t="shared" si="422"/>
        <v>PRG-1043974</v>
      </c>
      <c r="E15410" t="s">
        <v>390</v>
      </c>
      <c r="F15410" t="s">
        <v>4</v>
      </c>
      <c r="G15410" t="str">
        <f>""</f>
        <v/>
      </c>
    </row>
    <row r="15411" spans="1:7" x14ac:dyDescent="0.25">
      <c r="A15411" t="s">
        <v>8</v>
      </c>
      <c r="B15411" s="1" t="str">
        <f>"000095311 - RICHS SWEET DOUGH-SODEXO"</f>
        <v>000095311 - RICHS SWEET DOUGH-SODEXO</v>
      </c>
      <c r="C15411" t="s">
        <v>137</v>
      </c>
      <c r="D15411" s="1" t="str">
        <f t="shared" si="422"/>
        <v>PRG-1043974</v>
      </c>
      <c r="E15411" t="s">
        <v>390</v>
      </c>
      <c r="F15411" t="s">
        <v>4</v>
      </c>
      <c r="G15411" t="str">
        <f>""</f>
        <v/>
      </c>
    </row>
    <row r="15412" spans="1:7" x14ac:dyDescent="0.25">
      <c r="A15412" t="s">
        <v>8</v>
      </c>
      <c r="B15412" s="1" t="str">
        <f>"000101135 - RICHS SWEET DOUGH-SODEXO"</f>
        <v>000101135 - RICHS SWEET DOUGH-SODEXO</v>
      </c>
      <c r="C15412" t="s">
        <v>137</v>
      </c>
      <c r="D15412" s="1" t="str">
        <f t="shared" si="422"/>
        <v>PRG-1043974</v>
      </c>
      <c r="E15412" t="s">
        <v>390</v>
      </c>
      <c r="F15412" t="s">
        <v>4</v>
      </c>
      <c r="G15412" t="str">
        <f>""</f>
        <v/>
      </c>
    </row>
    <row r="15413" spans="1:7" x14ac:dyDescent="0.25">
      <c r="A15413" t="s">
        <v>8</v>
      </c>
      <c r="B15413" s="1" t="str">
        <f>"000145481 - RICHS SWEET DOUGH-SODEXO"</f>
        <v>000145481 - RICHS SWEET DOUGH-SODEXO</v>
      </c>
      <c r="C15413" t="s">
        <v>137</v>
      </c>
      <c r="D15413" s="1" t="str">
        <f t="shared" si="422"/>
        <v>PRG-1043974</v>
      </c>
      <c r="E15413" t="s">
        <v>390</v>
      </c>
      <c r="F15413" t="s">
        <v>4</v>
      </c>
      <c r="G15413" t="str">
        <f>""</f>
        <v/>
      </c>
    </row>
    <row r="15414" spans="1:7" x14ac:dyDescent="0.25">
      <c r="A15414" t="s">
        <v>8</v>
      </c>
      <c r="B15414" s="1" t="str">
        <f>"000149740 - RICHS SWEET DOUGH-SODEXO"</f>
        <v>000149740 - RICHS SWEET DOUGH-SODEXO</v>
      </c>
      <c r="C15414" t="s">
        <v>137</v>
      </c>
      <c r="D15414" s="1" t="str">
        <f t="shared" si="422"/>
        <v>PRG-1043974</v>
      </c>
      <c r="E15414" t="s">
        <v>390</v>
      </c>
      <c r="F15414" t="s">
        <v>4</v>
      </c>
      <c r="G15414" t="str">
        <f>""</f>
        <v/>
      </c>
    </row>
    <row r="15415" spans="1:7" x14ac:dyDescent="0.25">
      <c r="A15415" t="s">
        <v>8</v>
      </c>
      <c r="B15415" s="1" t="str">
        <f>"000150406 - RICHS SWEET DOUGH-SODEXO"</f>
        <v>000150406 - RICHS SWEET DOUGH-SODEXO</v>
      </c>
      <c r="C15415" t="s">
        <v>137</v>
      </c>
      <c r="D15415" s="1" t="str">
        <f t="shared" si="422"/>
        <v>PRG-1043974</v>
      </c>
      <c r="E15415" t="s">
        <v>390</v>
      </c>
      <c r="F15415" t="s">
        <v>4</v>
      </c>
      <c r="G15415" t="str">
        <f>""</f>
        <v/>
      </c>
    </row>
    <row r="15416" spans="1:7" x14ac:dyDescent="0.25">
      <c r="A15416" t="s">
        <v>8</v>
      </c>
      <c r="B15416" s="1" t="str">
        <f>"000152585 - RICHS SWEET DOUGH-SODEXO"</f>
        <v>000152585 - RICHS SWEET DOUGH-SODEXO</v>
      </c>
      <c r="C15416" t="s">
        <v>137</v>
      </c>
      <c r="D15416" s="1" t="str">
        <f t="shared" si="422"/>
        <v>PRG-1043974</v>
      </c>
      <c r="E15416" t="s">
        <v>390</v>
      </c>
      <c r="F15416" t="s">
        <v>4</v>
      </c>
      <c r="G15416" t="str">
        <f>""</f>
        <v/>
      </c>
    </row>
    <row r="15417" spans="1:7" x14ac:dyDescent="0.25">
      <c r="A15417" t="s">
        <v>8</v>
      </c>
      <c r="B15417" s="1" t="str">
        <f>"000153629 - RICHS SWEET DOUGH-SODEXO"</f>
        <v>000153629 - RICHS SWEET DOUGH-SODEXO</v>
      </c>
      <c r="C15417" t="s">
        <v>137</v>
      </c>
      <c r="D15417" s="1" t="str">
        <f t="shared" ref="D15417:D15480" si="423">"PRG-1043974"</f>
        <v>PRG-1043974</v>
      </c>
      <c r="E15417" t="s">
        <v>390</v>
      </c>
      <c r="F15417" t="s">
        <v>4</v>
      </c>
      <c r="G15417" t="str">
        <f>""</f>
        <v/>
      </c>
    </row>
    <row r="15418" spans="1:7" x14ac:dyDescent="0.25">
      <c r="A15418" t="s">
        <v>8</v>
      </c>
      <c r="B15418" s="1" t="str">
        <f>"000153763 - RICHS SWEET DOUGH-SODEXO"</f>
        <v>000153763 - RICHS SWEET DOUGH-SODEXO</v>
      </c>
      <c r="C15418" t="s">
        <v>137</v>
      </c>
      <c r="D15418" s="1" t="str">
        <f t="shared" si="423"/>
        <v>PRG-1043974</v>
      </c>
      <c r="E15418" t="s">
        <v>390</v>
      </c>
      <c r="F15418" t="s">
        <v>4</v>
      </c>
      <c r="G15418" t="str">
        <f>""</f>
        <v/>
      </c>
    </row>
    <row r="15419" spans="1:7" x14ac:dyDescent="0.25">
      <c r="A15419" t="s">
        <v>8</v>
      </c>
      <c r="B15419" s="1" t="str">
        <f>"000155103 - RICHS SWEET DOUGH-SODEXO"</f>
        <v>000155103 - RICHS SWEET DOUGH-SODEXO</v>
      </c>
      <c r="C15419" t="s">
        <v>137</v>
      </c>
      <c r="D15419" s="1" t="str">
        <f t="shared" si="423"/>
        <v>PRG-1043974</v>
      </c>
      <c r="E15419" t="s">
        <v>390</v>
      </c>
      <c r="F15419" t="s">
        <v>4</v>
      </c>
      <c r="G15419" t="str">
        <f>""</f>
        <v/>
      </c>
    </row>
    <row r="15420" spans="1:7" x14ac:dyDescent="0.25">
      <c r="A15420" t="s">
        <v>8</v>
      </c>
      <c r="B15420" s="1" t="str">
        <f>"000160721 - RICHS SWEET DOUGH-SODEXO"</f>
        <v>000160721 - RICHS SWEET DOUGH-SODEXO</v>
      </c>
      <c r="C15420" t="s">
        <v>137</v>
      </c>
      <c r="D15420" s="1" t="str">
        <f t="shared" si="423"/>
        <v>PRG-1043974</v>
      </c>
      <c r="E15420" t="s">
        <v>390</v>
      </c>
      <c r="F15420" t="s">
        <v>4</v>
      </c>
      <c r="G15420" t="str">
        <f>""</f>
        <v/>
      </c>
    </row>
    <row r="15421" spans="1:7" x14ac:dyDescent="0.25">
      <c r="A15421" t="s">
        <v>8</v>
      </c>
      <c r="B15421" s="1" t="str">
        <f>"000162213 - RICHS SWEET DOUGH-SODEXO"</f>
        <v>000162213 - RICHS SWEET DOUGH-SODEXO</v>
      </c>
      <c r="C15421" t="s">
        <v>137</v>
      </c>
      <c r="D15421" s="1" t="str">
        <f t="shared" si="423"/>
        <v>PRG-1043974</v>
      </c>
      <c r="E15421" t="s">
        <v>390</v>
      </c>
      <c r="F15421" t="s">
        <v>4</v>
      </c>
      <c r="G15421" t="str">
        <f>""</f>
        <v/>
      </c>
    </row>
    <row r="15422" spans="1:7" x14ac:dyDescent="0.25">
      <c r="A15422" t="s">
        <v>8</v>
      </c>
      <c r="B15422" s="1" t="str">
        <f>"000163074 - RICHS SWEET DOUGH-SODEXO"</f>
        <v>000163074 - RICHS SWEET DOUGH-SODEXO</v>
      </c>
      <c r="C15422" t="s">
        <v>137</v>
      </c>
      <c r="D15422" s="1" t="str">
        <f t="shared" si="423"/>
        <v>PRG-1043974</v>
      </c>
      <c r="E15422" t="s">
        <v>390</v>
      </c>
      <c r="F15422" t="s">
        <v>4</v>
      </c>
      <c r="G15422" t="str">
        <f>""</f>
        <v/>
      </c>
    </row>
    <row r="15423" spans="1:7" x14ac:dyDescent="0.25">
      <c r="A15423" t="s">
        <v>8</v>
      </c>
      <c r="B15423" s="1" t="str">
        <f>"000166941 - RICHS SWEET DOUGH-SODEXO"</f>
        <v>000166941 - RICHS SWEET DOUGH-SODEXO</v>
      </c>
      <c r="C15423" t="s">
        <v>137</v>
      </c>
      <c r="D15423" s="1" t="str">
        <f t="shared" si="423"/>
        <v>PRG-1043974</v>
      </c>
      <c r="E15423" t="s">
        <v>390</v>
      </c>
      <c r="F15423" t="s">
        <v>4</v>
      </c>
      <c r="G15423" t="str">
        <f>""</f>
        <v/>
      </c>
    </row>
    <row r="15424" spans="1:7" x14ac:dyDescent="0.25">
      <c r="A15424" t="s">
        <v>8</v>
      </c>
      <c r="B15424" s="1" t="str">
        <f>"000170915 - RICHS SWEET DOUGH-SODEXO"</f>
        <v>000170915 - RICHS SWEET DOUGH-SODEXO</v>
      </c>
      <c r="C15424" t="s">
        <v>137</v>
      </c>
      <c r="D15424" s="1" t="str">
        <f t="shared" si="423"/>
        <v>PRG-1043974</v>
      </c>
      <c r="E15424" t="s">
        <v>390</v>
      </c>
      <c r="F15424" t="s">
        <v>4</v>
      </c>
      <c r="G15424" t="str">
        <f>""</f>
        <v/>
      </c>
    </row>
    <row r="15425" spans="1:7" x14ac:dyDescent="0.25">
      <c r="A15425" t="s">
        <v>8</v>
      </c>
      <c r="B15425" s="1" t="str">
        <f>"000172530 - RICHS SWEET DOUGH-SODEXO"</f>
        <v>000172530 - RICHS SWEET DOUGH-SODEXO</v>
      </c>
      <c r="C15425" t="s">
        <v>137</v>
      </c>
      <c r="D15425" s="1" t="str">
        <f t="shared" si="423"/>
        <v>PRG-1043974</v>
      </c>
      <c r="E15425" t="s">
        <v>390</v>
      </c>
      <c r="F15425" t="s">
        <v>4</v>
      </c>
      <c r="G15425" t="str">
        <f>""</f>
        <v/>
      </c>
    </row>
    <row r="15426" spans="1:7" x14ac:dyDescent="0.25">
      <c r="A15426" t="s">
        <v>8</v>
      </c>
      <c r="B15426" s="1" t="str">
        <f>"000173618 - RICHS SWEET DOUGH-SODEXO"</f>
        <v>000173618 - RICHS SWEET DOUGH-SODEXO</v>
      </c>
      <c r="C15426" t="s">
        <v>137</v>
      </c>
      <c r="D15426" s="1" t="str">
        <f t="shared" si="423"/>
        <v>PRG-1043974</v>
      </c>
      <c r="E15426" t="s">
        <v>390</v>
      </c>
      <c r="F15426" t="s">
        <v>4</v>
      </c>
      <c r="G15426" t="str">
        <f>""</f>
        <v/>
      </c>
    </row>
    <row r="15427" spans="1:7" x14ac:dyDescent="0.25">
      <c r="A15427" t="s">
        <v>8</v>
      </c>
      <c r="B15427" s="1" t="str">
        <f>"000176008 - RICHS SWEET DOUGH-SODEXO"</f>
        <v>000176008 - RICHS SWEET DOUGH-SODEXO</v>
      </c>
      <c r="C15427" t="s">
        <v>137</v>
      </c>
      <c r="D15427" s="1" t="str">
        <f t="shared" si="423"/>
        <v>PRG-1043974</v>
      </c>
      <c r="E15427" t="s">
        <v>390</v>
      </c>
      <c r="F15427" t="s">
        <v>4</v>
      </c>
      <c r="G15427" t="str">
        <f>""</f>
        <v/>
      </c>
    </row>
    <row r="15428" spans="1:7" x14ac:dyDescent="0.25">
      <c r="A15428" t="s">
        <v>8</v>
      </c>
      <c r="B15428" s="1" t="str">
        <f>"000177323 - RICHS SWEET DOUGH-SODEXO"</f>
        <v>000177323 - RICHS SWEET DOUGH-SODEXO</v>
      </c>
      <c r="C15428" t="s">
        <v>137</v>
      </c>
      <c r="D15428" s="1" t="str">
        <f t="shared" si="423"/>
        <v>PRG-1043974</v>
      </c>
      <c r="E15428" t="s">
        <v>390</v>
      </c>
      <c r="F15428" t="s">
        <v>4</v>
      </c>
      <c r="G15428" t="str">
        <f>""</f>
        <v/>
      </c>
    </row>
    <row r="15429" spans="1:7" x14ac:dyDescent="0.25">
      <c r="A15429" t="s">
        <v>8</v>
      </c>
      <c r="B15429" s="1" t="str">
        <f>"000179178 - RICHS SWEET DOUGH-SODEXO"</f>
        <v>000179178 - RICHS SWEET DOUGH-SODEXO</v>
      </c>
      <c r="C15429" t="s">
        <v>137</v>
      </c>
      <c r="D15429" s="1" t="str">
        <f t="shared" si="423"/>
        <v>PRG-1043974</v>
      </c>
      <c r="E15429" t="s">
        <v>390</v>
      </c>
      <c r="F15429" t="s">
        <v>4</v>
      </c>
      <c r="G15429" t="str">
        <f>""</f>
        <v/>
      </c>
    </row>
    <row r="15430" spans="1:7" x14ac:dyDescent="0.25">
      <c r="A15430" t="s">
        <v>8</v>
      </c>
      <c r="B15430" s="1" t="str">
        <f>"000180267 - RICHS SWEET DOUGH-SODEXO"</f>
        <v>000180267 - RICHS SWEET DOUGH-SODEXO</v>
      </c>
      <c r="C15430" t="s">
        <v>137</v>
      </c>
      <c r="D15430" s="1" t="str">
        <f t="shared" si="423"/>
        <v>PRG-1043974</v>
      </c>
      <c r="E15430" t="s">
        <v>390</v>
      </c>
      <c r="F15430" t="s">
        <v>4</v>
      </c>
      <c r="G15430" t="str">
        <f>""</f>
        <v/>
      </c>
    </row>
    <row r="15431" spans="1:7" x14ac:dyDescent="0.25">
      <c r="A15431" t="s">
        <v>8</v>
      </c>
      <c r="B15431" s="1" t="str">
        <f>"000180452 - RICHS SWEET DOUGH-SODEXO"</f>
        <v>000180452 - RICHS SWEET DOUGH-SODEXO</v>
      </c>
      <c r="C15431" t="s">
        <v>137</v>
      </c>
      <c r="D15431" s="1" t="str">
        <f t="shared" si="423"/>
        <v>PRG-1043974</v>
      </c>
      <c r="E15431" t="s">
        <v>390</v>
      </c>
      <c r="F15431" t="s">
        <v>4</v>
      </c>
      <c r="G15431" t="str">
        <f>""</f>
        <v/>
      </c>
    </row>
    <row r="15432" spans="1:7" x14ac:dyDescent="0.25">
      <c r="A15432" t="s">
        <v>8</v>
      </c>
      <c r="B15432" s="1" t="str">
        <f>"000183007 - RICHS SWEET DOUGH-SODEXO"</f>
        <v>000183007 - RICHS SWEET DOUGH-SODEXO</v>
      </c>
      <c r="C15432" t="s">
        <v>137</v>
      </c>
      <c r="D15432" s="1" t="str">
        <f t="shared" si="423"/>
        <v>PRG-1043974</v>
      </c>
      <c r="E15432" t="s">
        <v>390</v>
      </c>
      <c r="F15432" t="s">
        <v>4</v>
      </c>
      <c r="G15432" t="str">
        <f>""</f>
        <v/>
      </c>
    </row>
    <row r="15433" spans="1:7" x14ac:dyDescent="0.25">
      <c r="A15433" t="s">
        <v>8</v>
      </c>
      <c r="B15433" s="1" t="str">
        <f>"000183710 - RICHS SWEET DOUGH-SODEXO"</f>
        <v>000183710 - RICHS SWEET DOUGH-SODEXO</v>
      </c>
      <c r="C15433" t="s">
        <v>137</v>
      </c>
      <c r="D15433" s="1" t="str">
        <f t="shared" si="423"/>
        <v>PRG-1043974</v>
      </c>
      <c r="E15433" t="s">
        <v>390</v>
      </c>
      <c r="F15433" t="s">
        <v>4</v>
      </c>
      <c r="G15433" t="str">
        <f>""</f>
        <v/>
      </c>
    </row>
    <row r="15434" spans="1:7" x14ac:dyDescent="0.25">
      <c r="A15434" t="s">
        <v>8</v>
      </c>
      <c r="B15434" s="1" t="str">
        <f>"000184768 - RICHS SWEET DOUGH-SODEXO"</f>
        <v>000184768 - RICHS SWEET DOUGH-SODEXO</v>
      </c>
      <c r="C15434" t="s">
        <v>137</v>
      </c>
      <c r="D15434" s="1" t="str">
        <f t="shared" si="423"/>
        <v>PRG-1043974</v>
      </c>
      <c r="E15434" t="s">
        <v>390</v>
      </c>
      <c r="F15434" t="s">
        <v>4</v>
      </c>
      <c r="G15434" t="str">
        <f>""</f>
        <v/>
      </c>
    </row>
    <row r="15435" spans="1:7" x14ac:dyDescent="0.25">
      <c r="A15435" t="s">
        <v>8</v>
      </c>
      <c r="B15435" s="1" t="str">
        <f>"000185507 - RICHS SWEET DOUGH-SODEXO"</f>
        <v>000185507 - RICHS SWEET DOUGH-SODEXO</v>
      </c>
      <c r="C15435" t="s">
        <v>137</v>
      </c>
      <c r="D15435" s="1" t="str">
        <f t="shared" si="423"/>
        <v>PRG-1043974</v>
      </c>
      <c r="E15435" t="s">
        <v>390</v>
      </c>
      <c r="F15435" t="s">
        <v>4</v>
      </c>
      <c r="G15435" t="str">
        <f>""</f>
        <v/>
      </c>
    </row>
    <row r="15436" spans="1:7" x14ac:dyDescent="0.25">
      <c r="A15436" t="s">
        <v>8</v>
      </c>
      <c r="B15436" s="1" t="str">
        <f>"000186635 - RICHS SWEET DOUGH-SODEXO"</f>
        <v>000186635 - RICHS SWEET DOUGH-SODEXO</v>
      </c>
      <c r="C15436" t="s">
        <v>137</v>
      </c>
      <c r="D15436" s="1" t="str">
        <f t="shared" si="423"/>
        <v>PRG-1043974</v>
      </c>
      <c r="E15436" t="s">
        <v>390</v>
      </c>
      <c r="F15436" t="s">
        <v>4</v>
      </c>
      <c r="G15436" t="str">
        <f>""</f>
        <v/>
      </c>
    </row>
    <row r="15437" spans="1:7" x14ac:dyDescent="0.25">
      <c r="A15437" t="s">
        <v>8</v>
      </c>
      <c r="B15437" s="1" t="str">
        <f>"000188842 - RICHS SWEET DOUGH-SODEXO"</f>
        <v>000188842 - RICHS SWEET DOUGH-SODEXO</v>
      </c>
      <c r="C15437" t="s">
        <v>137</v>
      </c>
      <c r="D15437" s="1" t="str">
        <f t="shared" si="423"/>
        <v>PRG-1043974</v>
      </c>
      <c r="E15437" t="s">
        <v>390</v>
      </c>
      <c r="F15437" t="s">
        <v>4</v>
      </c>
      <c r="G15437" t="str">
        <f>""</f>
        <v/>
      </c>
    </row>
    <row r="15438" spans="1:7" x14ac:dyDescent="0.25">
      <c r="A15438" t="s">
        <v>8</v>
      </c>
      <c r="B15438" s="1" t="str">
        <f>"000189247 - RICHS SWEET DOUGH-SODEXO"</f>
        <v>000189247 - RICHS SWEET DOUGH-SODEXO</v>
      </c>
      <c r="C15438" t="s">
        <v>137</v>
      </c>
      <c r="D15438" s="1" t="str">
        <f t="shared" si="423"/>
        <v>PRG-1043974</v>
      </c>
      <c r="E15438" t="s">
        <v>390</v>
      </c>
      <c r="F15438" t="s">
        <v>4</v>
      </c>
      <c r="G15438" t="str">
        <f>""</f>
        <v/>
      </c>
    </row>
    <row r="15439" spans="1:7" x14ac:dyDescent="0.25">
      <c r="A15439" t="s">
        <v>8</v>
      </c>
      <c r="B15439" s="1" t="str">
        <f>"000189371 - RICHS SWEET DOUGH-SODEXO"</f>
        <v>000189371 - RICHS SWEET DOUGH-SODEXO</v>
      </c>
      <c r="C15439" t="s">
        <v>137</v>
      </c>
      <c r="D15439" s="1" t="str">
        <f t="shared" si="423"/>
        <v>PRG-1043974</v>
      </c>
      <c r="E15439" t="s">
        <v>390</v>
      </c>
      <c r="F15439" t="s">
        <v>4</v>
      </c>
      <c r="G15439" t="str">
        <f>""</f>
        <v/>
      </c>
    </row>
    <row r="15440" spans="1:7" x14ac:dyDescent="0.25">
      <c r="A15440" t="s">
        <v>8</v>
      </c>
      <c r="B15440" s="1" t="str">
        <f>"000190904 - RICHS SWEET DOUGH-SODEXO"</f>
        <v>000190904 - RICHS SWEET DOUGH-SODEXO</v>
      </c>
      <c r="C15440" t="s">
        <v>137</v>
      </c>
      <c r="D15440" s="1" t="str">
        <f t="shared" si="423"/>
        <v>PRG-1043974</v>
      </c>
      <c r="E15440" t="s">
        <v>390</v>
      </c>
      <c r="F15440" t="s">
        <v>4</v>
      </c>
      <c r="G15440" t="str">
        <f>""</f>
        <v/>
      </c>
    </row>
    <row r="15441" spans="1:7" x14ac:dyDescent="0.25">
      <c r="A15441" t="s">
        <v>8</v>
      </c>
      <c r="B15441" s="1" t="str">
        <f>"000191612 - RICHS SWEET DOUGH-SODEXO"</f>
        <v>000191612 - RICHS SWEET DOUGH-SODEXO</v>
      </c>
      <c r="C15441" t="s">
        <v>137</v>
      </c>
      <c r="D15441" s="1" t="str">
        <f t="shared" si="423"/>
        <v>PRG-1043974</v>
      </c>
      <c r="E15441" t="s">
        <v>390</v>
      </c>
      <c r="F15441" t="s">
        <v>4</v>
      </c>
      <c r="G15441" t="str">
        <f>""</f>
        <v/>
      </c>
    </row>
    <row r="15442" spans="1:7" x14ac:dyDescent="0.25">
      <c r="A15442" t="s">
        <v>8</v>
      </c>
      <c r="B15442" s="1" t="str">
        <f>"000195672 - RICHS SWEET DOUGH-SODEXO"</f>
        <v>000195672 - RICHS SWEET DOUGH-SODEXO</v>
      </c>
      <c r="C15442" t="s">
        <v>137</v>
      </c>
      <c r="D15442" s="1" t="str">
        <f t="shared" si="423"/>
        <v>PRG-1043974</v>
      </c>
      <c r="E15442" t="s">
        <v>390</v>
      </c>
      <c r="F15442" t="s">
        <v>4</v>
      </c>
      <c r="G15442" t="str">
        <f>""</f>
        <v/>
      </c>
    </row>
    <row r="15443" spans="1:7" x14ac:dyDescent="0.25">
      <c r="A15443" t="s">
        <v>8</v>
      </c>
      <c r="B15443" s="1" t="str">
        <f>"000197292 - RICHS SWEET DOUGH-SODEXO"</f>
        <v>000197292 - RICHS SWEET DOUGH-SODEXO</v>
      </c>
      <c r="C15443" t="s">
        <v>137</v>
      </c>
      <c r="D15443" s="1" t="str">
        <f t="shared" si="423"/>
        <v>PRG-1043974</v>
      </c>
      <c r="E15443" t="s">
        <v>390</v>
      </c>
      <c r="F15443" t="s">
        <v>4</v>
      </c>
      <c r="G15443" t="str">
        <f>""</f>
        <v/>
      </c>
    </row>
    <row r="15444" spans="1:7" x14ac:dyDescent="0.25">
      <c r="A15444" t="s">
        <v>8</v>
      </c>
      <c r="B15444" s="1" t="str">
        <f>"000218870 - RICHS SWEET DOUGH-SODEXO"</f>
        <v>000218870 - RICHS SWEET DOUGH-SODEXO</v>
      </c>
      <c r="C15444" t="s">
        <v>137</v>
      </c>
      <c r="D15444" s="1" t="str">
        <f t="shared" si="423"/>
        <v>PRG-1043974</v>
      </c>
      <c r="E15444" t="s">
        <v>390</v>
      </c>
      <c r="F15444" t="s">
        <v>4</v>
      </c>
      <c r="G15444" t="str">
        <f>""</f>
        <v/>
      </c>
    </row>
    <row r="15445" spans="1:7" x14ac:dyDescent="0.25">
      <c r="A15445" t="s">
        <v>8</v>
      </c>
      <c r="B15445" s="1" t="str">
        <f>"000219781 - RICHS SWEET DOUGH-SODEXO"</f>
        <v>000219781 - RICHS SWEET DOUGH-SODEXO</v>
      </c>
      <c r="C15445" t="s">
        <v>137</v>
      </c>
      <c r="D15445" s="1" t="str">
        <f t="shared" si="423"/>
        <v>PRG-1043974</v>
      </c>
      <c r="E15445" t="s">
        <v>390</v>
      </c>
      <c r="F15445" t="s">
        <v>4</v>
      </c>
      <c r="G15445" t="str">
        <f>""</f>
        <v/>
      </c>
    </row>
    <row r="15446" spans="1:7" x14ac:dyDescent="0.25">
      <c r="A15446" t="s">
        <v>8</v>
      </c>
      <c r="B15446" s="1" t="str">
        <f>"000223800 - RICHS SWEET DOUGH-SODEXO"</f>
        <v>000223800 - RICHS SWEET DOUGH-SODEXO</v>
      </c>
      <c r="C15446" t="s">
        <v>137</v>
      </c>
      <c r="D15446" s="1" t="str">
        <f t="shared" si="423"/>
        <v>PRG-1043974</v>
      </c>
      <c r="E15446" t="s">
        <v>390</v>
      </c>
      <c r="F15446" t="s">
        <v>4</v>
      </c>
      <c r="G15446" t="str">
        <f>""</f>
        <v/>
      </c>
    </row>
    <row r="15447" spans="1:7" x14ac:dyDescent="0.25">
      <c r="A15447" t="s">
        <v>8</v>
      </c>
      <c r="B15447" s="1" t="str">
        <f>"000228283 - RICHS SWEET DOUGH-SODEXO"</f>
        <v>000228283 - RICHS SWEET DOUGH-SODEXO</v>
      </c>
      <c r="C15447" t="s">
        <v>137</v>
      </c>
      <c r="D15447" s="1" t="str">
        <f t="shared" si="423"/>
        <v>PRG-1043974</v>
      </c>
      <c r="E15447" t="s">
        <v>390</v>
      </c>
      <c r="F15447" t="s">
        <v>4</v>
      </c>
      <c r="G15447" t="str">
        <f>""</f>
        <v/>
      </c>
    </row>
    <row r="15448" spans="1:7" x14ac:dyDescent="0.25">
      <c r="A15448" t="s">
        <v>8</v>
      </c>
      <c r="B15448" s="1" t="str">
        <f>"000241531 - RICHS SWEET DOUGH-SODEXO"</f>
        <v>000241531 - RICHS SWEET DOUGH-SODEXO</v>
      </c>
      <c r="C15448" t="s">
        <v>137</v>
      </c>
      <c r="D15448" s="1" t="str">
        <f t="shared" si="423"/>
        <v>PRG-1043974</v>
      </c>
      <c r="E15448" t="s">
        <v>390</v>
      </c>
      <c r="F15448" t="s">
        <v>4</v>
      </c>
      <c r="G15448" t="str">
        <f>""</f>
        <v/>
      </c>
    </row>
    <row r="15449" spans="1:7" x14ac:dyDescent="0.25">
      <c r="A15449" t="s">
        <v>8</v>
      </c>
      <c r="B15449" s="1" t="str">
        <f>"000246434 - RICH FOODS-FORUM"</f>
        <v>000246434 - RICH FOODS-FORUM</v>
      </c>
      <c r="C15449" t="s">
        <v>94</v>
      </c>
      <c r="D15449" s="1" t="str">
        <f t="shared" si="423"/>
        <v>PRG-1043974</v>
      </c>
      <c r="E15449" t="s">
        <v>390</v>
      </c>
      <c r="F15449" t="s">
        <v>4</v>
      </c>
      <c r="G15449" t="str">
        <f>""</f>
        <v/>
      </c>
    </row>
    <row r="15450" spans="1:7" x14ac:dyDescent="0.25">
      <c r="A15450" t="s">
        <v>8</v>
      </c>
      <c r="B15450" s="1" t="str">
        <f>"000247425 - RICHS SWEET DOUGH-SODEXO"</f>
        <v>000247425 - RICHS SWEET DOUGH-SODEXO</v>
      </c>
      <c r="C15450" t="s">
        <v>137</v>
      </c>
      <c r="D15450" s="1" t="str">
        <f t="shared" si="423"/>
        <v>PRG-1043974</v>
      </c>
      <c r="E15450" t="s">
        <v>390</v>
      </c>
      <c r="F15450" t="s">
        <v>4</v>
      </c>
      <c r="G15450" t="str">
        <f>""</f>
        <v/>
      </c>
    </row>
    <row r="15451" spans="1:7" x14ac:dyDescent="0.25">
      <c r="A15451" t="s">
        <v>8</v>
      </c>
      <c r="B15451" s="1" t="str">
        <f>"000248344 - RICHS SWEET DOUGH-SODEXO"</f>
        <v>000248344 - RICHS SWEET DOUGH-SODEXO</v>
      </c>
      <c r="C15451" t="s">
        <v>137</v>
      </c>
      <c r="D15451" s="1" t="str">
        <f t="shared" si="423"/>
        <v>PRG-1043974</v>
      </c>
      <c r="E15451" t="s">
        <v>390</v>
      </c>
      <c r="F15451" t="s">
        <v>4</v>
      </c>
      <c r="G15451" t="str">
        <f>""</f>
        <v/>
      </c>
    </row>
    <row r="15452" spans="1:7" x14ac:dyDescent="0.25">
      <c r="A15452" t="s">
        <v>8</v>
      </c>
      <c r="B15452" s="1" t="str">
        <f>"000250100 - RICHS SWEET DOUGH-SODEXO"</f>
        <v>000250100 - RICHS SWEET DOUGH-SODEXO</v>
      </c>
      <c r="C15452" t="s">
        <v>137</v>
      </c>
      <c r="D15452" s="1" t="str">
        <f t="shared" si="423"/>
        <v>PRG-1043974</v>
      </c>
      <c r="E15452" t="s">
        <v>390</v>
      </c>
      <c r="F15452" t="s">
        <v>4</v>
      </c>
      <c r="G15452" t="str">
        <f>""</f>
        <v/>
      </c>
    </row>
    <row r="15453" spans="1:7" x14ac:dyDescent="0.25">
      <c r="A15453" t="s">
        <v>8</v>
      </c>
      <c r="B15453" s="1" t="str">
        <f>"000252228 - RICHS SWEET DOUGH-SODEXO"</f>
        <v>000252228 - RICHS SWEET DOUGH-SODEXO</v>
      </c>
      <c r="C15453" t="s">
        <v>137</v>
      </c>
      <c r="D15453" s="1" t="str">
        <f t="shared" si="423"/>
        <v>PRG-1043974</v>
      </c>
      <c r="E15453" t="s">
        <v>390</v>
      </c>
      <c r="F15453" t="s">
        <v>4</v>
      </c>
      <c r="G15453" t="str">
        <f>""</f>
        <v/>
      </c>
    </row>
    <row r="15454" spans="1:7" x14ac:dyDescent="0.25">
      <c r="A15454" t="s">
        <v>8</v>
      </c>
      <c r="B15454" s="1" t="str">
        <f>"000253507 - RICHS SWEET DOUGH-SODEXO"</f>
        <v>000253507 - RICHS SWEET DOUGH-SODEXO</v>
      </c>
      <c r="C15454" t="s">
        <v>137</v>
      </c>
      <c r="D15454" s="1" t="str">
        <f t="shared" si="423"/>
        <v>PRG-1043974</v>
      </c>
      <c r="E15454" t="s">
        <v>390</v>
      </c>
      <c r="F15454" t="s">
        <v>4</v>
      </c>
      <c r="G15454" t="str">
        <f>""</f>
        <v/>
      </c>
    </row>
    <row r="15455" spans="1:7" x14ac:dyDescent="0.25">
      <c r="A15455" t="s">
        <v>8</v>
      </c>
      <c r="B15455" s="1" t="str">
        <f>"000253880 - RICHS SWEET DOUGH-SODEXO"</f>
        <v>000253880 - RICHS SWEET DOUGH-SODEXO</v>
      </c>
      <c r="C15455" t="s">
        <v>137</v>
      </c>
      <c r="D15455" s="1" t="str">
        <f t="shared" si="423"/>
        <v>PRG-1043974</v>
      </c>
      <c r="E15455" t="s">
        <v>390</v>
      </c>
      <c r="F15455" t="s">
        <v>4</v>
      </c>
      <c r="G15455" t="str">
        <f>""</f>
        <v/>
      </c>
    </row>
    <row r="15456" spans="1:7" x14ac:dyDescent="0.25">
      <c r="A15456" t="s">
        <v>8</v>
      </c>
      <c r="B15456" s="1" t="str">
        <f>"000254625 - RICHS SWEET DOUGH-SODEXO"</f>
        <v>000254625 - RICHS SWEET DOUGH-SODEXO</v>
      </c>
      <c r="C15456" t="s">
        <v>137</v>
      </c>
      <c r="D15456" s="1" t="str">
        <f t="shared" si="423"/>
        <v>PRG-1043974</v>
      </c>
      <c r="E15456" t="s">
        <v>390</v>
      </c>
      <c r="F15456" t="s">
        <v>4</v>
      </c>
      <c r="G15456" t="str">
        <f>""</f>
        <v/>
      </c>
    </row>
    <row r="15457" spans="1:7" x14ac:dyDescent="0.25">
      <c r="A15457" t="s">
        <v>8</v>
      </c>
      <c r="B15457" s="1" t="str">
        <f>"000255507 - RICHS SWEET DOUGH-SODEXO"</f>
        <v>000255507 - RICHS SWEET DOUGH-SODEXO</v>
      </c>
      <c r="C15457" t="s">
        <v>137</v>
      </c>
      <c r="D15457" s="1" t="str">
        <f t="shared" si="423"/>
        <v>PRG-1043974</v>
      </c>
      <c r="E15457" t="s">
        <v>390</v>
      </c>
      <c r="F15457" t="s">
        <v>4</v>
      </c>
      <c r="G15457" t="str">
        <f>""</f>
        <v/>
      </c>
    </row>
    <row r="15458" spans="1:7" x14ac:dyDescent="0.25">
      <c r="A15458" t="s">
        <v>8</v>
      </c>
      <c r="B15458" s="1" t="str">
        <f>"000257836 - RICHS SWEET DOUGH-SODEXO"</f>
        <v>000257836 - RICHS SWEET DOUGH-SODEXO</v>
      </c>
      <c r="C15458" t="s">
        <v>137</v>
      </c>
      <c r="D15458" s="1" t="str">
        <f t="shared" si="423"/>
        <v>PRG-1043974</v>
      </c>
      <c r="E15458" t="s">
        <v>390</v>
      </c>
      <c r="F15458" t="s">
        <v>4</v>
      </c>
      <c r="G15458" t="str">
        <f>""</f>
        <v/>
      </c>
    </row>
    <row r="15459" spans="1:7" x14ac:dyDescent="0.25">
      <c r="A15459" t="s">
        <v>8</v>
      </c>
      <c r="B15459" s="1" t="str">
        <f>"000259182 - RICHS SWEET DOUGH-SODEXO"</f>
        <v>000259182 - RICHS SWEET DOUGH-SODEXO</v>
      </c>
      <c r="C15459" t="s">
        <v>137</v>
      </c>
      <c r="D15459" s="1" t="str">
        <f t="shared" si="423"/>
        <v>PRG-1043974</v>
      </c>
      <c r="E15459" t="s">
        <v>390</v>
      </c>
      <c r="F15459" t="s">
        <v>4</v>
      </c>
      <c r="G15459" t="str">
        <f>""</f>
        <v/>
      </c>
    </row>
    <row r="15460" spans="1:7" x14ac:dyDescent="0.25">
      <c r="A15460" t="s">
        <v>8</v>
      </c>
      <c r="B15460" s="1" t="str">
        <f>"000260258 - BB SODEXO FOB RICH SW DOUGH"</f>
        <v>000260258 - BB SODEXO FOB RICH SW DOUGH</v>
      </c>
      <c r="C15460" t="s">
        <v>1612</v>
      </c>
      <c r="D15460" s="1" t="str">
        <f t="shared" si="423"/>
        <v>PRG-1043974</v>
      </c>
      <c r="E15460" t="s">
        <v>390</v>
      </c>
      <c r="F15460" t="s">
        <v>4</v>
      </c>
      <c r="G15460" t="str">
        <f>""</f>
        <v/>
      </c>
    </row>
    <row r="15461" spans="1:7" x14ac:dyDescent="0.25">
      <c r="A15461" t="s">
        <v>8</v>
      </c>
      <c r="B15461" s="1" t="str">
        <f>"000260300 - RICHS SWEET DOUGH-SODEXO"</f>
        <v>000260300 - RICHS SWEET DOUGH-SODEXO</v>
      </c>
      <c r="C15461" t="s">
        <v>137</v>
      </c>
      <c r="D15461" s="1" t="str">
        <f t="shared" si="423"/>
        <v>PRG-1043974</v>
      </c>
      <c r="E15461" t="s">
        <v>390</v>
      </c>
      <c r="F15461" t="s">
        <v>4</v>
      </c>
      <c r="G15461" t="str">
        <f>""</f>
        <v/>
      </c>
    </row>
    <row r="15462" spans="1:7" x14ac:dyDescent="0.25">
      <c r="A15462" t="s">
        <v>8</v>
      </c>
      <c r="B15462" s="1" t="str">
        <f>"000262153 - RICHS SWEET DOUGH-SODEXO"</f>
        <v>000262153 - RICHS SWEET DOUGH-SODEXO</v>
      </c>
      <c r="C15462" t="s">
        <v>137</v>
      </c>
      <c r="D15462" s="1" t="str">
        <f t="shared" si="423"/>
        <v>PRG-1043974</v>
      </c>
      <c r="E15462" t="s">
        <v>390</v>
      </c>
      <c r="F15462" t="s">
        <v>4</v>
      </c>
      <c r="G15462" t="str">
        <f>""</f>
        <v/>
      </c>
    </row>
    <row r="15463" spans="1:7" x14ac:dyDescent="0.25">
      <c r="A15463" t="s">
        <v>8</v>
      </c>
      <c r="B15463" s="1" t="str">
        <f>"000263072 - RICHS SWEET DOUGH-SODEXO"</f>
        <v>000263072 - RICHS SWEET DOUGH-SODEXO</v>
      </c>
      <c r="C15463" t="s">
        <v>137</v>
      </c>
      <c r="D15463" s="1" t="str">
        <f t="shared" si="423"/>
        <v>PRG-1043974</v>
      </c>
      <c r="E15463" t="s">
        <v>390</v>
      </c>
      <c r="F15463" t="s">
        <v>4</v>
      </c>
      <c r="G15463" t="str">
        <f>""</f>
        <v/>
      </c>
    </row>
    <row r="15464" spans="1:7" x14ac:dyDescent="0.25">
      <c r="A15464" t="s">
        <v>8</v>
      </c>
      <c r="B15464" s="1" t="str">
        <f>"000264831 - RICHS SWEET DOUGH-SODEXO"</f>
        <v>000264831 - RICHS SWEET DOUGH-SODEXO</v>
      </c>
      <c r="C15464" t="s">
        <v>137</v>
      </c>
      <c r="D15464" s="1" t="str">
        <f t="shared" si="423"/>
        <v>PRG-1043974</v>
      </c>
      <c r="E15464" t="s">
        <v>390</v>
      </c>
      <c r="F15464" t="s">
        <v>4</v>
      </c>
      <c r="G15464" t="str">
        <f>""</f>
        <v/>
      </c>
    </row>
    <row r="15465" spans="1:7" x14ac:dyDescent="0.25">
      <c r="A15465" t="s">
        <v>8</v>
      </c>
      <c r="B15465" s="1" t="str">
        <f>"000265895 - RICHS SWEET DOUGH-SODEXO"</f>
        <v>000265895 - RICHS SWEET DOUGH-SODEXO</v>
      </c>
      <c r="C15465" t="s">
        <v>137</v>
      </c>
      <c r="D15465" s="1" t="str">
        <f t="shared" si="423"/>
        <v>PRG-1043974</v>
      </c>
      <c r="E15465" t="s">
        <v>390</v>
      </c>
      <c r="F15465" t="s">
        <v>4</v>
      </c>
      <c r="G15465" t="str">
        <f>""</f>
        <v/>
      </c>
    </row>
    <row r="15466" spans="1:7" x14ac:dyDescent="0.25">
      <c r="A15466" t="s">
        <v>8</v>
      </c>
      <c r="B15466" s="1" t="str">
        <f>"000266482 - RICHS SWEET DOUGH-SODEXO"</f>
        <v>000266482 - RICHS SWEET DOUGH-SODEXO</v>
      </c>
      <c r="C15466" t="s">
        <v>137</v>
      </c>
      <c r="D15466" s="1" t="str">
        <f t="shared" si="423"/>
        <v>PRG-1043974</v>
      </c>
      <c r="E15466" t="s">
        <v>390</v>
      </c>
      <c r="F15466" t="s">
        <v>4</v>
      </c>
      <c r="G15466" t="str">
        <f>""</f>
        <v/>
      </c>
    </row>
    <row r="15467" spans="1:7" x14ac:dyDescent="0.25">
      <c r="A15467" t="s">
        <v>8</v>
      </c>
      <c r="B15467" s="1" t="str">
        <f>"000267216 - RICHS SWEET DOUGH-SODEXO"</f>
        <v>000267216 - RICHS SWEET DOUGH-SODEXO</v>
      </c>
      <c r="C15467" t="s">
        <v>137</v>
      </c>
      <c r="D15467" s="1" t="str">
        <f t="shared" si="423"/>
        <v>PRG-1043974</v>
      </c>
      <c r="E15467" t="s">
        <v>390</v>
      </c>
      <c r="F15467" t="s">
        <v>4</v>
      </c>
      <c r="G15467" t="str">
        <f>""</f>
        <v/>
      </c>
    </row>
    <row r="15468" spans="1:7" x14ac:dyDescent="0.25">
      <c r="A15468" t="s">
        <v>8</v>
      </c>
      <c r="B15468" s="1" t="str">
        <f>"000267701 - RICHS SWEET DOUGH-SODEXO"</f>
        <v>000267701 - RICHS SWEET DOUGH-SODEXO</v>
      </c>
      <c r="C15468" t="s">
        <v>137</v>
      </c>
      <c r="D15468" s="1" t="str">
        <f t="shared" si="423"/>
        <v>PRG-1043974</v>
      </c>
      <c r="E15468" t="s">
        <v>390</v>
      </c>
      <c r="F15468" t="s">
        <v>4</v>
      </c>
      <c r="G15468" t="str">
        <f>""</f>
        <v/>
      </c>
    </row>
    <row r="15469" spans="1:7" x14ac:dyDescent="0.25">
      <c r="A15469" t="s">
        <v>8</v>
      </c>
      <c r="B15469" s="1" t="str">
        <f>"000267795 - RICHS SWEET DOUGH-SODEXO"</f>
        <v>000267795 - RICHS SWEET DOUGH-SODEXO</v>
      </c>
      <c r="C15469" t="s">
        <v>137</v>
      </c>
      <c r="D15469" s="1" t="str">
        <f t="shared" si="423"/>
        <v>PRG-1043974</v>
      </c>
      <c r="E15469" t="s">
        <v>390</v>
      </c>
      <c r="F15469" t="s">
        <v>4</v>
      </c>
      <c r="G15469" t="str">
        <f>""</f>
        <v/>
      </c>
    </row>
    <row r="15470" spans="1:7" x14ac:dyDescent="0.25">
      <c r="A15470" t="s">
        <v>8</v>
      </c>
      <c r="B15470" s="1" t="str">
        <f>"000267906 - RICHS SWEET DOUGH-SODEXO"</f>
        <v>000267906 - RICHS SWEET DOUGH-SODEXO</v>
      </c>
      <c r="C15470" t="s">
        <v>137</v>
      </c>
      <c r="D15470" s="1" t="str">
        <f t="shared" si="423"/>
        <v>PRG-1043974</v>
      </c>
      <c r="E15470" t="s">
        <v>390</v>
      </c>
      <c r="F15470" t="s">
        <v>4</v>
      </c>
      <c r="G15470" t="str">
        <f>""</f>
        <v/>
      </c>
    </row>
    <row r="15471" spans="1:7" x14ac:dyDescent="0.25">
      <c r="A15471" t="s">
        <v>8</v>
      </c>
      <c r="B15471" s="1" t="str">
        <f>"000270282 - RICHS SWEET DOUGH-SODEXO"</f>
        <v>000270282 - RICHS SWEET DOUGH-SODEXO</v>
      </c>
      <c r="C15471" t="s">
        <v>137</v>
      </c>
      <c r="D15471" s="1" t="str">
        <f t="shared" si="423"/>
        <v>PRG-1043974</v>
      </c>
      <c r="E15471" t="s">
        <v>390</v>
      </c>
      <c r="F15471" t="s">
        <v>4</v>
      </c>
      <c r="G15471" t="str">
        <f>""</f>
        <v/>
      </c>
    </row>
    <row r="15472" spans="1:7" x14ac:dyDescent="0.25">
      <c r="A15472" t="s">
        <v>8</v>
      </c>
      <c r="B15472" s="1" t="str">
        <f>"000270970 - RICHS SWEET DOUGH-SODEXO"</f>
        <v>000270970 - RICHS SWEET DOUGH-SODEXO</v>
      </c>
      <c r="C15472" t="s">
        <v>137</v>
      </c>
      <c r="D15472" s="1" t="str">
        <f t="shared" si="423"/>
        <v>PRG-1043974</v>
      </c>
      <c r="E15472" t="s">
        <v>390</v>
      </c>
      <c r="F15472" t="s">
        <v>4</v>
      </c>
      <c r="G15472" t="str">
        <f>""</f>
        <v/>
      </c>
    </row>
    <row r="15473" spans="1:7" x14ac:dyDescent="0.25">
      <c r="A15473" t="s">
        <v>8</v>
      </c>
      <c r="B15473" s="1" t="str">
        <f>"000271580 - RICHS SWEET DOUGH-SODEXO"</f>
        <v>000271580 - RICHS SWEET DOUGH-SODEXO</v>
      </c>
      <c r="C15473" t="s">
        <v>137</v>
      </c>
      <c r="D15473" s="1" t="str">
        <f t="shared" si="423"/>
        <v>PRG-1043974</v>
      </c>
      <c r="E15473" t="s">
        <v>390</v>
      </c>
      <c r="F15473" t="s">
        <v>4</v>
      </c>
      <c r="G15473" t="str">
        <f>""</f>
        <v/>
      </c>
    </row>
    <row r="15474" spans="1:7" x14ac:dyDescent="0.25">
      <c r="A15474" t="s">
        <v>8</v>
      </c>
      <c r="B15474" s="1" t="str">
        <f>"000272179 - RICHS SWEET DOUGH-SODEXO"</f>
        <v>000272179 - RICHS SWEET DOUGH-SODEXO</v>
      </c>
      <c r="C15474" t="s">
        <v>137</v>
      </c>
      <c r="D15474" s="1" t="str">
        <f t="shared" si="423"/>
        <v>PRG-1043974</v>
      </c>
      <c r="E15474" t="s">
        <v>390</v>
      </c>
      <c r="F15474" t="s">
        <v>4</v>
      </c>
      <c r="G15474" t="str">
        <f>""</f>
        <v/>
      </c>
    </row>
    <row r="15475" spans="1:7" x14ac:dyDescent="0.25">
      <c r="A15475" t="s">
        <v>8</v>
      </c>
      <c r="B15475" s="1" t="str">
        <f>"000273127 - RICHS SWEET DOUGH-SODEXO"</f>
        <v>000273127 - RICHS SWEET DOUGH-SODEXO</v>
      </c>
      <c r="C15475" t="s">
        <v>137</v>
      </c>
      <c r="D15475" s="1" t="str">
        <f t="shared" si="423"/>
        <v>PRG-1043974</v>
      </c>
      <c r="E15475" t="s">
        <v>390</v>
      </c>
      <c r="F15475" t="s">
        <v>4</v>
      </c>
      <c r="G15475" t="str">
        <f>""</f>
        <v/>
      </c>
    </row>
    <row r="15476" spans="1:7" x14ac:dyDescent="0.25">
      <c r="A15476" t="s">
        <v>8</v>
      </c>
      <c r="B15476" s="1" t="str">
        <f>"000274317 - RICHS SWEET DOUGH-SODEXO"</f>
        <v>000274317 - RICHS SWEET DOUGH-SODEXO</v>
      </c>
      <c r="C15476" t="s">
        <v>137</v>
      </c>
      <c r="D15476" s="1" t="str">
        <f t="shared" si="423"/>
        <v>PRG-1043974</v>
      </c>
      <c r="E15476" t="s">
        <v>390</v>
      </c>
      <c r="F15476" t="s">
        <v>4</v>
      </c>
      <c r="G15476" t="str">
        <f>""</f>
        <v/>
      </c>
    </row>
    <row r="15477" spans="1:7" x14ac:dyDescent="0.25">
      <c r="A15477" t="s">
        <v>8</v>
      </c>
      <c r="B15477" s="1" t="str">
        <f>"000274918 - RICHS SWEET DOUGH-SODEXO"</f>
        <v>000274918 - RICHS SWEET DOUGH-SODEXO</v>
      </c>
      <c r="C15477" t="s">
        <v>137</v>
      </c>
      <c r="D15477" s="1" t="str">
        <f t="shared" si="423"/>
        <v>PRG-1043974</v>
      </c>
      <c r="E15477" t="s">
        <v>390</v>
      </c>
      <c r="F15477" t="s">
        <v>4</v>
      </c>
      <c r="G15477" t="str">
        <f>""</f>
        <v/>
      </c>
    </row>
    <row r="15478" spans="1:7" x14ac:dyDescent="0.25">
      <c r="A15478" t="s">
        <v>8</v>
      </c>
      <c r="B15478" s="1" t="str">
        <f>"000276172 - RICHS SWEET DOUGH-SODEXO"</f>
        <v>000276172 - RICHS SWEET DOUGH-SODEXO</v>
      </c>
      <c r="C15478" t="s">
        <v>137</v>
      </c>
      <c r="D15478" s="1" t="str">
        <f t="shared" si="423"/>
        <v>PRG-1043974</v>
      </c>
      <c r="E15478" t="s">
        <v>390</v>
      </c>
      <c r="F15478" t="s">
        <v>4</v>
      </c>
      <c r="G15478" t="str">
        <f>""</f>
        <v/>
      </c>
    </row>
    <row r="15479" spans="1:7" x14ac:dyDescent="0.25">
      <c r="A15479" t="s">
        <v>8</v>
      </c>
      <c r="B15479" s="1" t="str">
        <f>"000276719 - RICHS SWEET DOUGH-SODEXO"</f>
        <v>000276719 - RICHS SWEET DOUGH-SODEXO</v>
      </c>
      <c r="C15479" t="s">
        <v>137</v>
      </c>
      <c r="D15479" s="1" t="str">
        <f t="shared" si="423"/>
        <v>PRG-1043974</v>
      </c>
      <c r="E15479" t="s">
        <v>390</v>
      </c>
      <c r="F15479" t="s">
        <v>4</v>
      </c>
      <c r="G15479" t="str">
        <f>""</f>
        <v/>
      </c>
    </row>
    <row r="15480" spans="1:7" x14ac:dyDescent="0.25">
      <c r="A15480" t="s">
        <v>8</v>
      </c>
      <c r="B15480" s="1" t="str">
        <f>"000277191 - RICHS SWEET DOUGH-SODEXO"</f>
        <v>000277191 - RICHS SWEET DOUGH-SODEXO</v>
      </c>
      <c r="C15480" t="s">
        <v>137</v>
      </c>
      <c r="D15480" s="1" t="str">
        <f t="shared" si="423"/>
        <v>PRG-1043974</v>
      </c>
      <c r="E15480" t="s">
        <v>390</v>
      </c>
      <c r="F15480" t="s">
        <v>4</v>
      </c>
      <c r="G15480" t="str">
        <f>""</f>
        <v/>
      </c>
    </row>
    <row r="15481" spans="1:7" x14ac:dyDescent="0.25">
      <c r="A15481" t="s">
        <v>8</v>
      </c>
      <c r="B15481" s="1" t="str">
        <f>"000277535 - RICHS SWEET DOUGH-SODEXO"</f>
        <v>000277535 - RICHS SWEET DOUGH-SODEXO</v>
      </c>
      <c r="C15481" t="s">
        <v>137</v>
      </c>
      <c r="D15481" s="1" t="str">
        <f t="shared" ref="D15481:D15544" si="424">"PRG-1043974"</f>
        <v>PRG-1043974</v>
      </c>
      <c r="E15481" t="s">
        <v>390</v>
      </c>
      <c r="F15481" t="s">
        <v>4</v>
      </c>
      <c r="G15481" t="str">
        <f>""</f>
        <v/>
      </c>
    </row>
    <row r="15482" spans="1:7" x14ac:dyDescent="0.25">
      <c r="A15482" t="s">
        <v>8</v>
      </c>
      <c r="B15482" s="1" t="str">
        <f>"000277795 - RICHS SWEET DOUGH-SODEXO"</f>
        <v>000277795 - RICHS SWEET DOUGH-SODEXO</v>
      </c>
      <c r="C15482" t="s">
        <v>137</v>
      </c>
      <c r="D15482" s="1" t="str">
        <f t="shared" si="424"/>
        <v>PRG-1043974</v>
      </c>
      <c r="E15482" t="s">
        <v>390</v>
      </c>
      <c r="F15482" t="s">
        <v>4</v>
      </c>
      <c r="G15482" t="str">
        <f>""</f>
        <v/>
      </c>
    </row>
    <row r="15483" spans="1:7" x14ac:dyDescent="0.25">
      <c r="A15483" t="s">
        <v>8</v>
      </c>
      <c r="B15483" s="1" t="str">
        <f>"000277876 - RICHS SWEET DOUGH-SODEXO"</f>
        <v>000277876 - RICHS SWEET DOUGH-SODEXO</v>
      </c>
      <c r="C15483" t="s">
        <v>137</v>
      </c>
      <c r="D15483" s="1" t="str">
        <f t="shared" si="424"/>
        <v>PRG-1043974</v>
      </c>
      <c r="E15483" t="s">
        <v>390</v>
      </c>
      <c r="F15483" t="s">
        <v>4</v>
      </c>
      <c r="G15483" t="str">
        <f>""</f>
        <v/>
      </c>
    </row>
    <row r="15484" spans="1:7" x14ac:dyDescent="0.25">
      <c r="A15484" t="s">
        <v>8</v>
      </c>
      <c r="B15484" s="1" t="str">
        <f>"000278200 - RICHS SWEET DOUGH-SODEXO"</f>
        <v>000278200 - RICHS SWEET DOUGH-SODEXO</v>
      </c>
      <c r="C15484" t="s">
        <v>137</v>
      </c>
      <c r="D15484" s="1" t="str">
        <f t="shared" si="424"/>
        <v>PRG-1043974</v>
      </c>
      <c r="E15484" t="s">
        <v>390</v>
      </c>
      <c r="F15484" t="s">
        <v>4</v>
      </c>
      <c r="G15484" t="str">
        <f>""</f>
        <v/>
      </c>
    </row>
    <row r="15485" spans="1:7" x14ac:dyDescent="0.25">
      <c r="A15485" t="s">
        <v>8</v>
      </c>
      <c r="B15485" s="1" t="str">
        <f>"000278426 - RICHS SWEET DOUGH-SODEXO"</f>
        <v>000278426 - RICHS SWEET DOUGH-SODEXO</v>
      </c>
      <c r="C15485" t="s">
        <v>137</v>
      </c>
      <c r="D15485" s="1" t="str">
        <f t="shared" si="424"/>
        <v>PRG-1043974</v>
      </c>
      <c r="E15485" t="s">
        <v>390</v>
      </c>
      <c r="F15485" t="s">
        <v>4</v>
      </c>
      <c r="G15485" t="str">
        <f>""</f>
        <v/>
      </c>
    </row>
    <row r="15486" spans="1:7" x14ac:dyDescent="0.25">
      <c r="A15486" t="s">
        <v>8</v>
      </c>
      <c r="B15486" s="1" t="str">
        <f>"000278801 - BURTONS BB RICH FOODS"</f>
        <v>000278801 - BURTONS BB RICH FOODS</v>
      </c>
      <c r="C15486" t="s">
        <v>2490</v>
      </c>
      <c r="D15486" s="1" t="str">
        <f t="shared" si="424"/>
        <v>PRG-1043974</v>
      </c>
      <c r="E15486" t="s">
        <v>390</v>
      </c>
      <c r="F15486" t="s">
        <v>4</v>
      </c>
      <c r="G15486" t="str">
        <f>""</f>
        <v/>
      </c>
    </row>
    <row r="15487" spans="1:7" x14ac:dyDescent="0.25">
      <c r="A15487" t="s">
        <v>8</v>
      </c>
      <c r="B15487" s="1" t="str">
        <f>"000278808 - RICHS SWEET DOUGH-SODEXO"</f>
        <v>000278808 - RICHS SWEET DOUGH-SODEXO</v>
      </c>
      <c r="C15487" t="s">
        <v>137</v>
      </c>
      <c r="D15487" s="1" t="str">
        <f t="shared" si="424"/>
        <v>PRG-1043974</v>
      </c>
      <c r="E15487" t="s">
        <v>390</v>
      </c>
      <c r="F15487" t="s">
        <v>4</v>
      </c>
      <c r="G15487" t="str">
        <f>""</f>
        <v/>
      </c>
    </row>
    <row r="15488" spans="1:7" x14ac:dyDescent="0.25">
      <c r="A15488" t="s">
        <v>8</v>
      </c>
      <c r="B15488" s="1" t="str">
        <f>"000280970 - RICHS SWEET DOUGH-SODEXO"</f>
        <v>000280970 - RICHS SWEET DOUGH-SODEXO</v>
      </c>
      <c r="C15488" t="s">
        <v>137</v>
      </c>
      <c r="D15488" s="1" t="str">
        <f t="shared" si="424"/>
        <v>PRG-1043974</v>
      </c>
      <c r="E15488" t="s">
        <v>390</v>
      </c>
      <c r="F15488" t="s">
        <v>4</v>
      </c>
      <c r="G15488" t="str">
        <f>""</f>
        <v/>
      </c>
    </row>
    <row r="15489" spans="1:7" x14ac:dyDescent="0.25">
      <c r="A15489" t="s">
        <v>8</v>
      </c>
      <c r="B15489" s="1" t="str">
        <f>"000281371 - RICHS SWEET DOUGH-SODEXO"</f>
        <v>000281371 - RICHS SWEET DOUGH-SODEXO</v>
      </c>
      <c r="C15489" t="s">
        <v>137</v>
      </c>
      <c r="D15489" s="1" t="str">
        <f t="shared" si="424"/>
        <v>PRG-1043974</v>
      </c>
      <c r="E15489" t="s">
        <v>390</v>
      </c>
      <c r="F15489" t="s">
        <v>4</v>
      </c>
      <c r="G15489" t="str">
        <f>""</f>
        <v/>
      </c>
    </row>
    <row r="15490" spans="1:7" x14ac:dyDescent="0.25">
      <c r="A15490" t="s">
        <v>8</v>
      </c>
      <c r="B15490" s="1" t="str">
        <f>"000281844 - RICHS SWEET DOUGH-SODEXO"</f>
        <v>000281844 - RICHS SWEET DOUGH-SODEXO</v>
      </c>
      <c r="C15490" t="s">
        <v>137</v>
      </c>
      <c r="D15490" s="1" t="str">
        <f t="shared" si="424"/>
        <v>PRG-1043974</v>
      </c>
      <c r="E15490" t="s">
        <v>390</v>
      </c>
      <c r="F15490" t="s">
        <v>4</v>
      </c>
      <c r="G15490" t="str">
        <f>""</f>
        <v/>
      </c>
    </row>
    <row r="15491" spans="1:7" x14ac:dyDescent="0.25">
      <c r="A15491" t="s">
        <v>8</v>
      </c>
      <c r="B15491" s="1" t="str">
        <f>"000282030 - RICHS SWEET DOUGH-SODEXO"</f>
        <v>000282030 - RICHS SWEET DOUGH-SODEXO</v>
      </c>
      <c r="C15491" t="s">
        <v>137</v>
      </c>
      <c r="D15491" s="1" t="str">
        <f t="shared" si="424"/>
        <v>PRG-1043974</v>
      </c>
      <c r="E15491" t="s">
        <v>390</v>
      </c>
      <c r="F15491" t="s">
        <v>4</v>
      </c>
      <c r="G15491" t="str">
        <f>""</f>
        <v/>
      </c>
    </row>
    <row r="15492" spans="1:7" x14ac:dyDescent="0.25">
      <c r="A15492" t="s">
        <v>8</v>
      </c>
      <c r="B15492" s="1" t="str">
        <f>"000282061 - RICHS SWEET DOUGH-SODEXO"</f>
        <v>000282061 - RICHS SWEET DOUGH-SODEXO</v>
      </c>
      <c r="C15492" t="s">
        <v>137</v>
      </c>
      <c r="D15492" s="1" t="str">
        <f t="shared" si="424"/>
        <v>PRG-1043974</v>
      </c>
      <c r="E15492" t="s">
        <v>390</v>
      </c>
      <c r="F15492" t="s">
        <v>4</v>
      </c>
      <c r="G15492" t="str">
        <f>""</f>
        <v/>
      </c>
    </row>
    <row r="15493" spans="1:7" x14ac:dyDescent="0.25">
      <c r="A15493" t="s">
        <v>8</v>
      </c>
      <c r="B15493" s="1" t="str">
        <f>"000282810 - RICHS SWEET DOUGH-SODEXO"</f>
        <v>000282810 - RICHS SWEET DOUGH-SODEXO</v>
      </c>
      <c r="C15493" t="s">
        <v>137</v>
      </c>
      <c r="D15493" s="1" t="str">
        <f t="shared" si="424"/>
        <v>PRG-1043974</v>
      </c>
      <c r="E15493" t="s">
        <v>390</v>
      </c>
      <c r="F15493" t="s">
        <v>4</v>
      </c>
      <c r="G15493" t="str">
        <f>""</f>
        <v/>
      </c>
    </row>
    <row r="15494" spans="1:7" x14ac:dyDescent="0.25">
      <c r="A15494" t="s">
        <v>8</v>
      </c>
      <c r="B15494" s="1" t="str">
        <f>"000283294 - RICHS SWEET DOUGH-SODEXO"</f>
        <v>000283294 - RICHS SWEET DOUGH-SODEXO</v>
      </c>
      <c r="C15494" t="s">
        <v>137</v>
      </c>
      <c r="D15494" s="1" t="str">
        <f t="shared" si="424"/>
        <v>PRG-1043974</v>
      </c>
      <c r="E15494" t="s">
        <v>390</v>
      </c>
      <c r="F15494" t="s">
        <v>4</v>
      </c>
      <c r="G15494" t="str">
        <f>""</f>
        <v/>
      </c>
    </row>
    <row r="15495" spans="1:7" x14ac:dyDescent="0.25">
      <c r="A15495" t="s">
        <v>8</v>
      </c>
      <c r="B15495" s="1" t="str">
        <f>"000283336 - RICHS SWEET DOUGH-SODEXO"</f>
        <v>000283336 - RICHS SWEET DOUGH-SODEXO</v>
      </c>
      <c r="C15495" t="s">
        <v>137</v>
      </c>
      <c r="D15495" s="1" t="str">
        <f t="shared" si="424"/>
        <v>PRG-1043974</v>
      </c>
      <c r="E15495" t="s">
        <v>390</v>
      </c>
      <c r="F15495" t="s">
        <v>4</v>
      </c>
      <c r="G15495" t="str">
        <f>""</f>
        <v/>
      </c>
    </row>
    <row r="15496" spans="1:7" x14ac:dyDescent="0.25">
      <c r="A15496" t="s">
        <v>8</v>
      </c>
      <c r="B15496" s="1" t="str">
        <f>"000283575 - RICHS SWEET DOUGH-SODEXO"</f>
        <v>000283575 - RICHS SWEET DOUGH-SODEXO</v>
      </c>
      <c r="C15496" t="s">
        <v>137</v>
      </c>
      <c r="D15496" s="1" t="str">
        <f t="shared" si="424"/>
        <v>PRG-1043974</v>
      </c>
      <c r="E15496" t="s">
        <v>390</v>
      </c>
      <c r="F15496" t="s">
        <v>4</v>
      </c>
      <c r="G15496" t="str">
        <f>""</f>
        <v/>
      </c>
    </row>
    <row r="15497" spans="1:7" x14ac:dyDescent="0.25">
      <c r="A15497" t="s">
        <v>8</v>
      </c>
      <c r="B15497" s="1" t="str">
        <f>"000284121 - RICHS SWEET DOUGH-SODEXO"</f>
        <v>000284121 - RICHS SWEET DOUGH-SODEXO</v>
      </c>
      <c r="C15497" t="s">
        <v>137</v>
      </c>
      <c r="D15497" s="1" t="str">
        <f t="shared" si="424"/>
        <v>PRG-1043974</v>
      </c>
      <c r="E15497" t="s">
        <v>390</v>
      </c>
      <c r="F15497" t="s">
        <v>4</v>
      </c>
      <c r="G15497" t="str">
        <f>""</f>
        <v/>
      </c>
    </row>
    <row r="15498" spans="1:7" x14ac:dyDescent="0.25">
      <c r="A15498" t="s">
        <v>8</v>
      </c>
      <c r="B15498" s="1" t="str">
        <f>"000285309 - RICHS SWEET DOUGH-SODEXO"</f>
        <v>000285309 - RICHS SWEET DOUGH-SODEXO</v>
      </c>
      <c r="C15498" t="s">
        <v>137</v>
      </c>
      <c r="D15498" s="1" t="str">
        <f t="shared" si="424"/>
        <v>PRG-1043974</v>
      </c>
      <c r="E15498" t="s">
        <v>390</v>
      </c>
      <c r="F15498" t="s">
        <v>4</v>
      </c>
      <c r="G15498" t="str">
        <f>""</f>
        <v/>
      </c>
    </row>
    <row r="15499" spans="1:7" x14ac:dyDescent="0.25">
      <c r="A15499" t="s">
        <v>8</v>
      </c>
      <c r="B15499" s="1" t="str">
        <f>"000285666 - RICHS SWEET DOUGH-SODEXO"</f>
        <v>000285666 - RICHS SWEET DOUGH-SODEXO</v>
      </c>
      <c r="C15499" t="s">
        <v>137</v>
      </c>
      <c r="D15499" s="1" t="str">
        <f t="shared" si="424"/>
        <v>PRG-1043974</v>
      </c>
      <c r="E15499" t="s">
        <v>390</v>
      </c>
      <c r="F15499" t="s">
        <v>4</v>
      </c>
      <c r="G15499" t="str">
        <f>""</f>
        <v/>
      </c>
    </row>
    <row r="15500" spans="1:7" x14ac:dyDescent="0.25">
      <c r="A15500" t="s">
        <v>8</v>
      </c>
      <c r="B15500" s="1" t="str">
        <f>"000286054 - RICHS SWEET DOUGH-SODEXO"</f>
        <v>000286054 - RICHS SWEET DOUGH-SODEXO</v>
      </c>
      <c r="C15500" t="s">
        <v>137</v>
      </c>
      <c r="D15500" s="1" t="str">
        <f t="shared" si="424"/>
        <v>PRG-1043974</v>
      </c>
      <c r="E15500" t="s">
        <v>390</v>
      </c>
      <c r="F15500" t="s">
        <v>4</v>
      </c>
      <c r="G15500" t="str">
        <f>""</f>
        <v/>
      </c>
    </row>
    <row r="15501" spans="1:7" x14ac:dyDescent="0.25">
      <c r="A15501" t="s">
        <v>8</v>
      </c>
      <c r="B15501" s="1" t="str">
        <f>"000289383 - RICHS SWEET DOUGH-SODEXO"</f>
        <v>000289383 - RICHS SWEET DOUGH-SODEXO</v>
      </c>
      <c r="C15501" t="s">
        <v>137</v>
      </c>
      <c r="D15501" s="1" t="str">
        <f t="shared" si="424"/>
        <v>PRG-1043974</v>
      </c>
      <c r="E15501" t="s">
        <v>390</v>
      </c>
      <c r="F15501" t="s">
        <v>4</v>
      </c>
      <c r="G15501" t="str">
        <f>""</f>
        <v/>
      </c>
    </row>
    <row r="15502" spans="1:7" x14ac:dyDescent="0.25">
      <c r="A15502" t="s">
        <v>8</v>
      </c>
      <c r="B15502" s="1" t="str">
        <f>"000289535 - RICHS SWEET DOUGH-SODEXO"</f>
        <v>000289535 - RICHS SWEET DOUGH-SODEXO</v>
      </c>
      <c r="C15502" t="s">
        <v>137</v>
      </c>
      <c r="D15502" s="1" t="str">
        <f t="shared" si="424"/>
        <v>PRG-1043974</v>
      </c>
      <c r="E15502" t="s">
        <v>390</v>
      </c>
      <c r="F15502" t="s">
        <v>4</v>
      </c>
      <c r="G15502" t="str">
        <f>""</f>
        <v/>
      </c>
    </row>
    <row r="15503" spans="1:7" x14ac:dyDescent="0.25">
      <c r="A15503" t="s">
        <v>8</v>
      </c>
      <c r="B15503" s="1" t="str">
        <f>"000289720 - RICHS SWEET DOUGH-SODEXO"</f>
        <v>000289720 - RICHS SWEET DOUGH-SODEXO</v>
      </c>
      <c r="C15503" t="s">
        <v>137</v>
      </c>
      <c r="D15503" s="1" t="str">
        <f t="shared" si="424"/>
        <v>PRG-1043974</v>
      </c>
      <c r="E15503" t="s">
        <v>390</v>
      </c>
      <c r="F15503" t="s">
        <v>4</v>
      </c>
      <c r="G15503" t="str">
        <f>""</f>
        <v/>
      </c>
    </row>
    <row r="15504" spans="1:7" x14ac:dyDescent="0.25">
      <c r="A15504" t="s">
        <v>8</v>
      </c>
      <c r="B15504" s="1" t="str">
        <f>"000289764 - RICHS SWEET DOUGH-SODEXO"</f>
        <v>000289764 - RICHS SWEET DOUGH-SODEXO</v>
      </c>
      <c r="C15504" t="s">
        <v>137</v>
      </c>
      <c r="D15504" s="1" t="str">
        <f t="shared" si="424"/>
        <v>PRG-1043974</v>
      </c>
      <c r="E15504" t="s">
        <v>390</v>
      </c>
      <c r="F15504" t="s">
        <v>4</v>
      </c>
      <c r="G15504" t="str">
        <f>""</f>
        <v/>
      </c>
    </row>
    <row r="15505" spans="1:7" x14ac:dyDescent="0.25">
      <c r="A15505" t="s">
        <v>8</v>
      </c>
      <c r="B15505" s="1" t="str">
        <f>"000289822 - RICHS SWEET DOUGH-SODEXO"</f>
        <v>000289822 - RICHS SWEET DOUGH-SODEXO</v>
      </c>
      <c r="C15505" t="s">
        <v>137</v>
      </c>
      <c r="D15505" s="1" t="str">
        <f t="shared" si="424"/>
        <v>PRG-1043974</v>
      </c>
      <c r="E15505" t="s">
        <v>390</v>
      </c>
      <c r="F15505" t="s">
        <v>4</v>
      </c>
      <c r="G15505" t="str">
        <f>""</f>
        <v/>
      </c>
    </row>
    <row r="15506" spans="1:7" x14ac:dyDescent="0.25">
      <c r="A15506" t="s">
        <v>8</v>
      </c>
      <c r="B15506" s="1" t="str">
        <f>"000290762 - RICHS SWEET DOUGH-SODEXO"</f>
        <v>000290762 - RICHS SWEET DOUGH-SODEXO</v>
      </c>
      <c r="C15506" t="s">
        <v>137</v>
      </c>
      <c r="D15506" s="1" t="str">
        <f t="shared" si="424"/>
        <v>PRG-1043974</v>
      </c>
      <c r="E15506" t="s">
        <v>390</v>
      </c>
      <c r="F15506" t="s">
        <v>4</v>
      </c>
      <c r="G15506" t="str">
        <f>""</f>
        <v/>
      </c>
    </row>
    <row r="15507" spans="1:7" x14ac:dyDescent="0.25">
      <c r="A15507" t="s">
        <v>8</v>
      </c>
      <c r="B15507" s="1" t="str">
        <f>"000290835 - RICHS SWEET DOUGH-SODEXO"</f>
        <v>000290835 - RICHS SWEET DOUGH-SODEXO</v>
      </c>
      <c r="C15507" t="s">
        <v>137</v>
      </c>
      <c r="D15507" s="1" t="str">
        <f t="shared" si="424"/>
        <v>PRG-1043974</v>
      </c>
      <c r="E15507" t="s">
        <v>390</v>
      </c>
      <c r="F15507" t="s">
        <v>4</v>
      </c>
      <c r="G15507" t="str">
        <f>""</f>
        <v/>
      </c>
    </row>
    <row r="15508" spans="1:7" x14ac:dyDescent="0.25">
      <c r="A15508" t="s">
        <v>8</v>
      </c>
      <c r="B15508" s="1" t="str">
        <f>"000291013 - RICHS SWEET DOUGH-SODEXO"</f>
        <v>000291013 - RICHS SWEET DOUGH-SODEXO</v>
      </c>
      <c r="C15508" t="s">
        <v>137</v>
      </c>
      <c r="D15508" s="1" t="str">
        <f t="shared" si="424"/>
        <v>PRG-1043974</v>
      </c>
      <c r="E15508" t="s">
        <v>390</v>
      </c>
      <c r="F15508" t="s">
        <v>4</v>
      </c>
      <c r="G15508" t="str">
        <f>""</f>
        <v/>
      </c>
    </row>
    <row r="15509" spans="1:7" x14ac:dyDescent="0.25">
      <c r="A15509" t="s">
        <v>8</v>
      </c>
      <c r="B15509" s="1" t="str">
        <f>"000291804 - RICHS SWEET DOUGH-SODEXO"</f>
        <v>000291804 - RICHS SWEET DOUGH-SODEXO</v>
      </c>
      <c r="C15509" t="s">
        <v>137</v>
      </c>
      <c r="D15509" s="1" t="str">
        <f t="shared" si="424"/>
        <v>PRG-1043974</v>
      </c>
      <c r="E15509" t="s">
        <v>390</v>
      </c>
      <c r="F15509" t="s">
        <v>4</v>
      </c>
      <c r="G15509" t="str">
        <f>""</f>
        <v/>
      </c>
    </row>
    <row r="15510" spans="1:7" x14ac:dyDescent="0.25">
      <c r="A15510" t="s">
        <v>8</v>
      </c>
      <c r="B15510" s="1" t="str">
        <f>"000292198 - RICHS SWEET DOUGH-SODEXO"</f>
        <v>000292198 - RICHS SWEET DOUGH-SODEXO</v>
      </c>
      <c r="C15510" t="s">
        <v>137</v>
      </c>
      <c r="D15510" s="1" t="str">
        <f t="shared" si="424"/>
        <v>PRG-1043974</v>
      </c>
      <c r="E15510" t="s">
        <v>390</v>
      </c>
      <c r="F15510" t="s">
        <v>4</v>
      </c>
      <c r="G15510" t="str">
        <f>""</f>
        <v/>
      </c>
    </row>
    <row r="15511" spans="1:7" x14ac:dyDescent="0.25">
      <c r="A15511" t="s">
        <v>8</v>
      </c>
      <c r="B15511" s="1" t="str">
        <f>"000292778 - RICHS SWEET DOUGH-SODEXO"</f>
        <v>000292778 - RICHS SWEET DOUGH-SODEXO</v>
      </c>
      <c r="C15511" t="s">
        <v>137</v>
      </c>
      <c r="D15511" s="1" t="str">
        <f t="shared" si="424"/>
        <v>PRG-1043974</v>
      </c>
      <c r="E15511" t="s">
        <v>390</v>
      </c>
      <c r="F15511" t="s">
        <v>4</v>
      </c>
      <c r="G15511" t="str">
        <f>""</f>
        <v/>
      </c>
    </row>
    <row r="15512" spans="1:7" x14ac:dyDescent="0.25">
      <c r="A15512" t="s">
        <v>8</v>
      </c>
      <c r="B15512" s="1" t="str">
        <f>"000293093 - RICHS SWEET DOUGH-SODEXO"</f>
        <v>000293093 - RICHS SWEET DOUGH-SODEXO</v>
      </c>
      <c r="C15512" t="s">
        <v>137</v>
      </c>
      <c r="D15512" s="1" t="str">
        <f t="shared" si="424"/>
        <v>PRG-1043974</v>
      </c>
      <c r="E15512" t="s">
        <v>390</v>
      </c>
      <c r="F15512" t="s">
        <v>4</v>
      </c>
      <c r="G15512" t="str">
        <f>""</f>
        <v/>
      </c>
    </row>
    <row r="15513" spans="1:7" x14ac:dyDescent="0.25">
      <c r="A15513" t="s">
        <v>8</v>
      </c>
      <c r="B15513" s="1" t="str">
        <f>"000293128 - RICHS SWEET DOUGH-SODEXO"</f>
        <v>000293128 - RICHS SWEET DOUGH-SODEXO</v>
      </c>
      <c r="C15513" t="s">
        <v>137</v>
      </c>
      <c r="D15513" s="1" t="str">
        <f t="shared" si="424"/>
        <v>PRG-1043974</v>
      </c>
      <c r="E15513" t="s">
        <v>390</v>
      </c>
      <c r="F15513" t="s">
        <v>4</v>
      </c>
      <c r="G15513" t="str">
        <f>""</f>
        <v/>
      </c>
    </row>
    <row r="15514" spans="1:7" x14ac:dyDescent="0.25">
      <c r="A15514" t="s">
        <v>8</v>
      </c>
      <c r="B15514" s="1" t="str">
        <f>"000293214 - RICHS SWEET DOUGH-SODEXO"</f>
        <v>000293214 - RICHS SWEET DOUGH-SODEXO</v>
      </c>
      <c r="C15514" t="s">
        <v>137</v>
      </c>
      <c r="D15514" s="1" t="str">
        <f t="shared" si="424"/>
        <v>PRG-1043974</v>
      </c>
      <c r="E15514" t="s">
        <v>390</v>
      </c>
      <c r="F15514" t="s">
        <v>4</v>
      </c>
      <c r="G15514" t="str">
        <f>""</f>
        <v/>
      </c>
    </row>
    <row r="15515" spans="1:7" x14ac:dyDescent="0.25">
      <c r="A15515" t="s">
        <v>8</v>
      </c>
      <c r="B15515" s="1" t="str">
        <f>"000293524 - RICHS SWEET DOUGH-SODEXO"</f>
        <v>000293524 - RICHS SWEET DOUGH-SODEXO</v>
      </c>
      <c r="C15515" t="s">
        <v>137</v>
      </c>
      <c r="D15515" s="1" t="str">
        <f t="shared" si="424"/>
        <v>PRG-1043974</v>
      </c>
      <c r="E15515" t="s">
        <v>390</v>
      </c>
      <c r="F15515" t="s">
        <v>4</v>
      </c>
      <c r="G15515" t="str">
        <f>""</f>
        <v/>
      </c>
    </row>
    <row r="15516" spans="1:7" x14ac:dyDescent="0.25">
      <c r="A15516" t="s">
        <v>8</v>
      </c>
      <c r="B15516" s="1" t="str">
        <f>"000294400 - RICHS SWEET DOUGH-SODEXO"</f>
        <v>000294400 - RICHS SWEET DOUGH-SODEXO</v>
      </c>
      <c r="C15516" t="s">
        <v>137</v>
      </c>
      <c r="D15516" s="1" t="str">
        <f t="shared" si="424"/>
        <v>PRG-1043974</v>
      </c>
      <c r="E15516" t="s">
        <v>390</v>
      </c>
      <c r="F15516" t="s">
        <v>4</v>
      </c>
      <c r="G15516" t="str">
        <f>""</f>
        <v/>
      </c>
    </row>
    <row r="15517" spans="1:7" x14ac:dyDescent="0.25">
      <c r="A15517" t="s">
        <v>8</v>
      </c>
      <c r="B15517" s="1" t="str">
        <f>"000294714 - RICHS SWEET DOUGH-SODEXO"</f>
        <v>000294714 - RICHS SWEET DOUGH-SODEXO</v>
      </c>
      <c r="C15517" t="s">
        <v>137</v>
      </c>
      <c r="D15517" s="1" t="str">
        <f t="shared" si="424"/>
        <v>PRG-1043974</v>
      </c>
      <c r="E15517" t="s">
        <v>390</v>
      </c>
      <c r="F15517" t="s">
        <v>4</v>
      </c>
      <c r="G15517" t="str">
        <f>""</f>
        <v/>
      </c>
    </row>
    <row r="15518" spans="1:7" x14ac:dyDescent="0.25">
      <c r="A15518" t="s">
        <v>8</v>
      </c>
      <c r="B15518" s="1" t="str">
        <f>"000295939 - RICHS SWEET DOUGH-SODEXO"</f>
        <v>000295939 - RICHS SWEET DOUGH-SODEXO</v>
      </c>
      <c r="C15518" t="s">
        <v>137</v>
      </c>
      <c r="D15518" s="1" t="str">
        <f t="shared" si="424"/>
        <v>PRG-1043974</v>
      </c>
      <c r="E15518" t="s">
        <v>390</v>
      </c>
      <c r="F15518" t="s">
        <v>4</v>
      </c>
      <c r="G15518" t="str">
        <f>""</f>
        <v/>
      </c>
    </row>
    <row r="15519" spans="1:7" x14ac:dyDescent="0.25">
      <c r="A15519" t="s">
        <v>8</v>
      </c>
      <c r="B15519" s="1" t="str">
        <f>"000296727 - RICHS SWEET DOUGH-SODEXO"</f>
        <v>000296727 - RICHS SWEET DOUGH-SODEXO</v>
      </c>
      <c r="C15519" t="s">
        <v>137</v>
      </c>
      <c r="D15519" s="1" t="str">
        <f t="shared" si="424"/>
        <v>PRG-1043974</v>
      </c>
      <c r="E15519" t="s">
        <v>390</v>
      </c>
      <c r="F15519" t="s">
        <v>4</v>
      </c>
      <c r="G15519" t="str">
        <f>""</f>
        <v/>
      </c>
    </row>
    <row r="15520" spans="1:7" x14ac:dyDescent="0.25">
      <c r="A15520" t="s">
        <v>8</v>
      </c>
      <c r="B15520" s="1" t="str">
        <f>"000297831 - RICHS SWEET DOUGH-SODEXO"</f>
        <v>000297831 - RICHS SWEET DOUGH-SODEXO</v>
      </c>
      <c r="C15520" t="s">
        <v>137</v>
      </c>
      <c r="D15520" s="1" t="str">
        <f t="shared" si="424"/>
        <v>PRG-1043974</v>
      </c>
      <c r="E15520" t="s">
        <v>390</v>
      </c>
      <c r="F15520" t="s">
        <v>4</v>
      </c>
      <c r="G15520" t="str">
        <f>""</f>
        <v/>
      </c>
    </row>
    <row r="15521" spans="1:7" x14ac:dyDescent="0.25">
      <c r="A15521" t="s">
        <v>8</v>
      </c>
      <c r="B15521" s="1" t="str">
        <f>"000297916 - RICHS SWEET DOUGH-SODEXO"</f>
        <v>000297916 - RICHS SWEET DOUGH-SODEXO</v>
      </c>
      <c r="C15521" t="s">
        <v>137</v>
      </c>
      <c r="D15521" s="1" t="str">
        <f t="shared" si="424"/>
        <v>PRG-1043974</v>
      </c>
      <c r="E15521" t="s">
        <v>390</v>
      </c>
      <c r="F15521" t="s">
        <v>4</v>
      </c>
      <c r="G15521" t="str">
        <f>""</f>
        <v/>
      </c>
    </row>
    <row r="15522" spans="1:7" x14ac:dyDescent="0.25">
      <c r="A15522" t="s">
        <v>8</v>
      </c>
      <c r="B15522" s="1" t="str">
        <f>"000298636 - RICHS SWEET DOUGH-SODEXO"</f>
        <v>000298636 - RICHS SWEET DOUGH-SODEXO</v>
      </c>
      <c r="C15522" t="s">
        <v>137</v>
      </c>
      <c r="D15522" s="1" t="str">
        <f t="shared" si="424"/>
        <v>PRG-1043974</v>
      </c>
      <c r="E15522" t="s">
        <v>390</v>
      </c>
      <c r="F15522" t="s">
        <v>4</v>
      </c>
      <c r="G15522" t="str">
        <f>""</f>
        <v/>
      </c>
    </row>
    <row r="15523" spans="1:7" x14ac:dyDescent="0.25">
      <c r="A15523" t="s">
        <v>8</v>
      </c>
      <c r="B15523" s="1" t="str">
        <f>"000298879 - RICHS SWEET DOUGH-SODEXO"</f>
        <v>000298879 - RICHS SWEET DOUGH-SODEXO</v>
      </c>
      <c r="C15523" t="s">
        <v>137</v>
      </c>
      <c r="D15523" s="1" t="str">
        <f t="shared" si="424"/>
        <v>PRG-1043974</v>
      </c>
      <c r="E15523" t="s">
        <v>390</v>
      </c>
      <c r="F15523" t="s">
        <v>4</v>
      </c>
      <c r="G15523" t="str">
        <f>""</f>
        <v/>
      </c>
    </row>
    <row r="15524" spans="1:7" x14ac:dyDescent="0.25">
      <c r="A15524" t="s">
        <v>8</v>
      </c>
      <c r="B15524" s="1" t="str">
        <f>"000298985 - RICHS SWEET DOUGH-SODEXO"</f>
        <v>000298985 - RICHS SWEET DOUGH-SODEXO</v>
      </c>
      <c r="C15524" t="s">
        <v>137</v>
      </c>
      <c r="D15524" s="1" t="str">
        <f t="shared" si="424"/>
        <v>PRG-1043974</v>
      </c>
      <c r="E15524" t="s">
        <v>390</v>
      </c>
      <c r="F15524" t="s">
        <v>4</v>
      </c>
      <c r="G15524" t="str">
        <f>""</f>
        <v/>
      </c>
    </row>
    <row r="15525" spans="1:7" x14ac:dyDescent="0.25">
      <c r="A15525" t="s">
        <v>8</v>
      </c>
      <c r="B15525" s="1" t="str">
        <f>"000299336 - RICHS SWEET DOUGH-SODEXO"</f>
        <v>000299336 - RICHS SWEET DOUGH-SODEXO</v>
      </c>
      <c r="C15525" t="s">
        <v>137</v>
      </c>
      <c r="D15525" s="1" t="str">
        <f t="shared" si="424"/>
        <v>PRG-1043974</v>
      </c>
      <c r="E15525" t="s">
        <v>390</v>
      </c>
      <c r="F15525" t="s">
        <v>4</v>
      </c>
      <c r="G15525" t="str">
        <f>""</f>
        <v/>
      </c>
    </row>
    <row r="15526" spans="1:7" x14ac:dyDescent="0.25">
      <c r="A15526" t="s">
        <v>8</v>
      </c>
      <c r="B15526" s="1" t="str">
        <f>"000299775 - RICHS SWEET DOUGH-SODEXO"</f>
        <v>000299775 - RICHS SWEET DOUGH-SODEXO</v>
      </c>
      <c r="C15526" t="s">
        <v>137</v>
      </c>
      <c r="D15526" s="1" t="str">
        <f t="shared" si="424"/>
        <v>PRG-1043974</v>
      </c>
      <c r="E15526" t="s">
        <v>390</v>
      </c>
      <c r="F15526" t="s">
        <v>4</v>
      </c>
      <c r="G15526" t="str">
        <f>""</f>
        <v/>
      </c>
    </row>
    <row r="15527" spans="1:7" x14ac:dyDescent="0.25">
      <c r="A15527" t="s">
        <v>8</v>
      </c>
      <c r="B15527" s="1" t="str">
        <f>"000300034 - RICHS SWEET DOUGH-SODEXO"</f>
        <v>000300034 - RICHS SWEET DOUGH-SODEXO</v>
      </c>
      <c r="C15527" t="s">
        <v>137</v>
      </c>
      <c r="D15527" s="1" t="str">
        <f t="shared" si="424"/>
        <v>PRG-1043974</v>
      </c>
      <c r="E15527" t="s">
        <v>390</v>
      </c>
      <c r="F15527" t="s">
        <v>4</v>
      </c>
      <c r="G15527" t="str">
        <f>""</f>
        <v/>
      </c>
    </row>
    <row r="15528" spans="1:7" x14ac:dyDescent="0.25">
      <c r="A15528" t="s">
        <v>8</v>
      </c>
      <c r="B15528" s="1" t="str">
        <f>"000300415 - RICHS SWEET DOUGH-SODEXO"</f>
        <v>000300415 - RICHS SWEET DOUGH-SODEXO</v>
      </c>
      <c r="C15528" t="s">
        <v>137</v>
      </c>
      <c r="D15528" s="1" t="str">
        <f t="shared" si="424"/>
        <v>PRG-1043974</v>
      </c>
      <c r="E15528" t="s">
        <v>390</v>
      </c>
      <c r="F15528" t="s">
        <v>4</v>
      </c>
      <c r="G15528" t="str">
        <f>""</f>
        <v/>
      </c>
    </row>
    <row r="15529" spans="1:7" x14ac:dyDescent="0.25">
      <c r="A15529" t="s">
        <v>8</v>
      </c>
      <c r="B15529" s="1" t="str">
        <f>"000300558 - RICHS SWEET DOUGH-SODEXO"</f>
        <v>000300558 - RICHS SWEET DOUGH-SODEXO</v>
      </c>
      <c r="C15529" t="s">
        <v>137</v>
      </c>
      <c r="D15529" s="1" t="str">
        <f t="shared" si="424"/>
        <v>PRG-1043974</v>
      </c>
      <c r="E15529" t="s">
        <v>390</v>
      </c>
      <c r="F15529" t="s">
        <v>4</v>
      </c>
      <c r="G15529" t="str">
        <f>""</f>
        <v/>
      </c>
    </row>
    <row r="15530" spans="1:7" x14ac:dyDescent="0.25">
      <c r="A15530" t="s">
        <v>8</v>
      </c>
      <c r="B15530" s="1" t="str">
        <f>"000300890 - RICHS SWEET DOUGH-SODEXO"</f>
        <v>000300890 - RICHS SWEET DOUGH-SODEXO</v>
      </c>
      <c r="C15530" t="s">
        <v>137</v>
      </c>
      <c r="D15530" s="1" t="str">
        <f t="shared" si="424"/>
        <v>PRG-1043974</v>
      </c>
      <c r="E15530" t="s">
        <v>390</v>
      </c>
      <c r="F15530" t="s">
        <v>4</v>
      </c>
      <c r="G15530" t="str">
        <f>""</f>
        <v/>
      </c>
    </row>
    <row r="15531" spans="1:7" x14ac:dyDescent="0.25">
      <c r="A15531" t="s">
        <v>8</v>
      </c>
      <c r="B15531" s="1" t="str">
        <f>"000301144 - RICHS SWEET DOUGH-SODEXO"</f>
        <v>000301144 - RICHS SWEET DOUGH-SODEXO</v>
      </c>
      <c r="C15531" t="s">
        <v>137</v>
      </c>
      <c r="D15531" s="1" t="str">
        <f t="shared" si="424"/>
        <v>PRG-1043974</v>
      </c>
      <c r="E15531" t="s">
        <v>390</v>
      </c>
      <c r="F15531" t="s">
        <v>4</v>
      </c>
      <c r="G15531" t="str">
        <f>""</f>
        <v/>
      </c>
    </row>
    <row r="15532" spans="1:7" x14ac:dyDescent="0.25">
      <c r="A15532" t="s">
        <v>8</v>
      </c>
      <c r="B15532" s="1" t="str">
        <f>"000301342 - RICHS SWEET DOUGH-SODEXO"</f>
        <v>000301342 - RICHS SWEET DOUGH-SODEXO</v>
      </c>
      <c r="C15532" t="s">
        <v>137</v>
      </c>
      <c r="D15532" s="1" t="str">
        <f t="shared" si="424"/>
        <v>PRG-1043974</v>
      </c>
      <c r="E15532" t="s">
        <v>390</v>
      </c>
      <c r="F15532" t="s">
        <v>4</v>
      </c>
      <c r="G15532" t="str">
        <f>""</f>
        <v/>
      </c>
    </row>
    <row r="15533" spans="1:7" x14ac:dyDescent="0.25">
      <c r="A15533" t="s">
        <v>8</v>
      </c>
      <c r="B15533" s="1" t="str">
        <f>"000302126 - RICHS SWEET DOUGH-SODEXO"</f>
        <v>000302126 - RICHS SWEET DOUGH-SODEXO</v>
      </c>
      <c r="C15533" t="s">
        <v>137</v>
      </c>
      <c r="D15533" s="1" t="str">
        <f t="shared" si="424"/>
        <v>PRG-1043974</v>
      </c>
      <c r="E15533" t="s">
        <v>390</v>
      </c>
      <c r="F15533" t="s">
        <v>4</v>
      </c>
      <c r="G15533" t="str">
        <f>""</f>
        <v/>
      </c>
    </row>
    <row r="15534" spans="1:7" x14ac:dyDescent="0.25">
      <c r="A15534" t="s">
        <v>8</v>
      </c>
      <c r="B15534" s="1" t="str">
        <f>"000302360 - RICHS SWEET DOUGH-SODEXO"</f>
        <v>000302360 - RICHS SWEET DOUGH-SODEXO</v>
      </c>
      <c r="C15534" t="s">
        <v>137</v>
      </c>
      <c r="D15534" s="1" t="str">
        <f t="shared" si="424"/>
        <v>PRG-1043974</v>
      </c>
      <c r="E15534" t="s">
        <v>390</v>
      </c>
      <c r="F15534" t="s">
        <v>4</v>
      </c>
      <c r="G15534" t="str">
        <f>""</f>
        <v/>
      </c>
    </row>
    <row r="15535" spans="1:7" x14ac:dyDescent="0.25">
      <c r="A15535" t="s">
        <v>8</v>
      </c>
      <c r="B15535" s="1" t="str">
        <f>"000302662 - RICHS SWEET DOUGH-SODEXO"</f>
        <v>000302662 - RICHS SWEET DOUGH-SODEXO</v>
      </c>
      <c r="C15535" t="s">
        <v>137</v>
      </c>
      <c r="D15535" s="1" t="str">
        <f t="shared" si="424"/>
        <v>PRG-1043974</v>
      </c>
      <c r="E15535" t="s">
        <v>390</v>
      </c>
      <c r="F15535" t="s">
        <v>4</v>
      </c>
      <c r="G15535" t="str">
        <f>""</f>
        <v/>
      </c>
    </row>
    <row r="15536" spans="1:7" x14ac:dyDescent="0.25">
      <c r="A15536" t="s">
        <v>8</v>
      </c>
      <c r="B15536" s="1" t="str">
        <f>"000303131 - RICHS SWEET DOUGH-SODEXO"</f>
        <v>000303131 - RICHS SWEET DOUGH-SODEXO</v>
      </c>
      <c r="C15536" t="s">
        <v>137</v>
      </c>
      <c r="D15536" s="1" t="str">
        <f t="shared" si="424"/>
        <v>PRG-1043974</v>
      </c>
      <c r="E15536" t="s">
        <v>390</v>
      </c>
      <c r="F15536" t="s">
        <v>4</v>
      </c>
      <c r="G15536" t="str">
        <f>""</f>
        <v/>
      </c>
    </row>
    <row r="15537" spans="1:7" x14ac:dyDescent="0.25">
      <c r="A15537" t="s">
        <v>8</v>
      </c>
      <c r="B15537" s="1" t="str">
        <f>"000303134 - RICHS SWEET DOUGH-SODEXO"</f>
        <v>000303134 - RICHS SWEET DOUGH-SODEXO</v>
      </c>
      <c r="C15537" t="s">
        <v>137</v>
      </c>
      <c r="D15537" s="1" t="str">
        <f t="shared" si="424"/>
        <v>PRG-1043974</v>
      </c>
      <c r="E15537" t="s">
        <v>390</v>
      </c>
      <c r="F15537" t="s">
        <v>4</v>
      </c>
      <c r="G15537" t="str">
        <f>""</f>
        <v/>
      </c>
    </row>
    <row r="15538" spans="1:7" x14ac:dyDescent="0.25">
      <c r="A15538" t="s">
        <v>8</v>
      </c>
      <c r="B15538" s="1" t="str">
        <f>"000303449 - RICHS SWEET DOUGH-SODEXO"</f>
        <v>000303449 - RICHS SWEET DOUGH-SODEXO</v>
      </c>
      <c r="C15538" t="s">
        <v>137</v>
      </c>
      <c r="D15538" s="1" t="str">
        <f t="shared" si="424"/>
        <v>PRG-1043974</v>
      </c>
      <c r="E15538" t="s">
        <v>390</v>
      </c>
      <c r="F15538" t="s">
        <v>4</v>
      </c>
      <c r="G15538" t="str">
        <f>""</f>
        <v/>
      </c>
    </row>
    <row r="15539" spans="1:7" x14ac:dyDescent="0.25">
      <c r="A15539" t="s">
        <v>8</v>
      </c>
      <c r="B15539" s="1" t="str">
        <f>"000303730 - RICHS SWEET DOUGH-SODEXO"</f>
        <v>000303730 - RICHS SWEET DOUGH-SODEXO</v>
      </c>
      <c r="C15539" t="s">
        <v>137</v>
      </c>
      <c r="D15539" s="1" t="str">
        <f t="shared" si="424"/>
        <v>PRG-1043974</v>
      </c>
      <c r="E15539" t="s">
        <v>390</v>
      </c>
      <c r="F15539" t="s">
        <v>4</v>
      </c>
      <c r="G15539" t="str">
        <f>""</f>
        <v/>
      </c>
    </row>
    <row r="15540" spans="1:7" x14ac:dyDescent="0.25">
      <c r="A15540" t="s">
        <v>8</v>
      </c>
      <c r="B15540" s="1" t="str">
        <f>"000303900 - RICHS SWEET DOUGH-SODEXO"</f>
        <v>000303900 - RICHS SWEET DOUGH-SODEXO</v>
      </c>
      <c r="C15540" t="s">
        <v>137</v>
      </c>
      <c r="D15540" s="1" t="str">
        <f t="shared" si="424"/>
        <v>PRG-1043974</v>
      </c>
      <c r="E15540" t="s">
        <v>390</v>
      </c>
      <c r="F15540" t="s">
        <v>4</v>
      </c>
      <c r="G15540" t="str">
        <f>""</f>
        <v/>
      </c>
    </row>
    <row r="15541" spans="1:7" x14ac:dyDescent="0.25">
      <c r="A15541" t="s">
        <v>8</v>
      </c>
      <c r="B15541" s="1" t="str">
        <f>"000304159 - RICHS SWEET DOUGH-SODEXO"</f>
        <v>000304159 - RICHS SWEET DOUGH-SODEXO</v>
      </c>
      <c r="C15541" t="s">
        <v>137</v>
      </c>
      <c r="D15541" s="1" t="str">
        <f t="shared" si="424"/>
        <v>PRG-1043974</v>
      </c>
      <c r="E15541" t="s">
        <v>390</v>
      </c>
      <c r="F15541" t="s">
        <v>4</v>
      </c>
      <c r="G15541" t="str">
        <f>""</f>
        <v/>
      </c>
    </row>
    <row r="15542" spans="1:7" x14ac:dyDescent="0.25">
      <c r="A15542" t="s">
        <v>8</v>
      </c>
      <c r="B15542" s="1" t="str">
        <f>"000304163 - RICHS SWEET DOUGH-SODEXO"</f>
        <v>000304163 - RICHS SWEET DOUGH-SODEXO</v>
      </c>
      <c r="C15542" t="s">
        <v>137</v>
      </c>
      <c r="D15542" s="1" t="str">
        <f t="shared" si="424"/>
        <v>PRG-1043974</v>
      </c>
      <c r="E15542" t="s">
        <v>390</v>
      </c>
      <c r="F15542" t="s">
        <v>4</v>
      </c>
      <c r="G15542" t="str">
        <f>""</f>
        <v/>
      </c>
    </row>
    <row r="15543" spans="1:7" x14ac:dyDescent="0.25">
      <c r="A15543" t="s">
        <v>8</v>
      </c>
      <c r="B15543" s="1" t="str">
        <f>"000304575 - RICHS SWEET DOUGH-SODEXO"</f>
        <v>000304575 - RICHS SWEET DOUGH-SODEXO</v>
      </c>
      <c r="C15543" t="s">
        <v>137</v>
      </c>
      <c r="D15543" s="1" t="str">
        <f t="shared" si="424"/>
        <v>PRG-1043974</v>
      </c>
      <c r="E15543" t="s">
        <v>390</v>
      </c>
      <c r="F15543" t="s">
        <v>4</v>
      </c>
      <c r="G15543" t="str">
        <f>""</f>
        <v/>
      </c>
    </row>
    <row r="15544" spans="1:7" x14ac:dyDescent="0.25">
      <c r="A15544" t="s">
        <v>8</v>
      </c>
      <c r="B15544" s="1" t="str">
        <f>"000304951 - RICHS SWEET DOUGH-SODEXO"</f>
        <v>000304951 - RICHS SWEET DOUGH-SODEXO</v>
      </c>
      <c r="C15544" t="s">
        <v>137</v>
      </c>
      <c r="D15544" s="1" t="str">
        <f t="shared" si="424"/>
        <v>PRG-1043974</v>
      </c>
      <c r="E15544" t="s">
        <v>390</v>
      </c>
      <c r="F15544" t="s">
        <v>4</v>
      </c>
      <c r="G15544" t="str">
        <f>""</f>
        <v/>
      </c>
    </row>
    <row r="15545" spans="1:7" x14ac:dyDescent="0.25">
      <c r="A15545" t="s">
        <v>8</v>
      </c>
      <c r="B15545" s="1" t="str">
        <f>"000305150 - RICHS SWEET DOUGH-SODEXO"</f>
        <v>000305150 - RICHS SWEET DOUGH-SODEXO</v>
      </c>
      <c r="C15545" t="s">
        <v>137</v>
      </c>
      <c r="D15545" s="1" t="str">
        <f t="shared" ref="D15545:D15608" si="425">"PRG-1043974"</f>
        <v>PRG-1043974</v>
      </c>
      <c r="E15545" t="s">
        <v>390</v>
      </c>
      <c r="F15545" t="s">
        <v>4</v>
      </c>
      <c r="G15545" t="str">
        <f>""</f>
        <v/>
      </c>
    </row>
    <row r="15546" spans="1:7" x14ac:dyDescent="0.25">
      <c r="A15546" t="s">
        <v>8</v>
      </c>
      <c r="B15546" s="1" t="str">
        <f>"000305712 - RICHS SWEET DOUGH-SODEXO"</f>
        <v>000305712 - RICHS SWEET DOUGH-SODEXO</v>
      </c>
      <c r="C15546" t="s">
        <v>137</v>
      </c>
      <c r="D15546" s="1" t="str">
        <f t="shared" si="425"/>
        <v>PRG-1043974</v>
      </c>
      <c r="E15546" t="s">
        <v>390</v>
      </c>
      <c r="F15546" t="s">
        <v>4</v>
      </c>
      <c r="G15546" t="str">
        <f>""</f>
        <v/>
      </c>
    </row>
    <row r="15547" spans="1:7" x14ac:dyDescent="0.25">
      <c r="A15547" t="s">
        <v>8</v>
      </c>
      <c r="B15547" s="1" t="str">
        <f>"000305959 - RICHS SWEET DOUGH-SODEXO"</f>
        <v>000305959 - RICHS SWEET DOUGH-SODEXO</v>
      </c>
      <c r="C15547" t="s">
        <v>137</v>
      </c>
      <c r="D15547" s="1" t="str">
        <f t="shared" si="425"/>
        <v>PRG-1043974</v>
      </c>
      <c r="E15547" t="s">
        <v>390</v>
      </c>
      <c r="F15547" t="s">
        <v>4</v>
      </c>
      <c r="G15547" t="str">
        <f>""</f>
        <v/>
      </c>
    </row>
    <row r="15548" spans="1:7" x14ac:dyDescent="0.25">
      <c r="A15548" t="s">
        <v>8</v>
      </c>
      <c r="B15548" s="1" t="str">
        <f>"000306182 - RICHS SWEET DOUGH-SODEXO"</f>
        <v>000306182 - RICHS SWEET DOUGH-SODEXO</v>
      </c>
      <c r="C15548" t="s">
        <v>137</v>
      </c>
      <c r="D15548" s="1" t="str">
        <f t="shared" si="425"/>
        <v>PRG-1043974</v>
      </c>
      <c r="E15548" t="s">
        <v>390</v>
      </c>
      <c r="F15548" t="s">
        <v>4</v>
      </c>
      <c r="G15548" t="str">
        <f>""</f>
        <v/>
      </c>
    </row>
    <row r="15549" spans="1:7" x14ac:dyDescent="0.25">
      <c r="A15549" t="s">
        <v>8</v>
      </c>
      <c r="B15549" s="1" t="str">
        <f>"000306832 - RICH'S TOPPINGS-SODEXO"</f>
        <v>000306832 - RICH'S TOPPINGS-SODEXO</v>
      </c>
      <c r="C15549" t="s">
        <v>142</v>
      </c>
      <c r="D15549" s="1" t="str">
        <f t="shared" si="425"/>
        <v>PRG-1043974</v>
      </c>
      <c r="E15549" t="s">
        <v>390</v>
      </c>
      <c r="F15549" t="s">
        <v>4</v>
      </c>
      <c r="G15549" t="str">
        <f>""</f>
        <v/>
      </c>
    </row>
    <row r="15550" spans="1:7" x14ac:dyDescent="0.25">
      <c r="A15550" t="s">
        <v>8</v>
      </c>
      <c r="B15550" s="1" t="str">
        <f>"000307440 - RICHS SWEET DOUGH-SODEXO"</f>
        <v>000307440 - RICHS SWEET DOUGH-SODEXO</v>
      </c>
      <c r="C15550" t="s">
        <v>137</v>
      </c>
      <c r="D15550" s="1" t="str">
        <f t="shared" si="425"/>
        <v>PRG-1043974</v>
      </c>
      <c r="E15550" t="s">
        <v>390</v>
      </c>
      <c r="F15550" t="s">
        <v>4</v>
      </c>
      <c r="G15550" t="str">
        <f>""</f>
        <v/>
      </c>
    </row>
    <row r="15551" spans="1:7" x14ac:dyDescent="0.25">
      <c r="A15551" t="s">
        <v>8</v>
      </c>
      <c r="B15551" s="1" t="str">
        <f>"000308263 - RICHS SWEET DOUGH-SODEXO"</f>
        <v>000308263 - RICHS SWEET DOUGH-SODEXO</v>
      </c>
      <c r="C15551" t="s">
        <v>137</v>
      </c>
      <c r="D15551" s="1" t="str">
        <f t="shared" si="425"/>
        <v>PRG-1043974</v>
      </c>
      <c r="E15551" t="s">
        <v>390</v>
      </c>
      <c r="F15551" t="s">
        <v>4</v>
      </c>
      <c r="G15551" t="str">
        <f>""</f>
        <v/>
      </c>
    </row>
    <row r="15552" spans="1:7" x14ac:dyDescent="0.25">
      <c r="A15552" t="s">
        <v>8</v>
      </c>
      <c r="B15552" s="1" t="str">
        <f>"000308391 - RICHS SWEET DOUGH-SODEXO"</f>
        <v>000308391 - RICHS SWEET DOUGH-SODEXO</v>
      </c>
      <c r="C15552" t="s">
        <v>137</v>
      </c>
      <c r="D15552" s="1" t="str">
        <f t="shared" si="425"/>
        <v>PRG-1043974</v>
      </c>
      <c r="E15552" t="s">
        <v>390</v>
      </c>
      <c r="F15552" t="s">
        <v>4</v>
      </c>
      <c r="G15552" t="str">
        <f>""</f>
        <v/>
      </c>
    </row>
    <row r="15553" spans="1:7" x14ac:dyDescent="0.25">
      <c r="A15553" t="s">
        <v>8</v>
      </c>
      <c r="B15553" s="1" t="str">
        <f>"000308497 - RICHS SWEET DOUGH-SODEXO"</f>
        <v>000308497 - RICHS SWEET DOUGH-SODEXO</v>
      </c>
      <c r="C15553" t="s">
        <v>137</v>
      </c>
      <c r="D15553" s="1" t="str">
        <f t="shared" si="425"/>
        <v>PRG-1043974</v>
      </c>
      <c r="E15553" t="s">
        <v>390</v>
      </c>
      <c r="F15553" t="s">
        <v>4</v>
      </c>
      <c r="G15553" t="str">
        <f>""</f>
        <v/>
      </c>
    </row>
    <row r="15554" spans="1:7" x14ac:dyDescent="0.25">
      <c r="A15554" t="s">
        <v>8</v>
      </c>
      <c r="B15554" s="1" t="str">
        <f>"000309104 - RICHS SWEET DOUGH-SODEXO"</f>
        <v>000309104 - RICHS SWEET DOUGH-SODEXO</v>
      </c>
      <c r="C15554" t="s">
        <v>137</v>
      </c>
      <c r="D15554" s="1" t="str">
        <f t="shared" si="425"/>
        <v>PRG-1043974</v>
      </c>
      <c r="E15554" t="s">
        <v>390</v>
      </c>
      <c r="F15554" t="s">
        <v>4</v>
      </c>
      <c r="G15554" t="str">
        <f>""</f>
        <v/>
      </c>
    </row>
    <row r="15555" spans="1:7" x14ac:dyDescent="0.25">
      <c r="A15555" t="s">
        <v>8</v>
      </c>
      <c r="B15555" s="1" t="str">
        <f>"000309944 - RICHS SWEET DOUGH-SODEXO"</f>
        <v>000309944 - RICHS SWEET DOUGH-SODEXO</v>
      </c>
      <c r="C15555" t="s">
        <v>137</v>
      </c>
      <c r="D15555" s="1" t="str">
        <f t="shared" si="425"/>
        <v>PRG-1043974</v>
      </c>
      <c r="E15555" t="s">
        <v>390</v>
      </c>
      <c r="F15555" t="s">
        <v>4</v>
      </c>
      <c r="G15555" t="str">
        <f>""</f>
        <v/>
      </c>
    </row>
    <row r="15556" spans="1:7" x14ac:dyDescent="0.25">
      <c r="A15556" t="s">
        <v>8</v>
      </c>
      <c r="B15556" s="1" t="str">
        <f>"000310218 - RICHS SWEET DOUGH-SODEXO"</f>
        <v>000310218 - RICHS SWEET DOUGH-SODEXO</v>
      </c>
      <c r="C15556" t="s">
        <v>137</v>
      </c>
      <c r="D15556" s="1" t="str">
        <f t="shared" si="425"/>
        <v>PRG-1043974</v>
      </c>
      <c r="E15556" t="s">
        <v>390</v>
      </c>
      <c r="F15556" t="s">
        <v>4</v>
      </c>
      <c r="G15556" t="str">
        <f>""</f>
        <v/>
      </c>
    </row>
    <row r="15557" spans="1:7" x14ac:dyDescent="0.25">
      <c r="A15557" t="s">
        <v>8</v>
      </c>
      <c r="B15557" s="1" t="str">
        <f>"000310364 - RICHS SWEET DOUGH-SODEXO"</f>
        <v>000310364 - RICHS SWEET DOUGH-SODEXO</v>
      </c>
      <c r="C15557" t="s">
        <v>137</v>
      </c>
      <c r="D15557" s="1" t="str">
        <f t="shared" si="425"/>
        <v>PRG-1043974</v>
      </c>
      <c r="E15557" t="s">
        <v>390</v>
      </c>
      <c r="F15557" t="s">
        <v>4</v>
      </c>
      <c r="G15557" t="str">
        <f>""</f>
        <v/>
      </c>
    </row>
    <row r="15558" spans="1:7" x14ac:dyDescent="0.25">
      <c r="A15558" t="s">
        <v>8</v>
      </c>
      <c r="B15558" s="1" t="str">
        <f>"000311452 - RICHS SWEET DOUGH-SODEXO"</f>
        <v>000311452 - RICHS SWEET DOUGH-SODEXO</v>
      </c>
      <c r="C15558" t="s">
        <v>137</v>
      </c>
      <c r="D15558" s="1" t="str">
        <f t="shared" si="425"/>
        <v>PRG-1043974</v>
      </c>
      <c r="E15558" t="s">
        <v>390</v>
      </c>
      <c r="F15558" t="s">
        <v>4</v>
      </c>
      <c r="G15558" t="str">
        <f>""</f>
        <v/>
      </c>
    </row>
    <row r="15559" spans="1:7" x14ac:dyDescent="0.25">
      <c r="A15559" t="s">
        <v>8</v>
      </c>
      <c r="B15559" s="1" t="str">
        <f>"000312258 - RICHS SWEET DOUGH-SODEXO"</f>
        <v>000312258 - RICHS SWEET DOUGH-SODEXO</v>
      </c>
      <c r="C15559" t="s">
        <v>137</v>
      </c>
      <c r="D15559" s="1" t="str">
        <f t="shared" si="425"/>
        <v>PRG-1043974</v>
      </c>
      <c r="E15559" t="s">
        <v>390</v>
      </c>
      <c r="F15559" t="s">
        <v>4</v>
      </c>
      <c r="G15559" t="str">
        <f>""</f>
        <v/>
      </c>
    </row>
    <row r="15560" spans="1:7" x14ac:dyDescent="0.25">
      <c r="A15560" t="s">
        <v>8</v>
      </c>
      <c r="B15560" s="1" t="str">
        <f>"000312368 - RICHS SWEET DOUGH-SODEXO"</f>
        <v>000312368 - RICHS SWEET DOUGH-SODEXO</v>
      </c>
      <c r="C15560" t="s">
        <v>137</v>
      </c>
      <c r="D15560" s="1" t="str">
        <f t="shared" si="425"/>
        <v>PRG-1043974</v>
      </c>
      <c r="E15560" t="s">
        <v>390</v>
      </c>
      <c r="F15560" t="s">
        <v>4</v>
      </c>
      <c r="G15560" t="str">
        <f>""</f>
        <v/>
      </c>
    </row>
    <row r="15561" spans="1:7" x14ac:dyDescent="0.25">
      <c r="A15561" t="s">
        <v>8</v>
      </c>
      <c r="B15561" s="1" t="str">
        <f>"000312506 - RICHS SWEET DOUGH-SODEXO"</f>
        <v>000312506 - RICHS SWEET DOUGH-SODEXO</v>
      </c>
      <c r="C15561" t="s">
        <v>137</v>
      </c>
      <c r="D15561" s="1" t="str">
        <f t="shared" si="425"/>
        <v>PRG-1043974</v>
      </c>
      <c r="E15561" t="s">
        <v>390</v>
      </c>
      <c r="F15561" t="s">
        <v>4</v>
      </c>
      <c r="G15561" t="str">
        <f>""</f>
        <v/>
      </c>
    </row>
    <row r="15562" spans="1:7" x14ac:dyDescent="0.25">
      <c r="A15562" t="s">
        <v>8</v>
      </c>
      <c r="B15562" s="1" t="str">
        <f>"000312736 - RICHS SWEET DOUGH-SODEXO"</f>
        <v>000312736 - RICHS SWEET DOUGH-SODEXO</v>
      </c>
      <c r="C15562" t="s">
        <v>137</v>
      </c>
      <c r="D15562" s="1" t="str">
        <f t="shared" si="425"/>
        <v>PRG-1043974</v>
      </c>
      <c r="E15562" t="s">
        <v>390</v>
      </c>
      <c r="F15562" t="s">
        <v>4</v>
      </c>
      <c r="G15562" t="str">
        <f>""</f>
        <v/>
      </c>
    </row>
    <row r="15563" spans="1:7" x14ac:dyDescent="0.25">
      <c r="A15563" t="s">
        <v>8</v>
      </c>
      <c r="B15563" s="1" t="str">
        <f>"000313892 - RICHS SWEET DOUGH-SODEXO"</f>
        <v>000313892 - RICHS SWEET DOUGH-SODEXO</v>
      </c>
      <c r="C15563" t="s">
        <v>137</v>
      </c>
      <c r="D15563" s="1" t="str">
        <f t="shared" si="425"/>
        <v>PRG-1043974</v>
      </c>
      <c r="E15563" t="s">
        <v>390</v>
      </c>
      <c r="F15563" t="s">
        <v>4</v>
      </c>
      <c r="G15563" t="str">
        <f>""</f>
        <v/>
      </c>
    </row>
    <row r="15564" spans="1:7" x14ac:dyDescent="0.25">
      <c r="A15564" t="s">
        <v>8</v>
      </c>
      <c r="B15564" s="1" t="str">
        <f>"000313995 - RICHS SWEET DOUGH-SODEXO"</f>
        <v>000313995 - RICHS SWEET DOUGH-SODEXO</v>
      </c>
      <c r="C15564" t="s">
        <v>137</v>
      </c>
      <c r="D15564" s="1" t="str">
        <f t="shared" si="425"/>
        <v>PRG-1043974</v>
      </c>
      <c r="E15564" t="s">
        <v>390</v>
      </c>
      <c r="F15564" t="s">
        <v>4</v>
      </c>
      <c r="G15564" t="str">
        <f>""</f>
        <v/>
      </c>
    </row>
    <row r="15565" spans="1:7" x14ac:dyDescent="0.25">
      <c r="A15565" t="s">
        <v>8</v>
      </c>
      <c r="B15565" s="1" t="str">
        <f>"000314558 - RICHS SWEET DOUGH-SODEXO"</f>
        <v>000314558 - RICHS SWEET DOUGH-SODEXO</v>
      </c>
      <c r="C15565" t="s">
        <v>137</v>
      </c>
      <c r="D15565" s="1" t="str">
        <f t="shared" si="425"/>
        <v>PRG-1043974</v>
      </c>
      <c r="E15565" t="s">
        <v>390</v>
      </c>
      <c r="F15565" t="s">
        <v>4</v>
      </c>
      <c r="G15565" t="str">
        <f>""</f>
        <v/>
      </c>
    </row>
    <row r="15566" spans="1:7" x14ac:dyDescent="0.25">
      <c r="A15566" t="s">
        <v>8</v>
      </c>
      <c r="B15566" s="1" t="str">
        <f>"000314893 - RICHS SWEET DOUGH-SODEXO"</f>
        <v>000314893 - RICHS SWEET DOUGH-SODEXO</v>
      </c>
      <c r="C15566" t="s">
        <v>137</v>
      </c>
      <c r="D15566" s="1" t="str">
        <f t="shared" si="425"/>
        <v>PRG-1043974</v>
      </c>
      <c r="E15566" t="s">
        <v>390</v>
      </c>
      <c r="F15566" t="s">
        <v>4</v>
      </c>
      <c r="G15566" t="str">
        <f>""</f>
        <v/>
      </c>
    </row>
    <row r="15567" spans="1:7" x14ac:dyDescent="0.25">
      <c r="A15567" t="s">
        <v>8</v>
      </c>
      <c r="B15567" s="1" t="str">
        <f>"000315411 - RICHS SWEET DOUGH-SODEXO"</f>
        <v>000315411 - RICHS SWEET DOUGH-SODEXO</v>
      </c>
      <c r="C15567" t="s">
        <v>137</v>
      </c>
      <c r="D15567" s="1" t="str">
        <f t="shared" si="425"/>
        <v>PRG-1043974</v>
      </c>
      <c r="E15567" t="s">
        <v>390</v>
      </c>
      <c r="F15567" t="s">
        <v>4</v>
      </c>
      <c r="G15567" t="str">
        <f>""</f>
        <v/>
      </c>
    </row>
    <row r="15568" spans="1:7" x14ac:dyDescent="0.25">
      <c r="A15568" t="s">
        <v>8</v>
      </c>
      <c r="B15568" s="1" t="str">
        <f>"000316257 - RICHS CORE-CC  MMI HEALTH"</f>
        <v>000316257 - RICHS CORE-CC  MMI HEALTH</v>
      </c>
      <c r="C15568" t="s">
        <v>3183</v>
      </c>
      <c r="D15568" s="1" t="str">
        <f t="shared" si="425"/>
        <v>PRG-1043974</v>
      </c>
      <c r="E15568" t="s">
        <v>390</v>
      </c>
      <c r="F15568" t="s">
        <v>4</v>
      </c>
      <c r="G15568" t="str">
        <f>""</f>
        <v/>
      </c>
    </row>
    <row r="15569" spans="1:7" x14ac:dyDescent="0.25">
      <c r="A15569" t="s">
        <v>8</v>
      </c>
      <c r="B15569" s="1" t="str">
        <f>"000316478 - RICHS SWEET DOUGH-SODEXO"</f>
        <v>000316478 - RICHS SWEET DOUGH-SODEXO</v>
      </c>
      <c r="C15569" t="s">
        <v>137</v>
      </c>
      <c r="D15569" s="1" t="str">
        <f t="shared" si="425"/>
        <v>PRG-1043974</v>
      </c>
      <c r="E15569" t="s">
        <v>390</v>
      </c>
      <c r="F15569" t="s">
        <v>4</v>
      </c>
      <c r="G15569" t="str">
        <f>""</f>
        <v/>
      </c>
    </row>
    <row r="15570" spans="1:7" x14ac:dyDescent="0.25">
      <c r="A15570" t="s">
        <v>8</v>
      </c>
      <c r="B15570" s="1" t="str">
        <f>"000316826 - RICHS SWEET DOUGH-SODEXO"</f>
        <v>000316826 - RICHS SWEET DOUGH-SODEXO</v>
      </c>
      <c r="C15570" t="s">
        <v>137</v>
      </c>
      <c r="D15570" s="1" t="str">
        <f t="shared" si="425"/>
        <v>PRG-1043974</v>
      </c>
      <c r="E15570" t="s">
        <v>390</v>
      </c>
      <c r="F15570" t="s">
        <v>4</v>
      </c>
      <c r="G15570" t="str">
        <f>""</f>
        <v/>
      </c>
    </row>
    <row r="15571" spans="1:7" x14ac:dyDescent="0.25">
      <c r="A15571" t="s">
        <v>8</v>
      </c>
      <c r="B15571" s="1" t="str">
        <f>"000317139 - RICHS SWEET DOUGH-SODEXO"</f>
        <v>000317139 - RICHS SWEET DOUGH-SODEXO</v>
      </c>
      <c r="C15571" t="s">
        <v>137</v>
      </c>
      <c r="D15571" s="1" t="str">
        <f t="shared" si="425"/>
        <v>PRG-1043974</v>
      </c>
      <c r="E15571" t="s">
        <v>390</v>
      </c>
      <c r="F15571" t="s">
        <v>4</v>
      </c>
      <c r="G15571" t="str">
        <f>""</f>
        <v/>
      </c>
    </row>
    <row r="15572" spans="1:7" x14ac:dyDescent="0.25">
      <c r="A15572" t="s">
        <v>8</v>
      </c>
      <c r="B15572" s="1" t="str">
        <f>"000318219 - RICHS SWEET DOUGH-SODEXO"</f>
        <v>000318219 - RICHS SWEET DOUGH-SODEXO</v>
      </c>
      <c r="C15572" t="s">
        <v>137</v>
      </c>
      <c r="D15572" s="1" t="str">
        <f t="shared" si="425"/>
        <v>PRG-1043974</v>
      </c>
      <c r="E15572" t="s">
        <v>390</v>
      </c>
      <c r="F15572" t="s">
        <v>4</v>
      </c>
      <c r="G15572" t="str">
        <f>""</f>
        <v/>
      </c>
    </row>
    <row r="15573" spans="1:7" x14ac:dyDescent="0.25">
      <c r="A15573" t="s">
        <v>8</v>
      </c>
      <c r="B15573" s="1" t="str">
        <f>"000318371 - RICHS SWEET DOUGH-SODEXO"</f>
        <v>000318371 - RICHS SWEET DOUGH-SODEXO</v>
      </c>
      <c r="C15573" t="s">
        <v>137</v>
      </c>
      <c r="D15573" s="1" t="str">
        <f t="shared" si="425"/>
        <v>PRG-1043974</v>
      </c>
      <c r="E15573" t="s">
        <v>390</v>
      </c>
      <c r="F15573" t="s">
        <v>4</v>
      </c>
      <c r="G15573" t="str">
        <f>""</f>
        <v/>
      </c>
    </row>
    <row r="15574" spans="1:7" x14ac:dyDescent="0.25">
      <c r="A15574" t="s">
        <v>8</v>
      </c>
      <c r="B15574" s="1" t="str">
        <f>"000318466 - RICHS SWEET DOUGH-SODEXO"</f>
        <v>000318466 - RICHS SWEET DOUGH-SODEXO</v>
      </c>
      <c r="C15574" t="s">
        <v>137</v>
      </c>
      <c r="D15574" s="1" t="str">
        <f t="shared" si="425"/>
        <v>PRG-1043974</v>
      </c>
      <c r="E15574" t="s">
        <v>390</v>
      </c>
      <c r="F15574" t="s">
        <v>4</v>
      </c>
      <c r="G15574" t="str">
        <f>""</f>
        <v/>
      </c>
    </row>
    <row r="15575" spans="1:7" x14ac:dyDescent="0.25">
      <c r="A15575" t="s">
        <v>8</v>
      </c>
      <c r="B15575" s="1" t="str">
        <f>"000318689 - RICHS SWEET DOUGH-SODEXO"</f>
        <v>000318689 - RICHS SWEET DOUGH-SODEXO</v>
      </c>
      <c r="C15575" t="s">
        <v>137</v>
      </c>
      <c r="D15575" s="1" t="str">
        <f t="shared" si="425"/>
        <v>PRG-1043974</v>
      </c>
      <c r="E15575" t="s">
        <v>390</v>
      </c>
      <c r="F15575" t="s">
        <v>4</v>
      </c>
      <c r="G15575" t="str">
        <f>""</f>
        <v/>
      </c>
    </row>
    <row r="15576" spans="1:7" x14ac:dyDescent="0.25">
      <c r="A15576" t="s">
        <v>8</v>
      </c>
      <c r="B15576" s="1" t="str">
        <f>"000318734 - RICHS SWEET DOUGH-SODEXO"</f>
        <v>000318734 - RICHS SWEET DOUGH-SODEXO</v>
      </c>
      <c r="C15576" t="s">
        <v>137</v>
      </c>
      <c r="D15576" s="1" t="str">
        <f t="shared" si="425"/>
        <v>PRG-1043974</v>
      </c>
      <c r="E15576" t="s">
        <v>390</v>
      </c>
      <c r="F15576" t="s">
        <v>4</v>
      </c>
      <c r="G15576" t="str">
        <f>""</f>
        <v/>
      </c>
    </row>
    <row r="15577" spans="1:7" x14ac:dyDescent="0.25">
      <c r="A15577" t="s">
        <v>8</v>
      </c>
      <c r="B15577" s="1" t="str">
        <f>"000319457 - RICHS SWEET DOUGH-SODEXO"</f>
        <v>000319457 - RICHS SWEET DOUGH-SODEXO</v>
      </c>
      <c r="C15577" t="s">
        <v>137</v>
      </c>
      <c r="D15577" s="1" t="str">
        <f t="shared" si="425"/>
        <v>PRG-1043974</v>
      </c>
      <c r="E15577" t="s">
        <v>390</v>
      </c>
      <c r="F15577" t="s">
        <v>4</v>
      </c>
      <c r="G15577" t="str">
        <f>""</f>
        <v/>
      </c>
    </row>
    <row r="15578" spans="1:7" x14ac:dyDescent="0.25">
      <c r="A15578" t="s">
        <v>8</v>
      </c>
      <c r="B15578" s="1" t="str">
        <f>"000320209 - RICHS SWEET DOUGH-SODEXO"</f>
        <v>000320209 - RICHS SWEET DOUGH-SODEXO</v>
      </c>
      <c r="C15578" t="s">
        <v>137</v>
      </c>
      <c r="D15578" s="1" t="str">
        <f t="shared" si="425"/>
        <v>PRG-1043974</v>
      </c>
      <c r="E15578" t="s">
        <v>390</v>
      </c>
      <c r="F15578" t="s">
        <v>4</v>
      </c>
      <c r="G15578" t="str">
        <f>""</f>
        <v/>
      </c>
    </row>
    <row r="15579" spans="1:7" x14ac:dyDescent="0.25">
      <c r="A15579" t="s">
        <v>8</v>
      </c>
      <c r="B15579" s="1" t="str">
        <f>"000321430 - RICHS SWEET DOUGH-SODEXO"</f>
        <v>000321430 - RICHS SWEET DOUGH-SODEXO</v>
      </c>
      <c r="C15579" t="s">
        <v>137</v>
      </c>
      <c r="D15579" s="1" t="str">
        <f t="shared" si="425"/>
        <v>PRG-1043974</v>
      </c>
      <c r="E15579" t="s">
        <v>390</v>
      </c>
      <c r="F15579" t="s">
        <v>4</v>
      </c>
      <c r="G15579" t="str">
        <f>""</f>
        <v/>
      </c>
    </row>
    <row r="15580" spans="1:7" x14ac:dyDescent="0.25">
      <c r="A15580" t="s">
        <v>8</v>
      </c>
      <c r="B15580" s="1" t="str">
        <f>"000321567 - RICHS SWEET DOUGH-SODEXO"</f>
        <v>000321567 - RICHS SWEET DOUGH-SODEXO</v>
      </c>
      <c r="C15580" t="s">
        <v>137</v>
      </c>
      <c r="D15580" s="1" t="str">
        <f t="shared" si="425"/>
        <v>PRG-1043974</v>
      </c>
      <c r="E15580" t="s">
        <v>390</v>
      </c>
      <c r="F15580" t="s">
        <v>4</v>
      </c>
      <c r="G15580" t="str">
        <f>""</f>
        <v/>
      </c>
    </row>
    <row r="15581" spans="1:7" x14ac:dyDescent="0.25">
      <c r="A15581" t="s">
        <v>8</v>
      </c>
      <c r="B15581" s="1" t="str">
        <f>"000323554 - RICHS SWEET DOUGH-SODEXO"</f>
        <v>000323554 - RICHS SWEET DOUGH-SODEXO</v>
      </c>
      <c r="C15581" t="s">
        <v>137</v>
      </c>
      <c r="D15581" s="1" t="str">
        <f t="shared" si="425"/>
        <v>PRG-1043974</v>
      </c>
      <c r="E15581" t="s">
        <v>390</v>
      </c>
      <c r="F15581" t="s">
        <v>4</v>
      </c>
      <c r="G15581" t="str">
        <f>""</f>
        <v/>
      </c>
    </row>
    <row r="15582" spans="1:7" x14ac:dyDescent="0.25">
      <c r="A15582" t="s">
        <v>8</v>
      </c>
      <c r="B15582" s="1" t="str">
        <f>"000323813 - RICHS SWEET DOUGH-SODEXO"</f>
        <v>000323813 - RICHS SWEET DOUGH-SODEXO</v>
      </c>
      <c r="C15582" t="s">
        <v>137</v>
      </c>
      <c r="D15582" s="1" t="str">
        <f t="shared" si="425"/>
        <v>PRG-1043974</v>
      </c>
      <c r="E15582" t="s">
        <v>390</v>
      </c>
      <c r="F15582" t="s">
        <v>4</v>
      </c>
      <c r="G15582" t="str">
        <f>""</f>
        <v/>
      </c>
    </row>
    <row r="15583" spans="1:7" x14ac:dyDescent="0.25">
      <c r="A15583" t="s">
        <v>8</v>
      </c>
      <c r="B15583" s="1" t="str">
        <f>"000327004 - RICHS SWEET DOUGH-SODEXO"</f>
        <v>000327004 - RICHS SWEET DOUGH-SODEXO</v>
      </c>
      <c r="C15583" t="s">
        <v>137</v>
      </c>
      <c r="D15583" s="1" t="str">
        <f t="shared" si="425"/>
        <v>PRG-1043974</v>
      </c>
      <c r="E15583" t="s">
        <v>390</v>
      </c>
      <c r="F15583" t="s">
        <v>4</v>
      </c>
      <c r="G15583" t="str">
        <f>""</f>
        <v/>
      </c>
    </row>
    <row r="15584" spans="1:7" x14ac:dyDescent="0.25">
      <c r="A15584" t="s">
        <v>8</v>
      </c>
      <c r="B15584" s="1" t="str">
        <f>"000330295 - RICHS SWEET DOUGH-SODEXO"</f>
        <v>000330295 - RICHS SWEET DOUGH-SODEXO</v>
      </c>
      <c r="C15584" t="s">
        <v>137</v>
      </c>
      <c r="D15584" s="1" t="str">
        <f t="shared" si="425"/>
        <v>PRG-1043974</v>
      </c>
      <c r="E15584" t="s">
        <v>390</v>
      </c>
      <c r="F15584" t="s">
        <v>4</v>
      </c>
      <c r="G15584" t="str">
        <f>""</f>
        <v/>
      </c>
    </row>
    <row r="15585" spans="1:7" x14ac:dyDescent="0.25">
      <c r="A15585" t="s">
        <v>8</v>
      </c>
      <c r="B15585" s="1" t="str">
        <f>"000332479 - RICHS SWEET DOUGH-SODEXO"</f>
        <v>000332479 - RICHS SWEET DOUGH-SODEXO</v>
      </c>
      <c r="C15585" t="s">
        <v>137</v>
      </c>
      <c r="D15585" s="1" t="str">
        <f t="shared" si="425"/>
        <v>PRG-1043974</v>
      </c>
      <c r="E15585" t="s">
        <v>390</v>
      </c>
      <c r="F15585" t="s">
        <v>4</v>
      </c>
      <c r="G15585" t="str">
        <f>""</f>
        <v/>
      </c>
    </row>
    <row r="15586" spans="1:7" x14ac:dyDescent="0.25">
      <c r="A15586" t="s">
        <v>8</v>
      </c>
      <c r="B15586" s="1" t="str">
        <f>"000333427 - RICHS SWEET DOUGH-SODEXO"</f>
        <v>000333427 - RICHS SWEET DOUGH-SODEXO</v>
      </c>
      <c r="C15586" t="s">
        <v>137</v>
      </c>
      <c r="D15586" s="1" t="str">
        <f t="shared" si="425"/>
        <v>PRG-1043974</v>
      </c>
      <c r="E15586" t="s">
        <v>390</v>
      </c>
      <c r="F15586" t="s">
        <v>4</v>
      </c>
      <c r="G15586" t="str">
        <f>""</f>
        <v/>
      </c>
    </row>
    <row r="15587" spans="1:7" x14ac:dyDescent="0.25">
      <c r="A15587" t="s">
        <v>8</v>
      </c>
      <c r="B15587" s="1" t="str">
        <f>"000336074 - RICHS SWEET DOUGH-SODEXO"</f>
        <v>000336074 - RICHS SWEET DOUGH-SODEXO</v>
      </c>
      <c r="C15587" t="s">
        <v>137</v>
      </c>
      <c r="D15587" s="1" t="str">
        <f t="shared" si="425"/>
        <v>PRG-1043974</v>
      </c>
      <c r="E15587" t="s">
        <v>390</v>
      </c>
      <c r="F15587" t="s">
        <v>4</v>
      </c>
      <c r="G15587" t="str">
        <f>""</f>
        <v/>
      </c>
    </row>
    <row r="15588" spans="1:7" x14ac:dyDescent="0.25">
      <c r="A15588" t="s">
        <v>8</v>
      </c>
      <c r="B15588" s="1" t="str">
        <f>"000336599 - RICHS SWEET DOUGH-SODEXO"</f>
        <v>000336599 - RICHS SWEET DOUGH-SODEXO</v>
      </c>
      <c r="C15588" t="s">
        <v>137</v>
      </c>
      <c r="D15588" s="1" t="str">
        <f t="shared" si="425"/>
        <v>PRG-1043974</v>
      </c>
      <c r="E15588" t="s">
        <v>390</v>
      </c>
      <c r="F15588" t="s">
        <v>4</v>
      </c>
      <c r="G15588" t="str">
        <f>""</f>
        <v/>
      </c>
    </row>
    <row r="15589" spans="1:7" x14ac:dyDescent="0.25">
      <c r="A15589" t="s">
        <v>8</v>
      </c>
      <c r="B15589" s="1" t="str">
        <f>"000337294 - RICHS SWEET DOUGH-SODEXO"</f>
        <v>000337294 - RICHS SWEET DOUGH-SODEXO</v>
      </c>
      <c r="C15589" t="s">
        <v>137</v>
      </c>
      <c r="D15589" s="1" t="str">
        <f t="shared" si="425"/>
        <v>PRG-1043974</v>
      </c>
      <c r="E15589" t="s">
        <v>390</v>
      </c>
      <c r="F15589" t="s">
        <v>4</v>
      </c>
      <c r="G15589" t="str">
        <f>""</f>
        <v/>
      </c>
    </row>
    <row r="15590" spans="1:7" x14ac:dyDescent="0.25">
      <c r="A15590" t="s">
        <v>8</v>
      </c>
      <c r="B15590" s="1" t="str">
        <f>"000339249 - RICHS SWEET DOUGH-SODEXO"</f>
        <v>000339249 - RICHS SWEET DOUGH-SODEXO</v>
      </c>
      <c r="C15590" t="s">
        <v>137</v>
      </c>
      <c r="D15590" s="1" t="str">
        <f t="shared" si="425"/>
        <v>PRG-1043974</v>
      </c>
      <c r="E15590" t="s">
        <v>390</v>
      </c>
      <c r="F15590" t="s">
        <v>4</v>
      </c>
      <c r="G15590" t="str">
        <f>""</f>
        <v/>
      </c>
    </row>
    <row r="15591" spans="1:7" x14ac:dyDescent="0.25">
      <c r="A15591" t="s">
        <v>8</v>
      </c>
      <c r="B15591" s="1" t="str">
        <f>"000339440 - RICHS SWEET DOUGH-SODEXO"</f>
        <v>000339440 - RICHS SWEET DOUGH-SODEXO</v>
      </c>
      <c r="C15591" t="s">
        <v>137</v>
      </c>
      <c r="D15591" s="1" t="str">
        <f t="shared" si="425"/>
        <v>PRG-1043974</v>
      </c>
      <c r="E15591" t="s">
        <v>390</v>
      </c>
      <c r="F15591" t="s">
        <v>4</v>
      </c>
      <c r="G15591" t="str">
        <f>""</f>
        <v/>
      </c>
    </row>
    <row r="15592" spans="1:7" x14ac:dyDescent="0.25">
      <c r="A15592" t="s">
        <v>8</v>
      </c>
      <c r="B15592" s="1" t="str">
        <f>"000340550 - RICHS SWEET DOUGH-SODEXO"</f>
        <v>000340550 - RICHS SWEET DOUGH-SODEXO</v>
      </c>
      <c r="C15592" t="s">
        <v>137</v>
      </c>
      <c r="D15592" s="1" t="str">
        <f t="shared" si="425"/>
        <v>PRG-1043974</v>
      </c>
      <c r="E15592" t="s">
        <v>390</v>
      </c>
      <c r="F15592" t="s">
        <v>4</v>
      </c>
      <c r="G15592" t="str">
        <f>""</f>
        <v/>
      </c>
    </row>
    <row r="15593" spans="1:7" x14ac:dyDescent="0.25">
      <c r="A15593" t="s">
        <v>8</v>
      </c>
      <c r="B15593" s="1" t="str">
        <f>"000340578 - RICHS SWEET DOUGH-SODEXO"</f>
        <v>000340578 - RICHS SWEET DOUGH-SODEXO</v>
      </c>
      <c r="C15593" t="s">
        <v>137</v>
      </c>
      <c r="D15593" s="1" t="str">
        <f t="shared" si="425"/>
        <v>PRG-1043974</v>
      </c>
      <c r="E15593" t="s">
        <v>390</v>
      </c>
      <c r="F15593" t="s">
        <v>4</v>
      </c>
      <c r="G15593" t="str">
        <f>""</f>
        <v/>
      </c>
    </row>
    <row r="15594" spans="1:7" x14ac:dyDescent="0.25">
      <c r="A15594" t="s">
        <v>8</v>
      </c>
      <c r="B15594" s="1" t="str">
        <f>"000341540 - RICHS SWEET DOUGH-SODEXO"</f>
        <v>000341540 - RICHS SWEET DOUGH-SODEXO</v>
      </c>
      <c r="C15594" t="s">
        <v>137</v>
      </c>
      <c r="D15594" s="1" t="str">
        <f t="shared" si="425"/>
        <v>PRG-1043974</v>
      </c>
      <c r="E15594" t="s">
        <v>390</v>
      </c>
      <c r="F15594" t="s">
        <v>4</v>
      </c>
      <c r="G15594" t="str">
        <f>""</f>
        <v/>
      </c>
    </row>
    <row r="15595" spans="1:7" x14ac:dyDescent="0.25">
      <c r="A15595" t="s">
        <v>8</v>
      </c>
      <c r="B15595" s="1" t="str">
        <f>"000344374 - RICHS SWEET DOUGH-SODEXO"</f>
        <v>000344374 - RICHS SWEET DOUGH-SODEXO</v>
      </c>
      <c r="C15595" t="s">
        <v>137</v>
      </c>
      <c r="D15595" s="1" t="str">
        <f t="shared" si="425"/>
        <v>PRG-1043974</v>
      </c>
      <c r="E15595" t="s">
        <v>390</v>
      </c>
      <c r="F15595" t="s">
        <v>4</v>
      </c>
      <c r="G15595" t="str">
        <f>""</f>
        <v/>
      </c>
    </row>
    <row r="15596" spans="1:7" x14ac:dyDescent="0.25">
      <c r="A15596" t="s">
        <v>8</v>
      </c>
      <c r="B15596" s="1" t="str">
        <f>"000346189 - RICHS SWEET DOUGH-SODEXO"</f>
        <v>000346189 - RICHS SWEET DOUGH-SODEXO</v>
      </c>
      <c r="C15596" t="s">
        <v>137</v>
      </c>
      <c r="D15596" s="1" t="str">
        <f t="shared" si="425"/>
        <v>PRG-1043974</v>
      </c>
      <c r="E15596" t="s">
        <v>390</v>
      </c>
      <c r="F15596" t="s">
        <v>4</v>
      </c>
      <c r="G15596" t="str">
        <f>""</f>
        <v/>
      </c>
    </row>
    <row r="15597" spans="1:7" x14ac:dyDescent="0.25">
      <c r="A15597" t="s">
        <v>8</v>
      </c>
      <c r="B15597" s="1" t="str">
        <f>"000346195 - RICHS SWEET DOUGH-SODEXO"</f>
        <v>000346195 - RICHS SWEET DOUGH-SODEXO</v>
      </c>
      <c r="C15597" t="s">
        <v>137</v>
      </c>
      <c r="D15597" s="1" t="str">
        <f t="shared" si="425"/>
        <v>PRG-1043974</v>
      </c>
      <c r="E15597" t="s">
        <v>390</v>
      </c>
      <c r="F15597" t="s">
        <v>4</v>
      </c>
      <c r="G15597" t="str">
        <f>""</f>
        <v/>
      </c>
    </row>
    <row r="15598" spans="1:7" x14ac:dyDescent="0.25">
      <c r="A15598" t="s">
        <v>8</v>
      </c>
      <c r="B15598" s="1" t="str">
        <f>"000348614 - RICHS SWEET DOUGH-SODEXO"</f>
        <v>000348614 - RICHS SWEET DOUGH-SODEXO</v>
      </c>
      <c r="C15598" t="s">
        <v>137</v>
      </c>
      <c r="D15598" s="1" t="str">
        <f t="shared" si="425"/>
        <v>PRG-1043974</v>
      </c>
      <c r="E15598" t="s">
        <v>390</v>
      </c>
      <c r="F15598" t="s">
        <v>4</v>
      </c>
      <c r="G15598" t="str">
        <f>""</f>
        <v/>
      </c>
    </row>
    <row r="15599" spans="1:7" x14ac:dyDescent="0.25">
      <c r="A15599" t="s">
        <v>8</v>
      </c>
      <c r="B15599" s="1" t="str">
        <f>"000348983 - RICHS SWEET DOUGH-SODEXO"</f>
        <v>000348983 - RICHS SWEET DOUGH-SODEXO</v>
      </c>
      <c r="C15599" t="s">
        <v>137</v>
      </c>
      <c r="D15599" s="1" t="str">
        <f t="shared" si="425"/>
        <v>PRG-1043974</v>
      </c>
      <c r="E15599" t="s">
        <v>390</v>
      </c>
      <c r="F15599" t="s">
        <v>4</v>
      </c>
      <c r="G15599" t="str">
        <f>""</f>
        <v/>
      </c>
    </row>
    <row r="15600" spans="1:7" x14ac:dyDescent="0.25">
      <c r="A15600" t="s">
        <v>8</v>
      </c>
      <c r="B15600" s="1" t="str">
        <f>"000351579 - RICHS SWEET DOUGH-SODEXO"</f>
        <v>000351579 - RICHS SWEET DOUGH-SODEXO</v>
      </c>
      <c r="C15600" t="s">
        <v>137</v>
      </c>
      <c r="D15600" s="1" t="str">
        <f t="shared" si="425"/>
        <v>PRG-1043974</v>
      </c>
      <c r="E15600" t="s">
        <v>390</v>
      </c>
      <c r="F15600" t="s">
        <v>4</v>
      </c>
      <c r="G15600" t="str">
        <f>""</f>
        <v/>
      </c>
    </row>
    <row r="15601" spans="1:7" x14ac:dyDescent="0.25">
      <c r="A15601" t="s">
        <v>8</v>
      </c>
      <c r="B15601" s="1" t="str">
        <f>"000352076 - RICHS SWEET DOUGH-SODEXO"</f>
        <v>000352076 - RICHS SWEET DOUGH-SODEXO</v>
      </c>
      <c r="C15601" t="s">
        <v>137</v>
      </c>
      <c r="D15601" s="1" t="str">
        <f t="shared" si="425"/>
        <v>PRG-1043974</v>
      </c>
      <c r="E15601" t="s">
        <v>390</v>
      </c>
      <c r="F15601" t="s">
        <v>4</v>
      </c>
      <c r="G15601" t="str">
        <f>""</f>
        <v/>
      </c>
    </row>
    <row r="15602" spans="1:7" x14ac:dyDescent="0.25">
      <c r="A15602" t="s">
        <v>8</v>
      </c>
      <c r="B15602" s="1" t="str">
        <f>"000352312 - RICHS SWEET DOUGH-SODEXO"</f>
        <v>000352312 - RICHS SWEET DOUGH-SODEXO</v>
      </c>
      <c r="C15602" t="s">
        <v>137</v>
      </c>
      <c r="D15602" s="1" t="str">
        <f t="shared" si="425"/>
        <v>PRG-1043974</v>
      </c>
      <c r="E15602" t="s">
        <v>390</v>
      </c>
      <c r="F15602" t="s">
        <v>4</v>
      </c>
      <c r="G15602" t="str">
        <f>""</f>
        <v/>
      </c>
    </row>
    <row r="15603" spans="1:7" x14ac:dyDescent="0.25">
      <c r="A15603" t="s">
        <v>8</v>
      </c>
      <c r="B15603" s="1" t="str">
        <f>"000354476 - RICHS SWEET DOUGH-SODEXO"</f>
        <v>000354476 - RICHS SWEET DOUGH-SODEXO</v>
      </c>
      <c r="C15603" t="s">
        <v>137</v>
      </c>
      <c r="D15603" s="1" t="str">
        <f t="shared" si="425"/>
        <v>PRG-1043974</v>
      </c>
      <c r="E15603" t="s">
        <v>390</v>
      </c>
      <c r="F15603" t="s">
        <v>4</v>
      </c>
      <c r="G15603" t="str">
        <f>""</f>
        <v/>
      </c>
    </row>
    <row r="15604" spans="1:7" x14ac:dyDescent="0.25">
      <c r="A15604" t="s">
        <v>8</v>
      </c>
      <c r="B15604" s="1" t="str">
        <f>"000354725 - RICHS SWEET DOUGH-SODEXO"</f>
        <v>000354725 - RICHS SWEET DOUGH-SODEXO</v>
      </c>
      <c r="C15604" t="s">
        <v>137</v>
      </c>
      <c r="D15604" s="1" t="str">
        <f t="shared" si="425"/>
        <v>PRG-1043974</v>
      </c>
      <c r="E15604" t="s">
        <v>390</v>
      </c>
      <c r="F15604" t="s">
        <v>4</v>
      </c>
      <c r="G15604" t="str">
        <f>""</f>
        <v/>
      </c>
    </row>
    <row r="15605" spans="1:7" x14ac:dyDescent="0.25">
      <c r="A15605" t="s">
        <v>8</v>
      </c>
      <c r="B15605" s="1" t="str">
        <f>"000356085 - RICHS SWEET DOUGH-SODEXO"</f>
        <v>000356085 - RICHS SWEET DOUGH-SODEXO</v>
      </c>
      <c r="C15605" t="s">
        <v>137</v>
      </c>
      <c r="D15605" s="1" t="str">
        <f t="shared" si="425"/>
        <v>PRG-1043974</v>
      </c>
      <c r="E15605" t="s">
        <v>390</v>
      </c>
      <c r="F15605" t="s">
        <v>4</v>
      </c>
      <c r="G15605" t="str">
        <f>""</f>
        <v/>
      </c>
    </row>
    <row r="15606" spans="1:7" x14ac:dyDescent="0.25">
      <c r="A15606" t="s">
        <v>8</v>
      </c>
      <c r="B15606" s="1" t="str">
        <f>"000356456 - RICHS SWEET DOUGH-SODEXO"</f>
        <v>000356456 - RICHS SWEET DOUGH-SODEXO</v>
      </c>
      <c r="C15606" t="s">
        <v>137</v>
      </c>
      <c r="D15606" s="1" t="str">
        <f t="shared" si="425"/>
        <v>PRG-1043974</v>
      </c>
      <c r="E15606" t="s">
        <v>390</v>
      </c>
      <c r="F15606" t="s">
        <v>4</v>
      </c>
      <c r="G15606" t="str">
        <f>""</f>
        <v/>
      </c>
    </row>
    <row r="15607" spans="1:7" x14ac:dyDescent="0.25">
      <c r="A15607" t="s">
        <v>8</v>
      </c>
      <c r="B15607" s="1" t="str">
        <f>"000361619 - RICHS SWEET DOUGH-SODEXO"</f>
        <v>000361619 - RICHS SWEET DOUGH-SODEXO</v>
      </c>
      <c r="C15607" t="s">
        <v>137</v>
      </c>
      <c r="D15607" s="1" t="str">
        <f t="shared" si="425"/>
        <v>PRG-1043974</v>
      </c>
      <c r="E15607" t="s">
        <v>390</v>
      </c>
      <c r="F15607" t="s">
        <v>4</v>
      </c>
      <c r="G15607" t="str">
        <f>""</f>
        <v/>
      </c>
    </row>
    <row r="15608" spans="1:7" x14ac:dyDescent="0.25">
      <c r="A15608" t="s">
        <v>8</v>
      </c>
      <c r="B15608" s="1" t="str">
        <f>"000363607 - RICHS SWEET DOUGH-SODEXO"</f>
        <v>000363607 - RICHS SWEET DOUGH-SODEXO</v>
      </c>
      <c r="C15608" t="s">
        <v>137</v>
      </c>
      <c r="D15608" s="1" t="str">
        <f t="shared" si="425"/>
        <v>PRG-1043974</v>
      </c>
      <c r="E15608" t="s">
        <v>390</v>
      </c>
      <c r="F15608" t="s">
        <v>4</v>
      </c>
      <c r="G15608" t="str">
        <f>""</f>
        <v/>
      </c>
    </row>
    <row r="15609" spans="1:7" x14ac:dyDescent="0.25">
      <c r="A15609" t="s">
        <v>8</v>
      </c>
      <c r="B15609" s="1" t="str">
        <f>"000366931 - RICHS SWEET DOUGH-SODEXO"</f>
        <v>000366931 - RICHS SWEET DOUGH-SODEXO</v>
      </c>
      <c r="C15609" t="s">
        <v>137</v>
      </c>
      <c r="D15609" s="1" t="str">
        <f t="shared" ref="D15609:D15676" si="426">"PRG-1043974"</f>
        <v>PRG-1043974</v>
      </c>
      <c r="E15609" t="s">
        <v>390</v>
      </c>
      <c r="F15609" t="s">
        <v>4</v>
      </c>
      <c r="G15609" t="str">
        <f>""</f>
        <v/>
      </c>
    </row>
    <row r="15610" spans="1:7" x14ac:dyDescent="0.25">
      <c r="A15610" t="s">
        <v>8</v>
      </c>
      <c r="B15610" s="1" t="str">
        <f>"000368754 - RICHS SWEET DOUGH-SODEXO"</f>
        <v>000368754 - RICHS SWEET DOUGH-SODEXO</v>
      </c>
      <c r="C15610" t="s">
        <v>137</v>
      </c>
      <c r="D15610" s="1" t="str">
        <f t="shared" si="426"/>
        <v>PRG-1043974</v>
      </c>
      <c r="E15610" t="s">
        <v>390</v>
      </c>
      <c r="F15610" t="s">
        <v>4</v>
      </c>
      <c r="G15610" t="str">
        <f>""</f>
        <v/>
      </c>
    </row>
    <row r="15611" spans="1:7" x14ac:dyDescent="0.25">
      <c r="A15611" t="s">
        <v>8</v>
      </c>
      <c r="B15611" s="1" t="str">
        <f>"000368771 - RICHS SWEET DOUGH-SODEXO"</f>
        <v>000368771 - RICHS SWEET DOUGH-SODEXO</v>
      </c>
      <c r="C15611" t="s">
        <v>137</v>
      </c>
      <c r="D15611" s="1" t="str">
        <f t="shared" si="426"/>
        <v>PRG-1043974</v>
      </c>
      <c r="E15611" t="s">
        <v>390</v>
      </c>
      <c r="F15611" t="s">
        <v>4</v>
      </c>
      <c r="G15611" t="str">
        <f>""</f>
        <v/>
      </c>
    </row>
    <row r="15612" spans="1:7" x14ac:dyDescent="0.25">
      <c r="A15612" t="s">
        <v>8</v>
      </c>
      <c r="B15612" s="1" t="str">
        <f>"000368991 - RICHS SWEET DOUGH-SODEXO"</f>
        <v>000368991 - RICHS SWEET DOUGH-SODEXO</v>
      </c>
      <c r="C15612" t="s">
        <v>137</v>
      </c>
      <c r="D15612" s="1" t="str">
        <f t="shared" si="426"/>
        <v>PRG-1043974</v>
      </c>
      <c r="E15612" t="s">
        <v>390</v>
      </c>
      <c r="F15612" t="s">
        <v>4</v>
      </c>
      <c r="G15612" t="str">
        <f>""</f>
        <v/>
      </c>
    </row>
    <row r="15613" spans="1:7" x14ac:dyDescent="0.25">
      <c r="A15613" t="s">
        <v>8</v>
      </c>
      <c r="B15613" s="1" t="str">
        <f>"000369040 - RICHS SWEET DOUGH-SODEXO"</f>
        <v>000369040 - RICHS SWEET DOUGH-SODEXO</v>
      </c>
      <c r="C15613" t="s">
        <v>137</v>
      </c>
      <c r="D15613" s="1" t="str">
        <f t="shared" si="426"/>
        <v>PRG-1043974</v>
      </c>
      <c r="E15613" t="s">
        <v>390</v>
      </c>
      <c r="F15613" t="s">
        <v>4</v>
      </c>
      <c r="G15613" t="str">
        <f>""</f>
        <v/>
      </c>
    </row>
    <row r="15614" spans="1:7" x14ac:dyDescent="0.25">
      <c r="A15614" t="s">
        <v>8</v>
      </c>
      <c r="B15614" s="1" t="str">
        <f>"000370297 - RICHS SWEET DOUGH-SODEXO"</f>
        <v>000370297 - RICHS SWEET DOUGH-SODEXO</v>
      </c>
      <c r="C15614" t="s">
        <v>137</v>
      </c>
      <c r="D15614" s="1" t="str">
        <f t="shared" si="426"/>
        <v>PRG-1043974</v>
      </c>
      <c r="E15614" t="s">
        <v>390</v>
      </c>
      <c r="F15614" t="s">
        <v>4</v>
      </c>
      <c r="G15614" t="str">
        <f>""</f>
        <v/>
      </c>
    </row>
    <row r="15615" spans="1:7" x14ac:dyDescent="0.25">
      <c r="A15615" t="s">
        <v>8</v>
      </c>
      <c r="B15615" s="1" t="str">
        <f>"000370430 - RICHS SWEET DOUGH-SODEXO"</f>
        <v>000370430 - RICHS SWEET DOUGH-SODEXO</v>
      </c>
      <c r="C15615" t="s">
        <v>137</v>
      </c>
      <c r="D15615" s="1" t="str">
        <f t="shared" si="426"/>
        <v>PRG-1043974</v>
      </c>
      <c r="E15615" t="s">
        <v>390</v>
      </c>
      <c r="F15615" t="s">
        <v>4</v>
      </c>
      <c r="G15615" t="str">
        <f>""</f>
        <v/>
      </c>
    </row>
    <row r="15616" spans="1:7" x14ac:dyDescent="0.25">
      <c r="A15616" t="s">
        <v>8</v>
      </c>
      <c r="B15616" s="1" t="str">
        <f>"000370644 - RICHS SWEET DOUGH-SODEXO"</f>
        <v>000370644 - RICHS SWEET DOUGH-SODEXO</v>
      </c>
      <c r="C15616" t="s">
        <v>137</v>
      </c>
      <c r="D15616" s="1" t="str">
        <f t="shared" si="426"/>
        <v>PRG-1043974</v>
      </c>
      <c r="E15616" t="s">
        <v>390</v>
      </c>
      <c r="F15616" t="s">
        <v>4</v>
      </c>
      <c r="G15616" t="str">
        <f>""</f>
        <v/>
      </c>
    </row>
    <row r="15617" spans="1:7" x14ac:dyDescent="0.25">
      <c r="A15617" t="s">
        <v>8</v>
      </c>
      <c r="B15617" s="1" t="str">
        <f>"000372874 - RICHS SWEET DOUGH-SODEXO"</f>
        <v>000372874 - RICHS SWEET DOUGH-SODEXO</v>
      </c>
      <c r="C15617" t="s">
        <v>137</v>
      </c>
      <c r="D15617" s="1" t="str">
        <f t="shared" si="426"/>
        <v>PRG-1043974</v>
      </c>
      <c r="E15617" t="s">
        <v>390</v>
      </c>
      <c r="F15617" t="s">
        <v>4</v>
      </c>
      <c r="G15617" t="str">
        <f>""</f>
        <v/>
      </c>
    </row>
    <row r="15618" spans="1:7" x14ac:dyDescent="0.25">
      <c r="A15618" t="s">
        <v>8</v>
      </c>
      <c r="B15618" s="1" t="str">
        <f>"000374198 - RICHS SWEET DOUGH-SODEXO"</f>
        <v>000374198 - RICHS SWEET DOUGH-SODEXO</v>
      </c>
      <c r="C15618" t="s">
        <v>137</v>
      </c>
      <c r="D15618" s="1" t="str">
        <f t="shared" si="426"/>
        <v>PRG-1043974</v>
      </c>
      <c r="E15618" t="s">
        <v>390</v>
      </c>
      <c r="F15618" t="s">
        <v>4</v>
      </c>
      <c r="G15618" t="str">
        <f>""</f>
        <v/>
      </c>
    </row>
    <row r="15619" spans="1:7" x14ac:dyDescent="0.25">
      <c r="A15619" t="s">
        <v>8</v>
      </c>
      <c r="B15619" s="1" t="str">
        <f>"000374847 - RICHS SWEET DOUGH-SODEXO"</f>
        <v>000374847 - RICHS SWEET DOUGH-SODEXO</v>
      </c>
      <c r="C15619" t="s">
        <v>137</v>
      </c>
      <c r="D15619" s="1" t="str">
        <f t="shared" si="426"/>
        <v>PRG-1043974</v>
      </c>
      <c r="E15619" t="s">
        <v>390</v>
      </c>
      <c r="F15619" t="s">
        <v>4</v>
      </c>
      <c r="G15619" t="str">
        <f>""</f>
        <v/>
      </c>
    </row>
    <row r="15620" spans="1:7" x14ac:dyDescent="0.25">
      <c r="A15620" t="s">
        <v>8</v>
      </c>
      <c r="B15620" s="1" t="str">
        <f>"000378093 - RICHS SWEET DOUGH-SODEXO"</f>
        <v>000378093 - RICHS SWEET DOUGH-SODEXO</v>
      </c>
      <c r="C15620" t="s">
        <v>137</v>
      </c>
      <c r="D15620" s="1" t="str">
        <f t="shared" si="426"/>
        <v>PRG-1043974</v>
      </c>
      <c r="E15620" t="s">
        <v>390</v>
      </c>
      <c r="F15620" t="s">
        <v>4</v>
      </c>
      <c r="G15620" t="str">
        <f>""</f>
        <v/>
      </c>
    </row>
    <row r="15621" spans="1:7" x14ac:dyDescent="0.25">
      <c r="A15621" t="s">
        <v>8</v>
      </c>
      <c r="B15621" s="1" t="str">
        <f>"000378302 - RICHS SWEET DOUGH-SODEXO"</f>
        <v>000378302 - RICHS SWEET DOUGH-SODEXO</v>
      </c>
      <c r="C15621" t="s">
        <v>137</v>
      </c>
      <c r="D15621" s="1" t="str">
        <f t="shared" si="426"/>
        <v>PRG-1043974</v>
      </c>
      <c r="E15621" t="s">
        <v>390</v>
      </c>
      <c r="F15621" t="s">
        <v>4</v>
      </c>
      <c r="G15621" t="str">
        <f>""</f>
        <v/>
      </c>
    </row>
    <row r="15622" spans="1:7" x14ac:dyDescent="0.25">
      <c r="A15622" t="s">
        <v>8</v>
      </c>
      <c r="B15622" s="1" t="str">
        <f>"000378429 - RICHS SWEET DOUGH-SODEXO"</f>
        <v>000378429 - RICHS SWEET DOUGH-SODEXO</v>
      </c>
      <c r="C15622" t="s">
        <v>137</v>
      </c>
      <c r="D15622" s="1" t="str">
        <f t="shared" si="426"/>
        <v>PRG-1043974</v>
      </c>
      <c r="E15622" t="s">
        <v>390</v>
      </c>
      <c r="F15622" t="s">
        <v>4</v>
      </c>
      <c r="G15622" t="str">
        <f>""</f>
        <v/>
      </c>
    </row>
    <row r="15623" spans="1:7" x14ac:dyDescent="0.25">
      <c r="A15623" t="s">
        <v>8</v>
      </c>
      <c r="B15623" s="1" t="str">
        <f>"000378537 - RICHS SWEET DOUGH-SODEXO"</f>
        <v>000378537 - RICHS SWEET DOUGH-SODEXO</v>
      </c>
      <c r="C15623" t="s">
        <v>137</v>
      </c>
      <c r="D15623" s="1" t="str">
        <f t="shared" si="426"/>
        <v>PRG-1043974</v>
      </c>
      <c r="E15623" t="s">
        <v>390</v>
      </c>
      <c r="F15623" t="s">
        <v>4</v>
      </c>
      <c r="G15623" t="str">
        <f>""</f>
        <v/>
      </c>
    </row>
    <row r="15624" spans="1:7" x14ac:dyDescent="0.25">
      <c r="A15624" t="s">
        <v>8</v>
      </c>
      <c r="B15624" s="1" t="str">
        <f>"000378570 - RICHS SWEET DOUGH-SODEXO"</f>
        <v>000378570 - RICHS SWEET DOUGH-SODEXO</v>
      </c>
      <c r="C15624" t="s">
        <v>137</v>
      </c>
      <c r="D15624" s="1" t="str">
        <f t="shared" si="426"/>
        <v>PRG-1043974</v>
      </c>
      <c r="E15624" t="s">
        <v>390</v>
      </c>
      <c r="F15624" t="s">
        <v>4</v>
      </c>
      <c r="G15624" t="str">
        <f>""</f>
        <v/>
      </c>
    </row>
    <row r="15625" spans="1:7" x14ac:dyDescent="0.25">
      <c r="A15625" t="s">
        <v>8</v>
      </c>
      <c r="B15625" s="1" t="str">
        <f>"000379230 - RICHS SWEET DOUGH-SODEXO"</f>
        <v>000379230 - RICHS SWEET DOUGH-SODEXO</v>
      </c>
      <c r="C15625" t="s">
        <v>137</v>
      </c>
      <c r="D15625" s="1" t="str">
        <f t="shared" si="426"/>
        <v>PRG-1043974</v>
      </c>
      <c r="E15625" t="s">
        <v>390</v>
      </c>
      <c r="F15625" t="s">
        <v>4</v>
      </c>
      <c r="G15625" t="str">
        <f>""</f>
        <v/>
      </c>
    </row>
    <row r="15626" spans="1:7" x14ac:dyDescent="0.25">
      <c r="A15626" t="s">
        <v>8</v>
      </c>
      <c r="B15626" s="1" t="str">
        <f>"000380189 - RICHS SWEET DOUGH-SODEXO"</f>
        <v>000380189 - RICHS SWEET DOUGH-SODEXO</v>
      </c>
      <c r="C15626" t="s">
        <v>137</v>
      </c>
      <c r="D15626" s="1" t="str">
        <f t="shared" si="426"/>
        <v>PRG-1043974</v>
      </c>
      <c r="E15626" t="s">
        <v>390</v>
      </c>
      <c r="F15626" t="s">
        <v>4</v>
      </c>
      <c r="G15626" t="str">
        <f>""</f>
        <v/>
      </c>
    </row>
    <row r="15627" spans="1:7" x14ac:dyDescent="0.25">
      <c r="A15627" t="s">
        <v>8</v>
      </c>
      <c r="B15627" s="1" t="str">
        <f>"000380440 - RICHS SWEET DOUGH-SODEXO"</f>
        <v>000380440 - RICHS SWEET DOUGH-SODEXO</v>
      </c>
      <c r="C15627" t="s">
        <v>137</v>
      </c>
      <c r="D15627" s="1" t="str">
        <f t="shared" si="426"/>
        <v>PRG-1043974</v>
      </c>
      <c r="E15627" t="s">
        <v>390</v>
      </c>
      <c r="F15627" t="s">
        <v>4</v>
      </c>
      <c r="G15627" t="str">
        <f>""</f>
        <v/>
      </c>
    </row>
    <row r="15628" spans="1:7" x14ac:dyDescent="0.25">
      <c r="A15628" t="s">
        <v>8</v>
      </c>
      <c r="B15628" s="1" t="str">
        <f>"000381185 - RICHS SWEET DOUGH-SODEXO"</f>
        <v>000381185 - RICHS SWEET DOUGH-SODEXO</v>
      </c>
      <c r="C15628" t="s">
        <v>137</v>
      </c>
      <c r="D15628" s="1" t="str">
        <f t="shared" si="426"/>
        <v>PRG-1043974</v>
      </c>
      <c r="E15628" t="s">
        <v>390</v>
      </c>
      <c r="F15628" t="s">
        <v>4</v>
      </c>
      <c r="G15628" t="str">
        <f>""</f>
        <v/>
      </c>
    </row>
    <row r="15629" spans="1:7" x14ac:dyDescent="0.25">
      <c r="A15629" t="s">
        <v>8</v>
      </c>
      <c r="B15629" s="1" t="str">
        <f>"000381471 - RICHS SWEET DOUGH-SODEXO"</f>
        <v>000381471 - RICHS SWEET DOUGH-SODEXO</v>
      </c>
      <c r="C15629" t="s">
        <v>137</v>
      </c>
      <c r="D15629" s="1" t="str">
        <f t="shared" si="426"/>
        <v>PRG-1043974</v>
      </c>
      <c r="E15629" t="s">
        <v>390</v>
      </c>
      <c r="F15629" t="s">
        <v>4</v>
      </c>
      <c r="G15629" t="str">
        <f>""</f>
        <v/>
      </c>
    </row>
    <row r="15630" spans="1:7" x14ac:dyDescent="0.25">
      <c r="A15630" t="s">
        <v>8</v>
      </c>
      <c r="B15630" s="1" t="str">
        <f>"000381590 - RICHS SWEET DOUGH-SODEXO"</f>
        <v>000381590 - RICHS SWEET DOUGH-SODEXO</v>
      </c>
      <c r="C15630" t="s">
        <v>137</v>
      </c>
      <c r="D15630" s="1" t="str">
        <f t="shared" si="426"/>
        <v>PRG-1043974</v>
      </c>
      <c r="E15630" t="s">
        <v>390</v>
      </c>
      <c r="F15630" t="s">
        <v>4</v>
      </c>
      <c r="G15630" t="str">
        <f>""</f>
        <v/>
      </c>
    </row>
    <row r="15631" spans="1:7" x14ac:dyDescent="0.25">
      <c r="A15631" t="s">
        <v>8</v>
      </c>
      <c r="B15631" s="1" t="str">
        <f>"000382172 - RICHS SWEET DOUGH-SODEXO"</f>
        <v>000382172 - RICHS SWEET DOUGH-SODEXO</v>
      </c>
      <c r="C15631" t="s">
        <v>137</v>
      </c>
      <c r="D15631" s="1" t="str">
        <f t="shared" si="426"/>
        <v>PRG-1043974</v>
      </c>
      <c r="E15631" t="s">
        <v>390</v>
      </c>
      <c r="F15631" t="s">
        <v>4</v>
      </c>
      <c r="G15631" t="str">
        <f>""</f>
        <v/>
      </c>
    </row>
    <row r="15632" spans="1:7" x14ac:dyDescent="0.25">
      <c r="A15632" t="s">
        <v>8</v>
      </c>
      <c r="B15632" s="1" t="str">
        <f>"000382313 - RICHS SWEET DOUGH-SODEXO"</f>
        <v>000382313 - RICHS SWEET DOUGH-SODEXO</v>
      </c>
      <c r="C15632" t="s">
        <v>137</v>
      </c>
      <c r="D15632" s="1" t="str">
        <f t="shared" si="426"/>
        <v>PRG-1043974</v>
      </c>
      <c r="E15632" t="s">
        <v>390</v>
      </c>
      <c r="F15632" t="s">
        <v>4</v>
      </c>
      <c r="G15632" t="str">
        <f>""</f>
        <v/>
      </c>
    </row>
    <row r="15633" spans="1:7" x14ac:dyDescent="0.25">
      <c r="A15633" t="s">
        <v>8</v>
      </c>
      <c r="B15633" s="1" t="str">
        <f>"000384399 - RICHS SWEET DOUGH-SODEXO"</f>
        <v>000384399 - RICHS SWEET DOUGH-SODEXO</v>
      </c>
      <c r="C15633" t="s">
        <v>137</v>
      </c>
      <c r="D15633" s="1" t="str">
        <f t="shared" si="426"/>
        <v>PRG-1043974</v>
      </c>
      <c r="E15633" t="s">
        <v>390</v>
      </c>
      <c r="F15633" t="s">
        <v>4</v>
      </c>
      <c r="G15633" t="str">
        <f>""</f>
        <v/>
      </c>
    </row>
    <row r="15634" spans="1:7" x14ac:dyDescent="0.25">
      <c r="A15634" t="s">
        <v>8</v>
      </c>
      <c r="B15634" s="1" t="str">
        <f>"000384523 - RICHS SWEET DOUGH-SODEXO"</f>
        <v>000384523 - RICHS SWEET DOUGH-SODEXO</v>
      </c>
      <c r="C15634" t="s">
        <v>137</v>
      </c>
      <c r="D15634" s="1" t="str">
        <f t="shared" si="426"/>
        <v>PRG-1043974</v>
      </c>
      <c r="E15634" t="s">
        <v>390</v>
      </c>
      <c r="F15634" t="s">
        <v>4</v>
      </c>
      <c r="G15634" t="str">
        <f>""</f>
        <v/>
      </c>
    </row>
    <row r="15635" spans="1:7" x14ac:dyDescent="0.25">
      <c r="A15635" t="s">
        <v>8</v>
      </c>
      <c r="B15635" s="1" t="str">
        <f>"000386042 - RICHS SWEET DOUGH-SODEXO"</f>
        <v>000386042 - RICHS SWEET DOUGH-SODEXO</v>
      </c>
      <c r="C15635" t="s">
        <v>137</v>
      </c>
      <c r="D15635" s="1" t="str">
        <f t="shared" si="426"/>
        <v>PRG-1043974</v>
      </c>
      <c r="E15635" t="s">
        <v>390</v>
      </c>
      <c r="F15635" t="s">
        <v>4</v>
      </c>
      <c r="G15635" t="str">
        <f>""</f>
        <v/>
      </c>
    </row>
    <row r="15636" spans="1:7" x14ac:dyDescent="0.25">
      <c r="A15636" t="s">
        <v>8</v>
      </c>
      <c r="B15636" s="1" t="str">
        <f>"000386066 - RICHS SWEET DOUGH-SODEXO"</f>
        <v>000386066 - RICHS SWEET DOUGH-SODEXO</v>
      </c>
      <c r="C15636" t="s">
        <v>137</v>
      </c>
      <c r="D15636" s="1" t="str">
        <f t="shared" si="426"/>
        <v>PRG-1043974</v>
      </c>
      <c r="E15636" t="s">
        <v>390</v>
      </c>
      <c r="F15636" t="s">
        <v>4</v>
      </c>
      <c r="G15636" t="str">
        <f>""</f>
        <v/>
      </c>
    </row>
    <row r="15637" spans="1:7" x14ac:dyDescent="0.25">
      <c r="A15637" t="s">
        <v>8</v>
      </c>
      <c r="B15637" s="1" t="str">
        <f>"000386067 - RICHS SWEET DOUGH-SODEXO"</f>
        <v>000386067 - RICHS SWEET DOUGH-SODEXO</v>
      </c>
      <c r="C15637" t="s">
        <v>137</v>
      </c>
      <c r="D15637" s="1" t="str">
        <f t="shared" si="426"/>
        <v>PRG-1043974</v>
      </c>
      <c r="E15637" t="s">
        <v>390</v>
      </c>
      <c r="F15637" t="s">
        <v>4</v>
      </c>
      <c r="G15637" t="str">
        <f>""</f>
        <v/>
      </c>
    </row>
    <row r="15638" spans="1:7" x14ac:dyDescent="0.25">
      <c r="A15638" t="s">
        <v>8</v>
      </c>
      <c r="B15638" s="1" t="str">
        <f>"000386416 - RICHS SWEET DOUGH-SODEXO"</f>
        <v>000386416 - RICHS SWEET DOUGH-SODEXO</v>
      </c>
      <c r="C15638" t="s">
        <v>137</v>
      </c>
      <c r="D15638" s="1" t="str">
        <f t="shared" si="426"/>
        <v>PRG-1043974</v>
      </c>
      <c r="E15638" t="s">
        <v>390</v>
      </c>
      <c r="F15638" t="s">
        <v>4</v>
      </c>
      <c r="G15638" t="str">
        <f>""</f>
        <v/>
      </c>
    </row>
    <row r="15639" spans="1:7" x14ac:dyDescent="0.25">
      <c r="A15639" t="s">
        <v>8</v>
      </c>
      <c r="B15639" s="1" t="str">
        <f>"000387204 - RICHS SWEET DOUGH-SODEXO"</f>
        <v>000387204 - RICHS SWEET DOUGH-SODEXO</v>
      </c>
      <c r="C15639" t="s">
        <v>137</v>
      </c>
      <c r="D15639" s="1" t="str">
        <f t="shared" si="426"/>
        <v>PRG-1043974</v>
      </c>
      <c r="E15639" t="s">
        <v>390</v>
      </c>
      <c r="F15639" t="s">
        <v>4</v>
      </c>
      <c r="G15639" t="str">
        <f>""</f>
        <v/>
      </c>
    </row>
    <row r="15640" spans="1:7" x14ac:dyDescent="0.25">
      <c r="A15640" t="s">
        <v>8</v>
      </c>
      <c r="B15640" s="1" t="str">
        <f>"000387246 - RICHS SWEET DOUGH-SODEXO"</f>
        <v>000387246 - RICHS SWEET DOUGH-SODEXO</v>
      </c>
      <c r="C15640" t="s">
        <v>137</v>
      </c>
      <c r="D15640" s="1" t="str">
        <f t="shared" si="426"/>
        <v>PRG-1043974</v>
      </c>
      <c r="E15640" t="s">
        <v>390</v>
      </c>
      <c r="F15640" t="s">
        <v>4</v>
      </c>
      <c r="G15640" t="str">
        <f>""</f>
        <v/>
      </c>
    </row>
    <row r="15641" spans="1:7" x14ac:dyDescent="0.25">
      <c r="A15641" t="s">
        <v>8</v>
      </c>
      <c r="B15641" s="1" t="str">
        <f>"000387643 - RICHS SWEET DOUGH-SODEXO"</f>
        <v>000387643 - RICHS SWEET DOUGH-SODEXO</v>
      </c>
      <c r="C15641" t="s">
        <v>137</v>
      </c>
      <c r="D15641" s="1" t="str">
        <f t="shared" si="426"/>
        <v>PRG-1043974</v>
      </c>
      <c r="E15641" t="s">
        <v>390</v>
      </c>
      <c r="F15641" t="s">
        <v>4</v>
      </c>
      <c r="G15641" t="str">
        <f>""</f>
        <v/>
      </c>
    </row>
    <row r="15642" spans="1:7" x14ac:dyDescent="0.25">
      <c r="A15642" t="s">
        <v>8</v>
      </c>
      <c r="B15642" s="1" t="str">
        <f>"000388499 - RICHS SWEET DOUGH-SODEXO"</f>
        <v>000388499 - RICHS SWEET DOUGH-SODEXO</v>
      </c>
      <c r="C15642" t="s">
        <v>137</v>
      </c>
      <c r="D15642" s="1" t="str">
        <f t="shared" si="426"/>
        <v>PRG-1043974</v>
      </c>
      <c r="E15642" t="s">
        <v>390</v>
      </c>
      <c r="F15642" t="s">
        <v>4</v>
      </c>
      <c r="G15642" t="str">
        <f>""</f>
        <v/>
      </c>
    </row>
    <row r="15643" spans="1:7" x14ac:dyDescent="0.25">
      <c r="A15643" t="s">
        <v>8</v>
      </c>
      <c r="B15643" s="1" t="str">
        <f>"000389252 - RICHS SWEET DOUGH-SODEXO"</f>
        <v>000389252 - RICHS SWEET DOUGH-SODEXO</v>
      </c>
      <c r="C15643" t="s">
        <v>137</v>
      </c>
      <c r="D15643" s="1" t="str">
        <f t="shared" si="426"/>
        <v>PRG-1043974</v>
      </c>
      <c r="E15643" t="s">
        <v>390</v>
      </c>
      <c r="F15643" t="s">
        <v>4</v>
      </c>
      <c r="G15643" t="str">
        <f>""</f>
        <v/>
      </c>
    </row>
    <row r="15644" spans="1:7" x14ac:dyDescent="0.25">
      <c r="A15644" t="s">
        <v>8</v>
      </c>
      <c r="B15644" s="1" t="str">
        <f>"000389489 - RICHS SWEET DOUGH-SODEXO"</f>
        <v>000389489 - RICHS SWEET DOUGH-SODEXO</v>
      </c>
      <c r="C15644" t="s">
        <v>137</v>
      </c>
      <c r="D15644" s="1" t="str">
        <f t="shared" si="426"/>
        <v>PRG-1043974</v>
      </c>
      <c r="E15644" t="s">
        <v>390</v>
      </c>
      <c r="F15644" t="s">
        <v>4</v>
      </c>
      <c r="G15644" t="str">
        <f>""</f>
        <v/>
      </c>
    </row>
    <row r="15645" spans="1:7" x14ac:dyDescent="0.25">
      <c r="A15645" t="s">
        <v>8</v>
      </c>
      <c r="B15645" s="1" t="str">
        <f>"000389793 - RICHS SWEET DOUGH-SODEXO"</f>
        <v>000389793 - RICHS SWEET DOUGH-SODEXO</v>
      </c>
      <c r="C15645" t="s">
        <v>137</v>
      </c>
      <c r="D15645" s="1" t="str">
        <f t="shared" si="426"/>
        <v>PRG-1043974</v>
      </c>
      <c r="E15645" t="s">
        <v>390</v>
      </c>
      <c r="F15645" t="s">
        <v>4</v>
      </c>
      <c r="G15645" t="str">
        <f>""</f>
        <v/>
      </c>
    </row>
    <row r="15646" spans="1:7" x14ac:dyDescent="0.25">
      <c r="A15646" t="s">
        <v>8</v>
      </c>
      <c r="B15646" s="1" t="str">
        <f>"000392511 - RICHS SWEET DOUGH-SODEXO"</f>
        <v>000392511 - RICHS SWEET DOUGH-SODEXO</v>
      </c>
      <c r="C15646" t="s">
        <v>137</v>
      </c>
      <c r="D15646" s="1" t="str">
        <f t="shared" si="426"/>
        <v>PRG-1043974</v>
      </c>
      <c r="E15646" t="s">
        <v>390</v>
      </c>
      <c r="F15646" t="s">
        <v>4</v>
      </c>
      <c r="G15646" t="str">
        <f>""</f>
        <v/>
      </c>
    </row>
    <row r="15647" spans="1:7" x14ac:dyDescent="0.25">
      <c r="A15647" t="s">
        <v>8</v>
      </c>
      <c r="B15647" s="1" t="str">
        <f>"000393076 - RICHS SWEET DOUGH-SODEXO"</f>
        <v>000393076 - RICHS SWEET DOUGH-SODEXO</v>
      </c>
      <c r="C15647" t="s">
        <v>137</v>
      </c>
      <c r="D15647" s="1" t="str">
        <f t="shared" si="426"/>
        <v>PRG-1043974</v>
      </c>
      <c r="E15647" t="s">
        <v>390</v>
      </c>
      <c r="F15647" t="s">
        <v>4</v>
      </c>
      <c r="G15647" t="str">
        <f>""</f>
        <v/>
      </c>
    </row>
    <row r="15648" spans="1:7" x14ac:dyDescent="0.25">
      <c r="A15648" t="s">
        <v>8</v>
      </c>
      <c r="B15648" s="1" t="str">
        <f>"000394070 - RICHS SWEET DOUGH-SODEXO"</f>
        <v>000394070 - RICHS SWEET DOUGH-SODEXO</v>
      </c>
      <c r="C15648" t="s">
        <v>137</v>
      </c>
      <c r="D15648" s="1" t="str">
        <f t="shared" si="426"/>
        <v>PRG-1043974</v>
      </c>
      <c r="E15648" t="s">
        <v>390</v>
      </c>
      <c r="F15648" t="s">
        <v>4</v>
      </c>
      <c r="G15648" t="str">
        <f>""</f>
        <v/>
      </c>
    </row>
    <row r="15649" spans="1:7" x14ac:dyDescent="0.25">
      <c r="A15649" t="s">
        <v>8</v>
      </c>
      <c r="B15649" s="1" t="str">
        <f>"000394336 - RICHS SWEET DOUGH-SODEXO"</f>
        <v>000394336 - RICHS SWEET DOUGH-SODEXO</v>
      </c>
      <c r="C15649" t="s">
        <v>137</v>
      </c>
      <c r="D15649" s="1" t="str">
        <f t="shared" si="426"/>
        <v>PRG-1043974</v>
      </c>
      <c r="E15649" t="s">
        <v>390</v>
      </c>
      <c r="F15649" t="s">
        <v>4</v>
      </c>
      <c r="G15649" t="str">
        <f>""</f>
        <v/>
      </c>
    </row>
    <row r="15650" spans="1:7" x14ac:dyDescent="0.25">
      <c r="A15650" t="s">
        <v>8</v>
      </c>
      <c r="B15650" s="1" t="str">
        <f>"000394571 - RICHS SWEET DOUGH-SODEXO"</f>
        <v>000394571 - RICHS SWEET DOUGH-SODEXO</v>
      </c>
      <c r="C15650" t="s">
        <v>137</v>
      </c>
      <c r="D15650" s="1" t="str">
        <f t="shared" si="426"/>
        <v>PRG-1043974</v>
      </c>
      <c r="E15650" t="s">
        <v>390</v>
      </c>
      <c r="F15650" t="s">
        <v>4</v>
      </c>
      <c r="G15650" t="str">
        <f>""</f>
        <v/>
      </c>
    </row>
    <row r="15651" spans="1:7" x14ac:dyDescent="0.25">
      <c r="A15651" t="s">
        <v>8</v>
      </c>
      <c r="B15651" s="1" t="str">
        <f>"000395672 - RICHS SWEET DOUGH-SODEXO"</f>
        <v>000395672 - RICHS SWEET DOUGH-SODEXO</v>
      </c>
      <c r="C15651" t="s">
        <v>137</v>
      </c>
      <c r="D15651" s="1" t="str">
        <f t="shared" si="426"/>
        <v>PRG-1043974</v>
      </c>
      <c r="E15651" t="s">
        <v>390</v>
      </c>
      <c r="F15651" t="s">
        <v>4</v>
      </c>
      <c r="G15651" t="str">
        <f>""</f>
        <v/>
      </c>
    </row>
    <row r="15652" spans="1:7" x14ac:dyDescent="0.25">
      <c r="A15652" t="s">
        <v>8</v>
      </c>
      <c r="B15652" s="1" t="str">
        <f>"000395997 - RICHS SWEET DOUGH-SODEXO"</f>
        <v>000395997 - RICHS SWEET DOUGH-SODEXO</v>
      </c>
      <c r="C15652" t="s">
        <v>137</v>
      </c>
      <c r="D15652" s="1" t="str">
        <f t="shared" si="426"/>
        <v>PRG-1043974</v>
      </c>
      <c r="E15652" t="s">
        <v>390</v>
      </c>
      <c r="F15652" t="s">
        <v>4</v>
      </c>
      <c r="G15652" t="str">
        <f>""</f>
        <v/>
      </c>
    </row>
    <row r="15653" spans="1:7" x14ac:dyDescent="0.25">
      <c r="A15653" t="s">
        <v>8</v>
      </c>
      <c r="B15653" s="1" t="str">
        <f>"000396922 - RICHS SWEET DOUGH-SODEXO"</f>
        <v>000396922 - RICHS SWEET DOUGH-SODEXO</v>
      </c>
      <c r="C15653" t="s">
        <v>137</v>
      </c>
      <c r="D15653" s="1" t="str">
        <f t="shared" si="426"/>
        <v>PRG-1043974</v>
      </c>
      <c r="E15653" t="s">
        <v>390</v>
      </c>
      <c r="F15653" t="s">
        <v>4</v>
      </c>
      <c r="G15653" t="str">
        <f>""</f>
        <v/>
      </c>
    </row>
    <row r="15654" spans="1:7" x14ac:dyDescent="0.25">
      <c r="A15654" t="s">
        <v>8</v>
      </c>
      <c r="B15654" s="1" t="str">
        <f>"000397357 - RICHS SWEET DOUGH-SODEXO"</f>
        <v>000397357 - RICHS SWEET DOUGH-SODEXO</v>
      </c>
      <c r="C15654" t="s">
        <v>137</v>
      </c>
      <c r="D15654" s="1" t="str">
        <f t="shared" si="426"/>
        <v>PRG-1043974</v>
      </c>
      <c r="E15654" t="s">
        <v>390</v>
      </c>
      <c r="F15654" t="s">
        <v>4</v>
      </c>
      <c r="G15654" t="str">
        <f>""</f>
        <v/>
      </c>
    </row>
    <row r="15655" spans="1:7" x14ac:dyDescent="0.25">
      <c r="A15655" t="s">
        <v>8</v>
      </c>
      <c r="B15655" s="1" t="str">
        <f>"000397639 - RICHS SWEET DOUGH-SODEXO"</f>
        <v>000397639 - RICHS SWEET DOUGH-SODEXO</v>
      </c>
      <c r="C15655" t="s">
        <v>137</v>
      </c>
      <c r="D15655" s="1" t="str">
        <f t="shared" si="426"/>
        <v>PRG-1043974</v>
      </c>
      <c r="E15655" t="s">
        <v>390</v>
      </c>
      <c r="F15655" t="s">
        <v>4</v>
      </c>
      <c r="G15655" t="str">
        <f>""</f>
        <v/>
      </c>
    </row>
    <row r="15656" spans="1:7" x14ac:dyDescent="0.25">
      <c r="A15656" t="s">
        <v>8</v>
      </c>
      <c r="B15656" s="1" t="str">
        <f>"000398665 - RICHS SWEET DOUGH-SODEXO"</f>
        <v>000398665 - RICHS SWEET DOUGH-SODEXO</v>
      </c>
      <c r="C15656" t="s">
        <v>137</v>
      </c>
      <c r="D15656" s="1" t="str">
        <f t="shared" si="426"/>
        <v>PRG-1043974</v>
      </c>
      <c r="E15656" t="s">
        <v>390</v>
      </c>
      <c r="F15656" t="s">
        <v>4</v>
      </c>
      <c r="G15656" t="str">
        <f>""</f>
        <v/>
      </c>
    </row>
    <row r="15657" spans="1:7" x14ac:dyDescent="0.25">
      <c r="A15657" t="s">
        <v>8</v>
      </c>
      <c r="B15657" s="1" t="str">
        <f>"000399648 - RICHS SWEET DOUGH-SODEXO"</f>
        <v>000399648 - RICHS SWEET DOUGH-SODEXO</v>
      </c>
      <c r="C15657" t="s">
        <v>137</v>
      </c>
      <c r="D15657" s="1" t="str">
        <f t="shared" si="426"/>
        <v>PRG-1043974</v>
      </c>
      <c r="E15657" t="s">
        <v>390</v>
      </c>
      <c r="F15657" t="s">
        <v>4</v>
      </c>
      <c r="G15657" t="str">
        <f>""</f>
        <v/>
      </c>
    </row>
    <row r="15658" spans="1:7" x14ac:dyDescent="0.25">
      <c r="A15658" t="s">
        <v>8</v>
      </c>
      <c r="B15658" s="1" t="str">
        <f>"000401260 - RICHS SWEET DOUGH-SODEXO"</f>
        <v>000401260 - RICHS SWEET DOUGH-SODEXO</v>
      </c>
      <c r="C15658" t="s">
        <v>137</v>
      </c>
      <c r="D15658" s="1" t="str">
        <f t="shared" si="426"/>
        <v>PRG-1043974</v>
      </c>
      <c r="E15658" t="s">
        <v>390</v>
      </c>
      <c r="F15658" t="s">
        <v>4</v>
      </c>
      <c r="G15658" t="str">
        <f>""</f>
        <v/>
      </c>
    </row>
    <row r="15659" spans="1:7" x14ac:dyDescent="0.25">
      <c r="A15659" t="s">
        <v>8</v>
      </c>
      <c r="B15659" s="1" t="str">
        <f>"000403299 - RICHS SWEET DOUGH-SODEXO"</f>
        <v>000403299 - RICHS SWEET DOUGH-SODEXO</v>
      </c>
      <c r="C15659" t="s">
        <v>137</v>
      </c>
      <c r="D15659" s="1" t="str">
        <f t="shared" si="426"/>
        <v>PRG-1043974</v>
      </c>
      <c r="E15659" t="s">
        <v>390</v>
      </c>
      <c r="F15659" t="s">
        <v>4</v>
      </c>
      <c r="G15659" t="str">
        <f>""</f>
        <v/>
      </c>
    </row>
    <row r="15660" spans="1:7" x14ac:dyDescent="0.25">
      <c r="A15660" t="s">
        <v>8</v>
      </c>
      <c r="B15660" s="1" t="str">
        <f>"000403520 - RICHS SWEET DOUGH-SODEXO"</f>
        <v>000403520 - RICHS SWEET DOUGH-SODEXO</v>
      </c>
      <c r="C15660" t="s">
        <v>137</v>
      </c>
      <c r="D15660" s="1" t="str">
        <f t="shared" si="426"/>
        <v>PRG-1043974</v>
      </c>
      <c r="E15660" t="s">
        <v>390</v>
      </c>
      <c r="F15660" t="s">
        <v>4</v>
      </c>
      <c r="G15660" t="str">
        <f>""</f>
        <v/>
      </c>
    </row>
    <row r="15661" spans="1:7" x14ac:dyDescent="0.25">
      <c r="A15661" t="s">
        <v>8</v>
      </c>
      <c r="B15661" s="1" t="str">
        <f>"000403981 - RICHS SWEET DOUGH-SODEXO"</f>
        <v>000403981 - RICHS SWEET DOUGH-SODEXO</v>
      </c>
      <c r="C15661" t="s">
        <v>137</v>
      </c>
      <c r="D15661" s="1" t="str">
        <f t="shared" si="426"/>
        <v>PRG-1043974</v>
      </c>
      <c r="E15661" t="s">
        <v>390</v>
      </c>
      <c r="F15661" t="s">
        <v>4</v>
      </c>
      <c r="G15661" t="str">
        <f>""</f>
        <v/>
      </c>
    </row>
    <row r="15662" spans="1:7" x14ac:dyDescent="0.25">
      <c r="A15662" t="s">
        <v>8</v>
      </c>
      <c r="B15662" s="1" t="str">
        <f>"000404464 - RICHS SWEET DOUGH-SODEXO"</f>
        <v>000404464 - RICHS SWEET DOUGH-SODEXO</v>
      </c>
      <c r="C15662" t="s">
        <v>137</v>
      </c>
      <c r="D15662" s="1" t="str">
        <f t="shared" si="426"/>
        <v>PRG-1043974</v>
      </c>
      <c r="E15662" t="s">
        <v>390</v>
      </c>
      <c r="F15662" t="s">
        <v>4</v>
      </c>
      <c r="G15662" t="str">
        <f>""</f>
        <v/>
      </c>
    </row>
    <row r="15663" spans="1:7" x14ac:dyDescent="0.25">
      <c r="A15663" t="s">
        <v>8</v>
      </c>
      <c r="B15663" s="1" t="str">
        <f>"000405279 - RICHS SWEET DOUGH-SODEXO"</f>
        <v>000405279 - RICHS SWEET DOUGH-SODEXO</v>
      </c>
      <c r="C15663" t="s">
        <v>137</v>
      </c>
      <c r="D15663" s="1" t="str">
        <f t="shared" si="426"/>
        <v>PRG-1043974</v>
      </c>
      <c r="E15663" t="s">
        <v>390</v>
      </c>
      <c r="F15663" t="s">
        <v>4</v>
      </c>
      <c r="G15663" t="str">
        <f>""</f>
        <v/>
      </c>
    </row>
    <row r="15664" spans="1:7" x14ac:dyDescent="0.25">
      <c r="A15664" t="s">
        <v>8</v>
      </c>
      <c r="B15664" s="1" t="str">
        <f>"000405474 - RICHS SWEET DOUGH-SODEXO"</f>
        <v>000405474 - RICHS SWEET DOUGH-SODEXO</v>
      </c>
      <c r="C15664" t="s">
        <v>137</v>
      </c>
      <c r="D15664" s="1" t="str">
        <f t="shared" si="426"/>
        <v>PRG-1043974</v>
      </c>
      <c r="E15664" t="s">
        <v>390</v>
      </c>
      <c r="F15664" t="s">
        <v>4</v>
      </c>
      <c r="G15664" t="str">
        <f>""</f>
        <v/>
      </c>
    </row>
    <row r="15665" spans="1:7" x14ac:dyDescent="0.25">
      <c r="A15665" t="s">
        <v>8</v>
      </c>
      <c r="B15665" s="1" t="str">
        <f>"000407086 - RICHS SWEET DOUGH-SODEXO"</f>
        <v>000407086 - RICHS SWEET DOUGH-SODEXO</v>
      </c>
      <c r="C15665" t="s">
        <v>137</v>
      </c>
      <c r="D15665" s="1" t="str">
        <f t="shared" si="426"/>
        <v>PRG-1043974</v>
      </c>
      <c r="E15665" t="s">
        <v>390</v>
      </c>
      <c r="F15665" t="s">
        <v>4</v>
      </c>
      <c r="G15665" t="str">
        <f>""</f>
        <v/>
      </c>
    </row>
    <row r="15666" spans="1:7" x14ac:dyDescent="0.25">
      <c r="A15666" t="s">
        <v>8</v>
      </c>
      <c r="B15666" s="1" t="str">
        <f>"000408312 - RICHS SWEET DOUGH-SODEXO"</f>
        <v>000408312 - RICHS SWEET DOUGH-SODEXO</v>
      </c>
      <c r="C15666" t="s">
        <v>137</v>
      </c>
      <c r="D15666" s="1" t="str">
        <f t="shared" si="426"/>
        <v>PRG-1043974</v>
      </c>
      <c r="E15666" t="s">
        <v>390</v>
      </c>
      <c r="F15666" t="s">
        <v>4</v>
      </c>
      <c r="G15666" t="str">
        <f>""</f>
        <v/>
      </c>
    </row>
    <row r="15667" spans="1:7" x14ac:dyDescent="0.25">
      <c r="A15667" t="s">
        <v>8</v>
      </c>
      <c r="B15667" s="1" t="str">
        <f>"000408938 - RICHS SWEET DOUGH-SODEXO"</f>
        <v>000408938 - RICHS SWEET DOUGH-SODEXO</v>
      </c>
      <c r="C15667" t="s">
        <v>137</v>
      </c>
      <c r="D15667" s="1" t="str">
        <f t="shared" si="426"/>
        <v>PRG-1043974</v>
      </c>
      <c r="E15667" t="s">
        <v>390</v>
      </c>
      <c r="F15667" t="s">
        <v>4</v>
      </c>
      <c r="G15667" t="str">
        <f>""</f>
        <v/>
      </c>
    </row>
    <row r="15668" spans="1:7" x14ac:dyDescent="0.25">
      <c r="A15668" t="s">
        <v>8</v>
      </c>
      <c r="B15668" s="1" t="str">
        <f>"000410240 - RICHS SWEET DOUGH-SODEXO"</f>
        <v>000410240 - RICHS SWEET DOUGH-SODEXO</v>
      </c>
      <c r="C15668" t="s">
        <v>137</v>
      </c>
      <c r="D15668" s="1" t="str">
        <f t="shared" si="426"/>
        <v>PRG-1043974</v>
      </c>
      <c r="E15668" t="s">
        <v>390</v>
      </c>
      <c r="F15668" t="s">
        <v>4</v>
      </c>
      <c r="G15668" t="str">
        <f>""</f>
        <v/>
      </c>
    </row>
    <row r="15669" spans="1:7" x14ac:dyDescent="0.25">
      <c r="A15669" t="s">
        <v>8</v>
      </c>
      <c r="B15669" s="1" t="str">
        <f>"000412790 - RICHS SWEET DOUGH-SODEXO"</f>
        <v>000412790 - RICHS SWEET DOUGH-SODEXO</v>
      </c>
      <c r="C15669" t="s">
        <v>137</v>
      </c>
      <c r="D15669" s="1" t="str">
        <f t="shared" si="426"/>
        <v>PRG-1043974</v>
      </c>
      <c r="E15669" t="s">
        <v>390</v>
      </c>
      <c r="F15669" t="s">
        <v>4</v>
      </c>
      <c r="G15669" t="str">
        <f>""</f>
        <v/>
      </c>
    </row>
    <row r="15670" spans="1:7" x14ac:dyDescent="0.25">
      <c r="A15670" t="s">
        <v>8</v>
      </c>
      <c r="B15670" s="1" t="str">
        <f>"000412912 - RICHS SWEET DOUGH-SODEXO"</f>
        <v>000412912 - RICHS SWEET DOUGH-SODEXO</v>
      </c>
      <c r="C15670" t="s">
        <v>137</v>
      </c>
      <c r="D15670" s="1" t="str">
        <f t="shared" si="426"/>
        <v>PRG-1043974</v>
      </c>
      <c r="E15670" t="s">
        <v>390</v>
      </c>
      <c r="F15670" t="s">
        <v>4</v>
      </c>
      <c r="G15670" t="str">
        <f>""</f>
        <v/>
      </c>
    </row>
    <row r="15671" spans="1:7" x14ac:dyDescent="0.25">
      <c r="A15671" t="s">
        <v>8</v>
      </c>
      <c r="B15671" s="1" t="str">
        <f>"000415791 - RICHS SWEET DOUGH-SODEXO"</f>
        <v>000415791 - RICHS SWEET DOUGH-SODEXO</v>
      </c>
      <c r="C15671" t="s">
        <v>137</v>
      </c>
      <c r="D15671" s="1" t="str">
        <f t="shared" si="426"/>
        <v>PRG-1043974</v>
      </c>
      <c r="E15671" t="s">
        <v>390</v>
      </c>
      <c r="F15671" t="s">
        <v>4</v>
      </c>
      <c r="G15671" t="str">
        <f>""</f>
        <v/>
      </c>
    </row>
    <row r="15672" spans="1:7" x14ac:dyDescent="0.25">
      <c r="A15672" t="s">
        <v>8</v>
      </c>
      <c r="B15672" s="1" t="str">
        <f>"000416123 - RICHS SWEET DOUGH-SODEXO"</f>
        <v>000416123 - RICHS SWEET DOUGH-SODEXO</v>
      </c>
      <c r="C15672" t="s">
        <v>137</v>
      </c>
      <c r="D15672" s="1" t="str">
        <f t="shared" si="426"/>
        <v>PRG-1043974</v>
      </c>
      <c r="E15672" t="s">
        <v>390</v>
      </c>
      <c r="F15672" t="s">
        <v>4</v>
      </c>
      <c r="G15672" t="str">
        <f>""</f>
        <v/>
      </c>
    </row>
    <row r="15673" spans="1:7" x14ac:dyDescent="0.25">
      <c r="A15673" t="s">
        <v>8</v>
      </c>
      <c r="B15673" s="1" t="str">
        <f>"000417411 - RICHS SWEET DOUGH-SODEXO"</f>
        <v>000417411 - RICHS SWEET DOUGH-SODEXO</v>
      </c>
      <c r="C15673" t="s">
        <v>137</v>
      </c>
      <c r="D15673" s="1" t="str">
        <f t="shared" si="426"/>
        <v>PRG-1043974</v>
      </c>
      <c r="E15673" t="s">
        <v>390</v>
      </c>
      <c r="F15673" t="s">
        <v>4</v>
      </c>
      <c r="G15673" t="str">
        <f>""</f>
        <v/>
      </c>
    </row>
    <row r="15674" spans="1:7" x14ac:dyDescent="0.25">
      <c r="A15674" t="s">
        <v>8</v>
      </c>
      <c r="B15674" s="1" t="str">
        <f>"000419084 - RICHS SWEET DOUGH-SODEXO"</f>
        <v>000419084 - RICHS SWEET DOUGH-SODEXO</v>
      </c>
      <c r="C15674" t="s">
        <v>137</v>
      </c>
      <c r="D15674" s="1" t="str">
        <f t="shared" si="426"/>
        <v>PRG-1043974</v>
      </c>
      <c r="E15674" t="s">
        <v>390</v>
      </c>
      <c r="F15674" t="s">
        <v>4</v>
      </c>
      <c r="G15674" t="str">
        <f>""</f>
        <v/>
      </c>
    </row>
    <row r="15675" spans="1:7" x14ac:dyDescent="0.25">
      <c r="A15675" t="s">
        <v>8</v>
      </c>
      <c r="B15675" s="1" t="str">
        <f>"000419313 - RICHS SWEET DOUGH-SODEXO"</f>
        <v>000419313 - RICHS SWEET DOUGH-SODEXO</v>
      </c>
      <c r="C15675" t="s">
        <v>137</v>
      </c>
      <c r="D15675" s="1" t="str">
        <f t="shared" si="426"/>
        <v>PRG-1043974</v>
      </c>
      <c r="E15675" t="s">
        <v>390</v>
      </c>
      <c r="F15675" t="s">
        <v>4</v>
      </c>
      <c r="G15675" t="str">
        <f>""</f>
        <v/>
      </c>
    </row>
    <row r="15676" spans="1:7" x14ac:dyDescent="0.25">
      <c r="A15676" t="s">
        <v>8</v>
      </c>
      <c r="B15676" s="1" t="str">
        <f>"000426663 - RICHS SWEET DOUGH-SODEXO"</f>
        <v>000426663 - RICHS SWEET DOUGH-SODEXO</v>
      </c>
      <c r="C15676" t="s">
        <v>137</v>
      </c>
      <c r="D15676" s="1" t="str">
        <f t="shared" si="426"/>
        <v>PRG-1043974</v>
      </c>
      <c r="E15676" t="s">
        <v>390</v>
      </c>
      <c r="F15676" t="s">
        <v>4</v>
      </c>
      <c r="G15676" t="str">
        <f>""</f>
        <v/>
      </c>
    </row>
    <row r="15677" spans="1:7" x14ac:dyDescent="0.25">
      <c r="A15677" t="s">
        <v>8</v>
      </c>
      <c r="B15677" s="1" t="str">
        <f>"000253965 - RICH DC WILD WATERS BROADWAY"</f>
        <v>000253965 - RICH DC WILD WATERS BROADWAY</v>
      </c>
      <c r="C15677" t="s">
        <v>2147</v>
      </c>
      <c r="D15677" s="1" t="str">
        <f>"PRG-1044000"</f>
        <v>PRG-1044000</v>
      </c>
      <c r="E15677" t="s">
        <v>2148</v>
      </c>
      <c r="F15677" t="s">
        <v>4</v>
      </c>
      <c r="G15677" t="str">
        <f>""</f>
        <v/>
      </c>
    </row>
    <row r="15678" spans="1:7" x14ac:dyDescent="0.25">
      <c r="A15678" t="s">
        <v>8</v>
      </c>
      <c r="B15678" s="1" t="str">
        <f>"000018309 - RICHS-FORUM"</f>
        <v>000018309 - RICHS-FORUM</v>
      </c>
      <c r="C15678" t="s">
        <v>389</v>
      </c>
      <c r="D15678" s="1" t="str">
        <f t="shared" ref="D15678:D15696" si="427">"PRG-1044033"</f>
        <v>PRG-1044033</v>
      </c>
      <c r="E15678" t="s">
        <v>95</v>
      </c>
      <c r="F15678" t="s">
        <v>4</v>
      </c>
      <c r="G15678" t="str">
        <f>""</f>
        <v/>
      </c>
    </row>
    <row r="15679" spans="1:7" x14ac:dyDescent="0.25">
      <c r="A15679" t="s">
        <v>8</v>
      </c>
      <c r="B15679" s="1" t="str">
        <f>"000035780 - RICHS-FORUM"</f>
        <v>000035780 - RICHS-FORUM</v>
      </c>
      <c r="C15679" t="s">
        <v>389</v>
      </c>
      <c r="D15679" s="1" t="str">
        <f t="shared" si="427"/>
        <v>PRG-1044033</v>
      </c>
      <c r="E15679" t="s">
        <v>95</v>
      </c>
      <c r="F15679" t="s">
        <v>4</v>
      </c>
      <c r="G15679" t="str">
        <f>""</f>
        <v/>
      </c>
    </row>
    <row r="15680" spans="1:7" x14ac:dyDescent="0.25">
      <c r="A15680" t="s">
        <v>8</v>
      </c>
      <c r="B15680" s="1" t="str">
        <f>"000150250 - RICHS-FORUM"</f>
        <v>000150250 - RICHS-FORUM</v>
      </c>
      <c r="C15680" t="s">
        <v>389</v>
      </c>
      <c r="D15680" s="1" t="str">
        <f t="shared" si="427"/>
        <v>PRG-1044033</v>
      </c>
      <c r="E15680" t="s">
        <v>95</v>
      </c>
      <c r="F15680" t="s">
        <v>4</v>
      </c>
      <c r="G15680" t="str">
        <f>""</f>
        <v/>
      </c>
    </row>
    <row r="15681" spans="1:7" x14ac:dyDescent="0.25">
      <c r="A15681" t="s">
        <v>8</v>
      </c>
      <c r="B15681" s="1" t="str">
        <f>"000248135 - RICHS-FORUM"</f>
        <v>000248135 - RICHS-FORUM</v>
      </c>
      <c r="C15681" t="s">
        <v>389</v>
      </c>
      <c r="D15681" s="1" t="str">
        <f t="shared" si="427"/>
        <v>PRG-1044033</v>
      </c>
      <c r="E15681" t="s">
        <v>95</v>
      </c>
      <c r="F15681" t="s">
        <v>4</v>
      </c>
      <c r="G15681" t="str">
        <f>""</f>
        <v/>
      </c>
    </row>
    <row r="15682" spans="1:7" x14ac:dyDescent="0.25">
      <c r="A15682" t="s">
        <v>8</v>
      </c>
      <c r="B15682" s="1" t="str">
        <f>"000253395 - RICHS-FORUM"</f>
        <v>000253395 - RICHS-FORUM</v>
      </c>
      <c r="C15682" t="s">
        <v>389</v>
      </c>
      <c r="D15682" s="1" t="str">
        <f t="shared" si="427"/>
        <v>PRG-1044033</v>
      </c>
      <c r="E15682" t="s">
        <v>95</v>
      </c>
      <c r="F15682" t="s">
        <v>4</v>
      </c>
      <c r="G15682" t="str">
        <f>""</f>
        <v/>
      </c>
    </row>
    <row r="15683" spans="1:7" x14ac:dyDescent="0.25">
      <c r="A15683" t="s">
        <v>8</v>
      </c>
      <c r="B15683" s="1" t="str">
        <f>"000277339 - RICHS-FORUM"</f>
        <v>000277339 - RICHS-FORUM</v>
      </c>
      <c r="C15683" t="s">
        <v>389</v>
      </c>
      <c r="D15683" s="1" t="str">
        <f t="shared" si="427"/>
        <v>PRG-1044033</v>
      </c>
      <c r="E15683" t="s">
        <v>95</v>
      </c>
      <c r="F15683" t="s">
        <v>4</v>
      </c>
      <c r="G15683" t="str">
        <f>""</f>
        <v/>
      </c>
    </row>
    <row r="15684" spans="1:7" x14ac:dyDescent="0.25">
      <c r="A15684" t="s">
        <v>8</v>
      </c>
      <c r="B15684" s="1" t="str">
        <f>"000292559 - RICHS-FORUM"</f>
        <v>000292559 - RICHS-FORUM</v>
      </c>
      <c r="C15684" t="s">
        <v>389</v>
      </c>
      <c r="D15684" s="1" t="str">
        <f t="shared" si="427"/>
        <v>PRG-1044033</v>
      </c>
      <c r="E15684" t="s">
        <v>95</v>
      </c>
      <c r="F15684" t="s">
        <v>4</v>
      </c>
      <c r="G15684" t="str">
        <f>""</f>
        <v/>
      </c>
    </row>
    <row r="15685" spans="1:7" x14ac:dyDescent="0.25">
      <c r="A15685" t="s">
        <v>8</v>
      </c>
      <c r="B15685" s="1" t="str">
        <f>"000293065 - RICHS-FORUM"</f>
        <v>000293065 - RICHS-FORUM</v>
      </c>
      <c r="C15685" t="s">
        <v>389</v>
      </c>
      <c r="D15685" s="1" t="str">
        <f t="shared" si="427"/>
        <v>PRG-1044033</v>
      </c>
      <c r="E15685" t="s">
        <v>95</v>
      </c>
      <c r="F15685" t="s">
        <v>4</v>
      </c>
      <c r="G15685" t="str">
        <f>""</f>
        <v/>
      </c>
    </row>
    <row r="15686" spans="1:7" x14ac:dyDescent="0.25">
      <c r="A15686" t="s">
        <v>8</v>
      </c>
      <c r="B15686" s="1" t="str">
        <f>"000296562 - RICHS-FORUM"</f>
        <v>000296562 - RICHS-FORUM</v>
      </c>
      <c r="C15686" t="s">
        <v>389</v>
      </c>
      <c r="D15686" s="1" t="str">
        <f t="shared" si="427"/>
        <v>PRG-1044033</v>
      </c>
      <c r="E15686" t="s">
        <v>95</v>
      </c>
      <c r="F15686" t="s">
        <v>4</v>
      </c>
      <c r="G15686" t="str">
        <f>""</f>
        <v/>
      </c>
    </row>
    <row r="15687" spans="1:7" x14ac:dyDescent="0.25">
      <c r="A15687" t="s">
        <v>8</v>
      </c>
      <c r="B15687" s="1" t="str">
        <f>"000297662 - RICHS-FORUM"</f>
        <v>000297662 - RICHS-FORUM</v>
      </c>
      <c r="C15687" t="s">
        <v>389</v>
      </c>
      <c r="D15687" s="1" t="str">
        <f t="shared" si="427"/>
        <v>PRG-1044033</v>
      </c>
      <c r="E15687" t="s">
        <v>95</v>
      </c>
      <c r="F15687" t="s">
        <v>4</v>
      </c>
      <c r="G15687" t="str">
        <f>""</f>
        <v/>
      </c>
    </row>
    <row r="15688" spans="1:7" x14ac:dyDescent="0.25">
      <c r="A15688" t="s">
        <v>8</v>
      </c>
      <c r="B15688" s="1" t="str">
        <f>"000297900 - RICHS-FORUM"</f>
        <v>000297900 - RICHS-FORUM</v>
      </c>
      <c r="C15688" t="s">
        <v>389</v>
      </c>
      <c r="D15688" s="1" t="str">
        <f t="shared" si="427"/>
        <v>PRG-1044033</v>
      </c>
      <c r="E15688" t="s">
        <v>95</v>
      </c>
      <c r="F15688" t="s">
        <v>4</v>
      </c>
      <c r="G15688" t="str">
        <f>""</f>
        <v/>
      </c>
    </row>
    <row r="15689" spans="1:7" x14ac:dyDescent="0.25">
      <c r="A15689" t="s">
        <v>8</v>
      </c>
      <c r="B15689" s="1" t="str">
        <f>"000298426 - RICHS-FORUM"</f>
        <v>000298426 - RICHS-FORUM</v>
      </c>
      <c r="C15689" t="s">
        <v>389</v>
      </c>
      <c r="D15689" s="1" t="str">
        <f t="shared" si="427"/>
        <v>PRG-1044033</v>
      </c>
      <c r="E15689" t="s">
        <v>95</v>
      </c>
      <c r="F15689" t="s">
        <v>4</v>
      </c>
      <c r="G15689" t="str">
        <f>""</f>
        <v/>
      </c>
    </row>
    <row r="15690" spans="1:7" x14ac:dyDescent="0.25">
      <c r="A15690" t="s">
        <v>8</v>
      </c>
      <c r="B15690" s="1" t="str">
        <f>"000299621 - RICHS-FORUM"</f>
        <v>000299621 - RICHS-FORUM</v>
      </c>
      <c r="C15690" t="s">
        <v>389</v>
      </c>
      <c r="D15690" s="1" t="str">
        <f t="shared" si="427"/>
        <v>PRG-1044033</v>
      </c>
      <c r="E15690" t="s">
        <v>95</v>
      </c>
      <c r="F15690" t="s">
        <v>4</v>
      </c>
      <c r="G15690" t="str">
        <f>""</f>
        <v/>
      </c>
    </row>
    <row r="15691" spans="1:7" x14ac:dyDescent="0.25">
      <c r="A15691" t="s">
        <v>8</v>
      </c>
      <c r="B15691" s="1" t="str">
        <f>"000301910 - RICHS-FORUM"</f>
        <v>000301910 - RICHS-FORUM</v>
      </c>
      <c r="C15691" t="s">
        <v>389</v>
      </c>
      <c r="D15691" s="1" t="str">
        <f t="shared" si="427"/>
        <v>PRG-1044033</v>
      </c>
      <c r="E15691" t="s">
        <v>95</v>
      </c>
      <c r="F15691" t="s">
        <v>4</v>
      </c>
      <c r="G15691" t="str">
        <f>""</f>
        <v/>
      </c>
    </row>
    <row r="15692" spans="1:7" x14ac:dyDescent="0.25">
      <c r="A15692" t="s">
        <v>8</v>
      </c>
      <c r="B15692" s="1" t="str">
        <f>"000346932 - RICHS-FORUM"</f>
        <v>000346932 - RICHS-FORUM</v>
      </c>
      <c r="C15692" t="s">
        <v>389</v>
      </c>
      <c r="D15692" s="1" t="str">
        <f t="shared" si="427"/>
        <v>PRG-1044033</v>
      </c>
      <c r="E15692" t="s">
        <v>95</v>
      </c>
      <c r="F15692" t="s">
        <v>4</v>
      </c>
      <c r="G15692" t="str">
        <f>""</f>
        <v/>
      </c>
    </row>
    <row r="15693" spans="1:7" x14ac:dyDescent="0.25">
      <c r="A15693" t="s">
        <v>8</v>
      </c>
      <c r="B15693" s="1" t="str">
        <f>"000348267 - RICHS-FORUM"</f>
        <v>000348267 - RICHS-FORUM</v>
      </c>
      <c r="C15693" t="s">
        <v>389</v>
      </c>
      <c r="D15693" s="1" t="str">
        <f t="shared" si="427"/>
        <v>PRG-1044033</v>
      </c>
      <c r="E15693" t="s">
        <v>95</v>
      </c>
      <c r="F15693" t="s">
        <v>4</v>
      </c>
      <c r="G15693" t="str">
        <f>""</f>
        <v/>
      </c>
    </row>
    <row r="15694" spans="1:7" x14ac:dyDescent="0.25">
      <c r="A15694" t="s">
        <v>8</v>
      </c>
      <c r="B15694" s="1" t="str">
        <f>"000363401 - RICHS-FORUM"</f>
        <v>000363401 - RICHS-FORUM</v>
      </c>
      <c r="C15694" t="s">
        <v>389</v>
      </c>
      <c r="D15694" s="1" t="str">
        <f t="shared" si="427"/>
        <v>PRG-1044033</v>
      </c>
      <c r="E15694" t="s">
        <v>95</v>
      </c>
      <c r="F15694" t="s">
        <v>4</v>
      </c>
      <c r="G15694" t="str">
        <f>""</f>
        <v/>
      </c>
    </row>
    <row r="15695" spans="1:7" x14ac:dyDescent="0.25">
      <c r="A15695" t="s">
        <v>8</v>
      </c>
      <c r="B15695" s="1" t="str">
        <f>"000368806 - RICHS-FORUM"</f>
        <v>000368806 - RICHS-FORUM</v>
      </c>
      <c r="C15695" t="s">
        <v>389</v>
      </c>
      <c r="D15695" s="1" t="str">
        <f t="shared" si="427"/>
        <v>PRG-1044033</v>
      </c>
      <c r="E15695" t="s">
        <v>95</v>
      </c>
      <c r="F15695" t="s">
        <v>4</v>
      </c>
      <c r="G15695" t="str">
        <f>""</f>
        <v/>
      </c>
    </row>
    <row r="15696" spans="1:7" x14ac:dyDescent="0.25">
      <c r="A15696" t="s">
        <v>8</v>
      </c>
      <c r="B15696" s="1" t="str">
        <f>"000378952 - RICHS-FORUM"</f>
        <v>000378952 - RICHS-FORUM</v>
      </c>
      <c r="C15696" t="s">
        <v>389</v>
      </c>
      <c r="D15696" s="1" t="str">
        <f t="shared" si="427"/>
        <v>PRG-1044033</v>
      </c>
      <c r="E15696" t="s">
        <v>95</v>
      </c>
      <c r="F15696" t="s">
        <v>4</v>
      </c>
      <c r="G15696" t="str">
        <f>""</f>
        <v/>
      </c>
    </row>
    <row r="15697" spans="1:7" x14ac:dyDescent="0.25">
      <c r="A15697" t="s">
        <v>8</v>
      </c>
      <c r="B15697" s="1" t="str">
        <f>"000021370 - RICH-CASA DI BERTACCHI SODEXO"</f>
        <v>000021370 - RICH-CASA DI BERTACCHI SODEXO</v>
      </c>
      <c r="C15697" t="s">
        <v>416</v>
      </c>
      <c r="D15697" s="1" t="str">
        <f t="shared" ref="D15697:D15714" si="428">"PRG-1044034"</f>
        <v>PRG-1044034</v>
      </c>
      <c r="E15697" t="s">
        <v>160</v>
      </c>
      <c r="F15697" t="s">
        <v>4</v>
      </c>
      <c r="G15697" t="str">
        <f>""</f>
        <v/>
      </c>
    </row>
    <row r="15698" spans="1:7" x14ac:dyDescent="0.25">
      <c r="A15698" t="s">
        <v>8</v>
      </c>
      <c r="B15698" s="1" t="str">
        <f>"000022548 - RICHS CASA DI BERTACCHI-SODEXO"</f>
        <v>000022548 - RICHS CASA DI BERTACCHI-SODEXO</v>
      </c>
      <c r="C15698" t="s">
        <v>121</v>
      </c>
      <c r="D15698" s="1" t="str">
        <f t="shared" si="428"/>
        <v>PRG-1044034</v>
      </c>
      <c r="E15698" t="s">
        <v>160</v>
      </c>
      <c r="F15698" t="s">
        <v>4</v>
      </c>
      <c r="G15698" t="str">
        <f>""</f>
        <v/>
      </c>
    </row>
    <row r="15699" spans="1:7" x14ac:dyDescent="0.25">
      <c r="A15699" t="s">
        <v>8</v>
      </c>
      <c r="B15699" s="1" t="str">
        <f>"000046910 - RICHS CASA DI BERTACCHI-SODEXO"</f>
        <v>000046910 - RICHS CASA DI BERTACCHI-SODEXO</v>
      </c>
      <c r="C15699" t="s">
        <v>121</v>
      </c>
      <c r="D15699" s="1" t="str">
        <f t="shared" si="428"/>
        <v>PRG-1044034</v>
      </c>
      <c r="E15699" t="s">
        <v>160</v>
      </c>
      <c r="F15699" t="s">
        <v>4</v>
      </c>
      <c r="G15699" t="str">
        <f>""</f>
        <v/>
      </c>
    </row>
    <row r="15700" spans="1:7" x14ac:dyDescent="0.25">
      <c r="A15700" t="s">
        <v>8</v>
      </c>
      <c r="B15700" s="1" t="str">
        <f>"000080461 - RICHS CASA DI BERTACCHI-SODEXO"</f>
        <v>000080461 - RICHS CASA DI BERTACCHI-SODEXO</v>
      </c>
      <c r="C15700" t="s">
        <v>121</v>
      </c>
      <c r="D15700" s="1" t="str">
        <f t="shared" si="428"/>
        <v>PRG-1044034</v>
      </c>
      <c r="E15700" t="s">
        <v>160</v>
      </c>
      <c r="F15700" t="s">
        <v>4</v>
      </c>
      <c r="G15700" t="str">
        <f>""</f>
        <v/>
      </c>
    </row>
    <row r="15701" spans="1:7" x14ac:dyDescent="0.25">
      <c r="A15701" t="s">
        <v>8</v>
      </c>
      <c r="B15701" s="1" t="str">
        <f>"000155115 - RICHS CASA DI BERTACCHI-SODEXO"</f>
        <v>000155115 - RICHS CASA DI BERTACCHI-SODEXO</v>
      </c>
      <c r="C15701" t="s">
        <v>121</v>
      </c>
      <c r="D15701" s="1" t="str">
        <f t="shared" si="428"/>
        <v>PRG-1044034</v>
      </c>
      <c r="E15701" t="s">
        <v>160</v>
      </c>
      <c r="F15701" t="s">
        <v>4</v>
      </c>
      <c r="G15701" t="str">
        <f>""</f>
        <v/>
      </c>
    </row>
    <row r="15702" spans="1:7" x14ac:dyDescent="0.25">
      <c r="A15702" t="s">
        <v>8</v>
      </c>
      <c r="B15702" s="1" t="str">
        <f>"000180277 - RICHS CASA DI BERTACCHI-SODEXO"</f>
        <v>000180277 - RICHS CASA DI BERTACCHI-SODEXO</v>
      </c>
      <c r="C15702" t="s">
        <v>121</v>
      </c>
      <c r="D15702" s="1" t="str">
        <f t="shared" si="428"/>
        <v>PRG-1044034</v>
      </c>
      <c r="E15702" t="s">
        <v>160</v>
      </c>
      <c r="F15702" t="s">
        <v>4</v>
      </c>
      <c r="G15702" t="str">
        <f>""</f>
        <v/>
      </c>
    </row>
    <row r="15703" spans="1:7" x14ac:dyDescent="0.25">
      <c r="A15703" t="s">
        <v>8</v>
      </c>
      <c r="B15703" s="1" t="str">
        <f>"000257844 - RICHS CASA DI BERTACCHI-SODEXO"</f>
        <v>000257844 - RICHS CASA DI BERTACCHI-SODEXO</v>
      </c>
      <c r="C15703" t="s">
        <v>121</v>
      </c>
      <c r="D15703" s="1" t="str">
        <f t="shared" si="428"/>
        <v>PRG-1044034</v>
      </c>
      <c r="E15703" t="s">
        <v>160</v>
      </c>
      <c r="F15703" t="s">
        <v>4</v>
      </c>
      <c r="G15703" t="str">
        <f>""</f>
        <v/>
      </c>
    </row>
    <row r="15704" spans="1:7" x14ac:dyDescent="0.25">
      <c r="A15704" t="s">
        <v>8</v>
      </c>
      <c r="B15704" s="1" t="str">
        <f>"000265901 - RICHS CASA DI BERTACCHI-SODEXO"</f>
        <v>000265901 - RICHS CASA DI BERTACCHI-SODEXO</v>
      </c>
      <c r="C15704" t="s">
        <v>121</v>
      </c>
      <c r="D15704" s="1" t="str">
        <f t="shared" si="428"/>
        <v>PRG-1044034</v>
      </c>
      <c r="E15704" t="s">
        <v>160</v>
      </c>
      <c r="F15704" t="s">
        <v>4</v>
      </c>
      <c r="G15704" t="str">
        <f>""</f>
        <v/>
      </c>
    </row>
    <row r="15705" spans="1:7" x14ac:dyDescent="0.25">
      <c r="A15705" t="s">
        <v>8</v>
      </c>
      <c r="B15705" s="1" t="str">
        <f>"000278438 - RICHS CASA DI BERTACCHI-SODEXO"</f>
        <v>000278438 - RICHS CASA DI BERTACCHI-SODEXO</v>
      </c>
      <c r="C15705" t="s">
        <v>121</v>
      </c>
      <c r="D15705" s="1" t="str">
        <f t="shared" si="428"/>
        <v>PRG-1044034</v>
      </c>
      <c r="E15705" t="s">
        <v>160</v>
      </c>
      <c r="F15705" t="s">
        <v>4</v>
      </c>
      <c r="G15705" t="str">
        <f>""</f>
        <v/>
      </c>
    </row>
    <row r="15706" spans="1:7" x14ac:dyDescent="0.25">
      <c r="A15706" t="s">
        <v>8</v>
      </c>
      <c r="B15706" s="1" t="str">
        <f>"000283306 - RICHS CASA DI BERTACCHI-SODEXO"</f>
        <v>000283306 - RICHS CASA DI BERTACCHI-SODEXO</v>
      </c>
      <c r="C15706" t="s">
        <v>121</v>
      </c>
      <c r="D15706" s="1" t="str">
        <f t="shared" si="428"/>
        <v>PRG-1044034</v>
      </c>
      <c r="E15706" t="s">
        <v>160</v>
      </c>
      <c r="F15706" t="s">
        <v>4</v>
      </c>
      <c r="G15706" t="str">
        <f>""</f>
        <v/>
      </c>
    </row>
    <row r="15707" spans="1:7" x14ac:dyDescent="0.25">
      <c r="A15707" t="s">
        <v>8</v>
      </c>
      <c r="B15707" s="1" t="str">
        <f>"000301349 - RICHS CASA DI BERTACCHI-SODEXO"</f>
        <v>000301349 - RICHS CASA DI BERTACCHI-SODEXO</v>
      </c>
      <c r="C15707" t="s">
        <v>121</v>
      </c>
      <c r="D15707" s="1" t="str">
        <f t="shared" si="428"/>
        <v>PRG-1044034</v>
      </c>
      <c r="E15707" t="s">
        <v>160</v>
      </c>
      <c r="F15707" t="s">
        <v>4</v>
      </c>
      <c r="G15707" t="str">
        <f>""</f>
        <v/>
      </c>
    </row>
    <row r="15708" spans="1:7" x14ac:dyDescent="0.25">
      <c r="A15708" t="s">
        <v>8</v>
      </c>
      <c r="B15708" s="1" t="str">
        <f>"000340557 - RICHS CASA DI BERTACCHI-SODEXO"</f>
        <v>000340557 - RICHS CASA DI BERTACCHI-SODEXO</v>
      </c>
      <c r="C15708" t="s">
        <v>121</v>
      </c>
      <c r="D15708" s="1" t="str">
        <f t="shared" si="428"/>
        <v>PRG-1044034</v>
      </c>
      <c r="E15708" t="s">
        <v>160</v>
      </c>
      <c r="F15708" t="s">
        <v>4</v>
      </c>
      <c r="G15708" t="str">
        <f>""</f>
        <v/>
      </c>
    </row>
    <row r="15709" spans="1:7" x14ac:dyDescent="0.25">
      <c r="A15709" t="s">
        <v>8</v>
      </c>
      <c r="B15709" s="1" t="str">
        <f>"000340583 - RICHS CASA DI BERTACCHI-SODEXO"</f>
        <v>000340583 - RICHS CASA DI BERTACCHI-SODEXO</v>
      </c>
      <c r="C15709" t="s">
        <v>121</v>
      </c>
      <c r="D15709" s="1" t="str">
        <f t="shared" si="428"/>
        <v>PRG-1044034</v>
      </c>
      <c r="E15709" t="s">
        <v>160</v>
      </c>
      <c r="F15709" t="s">
        <v>4</v>
      </c>
      <c r="G15709" t="str">
        <f>""</f>
        <v/>
      </c>
    </row>
    <row r="15710" spans="1:7" x14ac:dyDescent="0.25">
      <c r="A15710" t="s">
        <v>8</v>
      </c>
      <c r="B15710" s="1" t="str">
        <f>"000341555 - RICHS CASA DI BERTACCHI-SODEXO"</f>
        <v>000341555 - RICHS CASA DI BERTACCHI-SODEXO</v>
      </c>
      <c r="C15710" t="s">
        <v>121</v>
      </c>
      <c r="D15710" s="1" t="str">
        <f t="shared" si="428"/>
        <v>PRG-1044034</v>
      </c>
      <c r="E15710" t="s">
        <v>160</v>
      </c>
      <c r="F15710" t="s">
        <v>4</v>
      </c>
      <c r="G15710" t="str">
        <f>""</f>
        <v/>
      </c>
    </row>
    <row r="15711" spans="1:7" x14ac:dyDescent="0.25">
      <c r="A15711" t="s">
        <v>8</v>
      </c>
      <c r="B15711" s="1" t="str">
        <f>"000374117 - RICHS CASA DI BERTACCHI-R SODX"</f>
        <v>000374117 - RICHS CASA DI BERTACCHI-R SODX</v>
      </c>
      <c r="C15711" t="s">
        <v>3637</v>
      </c>
      <c r="D15711" s="1" t="str">
        <f t="shared" si="428"/>
        <v>PRG-1044034</v>
      </c>
      <c r="E15711" t="s">
        <v>160</v>
      </c>
      <c r="F15711" t="s">
        <v>4</v>
      </c>
      <c r="G15711" t="str">
        <f>""</f>
        <v/>
      </c>
    </row>
    <row r="15712" spans="1:7" x14ac:dyDescent="0.25">
      <c r="A15712" t="s">
        <v>8</v>
      </c>
      <c r="B15712" s="1" t="str">
        <f>"000374484 - RICH CASADEBERTACCHI(R)-SODEXO"</f>
        <v>000374484 - RICH CASADEBERTACCHI(R)-SODEXO</v>
      </c>
      <c r="C15712" t="s">
        <v>3638</v>
      </c>
      <c r="D15712" s="1" t="str">
        <f t="shared" si="428"/>
        <v>PRG-1044034</v>
      </c>
      <c r="E15712" t="s">
        <v>160</v>
      </c>
      <c r="F15712" t="s">
        <v>4</v>
      </c>
      <c r="G15712" t="str">
        <f>""</f>
        <v/>
      </c>
    </row>
    <row r="15713" spans="1:7" x14ac:dyDescent="0.25">
      <c r="A15713" t="s">
        <v>8</v>
      </c>
      <c r="B15713" s="1" t="str">
        <f>"000380454 - RICHS CASA DI BERTACCHI-SODEXO"</f>
        <v>000380454 - RICHS CASA DI BERTACCHI-SODEXO</v>
      </c>
      <c r="C15713" t="s">
        <v>121</v>
      </c>
      <c r="D15713" s="1" t="str">
        <f t="shared" si="428"/>
        <v>PRG-1044034</v>
      </c>
      <c r="E15713" t="s">
        <v>160</v>
      </c>
      <c r="F15713" t="s">
        <v>4</v>
      </c>
      <c r="G15713" t="str">
        <f>""</f>
        <v/>
      </c>
    </row>
    <row r="15714" spans="1:7" x14ac:dyDescent="0.25">
      <c r="A15714" t="s">
        <v>8</v>
      </c>
      <c r="B15714" s="1" t="str">
        <f>"000386084 - RICHS CASA DI BERTACCHI-SODEXO"</f>
        <v>000386084 - RICHS CASA DI BERTACCHI-SODEXO</v>
      </c>
      <c r="C15714" t="s">
        <v>121</v>
      </c>
      <c r="D15714" s="1" t="str">
        <f t="shared" si="428"/>
        <v>PRG-1044034</v>
      </c>
      <c r="E15714" t="s">
        <v>160</v>
      </c>
      <c r="F15714" t="s">
        <v>4</v>
      </c>
      <c r="G15714" t="str">
        <f>""</f>
        <v/>
      </c>
    </row>
    <row r="15715" spans="1:7" x14ac:dyDescent="0.25">
      <c r="A15715" t="s">
        <v>8</v>
      </c>
      <c r="B15715" s="1" t="str">
        <f>"S6Z00JF0"</f>
        <v>S6Z00JF0</v>
      </c>
      <c r="C15715" t="s">
        <v>6208</v>
      </c>
      <c r="D15715" s="1" t="str">
        <f>"PRG-1044067"</f>
        <v>PRG-1044067</v>
      </c>
      <c r="E15715" t="s">
        <v>6209</v>
      </c>
      <c r="F15715" t="s">
        <v>5</v>
      </c>
      <c r="G15715" t="str">
        <f>""</f>
        <v/>
      </c>
    </row>
    <row r="15716" spans="1:7" x14ac:dyDescent="0.25">
      <c r="A15716" t="s">
        <v>8</v>
      </c>
      <c r="B15716" s="1" t="str">
        <f>"000034281 - RICH FRZN BREAD DGH-VIZIENT"</f>
        <v>000034281 - RICH FRZN BREAD DGH-VIZIENT</v>
      </c>
      <c r="C15716" t="s">
        <v>431</v>
      </c>
      <c r="D15716" s="1" t="str">
        <f t="shared" ref="D15716:D15747" si="429">"PRG-1044072"</f>
        <v>PRG-1044072</v>
      </c>
      <c r="E15716" t="s">
        <v>515</v>
      </c>
      <c r="F15716" t="s">
        <v>4</v>
      </c>
      <c r="G15716" t="str">
        <f>""</f>
        <v/>
      </c>
    </row>
    <row r="15717" spans="1:7" x14ac:dyDescent="0.25">
      <c r="A15717" t="s">
        <v>8</v>
      </c>
      <c r="B15717" s="1" t="str">
        <f>"000034657 - RICH APPS-VIZIENT"</f>
        <v>000034657 - RICH APPS-VIZIENT</v>
      </c>
      <c r="C15717" t="s">
        <v>519</v>
      </c>
      <c r="D15717" s="1" t="str">
        <f t="shared" si="429"/>
        <v>PRG-1044072</v>
      </c>
      <c r="E15717" t="s">
        <v>515</v>
      </c>
      <c r="F15717" t="s">
        <v>4</v>
      </c>
      <c r="G15717" t="str">
        <f>""</f>
        <v/>
      </c>
    </row>
    <row r="15718" spans="1:7" x14ac:dyDescent="0.25">
      <c r="A15718" t="s">
        <v>8</v>
      </c>
      <c r="B15718" s="1" t="str">
        <f>"000036339 - RICH APPS-VIZIENT"</f>
        <v>000036339 - RICH APPS-VIZIENT</v>
      </c>
      <c r="C15718" t="s">
        <v>519</v>
      </c>
      <c r="D15718" s="1" t="str">
        <f t="shared" si="429"/>
        <v>PRG-1044072</v>
      </c>
      <c r="E15718" t="s">
        <v>515</v>
      </c>
      <c r="F15718" t="s">
        <v>4</v>
      </c>
      <c r="G15718" t="str">
        <f>""</f>
        <v/>
      </c>
    </row>
    <row r="15719" spans="1:7" x14ac:dyDescent="0.25">
      <c r="A15719" t="s">
        <v>8</v>
      </c>
      <c r="B15719" s="1" t="str">
        <f>"000047765 - RICH APPS-VIZIENT"</f>
        <v>000047765 - RICH APPS-VIZIENT</v>
      </c>
      <c r="C15719" t="s">
        <v>519</v>
      </c>
      <c r="D15719" s="1" t="str">
        <f t="shared" si="429"/>
        <v>PRG-1044072</v>
      </c>
      <c r="E15719" t="s">
        <v>515</v>
      </c>
      <c r="F15719" t="s">
        <v>4</v>
      </c>
      <c r="G15719" t="str">
        <f>""</f>
        <v/>
      </c>
    </row>
    <row r="15720" spans="1:7" x14ac:dyDescent="0.25">
      <c r="A15720" t="s">
        <v>8</v>
      </c>
      <c r="B15720" s="1" t="str">
        <f>"000098729 - RICH FRZN BREAD DGH-VIZIENT"</f>
        <v>000098729 - RICH FRZN BREAD DGH-VIZIENT</v>
      </c>
      <c r="C15720" t="s">
        <v>431</v>
      </c>
      <c r="D15720" s="1" t="str">
        <f t="shared" si="429"/>
        <v>PRG-1044072</v>
      </c>
      <c r="E15720" t="s">
        <v>515</v>
      </c>
      <c r="F15720" t="s">
        <v>4</v>
      </c>
      <c r="G15720" t="str">
        <f>""</f>
        <v/>
      </c>
    </row>
    <row r="15721" spans="1:7" x14ac:dyDescent="0.25">
      <c r="A15721" t="s">
        <v>8</v>
      </c>
      <c r="B15721" s="1" t="str">
        <f>"000102968 - RICH FRZN BREAD DGH-VIZIENT"</f>
        <v>000102968 - RICH FRZN BREAD DGH-VIZIENT</v>
      </c>
      <c r="C15721" t="s">
        <v>431</v>
      </c>
      <c r="D15721" s="1" t="str">
        <f t="shared" si="429"/>
        <v>PRG-1044072</v>
      </c>
      <c r="E15721" t="s">
        <v>515</v>
      </c>
      <c r="F15721" t="s">
        <v>4</v>
      </c>
      <c r="G15721" t="str">
        <f>""</f>
        <v/>
      </c>
    </row>
    <row r="15722" spans="1:7" x14ac:dyDescent="0.25">
      <c r="A15722" t="s">
        <v>8</v>
      </c>
      <c r="B15722" s="1" t="str">
        <f>"000203819 - RICH APPS-VIZIENT"</f>
        <v>000203819 - RICH APPS-VIZIENT</v>
      </c>
      <c r="C15722" t="s">
        <v>519</v>
      </c>
      <c r="D15722" s="1" t="str">
        <f t="shared" si="429"/>
        <v>PRG-1044072</v>
      </c>
      <c r="E15722" t="s">
        <v>515</v>
      </c>
      <c r="F15722" t="s">
        <v>4</v>
      </c>
      <c r="G15722" t="str">
        <f>""</f>
        <v/>
      </c>
    </row>
    <row r="15723" spans="1:7" x14ac:dyDescent="0.25">
      <c r="A15723" t="s">
        <v>8</v>
      </c>
      <c r="B15723" s="1" t="str">
        <f>"000221319 - RICH APPS-VIZIENT"</f>
        <v>000221319 - RICH APPS-VIZIENT</v>
      </c>
      <c r="C15723" t="s">
        <v>519</v>
      </c>
      <c r="D15723" s="1" t="str">
        <f t="shared" si="429"/>
        <v>PRG-1044072</v>
      </c>
      <c r="E15723" t="s">
        <v>515</v>
      </c>
      <c r="F15723" t="s">
        <v>4</v>
      </c>
      <c r="G15723" t="str">
        <f>""</f>
        <v/>
      </c>
    </row>
    <row r="15724" spans="1:7" x14ac:dyDescent="0.25">
      <c r="A15724" t="s">
        <v>8</v>
      </c>
      <c r="B15724" s="1" t="str">
        <f>"000258279 - RICH APPS-VIZIENT"</f>
        <v>000258279 - RICH APPS-VIZIENT</v>
      </c>
      <c r="C15724" t="s">
        <v>519</v>
      </c>
      <c r="D15724" s="1" t="str">
        <f t="shared" si="429"/>
        <v>PRG-1044072</v>
      </c>
      <c r="E15724" t="s">
        <v>515</v>
      </c>
      <c r="F15724" t="s">
        <v>4</v>
      </c>
      <c r="G15724" t="str">
        <f>""</f>
        <v/>
      </c>
    </row>
    <row r="15725" spans="1:7" x14ac:dyDescent="0.25">
      <c r="A15725" t="s">
        <v>8</v>
      </c>
      <c r="B15725" s="1" t="str">
        <f>"000270026 - RICH FZN BREAD-VIZIENT"</f>
        <v>000270026 - RICH FZN BREAD-VIZIENT</v>
      </c>
      <c r="C15725" t="s">
        <v>460</v>
      </c>
      <c r="D15725" s="1" t="str">
        <f t="shared" si="429"/>
        <v>PRG-1044072</v>
      </c>
      <c r="E15725" t="s">
        <v>515</v>
      </c>
      <c r="F15725" t="s">
        <v>4</v>
      </c>
      <c r="G15725" t="str">
        <f>""</f>
        <v/>
      </c>
    </row>
    <row r="15726" spans="1:7" x14ac:dyDescent="0.25">
      <c r="A15726" t="s">
        <v>8</v>
      </c>
      <c r="B15726" s="1" t="str">
        <f>"000273744 - RICH FRZN BREAD DGH-VIZIENT"</f>
        <v>000273744 - RICH FRZN BREAD DGH-VIZIENT</v>
      </c>
      <c r="C15726" t="s">
        <v>431</v>
      </c>
      <c r="D15726" s="1" t="str">
        <f t="shared" si="429"/>
        <v>PRG-1044072</v>
      </c>
      <c r="E15726" t="s">
        <v>515</v>
      </c>
      <c r="F15726" t="s">
        <v>4</v>
      </c>
      <c r="G15726" t="str">
        <f>""</f>
        <v/>
      </c>
    </row>
    <row r="15727" spans="1:7" x14ac:dyDescent="0.25">
      <c r="A15727" t="s">
        <v>8</v>
      </c>
      <c r="B15727" s="1" t="str">
        <f>"000274117 - RICH APPS-VIZIENT"</f>
        <v>000274117 - RICH APPS-VIZIENT</v>
      </c>
      <c r="C15727" t="s">
        <v>519</v>
      </c>
      <c r="D15727" s="1" t="str">
        <f t="shared" si="429"/>
        <v>PRG-1044072</v>
      </c>
      <c r="E15727" t="s">
        <v>515</v>
      </c>
      <c r="F15727" t="s">
        <v>4</v>
      </c>
      <c r="G15727" t="str">
        <f>""</f>
        <v/>
      </c>
    </row>
    <row r="15728" spans="1:7" x14ac:dyDescent="0.25">
      <c r="A15728" t="s">
        <v>8</v>
      </c>
      <c r="B15728" s="1" t="str">
        <f>"000276057 - RICH APPS-VIZIENT"</f>
        <v>000276057 - RICH APPS-VIZIENT</v>
      </c>
      <c r="C15728" t="s">
        <v>519</v>
      </c>
      <c r="D15728" s="1" t="str">
        <f t="shared" si="429"/>
        <v>PRG-1044072</v>
      </c>
      <c r="E15728" t="s">
        <v>515</v>
      </c>
      <c r="F15728" t="s">
        <v>4</v>
      </c>
      <c r="G15728" t="str">
        <f>""</f>
        <v/>
      </c>
    </row>
    <row r="15729" spans="1:7" x14ac:dyDescent="0.25">
      <c r="A15729" t="s">
        <v>8</v>
      </c>
      <c r="B15729" s="1" t="str">
        <f>"000280625 - RICH APPS-VIZIENT"</f>
        <v>000280625 - RICH APPS-VIZIENT</v>
      </c>
      <c r="C15729" t="s">
        <v>519</v>
      </c>
      <c r="D15729" s="1" t="str">
        <f t="shared" si="429"/>
        <v>PRG-1044072</v>
      </c>
      <c r="E15729" t="s">
        <v>515</v>
      </c>
      <c r="F15729" t="s">
        <v>4</v>
      </c>
      <c r="G15729" t="str">
        <f>""</f>
        <v/>
      </c>
    </row>
    <row r="15730" spans="1:7" x14ac:dyDescent="0.25">
      <c r="A15730" t="s">
        <v>8</v>
      </c>
      <c r="B15730" s="1" t="str">
        <f>"000281178 - RICH APPS-VIZIENT"</f>
        <v>000281178 - RICH APPS-VIZIENT</v>
      </c>
      <c r="C15730" t="s">
        <v>519</v>
      </c>
      <c r="D15730" s="1" t="str">
        <f t="shared" si="429"/>
        <v>PRG-1044072</v>
      </c>
      <c r="E15730" t="s">
        <v>515</v>
      </c>
      <c r="F15730" t="s">
        <v>4</v>
      </c>
      <c r="G15730" t="str">
        <f>""</f>
        <v/>
      </c>
    </row>
    <row r="15731" spans="1:7" x14ac:dyDescent="0.25">
      <c r="A15731" t="s">
        <v>8</v>
      </c>
      <c r="B15731" s="1" t="str">
        <f>"000296071 - RICH FRZN BREAD DGH-VIZIENT"</f>
        <v>000296071 - RICH FRZN BREAD DGH-VIZIENT</v>
      </c>
      <c r="C15731" t="s">
        <v>431</v>
      </c>
      <c r="D15731" s="1" t="str">
        <f t="shared" si="429"/>
        <v>PRG-1044072</v>
      </c>
      <c r="E15731" t="s">
        <v>515</v>
      </c>
      <c r="F15731" t="s">
        <v>4</v>
      </c>
      <c r="G15731" t="str">
        <f>""</f>
        <v/>
      </c>
    </row>
    <row r="15732" spans="1:7" x14ac:dyDescent="0.25">
      <c r="A15732" t="s">
        <v>8</v>
      </c>
      <c r="B15732" s="1" t="str">
        <f>"000296480 - RICH APPS-VIZIENT"</f>
        <v>000296480 - RICH APPS-VIZIENT</v>
      </c>
      <c r="C15732" t="s">
        <v>519</v>
      </c>
      <c r="D15732" s="1" t="str">
        <f t="shared" si="429"/>
        <v>PRG-1044072</v>
      </c>
      <c r="E15732" t="s">
        <v>515</v>
      </c>
      <c r="F15732" t="s">
        <v>4</v>
      </c>
      <c r="G15732" t="str">
        <f>""</f>
        <v/>
      </c>
    </row>
    <row r="15733" spans="1:7" x14ac:dyDescent="0.25">
      <c r="A15733" t="s">
        <v>8</v>
      </c>
      <c r="B15733" s="1" t="str">
        <f>"000301074 - RICH PIZZA CRUST-VIZIENT"</f>
        <v>000301074 - RICH PIZZA CRUST-VIZIENT</v>
      </c>
      <c r="C15733" t="s">
        <v>615</v>
      </c>
      <c r="D15733" s="1" t="str">
        <f t="shared" si="429"/>
        <v>PRG-1044072</v>
      </c>
      <c r="E15733" t="s">
        <v>515</v>
      </c>
      <c r="F15733" t="s">
        <v>4</v>
      </c>
      <c r="G15733" t="str">
        <f>""</f>
        <v/>
      </c>
    </row>
    <row r="15734" spans="1:7" x14ac:dyDescent="0.25">
      <c r="A15734" t="s">
        <v>8</v>
      </c>
      <c r="B15734" s="1" t="str">
        <f>"000301472 - RICH APPS-VIZIENT"</f>
        <v>000301472 - RICH APPS-VIZIENT</v>
      </c>
      <c r="C15734" t="s">
        <v>519</v>
      </c>
      <c r="D15734" s="1" t="str">
        <f t="shared" si="429"/>
        <v>PRG-1044072</v>
      </c>
      <c r="E15734" t="s">
        <v>515</v>
      </c>
      <c r="F15734" t="s">
        <v>4</v>
      </c>
      <c r="G15734" t="str">
        <f>""</f>
        <v/>
      </c>
    </row>
    <row r="15735" spans="1:7" x14ac:dyDescent="0.25">
      <c r="A15735" t="s">
        <v>8</v>
      </c>
      <c r="B15735" s="1" t="str">
        <f>"000306642 - RICH APPS-VIZIENT"</f>
        <v>000306642 - RICH APPS-VIZIENT</v>
      </c>
      <c r="C15735" t="s">
        <v>519</v>
      </c>
      <c r="D15735" s="1" t="str">
        <f t="shared" si="429"/>
        <v>PRG-1044072</v>
      </c>
      <c r="E15735" t="s">
        <v>515</v>
      </c>
      <c r="F15735" t="s">
        <v>4</v>
      </c>
      <c r="G15735" t="str">
        <f>""</f>
        <v/>
      </c>
    </row>
    <row r="15736" spans="1:7" x14ac:dyDescent="0.25">
      <c r="A15736" t="s">
        <v>8</v>
      </c>
      <c r="B15736" s="1" t="str">
        <f>"000310484 - RICH APPS-VIZIENT"</f>
        <v>000310484 - RICH APPS-VIZIENT</v>
      </c>
      <c r="C15736" t="s">
        <v>519</v>
      </c>
      <c r="D15736" s="1" t="str">
        <f t="shared" si="429"/>
        <v>PRG-1044072</v>
      </c>
      <c r="E15736" t="s">
        <v>515</v>
      </c>
      <c r="F15736" t="s">
        <v>4</v>
      </c>
      <c r="G15736" t="str">
        <f>""</f>
        <v/>
      </c>
    </row>
    <row r="15737" spans="1:7" x14ac:dyDescent="0.25">
      <c r="A15737" t="s">
        <v>8</v>
      </c>
      <c r="B15737" s="1" t="str">
        <f>"000311988 - RICHS SWEET DOUGH-SODEXO"</f>
        <v>000311988 - RICHS SWEET DOUGH-SODEXO</v>
      </c>
      <c r="C15737" t="s">
        <v>137</v>
      </c>
      <c r="D15737" s="1" t="str">
        <f t="shared" si="429"/>
        <v>PRG-1044072</v>
      </c>
      <c r="E15737" t="s">
        <v>515</v>
      </c>
      <c r="F15737" t="s">
        <v>4</v>
      </c>
      <c r="G15737" t="str">
        <f>""</f>
        <v/>
      </c>
    </row>
    <row r="15738" spans="1:7" x14ac:dyDescent="0.25">
      <c r="A15738" t="s">
        <v>8</v>
      </c>
      <c r="B15738" s="1" t="str">
        <f>"000312020 - RICH PIZZA CRUST-VIZIENT"</f>
        <v>000312020 - RICH PIZZA CRUST-VIZIENT</v>
      </c>
      <c r="C15738" t="s">
        <v>615</v>
      </c>
      <c r="D15738" s="1" t="str">
        <f t="shared" si="429"/>
        <v>PRG-1044072</v>
      </c>
      <c r="E15738" t="s">
        <v>515</v>
      </c>
      <c r="F15738" t="s">
        <v>4</v>
      </c>
      <c r="G15738" t="str">
        <f>""</f>
        <v/>
      </c>
    </row>
    <row r="15739" spans="1:7" x14ac:dyDescent="0.25">
      <c r="A15739" t="s">
        <v>8</v>
      </c>
      <c r="B15739" s="1" t="str">
        <f>"000312355 - RICH APPS-VIZIENT"</f>
        <v>000312355 - RICH APPS-VIZIENT</v>
      </c>
      <c r="C15739" t="s">
        <v>519</v>
      </c>
      <c r="D15739" s="1" t="str">
        <f t="shared" si="429"/>
        <v>PRG-1044072</v>
      </c>
      <c r="E15739" t="s">
        <v>515</v>
      </c>
      <c r="F15739" t="s">
        <v>4</v>
      </c>
      <c r="G15739" t="str">
        <f>""</f>
        <v/>
      </c>
    </row>
    <row r="15740" spans="1:7" x14ac:dyDescent="0.25">
      <c r="A15740" t="s">
        <v>8</v>
      </c>
      <c r="B15740" s="1" t="str">
        <f>"000326106 - RICH APPS-VIZIENT"</f>
        <v>000326106 - RICH APPS-VIZIENT</v>
      </c>
      <c r="C15740" t="s">
        <v>519</v>
      </c>
      <c r="D15740" s="1" t="str">
        <f t="shared" si="429"/>
        <v>PRG-1044072</v>
      </c>
      <c r="E15740" t="s">
        <v>515</v>
      </c>
      <c r="F15740" t="s">
        <v>4</v>
      </c>
      <c r="G15740" t="str">
        <f>""</f>
        <v/>
      </c>
    </row>
    <row r="15741" spans="1:7" x14ac:dyDescent="0.25">
      <c r="A15741" t="s">
        <v>8</v>
      </c>
      <c r="B15741" s="1" t="str">
        <f>"000341924 - RICH FZN BREAD-VIZIENT"</f>
        <v>000341924 - RICH FZN BREAD-VIZIENT</v>
      </c>
      <c r="C15741" t="s">
        <v>460</v>
      </c>
      <c r="D15741" s="1" t="str">
        <f t="shared" si="429"/>
        <v>PRG-1044072</v>
      </c>
      <c r="E15741" t="s">
        <v>515</v>
      </c>
      <c r="F15741" t="s">
        <v>4</v>
      </c>
      <c r="G15741" t="str">
        <f>""</f>
        <v/>
      </c>
    </row>
    <row r="15742" spans="1:7" x14ac:dyDescent="0.25">
      <c r="A15742" t="s">
        <v>8</v>
      </c>
      <c r="B15742" s="1" t="str">
        <f>"000341925 - RICH FRZN BREAD DGH-VIZIENT"</f>
        <v>000341925 - RICH FRZN BREAD DGH-VIZIENT</v>
      </c>
      <c r="C15742" t="s">
        <v>431</v>
      </c>
      <c r="D15742" s="1" t="str">
        <f t="shared" si="429"/>
        <v>PRG-1044072</v>
      </c>
      <c r="E15742" t="s">
        <v>515</v>
      </c>
      <c r="F15742" t="s">
        <v>4</v>
      </c>
      <c r="G15742" t="str">
        <f>""</f>
        <v/>
      </c>
    </row>
    <row r="15743" spans="1:7" x14ac:dyDescent="0.25">
      <c r="A15743" t="s">
        <v>8</v>
      </c>
      <c r="B15743" s="1" t="str">
        <f>"000342270 - RICH APPS-VIZIENT"</f>
        <v>000342270 - RICH APPS-VIZIENT</v>
      </c>
      <c r="C15743" t="s">
        <v>519</v>
      </c>
      <c r="D15743" s="1" t="str">
        <f t="shared" si="429"/>
        <v>PRG-1044072</v>
      </c>
      <c r="E15743" t="s">
        <v>515</v>
      </c>
      <c r="F15743" t="s">
        <v>4</v>
      </c>
      <c r="G15743" t="str">
        <f>""</f>
        <v/>
      </c>
    </row>
    <row r="15744" spans="1:7" x14ac:dyDescent="0.25">
      <c r="A15744" t="s">
        <v>8</v>
      </c>
      <c r="B15744" s="1" t="str">
        <f>"000354201 - RICH APPS-VIZIENT"</f>
        <v>000354201 - RICH APPS-VIZIENT</v>
      </c>
      <c r="C15744" t="s">
        <v>519</v>
      </c>
      <c r="D15744" s="1" t="str">
        <f t="shared" si="429"/>
        <v>PRG-1044072</v>
      </c>
      <c r="E15744" t="s">
        <v>515</v>
      </c>
      <c r="F15744" t="s">
        <v>4</v>
      </c>
      <c r="G15744" t="str">
        <f>""</f>
        <v/>
      </c>
    </row>
    <row r="15745" spans="1:7" x14ac:dyDescent="0.25">
      <c r="A15745" t="s">
        <v>8</v>
      </c>
      <c r="B15745" s="1" t="str">
        <f>"000356462 - RICH FZN BREAD-VIZIENT"</f>
        <v>000356462 - RICH FZN BREAD-VIZIENT</v>
      </c>
      <c r="C15745" t="s">
        <v>460</v>
      </c>
      <c r="D15745" s="1" t="str">
        <f t="shared" si="429"/>
        <v>PRG-1044072</v>
      </c>
      <c r="E15745" t="s">
        <v>515</v>
      </c>
      <c r="F15745" t="s">
        <v>4</v>
      </c>
      <c r="G15745" t="str">
        <f>""</f>
        <v/>
      </c>
    </row>
    <row r="15746" spans="1:7" x14ac:dyDescent="0.25">
      <c r="A15746" t="s">
        <v>8</v>
      </c>
      <c r="B15746" s="1" t="str">
        <f>"000356920 - RICH APPS-VIZIENT"</f>
        <v>000356920 - RICH APPS-VIZIENT</v>
      </c>
      <c r="C15746" t="s">
        <v>519</v>
      </c>
      <c r="D15746" s="1" t="str">
        <f t="shared" si="429"/>
        <v>PRG-1044072</v>
      </c>
      <c r="E15746" t="s">
        <v>515</v>
      </c>
      <c r="F15746" t="s">
        <v>4</v>
      </c>
      <c r="G15746" t="str">
        <f>""</f>
        <v/>
      </c>
    </row>
    <row r="15747" spans="1:7" x14ac:dyDescent="0.25">
      <c r="A15747" t="s">
        <v>8</v>
      </c>
      <c r="B15747" s="1" t="str">
        <f>"000372282 - RICH APPS-VIZIENT"</f>
        <v>000372282 - RICH APPS-VIZIENT</v>
      </c>
      <c r="C15747" t="s">
        <v>519</v>
      </c>
      <c r="D15747" s="1" t="str">
        <f t="shared" si="429"/>
        <v>PRG-1044072</v>
      </c>
      <c r="E15747" t="s">
        <v>515</v>
      </c>
      <c r="F15747" t="s">
        <v>4</v>
      </c>
      <c r="G15747" t="str">
        <f>""</f>
        <v/>
      </c>
    </row>
    <row r="15748" spans="1:7" x14ac:dyDescent="0.25">
      <c r="A15748" t="s">
        <v>8</v>
      </c>
      <c r="B15748" s="1" t="str">
        <f>"000380758 - RICH FRZN BREAD DGH-VIZIENT"</f>
        <v>000380758 - RICH FRZN BREAD DGH-VIZIENT</v>
      </c>
      <c r="C15748" t="s">
        <v>431</v>
      </c>
      <c r="D15748" s="1" t="str">
        <f t="shared" ref="D15748:D15773" si="430">"PRG-1044072"</f>
        <v>PRG-1044072</v>
      </c>
      <c r="E15748" t="s">
        <v>515</v>
      </c>
      <c r="F15748" t="s">
        <v>4</v>
      </c>
      <c r="G15748" t="str">
        <f>""</f>
        <v/>
      </c>
    </row>
    <row r="15749" spans="1:7" x14ac:dyDescent="0.25">
      <c r="A15749" t="s">
        <v>8</v>
      </c>
      <c r="B15749" s="1" t="str">
        <f>"000381292 - RICH APPS-VIZIENT"</f>
        <v>000381292 - RICH APPS-VIZIENT</v>
      </c>
      <c r="C15749" t="s">
        <v>519</v>
      </c>
      <c r="D15749" s="1" t="str">
        <f t="shared" si="430"/>
        <v>PRG-1044072</v>
      </c>
      <c r="E15749" t="s">
        <v>515</v>
      </c>
      <c r="F15749" t="s">
        <v>4</v>
      </c>
      <c r="G15749" t="str">
        <f>""</f>
        <v/>
      </c>
    </row>
    <row r="15750" spans="1:7" x14ac:dyDescent="0.25">
      <c r="A15750" t="s">
        <v>8</v>
      </c>
      <c r="B15750" s="1" t="str">
        <f>"000383753 - RICH APPS-VIZIENT"</f>
        <v>000383753 - RICH APPS-VIZIENT</v>
      </c>
      <c r="C15750" t="s">
        <v>519</v>
      </c>
      <c r="D15750" s="1" t="str">
        <f t="shared" si="430"/>
        <v>PRG-1044072</v>
      </c>
      <c r="E15750" t="s">
        <v>515</v>
      </c>
      <c r="F15750" t="s">
        <v>4</v>
      </c>
      <c r="G15750" t="str">
        <f>""</f>
        <v/>
      </c>
    </row>
    <row r="15751" spans="1:7" x14ac:dyDescent="0.25">
      <c r="A15751" t="s">
        <v>8</v>
      </c>
      <c r="B15751" s="1" t="str">
        <f>"000388535 - RICH APPS-VIZIENT"</f>
        <v>000388535 - RICH APPS-VIZIENT</v>
      </c>
      <c r="C15751" t="s">
        <v>519</v>
      </c>
      <c r="D15751" s="1" t="str">
        <f t="shared" si="430"/>
        <v>PRG-1044072</v>
      </c>
      <c r="E15751" t="s">
        <v>515</v>
      </c>
      <c r="F15751" t="s">
        <v>4</v>
      </c>
      <c r="G15751" t="str">
        <f>""</f>
        <v/>
      </c>
    </row>
    <row r="15752" spans="1:7" x14ac:dyDescent="0.25">
      <c r="A15752" t="s">
        <v>8</v>
      </c>
      <c r="B15752" s="1" t="str">
        <f>"000389672 - RICH FRZN BREAD DGH-VIZIENT"</f>
        <v>000389672 - RICH FRZN BREAD DGH-VIZIENT</v>
      </c>
      <c r="C15752" t="s">
        <v>431</v>
      </c>
      <c r="D15752" s="1" t="str">
        <f t="shared" si="430"/>
        <v>PRG-1044072</v>
      </c>
      <c r="E15752" t="s">
        <v>515</v>
      </c>
      <c r="F15752" t="s">
        <v>4</v>
      </c>
      <c r="G15752" t="str">
        <f>""</f>
        <v/>
      </c>
    </row>
    <row r="15753" spans="1:7" x14ac:dyDescent="0.25">
      <c r="A15753" t="s">
        <v>8</v>
      </c>
      <c r="B15753" s="1" t="str">
        <f>"000390118 - RICH APPS-VIZIENT"</f>
        <v>000390118 - RICH APPS-VIZIENT</v>
      </c>
      <c r="C15753" t="s">
        <v>519</v>
      </c>
      <c r="D15753" s="1" t="str">
        <f t="shared" si="430"/>
        <v>PRG-1044072</v>
      </c>
      <c r="E15753" t="s">
        <v>515</v>
      </c>
      <c r="F15753" t="s">
        <v>4</v>
      </c>
      <c r="G15753" t="str">
        <f>""</f>
        <v/>
      </c>
    </row>
    <row r="15754" spans="1:7" x14ac:dyDescent="0.25">
      <c r="A15754" t="s">
        <v>8</v>
      </c>
      <c r="B15754" s="1" t="str">
        <f>"000397087 - RICH FRZN BREAD DGH-VIZIENT"</f>
        <v>000397087 - RICH FRZN BREAD DGH-VIZIENT</v>
      </c>
      <c r="C15754" t="s">
        <v>431</v>
      </c>
      <c r="D15754" s="1" t="str">
        <f t="shared" si="430"/>
        <v>PRG-1044072</v>
      </c>
      <c r="E15754" t="s">
        <v>515</v>
      </c>
      <c r="F15754" t="s">
        <v>4</v>
      </c>
      <c r="G15754" t="str">
        <f>""</f>
        <v/>
      </c>
    </row>
    <row r="15755" spans="1:7" x14ac:dyDescent="0.25">
      <c r="A15755" t="s">
        <v>8</v>
      </c>
      <c r="B15755" s="1" t="str">
        <f>"000397626 - RICH APPS-VIZIENT"</f>
        <v>000397626 - RICH APPS-VIZIENT</v>
      </c>
      <c r="C15755" t="s">
        <v>519</v>
      </c>
      <c r="D15755" s="1" t="str">
        <f t="shared" si="430"/>
        <v>PRG-1044072</v>
      </c>
      <c r="E15755" t="s">
        <v>515</v>
      </c>
      <c r="F15755" t="s">
        <v>4</v>
      </c>
      <c r="G15755" t="str">
        <f>""</f>
        <v/>
      </c>
    </row>
    <row r="15756" spans="1:7" x14ac:dyDescent="0.25">
      <c r="A15756" t="s">
        <v>8</v>
      </c>
      <c r="B15756" s="1" t="str">
        <f>"000407979 - RICH APPS-VIZIENT"</f>
        <v>000407979 - RICH APPS-VIZIENT</v>
      </c>
      <c r="C15756" t="s">
        <v>519</v>
      </c>
      <c r="D15756" s="1" t="str">
        <f t="shared" si="430"/>
        <v>PRG-1044072</v>
      </c>
      <c r="E15756" t="s">
        <v>515</v>
      </c>
      <c r="F15756" t="s">
        <v>4</v>
      </c>
      <c r="G15756" t="str">
        <f>""</f>
        <v/>
      </c>
    </row>
    <row r="15757" spans="1:7" x14ac:dyDescent="0.25">
      <c r="A15757" t="s">
        <v>8</v>
      </c>
      <c r="B15757" s="1" t="str">
        <f>"000411845 - RICH FZN BREAD-VIZIENT"</f>
        <v>000411845 - RICH FZN BREAD-VIZIENT</v>
      </c>
      <c r="C15757" t="s">
        <v>460</v>
      </c>
      <c r="D15757" s="1" t="str">
        <f t="shared" si="430"/>
        <v>PRG-1044072</v>
      </c>
      <c r="E15757" t="s">
        <v>515</v>
      </c>
      <c r="F15757" t="s">
        <v>4</v>
      </c>
      <c r="G15757" t="str">
        <f>""</f>
        <v/>
      </c>
    </row>
    <row r="15758" spans="1:7" x14ac:dyDescent="0.25">
      <c r="A15758" t="s">
        <v>8</v>
      </c>
      <c r="B15758" s="1" t="str">
        <f>"000411846 - RICH FRZN BREAD DGH-VIZIENT"</f>
        <v>000411846 - RICH FRZN BREAD DGH-VIZIENT</v>
      </c>
      <c r="C15758" t="s">
        <v>431</v>
      </c>
      <c r="D15758" s="1" t="str">
        <f t="shared" si="430"/>
        <v>PRG-1044072</v>
      </c>
      <c r="E15758" t="s">
        <v>515</v>
      </c>
      <c r="F15758" t="s">
        <v>4</v>
      </c>
      <c r="G15758" t="str">
        <f>""</f>
        <v/>
      </c>
    </row>
    <row r="15759" spans="1:7" x14ac:dyDescent="0.25">
      <c r="A15759" t="s">
        <v>8</v>
      </c>
      <c r="B15759" s="1" t="str">
        <f>"000412191 - RICH APPS-VIZIENT"</f>
        <v>000412191 - RICH APPS-VIZIENT</v>
      </c>
      <c r="C15759" t="s">
        <v>519</v>
      </c>
      <c r="D15759" s="1" t="str">
        <f t="shared" si="430"/>
        <v>PRG-1044072</v>
      </c>
      <c r="E15759" t="s">
        <v>515</v>
      </c>
      <c r="F15759" t="s">
        <v>4</v>
      </c>
      <c r="G15759" t="str">
        <f>""</f>
        <v/>
      </c>
    </row>
    <row r="15760" spans="1:7" x14ac:dyDescent="0.25">
      <c r="A15760" t="s">
        <v>8</v>
      </c>
      <c r="B15760" s="1" t="str">
        <f>"000421416 - RICH PIZZA CRUST-VIZIENT"</f>
        <v>000421416 - RICH PIZZA CRUST-VIZIENT</v>
      </c>
      <c r="C15760" t="s">
        <v>615</v>
      </c>
      <c r="D15760" s="1" t="str">
        <f t="shared" si="430"/>
        <v>PRG-1044072</v>
      </c>
      <c r="E15760" t="s">
        <v>515</v>
      </c>
      <c r="F15760" t="s">
        <v>4</v>
      </c>
      <c r="G15760" t="str">
        <f>""</f>
        <v/>
      </c>
    </row>
    <row r="15761" spans="1:7" x14ac:dyDescent="0.25">
      <c r="A15761" t="s">
        <v>8</v>
      </c>
      <c r="B15761" s="1" t="str">
        <f>"000421871 - RICH APPS-VIZIENT"</f>
        <v>000421871 - RICH APPS-VIZIENT</v>
      </c>
      <c r="C15761" t="s">
        <v>519</v>
      </c>
      <c r="D15761" s="1" t="str">
        <f t="shared" si="430"/>
        <v>PRG-1044072</v>
      </c>
      <c r="E15761" t="s">
        <v>515</v>
      </c>
      <c r="F15761" t="s">
        <v>4</v>
      </c>
      <c r="G15761" t="str">
        <f>""</f>
        <v/>
      </c>
    </row>
    <row r="15762" spans="1:7" x14ac:dyDescent="0.25">
      <c r="A15762" t="s">
        <v>8</v>
      </c>
      <c r="B15762" s="1" t="str">
        <f>"6026KN46"</f>
        <v>6026KN46</v>
      </c>
      <c r="C15762" t="s">
        <v>5101</v>
      </c>
      <c r="D15762" s="1" t="str">
        <f t="shared" si="430"/>
        <v>PRG-1044072</v>
      </c>
      <c r="E15762" t="s">
        <v>515</v>
      </c>
      <c r="F15762" t="s">
        <v>5</v>
      </c>
      <c r="G15762" t="str">
        <f>""</f>
        <v/>
      </c>
    </row>
    <row r="15763" spans="1:7" x14ac:dyDescent="0.25">
      <c r="A15763" t="s">
        <v>8</v>
      </c>
      <c r="B15763" s="1" t="str">
        <f>"6026PE30"</f>
        <v>6026PE30</v>
      </c>
      <c r="C15763" t="s">
        <v>5108</v>
      </c>
      <c r="D15763" s="1" t="str">
        <f t="shared" si="430"/>
        <v>PRG-1044072</v>
      </c>
      <c r="E15763" t="s">
        <v>515</v>
      </c>
      <c r="F15763" t="s">
        <v>5</v>
      </c>
      <c r="G15763" t="str">
        <f>""</f>
        <v/>
      </c>
    </row>
    <row r="15764" spans="1:7" x14ac:dyDescent="0.25">
      <c r="A15764" t="s">
        <v>8</v>
      </c>
      <c r="B15764" s="1" t="str">
        <f>"S1Z05V20"</f>
        <v>S1Z05V20</v>
      </c>
      <c r="C15764" t="s">
        <v>5338</v>
      </c>
      <c r="D15764" s="1" t="str">
        <f t="shared" si="430"/>
        <v>PRG-1044072</v>
      </c>
      <c r="E15764" t="s">
        <v>515</v>
      </c>
      <c r="F15764" t="s">
        <v>5</v>
      </c>
      <c r="G15764" t="str">
        <f>""</f>
        <v/>
      </c>
    </row>
    <row r="15765" spans="1:7" x14ac:dyDescent="0.25">
      <c r="A15765" t="s">
        <v>8</v>
      </c>
      <c r="B15765" s="1" t="str">
        <f>"S1Z0MCE0"</f>
        <v>S1Z0MCE0</v>
      </c>
      <c r="C15765" t="s">
        <v>5415</v>
      </c>
      <c r="D15765" s="1" t="str">
        <f t="shared" si="430"/>
        <v>PRG-1044072</v>
      </c>
      <c r="E15765" t="s">
        <v>515</v>
      </c>
      <c r="F15765" t="s">
        <v>5</v>
      </c>
      <c r="G15765" t="str">
        <f>""</f>
        <v/>
      </c>
    </row>
    <row r="15766" spans="1:7" x14ac:dyDescent="0.25">
      <c r="A15766" t="s">
        <v>8</v>
      </c>
      <c r="B15766" s="1" t="str">
        <f>"S1Z0T220"</f>
        <v>S1Z0T220</v>
      </c>
      <c r="C15766" t="s">
        <v>5443</v>
      </c>
      <c r="D15766" s="1" t="str">
        <f t="shared" si="430"/>
        <v>PRG-1044072</v>
      </c>
      <c r="E15766" t="s">
        <v>515</v>
      </c>
      <c r="F15766" t="s">
        <v>5</v>
      </c>
      <c r="G15766" t="str">
        <f>""</f>
        <v/>
      </c>
    </row>
    <row r="15767" spans="1:7" x14ac:dyDescent="0.25">
      <c r="A15767" t="s">
        <v>8</v>
      </c>
      <c r="B15767" s="1" t="str">
        <f>"S1Z0T4L0"</f>
        <v>S1Z0T4L0</v>
      </c>
      <c r="C15767" t="s">
        <v>5444</v>
      </c>
      <c r="D15767" s="1" t="str">
        <f t="shared" si="430"/>
        <v>PRG-1044072</v>
      </c>
      <c r="E15767" t="s">
        <v>515</v>
      </c>
      <c r="F15767" t="s">
        <v>5</v>
      </c>
      <c r="G15767" t="str">
        <f>""</f>
        <v/>
      </c>
    </row>
    <row r="15768" spans="1:7" x14ac:dyDescent="0.25">
      <c r="A15768" t="s">
        <v>8</v>
      </c>
      <c r="B15768" s="1" t="str">
        <f>"S1Z0T8C0"</f>
        <v>S1Z0T8C0</v>
      </c>
      <c r="C15768" t="s">
        <v>5445</v>
      </c>
      <c r="D15768" s="1" t="str">
        <f t="shared" si="430"/>
        <v>PRG-1044072</v>
      </c>
      <c r="E15768" t="s">
        <v>515</v>
      </c>
      <c r="F15768" t="s">
        <v>5</v>
      </c>
      <c r="G15768" t="str">
        <f>""</f>
        <v/>
      </c>
    </row>
    <row r="15769" spans="1:7" x14ac:dyDescent="0.25">
      <c r="A15769" t="s">
        <v>8</v>
      </c>
      <c r="B15769" s="1" t="str">
        <f>"S1Z0W010"</f>
        <v>S1Z0W010</v>
      </c>
      <c r="C15769" t="s">
        <v>5451</v>
      </c>
      <c r="D15769" s="1" t="str">
        <f t="shared" si="430"/>
        <v>PRG-1044072</v>
      </c>
      <c r="E15769" t="s">
        <v>515</v>
      </c>
      <c r="F15769" t="s">
        <v>5</v>
      </c>
      <c r="G15769" t="str">
        <f>""</f>
        <v/>
      </c>
    </row>
    <row r="15770" spans="1:7" x14ac:dyDescent="0.25">
      <c r="A15770" t="s">
        <v>8</v>
      </c>
      <c r="B15770" s="1" t="str">
        <f>"S1Z0W4V0"</f>
        <v>S1Z0W4V0</v>
      </c>
      <c r="C15770" t="s">
        <v>5451</v>
      </c>
      <c r="D15770" s="1" t="str">
        <f t="shared" si="430"/>
        <v>PRG-1044072</v>
      </c>
      <c r="E15770" t="s">
        <v>515</v>
      </c>
      <c r="F15770" t="s">
        <v>5</v>
      </c>
      <c r="G15770" t="str">
        <f>""</f>
        <v/>
      </c>
    </row>
    <row r="15771" spans="1:7" x14ac:dyDescent="0.25">
      <c r="A15771" t="s">
        <v>8</v>
      </c>
      <c r="B15771" s="1" t="str">
        <f>"S1Z0W9P0"</f>
        <v>S1Z0W9P0</v>
      </c>
      <c r="C15771" t="s">
        <v>5451</v>
      </c>
      <c r="D15771" s="1" t="str">
        <f t="shared" si="430"/>
        <v>PRG-1044072</v>
      </c>
      <c r="E15771" t="s">
        <v>515</v>
      </c>
      <c r="F15771" t="s">
        <v>5</v>
      </c>
      <c r="G15771" t="str">
        <f>""</f>
        <v/>
      </c>
    </row>
    <row r="15772" spans="1:7" x14ac:dyDescent="0.25">
      <c r="A15772" t="s">
        <v>8</v>
      </c>
      <c r="B15772" s="1" t="str">
        <f>"T1Z0070E"</f>
        <v>T1Z0070E</v>
      </c>
      <c r="C15772" t="s">
        <v>5463</v>
      </c>
      <c r="D15772" s="1" t="str">
        <f t="shared" si="430"/>
        <v>PRG-1044072</v>
      </c>
      <c r="E15772" t="s">
        <v>515</v>
      </c>
      <c r="F15772" t="s">
        <v>5</v>
      </c>
      <c r="G15772" t="str">
        <f>""</f>
        <v/>
      </c>
    </row>
    <row r="15773" spans="1:7" x14ac:dyDescent="0.25">
      <c r="A15773" t="s">
        <v>8</v>
      </c>
      <c r="B15773" s="1" t="str">
        <f>"T1Z0070G"</f>
        <v>T1Z0070G</v>
      </c>
      <c r="C15773" t="s">
        <v>5465</v>
      </c>
      <c r="D15773" s="1" t="str">
        <f t="shared" si="430"/>
        <v>PRG-1044072</v>
      </c>
      <c r="E15773" t="s">
        <v>515</v>
      </c>
      <c r="F15773" t="s">
        <v>5</v>
      </c>
      <c r="G15773" t="str">
        <f>""</f>
        <v/>
      </c>
    </row>
    <row r="15774" spans="1:7" x14ac:dyDescent="0.25">
      <c r="A15774" t="s">
        <v>8</v>
      </c>
      <c r="B15774" s="1" t="str">
        <f>"000346800 - RICH'S GEM CITY SALOON"</f>
        <v>000346800 - RICH'S GEM CITY SALOON</v>
      </c>
      <c r="C15774" t="s">
        <v>3473</v>
      </c>
      <c r="D15774" s="1" t="str">
        <f>"PRG-1044090"</f>
        <v>PRG-1044090</v>
      </c>
      <c r="E15774" t="s">
        <v>3474</v>
      </c>
      <c r="F15774" t="s">
        <v>4</v>
      </c>
      <c r="G15774" t="str">
        <f>""</f>
        <v/>
      </c>
    </row>
    <row r="15775" spans="1:7" x14ac:dyDescent="0.25">
      <c r="A15775" t="s">
        <v>8</v>
      </c>
      <c r="B15775" s="1" t="str">
        <f>"S8E014L0"</f>
        <v>S8E014L0</v>
      </c>
      <c r="C15775" t="s">
        <v>6242</v>
      </c>
      <c r="D15775" s="1" t="str">
        <f>"PRG-1044096"</f>
        <v>PRG-1044096</v>
      </c>
      <c r="E15775" t="s">
        <v>6243</v>
      </c>
      <c r="F15775" t="s">
        <v>5</v>
      </c>
      <c r="G15775" t="str">
        <f>""</f>
        <v/>
      </c>
    </row>
    <row r="15776" spans="1:7" x14ac:dyDescent="0.25">
      <c r="A15776" t="s">
        <v>8</v>
      </c>
      <c r="B15776" s="1" t="str">
        <f>"000020000 - RICHS BREAD&amp;ROLLS BAPA SODEXO"</f>
        <v>000020000 - RICHS BREAD&amp;ROLLS BAPA SODEXO</v>
      </c>
      <c r="C15776" t="s">
        <v>359</v>
      </c>
      <c r="D15776" s="1" t="str">
        <f t="shared" ref="D15776:D15807" si="431">"PRG-1044102"</f>
        <v>PRG-1044102</v>
      </c>
      <c r="E15776" t="s">
        <v>205</v>
      </c>
      <c r="F15776" t="s">
        <v>4</v>
      </c>
      <c r="G15776" t="str">
        <f>""</f>
        <v/>
      </c>
    </row>
    <row r="15777" spans="1:7" x14ac:dyDescent="0.25">
      <c r="A15777" t="s">
        <v>8</v>
      </c>
      <c r="B15777" s="1" t="str">
        <f>"000021001 - RICHS BREAD&amp;ROLLS BAPA SODEXO"</f>
        <v>000021001 - RICHS BREAD&amp;ROLLS BAPA SODEXO</v>
      </c>
      <c r="C15777" t="s">
        <v>359</v>
      </c>
      <c r="D15777" s="1" t="str">
        <f t="shared" si="431"/>
        <v>PRG-1044102</v>
      </c>
      <c r="E15777" t="s">
        <v>205</v>
      </c>
      <c r="F15777" t="s">
        <v>4</v>
      </c>
      <c r="G15777" t="str">
        <f>""</f>
        <v/>
      </c>
    </row>
    <row r="15778" spans="1:7" x14ac:dyDescent="0.25">
      <c r="A15778" t="s">
        <v>8</v>
      </c>
      <c r="B15778" s="1" t="str">
        <f>"000021423 - RICHS BREAD &amp; ROLLS-SODEXO"</f>
        <v>000021423 - RICHS BREAD &amp; ROLLS-SODEXO</v>
      </c>
      <c r="C15778" t="s">
        <v>135</v>
      </c>
      <c r="D15778" s="1" t="str">
        <f t="shared" si="431"/>
        <v>PRG-1044102</v>
      </c>
      <c r="E15778" t="s">
        <v>205</v>
      </c>
      <c r="F15778" t="s">
        <v>4</v>
      </c>
      <c r="G15778" t="str">
        <f>""</f>
        <v/>
      </c>
    </row>
    <row r="15779" spans="1:7" x14ac:dyDescent="0.25">
      <c r="A15779" t="s">
        <v>8</v>
      </c>
      <c r="B15779" s="1" t="str">
        <f>"000024825 - RICHS BREAD &amp; ROLLS-SODEXO"</f>
        <v>000024825 - RICHS BREAD &amp; ROLLS-SODEXO</v>
      </c>
      <c r="C15779" t="s">
        <v>135</v>
      </c>
      <c r="D15779" s="1" t="str">
        <f t="shared" si="431"/>
        <v>PRG-1044102</v>
      </c>
      <c r="E15779" t="s">
        <v>205</v>
      </c>
      <c r="F15779" t="s">
        <v>4</v>
      </c>
      <c r="G15779" t="str">
        <f>""</f>
        <v/>
      </c>
    </row>
    <row r="15780" spans="1:7" x14ac:dyDescent="0.25">
      <c r="A15780" t="s">
        <v>8</v>
      </c>
      <c r="B15780" s="1" t="str">
        <f>"000031398 - RICHS BREAD &amp; ROLLS-SODEXO"</f>
        <v>000031398 - RICHS BREAD &amp; ROLLS-SODEXO</v>
      </c>
      <c r="C15780" t="s">
        <v>135</v>
      </c>
      <c r="D15780" s="1" t="str">
        <f t="shared" si="431"/>
        <v>PRG-1044102</v>
      </c>
      <c r="E15780" t="s">
        <v>205</v>
      </c>
      <c r="F15780" t="s">
        <v>4</v>
      </c>
      <c r="G15780" t="str">
        <f>""</f>
        <v/>
      </c>
    </row>
    <row r="15781" spans="1:7" x14ac:dyDescent="0.25">
      <c r="A15781" t="s">
        <v>8</v>
      </c>
      <c r="B15781" s="1" t="str">
        <f>"000032575 - RICHS BREAD &amp; ROLLS-SODEXO"</f>
        <v>000032575 - RICHS BREAD &amp; ROLLS-SODEXO</v>
      </c>
      <c r="C15781" t="s">
        <v>135</v>
      </c>
      <c r="D15781" s="1" t="str">
        <f t="shared" si="431"/>
        <v>PRG-1044102</v>
      </c>
      <c r="E15781" t="s">
        <v>205</v>
      </c>
      <c r="F15781" t="s">
        <v>4</v>
      </c>
      <c r="G15781" t="str">
        <f>""</f>
        <v/>
      </c>
    </row>
    <row r="15782" spans="1:7" x14ac:dyDescent="0.25">
      <c r="A15782" t="s">
        <v>8</v>
      </c>
      <c r="B15782" s="1" t="str">
        <f>"000036185 - RICHS BREAD &amp; ROLLS-SODEXO"</f>
        <v>000036185 - RICHS BREAD &amp; ROLLS-SODEXO</v>
      </c>
      <c r="C15782" t="s">
        <v>135</v>
      </c>
      <c r="D15782" s="1" t="str">
        <f t="shared" si="431"/>
        <v>PRG-1044102</v>
      </c>
      <c r="E15782" t="s">
        <v>205</v>
      </c>
      <c r="F15782" t="s">
        <v>4</v>
      </c>
      <c r="G15782" t="str">
        <f>""</f>
        <v/>
      </c>
    </row>
    <row r="15783" spans="1:7" x14ac:dyDescent="0.25">
      <c r="A15783" t="s">
        <v>8</v>
      </c>
      <c r="B15783" s="1" t="str">
        <f>"000039685 - RICHS BREAD &amp; ROLLS-SODEXO"</f>
        <v>000039685 - RICHS BREAD &amp; ROLLS-SODEXO</v>
      </c>
      <c r="C15783" t="s">
        <v>135</v>
      </c>
      <c r="D15783" s="1" t="str">
        <f t="shared" si="431"/>
        <v>PRG-1044102</v>
      </c>
      <c r="E15783" t="s">
        <v>205</v>
      </c>
      <c r="F15783" t="s">
        <v>4</v>
      </c>
      <c r="G15783" t="str">
        <f>""</f>
        <v/>
      </c>
    </row>
    <row r="15784" spans="1:7" x14ac:dyDescent="0.25">
      <c r="A15784" t="s">
        <v>8</v>
      </c>
      <c r="B15784" s="1" t="str">
        <f>"000040873 - RICHS BREAD &amp; ROLLS-SODEXO"</f>
        <v>000040873 - RICHS BREAD &amp; ROLLS-SODEXO</v>
      </c>
      <c r="C15784" t="s">
        <v>135</v>
      </c>
      <c r="D15784" s="1" t="str">
        <f t="shared" si="431"/>
        <v>PRG-1044102</v>
      </c>
      <c r="E15784" t="s">
        <v>205</v>
      </c>
      <c r="F15784" t="s">
        <v>4</v>
      </c>
      <c r="G15784" t="str">
        <f>""</f>
        <v/>
      </c>
    </row>
    <row r="15785" spans="1:7" x14ac:dyDescent="0.25">
      <c r="A15785" t="s">
        <v>8</v>
      </c>
      <c r="B15785" s="1" t="str">
        <f>"000041433 - RICHS BREAD &amp; ROLLS-SODEXO"</f>
        <v>000041433 - RICHS BREAD &amp; ROLLS-SODEXO</v>
      </c>
      <c r="C15785" t="s">
        <v>135</v>
      </c>
      <c r="D15785" s="1" t="str">
        <f t="shared" si="431"/>
        <v>PRG-1044102</v>
      </c>
      <c r="E15785" t="s">
        <v>205</v>
      </c>
      <c r="F15785" t="s">
        <v>4</v>
      </c>
      <c r="G15785" t="str">
        <f>""</f>
        <v/>
      </c>
    </row>
    <row r="15786" spans="1:7" x14ac:dyDescent="0.25">
      <c r="A15786" t="s">
        <v>8</v>
      </c>
      <c r="B15786" s="1" t="str">
        <f>"000079340 - RICHS BREAD &amp; ROLLS-SODEXO"</f>
        <v>000079340 - RICHS BREAD &amp; ROLLS-SODEXO</v>
      </c>
      <c r="C15786" t="s">
        <v>135</v>
      </c>
      <c r="D15786" s="1" t="str">
        <f t="shared" si="431"/>
        <v>PRG-1044102</v>
      </c>
      <c r="E15786" t="s">
        <v>205</v>
      </c>
      <c r="F15786" t="s">
        <v>4</v>
      </c>
      <c r="G15786" t="str">
        <f>""</f>
        <v/>
      </c>
    </row>
    <row r="15787" spans="1:7" x14ac:dyDescent="0.25">
      <c r="A15787" t="s">
        <v>8</v>
      </c>
      <c r="B15787" s="1" t="str">
        <f>"000099756 - RICHS BREAD &amp; ROLLS-SODEXO"</f>
        <v>000099756 - RICHS BREAD &amp; ROLLS-SODEXO</v>
      </c>
      <c r="C15787" t="s">
        <v>135</v>
      </c>
      <c r="D15787" s="1" t="str">
        <f t="shared" si="431"/>
        <v>PRG-1044102</v>
      </c>
      <c r="E15787" t="s">
        <v>205</v>
      </c>
      <c r="F15787" t="s">
        <v>4</v>
      </c>
      <c r="G15787" t="str">
        <f>""</f>
        <v/>
      </c>
    </row>
    <row r="15788" spans="1:7" x14ac:dyDescent="0.25">
      <c r="A15788" t="s">
        <v>8</v>
      </c>
      <c r="B15788" s="1" t="str">
        <f>"000152599 - RICHS BREAD &amp; ROLLS-SODEXO"</f>
        <v>000152599 - RICHS BREAD &amp; ROLLS-SODEXO</v>
      </c>
      <c r="C15788" t="s">
        <v>135</v>
      </c>
      <c r="D15788" s="1" t="str">
        <f t="shared" si="431"/>
        <v>PRG-1044102</v>
      </c>
      <c r="E15788" t="s">
        <v>205</v>
      </c>
      <c r="F15788" t="s">
        <v>4</v>
      </c>
      <c r="G15788" t="str">
        <f>""</f>
        <v/>
      </c>
    </row>
    <row r="15789" spans="1:7" x14ac:dyDescent="0.25">
      <c r="A15789" t="s">
        <v>8</v>
      </c>
      <c r="B15789" s="1" t="str">
        <f>"000153783 - RICHS BREAD &amp; ROLLS-SODEXO"</f>
        <v>000153783 - RICHS BREAD &amp; ROLLS-SODEXO</v>
      </c>
      <c r="C15789" t="s">
        <v>135</v>
      </c>
      <c r="D15789" s="1" t="str">
        <f t="shared" si="431"/>
        <v>PRG-1044102</v>
      </c>
      <c r="E15789" t="s">
        <v>205</v>
      </c>
      <c r="F15789" t="s">
        <v>4</v>
      </c>
      <c r="G15789" t="str">
        <f>""</f>
        <v/>
      </c>
    </row>
    <row r="15790" spans="1:7" x14ac:dyDescent="0.25">
      <c r="A15790" t="s">
        <v>8</v>
      </c>
      <c r="B15790" s="1" t="str">
        <f>"000173636 - RICHS BREAD &amp; ROLLS-SODEXO"</f>
        <v>000173636 - RICHS BREAD &amp; ROLLS-SODEXO</v>
      </c>
      <c r="C15790" t="s">
        <v>135</v>
      </c>
      <c r="D15790" s="1" t="str">
        <f t="shared" si="431"/>
        <v>PRG-1044102</v>
      </c>
      <c r="E15790" t="s">
        <v>205</v>
      </c>
      <c r="F15790" t="s">
        <v>4</v>
      </c>
      <c r="G15790" t="str">
        <f>""</f>
        <v/>
      </c>
    </row>
    <row r="15791" spans="1:7" x14ac:dyDescent="0.25">
      <c r="A15791" t="s">
        <v>8</v>
      </c>
      <c r="B15791" s="1" t="str">
        <f>"000176024 - RICHS BREAD &amp; ROLLS-SODEXO"</f>
        <v>000176024 - RICHS BREAD &amp; ROLLS-SODEXO</v>
      </c>
      <c r="C15791" t="s">
        <v>135</v>
      </c>
      <c r="D15791" s="1" t="str">
        <f t="shared" si="431"/>
        <v>PRG-1044102</v>
      </c>
      <c r="E15791" t="s">
        <v>205</v>
      </c>
      <c r="F15791" t="s">
        <v>4</v>
      </c>
      <c r="G15791" t="str">
        <f>""</f>
        <v/>
      </c>
    </row>
    <row r="15792" spans="1:7" x14ac:dyDescent="0.25">
      <c r="A15792" t="s">
        <v>8</v>
      </c>
      <c r="B15792" s="1" t="str">
        <f>"000179185 - RICHS BREAD &amp; ROLLS-SODEXO"</f>
        <v>000179185 - RICHS BREAD &amp; ROLLS-SODEXO</v>
      </c>
      <c r="C15792" t="s">
        <v>135</v>
      </c>
      <c r="D15792" s="1" t="str">
        <f t="shared" si="431"/>
        <v>PRG-1044102</v>
      </c>
      <c r="E15792" t="s">
        <v>205</v>
      </c>
      <c r="F15792" t="s">
        <v>4</v>
      </c>
      <c r="G15792" t="str">
        <f>""</f>
        <v/>
      </c>
    </row>
    <row r="15793" spans="1:7" x14ac:dyDescent="0.25">
      <c r="A15793" t="s">
        <v>8</v>
      </c>
      <c r="B15793" s="1" t="str">
        <f>"000182357 - RICHS BREAD &amp; ROLLS-SODEXO"</f>
        <v>000182357 - RICHS BREAD &amp; ROLLS-SODEXO</v>
      </c>
      <c r="C15793" t="s">
        <v>135</v>
      </c>
      <c r="D15793" s="1" t="str">
        <f t="shared" si="431"/>
        <v>PRG-1044102</v>
      </c>
      <c r="E15793" t="s">
        <v>205</v>
      </c>
      <c r="F15793" t="s">
        <v>4</v>
      </c>
      <c r="G15793" t="str">
        <f>""</f>
        <v/>
      </c>
    </row>
    <row r="15794" spans="1:7" x14ac:dyDescent="0.25">
      <c r="A15794" t="s">
        <v>8</v>
      </c>
      <c r="B15794" s="1" t="str">
        <f>"000245101 - RICHS BREAD &amp; ROLLS-SODEXO"</f>
        <v>000245101 - RICHS BREAD &amp; ROLLS-SODEXO</v>
      </c>
      <c r="C15794" t="s">
        <v>135</v>
      </c>
      <c r="D15794" s="1" t="str">
        <f t="shared" si="431"/>
        <v>PRG-1044102</v>
      </c>
      <c r="E15794" t="s">
        <v>205</v>
      </c>
      <c r="F15794" t="s">
        <v>4</v>
      </c>
      <c r="G15794" t="str">
        <f>""</f>
        <v/>
      </c>
    </row>
    <row r="15795" spans="1:7" x14ac:dyDescent="0.25">
      <c r="A15795" t="s">
        <v>8</v>
      </c>
      <c r="B15795" s="1" t="str">
        <f>"000252398 - RICHS BREAD &amp; ROLLS-SODEXO"</f>
        <v>000252398 - RICHS BREAD &amp; ROLLS-SODEXO</v>
      </c>
      <c r="C15795" t="s">
        <v>135</v>
      </c>
      <c r="D15795" s="1" t="str">
        <f t="shared" si="431"/>
        <v>PRG-1044102</v>
      </c>
      <c r="E15795" t="s">
        <v>205</v>
      </c>
      <c r="F15795" t="s">
        <v>4</v>
      </c>
      <c r="G15795" t="str">
        <f>""</f>
        <v/>
      </c>
    </row>
    <row r="15796" spans="1:7" x14ac:dyDescent="0.25">
      <c r="A15796" t="s">
        <v>8</v>
      </c>
      <c r="B15796" s="1" t="str">
        <f>"000254391 - RICHS BREAD &amp; ROLLS-SODEXO"</f>
        <v>000254391 - RICHS BREAD &amp; ROLLS-SODEXO</v>
      </c>
      <c r="C15796" t="s">
        <v>135</v>
      </c>
      <c r="D15796" s="1" t="str">
        <f t="shared" si="431"/>
        <v>PRG-1044102</v>
      </c>
      <c r="E15796" t="s">
        <v>205</v>
      </c>
      <c r="F15796" t="s">
        <v>4</v>
      </c>
      <c r="G15796" t="str">
        <f>""</f>
        <v/>
      </c>
    </row>
    <row r="15797" spans="1:7" x14ac:dyDescent="0.25">
      <c r="A15797" t="s">
        <v>8</v>
      </c>
      <c r="B15797" s="1" t="str">
        <f>"000256436 - RICHS BREAD &amp; ROLLS-SODEXO"</f>
        <v>000256436 - RICHS BREAD &amp; ROLLS-SODEXO</v>
      </c>
      <c r="C15797" t="s">
        <v>135</v>
      </c>
      <c r="D15797" s="1" t="str">
        <f t="shared" si="431"/>
        <v>PRG-1044102</v>
      </c>
      <c r="E15797" t="s">
        <v>205</v>
      </c>
      <c r="F15797" t="s">
        <v>4</v>
      </c>
      <c r="G15797" t="str">
        <f>""</f>
        <v/>
      </c>
    </row>
    <row r="15798" spans="1:7" x14ac:dyDescent="0.25">
      <c r="A15798" t="s">
        <v>8</v>
      </c>
      <c r="B15798" s="1" t="str">
        <f>"000264841 - RICHS BREAD &amp; ROLLS-SODEXO"</f>
        <v>000264841 - RICHS BREAD &amp; ROLLS-SODEXO</v>
      </c>
      <c r="C15798" t="s">
        <v>135</v>
      </c>
      <c r="D15798" s="1" t="str">
        <f t="shared" si="431"/>
        <v>PRG-1044102</v>
      </c>
      <c r="E15798" t="s">
        <v>205</v>
      </c>
      <c r="F15798" t="s">
        <v>4</v>
      </c>
      <c r="G15798" t="str">
        <f>""</f>
        <v/>
      </c>
    </row>
    <row r="15799" spans="1:7" x14ac:dyDescent="0.25">
      <c r="A15799" t="s">
        <v>8</v>
      </c>
      <c r="B15799" s="1" t="str">
        <f>"000270337 - RICHS BREAD &amp; ROLLS-SODEXO"</f>
        <v>000270337 - RICHS BREAD &amp; ROLLS-SODEXO</v>
      </c>
      <c r="C15799" t="s">
        <v>135</v>
      </c>
      <c r="D15799" s="1" t="str">
        <f t="shared" si="431"/>
        <v>PRG-1044102</v>
      </c>
      <c r="E15799" t="s">
        <v>205</v>
      </c>
      <c r="F15799" t="s">
        <v>4</v>
      </c>
      <c r="G15799" t="str">
        <f>""</f>
        <v/>
      </c>
    </row>
    <row r="15800" spans="1:7" x14ac:dyDescent="0.25">
      <c r="A15800" t="s">
        <v>8</v>
      </c>
      <c r="B15800" s="1" t="str">
        <f>"000270983 - RICHS BREAD &amp; ROLLS-SODEXO"</f>
        <v>000270983 - RICHS BREAD &amp; ROLLS-SODEXO</v>
      </c>
      <c r="C15800" t="s">
        <v>135</v>
      </c>
      <c r="D15800" s="1" t="str">
        <f t="shared" si="431"/>
        <v>PRG-1044102</v>
      </c>
      <c r="E15800" t="s">
        <v>205</v>
      </c>
      <c r="F15800" t="s">
        <v>4</v>
      </c>
      <c r="G15800" t="str">
        <f>""</f>
        <v/>
      </c>
    </row>
    <row r="15801" spans="1:7" x14ac:dyDescent="0.25">
      <c r="A15801" t="s">
        <v>8</v>
      </c>
      <c r="B15801" s="1" t="str">
        <f>"000274932 - RICHS BREAD &amp; ROLLS-SODEXO"</f>
        <v>000274932 - RICHS BREAD &amp; ROLLS-SODEXO</v>
      </c>
      <c r="C15801" t="s">
        <v>135</v>
      </c>
      <c r="D15801" s="1" t="str">
        <f t="shared" si="431"/>
        <v>PRG-1044102</v>
      </c>
      <c r="E15801" t="s">
        <v>205</v>
      </c>
      <c r="F15801" t="s">
        <v>4</v>
      </c>
      <c r="G15801" t="str">
        <f>""</f>
        <v/>
      </c>
    </row>
    <row r="15802" spans="1:7" x14ac:dyDescent="0.25">
      <c r="A15802" t="s">
        <v>8</v>
      </c>
      <c r="B15802" s="1" t="str">
        <f>"000275300 - RICHS BREAD &amp; ROLLS-SODEXO"</f>
        <v>000275300 - RICHS BREAD &amp; ROLLS-SODEXO</v>
      </c>
      <c r="C15802" t="s">
        <v>135</v>
      </c>
      <c r="D15802" s="1" t="str">
        <f t="shared" si="431"/>
        <v>PRG-1044102</v>
      </c>
      <c r="E15802" t="s">
        <v>205</v>
      </c>
      <c r="F15802" t="s">
        <v>4</v>
      </c>
      <c r="G15802" t="str">
        <f>""</f>
        <v/>
      </c>
    </row>
    <row r="15803" spans="1:7" x14ac:dyDescent="0.25">
      <c r="A15803" t="s">
        <v>8</v>
      </c>
      <c r="B15803" s="1" t="str">
        <f>"000277210 - RICHS BREAD &amp; ROLLS-SODEXO"</f>
        <v>000277210 - RICHS BREAD &amp; ROLLS-SODEXO</v>
      </c>
      <c r="C15803" t="s">
        <v>135</v>
      </c>
      <c r="D15803" s="1" t="str">
        <f t="shared" si="431"/>
        <v>PRG-1044102</v>
      </c>
      <c r="E15803" t="s">
        <v>205</v>
      </c>
      <c r="F15803" t="s">
        <v>4</v>
      </c>
      <c r="G15803" t="str">
        <f>""</f>
        <v/>
      </c>
    </row>
    <row r="15804" spans="1:7" x14ac:dyDescent="0.25">
      <c r="A15804" t="s">
        <v>8</v>
      </c>
      <c r="B15804" s="1" t="str">
        <f>"000282047 - RICHS BREAD &amp; ROLLS-SODEXO"</f>
        <v>000282047 - RICHS BREAD &amp; ROLLS-SODEXO</v>
      </c>
      <c r="C15804" t="s">
        <v>135</v>
      </c>
      <c r="D15804" s="1" t="str">
        <f t="shared" si="431"/>
        <v>PRG-1044102</v>
      </c>
      <c r="E15804" t="s">
        <v>205</v>
      </c>
      <c r="F15804" t="s">
        <v>4</v>
      </c>
      <c r="G15804" t="str">
        <f>""</f>
        <v/>
      </c>
    </row>
    <row r="15805" spans="1:7" x14ac:dyDescent="0.25">
      <c r="A15805" t="s">
        <v>8</v>
      </c>
      <c r="B15805" s="1" t="str">
        <f>"000282071 - RICHS BREAD &amp; ROLLS-SODEXO"</f>
        <v>000282071 - RICHS BREAD &amp; ROLLS-SODEXO</v>
      </c>
      <c r="C15805" t="s">
        <v>135</v>
      </c>
      <c r="D15805" s="1" t="str">
        <f t="shared" si="431"/>
        <v>PRG-1044102</v>
      </c>
      <c r="E15805" t="s">
        <v>205</v>
      </c>
      <c r="F15805" t="s">
        <v>4</v>
      </c>
      <c r="G15805" t="str">
        <f>""</f>
        <v/>
      </c>
    </row>
    <row r="15806" spans="1:7" x14ac:dyDescent="0.25">
      <c r="A15806" t="s">
        <v>8</v>
      </c>
      <c r="B15806" s="1" t="str">
        <f>"000291034 - RICHS BREAD &amp; ROLLS-SODEXO"</f>
        <v>000291034 - RICHS BREAD &amp; ROLLS-SODEXO</v>
      </c>
      <c r="C15806" t="s">
        <v>135</v>
      </c>
      <c r="D15806" s="1" t="str">
        <f t="shared" si="431"/>
        <v>PRG-1044102</v>
      </c>
      <c r="E15806" t="s">
        <v>205</v>
      </c>
      <c r="F15806" t="s">
        <v>4</v>
      </c>
      <c r="G15806" t="str">
        <f>""</f>
        <v/>
      </c>
    </row>
    <row r="15807" spans="1:7" x14ac:dyDescent="0.25">
      <c r="A15807" t="s">
        <v>8</v>
      </c>
      <c r="B15807" s="1" t="str">
        <f>"000291662 - RICHS BREAD &amp; ROLLS-SODEXO"</f>
        <v>000291662 - RICHS BREAD &amp; ROLLS-SODEXO</v>
      </c>
      <c r="C15807" t="s">
        <v>135</v>
      </c>
      <c r="D15807" s="1" t="str">
        <f t="shared" si="431"/>
        <v>PRG-1044102</v>
      </c>
      <c r="E15807" t="s">
        <v>205</v>
      </c>
      <c r="F15807" t="s">
        <v>4</v>
      </c>
      <c r="G15807" t="str">
        <f>""</f>
        <v/>
      </c>
    </row>
    <row r="15808" spans="1:7" x14ac:dyDescent="0.25">
      <c r="A15808" t="s">
        <v>8</v>
      </c>
      <c r="B15808" s="1" t="str">
        <f>"000293107 - RICHS BREAD &amp; ROLLS-SODEXO"</f>
        <v>000293107 - RICHS BREAD &amp; ROLLS-SODEXO</v>
      </c>
      <c r="C15808" t="s">
        <v>135</v>
      </c>
      <c r="D15808" s="1" t="str">
        <f t="shared" ref="D15808:D15841" si="432">"PRG-1044102"</f>
        <v>PRG-1044102</v>
      </c>
      <c r="E15808" t="s">
        <v>205</v>
      </c>
      <c r="F15808" t="s">
        <v>4</v>
      </c>
      <c r="G15808" t="str">
        <f>""</f>
        <v/>
      </c>
    </row>
    <row r="15809" spans="1:7" x14ac:dyDescent="0.25">
      <c r="A15809" t="s">
        <v>8</v>
      </c>
      <c r="B15809" s="1" t="str">
        <f>"000296584 - RICHS BREAD &amp; ROLLS-SODEXO"</f>
        <v>000296584 - RICHS BREAD &amp; ROLLS-SODEXO</v>
      </c>
      <c r="C15809" t="s">
        <v>135</v>
      </c>
      <c r="D15809" s="1" t="str">
        <f t="shared" si="432"/>
        <v>PRG-1044102</v>
      </c>
      <c r="E15809" t="s">
        <v>205</v>
      </c>
      <c r="F15809" t="s">
        <v>4</v>
      </c>
      <c r="G15809" t="str">
        <f>""</f>
        <v/>
      </c>
    </row>
    <row r="15810" spans="1:7" x14ac:dyDescent="0.25">
      <c r="A15810" t="s">
        <v>8</v>
      </c>
      <c r="B15810" s="1" t="str">
        <f>"000297255 - RICHS BREAD &amp; ROLLS-SODEXO"</f>
        <v>000297255 - RICHS BREAD &amp; ROLLS-SODEXO</v>
      </c>
      <c r="C15810" t="s">
        <v>135</v>
      </c>
      <c r="D15810" s="1" t="str">
        <f t="shared" si="432"/>
        <v>PRG-1044102</v>
      </c>
      <c r="E15810" t="s">
        <v>205</v>
      </c>
      <c r="F15810" t="s">
        <v>4</v>
      </c>
      <c r="G15810" t="str">
        <f>""</f>
        <v/>
      </c>
    </row>
    <row r="15811" spans="1:7" x14ac:dyDescent="0.25">
      <c r="A15811" t="s">
        <v>8</v>
      </c>
      <c r="B15811" s="1" t="str">
        <f>"000302224 - RICHS BREAD &amp; ROLLS-SODEXO"</f>
        <v>000302224 - RICHS BREAD &amp; ROLLS-SODEXO</v>
      </c>
      <c r="C15811" t="s">
        <v>135</v>
      </c>
      <c r="D15811" s="1" t="str">
        <f t="shared" si="432"/>
        <v>PRG-1044102</v>
      </c>
      <c r="E15811" t="s">
        <v>205</v>
      </c>
      <c r="F15811" t="s">
        <v>4</v>
      </c>
      <c r="G15811" t="str">
        <f>""</f>
        <v/>
      </c>
    </row>
    <row r="15812" spans="1:7" x14ac:dyDescent="0.25">
      <c r="A15812" t="s">
        <v>8</v>
      </c>
      <c r="B15812" s="1" t="str">
        <f>"000302670 - RICHS BREAD &amp; ROLLS-SODEXO"</f>
        <v>000302670 - RICHS BREAD &amp; ROLLS-SODEXO</v>
      </c>
      <c r="C15812" t="s">
        <v>135</v>
      </c>
      <c r="D15812" s="1" t="str">
        <f t="shared" si="432"/>
        <v>PRG-1044102</v>
      </c>
      <c r="E15812" t="s">
        <v>205</v>
      </c>
      <c r="F15812" t="s">
        <v>4</v>
      </c>
      <c r="G15812" t="str">
        <f>""</f>
        <v/>
      </c>
    </row>
    <row r="15813" spans="1:7" x14ac:dyDescent="0.25">
      <c r="A15813" t="s">
        <v>8</v>
      </c>
      <c r="B15813" s="1" t="str">
        <f>"000302692 - RICHS BREAD &amp; ROLLS-SODEXO"</f>
        <v>000302692 - RICHS BREAD &amp; ROLLS-SODEXO</v>
      </c>
      <c r="C15813" t="s">
        <v>135</v>
      </c>
      <c r="D15813" s="1" t="str">
        <f t="shared" si="432"/>
        <v>PRG-1044102</v>
      </c>
      <c r="E15813" t="s">
        <v>205</v>
      </c>
      <c r="F15813" t="s">
        <v>4</v>
      </c>
      <c r="G15813" t="str">
        <f>""</f>
        <v/>
      </c>
    </row>
    <row r="15814" spans="1:7" x14ac:dyDescent="0.25">
      <c r="A15814" t="s">
        <v>8</v>
      </c>
      <c r="B15814" s="1" t="str">
        <f>"000302870 - RICHS BREAD &amp; ROLLS-SODEXO"</f>
        <v>000302870 - RICHS BREAD &amp; ROLLS-SODEXO</v>
      </c>
      <c r="C15814" t="s">
        <v>135</v>
      </c>
      <c r="D15814" s="1" t="str">
        <f t="shared" si="432"/>
        <v>PRG-1044102</v>
      </c>
      <c r="E15814" t="s">
        <v>205</v>
      </c>
      <c r="F15814" t="s">
        <v>4</v>
      </c>
      <c r="G15814" t="str">
        <f>""</f>
        <v/>
      </c>
    </row>
    <row r="15815" spans="1:7" x14ac:dyDescent="0.25">
      <c r="A15815" t="s">
        <v>8</v>
      </c>
      <c r="B15815" s="1" t="str">
        <f>"000303751 - RICHS BREAD &amp; ROLLS-SODEXO"</f>
        <v>000303751 - RICHS BREAD &amp; ROLLS-SODEXO</v>
      </c>
      <c r="C15815" t="s">
        <v>135</v>
      </c>
      <c r="D15815" s="1" t="str">
        <f t="shared" si="432"/>
        <v>PRG-1044102</v>
      </c>
      <c r="E15815" t="s">
        <v>205</v>
      </c>
      <c r="F15815" t="s">
        <v>4</v>
      </c>
      <c r="G15815" t="str">
        <f>""</f>
        <v/>
      </c>
    </row>
    <row r="15816" spans="1:7" x14ac:dyDescent="0.25">
      <c r="A15816" t="s">
        <v>8</v>
      </c>
      <c r="B15816" s="1" t="str">
        <f>"000305649 - RICH DCPS SODEXO"</f>
        <v>000305649 - RICH DCPS SODEXO</v>
      </c>
      <c r="C15816" t="s">
        <v>3033</v>
      </c>
      <c r="D15816" s="1" t="str">
        <f t="shared" si="432"/>
        <v>PRG-1044102</v>
      </c>
      <c r="E15816" t="s">
        <v>205</v>
      </c>
      <c r="F15816" t="s">
        <v>4</v>
      </c>
      <c r="G15816" t="str">
        <f>""</f>
        <v/>
      </c>
    </row>
    <row r="15817" spans="1:7" x14ac:dyDescent="0.25">
      <c r="A15817" t="s">
        <v>8</v>
      </c>
      <c r="B15817" s="1" t="str">
        <f>"000306465 - RICHS BREAD &amp; ROLLS-SODEXO"</f>
        <v>000306465 - RICHS BREAD &amp; ROLLS-SODEXO</v>
      </c>
      <c r="C15817" t="s">
        <v>135</v>
      </c>
      <c r="D15817" s="1" t="str">
        <f t="shared" si="432"/>
        <v>PRG-1044102</v>
      </c>
      <c r="E15817" t="s">
        <v>205</v>
      </c>
      <c r="F15817" t="s">
        <v>4</v>
      </c>
      <c r="G15817" t="str">
        <f>""</f>
        <v/>
      </c>
    </row>
    <row r="15818" spans="1:7" x14ac:dyDescent="0.25">
      <c r="A15818" t="s">
        <v>8</v>
      </c>
      <c r="B15818" s="1" t="str">
        <f>"000306845 - RICHS BREAD &amp; ROLLS-SODEXO"</f>
        <v>000306845 - RICHS BREAD &amp; ROLLS-SODEXO</v>
      </c>
      <c r="C15818" t="s">
        <v>135</v>
      </c>
      <c r="D15818" s="1" t="str">
        <f t="shared" si="432"/>
        <v>PRG-1044102</v>
      </c>
      <c r="E15818" t="s">
        <v>205</v>
      </c>
      <c r="F15818" t="s">
        <v>4</v>
      </c>
      <c r="G15818" t="str">
        <f>""</f>
        <v/>
      </c>
    </row>
    <row r="15819" spans="1:7" x14ac:dyDescent="0.25">
      <c r="A15819" t="s">
        <v>8</v>
      </c>
      <c r="B15819" s="1" t="str">
        <f>"000308809 - RICHS BREAD &amp; ROLLS-SODEXO"</f>
        <v>000308809 - RICHS BREAD &amp; ROLLS-SODEXO</v>
      </c>
      <c r="C15819" t="s">
        <v>135</v>
      </c>
      <c r="D15819" s="1" t="str">
        <f t="shared" si="432"/>
        <v>PRG-1044102</v>
      </c>
      <c r="E15819" t="s">
        <v>205</v>
      </c>
      <c r="F15819" t="s">
        <v>4</v>
      </c>
      <c r="G15819" t="str">
        <f>""</f>
        <v/>
      </c>
    </row>
    <row r="15820" spans="1:7" x14ac:dyDescent="0.25">
      <c r="A15820" t="s">
        <v>8</v>
      </c>
      <c r="B15820" s="1" t="str">
        <f>"000322413 - RICHS BREAD &amp; ROLLS-SODEXO"</f>
        <v>000322413 - RICHS BREAD &amp; ROLLS-SODEXO</v>
      </c>
      <c r="C15820" t="s">
        <v>135</v>
      </c>
      <c r="D15820" s="1" t="str">
        <f t="shared" si="432"/>
        <v>PRG-1044102</v>
      </c>
      <c r="E15820" t="s">
        <v>205</v>
      </c>
      <c r="F15820" t="s">
        <v>4</v>
      </c>
      <c r="G15820" t="str">
        <f>""</f>
        <v/>
      </c>
    </row>
    <row r="15821" spans="1:7" x14ac:dyDescent="0.25">
      <c r="A15821" t="s">
        <v>8</v>
      </c>
      <c r="B15821" s="1" t="str">
        <f>"000331089 - RICHS BREAD &amp; ROLLS-SODEXO"</f>
        <v>000331089 - RICHS BREAD &amp; ROLLS-SODEXO</v>
      </c>
      <c r="C15821" t="s">
        <v>135</v>
      </c>
      <c r="D15821" s="1" t="str">
        <f t="shared" si="432"/>
        <v>PRG-1044102</v>
      </c>
      <c r="E15821" t="s">
        <v>205</v>
      </c>
      <c r="F15821" t="s">
        <v>4</v>
      </c>
      <c r="G15821" t="str">
        <f>""</f>
        <v/>
      </c>
    </row>
    <row r="15822" spans="1:7" x14ac:dyDescent="0.25">
      <c r="A15822" t="s">
        <v>8</v>
      </c>
      <c r="B15822" s="1" t="str">
        <f>"000339264 - RICHS BREAD &amp; ROLLS-SODEXO"</f>
        <v>000339264 - RICHS BREAD &amp; ROLLS-SODEXO</v>
      </c>
      <c r="C15822" t="s">
        <v>135</v>
      </c>
      <c r="D15822" s="1" t="str">
        <f t="shared" si="432"/>
        <v>PRG-1044102</v>
      </c>
      <c r="E15822" t="s">
        <v>205</v>
      </c>
      <c r="F15822" t="s">
        <v>4</v>
      </c>
      <c r="G15822" t="str">
        <f>""</f>
        <v/>
      </c>
    </row>
    <row r="15823" spans="1:7" x14ac:dyDescent="0.25">
      <c r="A15823" t="s">
        <v>8</v>
      </c>
      <c r="B15823" s="1" t="str">
        <f>"000339452 - RICHS BREAD &amp; ROLLS-SODEXO"</f>
        <v>000339452 - RICHS BREAD &amp; ROLLS-SODEXO</v>
      </c>
      <c r="C15823" t="s">
        <v>135</v>
      </c>
      <c r="D15823" s="1" t="str">
        <f t="shared" si="432"/>
        <v>PRG-1044102</v>
      </c>
      <c r="E15823" t="s">
        <v>205</v>
      </c>
      <c r="F15823" t="s">
        <v>4</v>
      </c>
      <c r="G15823" t="str">
        <f>""</f>
        <v/>
      </c>
    </row>
    <row r="15824" spans="1:7" x14ac:dyDescent="0.25">
      <c r="A15824" t="s">
        <v>8</v>
      </c>
      <c r="B15824" s="1" t="str">
        <f>"000350810 - RICHS BREAD &amp; ROLLS-SODEXO"</f>
        <v>000350810 - RICHS BREAD &amp; ROLLS-SODEXO</v>
      </c>
      <c r="C15824" t="s">
        <v>135</v>
      </c>
      <c r="D15824" s="1" t="str">
        <f t="shared" si="432"/>
        <v>PRG-1044102</v>
      </c>
      <c r="E15824" t="s">
        <v>205</v>
      </c>
      <c r="F15824" t="s">
        <v>4</v>
      </c>
      <c r="G15824" t="str">
        <f>""</f>
        <v/>
      </c>
    </row>
    <row r="15825" spans="1:7" x14ac:dyDescent="0.25">
      <c r="A15825" t="s">
        <v>8</v>
      </c>
      <c r="B15825" s="1" t="str">
        <f>"000352824 - RICHS BREAD &amp; ROLLS-SODEXO"</f>
        <v>000352824 - RICHS BREAD &amp; ROLLS-SODEXO</v>
      </c>
      <c r="C15825" t="s">
        <v>135</v>
      </c>
      <c r="D15825" s="1" t="str">
        <f t="shared" si="432"/>
        <v>PRG-1044102</v>
      </c>
      <c r="E15825" t="s">
        <v>205</v>
      </c>
      <c r="F15825" t="s">
        <v>4</v>
      </c>
      <c r="G15825" t="str">
        <f>""</f>
        <v/>
      </c>
    </row>
    <row r="15826" spans="1:7" x14ac:dyDescent="0.25">
      <c r="A15826" t="s">
        <v>8</v>
      </c>
      <c r="B15826" s="1" t="str">
        <f>"000366957 - RICHS BREAD &amp; ROLLS-SODEXO"</f>
        <v>000366957 - RICHS BREAD &amp; ROLLS-SODEXO</v>
      </c>
      <c r="C15826" t="s">
        <v>135</v>
      </c>
      <c r="D15826" s="1" t="str">
        <f t="shared" si="432"/>
        <v>PRG-1044102</v>
      </c>
      <c r="E15826" t="s">
        <v>205</v>
      </c>
      <c r="F15826" t="s">
        <v>4</v>
      </c>
      <c r="G15826" t="str">
        <f>""</f>
        <v/>
      </c>
    </row>
    <row r="15827" spans="1:7" x14ac:dyDescent="0.25">
      <c r="A15827" t="s">
        <v>8</v>
      </c>
      <c r="B15827" s="1" t="str">
        <f>"000368772 - RICHS BREAD &amp; ROLLS-SODEXO"</f>
        <v>000368772 - RICHS BREAD &amp; ROLLS-SODEXO</v>
      </c>
      <c r="C15827" t="s">
        <v>135</v>
      </c>
      <c r="D15827" s="1" t="str">
        <f t="shared" si="432"/>
        <v>PRG-1044102</v>
      </c>
      <c r="E15827" t="s">
        <v>205</v>
      </c>
      <c r="F15827" t="s">
        <v>4</v>
      </c>
      <c r="G15827" t="str">
        <f>""</f>
        <v/>
      </c>
    </row>
    <row r="15828" spans="1:7" x14ac:dyDescent="0.25">
      <c r="A15828" t="s">
        <v>8</v>
      </c>
      <c r="B15828" s="1" t="str">
        <f>"000368798 - RICHS BREAD &amp; ROLLS-SODEXO"</f>
        <v>000368798 - RICHS BREAD &amp; ROLLS-SODEXO</v>
      </c>
      <c r="C15828" t="s">
        <v>135</v>
      </c>
      <c r="D15828" s="1" t="str">
        <f t="shared" si="432"/>
        <v>PRG-1044102</v>
      </c>
      <c r="E15828" t="s">
        <v>205</v>
      </c>
      <c r="F15828" t="s">
        <v>4</v>
      </c>
      <c r="G15828" t="str">
        <f>""</f>
        <v/>
      </c>
    </row>
    <row r="15829" spans="1:7" x14ac:dyDescent="0.25">
      <c r="A15829" t="s">
        <v>8</v>
      </c>
      <c r="B15829" s="1" t="str">
        <f>"000373286 - RICHS BREAD &amp; ROLLS-SODEXO"</f>
        <v>000373286 - RICHS BREAD &amp; ROLLS-SODEXO</v>
      </c>
      <c r="C15829" t="s">
        <v>135</v>
      </c>
      <c r="D15829" s="1" t="str">
        <f t="shared" si="432"/>
        <v>PRG-1044102</v>
      </c>
      <c r="E15829" t="s">
        <v>205</v>
      </c>
      <c r="F15829" t="s">
        <v>4</v>
      </c>
      <c r="G15829" t="str">
        <f>""</f>
        <v/>
      </c>
    </row>
    <row r="15830" spans="1:7" x14ac:dyDescent="0.25">
      <c r="A15830" t="s">
        <v>8</v>
      </c>
      <c r="B15830" s="1" t="str">
        <f>"000374114 - RICHS BREAD &amp; ROLLS-SODEXO (R)"</f>
        <v>000374114 - RICHS BREAD &amp; ROLLS-SODEXO (R)</v>
      </c>
      <c r="C15830" t="s">
        <v>3636</v>
      </c>
      <c r="D15830" s="1" t="str">
        <f t="shared" si="432"/>
        <v>PRG-1044102</v>
      </c>
      <c r="E15830" t="s">
        <v>205</v>
      </c>
      <c r="F15830" t="s">
        <v>4</v>
      </c>
      <c r="G15830" t="str">
        <f>""</f>
        <v/>
      </c>
    </row>
    <row r="15831" spans="1:7" x14ac:dyDescent="0.25">
      <c r="A15831" t="s">
        <v>8</v>
      </c>
      <c r="B15831" s="1" t="str">
        <f>"000374115 - RICHS BREAD &amp; ROLLS-SODEXO (R)"</f>
        <v>000374115 - RICHS BREAD &amp; ROLLS-SODEXO (R)</v>
      </c>
      <c r="C15831" t="s">
        <v>3636</v>
      </c>
      <c r="D15831" s="1" t="str">
        <f t="shared" si="432"/>
        <v>PRG-1044102</v>
      </c>
      <c r="E15831" t="s">
        <v>205</v>
      </c>
      <c r="F15831" t="s">
        <v>4</v>
      </c>
      <c r="G15831" t="str">
        <f>""</f>
        <v/>
      </c>
    </row>
    <row r="15832" spans="1:7" x14ac:dyDescent="0.25">
      <c r="A15832" t="s">
        <v>8</v>
      </c>
      <c r="B15832" s="1" t="str">
        <f>"000374116 - RICHS BREAD &amp; ROLLS-SODEXO (R)"</f>
        <v>000374116 - RICHS BREAD &amp; ROLLS-SODEXO (R)</v>
      </c>
      <c r="C15832" t="s">
        <v>3636</v>
      </c>
      <c r="D15832" s="1" t="str">
        <f t="shared" si="432"/>
        <v>PRG-1044102</v>
      </c>
      <c r="E15832" t="s">
        <v>205</v>
      </c>
      <c r="F15832" t="s">
        <v>4</v>
      </c>
      <c r="G15832" t="str">
        <f>""</f>
        <v/>
      </c>
    </row>
    <row r="15833" spans="1:7" x14ac:dyDescent="0.25">
      <c r="A15833" t="s">
        <v>8</v>
      </c>
      <c r="B15833" s="1" t="str">
        <f>"000376875 - RICHS BREAD &amp; ROLLS-SODEXO"</f>
        <v>000376875 - RICHS BREAD &amp; ROLLS-SODEXO</v>
      </c>
      <c r="C15833" t="s">
        <v>135</v>
      </c>
      <c r="D15833" s="1" t="str">
        <f t="shared" si="432"/>
        <v>PRG-1044102</v>
      </c>
      <c r="E15833" t="s">
        <v>205</v>
      </c>
      <c r="F15833" t="s">
        <v>4</v>
      </c>
      <c r="G15833" t="str">
        <f>""</f>
        <v/>
      </c>
    </row>
    <row r="15834" spans="1:7" x14ac:dyDescent="0.25">
      <c r="A15834" t="s">
        <v>8</v>
      </c>
      <c r="B15834" s="1" t="str">
        <f>"000384183 - RICHS BREAD &amp; ROLLS-SODEXO"</f>
        <v>000384183 - RICHS BREAD &amp; ROLLS-SODEXO</v>
      </c>
      <c r="C15834" t="s">
        <v>135</v>
      </c>
      <c r="D15834" s="1" t="str">
        <f t="shared" si="432"/>
        <v>PRG-1044102</v>
      </c>
      <c r="E15834" t="s">
        <v>205</v>
      </c>
      <c r="F15834" t="s">
        <v>4</v>
      </c>
      <c r="G15834" t="str">
        <f>""</f>
        <v/>
      </c>
    </row>
    <row r="15835" spans="1:7" x14ac:dyDescent="0.25">
      <c r="A15835" t="s">
        <v>8</v>
      </c>
      <c r="B15835" s="1" t="str">
        <f>"000384540 - RICHS BREAD &amp; ROLLS-SODEXO"</f>
        <v>000384540 - RICHS BREAD &amp; ROLLS-SODEXO</v>
      </c>
      <c r="C15835" t="s">
        <v>135</v>
      </c>
      <c r="D15835" s="1" t="str">
        <f t="shared" si="432"/>
        <v>PRG-1044102</v>
      </c>
      <c r="E15835" t="s">
        <v>205</v>
      </c>
      <c r="F15835" t="s">
        <v>4</v>
      </c>
      <c r="G15835" t="str">
        <f>""</f>
        <v/>
      </c>
    </row>
    <row r="15836" spans="1:7" x14ac:dyDescent="0.25">
      <c r="A15836" t="s">
        <v>8</v>
      </c>
      <c r="B15836" s="1" t="str">
        <f>"000385979 - RICHS BREAD &amp; ROLLS-SODEXO"</f>
        <v>000385979 - RICHS BREAD &amp; ROLLS-SODEXO</v>
      </c>
      <c r="C15836" t="s">
        <v>135</v>
      </c>
      <c r="D15836" s="1" t="str">
        <f t="shared" si="432"/>
        <v>PRG-1044102</v>
      </c>
      <c r="E15836" t="s">
        <v>205</v>
      </c>
      <c r="F15836" t="s">
        <v>4</v>
      </c>
      <c r="G15836" t="str">
        <f>""</f>
        <v/>
      </c>
    </row>
    <row r="15837" spans="1:7" x14ac:dyDescent="0.25">
      <c r="A15837" t="s">
        <v>8</v>
      </c>
      <c r="B15837" s="1" t="str">
        <f>"000392528 - RICHS BREAD &amp; ROLLS-SODEXO"</f>
        <v>000392528 - RICHS BREAD &amp; ROLLS-SODEXO</v>
      </c>
      <c r="C15837" t="s">
        <v>135</v>
      </c>
      <c r="D15837" s="1" t="str">
        <f t="shared" si="432"/>
        <v>PRG-1044102</v>
      </c>
      <c r="E15837" t="s">
        <v>205</v>
      </c>
      <c r="F15837" t="s">
        <v>4</v>
      </c>
      <c r="G15837" t="str">
        <f>""</f>
        <v/>
      </c>
    </row>
    <row r="15838" spans="1:7" x14ac:dyDescent="0.25">
      <c r="A15838" t="s">
        <v>8</v>
      </c>
      <c r="B15838" s="1" t="str">
        <f>"000393619 - RICHS BREAD &amp; ROLLS-SODEXO"</f>
        <v>000393619 - RICHS BREAD &amp; ROLLS-SODEXO</v>
      </c>
      <c r="C15838" t="s">
        <v>135</v>
      </c>
      <c r="D15838" s="1" t="str">
        <f t="shared" si="432"/>
        <v>PRG-1044102</v>
      </c>
      <c r="E15838" t="s">
        <v>205</v>
      </c>
      <c r="F15838" t="s">
        <v>4</v>
      </c>
      <c r="G15838" t="str">
        <f>""</f>
        <v/>
      </c>
    </row>
    <row r="15839" spans="1:7" x14ac:dyDescent="0.25">
      <c r="A15839" t="s">
        <v>8</v>
      </c>
      <c r="B15839" s="1" t="str">
        <f>"000403536 - RICHS BREAD &amp; ROLLS-SODEXO"</f>
        <v>000403536 - RICHS BREAD &amp; ROLLS-SODEXO</v>
      </c>
      <c r="C15839" t="s">
        <v>135</v>
      </c>
      <c r="D15839" s="1" t="str">
        <f t="shared" si="432"/>
        <v>PRG-1044102</v>
      </c>
      <c r="E15839" t="s">
        <v>205</v>
      </c>
      <c r="F15839" t="s">
        <v>4</v>
      </c>
      <c r="G15839" t="str">
        <f>""</f>
        <v/>
      </c>
    </row>
    <row r="15840" spans="1:7" x14ac:dyDescent="0.25">
      <c r="A15840" t="s">
        <v>8</v>
      </c>
      <c r="B15840" s="1" t="str">
        <f>"000408950 - RICHS BREAD &amp; ROLLS-SODEXO"</f>
        <v>000408950 - RICHS BREAD &amp; ROLLS-SODEXO</v>
      </c>
      <c r="C15840" t="s">
        <v>135</v>
      </c>
      <c r="D15840" s="1" t="str">
        <f t="shared" si="432"/>
        <v>PRG-1044102</v>
      </c>
      <c r="E15840" t="s">
        <v>205</v>
      </c>
      <c r="F15840" t="s">
        <v>4</v>
      </c>
      <c r="G15840" t="str">
        <f>""</f>
        <v/>
      </c>
    </row>
    <row r="15841" spans="1:7" x14ac:dyDescent="0.25">
      <c r="A15841" t="s">
        <v>8</v>
      </c>
      <c r="B15841" s="1" t="str">
        <f>"000417426 - RICHS BREAD &amp; ROLLS-SODEXO"</f>
        <v>000417426 - RICHS BREAD &amp; ROLLS-SODEXO</v>
      </c>
      <c r="C15841" t="s">
        <v>135</v>
      </c>
      <c r="D15841" s="1" t="str">
        <f t="shared" si="432"/>
        <v>PRG-1044102</v>
      </c>
      <c r="E15841" t="s">
        <v>205</v>
      </c>
      <c r="F15841" t="s">
        <v>4</v>
      </c>
      <c r="G15841" t="str">
        <f>""</f>
        <v/>
      </c>
    </row>
    <row r="15842" spans="1:7" x14ac:dyDescent="0.25">
      <c r="A15842" t="s">
        <v>8</v>
      </c>
      <c r="B15842" s="1" t="str">
        <f>"000020999 - RICHS PIZZA&amp;ICING BAPA SODEXO"</f>
        <v>000020999 - RICHS PIZZA&amp;ICING BAPA SODEXO</v>
      </c>
      <c r="C15842" t="s">
        <v>362</v>
      </c>
      <c r="D15842" s="1" t="str">
        <f t="shared" ref="D15842:D15873" si="433">"PRG-1044103"</f>
        <v>PRG-1044103</v>
      </c>
      <c r="E15842" t="s">
        <v>48</v>
      </c>
      <c r="F15842" t="s">
        <v>4</v>
      </c>
      <c r="G15842" t="str">
        <f>""</f>
        <v/>
      </c>
    </row>
    <row r="15843" spans="1:7" x14ac:dyDescent="0.25">
      <c r="A15843" t="s">
        <v>8</v>
      </c>
      <c r="B15843" s="1" t="str">
        <f>"000021415 - MOUNDSVIEW SCHLS RICH PRODUCTS"</f>
        <v>000021415 - MOUNDSVIEW SCHLS RICH PRODUCTS</v>
      </c>
      <c r="C15843" t="s">
        <v>417</v>
      </c>
      <c r="D15843" s="1" t="str">
        <f t="shared" si="433"/>
        <v>PRG-1044103</v>
      </c>
      <c r="E15843" t="s">
        <v>48</v>
      </c>
      <c r="F15843" t="s">
        <v>4</v>
      </c>
      <c r="G15843" t="str">
        <f>""</f>
        <v/>
      </c>
    </row>
    <row r="15844" spans="1:7" x14ac:dyDescent="0.25">
      <c r="A15844" t="s">
        <v>8</v>
      </c>
      <c r="B15844" s="1" t="str">
        <f>"000024809 - RICHS PIZZA DOUGH &amp; ICING-SODX"</f>
        <v>000024809 - RICHS PIZZA DOUGH &amp; ICING-SODX</v>
      </c>
      <c r="C15844" t="s">
        <v>223</v>
      </c>
      <c r="D15844" s="1" t="str">
        <f t="shared" si="433"/>
        <v>PRG-1044103</v>
      </c>
      <c r="E15844" t="s">
        <v>48</v>
      </c>
      <c r="F15844" t="s">
        <v>4</v>
      </c>
      <c r="G15844" t="str">
        <f>""</f>
        <v/>
      </c>
    </row>
    <row r="15845" spans="1:7" x14ac:dyDescent="0.25">
      <c r="A15845" t="s">
        <v>8</v>
      </c>
      <c r="B15845" s="1" t="str">
        <f>"000031386 - RICHS PIZZA DOUGH &amp; ICING-SODX"</f>
        <v>000031386 - RICHS PIZZA DOUGH &amp; ICING-SODX</v>
      </c>
      <c r="C15845" t="s">
        <v>223</v>
      </c>
      <c r="D15845" s="1" t="str">
        <f t="shared" si="433"/>
        <v>PRG-1044103</v>
      </c>
      <c r="E15845" t="s">
        <v>48</v>
      </c>
      <c r="F15845" t="s">
        <v>4</v>
      </c>
      <c r="G15845" t="str">
        <f>""</f>
        <v/>
      </c>
    </row>
    <row r="15846" spans="1:7" x14ac:dyDescent="0.25">
      <c r="A15846" t="s">
        <v>8</v>
      </c>
      <c r="B15846" s="1" t="str">
        <f>"000032141 - RICHS DOUGH&amp;ICING-SODEXO"</f>
        <v>000032141 - RICHS DOUGH&amp;ICING-SODEXO</v>
      </c>
      <c r="C15846" t="s">
        <v>504</v>
      </c>
      <c r="D15846" s="1" t="str">
        <f t="shared" si="433"/>
        <v>PRG-1044103</v>
      </c>
      <c r="E15846" t="s">
        <v>48</v>
      </c>
      <c r="F15846" t="s">
        <v>4</v>
      </c>
      <c r="G15846" t="str">
        <f>""</f>
        <v/>
      </c>
    </row>
    <row r="15847" spans="1:7" x14ac:dyDescent="0.25">
      <c r="A15847" t="s">
        <v>8</v>
      </c>
      <c r="B15847" s="1" t="str">
        <f>"000032148 - RICHS DOUGH &amp; ICING-SODEXO"</f>
        <v>000032148 - RICHS DOUGH &amp; ICING-SODEXO</v>
      </c>
      <c r="C15847" t="s">
        <v>349</v>
      </c>
      <c r="D15847" s="1" t="str">
        <f t="shared" si="433"/>
        <v>PRG-1044103</v>
      </c>
      <c r="E15847" t="s">
        <v>48</v>
      </c>
      <c r="F15847" t="s">
        <v>4</v>
      </c>
      <c r="G15847" t="str">
        <f>""</f>
        <v/>
      </c>
    </row>
    <row r="15848" spans="1:7" x14ac:dyDescent="0.25">
      <c r="A15848" t="s">
        <v>8</v>
      </c>
      <c r="B15848" s="1" t="str">
        <f>"000032565 - RICHS PIZZA DOUGH &amp; ICING-SODX"</f>
        <v>000032565 - RICHS PIZZA DOUGH &amp; ICING-SODX</v>
      </c>
      <c r="C15848" t="s">
        <v>223</v>
      </c>
      <c r="D15848" s="1" t="str">
        <f t="shared" si="433"/>
        <v>PRG-1044103</v>
      </c>
      <c r="E15848" t="s">
        <v>48</v>
      </c>
      <c r="F15848" t="s">
        <v>4</v>
      </c>
      <c r="G15848" t="str">
        <f>""</f>
        <v/>
      </c>
    </row>
    <row r="15849" spans="1:7" x14ac:dyDescent="0.25">
      <c r="A15849" t="s">
        <v>8</v>
      </c>
      <c r="B15849" s="1" t="str">
        <f>"000036173 - RICHS PIZZA DOUGH &amp; ICING-SODX"</f>
        <v>000036173 - RICHS PIZZA DOUGH &amp; ICING-SODX</v>
      </c>
      <c r="C15849" t="s">
        <v>223</v>
      </c>
      <c r="D15849" s="1" t="str">
        <f t="shared" si="433"/>
        <v>PRG-1044103</v>
      </c>
      <c r="E15849" t="s">
        <v>48</v>
      </c>
      <c r="F15849" t="s">
        <v>4</v>
      </c>
      <c r="G15849" t="str">
        <f>""</f>
        <v/>
      </c>
    </row>
    <row r="15850" spans="1:7" x14ac:dyDescent="0.25">
      <c r="A15850" t="s">
        <v>8</v>
      </c>
      <c r="B15850" s="1" t="str">
        <f>"000039672 - RICHS PIZZA DOUGH &amp; ICING-SODX"</f>
        <v>000039672 - RICHS PIZZA DOUGH &amp; ICING-SODX</v>
      </c>
      <c r="C15850" t="s">
        <v>223</v>
      </c>
      <c r="D15850" s="1" t="str">
        <f t="shared" si="433"/>
        <v>PRG-1044103</v>
      </c>
      <c r="E15850" t="s">
        <v>48</v>
      </c>
      <c r="F15850" t="s">
        <v>4</v>
      </c>
      <c r="G15850" t="str">
        <f>""</f>
        <v/>
      </c>
    </row>
    <row r="15851" spans="1:7" x14ac:dyDescent="0.25">
      <c r="A15851" t="s">
        <v>8</v>
      </c>
      <c r="B15851" s="1" t="str">
        <f>"000040576 - RICHS DOUGH &amp; ICING-SODEXO"</f>
        <v>000040576 - RICHS DOUGH &amp; ICING-SODEXO</v>
      </c>
      <c r="C15851" t="s">
        <v>349</v>
      </c>
      <c r="D15851" s="1" t="str">
        <f t="shared" si="433"/>
        <v>PRG-1044103</v>
      </c>
      <c r="E15851" t="s">
        <v>48</v>
      </c>
      <c r="F15851" t="s">
        <v>4</v>
      </c>
      <c r="G15851" t="str">
        <f>""</f>
        <v/>
      </c>
    </row>
    <row r="15852" spans="1:7" x14ac:dyDescent="0.25">
      <c r="A15852" t="s">
        <v>8</v>
      </c>
      <c r="B15852" s="1" t="str">
        <f>"000041424 - RICHS PIZZA DOUGH &amp; ICING-SODX"</f>
        <v>000041424 - RICHS PIZZA DOUGH &amp; ICING-SODX</v>
      </c>
      <c r="C15852" t="s">
        <v>223</v>
      </c>
      <c r="D15852" s="1" t="str">
        <f t="shared" si="433"/>
        <v>PRG-1044103</v>
      </c>
      <c r="E15852" t="s">
        <v>48</v>
      </c>
      <c r="F15852" t="s">
        <v>4</v>
      </c>
      <c r="G15852" t="str">
        <f>""</f>
        <v/>
      </c>
    </row>
    <row r="15853" spans="1:7" x14ac:dyDescent="0.25">
      <c r="A15853" t="s">
        <v>8</v>
      </c>
      <c r="B15853" s="1" t="str">
        <f>"000043902 - RICHS DOUGH &amp; ICING-SODEXO"</f>
        <v>000043902 - RICHS DOUGH &amp; ICING-SODEXO</v>
      </c>
      <c r="C15853" t="s">
        <v>349</v>
      </c>
      <c r="D15853" s="1" t="str">
        <f t="shared" si="433"/>
        <v>PRG-1044103</v>
      </c>
      <c r="E15853" t="s">
        <v>48</v>
      </c>
      <c r="F15853" t="s">
        <v>4</v>
      </c>
      <c r="G15853" t="str">
        <f>""</f>
        <v/>
      </c>
    </row>
    <row r="15854" spans="1:7" x14ac:dyDescent="0.25">
      <c r="A15854" t="s">
        <v>8</v>
      </c>
      <c r="B15854" s="1" t="str">
        <f>"000043954 - RICHS DOUGH&amp;ICING-SODEXO"</f>
        <v>000043954 - RICHS DOUGH&amp;ICING-SODEXO</v>
      </c>
      <c r="C15854" t="s">
        <v>504</v>
      </c>
      <c r="D15854" s="1" t="str">
        <f t="shared" si="433"/>
        <v>PRG-1044103</v>
      </c>
      <c r="E15854" t="s">
        <v>48</v>
      </c>
      <c r="F15854" t="s">
        <v>4</v>
      </c>
      <c r="G15854" t="str">
        <f>""</f>
        <v/>
      </c>
    </row>
    <row r="15855" spans="1:7" x14ac:dyDescent="0.25">
      <c r="A15855" t="s">
        <v>8</v>
      </c>
      <c r="B15855" s="1" t="str">
        <f>"000045085 - RICHS PIZZA DOUGH &amp; ICING-SODX"</f>
        <v>000045085 - RICHS PIZZA DOUGH &amp; ICING-SODX</v>
      </c>
      <c r="C15855" t="s">
        <v>223</v>
      </c>
      <c r="D15855" s="1" t="str">
        <f t="shared" si="433"/>
        <v>PRG-1044103</v>
      </c>
      <c r="E15855" t="s">
        <v>48</v>
      </c>
      <c r="F15855" t="s">
        <v>4</v>
      </c>
      <c r="G15855" t="str">
        <f>""</f>
        <v/>
      </c>
    </row>
    <row r="15856" spans="1:7" x14ac:dyDescent="0.25">
      <c r="A15856" t="s">
        <v>8</v>
      </c>
      <c r="B15856" s="1" t="str">
        <f>"000046067 - RICHS PIZZA DOUGH &amp; ICING-SODX"</f>
        <v>000046067 - RICHS PIZZA DOUGH &amp; ICING-SODX</v>
      </c>
      <c r="C15856" t="s">
        <v>223</v>
      </c>
      <c r="D15856" s="1" t="str">
        <f t="shared" si="433"/>
        <v>PRG-1044103</v>
      </c>
      <c r="E15856" t="s">
        <v>48</v>
      </c>
      <c r="F15856" t="s">
        <v>4</v>
      </c>
      <c r="G15856" t="str">
        <f>""</f>
        <v/>
      </c>
    </row>
    <row r="15857" spans="1:7" x14ac:dyDescent="0.25">
      <c r="A15857" t="s">
        <v>8</v>
      </c>
      <c r="B15857" s="1" t="str">
        <f>"000046633 - RICHS DOUGH&amp;ICING-SODEXO"</f>
        <v>000046633 - RICHS DOUGH&amp;ICING-SODEXO</v>
      </c>
      <c r="C15857" t="s">
        <v>504</v>
      </c>
      <c r="D15857" s="1" t="str">
        <f t="shared" si="433"/>
        <v>PRG-1044103</v>
      </c>
      <c r="E15857" t="s">
        <v>48</v>
      </c>
      <c r="F15857" t="s">
        <v>4</v>
      </c>
      <c r="G15857" t="str">
        <f>""</f>
        <v/>
      </c>
    </row>
    <row r="15858" spans="1:7" x14ac:dyDescent="0.25">
      <c r="A15858" t="s">
        <v>8</v>
      </c>
      <c r="B15858" s="1" t="str">
        <f>"000079329 - RICHS PIZZA DOUGH &amp; ICING-SODX"</f>
        <v>000079329 - RICHS PIZZA DOUGH &amp; ICING-SODX</v>
      </c>
      <c r="C15858" t="s">
        <v>223</v>
      </c>
      <c r="D15858" s="1" t="str">
        <f t="shared" si="433"/>
        <v>PRG-1044103</v>
      </c>
      <c r="E15858" t="s">
        <v>48</v>
      </c>
      <c r="F15858" t="s">
        <v>4</v>
      </c>
      <c r="G15858" t="str">
        <f>""</f>
        <v/>
      </c>
    </row>
    <row r="15859" spans="1:7" x14ac:dyDescent="0.25">
      <c r="A15859" t="s">
        <v>8</v>
      </c>
      <c r="B15859" s="1" t="str">
        <f>"000083089 - RICHS PIZZA DOUGH &amp; ICING-SODX"</f>
        <v>000083089 - RICHS PIZZA DOUGH &amp; ICING-SODX</v>
      </c>
      <c r="C15859" t="s">
        <v>223</v>
      </c>
      <c r="D15859" s="1" t="str">
        <f t="shared" si="433"/>
        <v>PRG-1044103</v>
      </c>
      <c r="E15859" t="s">
        <v>48</v>
      </c>
      <c r="F15859" t="s">
        <v>4</v>
      </c>
      <c r="G15859" t="str">
        <f>""</f>
        <v/>
      </c>
    </row>
    <row r="15860" spans="1:7" x14ac:dyDescent="0.25">
      <c r="A15860" t="s">
        <v>8</v>
      </c>
      <c r="B15860" s="1" t="str">
        <f>"000090301 - RICHS DOUGH &amp; ICING-SODEXO"</f>
        <v>000090301 - RICHS DOUGH &amp; ICING-SODEXO</v>
      </c>
      <c r="C15860" t="s">
        <v>349</v>
      </c>
      <c r="D15860" s="1" t="str">
        <f t="shared" si="433"/>
        <v>PRG-1044103</v>
      </c>
      <c r="E15860" t="s">
        <v>48</v>
      </c>
      <c r="F15860" t="s">
        <v>4</v>
      </c>
      <c r="G15860" t="str">
        <f>""</f>
        <v/>
      </c>
    </row>
    <row r="15861" spans="1:7" x14ac:dyDescent="0.25">
      <c r="A15861" t="s">
        <v>8</v>
      </c>
      <c r="B15861" s="1" t="str">
        <f>"000152588 - RICHS PIZZA DOUGH &amp; ICING-SODX"</f>
        <v>000152588 - RICHS PIZZA DOUGH &amp; ICING-SODX</v>
      </c>
      <c r="C15861" t="s">
        <v>223</v>
      </c>
      <c r="D15861" s="1" t="str">
        <f t="shared" si="433"/>
        <v>PRG-1044103</v>
      </c>
      <c r="E15861" t="s">
        <v>48</v>
      </c>
      <c r="F15861" t="s">
        <v>4</v>
      </c>
      <c r="G15861" t="str">
        <f>""</f>
        <v/>
      </c>
    </row>
    <row r="15862" spans="1:7" x14ac:dyDescent="0.25">
      <c r="A15862" t="s">
        <v>8</v>
      </c>
      <c r="B15862" s="1" t="str">
        <f>"000153772 - RICHS PIZZA DOUGH &amp; ICING-SODX"</f>
        <v>000153772 - RICHS PIZZA DOUGH &amp; ICING-SODX</v>
      </c>
      <c r="C15862" t="s">
        <v>223</v>
      </c>
      <c r="D15862" s="1" t="str">
        <f t="shared" si="433"/>
        <v>PRG-1044103</v>
      </c>
      <c r="E15862" t="s">
        <v>48</v>
      </c>
      <c r="F15862" t="s">
        <v>4</v>
      </c>
      <c r="G15862" t="str">
        <f>""</f>
        <v/>
      </c>
    </row>
    <row r="15863" spans="1:7" x14ac:dyDescent="0.25">
      <c r="A15863" t="s">
        <v>8</v>
      </c>
      <c r="B15863" s="1" t="str">
        <f>"000160680 - RICHS DOUGH &amp; ICING-SODEXO"</f>
        <v>000160680 - RICHS DOUGH &amp; ICING-SODEXO</v>
      </c>
      <c r="C15863" t="s">
        <v>349</v>
      </c>
      <c r="D15863" s="1" t="str">
        <f t="shared" si="433"/>
        <v>PRG-1044103</v>
      </c>
      <c r="E15863" t="s">
        <v>48</v>
      </c>
      <c r="F15863" t="s">
        <v>4</v>
      </c>
      <c r="G15863" t="str">
        <f>""</f>
        <v/>
      </c>
    </row>
    <row r="15864" spans="1:7" x14ac:dyDescent="0.25">
      <c r="A15864" t="s">
        <v>8</v>
      </c>
      <c r="B15864" s="1" t="str">
        <f>"000176012 - RICHS PIZZA DOUGH &amp; ICING-SODX"</f>
        <v>000176012 - RICHS PIZZA DOUGH &amp; ICING-SODX</v>
      </c>
      <c r="C15864" t="s">
        <v>223</v>
      </c>
      <c r="D15864" s="1" t="str">
        <f t="shared" si="433"/>
        <v>PRG-1044103</v>
      </c>
      <c r="E15864" t="s">
        <v>48</v>
      </c>
      <c r="F15864" t="s">
        <v>4</v>
      </c>
      <c r="G15864" t="str">
        <f>""</f>
        <v/>
      </c>
    </row>
    <row r="15865" spans="1:7" x14ac:dyDescent="0.25">
      <c r="A15865" t="s">
        <v>8</v>
      </c>
      <c r="B15865" s="1" t="str">
        <f>"000179181 - RICHS PIZZA DOUGH &amp; ICING-SODX"</f>
        <v>000179181 - RICHS PIZZA DOUGH &amp; ICING-SODX</v>
      </c>
      <c r="C15865" t="s">
        <v>223</v>
      </c>
      <c r="D15865" s="1" t="str">
        <f t="shared" si="433"/>
        <v>PRG-1044103</v>
      </c>
      <c r="E15865" t="s">
        <v>48</v>
      </c>
      <c r="F15865" t="s">
        <v>4</v>
      </c>
      <c r="G15865" t="str">
        <f>""</f>
        <v/>
      </c>
    </row>
    <row r="15866" spans="1:7" x14ac:dyDescent="0.25">
      <c r="A15866" t="s">
        <v>8</v>
      </c>
      <c r="B15866" s="1" t="str">
        <f>"000182349 - RICHS PIZZA DOUGH &amp; ICING-SODX"</f>
        <v>000182349 - RICHS PIZZA DOUGH &amp; ICING-SODX</v>
      </c>
      <c r="C15866" t="s">
        <v>223</v>
      </c>
      <c r="D15866" s="1" t="str">
        <f t="shared" si="433"/>
        <v>PRG-1044103</v>
      </c>
      <c r="E15866" t="s">
        <v>48</v>
      </c>
      <c r="F15866" t="s">
        <v>4</v>
      </c>
      <c r="G15866" t="str">
        <f>""</f>
        <v/>
      </c>
    </row>
    <row r="15867" spans="1:7" x14ac:dyDescent="0.25">
      <c r="A15867" t="s">
        <v>8</v>
      </c>
      <c r="B15867" s="1" t="str">
        <f>"000184737 - RICHS DOUGH &amp; ICING-SODEXO"</f>
        <v>000184737 - RICHS DOUGH &amp; ICING-SODEXO</v>
      </c>
      <c r="C15867" t="s">
        <v>349</v>
      </c>
      <c r="D15867" s="1" t="str">
        <f t="shared" si="433"/>
        <v>PRG-1044103</v>
      </c>
      <c r="E15867" t="s">
        <v>48</v>
      </c>
      <c r="F15867" t="s">
        <v>4</v>
      </c>
      <c r="G15867" t="str">
        <f>""</f>
        <v/>
      </c>
    </row>
    <row r="15868" spans="1:7" x14ac:dyDescent="0.25">
      <c r="A15868" t="s">
        <v>8</v>
      </c>
      <c r="B15868" s="1" t="str">
        <f>"000189216 - RICHS DOUGH &amp; ICING-SODEXO"</f>
        <v>000189216 - RICHS DOUGH &amp; ICING-SODEXO</v>
      </c>
      <c r="C15868" t="s">
        <v>349</v>
      </c>
      <c r="D15868" s="1" t="str">
        <f t="shared" si="433"/>
        <v>PRG-1044103</v>
      </c>
      <c r="E15868" t="s">
        <v>48</v>
      </c>
      <c r="F15868" t="s">
        <v>4</v>
      </c>
      <c r="G15868" t="str">
        <f>""</f>
        <v/>
      </c>
    </row>
    <row r="15869" spans="1:7" x14ac:dyDescent="0.25">
      <c r="A15869" t="s">
        <v>8</v>
      </c>
      <c r="B15869" s="1" t="str">
        <f>"000218874 - RICHS PIZZA DOUGH &amp; ICING-SODX"</f>
        <v>000218874 - RICHS PIZZA DOUGH &amp; ICING-SODX</v>
      </c>
      <c r="C15869" t="s">
        <v>223</v>
      </c>
      <c r="D15869" s="1" t="str">
        <f t="shared" si="433"/>
        <v>PRG-1044103</v>
      </c>
      <c r="E15869" t="s">
        <v>48</v>
      </c>
      <c r="F15869" t="s">
        <v>4</v>
      </c>
      <c r="G15869" t="str">
        <f>""</f>
        <v/>
      </c>
    </row>
    <row r="15870" spans="1:7" x14ac:dyDescent="0.25">
      <c r="A15870" t="s">
        <v>8</v>
      </c>
      <c r="B15870" s="1" t="str">
        <f>"000252191 - RICHS DOUGH &amp; ICING-SODEXO"</f>
        <v>000252191 - RICHS DOUGH &amp; ICING-SODEXO</v>
      </c>
      <c r="C15870" t="s">
        <v>349</v>
      </c>
      <c r="D15870" s="1" t="str">
        <f t="shared" si="433"/>
        <v>PRG-1044103</v>
      </c>
      <c r="E15870" t="s">
        <v>48</v>
      </c>
      <c r="F15870" t="s">
        <v>4</v>
      </c>
      <c r="G15870" t="str">
        <f>""</f>
        <v/>
      </c>
    </row>
    <row r="15871" spans="1:7" x14ac:dyDescent="0.25">
      <c r="A15871" t="s">
        <v>8</v>
      </c>
      <c r="B15871" s="1" t="str">
        <f>"000252380 - RICHS PIZZA DOUGH &amp; ICING-SODX"</f>
        <v>000252380 - RICHS PIZZA DOUGH &amp; ICING-SODX</v>
      </c>
      <c r="C15871" t="s">
        <v>223</v>
      </c>
      <c r="D15871" s="1" t="str">
        <f t="shared" si="433"/>
        <v>PRG-1044103</v>
      </c>
      <c r="E15871" t="s">
        <v>48</v>
      </c>
      <c r="F15871" t="s">
        <v>4</v>
      </c>
      <c r="G15871" t="str">
        <f>""</f>
        <v/>
      </c>
    </row>
    <row r="15872" spans="1:7" x14ac:dyDescent="0.25">
      <c r="A15872" t="s">
        <v>8</v>
      </c>
      <c r="B15872" s="1" t="str">
        <f>"000254377 - RICHS PIZZA DOUGH &amp; ICING-SODX"</f>
        <v>000254377 - RICHS PIZZA DOUGH &amp; ICING-SODX</v>
      </c>
      <c r="C15872" t="s">
        <v>223</v>
      </c>
      <c r="D15872" s="1" t="str">
        <f t="shared" si="433"/>
        <v>PRG-1044103</v>
      </c>
      <c r="E15872" t="s">
        <v>48</v>
      </c>
      <c r="F15872" t="s">
        <v>4</v>
      </c>
      <c r="G15872" t="str">
        <f>""</f>
        <v/>
      </c>
    </row>
    <row r="15873" spans="1:7" x14ac:dyDescent="0.25">
      <c r="A15873" t="s">
        <v>8</v>
      </c>
      <c r="B15873" s="1" t="str">
        <f>"000256429 - RICHS PIZZA DOUGH &amp; ICING-SODX"</f>
        <v>000256429 - RICHS PIZZA DOUGH &amp; ICING-SODX</v>
      </c>
      <c r="C15873" t="s">
        <v>223</v>
      </c>
      <c r="D15873" s="1" t="str">
        <f t="shared" si="433"/>
        <v>PRG-1044103</v>
      </c>
      <c r="E15873" t="s">
        <v>48</v>
      </c>
      <c r="F15873" t="s">
        <v>4</v>
      </c>
      <c r="G15873" t="str">
        <f>""</f>
        <v/>
      </c>
    </row>
    <row r="15874" spans="1:7" x14ac:dyDescent="0.25">
      <c r="A15874" t="s">
        <v>8</v>
      </c>
      <c r="B15874" s="1" t="str">
        <f>"000260265 - RICHS TOPPINGS-SODEXO"</f>
        <v>000260265 - RICHS TOPPINGS-SODEXO</v>
      </c>
      <c r="C15874" t="s">
        <v>222</v>
      </c>
      <c r="D15874" s="1" t="str">
        <f t="shared" ref="D15874:D15905" si="434">"PRG-1044103"</f>
        <v>PRG-1044103</v>
      </c>
      <c r="E15874" t="s">
        <v>48</v>
      </c>
      <c r="F15874" t="s">
        <v>4</v>
      </c>
      <c r="G15874" t="str">
        <f>""</f>
        <v/>
      </c>
    </row>
    <row r="15875" spans="1:7" x14ac:dyDescent="0.25">
      <c r="A15875" t="s">
        <v>8</v>
      </c>
      <c r="B15875" s="1" t="str">
        <f>"000264836 - RICHS PIZZA DOUGH &amp; ICING-SODX"</f>
        <v>000264836 - RICHS PIZZA DOUGH &amp; ICING-SODX</v>
      </c>
      <c r="C15875" t="s">
        <v>223</v>
      </c>
      <c r="D15875" s="1" t="str">
        <f t="shared" si="434"/>
        <v>PRG-1044103</v>
      </c>
      <c r="E15875" t="s">
        <v>48</v>
      </c>
      <c r="F15875" t="s">
        <v>4</v>
      </c>
      <c r="G15875" t="str">
        <f>""</f>
        <v/>
      </c>
    </row>
    <row r="15876" spans="1:7" x14ac:dyDescent="0.25">
      <c r="A15876" t="s">
        <v>8</v>
      </c>
      <c r="B15876" s="1" t="str">
        <f>"000270259 - RICHS DOUGH &amp; ICING-SODEXO"</f>
        <v>000270259 - RICHS DOUGH &amp; ICING-SODEXO</v>
      </c>
      <c r="C15876" t="s">
        <v>349</v>
      </c>
      <c r="D15876" s="1" t="str">
        <f t="shared" si="434"/>
        <v>PRG-1044103</v>
      </c>
      <c r="E15876" t="s">
        <v>48</v>
      </c>
      <c r="F15876" t="s">
        <v>4</v>
      </c>
      <c r="G15876" t="str">
        <f>""</f>
        <v/>
      </c>
    </row>
    <row r="15877" spans="1:7" x14ac:dyDescent="0.25">
      <c r="A15877" t="s">
        <v>8</v>
      </c>
      <c r="B15877" s="1" t="str">
        <f>"000270326 - RICHS PIZZA DOUGH &amp; ICING-SODX"</f>
        <v>000270326 - RICHS PIZZA DOUGH &amp; ICING-SODX</v>
      </c>
      <c r="C15877" t="s">
        <v>223</v>
      </c>
      <c r="D15877" s="1" t="str">
        <f t="shared" si="434"/>
        <v>PRG-1044103</v>
      </c>
      <c r="E15877" t="s">
        <v>48</v>
      </c>
      <c r="F15877" t="s">
        <v>4</v>
      </c>
      <c r="G15877" t="str">
        <f>""</f>
        <v/>
      </c>
    </row>
    <row r="15878" spans="1:7" x14ac:dyDescent="0.25">
      <c r="A15878" t="s">
        <v>8</v>
      </c>
      <c r="B15878" s="1" t="str">
        <f>"000270973 - RICHS PIZZA DOUGH &amp; ICING-SODX"</f>
        <v>000270973 - RICHS PIZZA DOUGH &amp; ICING-SODX</v>
      </c>
      <c r="C15878" t="s">
        <v>223</v>
      </c>
      <c r="D15878" s="1" t="str">
        <f t="shared" si="434"/>
        <v>PRG-1044103</v>
      </c>
      <c r="E15878" t="s">
        <v>48</v>
      </c>
      <c r="F15878" t="s">
        <v>4</v>
      </c>
      <c r="G15878" t="str">
        <f>""</f>
        <v/>
      </c>
    </row>
    <row r="15879" spans="1:7" x14ac:dyDescent="0.25">
      <c r="A15879" t="s">
        <v>8</v>
      </c>
      <c r="B15879" s="1" t="str">
        <f>"000275285 - RICHS PIZZA DOUGH &amp; ICING-SODX"</f>
        <v>000275285 - RICHS PIZZA DOUGH &amp; ICING-SODX</v>
      </c>
      <c r="C15879" t="s">
        <v>223</v>
      </c>
      <c r="D15879" s="1" t="str">
        <f t="shared" si="434"/>
        <v>PRG-1044103</v>
      </c>
      <c r="E15879" t="s">
        <v>48</v>
      </c>
      <c r="F15879" t="s">
        <v>4</v>
      </c>
      <c r="G15879" t="str">
        <f>""</f>
        <v/>
      </c>
    </row>
    <row r="15880" spans="1:7" x14ac:dyDescent="0.25">
      <c r="A15880" t="s">
        <v>8</v>
      </c>
      <c r="B15880" s="1" t="str">
        <f>"000276967 - RICHS PIZZA DOUGH &amp; ICING-SODX"</f>
        <v>000276967 - RICHS PIZZA DOUGH &amp; ICING-SODX</v>
      </c>
      <c r="C15880" t="s">
        <v>223</v>
      </c>
      <c r="D15880" s="1" t="str">
        <f t="shared" si="434"/>
        <v>PRG-1044103</v>
      </c>
      <c r="E15880" t="s">
        <v>48</v>
      </c>
      <c r="F15880" t="s">
        <v>4</v>
      </c>
      <c r="G15880" t="str">
        <f>""</f>
        <v/>
      </c>
    </row>
    <row r="15881" spans="1:7" x14ac:dyDescent="0.25">
      <c r="A15881" t="s">
        <v>8</v>
      </c>
      <c r="B15881" s="1" t="str">
        <f>"000277837 - RICHS DOUGH &amp; ICING-SODEXO"</f>
        <v>000277837 - RICHS DOUGH &amp; ICING-SODEXO</v>
      </c>
      <c r="C15881" t="s">
        <v>349</v>
      </c>
      <c r="D15881" s="1" t="str">
        <f t="shared" si="434"/>
        <v>PRG-1044103</v>
      </c>
      <c r="E15881" t="s">
        <v>48</v>
      </c>
      <c r="F15881" t="s">
        <v>4</v>
      </c>
      <c r="G15881" t="str">
        <f>""</f>
        <v/>
      </c>
    </row>
    <row r="15882" spans="1:7" x14ac:dyDescent="0.25">
      <c r="A15882" t="s">
        <v>8</v>
      </c>
      <c r="B15882" s="1" t="str">
        <f>"000281335 - RICHS DOUGH &amp; ICING-SODEXO"</f>
        <v>000281335 - RICHS DOUGH &amp; ICING-SODEXO</v>
      </c>
      <c r="C15882" t="s">
        <v>349</v>
      </c>
      <c r="D15882" s="1" t="str">
        <f t="shared" si="434"/>
        <v>PRG-1044103</v>
      </c>
      <c r="E15882" t="s">
        <v>48</v>
      </c>
      <c r="F15882" t="s">
        <v>4</v>
      </c>
      <c r="G15882" t="str">
        <f>""</f>
        <v/>
      </c>
    </row>
    <row r="15883" spans="1:7" x14ac:dyDescent="0.25">
      <c r="A15883" t="s">
        <v>8</v>
      </c>
      <c r="B15883" s="1" t="str">
        <f>"000281849 - RICHS PIZZA DOUGH &amp; ICING-SODX"</f>
        <v>000281849 - RICHS PIZZA DOUGH &amp; ICING-SODX</v>
      </c>
      <c r="C15883" t="s">
        <v>223</v>
      </c>
      <c r="D15883" s="1" t="str">
        <f t="shared" si="434"/>
        <v>PRG-1044103</v>
      </c>
      <c r="E15883" t="s">
        <v>48</v>
      </c>
      <c r="F15883" t="s">
        <v>4</v>
      </c>
      <c r="G15883" t="str">
        <f>""</f>
        <v/>
      </c>
    </row>
    <row r="15884" spans="1:7" x14ac:dyDescent="0.25">
      <c r="A15884" t="s">
        <v>8</v>
      </c>
      <c r="B15884" s="1" t="str">
        <f>"000282034 - RICHS PIZZA DOUGH &amp; ICING-SODX"</f>
        <v>000282034 - RICHS PIZZA DOUGH &amp; ICING-SODX</v>
      </c>
      <c r="C15884" t="s">
        <v>223</v>
      </c>
      <c r="D15884" s="1" t="str">
        <f t="shared" si="434"/>
        <v>PRG-1044103</v>
      </c>
      <c r="E15884" t="s">
        <v>48</v>
      </c>
      <c r="F15884" t="s">
        <v>4</v>
      </c>
      <c r="G15884" t="str">
        <f>""</f>
        <v/>
      </c>
    </row>
    <row r="15885" spans="1:7" x14ac:dyDescent="0.25">
      <c r="A15885" t="s">
        <v>8</v>
      </c>
      <c r="B15885" s="1" t="str">
        <f>"000282064 - RICHS PIZZA DOUGH &amp; ICING-SODX"</f>
        <v>000282064 - RICHS PIZZA DOUGH &amp; ICING-SODX</v>
      </c>
      <c r="C15885" t="s">
        <v>223</v>
      </c>
      <c r="D15885" s="1" t="str">
        <f t="shared" si="434"/>
        <v>PRG-1044103</v>
      </c>
      <c r="E15885" t="s">
        <v>48</v>
      </c>
      <c r="F15885" t="s">
        <v>4</v>
      </c>
      <c r="G15885" t="str">
        <f>""</f>
        <v/>
      </c>
    </row>
    <row r="15886" spans="1:7" x14ac:dyDescent="0.25">
      <c r="A15886" t="s">
        <v>8</v>
      </c>
      <c r="B15886" s="1" t="str">
        <f>"000282570 - RICHS DOUGH&amp;ICING-SODEXO"</f>
        <v>000282570 - RICHS DOUGH&amp;ICING-SODEXO</v>
      </c>
      <c r="C15886" t="s">
        <v>504</v>
      </c>
      <c r="D15886" s="1" t="str">
        <f t="shared" si="434"/>
        <v>PRG-1044103</v>
      </c>
      <c r="E15886" t="s">
        <v>48</v>
      </c>
      <c r="F15886" t="s">
        <v>4</v>
      </c>
      <c r="G15886" t="str">
        <f>""</f>
        <v/>
      </c>
    </row>
    <row r="15887" spans="1:7" x14ac:dyDescent="0.25">
      <c r="A15887" t="s">
        <v>8</v>
      </c>
      <c r="B15887" s="1" t="str">
        <f>"000282777 - RICHS DOUGH &amp; ICING-SODEXO"</f>
        <v>000282777 - RICHS DOUGH &amp; ICING-SODEXO</v>
      </c>
      <c r="C15887" t="s">
        <v>349</v>
      </c>
      <c r="D15887" s="1" t="str">
        <f t="shared" si="434"/>
        <v>PRG-1044103</v>
      </c>
      <c r="E15887" t="s">
        <v>48</v>
      </c>
      <c r="F15887" t="s">
        <v>4</v>
      </c>
      <c r="G15887" t="str">
        <f>""</f>
        <v/>
      </c>
    </row>
    <row r="15888" spans="1:7" x14ac:dyDescent="0.25">
      <c r="A15888" t="s">
        <v>8</v>
      </c>
      <c r="B15888" s="1" t="str">
        <f>"000288102 - RICHS DOUGH&amp;ICING-SODEXO"</f>
        <v>000288102 - RICHS DOUGH&amp;ICING-SODEXO</v>
      </c>
      <c r="C15888" t="s">
        <v>504</v>
      </c>
      <c r="D15888" s="1" t="str">
        <f t="shared" si="434"/>
        <v>PRG-1044103</v>
      </c>
      <c r="E15888" t="s">
        <v>48</v>
      </c>
      <c r="F15888" t="s">
        <v>4</v>
      </c>
      <c r="G15888" t="str">
        <f>""</f>
        <v/>
      </c>
    </row>
    <row r="15889" spans="1:7" x14ac:dyDescent="0.25">
      <c r="A15889" t="s">
        <v>8</v>
      </c>
      <c r="B15889" s="1" t="str">
        <f>"000288434 - RICHS DOUGH &amp; ICING-SODEXO"</f>
        <v>000288434 - RICHS DOUGH &amp; ICING-SODEXO</v>
      </c>
      <c r="C15889" t="s">
        <v>349</v>
      </c>
      <c r="D15889" s="1" t="str">
        <f t="shared" si="434"/>
        <v>PRG-1044103</v>
      </c>
      <c r="E15889" t="s">
        <v>48</v>
      </c>
      <c r="F15889" t="s">
        <v>4</v>
      </c>
      <c r="G15889" t="str">
        <f>""</f>
        <v/>
      </c>
    </row>
    <row r="15890" spans="1:7" x14ac:dyDescent="0.25">
      <c r="A15890" t="s">
        <v>8</v>
      </c>
      <c r="B15890" s="1" t="str">
        <f>"000290786 - RICHS DOUGH &amp; ICING-SODEXO"</f>
        <v>000290786 - RICHS DOUGH &amp; ICING-SODEXO</v>
      </c>
      <c r="C15890" t="s">
        <v>349</v>
      </c>
      <c r="D15890" s="1" t="str">
        <f t="shared" si="434"/>
        <v>PRG-1044103</v>
      </c>
      <c r="E15890" t="s">
        <v>48</v>
      </c>
      <c r="F15890" t="s">
        <v>4</v>
      </c>
      <c r="G15890" t="str">
        <f>""</f>
        <v/>
      </c>
    </row>
    <row r="15891" spans="1:7" x14ac:dyDescent="0.25">
      <c r="A15891" t="s">
        <v>8</v>
      </c>
      <c r="B15891" s="1" t="str">
        <f>"000291021 - RICHS PIZZA DOUGH &amp; ICING-SODX"</f>
        <v>000291021 - RICHS PIZZA DOUGH &amp; ICING-SODX</v>
      </c>
      <c r="C15891" t="s">
        <v>223</v>
      </c>
      <c r="D15891" s="1" t="str">
        <f t="shared" si="434"/>
        <v>PRG-1044103</v>
      </c>
      <c r="E15891" t="s">
        <v>48</v>
      </c>
      <c r="F15891" t="s">
        <v>4</v>
      </c>
      <c r="G15891" t="str">
        <f>""</f>
        <v/>
      </c>
    </row>
    <row r="15892" spans="1:7" x14ac:dyDescent="0.25">
      <c r="A15892" t="s">
        <v>8</v>
      </c>
      <c r="B15892" s="1" t="str">
        <f>"000291648 - RICHS PIZZA DOUGH &amp; ICING-SODX"</f>
        <v>000291648 - RICHS PIZZA DOUGH &amp; ICING-SODX</v>
      </c>
      <c r="C15892" t="s">
        <v>223</v>
      </c>
      <c r="D15892" s="1" t="str">
        <f t="shared" si="434"/>
        <v>PRG-1044103</v>
      </c>
      <c r="E15892" t="s">
        <v>48</v>
      </c>
      <c r="F15892" t="s">
        <v>4</v>
      </c>
      <c r="G15892" t="str">
        <f>""</f>
        <v/>
      </c>
    </row>
    <row r="15893" spans="1:7" x14ac:dyDescent="0.25">
      <c r="A15893" t="s">
        <v>8</v>
      </c>
      <c r="B15893" s="1" t="str">
        <f>"000293100 - RICHS PIZZA DOUGH &amp; ICING-SODX"</f>
        <v>000293100 - RICHS PIZZA DOUGH &amp; ICING-SODX</v>
      </c>
      <c r="C15893" t="s">
        <v>223</v>
      </c>
      <c r="D15893" s="1" t="str">
        <f t="shared" si="434"/>
        <v>PRG-1044103</v>
      </c>
      <c r="E15893" t="s">
        <v>48</v>
      </c>
      <c r="F15893" t="s">
        <v>4</v>
      </c>
      <c r="G15893" t="str">
        <f>""</f>
        <v/>
      </c>
    </row>
    <row r="15894" spans="1:7" x14ac:dyDescent="0.25">
      <c r="A15894" t="s">
        <v>8</v>
      </c>
      <c r="B15894" s="1" t="str">
        <f>"000296574 - RICHS PIZZA DOUGH &amp; ICING-SODX"</f>
        <v>000296574 - RICHS PIZZA DOUGH &amp; ICING-SODX</v>
      </c>
      <c r="C15894" t="s">
        <v>223</v>
      </c>
      <c r="D15894" s="1" t="str">
        <f t="shared" si="434"/>
        <v>PRG-1044103</v>
      </c>
      <c r="E15894" t="s">
        <v>48</v>
      </c>
      <c r="F15894" t="s">
        <v>4</v>
      </c>
      <c r="G15894" t="str">
        <f>""</f>
        <v/>
      </c>
    </row>
    <row r="15895" spans="1:7" x14ac:dyDescent="0.25">
      <c r="A15895" t="s">
        <v>8</v>
      </c>
      <c r="B15895" s="1" t="str">
        <f>"000297242 - RICHS PIZZA DOUGH &amp; ICING-SODX"</f>
        <v>000297242 - RICHS PIZZA DOUGH &amp; ICING-SODX</v>
      </c>
      <c r="C15895" t="s">
        <v>223</v>
      </c>
      <c r="D15895" s="1" t="str">
        <f t="shared" si="434"/>
        <v>PRG-1044103</v>
      </c>
      <c r="E15895" t="s">
        <v>48</v>
      </c>
      <c r="F15895" t="s">
        <v>4</v>
      </c>
      <c r="G15895" t="str">
        <f>""</f>
        <v/>
      </c>
    </row>
    <row r="15896" spans="1:7" x14ac:dyDescent="0.25">
      <c r="A15896" t="s">
        <v>8</v>
      </c>
      <c r="B15896" s="1" t="str">
        <f>"000298940 - RICHS DOUGH &amp; ICING-SODEXO"</f>
        <v>000298940 - RICHS DOUGH &amp; ICING-SODEXO</v>
      </c>
      <c r="C15896" t="s">
        <v>349</v>
      </c>
      <c r="D15896" s="1" t="str">
        <f t="shared" si="434"/>
        <v>PRG-1044103</v>
      </c>
      <c r="E15896" t="s">
        <v>48</v>
      </c>
      <c r="F15896" t="s">
        <v>4</v>
      </c>
      <c r="G15896" t="str">
        <f>""</f>
        <v/>
      </c>
    </row>
    <row r="15897" spans="1:7" x14ac:dyDescent="0.25">
      <c r="A15897" t="s">
        <v>8</v>
      </c>
      <c r="B15897" s="1" t="str">
        <f>"000300037 - RICHS PIZZA DOUGH &amp; ICING-SODX"</f>
        <v>000300037 - RICHS PIZZA DOUGH &amp; ICING-SODX</v>
      </c>
      <c r="C15897" t="s">
        <v>223</v>
      </c>
      <c r="D15897" s="1" t="str">
        <f t="shared" si="434"/>
        <v>PRG-1044103</v>
      </c>
      <c r="E15897" t="s">
        <v>48</v>
      </c>
      <c r="F15897" t="s">
        <v>4</v>
      </c>
      <c r="G15897" t="str">
        <f>""</f>
        <v/>
      </c>
    </row>
    <row r="15898" spans="1:7" x14ac:dyDescent="0.25">
      <c r="A15898" t="s">
        <v>8</v>
      </c>
      <c r="B15898" s="1" t="str">
        <f>"000300508 - RICHS DOUGH &amp; ICING-SODEXO"</f>
        <v>000300508 - RICHS DOUGH &amp; ICING-SODEXO</v>
      </c>
      <c r="C15898" t="s">
        <v>349</v>
      </c>
      <c r="D15898" s="1" t="str">
        <f t="shared" si="434"/>
        <v>PRG-1044103</v>
      </c>
      <c r="E15898" t="s">
        <v>48</v>
      </c>
      <c r="F15898" t="s">
        <v>4</v>
      </c>
      <c r="G15898" t="str">
        <f>""</f>
        <v/>
      </c>
    </row>
    <row r="15899" spans="1:7" x14ac:dyDescent="0.25">
      <c r="A15899" t="s">
        <v>8</v>
      </c>
      <c r="B15899" s="1" t="str">
        <f>"000302205 - RICHS PIZZA DOUGH &amp; ICING-SODX"</f>
        <v>000302205 - RICHS PIZZA DOUGH &amp; ICING-SODX</v>
      </c>
      <c r="C15899" t="s">
        <v>223</v>
      </c>
      <c r="D15899" s="1" t="str">
        <f t="shared" si="434"/>
        <v>PRG-1044103</v>
      </c>
      <c r="E15899" t="s">
        <v>48</v>
      </c>
      <c r="F15899" t="s">
        <v>4</v>
      </c>
      <c r="G15899" t="str">
        <f>""</f>
        <v/>
      </c>
    </row>
    <row r="15900" spans="1:7" x14ac:dyDescent="0.25">
      <c r="A15900" t="s">
        <v>8</v>
      </c>
      <c r="B15900" s="1" t="str">
        <f>"000302303 - RICHS DOUGH &amp; ICING-SODEXO"</f>
        <v>000302303 - RICHS DOUGH &amp; ICING-SODEXO</v>
      </c>
      <c r="C15900" t="s">
        <v>349</v>
      </c>
      <c r="D15900" s="1" t="str">
        <f t="shared" si="434"/>
        <v>PRG-1044103</v>
      </c>
      <c r="E15900" t="s">
        <v>48</v>
      </c>
      <c r="F15900" t="s">
        <v>4</v>
      </c>
      <c r="G15900" t="str">
        <f>""</f>
        <v/>
      </c>
    </row>
    <row r="15901" spans="1:7" x14ac:dyDescent="0.25">
      <c r="A15901" t="s">
        <v>8</v>
      </c>
      <c r="B15901" s="1" t="str">
        <f>"000302649 - RICHS PIZZA DOUGH &amp; ICING-SODX"</f>
        <v>000302649 - RICHS PIZZA DOUGH &amp; ICING-SODX</v>
      </c>
      <c r="C15901" t="s">
        <v>223</v>
      </c>
      <c r="D15901" s="1" t="str">
        <f t="shared" si="434"/>
        <v>PRG-1044103</v>
      </c>
      <c r="E15901" t="s">
        <v>48</v>
      </c>
      <c r="F15901" t="s">
        <v>4</v>
      </c>
      <c r="G15901" t="str">
        <f>""</f>
        <v/>
      </c>
    </row>
    <row r="15902" spans="1:7" x14ac:dyDescent="0.25">
      <c r="A15902" t="s">
        <v>8</v>
      </c>
      <c r="B15902" s="1" t="str">
        <f>"000302677 - RICHS PIZZA DOUGH &amp; ICING-SODX"</f>
        <v>000302677 - RICHS PIZZA DOUGH &amp; ICING-SODX</v>
      </c>
      <c r="C15902" t="s">
        <v>223</v>
      </c>
      <c r="D15902" s="1" t="str">
        <f t="shared" si="434"/>
        <v>PRG-1044103</v>
      </c>
      <c r="E15902" t="s">
        <v>48</v>
      </c>
      <c r="F15902" t="s">
        <v>4</v>
      </c>
      <c r="G15902" t="str">
        <f>""</f>
        <v/>
      </c>
    </row>
    <row r="15903" spans="1:7" x14ac:dyDescent="0.25">
      <c r="A15903" t="s">
        <v>8</v>
      </c>
      <c r="B15903" s="1" t="str">
        <f>"000302860 - RICHS PIZZA DOUGH &amp; ICING-SODX"</f>
        <v>000302860 - RICHS PIZZA DOUGH &amp; ICING-SODX</v>
      </c>
      <c r="C15903" t="s">
        <v>223</v>
      </c>
      <c r="D15903" s="1" t="str">
        <f t="shared" si="434"/>
        <v>PRG-1044103</v>
      </c>
      <c r="E15903" t="s">
        <v>48</v>
      </c>
      <c r="F15903" t="s">
        <v>4</v>
      </c>
      <c r="G15903" t="str">
        <f>""</f>
        <v/>
      </c>
    </row>
    <row r="15904" spans="1:7" x14ac:dyDescent="0.25">
      <c r="A15904" t="s">
        <v>8</v>
      </c>
      <c r="B15904" s="1" t="str">
        <f>"000303409 - RICHS DOUGH &amp; ICING-SODEXO"</f>
        <v>000303409 - RICHS DOUGH &amp; ICING-SODEXO</v>
      </c>
      <c r="C15904" t="s">
        <v>349</v>
      </c>
      <c r="D15904" s="1" t="str">
        <f t="shared" si="434"/>
        <v>PRG-1044103</v>
      </c>
      <c r="E15904" t="s">
        <v>48</v>
      </c>
      <c r="F15904" t="s">
        <v>4</v>
      </c>
      <c r="G15904" t="str">
        <f>""</f>
        <v/>
      </c>
    </row>
    <row r="15905" spans="1:7" x14ac:dyDescent="0.25">
      <c r="A15905" t="s">
        <v>8</v>
      </c>
      <c r="B15905" s="1" t="str">
        <f>"000303735 - RICHS PIZZA DOUGH &amp; ICING-SODX"</f>
        <v>000303735 - RICHS PIZZA DOUGH &amp; ICING-SODX</v>
      </c>
      <c r="C15905" t="s">
        <v>223</v>
      </c>
      <c r="D15905" s="1" t="str">
        <f t="shared" si="434"/>
        <v>PRG-1044103</v>
      </c>
      <c r="E15905" t="s">
        <v>48</v>
      </c>
      <c r="F15905" t="s">
        <v>4</v>
      </c>
      <c r="G15905" t="str">
        <f>""</f>
        <v/>
      </c>
    </row>
    <row r="15906" spans="1:7" x14ac:dyDescent="0.25">
      <c r="A15906" t="s">
        <v>8</v>
      </c>
      <c r="B15906" s="1" t="str">
        <f>"000306099 - RICHS DOUGH &amp; ICING-SODEXO"</f>
        <v>000306099 - RICHS DOUGH &amp; ICING-SODEXO</v>
      </c>
      <c r="C15906" t="s">
        <v>349</v>
      </c>
      <c r="D15906" s="1" t="str">
        <f t="shared" ref="D15906:D15937" si="435">"PRG-1044103"</f>
        <v>PRG-1044103</v>
      </c>
      <c r="E15906" t="s">
        <v>48</v>
      </c>
      <c r="F15906" t="s">
        <v>4</v>
      </c>
      <c r="G15906" t="str">
        <f>""</f>
        <v/>
      </c>
    </row>
    <row r="15907" spans="1:7" x14ac:dyDescent="0.25">
      <c r="A15907" t="s">
        <v>8</v>
      </c>
      <c r="B15907" s="1" t="str">
        <f>"000306448 - RICHS PIZZA DOUGH &amp; ICING-SODX"</f>
        <v>000306448 - RICHS PIZZA DOUGH &amp; ICING-SODX</v>
      </c>
      <c r="C15907" t="s">
        <v>223</v>
      </c>
      <c r="D15907" s="1" t="str">
        <f t="shared" si="435"/>
        <v>PRG-1044103</v>
      </c>
      <c r="E15907" t="s">
        <v>48</v>
      </c>
      <c r="F15907" t="s">
        <v>4</v>
      </c>
      <c r="G15907" t="str">
        <f>""</f>
        <v/>
      </c>
    </row>
    <row r="15908" spans="1:7" x14ac:dyDescent="0.25">
      <c r="A15908" t="s">
        <v>8</v>
      </c>
      <c r="B15908" s="1" t="str">
        <f>"000306835 - RICHS PIZZA DOUGH &amp; ICING-SODX"</f>
        <v>000306835 - RICHS PIZZA DOUGH &amp; ICING-SODX</v>
      </c>
      <c r="C15908" t="s">
        <v>223</v>
      </c>
      <c r="D15908" s="1" t="str">
        <f t="shared" si="435"/>
        <v>PRG-1044103</v>
      </c>
      <c r="E15908" t="s">
        <v>48</v>
      </c>
      <c r="F15908" t="s">
        <v>4</v>
      </c>
      <c r="G15908" t="str">
        <f>""</f>
        <v/>
      </c>
    </row>
    <row r="15909" spans="1:7" x14ac:dyDescent="0.25">
      <c r="A15909" t="s">
        <v>8</v>
      </c>
      <c r="B15909" s="1" t="str">
        <f>"000308800 - RICHS PIZZA DOUGH &amp; ICING-SODX"</f>
        <v>000308800 - RICHS PIZZA DOUGH &amp; ICING-SODX</v>
      </c>
      <c r="C15909" t="s">
        <v>223</v>
      </c>
      <c r="D15909" s="1" t="str">
        <f t="shared" si="435"/>
        <v>PRG-1044103</v>
      </c>
      <c r="E15909" t="s">
        <v>48</v>
      </c>
      <c r="F15909" t="s">
        <v>4</v>
      </c>
      <c r="G15909" t="str">
        <f>""</f>
        <v/>
      </c>
    </row>
    <row r="15910" spans="1:7" x14ac:dyDescent="0.25">
      <c r="A15910" t="s">
        <v>8</v>
      </c>
      <c r="B15910" s="1" t="str">
        <f>"000309894 - RICHS DOUGH &amp; ICING-SODEXO"</f>
        <v>000309894 - RICHS DOUGH &amp; ICING-SODEXO</v>
      </c>
      <c r="C15910" t="s">
        <v>349</v>
      </c>
      <c r="D15910" s="1" t="str">
        <f t="shared" si="435"/>
        <v>PRG-1044103</v>
      </c>
      <c r="E15910" t="s">
        <v>48</v>
      </c>
      <c r="F15910" t="s">
        <v>4</v>
      </c>
      <c r="G15910" t="str">
        <f>""</f>
        <v/>
      </c>
    </row>
    <row r="15911" spans="1:7" x14ac:dyDescent="0.25">
      <c r="A15911" t="s">
        <v>8</v>
      </c>
      <c r="B15911" s="1" t="str">
        <f>"000311017 - RICHS DOUGH &amp; ICING-SODEXO"</f>
        <v>000311017 - RICHS DOUGH &amp; ICING-SODEXO</v>
      </c>
      <c r="C15911" t="s">
        <v>349</v>
      </c>
      <c r="D15911" s="1" t="str">
        <f t="shared" si="435"/>
        <v>PRG-1044103</v>
      </c>
      <c r="E15911" t="s">
        <v>48</v>
      </c>
      <c r="F15911" t="s">
        <v>4</v>
      </c>
      <c r="G15911" t="str">
        <f>""</f>
        <v/>
      </c>
    </row>
    <row r="15912" spans="1:7" x14ac:dyDescent="0.25">
      <c r="A15912" t="s">
        <v>8</v>
      </c>
      <c r="B15912" s="1" t="str">
        <f>"000311414 - RICHS DOUGH &amp; ICING-SODEXO"</f>
        <v>000311414 - RICHS DOUGH &amp; ICING-SODEXO</v>
      </c>
      <c r="C15912" t="s">
        <v>349</v>
      </c>
      <c r="D15912" s="1" t="str">
        <f t="shared" si="435"/>
        <v>PRG-1044103</v>
      </c>
      <c r="E15912" t="s">
        <v>48</v>
      </c>
      <c r="F15912" t="s">
        <v>4</v>
      </c>
      <c r="G15912" t="str">
        <f>""</f>
        <v/>
      </c>
    </row>
    <row r="15913" spans="1:7" x14ac:dyDescent="0.25">
      <c r="A15913" t="s">
        <v>8</v>
      </c>
      <c r="B15913" s="1" t="str">
        <f>"000312320 - RICHS DOUGH &amp; ICING-SODEXO"</f>
        <v>000312320 - RICHS DOUGH &amp; ICING-SODEXO</v>
      </c>
      <c r="C15913" t="s">
        <v>349</v>
      </c>
      <c r="D15913" s="1" t="str">
        <f t="shared" si="435"/>
        <v>PRG-1044103</v>
      </c>
      <c r="E15913" t="s">
        <v>48</v>
      </c>
      <c r="F15913" t="s">
        <v>4</v>
      </c>
      <c r="G15913" t="str">
        <f>""</f>
        <v/>
      </c>
    </row>
    <row r="15914" spans="1:7" x14ac:dyDescent="0.25">
      <c r="A15914" t="s">
        <v>8</v>
      </c>
      <c r="B15914" s="1" t="str">
        <f>"000312503 - RICHS DOUGH&amp;ICING-SODEXO"</f>
        <v>000312503 - RICHS DOUGH&amp;ICING-SODEXO</v>
      </c>
      <c r="C15914" t="s">
        <v>504</v>
      </c>
      <c r="D15914" s="1" t="str">
        <f t="shared" si="435"/>
        <v>PRG-1044103</v>
      </c>
      <c r="E15914" t="s">
        <v>48</v>
      </c>
      <c r="F15914" t="s">
        <v>4</v>
      </c>
      <c r="G15914" t="str">
        <f>""</f>
        <v/>
      </c>
    </row>
    <row r="15915" spans="1:7" x14ac:dyDescent="0.25">
      <c r="A15915" t="s">
        <v>8</v>
      </c>
      <c r="B15915" s="1" t="str">
        <f>"000314519 - RICHS DOUGH &amp; ICING-SODEXO"</f>
        <v>000314519 - RICHS DOUGH &amp; ICING-SODEXO</v>
      </c>
      <c r="C15915" t="s">
        <v>349</v>
      </c>
      <c r="D15915" s="1" t="str">
        <f t="shared" si="435"/>
        <v>PRG-1044103</v>
      </c>
      <c r="E15915" t="s">
        <v>48</v>
      </c>
      <c r="F15915" t="s">
        <v>4</v>
      </c>
      <c r="G15915" t="str">
        <f>""</f>
        <v/>
      </c>
    </row>
    <row r="15916" spans="1:7" x14ac:dyDescent="0.25">
      <c r="A15916" t="s">
        <v>8</v>
      </c>
      <c r="B15916" s="1" t="str">
        <f>"000315364 - RICHS DOUGH &amp; ICING-SODEXO"</f>
        <v>000315364 - RICHS DOUGH &amp; ICING-SODEXO</v>
      </c>
      <c r="C15916" t="s">
        <v>349</v>
      </c>
      <c r="D15916" s="1" t="str">
        <f t="shared" si="435"/>
        <v>PRG-1044103</v>
      </c>
      <c r="E15916" t="s">
        <v>48</v>
      </c>
      <c r="F15916" t="s">
        <v>4</v>
      </c>
      <c r="G15916" t="str">
        <f>""</f>
        <v/>
      </c>
    </row>
    <row r="15917" spans="1:7" x14ac:dyDescent="0.25">
      <c r="A15917" t="s">
        <v>8</v>
      </c>
      <c r="B15917" s="1" t="str">
        <f>"000316221 - RICHS DOUGH &amp; ICING-SODEXO"</f>
        <v>000316221 - RICHS DOUGH &amp; ICING-SODEXO</v>
      </c>
      <c r="C15917" t="s">
        <v>349</v>
      </c>
      <c r="D15917" s="1" t="str">
        <f t="shared" si="435"/>
        <v>PRG-1044103</v>
      </c>
      <c r="E15917" t="s">
        <v>48</v>
      </c>
      <c r="F15917" t="s">
        <v>4</v>
      </c>
      <c r="G15917" t="str">
        <f>""</f>
        <v/>
      </c>
    </row>
    <row r="15918" spans="1:7" x14ac:dyDescent="0.25">
      <c r="A15918" t="s">
        <v>8</v>
      </c>
      <c r="B15918" s="1" t="str">
        <f>"000319454 - RICHS DOUGH&amp;ICING-SODEXO"</f>
        <v>000319454 - RICHS DOUGH&amp;ICING-SODEXO</v>
      </c>
      <c r="C15918" t="s">
        <v>504</v>
      </c>
      <c r="D15918" s="1" t="str">
        <f t="shared" si="435"/>
        <v>PRG-1044103</v>
      </c>
      <c r="E15918" t="s">
        <v>48</v>
      </c>
      <c r="F15918" t="s">
        <v>4</v>
      </c>
      <c r="G15918" t="str">
        <f>""</f>
        <v/>
      </c>
    </row>
    <row r="15919" spans="1:7" x14ac:dyDescent="0.25">
      <c r="A15919" t="s">
        <v>8</v>
      </c>
      <c r="B15919" s="1" t="str">
        <f>"000321428 - RICHS DOUGH&amp;ICING-SODEXO"</f>
        <v>000321428 - RICHS DOUGH&amp;ICING-SODEXO</v>
      </c>
      <c r="C15919" t="s">
        <v>504</v>
      </c>
      <c r="D15919" s="1" t="str">
        <f t="shared" si="435"/>
        <v>PRG-1044103</v>
      </c>
      <c r="E15919" t="s">
        <v>48</v>
      </c>
      <c r="F15919" t="s">
        <v>4</v>
      </c>
      <c r="G15919" t="str">
        <f>""</f>
        <v/>
      </c>
    </row>
    <row r="15920" spans="1:7" x14ac:dyDescent="0.25">
      <c r="A15920" t="s">
        <v>8</v>
      </c>
      <c r="B15920" s="1" t="str">
        <f>"000321565 - RICHS DOUGH&amp;ICING-SODEXO"</f>
        <v>000321565 - RICHS DOUGH&amp;ICING-SODEXO</v>
      </c>
      <c r="C15920" t="s">
        <v>504</v>
      </c>
      <c r="D15920" s="1" t="str">
        <f t="shared" si="435"/>
        <v>PRG-1044103</v>
      </c>
      <c r="E15920" t="s">
        <v>48</v>
      </c>
      <c r="F15920" t="s">
        <v>4</v>
      </c>
      <c r="G15920" t="str">
        <f>""</f>
        <v/>
      </c>
    </row>
    <row r="15921" spans="1:7" x14ac:dyDescent="0.25">
      <c r="A15921" t="s">
        <v>8</v>
      </c>
      <c r="B15921" s="1" t="str">
        <f>"000322405 - RICHS PIZZA DOUGH &amp; ICING-SODX"</f>
        <v>000322405 - RICHS PIZZA DOUGH &amp; ICING-SODX</v>
      </c>
      <c r="C15921" t="s">
        <v>223</v>
      </c>
      <c r="D15921" s="1" t="str">
        <f t="shared" si="435"/>
        <v>PRG-1044103</v>
      </c>
      <c r="E15921" t="s">
        <v>48</v>
      </c>
      <c r="F15921" t="s">
        <v>4</v>
      </c>
      <c r="G15921" t="str">
        <f>""</f>
        <v/>
      </c>
    </row>
    <row r="15922" spans="1:7" x14ac:dyDescent="0.25">
      <c r="A15922" t="s">
        <v>8</v>
      </c>
      <c r="B15922" s="1" t="str">
        <f>"000330229 - RICHS DOUGH &amp; ICING-SODEXO"</f>
        <v>000330229 - RICHS DOUGH &amp; ICING-SODEXO</v>
      </c>
      <c r="C15922" t="s">
        <v>349</v>
      </c>
      <c r="D15922" s="1" t="str">
        <f t="shared" si="435"/>
        <v>PRG-1044103</v>
      </c>
      <c r="E15922" t="s">
        <v>48</v>
      </c>
      <c r="F15922" t="s">
        <v>4</v>
      </c>
      <c r="G15922" t="str">
        <f>""</f>
        <v/>
      </c>
    </row>
    <row r="15923" spans="1:7" x14ac:dyDescent="0.25">
      <c r="A15923" t="s">
        <v>8</v>
      </c>
      <c r="B15923" s="1" t="str">
        <f>"000331077 - RICHS PIZZA DOUGH &amp; ICING-SODX"</f>
        <v>000331077 - RICHS PIZZA DOUGH &amp; ICING-SODX</v>
      </c>
      <c r="C15923" t="s">
        <v>223</v>
      </c>
      <c r="D15923" s="1" t="str">
        <f t="shared" si="435"/>
        <v>PRG-1044103</v>
      </c>
      <c r="E15923" t="s">
        <v>48</v>
      </c>
      <c r="F15923" t="s">
        <v>4</v>
      </c>
      <c r="G15923" t="str">
        <f>""</f>
        <v/>
      </c>
    </row>
    <row r="15924" spans="1:7" x14ac:dyDescent="0.25">
      <c r="A15924" t="s">
        <v>8</v>
      </c>
      <c r="B15924" s="1" t="str">
        <f>"000336597 - RICHS DOUGH&amp;ICING-SODEXO"</f>
        <v>000336597 - RICHS DOUGH&amp;ICING-SODEXO</v>
      </c>
      <c r="C15924" t="s">
        <v>504</v>
      </c>
      <c r="D15924" s="1" t="str">
        <f t="shared" si="435"/>
        <v>PRG-1044103</v>
      </c>
      <c r="E15924" t="s">
        <v>48</v>
      </c>
      <c r="F15924" t="s">
        <v>4</v>
      </c>
      <c r="G15924" t="str">
        <f>""</f>
        <v/>
      </c>
    </row>
    <row r="15925" spans="1:7" x14ac:dyDescent="0.25">
      <c r="A15925" t="s">
        <v>8</v>
      </c>
      <c r="B15925" s="1" t="str">
        <f>"000338612 - RICHS DOUGH &amp; ICING-SODEXO"</f>
        <v>000338612 - RICHS DOUGH &amp; ICING-SODEXO</v>
      </c>
      <c r="C15925" t="s">
        <v>349</v>
      </c>
      <c r="D15925" s="1" t="str">
        <f t="shared" si="435"/>
        <v>PRG-1044103</v>
      </c>
      <c r="E15925" t="s">
        <v>48</v>
      </c>
      <c r="F15925" t="s">
        <v>4</v>
      </c>
      <c r="G15925" t="str">
        <f>""</f>
        <v/>
      </c>
    </row>
    <row r="15926" spans="1:7" x14ac:dyDescent="0.25">
      <c r="A15926" t="s">
        <v>8</v>
      </c>
      <c r="B15926" s="1" t="str">
        <f>"000339252 - RICHS PIZZA DOUGH &amp; ICING-SODX"</f>
        <v>000339252 - RICHS PIZZA DOUGH &amp; ICING-SODX</v>
      </c>
      <c r="C15926" t="s">
        <v>223</v>
      </c>
      <c r="D15926" s="1" t="str">
        <f t="shared" si="435"/>
        <v>PRG-1044103</v>
      </c>
      <c r="E15926" t="s">
        <v>48</v>
      </c>
      <c r="F15926" t="s">
        <v>4</v>
      </c>
      <c r="G15926" t="str">
        <f>""</f>
        <v/>
      </c>
    </row>
    <row r="15927" spans="1:7" x14ac:dyDescent="0.25">
      <c r="A15927" t="s">
        <v>8</v>
      </c>
      <c r="B15927" s="1" t="str">
        <f>"000339444 - RICHS PIZZA DOUGH &amp; ICING-SODX"</f>
        <v>000339444 - RICHS PIZZA DOUGH &amp; ICING-SODX</v>
      </c>
      <c r="C15927" t="s">
        <v>223</v>
      </c>
      <c r="D15927" s="1" t="str">
        <f t="shared" si="435"/>
        <v>PRG-1044103</v>
      </c>
      <c r="E15927" t="s">
        <v>48</v>
      </c>
      <c r="F15927" t="s">
        <v>4</v>
      </c>
      <c r="G15927" t="str">
        <f>""</f>
        <v/>
      </c>
    </row>
    <row r="15928" spans="1:7" x14ac:dyDescent="0.25">
      <c r="A15928" t="s">
        <v>8</v>
      </c>
      <c r="B15928" s="1" t="str">
        <f>"000339832 - RICHS PIZZA DOUGH &amp; ICING-SODX"</f>
        <v>000339832 - RICHS PIZZA DOUGH &amp; ICING-SODX</v>
      </c>
      <c r="C15928" t="s">
        <v>223</v>
      </c>
      <c r="D15928" s="1" t="str">
        <f t="shared" si="435"/>
        <v>PRG-1044103</v>
      </c>
      <c r="E15928" t="s">
        <v>48</v>
      </c>
      <c r="F15928" t="s">
        <v>4</v>
      </c>
      <c r="G15928" t="str">
        <f>""</f>
        <v/>
      </c>
    </row>
    <row r="15929" spans="1:7" x14ac:dyDescent="0.25">
      <c r="A15929" t="s">
        <v>8</v>
      </c>
      <c r="B15929" s="1" t="str">
        <f>"000350797 - RICHS PIZZA DOUGH &amp; ICING-SODX"</f>
        <v>000350797 - RICHS PIZZA DOUGH &amp; ICING-SODX</v>
      </c>
      <c r="C15929" t="s">
        <v>223</v>
      </c>
      <c r="D15929" s="1" t="str">
        <f t="shared" si="435"/>
        <v>PRG-1044103</v>
      </c>
      <c r="E15929" t="s">
        <v>48</v>
      </c>
      <c r="F15929" t="s">
        <v>4</v>
      </c>
      <c r="G15929" t="str">
        <f>""</f>
        <v/>
      </c>
    </row>
    <row r="15930" spans="1:7" x14ac:dyDescent="0.25">
      <c r="A15930" t="s">
        <v>8</v>
      </c>
      <c r="B15930" s="1" t="str">
        <f>"000361321 - RICHS DOUGH &amp; ICING-SODEXO"</f>
        <v>000361321 - RICHS DOUGH &amp; ICING-SODEXO</v>
      </c>
      <c r="C15930" t="s">
        <v>349</v>
      </c>
      <c r="D15930" s="1" t="str">
        <f t="shared" si="435"/>
        <v>PRG-1044103</v>
      </c>
      <c r="E15930" t="s">
        <v>48</v>
      </c>
      <c r="F15930" t="s">
        <v>4</v>
      </c>
      <c r="G15930" t="str">
        <f>""</f>
        <v/>
      </c>
    </row>
    <row r="15931" spans="1:7" x14ac:dyDescent="0.25">
      <c r="A15931" t="s">
        <v>8</v>
      </c>
      <c r="B15931" s="1" t="str">
        <f>"000366939 - RICHS PIZZA DOUGH &amp; ICING-SODX"</f>
        <v>000366939 - RICHS PIZZA DOUGH &amp; ICING-SODX</v>
      </c>
      <c r="C15931" t="s">
        <v>223</v>
      </c>
      <c r="D15931" s="1" t="str">
        <f t="shared" si="435"/>
        <v>PRG-1044103</v>
      </c>
      <c r="E15931" t="s">
        <v>48</v>
      </c>
      <c r="F15931" t="s">
        <v>4</v>
      </c>
      <c r="G15931" t="str">
        <f>""</f>
        <v/>
      </c>
    </row>
    <row r="15932" spans="1:7" x14ac:dyDescent="0.25">
      <c r="A15932" t="s">
        <v>8</v>
      </c>
      <c r="B15932" s="1" t="str">
        <f>"000368758 - RICHS PIZZA DOUGH &amp; ICING-SODX"</f>
        <v>000368758 - RICHS PIZZA DOUGH &amp; ICING-SODX</v>
      </c>
      <c r="C15932" t="s">
        <v>223</v>
      </c>
      <c r="D15932" s="1" t="str">
        <f t="shared" si="435"/>
        <v>PRG-1044103</v>
      </c>
      <c r="E15932" t="s">
        <v>48</v>
      </c>
      <c r="F15932" t="s">
        <v>4</v>
      </c>
      <c r="G15932" t="str">
        <f>""</f>
        <v/>
      </c>
    </row>
    <row r="15933" spans="1:7" x14ac:dyDescent="0.25">
      <c r="A15933" t="s">
        <v>8</v>
      </c>
      <c r="B15933" s="1" t="str">
        <f>"000368780 - RICHS PIZZA DOUGH &amp; ICING-SODX"</f>
        <v>000368780 - RICHS PIZZA DOUGH &amp; ICING-SODX</v>
      </c>
      <c r="C15933" t="s">
        <v>223</v>
      </c>
      <c r="D15933" s="1" t="str">
        <f t="shared" si="435"/>
        <v>PRG-1044103</v>
      </c>
      <c r="E15933" t="s">
        <v>48</v>
      </c>
      <c r="F15933" t="s">
        <v>4</v>
      </c>
      <c r="G15933" t="str">
        <f>""</f>
        <v/>
      </c>
    </row>
    <row r="15934" spans="1:7" x14ac:dyDescent="0.25">
      <c r="A15934" t="s">
        <v>8</v>
      </c>
      <c r="B15934" s="1" t="str">
        <f>"000373273 - RICHS PIZZA DOUGH &amp; ICING-SODX"</f>
        <v>000373273 - RICHS PIZZA DOUGH &amp; ICING-SODX</v>
      </c>
      <c r="C15934" t="s">
        <v>223</v>
      </c>
      <c r="D15934" s="1" t="str">
        <f t="shared" si="435"/>
        <v>PRG-1044103</v>
      </c>
      <c r="E15934" t="s">
        <v>48</v>
      </c>
      <c r="F15934" t="s">
        <v>4</v>
      </c>
      <c r="G15934" t="str">
        <f>""</f>
        <v/>
      </c>
    </row>
    <row r="15935" spans="1:7" x14ac:dyDescent="0.25">
      <c r="A15935" t="s">
        <v>8</v>
      </c>
      <c r="B15935" s="1" t="str">
        <f>"000376857 - RICHS PIZZA DOUGH &amp; ICING-SODX"</f>
        <v>000376857 - RICHS PIZZA DOUGH &amp; ICING-SODX</v>
      </c>
      <c r="C15935" t="s">
        <v>223</v>
      </c>
      <c r="D15935" s="1" t="str">
        <f t="shared" si="435"/>
        <v>PRG-1044103</v>
      </c>
      <c r="E15935" t="s">
        <v>48</v>
      </c>
      <c r="F15935" t="s">
        <v>4</v>
      </c>
      <c r="G15935" t="str">
        <f>""</f>
        <v/>
      </c>
    </row>
    <row r="15936" spans="1:7" x14ac:dyDescent="0.25">
      <c r="A15936" t="s">
        <v>8</v>
      </c>
      <c r="B15936" s="1" t="str">
        <f>"000378056 - RICHS DOUGH &amp; ICING-SODEXO"</f>
        <v>000378056 - RICHS DOUGH &amp; ICING-SODEXO</v>
      </c>
      <c r="C15936" t="s">
        <v>349</v>
      </c>
      <c r="D15936" s="1" t="str">
        <f t="shared" si="435"/>
        <v>PRG-1044103</v>
      </c>
      <c r="E15936" t="s">
        <v>48</v>
      </c>
      <c r="F15936" t="s">
        <v>4</v>
      </c>
      <c r="G15936" t="str">
        <f>""</f>
        <v/>
      </c>
    </row>
    <row r="15937" spans="1:7" x14ac:dyDescent="0.25">
      <c r="A15937" t="s">
        <v>8</v>
      </c>
      <c r="B15937" s="1" t="str">
        <f>"000378433 - RICHS PIZZA DOUGH &amp; ICING-SODX"</f>
        <v>000378433 - RICHS PIZZA DOUGH &amp; ICING-SODX</v>
      </c>
      <c r="C15937" t="s">
        <v>223</v>
      </c>
      <c r="D15937" s="1" t="str">
        <f t="shared" si="435"/>
        <v>PRG-1044103</v>
      </c>
      <c r="E15937" t="s">
        <v>48</v>
      </c>
      <c r="F15937" t="s">
        <v>4</v>
      </c>
      <c r="G15937" t="str">
        <f>""</f>
        <v/>
      </c>
    </row>
    <row r="15938" spans="1:7" x14ac:dyDescent="0.25">
      <c r="A15938" t="s">
        <v>8</v>
      </c>
      <c r="B15938" s="1" t="str">
        <f>"000378489 - RICHS DOUGH &amp; ICING-SODEXO"</f>
        <v>000378489 - RICHS DOUGH &amp; ICING-SODEXO</v>
      </c>
      <c r="C15938" t="s">
        <v>349</v>
      </c>
      <c r="D15938" s="1" t="str">
        <f t="shared" ref="D15938:D15955" si="436">"PRG-1044103"</f>
        <v>PRG-1044103</v>
      </c>
      <c r="E15938" t="s">
        <v>48</v>
      </c>
      <c r="F15938" t="s">
        <v>4</v>
      </c>
      <c r="G15938" t="str">
        <f>""</f>
        <v/>
      </c>
    </row>
    <row r="15939" spans="1:7" x14ac:dyDescent="0.25">
      <c r="A15939" t="s">
        <v>8</v>
      </c>
      <c r="B15939" s="1" t="str">
        <f>"000381543 - RICHS DOUGH &amp; ICING-SODEXO"</f>
        <v>000381543 - RICHS DOUGH &amp; ICING-SODEXO</v>
      </c>
      <c r="C15939" t="s">
        <v>349</v>
      </c>
      <c r="D15939" s="1" t="str">
        <f t="shared" si="436"/>
        <v>PRG-1044103</v>
      </c>
      <c r="E15939" t="s">
        <v>48</v>
      </c>
      <c r="F15939" t="s">
        <v>4</v>
      </c>
      <c r="G15939" t="str">
        <f>""</f>
        <v/>
      </c>
    </row>
    <row r="15940" spans="1:7" x14ac:dyDescent="0.25">
      <c r="A15940" t="s">
        <v>8</v>
      </c>
      <c r="B15940" s="1" t="str">
        <f>"000384170 - RICHS PIZZA DOUGH &amp; ICING-SODX"</f>
        <v>000384170 - RICHS PIZZA DOUGH &amp; ICING-SODX</v>
      </c>
      <c r="C15940" t="s">
        <v>223</v>
      </c>
      <c r="D15940" s="1" t="str">
        <f t="shared" si="436"/>
        <v>PRG-1044103</v>
      </c>
      <c r="E15940" t="s">
        <v>48</v>
      </c>
      <c r="F15940" t="s">
        <v>4</v>
      </c>
      <c r="G15940" t="str">
        <f>""</f>
        <v/>
      </c>
    </row>
    <row r="15941" spans="1:7" x14ac:dyDescent="0.25">
      <c r="A15941" t="s">
        <v>8</v>
      </c>
      <c r="B15941" s="1" t="str">
        <f>"000384779 - RICHS DOUGH&amp;ICING-SODEXO"</f>
        <v>000384779 - RICHS DOUGH&amp;ICING-SODEXO</v>
      </c>
      <c r="C15941" t="s">
        <v>504</v>
      </c>
      <c r="D15941" s="1" t="str">
        <f t="shared" si="436"/>
        <v>PRG-1044103</v>
      </c>
      <c r="E15941" t="s">
        <v>48</v>
      </c>
      <c r="F15941" t="s">
        <v>4</v>
      </c>
      <c r="G15941" t="str">
        <f>""</f>
        <v/>
      </c>
    </row>
    <row r="15942" spans="1:7" x14ac:dyDescent="0.25">
      <c r="A15942" t="s">
        <v>8</v>
      </c>
      <c r="B15942" s="1" t="str">
        <f>"000385969 - RICHS PIZZA DOUGH &amp; ICING-SODX"</f>
        <v>000385969 - RICHS PIZZA DOUGH &amp; ICING-SODX</v>
      </c>
      <c r="C15942" t="s">
        <v>223</v>
      </c>
      <c r="D15942" s="1" t="str">
        <f t="shared" si="436"/>
        <v>PRG-1044103</v>
      </c>
      <c r="E15942" t="s">
        <v>48</v>
      </c>
      <c r="F15942" t="s">
        <v>4</v>
      </c>
      <c r="G15942" t="str">
        <f>""</f>
        <v/>
      </c>
    </row>
    <row r="15943" spans="1:7" x14ac:dyDescent="0.25">
      <c r="A15943" t="s">
        <v>8</v>
      </c>
      <c r="B15943" s="1" t="str">
        <f>"000386359 - RICHS DOUGH &amp; ICING-SODEXO"</f>
        <v>000386359 - RICHS DOUGH &amp; ICING-SODEXO</v>
      </c>
      <c r="C15943" t="s">
        <v>349</v>
      </c>
      <c r="D15943" s="1" t="str">
        <f t="shared" si="436"/>
        <v>PRG-1044103</v>
      </c>
      <c r="E15943" t="s">
        <v>48</v>
      </c>
      <c r="F15943" t="s">
        <v>4</v>
      </c>
      <c r="G15943" t="str">
        <f>""</f>
        <v/>
      </c>
    </row>
    <row r="15944" spans="1:7" x14ac:dyDescent="0.25">
      <c r="A15944" t="s">
        <v>8</v>
      </c>
      <c r="B15944" s="1" t="str">
        <f>"000387292 - RICHS DOUGH&amp;ICING-SODEXO"</f>
        <v>000387292 - RICHS DOUGH&amp;ICING-SODEXO</v>
      </c>
      <c r="C15944" t="s">
        <v>504</v>
      </c>
      <c r="D15944" s="1" t="str">
        <f t="shared" si="436"/>
        <v>PRG-1044103</v>
      </c>
      <c r="E15944" t="s">
        <v>48</v>
      </c>
      <c r="F15944" t="s">
        <v>4</v>
      </c>
      <c r="G15944" t="str">
        <f>""</f>
        <v/>
      </c>
    </row>
    <row r="15945" spans="1:7" x14ac:dyDescent="0.25">
      <c r="A15945" t="s">
        <v>8</v>
      </c>
      <c r="B15945" s="1" t="str">
        <f>"000392515 - RICHS PIZZA DOUGH &amp; ICING-SODX"</f>
        <v>000392515 - RICHS PIZZA DOUGH &amp; ICING-SODX</v>
      </c>
      <c r="C15945" t="s">
        <v>223</v>
      </c>
      <c r="D15945" s="1" t="str">
        <f t="shared" si="436"/>
        <v>PRG-1044103</v>
      </c>
      <c r="E15945" t="s">
        <v>48</v>
      </c>
      <c r="F15945" t="s">
        <v>4</v>
      </c>
      <c r="G15945" t="str">
        <f>""</f>
        <v/>
      </c>
    </row>
    <row r="15946" spans="1:7" x14ac:dyDescent="0.25">
      <c r="A15946" t="s">
        <v>8</v>
      </c>
      <c r="B15946" s="1" t="str">
        <f>"000393599 - RICHS PIZZA DOUGH &amp; ICING-SODX"</f>
        <v>000393599 - RICHS PIZZA DOUGH &amp; ICING-SODX</v>
      </c>
      <c r="C15946" t="s">
        <v>223</v>
      </c>
      <c r="D15946" s="1" t="str">
        <f t="shared" si="436"/>
        <v>PRG-1044103</v>
      </c>
      <c r="E15946" t="s">
        <v>48</v>
      </c>
      <c r="F15946" t="s">
        <v>4</v>
      </c>
      <c r="G15946" t="str">
        <f>""</f>
        <v/>
      </c>
    </row>
    <row r="15947" spans="1:7" x14ac:dyDescent="0.25">
      <c r="A15947" t="s">
        <v>8</v>
      </c>
      <c r="B15947" s="1" t="str">
        <f>"000394027 - RICHS DOUGH &amp; ICING-SODEXO"</f>
        <v>000394027 - RICHS DOUGH &amp; ICING-SODEXO</v>
      </c>
      <c r="C15947" t="s">
        <v>349</v>
      </c>
      <c r="D15947" s="1" t="str">
        <f t="shared" si="436"/>
        <v>PRG-1044103</v>
      </c>
      <c r="E15947" t="s">
        <v>48</v>
      </c>
      <c r="F15947" t="s">
        <v>4</v>
      </c>
      <c r="G15947" t="str">
        <f>""</f>
        <v/>
      </c>
    </row>
    <row r="15948" spans="1:7" x14ac:dyDescent="0.25">
      <c r="A15948" t="s">
        <v>8</v>
      </c>
      <c r="B15948" s="1" t="str">
        <f>"000394551 - RICHS DOUGH &amp; ICING-SODEXO"</f>
        <v>000394551 - RICHS DOUGH &amp; ICING-SODEXO</v>
      </c>
      <c r="C15948" t="s">
        <v>349</v>
      </c>
      <c r="D15948" s="1" t="str">
        <f t="shared" si="436"/>
        <v>PRG-1044103</v>
      </c>
      <c r="E15948" t="s">
        <v>48</v>
      </c>
      <c r="F15948" t="s">
        <v>4</v>
      </c>
      <c r="G15948" t="str">
        <f>""</f>
        <v/>
      </c>
    </row>
    <row r="15949" spans="1:7" x14ac:dyDescent="0.25">
      <c r="A15949" t="s">
        <v>8</v>
      </c>
      <c r="B15949" s="1" t="str">
        <f>"000401624 - RICHS DOUGH&amp;ICING-SODEXO"</f>
        <v>000401624 - RICHS DOUGH&amp;ICING-SODEXO</v>
      </c>
      <c r="C15949" t="s">
        <v>504</v>
      </c>
      <c r="D15949" s="1" t="str">
        <f t="shared" si="436"/>
        <v>PRG-1044103</v>
      </c>
      <c r="E15949" t="s">
        <v>48</v>
      </c>
      <c r="F15949" t="s">
        <v>4</v>
      </c>
      <c r="G15949" t="str">
        <f>""</f>
        <v/>
      </c>
    </row>
    <row r="15950" spans="1:7" x14ac:dyDescent="0.25">
      <c r="A15950" t="s">
        <v>8</v>
      </c>
      <c r="B15950" s="1" t="str">
        <f>"000403233 - RICHS DOUGH &amp; ICING-SODEXO"</f>
        <v>000403233 - RICHS DOUGH &amp; ICING-SODEXO</v>
      </c>
      <c r="C15950" t="s">
        <v>349</v>
      </c>
      <c r="D15950" s="1" t="str">
        <f t="shared" si="436"/>
        <v>PRG-1044103</v>
      </c>
      <c r="E15950" t="s">
        <v>48</v>
      </c>
      <c r="F15950" t="s">
        <v>4</v>
      </c>
      <c r="G15950" t="str">
        <f>""</f>
        <v/>
      </c>
    </row>
    <row r="15951" spans="1:7" x14ac:dyDescent="0.25">
      <c r="A15951" t="s">
        <v>8</v>
      </c>
      <c r="B15951" s="1" t="str">
        <f>"000403524 - RICHS PIZZA DOUGH &amp; ICING-SODX"</f>
        <v>000403524 - RICHS PIZZA DOUGH &amp; ICING-SODX</v>
      </c>
      <c r="C15951" t="s">
        <v>223</v>
      </c>
      <c r="D15951" s="1" t="str">
        <f t="shared" si="436"/>
        <v>PRG-1044103</v>
      </c>
      <c r="E15951" t="s">
        <v>48</v>
      </c>
      <c r="F15951" t="s">
        <v>4</v>
      </c>
      <c r="G15951" t="str">
        <f>""</f>
        <v/>
      </c>
    </row>
    <row r="15952" spans="1:7" x14ac:dyDescent="0.25">
      <c r="A15952" t="s">
        <v>8</v>
      </c>
      <c r="B15952" s="1" t="str">
        <f>"000408942 - RICHS PIZZA DOUGH &amp; ICING-SODX"</f>
        <v>000408942 - RICHS PIZZA DOUGH &amp; ICING-SODX</v>
      </c>
      <c r="C15952" t="s">
        <v>223</v>
      </c>
      <c r="D15952" s="1" t="str">
        <f t="shared" si="436"/>
        <v>PRG-1044103</v>
      </c>
      <c r="E15952" t="s">
        <v>48</v>
      </c>
      <c r="F15952" t="s">
        <v>4</v>
      </c>
      <c r="G15952" t="str">
        <f>""</f>
        <v/>
      </c>
    </row>
    <row r="15953" spans="1:7" x14ac:dyDescent="0.25">
      <c r="A15953" t="s">
        <v>8</v>
      </c>
      <c r="B15953" s="1" t="str">
        <f>"000416068 - RICHS DOUGH &amp; ICING-SODEXO"</f>
        <v>000416068 - RICHS DOUGH &amp; ICING-SODEXO</v>
      </c>
      <c r="C15953" t="s">
        <v>349</v>
      </c>
      <c r="D15953" s="1" t="str">
        <f t="shared" si="436"/>
        <v>PRG-1044103</v>
      </c>
      <c r="E15953" t="s">
        <v>48</v>
      </c>
      <c r="F15953" t="s">
        <v>4</v>
      </c>
      <c r="G15953" t="str">
        <f>""</f>
        <v/>
      </c>
    </row>
    <row r="15954" spans="1:7" x14ac:dyDescent="0.25">
      <c r="A15954" t="s">
        <v>8</v>
      </c>
      <c r="B15954" s="1" t="str">
        <f>"000417414 - RICHS PIZZA DOUGH &amp; ICING-SODX"</f>
        <v>000417414 - RICHS PIZZA DOUGH &amp; ICING-SODX</v>
      </c>
      <c r="C15954" t="s">
        <v>223</v>
      </c>
      <c r="D15954" s="1" t="str">
        <f t="shared" si="436"/>
        <v>PRG-1044103</v>
      </c>
      <c r="E15954" t="s">
        <v>48</v>
      </c>
      <c r="F15954" t="s">
        <v>4</v>
      </c>
      <c r="G15954" t="str">
        <f>""</f>
        <v/>
      </c>
    </row>
    <row r="15955" spans="1:7" x14ac:dyDescent="0.25">
      <c r="A15955" t="s">
        <v>8</v>
      </c>
      <c r="B15955" s="1" t="str">
        <f>"000426607 - RICHS DOUGH &amp; ICING-SODEXO"</f>
        <v>000426607 - RICHS DOUGH &amp; ICING-SODEXO</v>
      </c>
      <c r="C15955" t="s">
        <v>349</v>
      </c>
      <c r="D15955" s="1" t="str">
        <f t="shared" si="436"/>
        <v>PRG-1044103</v>
      </c>
      <c r="E15955" t="s">
        <v>48</v>
      </c>
      <c r="F15955" t="s">
        <v>4</v>
      </c>
      <c r="G15955" t="str">
        <f>""</f>
        <v/>
      </c>
    </row>
    <row r="15956" spans="1:7" x14ac:dyDescent="0.25">
      <c r="A15956" t="s">
        <v>8</v>
      </c>
      <c r="B15956" s="1" t="str">
        <f>"000036564 - RICH'S-FAT BABY AND ALISE'S"</f>
        <v>000036564 - RICH'S-FAT BABY AND ALISE'S</v>
      </c>
      <c r="C15956" t="s">
        <v>542</v>
      </c>
      <c r="D15956" s="1" t="str">
        <f>"PRG-1044129"</f>
        <v>PRG-1044129</v>
      </c>
      <c r="E15956" t="s">
        <v>543</v>
      </c>
      <c r="F15956" t="s">
        <v>4</v>
      </c>
      <c r="G15956" t="str">
        <f>""</f>
        <v/>
      </c>
    </row>
    <row r="15957" spans="1:7" x14ac:dyDescent="0.25">
      <c r="A15957" t="s">
        <v>8</v>
      </c>
      <c r="B15957" s="1" t="str">
        <f>"000041919 - RICHS- PARRYS PIZZA"</f>
        <v>000041919 - RICHS- PARRYS PIZZA</v>
      </c>
      <c r="C15957" t="s">
        <v>589</v>
      </c>
      <c r="D15957" s="1" t="str">
        <f>"PRG-1044158"</f>
        <v>PRG-1044158</v>
      </c>
      <c r="E15957" t="s">
        <v>590</v>
      </c>
      <c r="F15957" t="s">
        <v>4</v>
      </c>
      <c r="G15957" t="str">
        <f>""</f>
        <v/>
      </c>
    </row>
    <row r="15958" spans="1:7" x14ac:dyDescent="0.25">
      <c r="A15958" t="s">
        <v>8</v>
      </c>
      <c r="B15958" s="1" t="str">
        <f>"S5Z00JN0"</f>
        <v>S5Z00JN0</v>
      </c>
      <c r="C15958" t="s">
        <v>5950</v>
      </c>
      <c r="D15958" s="1" t="str">
        <f>"PRG-1044162"</f>
        <v>PRG-1044162</v>
      </c>
      <c r="E15958" t="s">
        <v>5951</v>
      </c>
      <c r="F15958" t="s">
        <v>5</v>
      </c>
      <c r="G15958" t="str">
        <f>""</f>
        <v/>
      </c>
    </row>
    <row r="15959" spans="1:7" x14ac:dyDescent="0.25">
      <c r="A15959" t="s">
        <v>8</v>
      </c>
      <c r="B15959" s="1" t="str">
        <f>"000028393 - RICH VVA-DAIRY QUEEN"</f>
        <v>000028393 - RICH VVA-DAIRY QUEEN</v>
      </c>
      <c r="C15959" t="s">
        <v>468</v>
      </c>
      <c r="D15959" s="1" t="str">
        <f t="shared" ref="D15959:D15980" si="437">"PRG-1044186"</f>
        <v>PRG-1044186</v>
      </c>
      <c r="E15959" t="s">
        <v>109</v>
      </c>
      <c r="F15959" t="s">
        <v>4</v>
      </c>
      <c r="G15959" t="str">
        <f>""</f>
        <v/>
      </c>
    </row>
    <row r="15960" spans="1:7" x14ac:dyDescent="0.25">
      <c r="A15960" t="s">
        <v>8</v>
      </c>
      <c r="B15960" s="1" t="str">
        <f>"000150092 - RICH DQ BB"</f>
        <v>000150092 - RICH DQ BB</v>
      </c>
      <c r="C15960" t="s">
        <v>771</v>
      </c>
      <c r="D15960" s="1" t="str">
        <f t="shared" si="437"/>
        <v>PRG-1044186</v>
      </c>
      <c r="E15960" t="s">
        <v>109</v>
      </c>
      <c r="F15960" t="s">
        <v>4</v>
      </c>
      <c r="G15960" t="str">
        <f>""</f>
        <v/>
      </c>
    </row>
    <row r="15961" spans="1:7" x14ac:dyDescent="0.25">
      <c r="A15961" t="s">
        <v>8</v>
      </c>
      <c r="B15961" s="1" t="str">
        <f>"000154584 - RICH DQ"</f>
        <v>000154584 - RICH DQ</v>
      </c>
      <c r="C15961" t="s">
        <v>1027</v>
      </c>
      <c r="D15961" s="1" t="str">
        <f t="shared" si="437"/>
        <v>PRG-1044186</v>
      </c>
      <c r="E15961" t="s">
        <v>109</v>
      </c>
      <c r="F15961" t="s">
        <v>4</v>
      </c>
      <c r="G15961" t="str">
        <f>""</f>
        <v/>
      </c>
    </row>
    <row r="15962" spans="1:7" x14ac:dyDescent="0.25">
      <c r="A15962" t="s">
        <v>8</v>
      </c>
      <c r="B15962" s="1" t="str">
        <f>"000156569 - RICH DQ"</f>
        <v>000156569 - RICH DQ</v>
      </c>
      <c r="C15962" t="s">
        <v>1027</v>
      </c>
      <c r="D15962" s="1" t="str">
        <f t="shared" si="437"/>
        <v>PRG-1044186</v>
      </c>
      <c r="E15962" t="s">
        <v>109</v>
      </c>
      <c r="F15962" t="s">
        <v>4</v>
      </c>
      <c r="G15962" t="str">
        <f>""</f>
        <v/>
      </c>
    </row>
    <row r="15963" spans="1:7" x14ac:dyDescent="0.25">
      <c r="A15963" t="s">
        <v>8</v>
      </c>
      <c r="B15963" s="1" t="str">
        <f>"000274009 - RICH DAIRY QUEEN  1044186 001"</f>
        <v>000274009 - RICH DAIRY QUEEN  1044186 001</v>
      </c>
      <c r="C15963" t="s">
        <v>2535</v>
      </c>
      <c r="D15963" s="1" t="str">
        <f t="shared" si="437"/>
        <v>PRG-1044186</v>
      </c>
      <c r="E15963" t="s">
        <v>109</v>
      </c>
      <c r="F15963" t="s">
        <v>4</v>
      </c>
      <c r="G15963" t="str">
        <f>""</f>
        <v/>
      </c>
    </row>
    <row r="15964" spans="1:7" x14ac:dyDescent="0.25">
      <c r="A15964" t="s">
        <v>8</v>
      </c>
      <c r="B15964" s="1" t="str">
        <f>"000278831 - RICH'S  DAIRY QUEEN"</f>
        <v>000278831 - RICH'S  DAIRY QUEEN</v>
      </c>
      <c r="C15964" t="s">
        <v>1530</v>
      </c>
      <c r="D15964" s="1" t="str">
        <f t="shared" si="437"/>
        <v>PRG-1044186</v>
      </c>
      <c r="E15964" t="s">
        <v>109</v>
      </c>
      <c r="F15964" t="s">
        <v>4</v>
      </c>
      <c r="G15964" t="str">
        <f>""</f>
        <v/>
      </c>
    </row>
    <row r="15965" spans="1:7" x14ac:dyDescent="0.25">
      <c r="A15965" t="s">
        <v>8</v>
      </c>
      <c r="B15965" s="1" t="str">
        <f>"000303521 - RICH'S DAIRY QUEEN        PM"</f>
        <v>000303521 - RICH'S DAIRY QUEEN        PM</v>
      </c>
      <c r="C15965" t="s">
        <v>3008</v>
      </c>
      <c r="D15965" s="1" t="str">
        <f t="shared" si="437"/>
        <v>PRG-1044186</v>
      </c>
      <c r="E15965" t="s">
        <v>109</v>
      </c>
      <c r="F15965" t="s">
        <v>4</v>
      </c>
      <c r="G15965" t="str">
        <f>""</f>
        <v/>
      </c>
    </row>
    <row r="15966" spans="1:7" x14ac:dyDescent="0.25">
      <c r="A15966" t="s">
        <v>8</v>
      </c>
      <c r="B15966" s="1" t="str">
        <f>"000335080 - RICH VVA-DAIRY QUEEN"</f>
        <v>000335080 - RICH VVA-DAIRY QUEEN</v>
      </c>
      <c r="C15966" t="s">
        <v>468</v>
      </c>
      <c r="D15966" s="1" t="str">
        <f t="shared" si="437"/>
        <v>PRG-1044186</v>
      </c>
      <c r="E15966" t="s">
        <v>109</v>
      </c>
      <c r="F15966" t="s">
        <v>4</v>
      </c>
      <c r="G15966" t="str">
        <f>""</f>
        <v/>
      </c>
    </row>
    <row r="15967" spans="1:7" x14ac:dyDescent="0.25">
      <c r="A15967" t="s">
        <v>8</v>
      </c>
      <c r="B15967" s="1" t="str">
        <f>"000348497 - RICH PRODUCTS DAIRY QUEEN"</f>
        <v>000348497 - RICH PRODUCTS DAIRY QUEEN</v>
      </c>
      <c r="C15967" t="s">
        <v>2712</v>
      </c>
      <c r="D15967" s="1" t="str">
        <f t="shared" si="437"/>
        <v>PRG-1044186</v>
      </c>
      <c r="E15967" t="s">
        <v>109</v>
      </c>
      <c r="F15967" t="s">
        <v>4</v>
      </c>
      <c r="G15967" t="str">
        <f>""</f>
        <v/>
      </c>
    </row>
    <row r="15968" spans="1:7" x14ac:dyDescent="0.25">
      <c r="A15968" t="s">
        <v>8</v>
      </c>
      <c r="B15968" s="1" t="str">
        <f>"S1Z0GTS0"</f>
        <v>S1Z0GTS0</v>
      </c>
      <c r="C15968" t="s">
        <v>5385</v>
      </c>
      <c r="D15968" s="1" t="str">
        <f t="shared" si="437"/>
        <v>PRG-1044186</v>
      </c>
      <c r="E15968" t="s">
        <v>109</v>
      </c>
      <c r="F15968" t="s">
        <v>5</v>
      </c>
      <c r="G15968" t="str">
        <f>""</f>
        <v/>
      </c>
    </row>
    <row r="15969" spans="1:7" x14ac:dyDescent="0.25">
      <c r="A15969" t="s">
        <v>8</v>
      </c>
      <c r="B15969" s="1" t="str">
        <f>"S1Z0HTU0"</f>
        <v>S1Z0HTU0</v>
      </c>
      <c r="C15969" t="s">
        <v>5389</v>
      </c>
      <c r="D15969" s="1" t="str">
        <f t="shared" si="437"/>
        <v>PRG-1044186</v>
      </c>
      <c r="E15969" t="s">
        <v>109</v>
      </c>
      <c r="F15969" t="s">
        <v>5</v>
      </c>
      <c r="G15969" t="str">
        <f>""</f>
        <v/>
      </c>
    </row>
    <row r="15970" spans="1:7" x14ac:dyDescent="0.25">
      <c r="A15970" t="s">
        <v>8</v>
      </c>
      <c r="B15970" s="1" t="str">
        <f>"S1Z0HUK0"</f>
        <v>S1Z0HUK0</v>
      </c>
      <c r="C15970" t="s">
        <v>5390</v>
      </c>
      <c r="D15970" s="1" t="str">
        <f t="shared" si="437"/>
        <v>PRG-1044186</v>
      </c>
      <c r="E15970" t="s">
        <v>109</v>
      </c>
      <c r="F15970" t="s">
        <v>5</v>
      </c>
      <c r="G15970" t="str">
        <f>""</f>
        <v/>
      </c>
    </row>
    <row r="15971" spans="1:7" x14ac:dyDescent="0.25">
      <c r="A15971" t="s">
        <v>8</v>
      </c>
      <c r="B15971" s="1" t="str">
        <f>"S1Z0HVC0"</f>
        <v>S1Z0HVC0</v>
      </c>
      <c r="C15971" t="s">
        <v>5391</v>
      </c>
      <c r="D15971" s="1" t="str">
        <f t="shared" si="437"/>
        <v>PRG-1044186</v>
      </c>
      <c r="E15971" t="s">
        <v>109</v>
      </c>
      <c r="F15971" t="s">
        <v>5</v>
      </c>
      <c r="G15971" t="str">
        <f>""</f>
        <v/>
      </c>
    </row>
    <row r="15972" spans="1:7" x14ac:dyDescent="0.25">
      <c r="A15972" t="s">
        <v>8</v>
      </c>
      <c r="B15972" s="1" t="str">
        <f>"S1Z0HVO0"</f>
        <v>S1Z0HVO0</v>
      </c>
      <c r="C15972" t="s">
        <v>5392</v>
      </c>
      <c r="D15972" s="1" t="str">
        <f t="shared" si="437"/>
        <v>PRG-1044186</v>
      </c>
      <c r="E15972" t="s">
        <v>109</v>
      </c>
      <c r="F15972" t="s">
        <v>5</v>
      </c>
      <c r="G15972" t="str">
        <f>""</f>
        <v/>
      </c>
    </row>
    <row r="15973" spans="1:7" x14ac:dyDescent="0.25">
      <c r="A15973" t="s">
        <v>8</v>
      </c>
      <c r="B15973" s="1" t="str">
        <f>"S1Z0HW30"</f>
        <v>S1Z0HW30</v>
      </c>
      <c r="C15973" t="s">
        <v>5393</v>
      </c>
      <c r="D15973" s="1" t="str">
        <f t="shared" si="437"/>
        <v>PRG-1044186</v>
      </c>
      <c r="E15973" t="s">
        <v>109</v>
      </c>
      <c r="F15973" t="s">
        <v>5</v>
      </c>
      <c r="G15973" t="str">
        <f>""</f>
        <v/>
      </c>
    </row>
    <row r="15974" spans="1:7" x14ac:dyDescent="0.25">
      <c r="A15974" t="s">
        <v>8</v>
      </c>
      <c r="B15974" s="1" t="str">
        <f>"S1Z0IFH0"</f>
        <v>S1Z0IFH0</v>
      </c>
      <c r="C15974" t="s">
        <v>5396</v>
      </c>
      <c r="D15974" s="1" t="str">
        <f t="shared" si="437"/>
        <v>PRG-1044186</v>
      </c>
      <c r="E15974" t="s">
        <v>109</v>
      </c>
      <c r="F15974" t="s">
        <v>5</v>
      </c>
      <c r="G15974" t="str">
        <f>""</f>
        <v/>
      </c>
    </row>
    <row r="15975" spans="1:7" x14ac:dyDescent="0.25">
      <c r="A15975" t="s">
        <v>8</v>
      </c>
      <c r="B15975" s="1" t="str">
        <f>"S1Z0IGF0"</f>
        <v>S1Z0IGF0</v>
      </c>
      <c r="C15975" t="s">
        <v>5397</v>
      </c>
      <c r="D15975" s="1" t="str">
        <f t="shared" si="437"/>
        <v>PRG-1044186</v>
      </c>
      <c r="E15975" t="s">
        <v>109</v>
      </c>
      <c r="F15975" t="s">
        <v>5</v>
      </c>
      <c r="G15975" t="str">
        <f>""</f>
        <v/>
      </c>
    </row>
    <row r="15976" spans="1:7" x14ac:dyDescent="0.25">
      <c r="A15976" t="s">
        <v>8</v>
      </c>
      <c r="B15976" s="1" t="str">
        <f>"S1Z0IHY0"</f>
        <v>S1Z0IHY0</v>
      </c>
      <c r="C15976" t="s">
        <v>5399</v>
      </c>
      <c r="D15976" s="1" t="str">
        <f t="shared" si="437"/>
        <v>PRG-1044186</v>
      </c>
      <c r="E15976" t="s">
        <v>109</v>
      </c>
      <c r="F15976" t="s">
        <v>5</v>
      </c>
      <c r="G15976" t="str">
        <f>""</f>
        <v/>
      </c>
    </row>
    <row r="15977" spans="1:7" x14ac:dyDescent="0.25">
      <c r="A15977" t="s">
        <v>8</v>
      </c>
      <c r="B15977" s="1" t="str">
        <f>"S1Z0IVE0"</f>
        <v>S1Z0IVE0</v>
      </c>
      <c r="C15977" t="s">
        <v>5397</v>
      </c>
      <c r="D15977" s="1" t="str">
        <f t="shared" si="437"/>
        <v>PRG-1044186</v>
      </c>
      <c r="E15977" t="s">
        <v>109</v>
      </c>
      <c r="F15977" t="s">
        <v>5</v>
      </c>
      <c r="G15977" t="str">
        <f>""</f>
        <v/>
      </c>
    </row>
    <row r="15978" spans="1:7" x14ac:dyDescent="0.25">
      <c r="A15978" t="s">
        <v>8</v>
      </c>
      <c r="B15978" s="1" t="str">
        <f>"S1Z0S6L0"</f>
        <v>S1Z0S6L0</v>
      </c>
      <c r="C15978" t="s">
        <v>5440</v>
      </c>
      <c r="D15978" s="1" t="str">
        <f t="shared" si="437"/>
        <v>PRG-1044186</v>
      </c>
      <c r="E15978" t="s">
        <v>109</v>
      </c>
      <c r="F15978" t="s">
        <v>5</v>
      </c>
      <c r="G15978" t="str">
        <f>""</f>
        <v/>
      </c>
    </row>
    <row r="15979" spans="1:7" x14ac:dyDescent="0.25">
      <c r="A15979" t="s">
        <v>8</v>
      </c>
      <c r="B15979" s="1" t="str">
        <f>"S1Z0S6W0"</f>
        <v>S1Z0S6W0</v>
      </c>
      <c r="C15979" t="s">
        <v>5441</v>
      </c>
      <c r="D15979" s="1" t="str">
        <f t="shared" si="437"/>
        <v>PRG-1044186</v>
      </c>
      <c r="E15979" t="s">
        <v>109</v>
      </c>
      <c r="F15979" t="s">
        <v>5</v>
      </c>
      <c r="G15979" t="str">
        <f>""</f>
        <v/>
      </c>
    </row>
    <row r="15980" spans="1:7" x14ac:dyDescent="0.25">
      <c r="A15980" t="s">
        <v>8</v>
      </c>
      <c r="B15980" s="1" t="str">
        <f>"S1Z0S750"</f>
        <v>S1Z0S750</v>
      </c>
      <c r="C15980" t="s">
        <v>5442</v>
      </c>
      <c r="D15980" s="1" t="str">
        <f t="shared" si="437"/>
        <v>PRG-1044186</v>
      </c>
      <c r="E15980" t="s">
        <v>109</v>
      </c>
      <c r="F15980" t="s">
        <v>5</v>
      </c>
      <c r="G15980" t="str">
        <f>""</f>
        <v/>
      </c>
    </row>
    <row r="15981" spans="1:7" x14ac:dyDescent="0.25">
      <c r="A15981" t="s">
        <v>8</v>
      </c>
      <c r="B15981" s="1" t="str">
        <f>"000395173 - RICH PRODUCTS INTER BAKERY"</f>
        <v>000395173 - RICH PRODUCTS INTER BAKERY</v>
      </c>
      <c r="C15981" t="s">
        <v>3701</v>
      </c>
      <c r="D15981" s="1" t="str">
        <f>"PRG-1044231"</f>
        <v>PRG-1044231</v>
      </c>
      <c r="E15981" t="s">
        <v>3702</v>
      </c>
      <c r="F15981" t="s">
        <v>4</v>
      </c>
      <c r="G15981" t="str">
        <f>""</f>
        <v/>
      </c>
    </row>
    <row r="15982" spans="1:7" x14ac:dyDescent="0.25">
      <c r="A15982" t="s">
        <v>8</v>
      </c>
      <c r="B15982" s="1" t="str">
        <f>"000314343 - RICH CESCAPHE ALLOW"</f>
        <v>000314343 - RICH CESCAPHE ALLOW</v>
      </c>
      <c r="C15982" t="s">
        <v>3156</v>
      </c>
      <c r="D15982" s="1" t="str">
        <f>"PRG-1044233"</f>
        <v>PRG-1044233</v>
      </c>
      <c r="E15982" t="s">
        <v>3157</v>
      </c>
      <c r="F15982" t="s">
        <v>4</v>
      </c>
      <c r="G15982" t="str">
        <f>""</f>
        <v/>
      </c>
    </row>
    <row r="15983" spans="1:7" x14ac:dyDescent="0.25">
      <c r="A15983" t="s">
        <v>8</v>
      </c>
      <c r="B15983" s="1" t="str">
        <f>"000314344 - RICH CESCAPHE ALLOW"</f>
        <v>000314344 - RICH CESCAPHE ALLOW</v>
      </c>
      <c r="C15983" t="s">
        <v>3156</v>
      </c>
      <c r="D15983" s="1" t="str">
        <f>"PRG-1044233"</f>
        <v>PRG-1044233</v>
      </c>
      <c r="E15983" t="s">
        <v>3157</v>
      </c>
      <c r="F15983" t="s">
        <v>4</v>
      </c>
      <c r="G15983" t="str">
        <f>""</f>
        <v/>
      </c>
    </row>
    <row r="15984" spans="1:7" x14ac:dyDescent="0.25">
      <c r="A15984" t="s">
        <v>8</v>
      </c>
      <c r="B15984" s="1" t="str">
        <f>"000314345 - RICH CESCAPHE ALLOW"</f>
        <v>000314345 - RICH CESCAPHE ALLOW</v>
      </c>
      <c r="C15984" t="s">
        <v>3156</v>
      </c>
      <c r="D15984" s="1" t="str">
        <f>"PRG-1044233"</f>
        <v>PRG-1044233</v>
      </c>
      <c r="E15984" t="s">
        <v>3157</v>
      </c>
      <c r="F15984" t="s">
        <v>4</v>
      </c>
      <c r="G15984" t="str">
        <f>""</f>
        <v/>
      </c>
    </row>
    <row r="15985" spans="1:7" x14ac:dyDescent="0.25">
      <c r="A15985" t="s">
        <v>8</v>
      </c>
      <c r="B15985" s="1" t="str">
        <f>"000314346 - RICH CESCAPHE ALLOW"</f>
        <v>000314346 - RICH CESCAPHE ALLOW</v>
      </c>
      <c r="C15985" t="s">
        <v>3156</v>
      </c>
      <c r="D15985" s="1" t="str">
        <f>"PRG-1044233"</f>
        <v>PRG-1044233</v>
      </c>
      <c r="E15985" t="s">
        <v>3157</v>
      </c>
      <c r="F15985" t="s">
        <v>4</v>
      </c>
      <c r="G15985" t="str">
        <f>""</f>
        <v/>
      </c>
    </row>
    <row r="15986" spans="1:7" x14ac:dyDescent="0.25">
      <c r="A15986" t="s">
        <v>8</v>
      </c>
      <c r="B15986" s="1" t="str">
        <f>"000314347 - RICH CESCAPHE ALLOW"</f>
        <v>000314347 - RICH CESCAPHE ALLOW</v>
      </c>
      <c r="C15986" t="s">
        <v>3156</v>
      </c>
      <c r="D15986" s="1" t="str">
        <f>"PRG-1044233"</f>
        <v>PRG-1044233</v>
      </c>
      <c r="E15986" t="s">
        <v>3157</v>
      </c>
      <c r="F15986" t="s">
        <v>4</v>
      </c>
      <c r="G15986" t="str">
        <f>""</f>
        <v/>
      </c>
    </row>
    <row r="15987" spans="1:7" x14ac:dyDescent="0.25">
      <c r="A15987" t="s">
        <v>8</v>
      </c>
      <c r="B15987" s="1" t="str">
        <f>"000385469 - RICH PROD PD1 BREVARD ZOO"</f>
        <v>000385469 - RICH PROD PD1 BREVARD ZOO</v>
      </c>
      <c r="C15987" t="s">
        <v>3667</v>
      </c>
      <c r="D15987" s="1" t="str">
        <f>"PRG-1044236"</f>
        <v>PRG-1044236</v>
      </c>
      <c r="E15987" t="s">
        <v>3668</v>
      </c>
      <c r="F15987" t="s">
        <v>4</v>
      </c>
      <c r="G15987" t="str">
        <f>""</f>
        <v/>
      </c>
    </row>
    <row r="15988" spans="1:7" x14ac:dyDescent="0.25">
      <c r="A15988" t="s">
        <v>8</v>
      </c>
      <c r="B15988" s="1" t="str">
        <f>"000396246 - RICH PROD PD1 BREVARD ZOO"</f>
        <v>000396246 - RICH PROD PD1 BREVARD ZOO</v>
      </c>
      <c r="C15988" t="s">
        <v>3667</v>
      </c>
      <c r="D15988" s="1" t="str">
        <f>"PRG-1044236"</f>
        <v>PRG-1044236</v>
      </c>
      <c r="E15988" t="s">
        <v>3668</v>
      </c>
      <c r="F15988" t="s">
        <v>4</v>
      </c>
      <c r="G15988" t="str">
        <f>""</f>
        <v/>
      </c>
    </row>
    <row r="15989" spans="1:7" x14ac:dyDescent="0.25">
      <c r="A15989" t="s">
        <v>8</v>
      </c>
      <c r="B15989" s="1" t="str">
        <f>"000311882 - RICH DC-MIGHTY TACO"</f>
        <v>000311882 - RICH DC-MIGHTY TACO</v>
      </c>
      <c r="C15989" t="s">
        <v>2834</v>
      </c>
      <c r="D15989" s="1" t="str">
        <f>"PRG-1044249"</f>
        <v>PRG-1044249</v>
      </c>
      <c r="E15989" t="s">
        <v>3126</v>
      </c>
      <c r="F15989" t="s">
        <v>4</v>
      </c>
      <c r="G15989" t="str">
        <f>""</f>
        <v/>
      </c>
    </row>
    <row r="15990" spans="1:7" x14ac:dyDescent="0.25">
      <c r="A15990" t="s">
        <v>8</v>
      </c>
      <c r="B15990" s="1" t="str">
        <f>"000304093 - RICHS CHIPS"</f>
        <v>000304093 - RICHS CHIPS</v>
      </c>
      <c r="C15990" t="s">
        <v>3017</v>
      </c>
      <c r="D15990" s="1" t="str">
        <f>"PRG-1044265"</f>
        <v>PRG-1044265</v>
      </c>
      <c r="E15990" t="s">
        <v>3018</v>
      </c>
      <c r="F15990" t="s">
        <v>4</v>
      </c>
      <c r="G15990" t="str">
        <f>""</f>
        <v/>
      </c>
    </row>
    <row r="15991" spans="1:7" x14ac:dyDescent="0.25">
      <c r="A15991" t="s">
        <v>8</v>
      </c>
      <c r="B15991" s="1" t="str">
        <f>"000259419 - RICHS CINEMA CAFE"</f>
        <v>000259419 - RICHS CINEMA CAFE</v>
      </c>
      <c r="C15991" t="s">
        <v>2244</v>
      </c>
      <c r="D15991" s="1" t="str">
        <f>"PRG-1044289"</f>
        <v>PRG-1044289</v>
      </c>
      <c r="E15991" t="s">
        <v>2245</v>
      </c>
      <c r="F15991" t="s">
        <v>4</v>
      </c>
      <c r="G15991" t="str">
        <f>""</f>
        <v/>
      </c>
    </row>
    <row r="15992" spans="1:7" x14ac:dyDescent="0.25">
      <c r="A15992" t="s">
        <v>8</v>
      </c>
      <c r="B15992" s="1" t="str">
        <f>"000380531 - RICH PARADISE REST GROUP"</f>
        <v>000380531 - RICH PARADISE REST GROUP</v>
      </c>
      <c r="C15992" t="s">
        <v>3650</v>
      </c>
      <c r="D15992" s="1" t="str">
        <f>"PRG-1044310"</f>
        <v>PRG-1044310</v>
      </c>
      <c r="E15992" t="s">
        <v>3651</v>
      </c>
      <c r="F15992" t="s">
        <v>4</v>
      </c>
      <c r="G15992" t="str">
        <f>""</f>
        <v/>
      </c>
    </row>
    <row r="15993" spans="1:7" x14ac:dyDescent="0.25">
      <c r="A15993" t="s">
        <v>8</v>
      </c>
      <c r="B15993" s="1" t="str">
        <f>"60295670"</f>
        <v>60295670</v>
      </c>
      <c r="C15993" t="s">
        <v>5237</v>
      </c>
      <c r="D15993" s="1" t="str">
        <f>"PRG-1044352"</f>
        <v>PRG-1044352</v>
      </c>
      <c r="E15993" t="s">
        <v>5238</v>
      </c>
      <c r="F15993" t="s">
        <v>5</v>
      </c>
      <c r="G15993" t="str">
        <f>""</f>
        <v/>
      </c>
    </row>
    <row r="15994" spans="1:7" x14ac:dyDescent="0.25">
      <c r="A15994" t="s">
        <v>8</v>
      </c>
      <c r="B15994" s="1" t="str">
        <f>"60295671"</f>
        <v>60295671</v>
      </c>
      <c r="C15994" t="s">
        <v>5239</v>
      </c>
      <c r="D15994" s="1" t="str">
        <f>"PRG-1044352"</f>
        <v>PRG-1044352</v>
      </c>
      <c r="E15994" t="s">
        <v>5238</v>
      </c>
      <c r="F15994" t="s">
        <v>5</v>
      </c>
      <c r="G15994" t="str">
        <f>""</f>
        <v/>
      </c>
    </row>
    <row r="15995" spans="1:7" x14ac:dyDescent="0.25">
      <c r="A15995" t="s">
        <v>8</v>
      </c>
      <c r="B15995" s="1" t="str">
        <f>"60295672"</f>
        <v>60295672</v>
      </c>
      <c r="C15995" t="s">
        <v>5240</v>
      </c>
      <c r="D15995" s="1" t="str">
        <f>"PRG-1044352"</f>
        <v>PRG-1044352</v>
      </c>
      <c r="E15995" t="s">
        <v>5238</v>
      </c>
      <c r="F15995" t="s">
        <v>5</v>
      </c>
      <c r="G15995" t="str">
        <f>""</f>
        <v/>
      </c>
    </row>
    <row r="15996" spans="1:7" x14ac:dyDescent="0.25">
      <c r="A15996" t="s">
        <v>8</v>
      </c>
      <c r="B15996" s="1" t="str">
        <f>"60295675"</f>
        <v>60295675</v>
      </c>
      <c r="C15996" t="s">
        <v>5241</v>
      </c>
      <c r="D15996" s="1" t="str">
        <f>"PRG-1044352"</f>
        <v>PRG-1044352</v>
      </c>
      <c r="E15996" t="s">
        <v>5238</v>
      </c>
      <c r="F15996" t="s">
        <v>5</v>
      </c>
      <c r="G15996" t="str">
        <f>""</f>
        <v/>
      </c>
    </row>
    <row r="15997" spans="1:7" x14ac:dyDescent="0.25">
      <c r="A15997" t="s">
        <v>8</v>
      </c>
      <c r="B15997" s="1" t="str">
        <f>"000020267 - BETTERCREME-RICH FDS COLDSTONE"</f>
        <v>000020267 - BETTERCREME-RICH FDS COLDSTONE</v>
      </c>
      <c r="C15997" t="s">
        <v>364</v>
      </c>
      <c r="D15997" s="1" t="str">
        <f t="shared" ref="D15997:D16017" si="438">"PRG-1044360"</f>
        <v>PRG-1044360</v>
      </c>
      <c r="E15997" t="s">
        <v>132</v>
      </c>
      <c r="F15997" t="s">
        <v>4</v>
      </c>
      <c r="G15997" t="str">
        <f>""</f>
        <v/>
      </c>
    </row>
    <row r="15998" spans="1:7" x14ac:dyDescent="0.25">
      <c r="A15998" t="s">
        <v>8</v>
      </c>
      <c r="B15998" s="1" t="str">
        <f>"000034926 - RICH FOODS-FOODBUY"</f>
        <v>000034926 - RICH FOODS-FOODBUY</v>
      </c>
      <c r="C15998" t="s">
        <v>237</v>
      </c>
      <c r="D15998" s="1" t="str">
        <f t="shared" si="438"/>
        <v>PRG-1044360</v>
      </c>
      <c r="E15998" t="s">
        <v>132</v>
      </c>
      <c r="F15998" t="s">
        <v>4</v>
      </c>
      <c r="G15998" t="str">
        <f>""</f>
        <v/>
      </c>
    </row>
    <row r="15999" spans="1:7" x14ac:dyDescent="0.25">
      <c r="A15999" t="s">
        <v>8</v>
      </c>
      <c r="B15999" s="1" t="str">
        <f>"000043973 - RICH BAPA NONMTRTL-COLDSTONE"</f>
        <v>000043973 - RICH BAPA NONMTRTL-COLDSTONE</v>
      </c>
      <c r="C15999" t="s">
        <v>610</v>
      </c>
      <c r="D15999" s="1" t="str">
        <f t="shared" si="438"/>
        <v>PRG-1044360</v>
      </c>
      <c r="E15999" t="s">
        <v>132</v>
      </c>
      <c r="F15999" t="s">
        <v>4</v>
      </c>
      <c r="G15999" t="str">
        <f>""</f>
        <v/>
      </c>
    </row>
    <row r="16000" spans="1:7" x14ac:dyDescent="0.25">
      <c r="A16000" t="s">
        <v>8</v>
      </c>
      <c r="B16000" s="1" t="str">
        <f>"000044421 - RICH BAPA NONMTRTL-COLDSTONE"</f>
        <v>000044421 - RICH BAPA NONMTRTL-COLDSTONE</v>
      </c>
      <c r="C16000" t="s">
        <v>610</v>
      </c>
      <c r="D16000" s="1" t="str">
        <f t="shared" si="438"/>
        <v>PRG-1044360</v>
      </c>
      <c r="E16000" t="s">
        <v>132</v>
      </c>
      <c r="F16000" t="s">
        <v>4</v>
      </c>
      <c r="G16000" t="str">
        <f>""</f>
        <v/>
      </c>
    </row>
    <row r="16001" spans="1:7" x14ac:dyDescent="0.25">
      <c r="A16001" t="s">
        <v>8</v>
      </c>
      <c r="B16001" s="1" t="str">
        <f>"000048083 - RICH BAPA NONMTRTL-COLDSTONE"</f>
        <v>000048083 - RICH BAPA NONMTRTL-COLDSTONE</v>
      </c>
      <c r="C16001" t="s">
        <v>610</v>
      </c>
      <c r="D16001" s="1" t="str">
        <f t="shared" si="438"/>
        <v>PRG-1044360</v>
      </c>
      <c r="E16001" t="s">
        <v>132</v>
      </c>
      <c r="F16001" t="s">
        <v>4</v>
      </c>
      <c r="G16001" t="str">
        <f>""</f>
        <v/>
      </c>
    </row>
    <row r="16002" spans="1:7" x14ac:dyDescent="0.25">
      <c r="A16002" t="s">
        <v>8</v>
      </c>
      <c r="B16002" s="1" t="str">
        <f>"000081103 - RICH BAPA NONMTRTL-COLDSTONE"</f>
        <v>000081103 - RICH BAPA NONMTRTL-COLDSTONE</v>
      </c>
      <c r="C16002" t="s">
        <v>610</v>
      </c>
      <c r="D16002" s="1" t="str">
        <f t="shared" si="438"/>
        <v>PRG-1044360</v>
      </c>
      <c r="E16002" t="s">
        <v>132</v>
      </c>
      <c r="F16002" t="s">
        <v>4</v>
      </c>
      <c r="G16002" t="str">
        <f>""</f>
        <v/>
      </c>
    </row>
    <row r="16003" spans="1:7" x14ac:dyDescent="0.25">
      <c r="A16003" t="s">
        <v>8</v>
      </c>
      <c r="B16003" s="1" t="str">
        <f>"000175285 - RICH BAPA NONMTRTL-COLDSTONE"</f>
        <v>000175285 - RICH BAPA NONMTRTL-COLDSTONE</v>
      </c>
      <c r="C16003" t="s">
        <v>610</v>
      </c>
      <c r="D16003" s="1" t="str">
        <f t="shared" si="438"/>
        <v>PRG-1044360</v>
      </c>
      <c r="E16003" t="s">
        <v>132</v>
      </c>
      <c r="F16003" t="s">
        <v>4</v>
      </c>
      <c r="G16003" t="str">
        <f>""</f>
        <v/>
      </c>
    </row>
    <row r="16004" spans="1:7" x14ac:dyDescent="0.25">
      <c r="A16004" t="s">
        <v>8</v>
      </c>
      <c r="B16004" s="1" t="str">
        <f>"000272699 - RICH BAPA NONMTRTL-COLDSTONE"</f>
        <v>000272699 - RICH BAPA NONMTRTL-COLDSTONE</v>
      </c>
      <c r="C16004" t="s">
        <v>610</v>
      </c>
      <c r="D16004" s="1" t="str">
        <f t="shared" si="438"/>
        <v>PRG-1044360</v>
      </c>
      <c r="E16004" t="s">
        <v>132</v>
      </c>
      <c r="F16004" t="s">
        <v>4</v>
      </c>
      <c r="G16004" t="str">
        <f>""</f>
        <v/>
      </c>
    </row>
    <row r="16005" spans="1:7" x14ac:dyDescent="0.25">
      <c r="A16005" t="s">
        <v>8</v>
      </c>
      <c r="B16005" s="1" t="str">
        <f>"000272960 - RICH BAPA NONMTRTL-COLDSTONE"</f>
        <v>000272960 - RICH BAPA NONMTRTL-COLDSTONE</v>
      </c>
      <c r="C16005" t="s">
        <v>610</v>
      </c>
      <c r="D16005" s="1" t="str">
        <f t="shared" si="438"/>
        <v>PRG-1044360</v>
      </c>
      <c r="E16005" t="s">
        <v>132</v>
      </c>
      <c r="F16005" t="s">
        <v>4</v>
      </c>
      <c r="G16005" t="str">
        <f>""</f>
        <v/>
      </c>
    </row>
    <row r="16006" spans="1:7" x14ac:dyDescent="0.25">
      <c r="A16006" t="s">
        <v>8</v>
      </c>
      <c r="B16006" s="1" t="str">
        <f>"000276920 - RICH BAPA NONMTRTL-COLDSTONE"</f>
        <v>000276920 - RICH BAPA NONMTRTL-COLDSTONE</v>
      </c>
      <c r="C16006" t="s">
        <v>610</v>
      </c>
      <c r="D16006" s="1" t="str">
        <f t="shared" si="438"/>
        <v>PRG-1044360</v>
      </c>
      <c r="E16006" t="s">
        <v>132</v>
      </c>
      <c r="F16006" t="s">
        <v>4</v>
      </c>
      <c r="G16006" t="str">
        <f>""</f>
        <v/>
      </c>
    </row>
    <row r="16007" spans="1:7" x14ac:dyDescent="0.25">
      <c r="A16007" t="s">
        <v>8</v>
      </c>
      <c r="B16007" s="1" t="str">
        <f>"000294447 - RICH BAPA NONMTRTL-COLDSTONE"</f>
        <v>000294447 - RICH BAPA NONMTRTL-COLDSTONE</v>
      </c>
      <c r="C16007" t="s">
        <v>610</v>
      </c>
      <c r="D16007" s="1" t="str">
        <f t="shared" si="438"/>
        <v>PRG-1044360</v>
      </c>
      <c r="E16007" t="s">
        <v>132</v>
      </c>
      <c r="F16007" t="s">
        <v>4</v>
      </c>
      <c r="G16007" t="str">
        <f>""</f>
        <v/>
      </c>
    </row>
    <row r="16008" spans="1:7" x14ac:dyDescent="0.25">
      <c r="A16008" t="s">
        <v>8</v>
      </c>
      <c r="B16008" s="1" t="str">
        <f>"000295224 - RICH BAPA NONMTRTL-COLDSTONE"</f>
        <v>000295224 - RICH BAPA NONMTRTL-COLDSTONE</v>
      </c>
      <c r="C16008" t="s">
        <v>610</v>
      </c>
      <c r="D16008" s="1" t="str">
        <f t="shared" si="438"/>
        <v>PRG-1044360</v>
      </c>
      <c r="E16008" t="s">
        <v>132</v>
      </c>
      <c r="F16008" t="s">
        <v>4</v>
      </c>
      <c r="G16008" t="str">
        <f>""</f>
        <v/>
      </c>
    </row>
    <row r="16009" spans="1:7" x14ac:dyDescent="0.25">
      <c r="A16009" t="s">
        <v>8</v>
      </c>
      <c r="B16009" s="1" t="str">
        <f>"000324772 - RICH BAPA NONMTRTL-COLDSTONE"</f>
        <v>000324772 - RICH BAPA NONMTRTL-COLDSTONE</v>
      </c>
      <c r="C16009" t="s">
        <v>610</v>
      </c>
      <c r="D16009" s="1" t="str">
        <f t="shared" si="438"/>
        <v>PRG-1044360</v>
      </c>
      <c r="E16009" t="s">
        <v>132</v>
      </c>
      <c r="F16009" t="s">
        <v>4</v>
      </c>
      <c r="G16009" t="str">
        <f>""</f>
        <v/>
      </c>
    </row>
    <row r="16010" spans="1:7" x14ac:dyDescent="0.25">
      <c r="A16010" t="s">
        <v>8</v>
      </c>
      <c r="B16010" s="1" t="str">
        <f>"000341291 - RICH BAPA NONMTRTL-COLDSTONE"</f>
        <v>000341291 - RICH BAPA NONMTRTL-COLDSTONE</v>
      </c>
      <c r="C16010" t="s">
        <v>610</v>
      </c>
      <c r="D16010" s="1" t="str">
        <f t="shared" si="438"/>
        <v>PRG-1044360</v>
      </c>
      <c r="E16010" t="s">
        <v>132</v>
      </c>
      <c r="F16010" t="s">
        <v>4</v>
      </c>
      <c r="G16010" t="str">
        <f>""</f>
        <v/>
      </c>
    </row>
    <row r="16011" spans="1:7" x14ac:dyDescent="0.25">
      <c r="A16011" t="s">
        <v>8</v>
      </c>
      <c r="B16011" s="1" t="str">
        <f>"000355433 - RICH BAPA NONMTRTL-COLDSTONE"</f>
        <v>000355433 - RICH BAPA NONMTRTL-COLDSTONE</v>
      </c>
      <c r="C16011" t="s">
        <v>610</v>
      </c>
      <c r="D16011" s="1" t="str">
        <f t="shared" si="438"/>
        <v>PRG-1044360</v>
      </c>
      <c r="E16011" t="s">
        <v>132</v>
      </c>
      <c r="F16011" t="s">
        <v>4</v>
      </c>
      <c r="G16011" t="str">
        <f>""</f>
        <v/>
      </c>
    </row>
    <row r="16012" spans="1:7" x14ac:dyDescent="0.25">
      <c r="A16012" t="s">
        <v>8</v>
      </c>
      <c r="B16012" s="1" t="str">
        <f>"000379737 - RICH BAPA NONMTRTL-COLDSTONE"</f>
        <v>000379737 - RICH BAPA NONMTRTL-COLDSTONE</v>
      </c>
      <c r="C16012" t="s">
        <v>610</v>
      </c>
      <c r="D16012" s="1" t="str">
        <f t="shared" si="438"/>
        <v>PRG-1044360</v>
      </c>
      <c r="E16012" t="s">
        <v>132</v>
      </c>
      <c r="F16012" t="s">
        <v>4</v>
      </c>
      <c r="G16012" t="str">
        <f>""</f>
        <v/>
      </c>
    </row>
    <row r="16013" spans="1:7" x14ac:dyDescent="0.25">
      <c r="A16013" t="s">
        <v>8</v>
      </c>
      <c r="B16013" s="1" t="str">
        <f>"000381693 - RICH BAPA NONMTRTL-COLDSTONE"</f>
        <v>000381693 - RICH BAPA NONMTRTL-COLDSTONE</v>
      </c>
      <c r="C16013" t="s">
        <v>610</v>
      </c>
      <c r="D16013" s="1" t="str">
        <f t="shared" si="438"/>
        <v>PRG-1044360</v>
      </c>
      <c r="E16013" t="s">
        <v>132</v>
      </c>
      <c r="F16013" t="s">
        <v>4</v>
      </c>
      <c r="G16013" t="str">
        <f>""</f>
        <v/>
      </c>
    </row>
    <row r="16014" spans="1:7" x14ac:dyDescent="0.25">
      <c r="A16014" t="s">
        <v>8</v>
      </c>
      <c r="B16014" s="1" t="str">
        <f>"000388643 - RICH BAPA NONMTRTL-COLDSTONE"</f>
        <v>000388643 - RICH BAPA NONMTRTL-COLDSTONE</v>
      </c>
      <c r="C16014" t="s">
        <v>610</v>
      </c>
      <c r="D16014" s="1" t="str">
        <f t="shared" si="438"/>
        <v>PRG-1044360</v>
      </c>
      <c r="E16014" t="s">
        <v>132</v>
      </c>
      <c r="F16014" t="s">
        <v>4</v>
      </c>
      <c r="G16014" t="str">
        <f>""</f>
        <v/>
      </c>
    </row>
    <row r="16015" spans="1:7" x14ac:dyDescent="0.25">
      <c r="A16015" t="s">
        <v>8</v>
      </c>
      <c r="B16015" s="1" t="str">
        <f>"000406336 - RICH BAPA NONMTRTL-COLDSTONE"</f>
        <v>000406336 - RICH BAPA NONMTRTL-COLDSTONE</v>
      </c>
      <c r="C16015" t="s">
        <v>610</v>
      </c>
      <c r="D16015" s="1" t="str">
        <f t="shared" si="438"/>
        <v>PRG-1044360</v>
      </c>
      <c r="E16015" t="s">
        <v>132</v>
      </c>
      <c r="F16015" t="s">
        <v>4</v>
      </c>
      <c r="G16015" t="str">
        <f>""</f>
        <v/>
      </c>
    </row>
    <row r="16016" spans="1:7" x14ac:dyDescent="0.25">
      <c r="A16016" t="s">
        <v>8</v>
      </c>
      <c r="B16016" s="1" t="str">
        <f>"000411056 - RICH BAPA NONMTRTL-COLDSTONE"</f>
        <v>000411056 - RICH BAPA NONMTRTL-COLDSTONE</v>
      </c>
      <c r="C16016" t="s">
        <v>610</v>
      </c>
      <c r="D16016" s="1" t="str">
        <f t="shared" si="438"/>
        <v>PRG-1044360</v>
      </c>
      <c r="E16016" t="s">
        <v>132</v>
      </c>
      <c r="F16016" t="s">
        <v>4</v>
      </c>
      <c r="G16016" t="str">
        <f>""</f>
        <v/>
      </c>
    </row>
    <row r="16017" spans="1:7" x14ac:dyDescent="0.25">
      <c r="A16017" t="s">
        <v>8</v>
      </c>
      <c r="B16017" s="1" t="str">
        <f>"000420273 - RICH BAPA NONMTRTL-COLDSTONE"</f>
        <v>000420273 - RICH BAPA NONMTRTL-COLDSTONE</v>
      </c>
      <c r="C16017" t="s">
        <v>610</v>
      </c>
      <c r="D16017" s="1" t="str">
        <f t="shared" si="438"/>
        <v>PRG-1044360</v>
      </c>
      <c r="E16017" t="s">
        <v>132</v>
      </c>
      <c r="F16017" t="s">
        <v>4</v>
      </c>
      <c r="G16017" t="str">
        <f>""</f>
        <v/>
      </c>
    </row>
    <row r="16018" spans="1:7" x14ac:dyDescent="0.25">
      <c r="A16018" t="s">
        <v>8</v>
      </c>
      <c r="B16018" s="1" t="str">
        <f>"000202720 - RICH PD1 URBAN AIR"</f>
        <v>000202720 - RICH PD1 URBAN AIR</v>
      </c>
      <c r="C16018" t="s">
        <v>1332</v>
      </c>
      <c r="D16018" s="1" t="str">
        <f>"PRG-1044467"</f>
        <v>PRG-1044467</v>
      </c>
      <c r="E16018" t="s">
        <v>1333</v>
      </c>
      <c r="F16018" t="s">
        <v>4</v>
      </c>
      <c r="G16018" t="str">
        <f>""</f>
        <v/>
      </c>
    </row>
    <row r="16019" spans="1:7" x14ac:dyDescent="0.25">
      <c r="A16019" t="s">
        <v>8</v>
      </c>
      <c r="B16019" s="1" t="str">
        <f>"000031063 - RICH PRODUCTS-SIZZLER"</f>
        <v>000031063 - RICH PRODUCTS-SIZZLER</v>
      </c>
      <c r="C16019" t="s">
        <v>210</v>
      </c>
      <c r="D16019" s="1" t="str">
        <f>"PRG-1044481"</f>
        <v>PRG-1044481</v>
      </c>
      <c r="E16019" t="s">
        <v>402</v>
      </c>
      <c r="F16019" t="s">
        <v>4</v>
      </c>
      <c r="G16019" t="str">
        <f>""</f>
        <v/>
      </c>
    </row>
    <row r="16020" spans="1:7" x14ac:dyDescent="0.25">
      <c r="A16020" t="s">
        <v>8</v>
      </c>
      <c r="B16020" s="1" t="str">
        <f>"000288964 - RICH PRODUCTS-SIZZLER"</f>
        <v>000288964 - RICH PRODUCTS-SIZZLER</v>
      </c>
      <c r="C16020" t="s">
        <v>210</v>
      </c>
      <c r="D16020" s="1" t="str">
        <f>"PRG-1044481"</f>
        <v>PRG-1044481</v>
      </c>
      <c r="E16020" t="s">
        <v>402</v>
      </c>
      <c r="F16020" t="s">
        <v>4</v>
      </c>
      <c r="G16020" t="str">
        <f>""</f>
        <v/>
      </c>
    </row>
    <row r="16021" spans="1:7" x14ac:dyDescent="0.25">
      <c r="A16021" t="s">
        <v>8</v>
      </c>
      <c r="B16021" s="1" t="str">
        <f>"000382343 - RICH PRODUCTS-SIZZLER"</f>
        <v>000382343 - RICH PRODUCTS-SIZZLER</v>
      </c>
      <c r="C16021" t="s">
        <v>210</v>
      </c>
      <c r="D16021" s="1" t="str">
        <f>"PRG-1044481"</f>
        <v>PRG-1044481</v>
      </c>
      <c r="E16021" t="s">
        <v>402</v>
      </c>
      <c r="F16021" t="s">
        <v>4</v>
      </c>
      <c r="G16021" t="str">
        <f>""</f>
        <v/>
      </c>
    </row>
    <row r="16022" spans="1:7" x14ac:dyDescent="0.25">
      <c r="A16022" t="s">
        <v>8</v>
      </c>
      <c r="B16022" s="1" t="str">
        <f>"000422483 - RICH FOODS-SIZZLER"</f>
        <v>000422483 - RICH FOODS-SIZZLER</v>
      </c>
      <c r="C16022" t="s">
        <v>730</v>
      </c>
      <c r="D16022" s="1" t="str">
        <f>"PRG-1044481"</f>
        <v>PRG-1044481</v>
      </c>
      <c r="E16022" t="s">
        <v>402</v>
      </c>
      <c r="F16022" t="s">
        <v>4</v>
      </c>
      <c r="G16022" t="str">
        <f>""</f>
        <v/>
      </c>
    </row>
    <row r="16023" spans="1:7" x14ac:dyDescent="0.25">
      <c r="A16023" t="s">
        <v>8</v>
      </c>
      <c r="B16023" s="1" t="str">
        <f>"000098281 - RICH PRODUCTS-SIZZLER"</f>
        <v>000098281 - RICH PRODUCTS-SIZZLER</v>
      </c>
      <c r="C16023" t="s">
        <v>210</v>
      </c>
      <c r="D16023" s="1" t="str">
        <f t="shared" ref="D16023:D16029" si="439">"PRG-1044482"</f>
        <v>PRG-1044482</v>
      </c>
      <c r="E16023" t="s">
        <v>402</v>
      </c>
      <c r="F16023" t="s">
        <v>4</v>
      </c>
      <c r="G16023" t="str">
        <f>""</f>
        <v/>
      </c>
    </row>
    <row r="16024" spans="1:7" x14ac:dyDescent="0.25">
      <c r="A16024" t="s">
        <v>8</v>
      </c>
      <c r="B16024" s="1" t="str">
        <f>"000336030 - RICH PROD SIZZLER REESE"</f>
        <v>000336030 - RICH PROD SIZZLER REESE</v>
      </c>
      <c r="C16024" t="s">
        <v>3402</v>
      </c>
      <c r="D16024" s="1" t="str">
        <f t="shared" si="439"/>
        <v>PRG-1044482</v>
      </c>
      <c r="E16024" t="s">
        <v>402</v>
      </c>
      <c r="F16024" t="s">
        <v>4</v>
      </c>
      <c r="G16024" t="str">
        <f>""</f>
        <v/>
      </c>
    </row>
    <row r="16025" spans="1:7" x14ac:dyDescent="0.25">
      <c r="A16025" t="s">
        <v>8</v>
      </c>
      <c r="B16025" s="1" t="str">
        <f>"000338077 - RICH PRODUCTS-SIZZLER"</f>
        <v>000338077 - RICH PRODUCTS-SIZZLER</v>
      </c>
      <c r="C16025" t="s">
        <v>210</v>
      </c>
      <c r="D16025" s="1" t="str">
        <f t="shared" si="439"/>
        <v>PRG-1044482</v>
      </c>
      <c r="E16025" t="s">
        <v>402</v>
      </c>
      <c r="F16025" t="s">
        <v>4</v>
      </c>
      <c r="G16025" t="str">
        <f>""</f>
        <v/>
      </c>
    </row>
    <row r="16026" spans="1:7" x14ac:dyDescent="0.25">
      <c r="A16026" t="s">
        <v>8</v>
      </c>
      <c r="B16026" s="1" t="str">
        <f>"000351223 - RICH PRODUCTS-SIZZLER"</f>
        <v>000351223 - RICH PRODUCTS-SIZZLER</v>
      </c>
      <c r="C16026" t="s">
        <v>210</v>
      </c>
      <c r="D16026" s="1" t="str">
        <f t="shared" si="439"/>
        <v>PRG-1044482</v>
      </c>
      <c r="E16026" t="s">
        <v>402</v>
      </c>
      <c r="F16026" t="s">
        <v>4</v>
      </c>
      <c r="G16026" t="str">
        <f>""</f>
        <v/>
      </c>
    </row>
    <row r="16027" spans="1:7" x14ac:dyDescent="0.25">
      <c r="A16027" t="s">
        <v>8</v>
      </c>
      <c r="B16027" s="1" t="str">
        <f>"000382880 - RICH PRODUCTS-SIZZLER"</f>
        <v>000382880 - RICH PRODUCTS-SIZZLER</v>
      </c>
      <c r="C16027" t="s">
        <v>210</v>
      </c>
      <c r="D16027" s="1" t="str">
        <f t="shared" si="439"/>
        <v>PRG-1044482</v>
      </c>
      <c r="E16027" t="s">
        <v>402</v>
      </c>
      <c r="F16027" t="s">
        <v>4</v>
      </c>
      <c r="G16027" t="str">
        <f>""</f>
        <v/>
      </c>
    </row>
    <row r="16028" spans="1:7" x14ac:dyDescent="0.25">
      <c r="A16028" t="s">
        <v>8</v>
      </c>
      <c r="B16028" s="1" t="str">
        <f>"000415795 - RICH PRODUCTS-SIZZLER"</f>
        <v>000415795 - RICH PRODUCTS-SIZZLER</v>
      </c>
      <c r="C16028" t="s">
        <v>210</v>
      </c>
      <c r="D16028" s="1" t="str">
        <f t="shared" si="439"/>
        <v>PRG-1044482</v>
      </c>
      <c r="E16028" t="s">
        <v>402</v>
      </c>
      <c r="F16028" t="s">
        <v>4</v>
      </c>
      <c r="G16028" t="str">
        <f>""</f>
        <v/>
      </c>
    </row>
    <row r="16029" spans="1:7" x14ac:dyDescent="0.25">
      <c r="A16029" t="s">
        <v>8</v>
      </c>
      <c r="B16029" s="1" t="str">
        <f>"000427118 - RICH FOODS-SIZZLER"</f>
        <v>000427118 - RICH FOODS-SIZZLER</v>
      </c>
      <c r="C16029" t="s">
        <v>730</v>
      </c>
      <c r="D16029" s="1" t="str">
        <f t="shared" si="439"/>
        <v>PRG-1044482</v>
      </c>
      <c r="E16029" t="s">
        <v>402</v>
      </c>
      <c r="F16029" t="s">
        <v>4</v>
      </c>
      <c r="G16029" t="str">
        <f>""</f>
        <v/>
      </c>
    </row>
    <row r="16030" spans="1:7" x14ac:dyDescent="0.25">
      <c r="A16030" t="s">
        <v>8</v>
      </c>
      <c r="B16030" s="1" t="str">
        <f>"000020669 - RICH PRODUCTS-SIZZLER"</f>
        <v>000020669 - RICH PRODUCTS-SIZZLER</v>
      </c>
      <c r="C16030" t="s">
        <v>210</v>
      </c>
      <c r="D16030" s="1" t="str">
        <f t="shared" ref="D16030:D16059" si="440">"PRG-1044483"</f>
        <v>PRG-1044483</v>
      </c>
      <c r="E16030" t="s">
        <v>402</v>
      </c>
      <c r="F16030" t="s">
        <v>4</v>
      </c>
      <c r="G16030" t="str">
        <f>""</f>
        <v/>
      </c>
    </row>
    <row r="16031" spans="1:7" x14ac:dyDescent="0.25">
      <c r="A16031" t="s">
        <v>8</v>
      </c>
      <c r="B16031" s="1" t="str">
        <f>"000027550 - RICH PRODUCTS-SIZZLER"</f>
        <v>000027550 - RICH PRODUCTS-SIZZLER</v>
      </c>
      <c r="C16031" t="s">
        <v>210</v>
      </c>
      <c r="D16031" s="1" t="str">
        <f t="shared" si="440"/>
        <v>PRG-1044483</v>
      </c>
      <c r="E16031" t="s">
        <v>402</v>
      </c>
      <c r="F16031" t="s">
        <v>4</v>
      </c>
      <c r="G16031" t="str">
        <f>""</f>
        <v/>
      </c>
    </row>
    <row r="16032" spans="1:7" x14ac:dyDescent="0.25">
      <c r="A16032" t="s">
        <v>8</v>
      </c>
      <c r="B16032" s="1" t="str">
        <f>"000054531 - RICH PRODUCTS-SIZZLER USA"</f>
        <v>000054531 - RICH PRODUCTS-SIZZLER USA</v>
      </c>
      <c r="C16032" t="s">
        <v>673</v>
      </c>
      <c r="D16032" s="1" t="str">
        <f t="shared" si="440"/>
        <v>PRG-1044483</v>
      </c>
      <c r="E16032" t="s">
        <v>402</v>
      </c>
      <c r="F16032" t="s">
        <v>4</v>
      </c>
      <c r="G16032" t="str">
        <f>""</f>
        <v/>
      </c>
    </row>
    <row r="16033" spans="1:7" x14ac:dyDescent="0.25">
      <c r="A16033" t="s">
        <v>8</v>
      </c>
      <c r="B16033" s="1" t="str">
        <f>"000088267 - RICH PRODUCTS-SIZZLER"</f>
        <v>000088267 - RICH PRODUCTS-SIZZLER</v>
      </c>
      <c r="C16033" t="s">
        <v>210</v>
      </c>
      <c r="D16033" s="1" t="str">
        <f t="shared" si="440"/>
        <v>PRG-1044483</v>
      </c>
      <c r="E16033" t="s">
        <v>402</v>
      </c>
      <c r="F16033" t="s">
        <v>4</v>
      </c>
      <c r="G16033" t="str">
        <f>""</f>
        <v/>
      </c>
    </row>
    <row r="16034" spans="1:7" x14ac:dyDescent="0.25">
      <c r="A16034" t="s">
        <v>8</v>
      </c>
      <c r="B16034" s="1" t="str">
        <f>"000094874 - RICH PRODUCTS-SIZZLER"</f>
        <v>000094874 - RICH PRODUCTS-SIZZLER</v>
      </c>
      <c r="C16034" t="s">
        <v>210</v>
      </c>
      <c r="D16034" s="1" t="str">
        <f t="shared" si="440"/>
        <v>PRG-1044483</v>
      </c>
      <c r="E16034" t="s">
        <v>402</v>
      </c>
      <c r="F16034" t="s">
        <v>4</v>
      </c>
      <c r="G16034" t="str">
        <f>""</f>
        <v/>
      </c>
    </row>
    <row r="16035" spans="1:7" x14ac:dyDescent="0.25">
      <c r="A16035" t="s">
        <v>8</v>
      </c>
      <c r="B16035" s="1" t="str">
        <f>"000119788 - RICH PRODUCTS-SIZZLER USA"</f>
        <v>000119788 - RICH PRODUCTS-SIZZLER USA</v>
      </c>
      <c r="C16035" t="s">
        <v>673</v>
      </c>
      <c r="D16035" s="1" t="str">
        <f t="shared" si="440"/>
        <v>PRG-1044483</v>
      </c>
      <c r="E16035" t="s">
        <v>402</v>
      </c>
      <c r="F16035" t="s">
        <v>4</v>
      </c>
      <c r="G16035" t="str">
        <f>""</f>
        <v/>
      </c>
    </row>
    <row r="16036" spans="1:7" x14ac:dyDescent="0.25">
      <c r="A16036" t="s">
        <v>8</v>
      </c>
      <c r="B16036" s="1" t="str">
        <f>"000274020 - RICH PRODUCTS-SIZZLER"</f>
        <v>000274020 - RICH PRODUCTS-SIZZLER</v>
      </c>
      <c r="C16036" t="s">
        <v>210</v>
      </c>
      <c r="D16036" s="1" t="str">
        <f t="shared" si="440"/>
        <v>PRG-1044483</v>
      </c>
      <c r="E16036" t="s">
        <v>402</v>
      </c>
      <c r="F16036" t="s">
        <v>4</v>
      </c>
      <c r="G16036" t="str">
        <f>""</f>
        <v/>
      </c>
    </row>
    <row r="16037" spans="1:7" x14ac:dyDescent="0.25">
      <c r="A16037" t="s">
        <v>8</v>
      </c>
      <c r="B16037" s="1" t="str">
        <f>"000283766 - RICH PRODUCTS-SIZZLER"</f>
        <v>000283766 - RICH PRODUCTS-SIZZLER</v>
      </c>
      <c r="C16037" t="s">
        <v>210</v>
      </c>
      <c r="D16037" s="1" t="str">
        <f t="shared" si="440"/>
        <v>PRG-1044483</v>
      </c>
      <c r="E16037" t="s">
        <v>402</v>
      </c>
      <c r="F16037" t="s">
        <v>4</v>
      </c>
      <c r="G16037" t="str">
        <f>""</f>
        <v/>
      </c>
    </row>
    <row r="16038" spans="1:7" x14ac:dyDescent="0.25">
      <c r="A16038" t="s">
        <v>8</v>
      </c>
      <c r="B16038" s="1" t="str">
        <f>"000289482 - RICH PRODUCTS SIZZLER"</f>
        <v>000289482 - RICH PRODUCTS SIZZLER</v>
      </c>
      <c r="C16038" t="s">
        <v>2462</v>
      </c>
      <c r="D16038" s="1" t="str">
        <f t="shared" si="440"/>
        <v>PRG-1044483</v>
      </c>
      <c r="E16038" t="s">
        <v>402</v>
      </c>
      <c r="F16038" t="s">
        <v>4</v>
      </c>
      <c r="G16038" t="str">
        <f>""</f>
        <v/>
      </c>
    </row>
    <row r="16039" spans="1:7" x14ac:dyDescent="0.25">
      <c r="A16039" t="s">
        <v>8</v>
      </c>
      <c r="B16039" s="1" t="str">
        <f>"000303063 - RICH - SIZZLER"</f>
        <v>000303063 - RICH - SIZZLER</v>
      </c>
      <c r="C16039" t="s">
        <v>588</v>
      </c>
      <c r="D16039" s="1" t="str">
        <f t="shared" si="440"/>
        <v>PRG-1044483</v>
      </c>
      <c r="E16039" t="s">
        <v>402</v>
      </c>
      <c r="F16039" t="s">
        <v>4</v>
      </c>
      <c r="G16039" t="str">
        <f>""</f>
        <v/>
      </c>
    </row>
    <row r="16040" spans="1:7" x14ac:dyDescent="0.25">
      <c r="A16040" t="s">
        <v>8</v>
      </c>
      <c r="B16040" s="1" t="str">
        <f>"000303377 - &amp;MP RICH MEATBALLS-SIZZLER"</f>
        <v>000303377 - &amp;MP RICH MEATBALLS-SIZZLER</v>
      </c>
      <c r="C16040" t="s">
        <v>3007</v>
      </c>
      <c r="D16040" s="1" t="str">
        <f t="shared" si="440"/>
        <v>PRG-1044483</v>
      </c>
      <c r="E16040" t="s">
        <v>402</v>
      </c>
      <c r="F16040" t="s">
        <v>4</v>
      </c>
      <c r="G16040" t="str">
        <f>""</f>
        <v/>
      </c>
    </row>
    <row r="16041" spans="1:7" x14ac:dyDescent="0.25">
      <c r="A16041" t="s">
        <v>8</v>
      </c>
      <c r="B16041" s="1" t="str">
        <f>"000310989 - RICH TOP PUDDING-SIZZLER"</f>
        <v>000310989 - RICH TOP PUDDING-SIZZLER</v>
      </c>
      <c r="C16041" t="s">
        <v>707</v>
      </c>
      <c r="D16041" s="1" t="str">
        <f t="shared" si="440"/>
        <v>PRG-1044483</v>
      </c>
      <c r="E16041" t="s">
        <v>402</v>
      </c>
      <c r="F16041" t="s">
        <v>4</v>
      </c>
      <c r="G16041" t="str">
        <f>""</f>
        <v/>
      </c>
    </row>
    <row r="16042" spans="1:7" x14ac:dyDescent="0.25">
      <c r="A16042" t="s">
        <v>8</v>
      </c>
      <c r="B16042" s="1" t="str">
        <f>"000317228 - RICH PRODUCTS-SIZZLER"</f>
        <v>000317228 - RICH PRODUCTS-SIZZLER</v>
      </c>
      <c r="C16042" t="s">
        <v>210</v>
      </c>
      <c r="D16042" s="1" t="str">
        <f t="shared" si="440"/>
        <v>PRG-1044483</v>
      </c>
      <c r="E16042" t="s">
        <v>402</v>
      </c>
      <c r="F16042" t="s">
        <v>4</v>
      </c>
      <c r="G16042" t="str">
        <f>""</f>
        <v/>
      </c>
    </row>
    <row r="16043" spans="1:7" x14ac:dyDescent="0.25">
      <c r="A16043" t="s">
        <v>8</v>
      </c>
      <c r="B16043" s="1" t="str">
        <f>"000317237 - &amp;MP RICH MEATBALLS-SIZZLER"</f>
        <v>000317237 - &amp;MP RICH MEATBALLS-SIZZLER</v>
      </c>
      <c r="C16043" t="s">
        <v>3007</v>
      </c>
      <c r="D16043" s="1" t="str">
        <f t="shared" si="440"/>
        <v>PRG-1044483</v>
      </c>
      <c r="E16043" t="s">
        <v>402</v>
      </c>
      <c r="F16043" t="s">
        <v>4</v>
      </c>
      <c r="G16043" t="str">
        <f>""</f>
        <v/>
      </c>
    </row>
    <row r="16044" spans="1:7" x14ac:dyDescent="0.25">
      <c r="A16044" t="s">
        <v>8</v>
      </c>
      <c r="B16044" s="1" t="str">
        <f>"000320968 - RICH PRODUCTS-SIZZLER USA"</f>
        <v>000320968 - RICH PRODUCTS-SIZZLER USA</v>
      </c>
      <c r="C16044" t="s">
        <v>673</v>
      </c>
      <c r="D16044" s="1" t="str">
        <f t="shared" si="440"/>
        <v>PRG-1044483</v>
      </c>
      <c r="E16044" t="s">
        <v>402</v>
      </c>
      <c r="F16044" t="s">
        <v>4</v>
      </c>
      <c r="G16044" t="str">
        <f>""</f>
        <v/>
      </c>
    </row>
    <row r="16045" spans="1:7" x14ac:dyDescent="0.25">
      <c r="A16045" t="s">
        <v>8</v>
      </c>
      <c r="B16045" s="1" t="str">
        <f>"000327712 - RICH PRODUCTS-SIZZLER"</f>
        <v>000327712 - RICH PRODUCTS-SIZZLER</v>
      </c>
      <c r="C16045" t="s">
        <v>210</v>
      </c>
      <c r="D16045" s="1" t="str">
        <f t="shared" si="440"/>
        <v>PRG-1044483</v>
      </c>
      <c r="E16045" t="s">
        <v>402</v>
      </c>
      <c r="F16045" t="s">
        <v>4</v>
      </c>
      <c r="G16045" t="str">
        <f>""</f>
        <v/>
      </c>
    </row>
    <row r="16046" spans="1:7" x14ac:dyDescent="0.25">
      <c r="A16046" t="s">
        <v>8</v>
      </c>
      <c r="B16046" s="1" t="str">
        <f>"000332575 - RICH TOP PUDDING-SIZZLER"</f>
        <v>000332575 - RICH TOP PUDDING-SIZZLER</v>
      </c>
      <c r="C16046" t="s">
        <v>707</v>
      </c>
      <c r="D16046" s="1" t="str">
        <f t="shared" si="440"/>
        <v>PRG-1044483</v>
      </c>
      <c r="E16046" t="s">
        <v>402</v>
      </c>
      <c r="F16046" t="s">
        <v>4</v>
      </c>
      <c r="G16046" t="str">
        <f>""</f>
        <v/>
      </c>
    </row>
    <row r="16047" spans="1:7" x14ac:dyDescent="0.25">
      <c r="A16047" t="s">
        <v>8</v>
      </c>
      <c r="B16047" s="1" t="str">
        <f>"000347227 - RICH PRODUCTS-SIZZLER"</f>
        <v>000347227 - RICH PRODUCTS-SIZZLER</v>
      </c>
      <c r="C16047" t="s">
        <v>210</v>
      </c>
      <c r="D16047" s="1" t="str">
        <f t="shared" si="440"/>
        <v>PRG-1044483</v>
      </c>
      <c r="E16047" t="s">
        <v>402</v>
      </c>
      <c r="F16047" t="s">
        <v>4</v>
      </c>
      <c r="G16047" t="str">
        <f>""</f>
        <v/>
      </c>
    </row>
    <row r="16048" spans="1:7" x14ac:dyDescent="0.25">
      <c r="A16048" t="s">
        <v>8</v>
      </c>
      <c r="B16048" s="1" t="str">
        <f>"000361225 - RICH PRODUCTS-SIZZLER USA"</f>
        <v>000361225 - RICH PRODUCTS-SIZZLER USA</v>
      </c>
      <c r="C16048" t="s">
        <v>673</v>
      </c>
      <c r="D16048" s="1" t="str">
        <f t="shared" si="440"/>
        <v>PRG-1044483</v>
      </c>
      <c r="E16048" t="s">
        <v>402</v>
      </c>
      <c r="F16048" t="s">
        <v>4</v>
      </c>
      <c r="G16048" t="str">
        <f>""</f>
        <v/>
      </c>
    </row>
    <row r="16049" spans="1:7" x14ac:dyDescent="0.25">
      <c r="A16049" t="s">
        <v>8</v>
      </c>
      <c r="B16049" s="1" t="str">
        <f>"000369322 - RICH PRODUCTS-SIZZLER"</f>
        <v>000369322 - RICH PRODUCTS-SIZZLER</v>
      </c>
      <c r="C16049" t="s">
        <v>210</v>
      </c>
      <c r="D16049" s="1" t="str">
        <f t="shared" si="440"/>
        <v>PRG-1044483</v>
      </c>
      <c r="E16049" t="s">
        <v>402</v>
      </c>
      <c r="F16049" t="s">
        <v>4</v>
      </c>
      <c r="G16049" t="str">
        <f>""</f>
        <v/>
      </c>
    </row>
    <row r="16050" spans="1:7" x14ac:dyDescent="0.25">
      <c r="A16050" t="s">
        <v>8</v>
      </c>
      <c r="B16050" s="1" t="str">
        <f>"000377031 - RICH PRODUCTS-SIZZLER USA"</f>
        <v>000377031 - RICH PRODUCTS-SIZZLER USA</v>
      </c>
      <c r="C16050" t="s">
        <v>673</v>
      </c>
      <c r="D16050" s="1" t="str">
        <f t="shared" si="440"/>
        <v>PRG-1044483</v>
      </c>
      <c r="E16050" t="s">
        <v>402</v>
      </c>
      <c r="F16050" t="s">
        <v>4</v>
      </c>
      <c r="G16050" t="str">
        <f>""</f>
        <v/>
      </c>
    </row>
    <row r="16051" spans="1:7" x14ac:dyDescent="0.25">
      <c r="A16051" t="s">
        <v>8</v>
      </c>
      <c r="B16051" s="1" t="str">
        <f>"000377807 - RICH PRODUCTS-SIZZLER"</f>
        <v>000377807 - RICH PRODUCTS-SIZZLER</v>
      </c>
      <c r="C16051" t="s">
        <v>210</v>
      </c>
      <c r="D16051" s="1" t="str">
        <f t="shared" si="440"/>
        <v>PRG-1044483</v>
      </c>
      <c r="E16051" t="s">
        <v>402</v>
      </c>
      <c r="F16051" t="s">
        <v>4</v>
      </c>
      <c r="G16051" t="str">
        <f>""</f>
        <v/>
      </c>
    </row>
    <row r="16052" spans="1:7" x14ac:dyDescent="0.25">
      <c r="A16052" t="s">
        <v>8</v>
      </c>
      <c r="B16052" s="1" t="str">
        <f>"000378938 - RICH PRODUCTS-SIZZLER"</f>
        <v>000378938 - RICH PRODUCTS-SIZZLER</v>
      </c>
      <c r="C16052" t="s">
        <v>210</v>
      </c>
      <c r="D16052" s="1" t="str">
        <f t="shared" si="440"/>
        <v>PRG-1044483</v>
      </c>
      <c r="E16052" t="s">
        <v>402</v>
      </c>
      <c r="F16052" t="s">
        <v>4</v>
      </c>
      <c r="G16052" t="str">
        <f>""</f>
        <v/>
      </c>
    </row>
    <row r="16053" spans="1:7" x14ac:dyDescent="0.25">
      <c r="A16053" t="s">
        <v>8</v>
      </c>
      <c r="B16053" s="1" t="str">
        <f>"000403573 - RICH PRODUCTS-SIZZLER"</f>
        <v>000403573 - RICH PRODUCTS-SIZZLER</v>
      </c>
      <c r="C16053" t="s">
        <v>210</v>
      </c>
      <c r="D16053" s="1" t="str">
        <f t="shared" si="440"/>
        <v>PRG-1044483</v>
      </c>
      <c r="E16053" t="s">
        <v>402</v>
      </c>
      <c r="F16053" t="s">
        <v>4</v>
      </c>
      <c r="G16053" t="str">
        <f>""</f>
        <v/>
      </c>
    </row>
    <row r="16054" spans="1:7" x14ac:dyDescent="0.25">
      <c r="A16054" t="s">
        <v>8</v>
      </c>
      <c r="B16054" s="1" t="str">
        <f>"000408072 - RICH PRODUCTS-SIZZLER USA"</f>
        <v>000408072 - RICH PRODUCTS-SIZZLER USA</v>
      </c>
      <c r="C16054" t="s">
        <v>673</v>
      </c>
      <c r="D16054" s="1" t="str">
        <f t="shared" si="440"/>
        <v>PRG-1044483</v>
      </c>
      <c r="E16054" t="s">
        <v>402</v>
      </c>
      <c r="F16054" t="s">
        <v>4</v>
      </c>
      <c r="G16054" t="str">
        <f>""</f>
        <v/>
      </c>
    </row>
    <row r="16055" spans="1:7" x14ac:dyDescent="0.25">
      <c r="A16055" t="s">
        <v>8</v>
      </c>
      <c r="B16055" s="1" t="str">
        <f>"000411526 - RICH PRODUCTS-SIZZLER USA"</f>
        <v>000411526 - RICH PRODUCTS-SIZZLER USA</v>
      </c>
      <c r="C16055" t="s">
        <v>673</v>
      </c>
      <c r="D16055" s="1" t="str">
        <f t="shared" si="440"/>
        <v>PRG-1044483</v>
      </c>
      <c r="E16055" t="s">
        <v>402</v>
      </c>
      <c r="F16055" t="s">
        <v>4</v>
      </c>
      <c r="G16055" t="str">
        <f>""</f>
        <v/>
      </c>
    </row>
    <row r="16056" spans="1:7" x14ac:dyDescent="0.25">
      <c r="A16056" t="s">
        <v>8</v>
      </c>
      <c r="B16056" s="1" t="str">
        <f>"000411686 - RICH PRODUCTS-SIZZLER"</f>
        <v>000411686 - RICH PRODUCTS-SIZZLER</v>
      </c>
      <c r="C16056" t="s">
        <v>210</v>
      </c>
      <c r="D16056" s="1" t="str">
        <f t="shared" si="440"/>
        <v>PRG-1044483</v>
      </c>
      <c r="E16056" t="s">
        <v>402</v>
      </c>
      <c r="F16056" t="s">
        <v>4</v>
      </c>
      <c r="G16056" t="str">
        <f>""</f>
        <v/>
      </c>
    </row>
    <row r="16057" spans="1:7" x14ac:dyDescent="0.25">
      <c r="A16057" t="s">
        <v>8</v>
      </c>
      <c r="B16057" s="1" t="str">
        <f>"000432721 - RICH FOODS-SIZZLER"</f>
        <v>000432721 - RICH FOODS-SIZZLER</v>
      </c>
      <c r="C16057" t="s">
        <v>730</v>
      </c>
      <c r="D16057" s="1" t="str">
        <f t="shared" si="440"/>
        <v>PRG-1044483</v>
      </c>
      <c r="E16057" t="s">
        <v>402</v>
      </c>
      <c r="F16057" t="s">
        <v>4</v>
      </c>
      <c r="G16057" t="str">
        <f>""</f>
        <v/>
      </c>
    </row>
    <row r="16058" spans="1:7" x14ac:dyDescent="0.25">
      <c r="A16058" t="s">
        <v>8</v>
      </c>
      <c r="B16058" s="1" t="str">
        <f>"000441944 - RICH FOODS-SIZZLER"</f>
        <v>000441944 - RICH FOODS-SIZZLER</v>
      </c>
      <c r="C16058" t="s">
        <v>730</v>
      </c>
      <c r="D16058" s="1" t="str">
        <f t="shared" si="440"/>
        <v>PRG-1044483</v>
      </c>
      <c r="E16058" t="s">
        <v>402</v>
      </c>
      <c r="F16058" t="s">
        <v>4</v>
      </c>
      <c r="G16058" t="str">
        <f>""</f>
        <v/>
      </c>
    </row>
    <row r="16059" spans="1:7" x14ac:dyDescent="0.25">
      <c r="A16059" t="s">
        <v>8</v>
      </c>
      <c r="B16059" s="1" t="str">
        <f>"000441947 - RICH PRODUCTS-SIZZLER USA"</f>
        <v>000441947 - RICH PRODUCTS-SIZZLER USA</v>
      </c>
      <c r="C16059" t="s">
        <v>673</v>
      </c>
      <c r="D16059" s="1" t="str">
        <f t="shared" si="440"/>
        <v>PRG-1044483</v>
      </c>
      <c r="E16059" t="s">
        <v>402</v>
      </c>
      <c r="F16059" t="s">
        <v>4</v>
      </c>
      <c r="G16059" t="str">
        <f>""</f>
        <v/>
      </c>
    </row>
    <row r="16060" spans="1:7" x14ac:dyDescent="0.25">
      <c r="A16060" t="s">
        <v>8</v>
      </c>
      <c r="B16060" s="1" t="str">
        <f>"000025036 - CASA DIBRITACHI PROTEIN-ARMARK"</f>
        <v>000025036 - CASA DIBRITACHI PROTEIN-ARMARK</v>
      </c>
      <c r="C16060" t="s">
        <v>246</v>
      </c>
      <c r="D16060" s="1" t="str">
        <f t="shared" ref="D16060:D16072" si="441">"PRG-1044532"</f>
        <v>PRG-1044532</v>
      </c>
      <c r="E16060" t="s">
        <v>149</v>
      </c>
      <c r="F16060" t="s">
        <v>4</v>
      </c>
      <c r="G16060" t="str">
        <f>""</f>
        <v/>
      </c>
    </row>
    <row r="16061" spans="1:7" x14ac:dyDescent="0.25">
      <c r="A16061" t="s">
        <v>8</v>
      </c>
      <c r="B16061" s="1" t="str">
        <f>"000031272 - CASA DEIBERTACCHI-SSS ARAMARK"</f>
        <v>000031272 - CASA DEIBERTACCHI-SSS ARAMARK</v>
      </c>
      <c r="C16061" t="s">
        <v>465</v>
      </c>
      <c r="D16061" s="1" t="str">
        <f t="shared" si="441"/>
        <v>PRG-1044532</v>
      </c>
      <c r="E16061" t="s">
        <v>149</v>
      </c>
      <c r="F16061" t="s">
        <v>4</v>
      </c>
      <c r="G16061" t="str">
        <f>""</f>
        <v/>
      </c>
    </row>
    <row r="16062" spans="1:7" x14ac:dyDescent="0.25">
      <c r="A16062" t="s">
        <v>8</v>
      </c>
      <c r="B16062" s="1" t="str">
        <f>"000039562 - CASA DEIBERTACCHI-SSS ARAMARK"</f>
        <v>000039562 - CASA DEIBERTACCHI-SSS ARAMARK</v>
      </c>
      <c r="C16062" t="s">
        <v>465</v>
      </c>
      <c r="D16062" s="1" t="str">
        <f t="shared" si="441"/>
        <v>PRG-1044532</v>
      </c>
      <c r="E16062" t="s">
        <v>149</v>
      </c>
      <c r="F16062" t="s">
        <v>4</v>
      </c>
      <c r="G16062" t="str">
        <f>""</f>
        <v/>
      </c>
    </row>
    <row r="16063" spans="1:7" x14ac:dyDescent="0.25">
      <c r="A16063" t="s">
        <v>8</v>
      </c>
      <c r="B16063" s="1" t="str">
        <f>"000175883 - CASA DEIBERTACCHI-SSS ARAMARK"</f>
        <v>000175883 - CASA DEIBERTACCHI-SSS ARAMARK</v>
      </c>
      <c r="C16063" t="s">
        <v>465</v>
      </c>
      <c r="D16063" s="1" t="str">
        <f t="shared" si="441"/>
        <v>PRG-1044532</v>
      </c>
      <c r="E16063" t="s">
        <v>149</v>
      </c>
      <c r="F16063" t="s">
        <v>4</v>
      </c>
      <c r="G16063" t="str">
        <f>""</f>
        <v/>
      </c>
    </row>
    <row r="16064" spans="1:7" x14ac:dyDescent="0.25">
      <c r="A16064" t="s">
        <v>8</v>
      </c>
      <c r="B16064" s="1" t="str">
        <f>"000276846 - CASA DEIBERTACCHI-SSS ARAMARK"</f>
        <v>000276846 - CASA DEIBERTACCHI-SSS ARAMARK</v>
      </c>
      <c r="C16064" t="s">
        <v>465</v>
      </c>
      <c r="D16064" s="1" t="str">
        <f t="shared" si="441"/>
        <v>PRG-1044532</v>
      </c>
      <c r="E16064" t="s">
        <v>149</v>
      </c>
      <c r="F16064" t="s">
        <v>4</v>
      </c>
      <c r="G16064" t="str">
        <f>""</f>
        <v/>
      </c>
    </row>
    <row r="16065" spans="1:7" x14ac:dyDescent="0.25">
      <c r="A16065" t="s">
        <v>8</v>
      </c>
      <c r="B16065" s="1" t="str">
        <f>"000281957 - CASA DEIBERTACCHI-SSS ARAMARK"</f>
        <v>000281957 - CASA DEIBERTACCHI-SSS ARAMARK</v>
      </c>
      <c r="C16065" t="s">
        <v>465</v>
      </c>
      <c r="D16065" s="1" t="str">
        <f t="shared" si="441"/>
        <v>PRG-1044532</v>
      </c>
      <c r="E16065" t="s">
        <v>149</v>
      </c>
      <c r="F16065" t="s">
        <v>4</v>
      </c>
      <c r="G16065" t="str">
        <f>""</f>
        <v/>
      </c>
    </row>
    <row r="16066" spans="1:7" x14ac:dyDescent="0.25">
      <c r="A16066" t="s">
        <v>8</v>
      </c>
      <c r="B16066" s="1" t="str">
        <f>"000291535 - CASA DEIBERTACCHI-SSS ARAMARK"</f>
        <v>000291535 - CASA DEIBERTACCHI-SSS ARAMARK</v>
      </c>
      <c r="C16066" t="s">
        <v>465</v>
      </c>
      <c r="D16066" s="1" t="str">
        <f t="shared" si="441"/>
        <v>PRG-1044532</v>
      </c>
      <c r="E16066" t="s">
        <v>149</v>
      </c>
      <c r="F16066" t="s">
        <v>4</v>
      </c>
      <c r="G16066" t="str">
        <f>""</f>
        <v/>
      </c>
    </row>
    <row r="16067" spans="1:7" x14ac:dyDescent="0.25">
      <c r="A16067" t="s">
        <v>8</v>
      </c>
      <c r="B16067" s="1" t="str">
        <f>"000299912 - CASA DEIBERTACCHI-SSS ARAMARK"</f>
        <v>000299912 - CASA DEIBERTACCHI-SSS ARAMARK</v>
      </c>
      <c r="C16067" t="s">
        <v>465</v>
      </c>
      <c r="D16067" s="1" t="str">
        <f t="shared" si="441"/>
        <v>PRG-1044532</v>
      </c>
      <c r="E16067" t="s">
        <v>149</v>
      </c>
      <c r="F16067" t="s">
        <v>4</v>
      </c>
      <c r="G16067" t="str">
        <f>""</f>
        <v/>
      </c>
    </row>
    <row r="16068" spans="1:7" x14ac:dyDescent="0.25">
      <c r="A16068" t="s">
        <v>8</v>
      </c>
      <c r="B16068" s="1" t="str">
        <f>"000308683 - CASA DEIBERTACCHI-SSS ARAMARK"</f>
        <v>000308683 - CASA DEIBERTACCHI-SSS ARAMARK</v>
      </c>
      <c r="C16068" t="s">
        <v>465</v>
      </c>
      <c r="D16068" s="1" t="str">
        <f t="shared" si="441"/>
        <v>PRG-1044532</v>
      </c>
      <c r="E16068" t="s">
        <v>149</v>
      </c>
      <c r="F16068" t="s">
        <v>4</v>
      </c>
      <c r="G16068" t="str">
        <f>""</f>
        <v/>
      </c>
    </row>
    <row r="16069" spans="1:7" x14ac:dyDescent="0.25">
      <c r="A16069" t="s">
        <v>8</v>
      </c>
      <c r="B16069" s="1" t="str">
        <f>"000357996 - CASA DIBERTACCHI-ARAMARK"</f>
        <v>000357996 - CASA DIBERTACCHI-ARAMARK</v>
      </c>
      <c r="C16069" t="s">
        <v>104</v>
      </c>
      <c r="D16069" s="1" t="str">
        <f t="shared" si="441"/>
        <v>PRG-1044532</v>
      </c>
      <c r="E16069" t="s">
        <v>149</v>
      </c>
      <c r="F16069" t="s">
        <v>4</v>
      </c>
      <c r="G16069" t="str">
        <f>""</f>
        <v/>
      </c>
    </row>
    <row r="16070" spans="1:7" x14ac:dyDescent="0.25">
      <c r="A16070" t="s">
        <v>8</v>
      </c>
      <c r="B16070" s="1" t="str">
        <f>"000366756 - CASA DEIBERTACCHI-SSS ARAMARK"</f>
        <v>000366756 - CASA DEIBERTACCHI-SSS ARAMARK</v>
      </c>
      <c r="C16070" t="s">
        <v>465</v>
      </c>
      <c r="D16070" s="1" t="str">
        <f t="shared" si="441"/>
        <v>PRG-1044532</v>
      </c>
      <c r="E16070" t="s">
        <v>149</v>
      </c>
      <c r="F16070" t="s">
        <v>4</v>
      </c>
      <c r="G16070" t="str">
        <f>""</f>
        <v/>
      </c>
    </row>
    <row r="16071" spans="1:7" x14ac:dyDescent="0.25">
      <c r="A16071" t="s">
        <v>8</v>
      </c>
      <c r="B16071" s="1" t="str">
        <f>"000368579 - CASA DEIBERTACCHI-SSS ARAMARK"</f>
        <v>000368579 - CASA DEIBERTACCHI-SSS ARAMARK</v>
      </c>
      <c r="C16071" t="s">
        <v>465</v>
      </c>
      <c r="D16071" s="1" t="str">
        <f t="shared" si="441"/>
        <v>PRG-1044532</v>
      </c>
      <c r="E16071" t="s">
        <v>149</v>
      </c>
      <c r="F16071" t="s">
        <v>4</v>
      </c>
      <c r="G16071" t="str">
        <f>""</f>
        <v/>
      </c>
    </row>
    <row r="16072" spans="1:7" x14ac:dyDescent="0.25">
      <c r="A16072" t="s">
        <v>8</v>
      </c>
      <c r="B16072" s="1" t="str">
        <f>"000392324 - CASA DEIBERTACCHI-SSS ARAMARK"</f>
        <v>000392324 - CASA DEIBERTACCHI-SSS ARAMARK</v>
      </c>
      <c r="C16072" t="s">
        <v>465</v>
      </c>
      <c r="D16072" s="1" t="str">
        <f t="shared" si="441"/>
        <v>PRG-1044532</v>
      </c>
      <c r="E16072" t="s">
        <v>149</v>
      </c>
      <c r="F16072" t="s">
        <v>4</v>
      </c>
      <c r="G16072" t="str">
        <f>""</f>
        <v/>
      </c>
    </row>
    <row r="16073" spans="1:7" x14ac:dyDescent="0.25">
      <c r="A16073" t="s">
        <v>8</v>
      </c>
      <c r="B16073" s="1" t="str">
        <f>"000024879 - CASA DIBERTACCHI-ARAMARK"</f>
        <v>000024879 - CASA DIBERTACCHI-ARAMARK</v>
      </c>
      <c r="C16073" t="s">
        <v>104</v>
      </c>
      <c r="D16073" s="1" t="str">
        <f t="shared" ref="D16073:D16104" si="442">"PRG-1044534"</f>
        <v>PRG-1044534</v>
      </c>
      <c r="E16073" t="s">
        <v>123</v>
      </c>
      <c r="F16073" t="s">
        <v>4</v>
      </c>
      <c r="G16073" t="str">
        <f>""</f>
        <v/>
      </c>
    </row>
    <row r="16074" spans="1:7" x14ac:dyDescent="0.25">
      <c r="A16074" t="s">
        <v>8</v>
      </c>
      <c r="B16074" s="1" t="str">
        <f>"000035514 - CASA DIBERTACCHI-ARAMARK"</f>
        <v>000035514 - CASA DIBERTACCHI-ARAMARK</v>
      </c>
      <c r="C16074" t="s">
        <v>104</v>
      </c>
      <c r="D16074" s="1" t="str">
        <f t="shared" si="442"/>
        <v>PRG-1044534</v>
      </c>
      <c r="E16074" t="s">
        <v>123</v>
      </c>
      <c r="F16074" t="s">
        <v>4</v>
      </c>
      <c r="G16074" t="str">
        <f>""</f>
        <v/>
      </c>
    </row>
    <row r="16075" spans="1:7" x14ac:dyDescent="0.25">
      <c r="A16075" t="s">
        <v>8</v>
      </c>
      <c r="B16075" s="1" t="str">
        <f>"000038334 - CASA DEIBERTACCHI-SSS ARAMARK"</f>
        <v>000038334 - CASA DEIBERTACCHI-SSS ARAMARK</v>
      </c>
      <c r="C16075" t="s">
        <v>465</v>
      </c>
      <c r="D16075" s="1" t="str">
        <f t="shared" si="442"/>
        <v>PRG-1044534</v>
      </c>
      <c r="E16075" t="s">
        <v>123</v>
      </c>
      <c r="F16075" t="s">
        <v>4</v>
      </c>
      <c r="G16075" t="str">
        <f>""</f>
        <v/>
      </c>
    </row>
    <row r="16076" spans="1:7" x14ac:dyDescent="0.25">
      <c r="A16076" t="s">
        <v>8</v>
      </c>
      <c r="B16076" s="1" t="str">
        <f>"000040856 - CASA DIBERTACCHI-ARAMARK"</f>
        <v>000040856 - CASA DIBERTACCHI-ARAMARK</v>
      </c>
      <c r="C16076" t="s">
        <v>104</v>
      </c>
      <c r="D16076" s="1" t="str">
        <f t="shared" si="442"/>
        <v>PRG-1044534</v>
      </c>
      <c r="E16076" t="s">
        <v>123</v>
      </c>
      <c r="F16076" t="s">
        <v>4</v>
      </c>
      <c r="G16076" t="str">
        <f>""</f>
        <v/>
      </c>
    </row>
    <row r="16077" spans="1:7" x14ac:dyDescent="0.25">
      <c r="A16077" t="s">
        <v>8</v>
      </c>
      <c r="B16077" s="1" t="str">
        <f>"000041227 - CASA DIBERTACCHI-ARAMARK"</f>
        <v>000041227 - CASA DIBERTACCHI-ARAMARK</v>
      </c>
      <c r="C16077" t="s">
        <v>104</v>
      </c>
      <c r="D16077" s="1" t="str">
        <f t="shared" si="442"/>
        <v>PRG-1044534</v>
      </c>
      <c r="E16077" t="s">
        <v>123</v>
      </c>
      <c r="F16077" t="s">
        <v>4</v>
      </c>
      <c r="G16077" t="str">
        <f>""</f>
        <v/>
      </c>
    </row>
    <row r="16078" spans="1:7" x14ac:dyDescent="0.25">
      <c r="A16078" t="s">
        <v>8</v>
      </c>
      <c r="B16078" s="1" t="str">
        <f>"000043816 - CASA DIBERTACCHI-ARAMARK"</f>
        <v>000043816 - CASA DIBERTACCHI-ARAMARK</v>
      </c>
      <c r="C16078" t="s">
        <v>104</v>
      </c>
      <c r="D16078" s="1" t="str">
        <f t="shared" si="442"/>
        <v>PRG-1044534</v>
      </c>
      <c r="E16078" t="s">
        <v>123</v>
      </c>
      <c r="F16078" t="s">
        <v>4</v>
      </c>
      <c r="G16078" t="str">
        <f>""</f>
        <v/>
      </c>
    </row>
    <row r="16079" spans="1:7" x14ac:dyDescent="0.25">
      <c r="A16079" t="s">
        <v>8</v>
      </c>
      <c r="B16079" s="1" t="str">
        <f>"000046683 - CASA DEIBERTACCHI-SSS ARAMARK"</f>
        <v>000046683 - CASA DEIBERTACCHI-SSS ARAMARK</v>
      </c>
      <c r="C16079" t="s">
        <v>465</v>
      </c>
      <c r="D16079" s="1" t="str">
        <f t="shared" si="442"/>
        <v>PRG-1044534</v>
      </c>
      <c r="E16079" t="s">
        <v>123</v>
      </c>
      <c r="F16079" t="s">
        <v>4</v>
      </c>
      <c r="G16079" t="str">
        <f>""</f>
        <v/>
      </c>
    </row>
    <row r="16080" spans="1:7" x14ac:dyDescent="0.25">
      <c r="A16080" t="s">
        <v>8</v>
      </c>
      <c r="B16080" s="1" t="str">
        <f>"000047081 - CASA DIBERTACCHI-ARAMARK"</f>
        <v>000047081 - CASA DIBERTACCHI-ARAMARK</v>
      </c>
      <c r="C16080" t="s">
        <v>104</v>
      </c>
      <c r="D16080" s="1" t="str">
        <f t="shared" si="442"/>
        <v>PRG-1044534</v>
      </c>
      <c r="E16080" t="s">
        <v>123</v>
      </c>
      <c r="F16080" t="s">
        <v>4</v>
      </c>
      <c r="G16080" t="str">
        <f>""</f>
        <v/>
      </c>
    </row>
    <row r="16081" spans="1:7" x14ac:dyDescent="0.25">
      <c r="A16081" t="s">
        <v>8</v>
      </c>
      <c r="B16081" s="1" t="str">
        <f>"000050866 - CASA DIBERTACCHI-ARAMARK"</f>
        <v>000050866 - CASA DIBERTACCHI-ARAMARK</v>
      </c>
      <c r="C16081" t="s">
        <v>104</v>
      </c>
      <c r="D16081" s="1" t="str">
        <f t="shared" si="442"/>
        <v>PRG-1044534</v>
      </c>
      <c r="E16081" t="s">
        <v>123</v>
      </c>
      <c r="F16081" t="s">
        <v>4</v>
      </c>
      <c r="G16081" t="str">
        <f>""</f>
        <v/>
      </c>
    </row>
    <row r="16082" spans="1:7" x14ac:dyDescent="0.25">
      <c r="A16082" t="s">
        <v>8</v>
      </c>
      <c r="B16082" s="1" t="str">
        <f>"000082876 - CASA DIBERTACCHI-ARAMARK"</f>
        <v>000082876 - CASA DIBERTACCHI-ARAMARK</v>
      </c>
      <c r="C16082" t="s">
        <v>104</v>
      </c>
      <c r="D16082" s="1" t="str">
        <f t="shared" si="442"/>
        <v>PRG-1044534</v>
      </c>
      <c r="E16082" t="s">
        <v>123</v>
      </c>
      <c r="F16082" t="s">
        <v>4</v>
      </c>
      <c r="G16082" t="str">
        <f>""</f>
        <v/>
      </c>
    </row>
    <row r="16083" spans="1:7" x14ac:dyDescent="0.25">
      <c r="A16083" t="s">
        <v>8</v>
      </c>
      <c r="B16083" s="1" t="str">
        <f>"000087395 - CASA DIBERTACCHI-ARAMARK"</f>
        <v>000087395 - CASA DIBERTACCHI-ARAMARK</v>
      </c>
      <c r="C16083" t="s">
        <v>104</v>
      </c>
      <c r="D16083" s="1" t="str">
        <f t="shared" si="442"/>
        <v>PRG-1044534</v>
      </c>
      <c r="E16083" t="s">
        <v>123</v>
      </c>
      <c r="F16083" t="s">
        <v>4</v>
      </c>
      <c r="G16083" t="str">
        <f>""</f>
        <v/>
      </c>
    </row>
    <row r="16084" spans="1:7" x14ac:dyDescent="0.25">
      <c r="A16084" t="s">
        <v>8</v>
      </c>
      <c r="B16084" s="1" t="str">
        <f>"000090416 - CASA DEIBERTACCHI-SSS ARAMARK"</f>
        <v>000090416 - CASA DEIBERTACCHI-SSS ARAMARK</v>
      </c>
      <c r="C16084" t="s">
        <v>465</v>
      </c>
      <c r="D16084" s="1" t="str">
        <f t="shared" si="442"/>
        <v>PRG-1044534</v>
      </c>
      <c r="E16084" t="s">
        <v>123</v>
      </c>
      <c r="F16084" t="s">
        <v>4</v>
      </c>
      <c r="G16084" t="str">
        <f>""</f>
        <v/>
      </c>
    </row>
    <row r="16085" spans="1:7" x14ac:dyDescent="0.25">
      <c r="A16085" t="s">
        <v>8</v>
      </c>
      <c r="B16085" s="1" t="str">
        <f>"000093103 - CASA DIBERTACCHI-ARAMARK"</f>
        <v>000093103 - CASA DIBERTACCHI-ARAMARK</v>
      </c>
      <c r="C16085" t="s">
        <v>104</v>
      </c>
      <c r="D16085" s="1" t="str">
        <f t="shared" si="442"/>
        <v>PRG-1044534</v>
      </c>
      <c r="E16085" t="s">
        <v>123</v>
      </c>
      <c r="F16085" t="s">
        <v>4</v>
      </c>
      <c r="G16085" t="str">
        <f>""</f>
        <v/>
      </c>
    </row>
    <row r="16086" spans="1:7" x14ac:dyDescent="0.25">
      <c r="A16086" t="s">
        <v>8</v>
      </c>
      <c r="B16086" s="1" t="str">
        <f>"000104333 - CASA DIBERTACCHI-ARAMARK"</f>
        <v>000104333 - CASA DIBERTACCHI-ARAMARK</v>
      </c>
      <c r="C16086" t="s">
        <v>104</v>
      </c>
      <c r="D16086" s="1" t="str">
        <f t="shared" si="442"/>
        <v>PRG-1044534</v>
      </c>
      <c r="E16086" t="s">
        <v>123</v>
      </c>
      <c r="F16086" t="s">
        <v>4</v>
      </c>
      <c r="G16086" t="str">
        <f>""</f>
        <v/>
      </c>
    </row>
    <row r="16087" spans="1:7" x14ac:dyDescent="0.25">
      <c r="A16087" t="s">
        <v>8</v>
      </c>
      <c r="B16087" s="1" t="str">
        <f>"000155975 - CASA DIBERTACCHI-ARAMARK"</f>
        <v>000155975 - CASA DIBERTACCHI-ARAMARK</v>
      </c>
      <c r="C16087" t="s">
        <v>104</v>
      </c>
      <c r="D16087" s="1" t="str">
        <f t="shared" si="442"/>
        <v>PRG-1044534</v>
      </c>
      <c r="E16087" t="s">
        <v>123</v>
      </c>
      <c r="F16087" t="s">
        <v>4</v>
      </c>
      <c r="G16087" t="str">
        <f>""</f>
        <v/>
      </c>
    </row>
    <row r="16088" spans="1:7" x14ac:dyDescent="0.25">
      <c r="A16088" t="s">
        <v>8</v>
      </c>
      <c r="B16088" s="1" t="str">
        <f>"000157999 - CASA DIBERTACCHI-ARAMARK"</f>
        <v>000157999 - CASA DIBERTACCHI-ARAMARK</v>
      </c>
      <c r="C16088" t="s">
        <v>104</v>
      </c>
      <c r="D16088" s="1" t="str">
        <f t="shared" si="442"/>
        <v>PRG-1044534</v>
      </c>
      <c r="E16088" t="s">
        <v>123</v>
      </c>
      <c r="F16088" t="s">
        <v>4</v>
      </c>
      <c r="G16088" t="str">
        <f>""</f>
        <v/>
      </c>
    </row>
    <row r="16089" spans="1:7" x14ac:dyDescent="0.25">
      <c r="A16089" t="s">
        <v>8</v>
      </c>
      <c r="B16089" s="1" t="str">
        <f>"000158302 - CASA DEIBERTACCHI-SSS ARAMARK"</f>
        <v>000158302 - CASA DEIBERTACCHI-SSS ARAMARK</v>
      </c>
      <c r="C16089" t="s">
        <v>465</v>
      </c>
      <c r="D16089" s="1" t="str">
        <f t="shared" si="442"/>
        <v>PRG-1044534</v>
      </c>
      <c r="E16089" t="s">
        <v>123</v>
      </c>
      <c r="F16089" t="s">
        <v>4</v>
      </c>
      <c r="G16089" t="str">
        <f>""</f>
        <v/>
      </c>
    </row>
    <row r="16090" spans="1:7" x14ac:dyDescent="0.25">
      <c r="A16090" t="s">
        <v>8</v>
      </c>
      <c r="B16090" s="1" t="str">
        <f>"000163466 - CASA DIBERTACCHI-ARAMARK"</f>
        <v>000163466 - CASA DIBERTACCHI-ARAMARK</v>
      </c>
      <c r="C16090" t="s">
        <v>104</v>
      </c>
      <c r="D16090" s="1" t="str">
        <f t="shared" si="442"/>
        <v>PRG-1044534</v>
      </c>
      <c r="E16090" t="s">
        <v>123</v>
      </c>
      <c r="F16090" t="s">
        <v>4</v>
      </c>
      <c r="G16090" t="str">
        <f>""</f>
        <v/>
      </c>
    </row>
    <row r="16091" spans="1:7" x14ac:dyDescent="0.25">
      <c r="A16091" t="s">
        <v>8</v>
      </c>
      <c r="B16091" s="1" t="str">
        <f>"000180141 - CASA DIBERTACCHI-ARAMARK"</f>
        <v>000180141 - CASA DIBERTACCHI-ARAMARK</v>
      </c>
      <c r="C16091" t="s">
        <v>104</v>
      </c>
      <c r="D16091" s="1" t="str">
        <f t="shared" si="442"/>
        <v>PRG-1044534</v>
      </c>
      <c r="E16091" t="s">
        <v>123</v>
      </c>
      <c r="F16091" t="s">
        <v>4</v>
      </c>
      <c r="G16091" t="str">
        <f>""</f>
        <v/>
      </c>
    </row>
    <row r="16092" spans="1:7" x14ac:dyDescent="0.25">
      <c r="A16092" t="s">
        <v>8</v>
      </c>
      <c r="B16092" s="1" t="str">
        <f>"000186135 - CASA DIBERTACCHI-ARAMARK"</f>
        <v>000186135 - CASA DIBERTACCHI-ARAMARK</v>
      </c>
      <c r="C16092" t="s">
        <v>104</v>
      </c>
      <c r="D16092" s="1" t="str">
        <f t="shared" si="442"/>
        <v>PRG-1044534</v>
      </c>
      <c r="E16092" t="s">
        <v>123</v>
      </c>
      <c r="F16092" t="s">
        <v>4</v>
      </c>
      <c r="G16092" t="str">
        <f>""</f>
        <v/>
      </c>
    </row>
    <row r="16093" spans="1:7" x14ac:dyDescent="0.25">
      <c r="A16093" t="s">
        <v>8</v>
      </c>
      <c r="B16093" s="1" t="str">
        <f>"000249381 - CASA DIBERTACCHI-ARAMARK"</f>
        <v>000249381 - CASA DIBERTACCHI-ARAMARK</v>
      </c>
      <c r="C16093" t="s">
        <v>104</v>
      </c>
      <c r="D16093" s="1" t="str">
        <f t="shared" si="442"/>
        <v>PRG-1044534</v>
      </c>
      <c r="E16093" t="s">
        <v>123</v>
      </c>
      <c r="F16093" t="s">
        <v>4</v>
      </c>
      <c r="G16093" t="str">
        <f>""</f>
        <v/>
      </c>
    </row>
    <row r="16094" spans="1:7" x14ac:dyDescent="0.25">
      <c r="A16094" t="s">
        <v>8</v>
      </c>
      <c r="B16094" s="1" t="str">
        <f>"000255142 - CASA DIBERTACCHI-ARAMARK"</f>
        <v>000255142 - CASA DIBERTACCHI-ARAMARK</v>
      </c>
      <c r="C16094" t="s">
        <v>104</v>
      </c>
      <c r="D16094" s="1" t="str">
        <f t="shared" si="442"/>
        <v>PRG-1044534</v>
      </c>
      <c r="E16094" t="s">
        <v>123</v>
      </c>
      <c r="F16094" t="s">
        <v>4</v>
      </c>
      <c r="G16094" t="str">
        <f>""</f>
        <v/>
      </c>
    </row>
    <row r="16095" spans="1:7" x14ac:dyDescent="0.25">
      <c r="A16095" t="s">
        <v>8</v>
      </c>
      <c r="B16095" s="1" t="str">
        <f>"000257180 - CASA DIBERTACCHI-ARAMARK"</f>
        <v>000257180 - CASA DIBERTACCHI-ARAMARK</v>
      </c>
      <c r="C16095" t="s">
        <v>104</v>
      </c>
      <c r="D16095" s="1" t="str">
        <f t="shared" si="442"/>
        <v>PRG-1044534</v>
      </c>
      <c r="E16095" t="s">
        <v>123</v>
      </c>
      <c r="F16095" t="s">
        <v>4</v>
      </c>
      <c r="G16095" t="str">
        <f>""</f>
        <v/>
      </c>
    </row>
    <row r="16096" spans="1:7" x14ac:dyDescent="0.25">
      <c r="A16096" t="s">
        <v>8</v>
      </c>
      <c r="B16096" s="1" t="str">
        <f>"000259225 - CASA DIBERTACCHI-ARAMARK"</f>
        <v>000259225 - CASA DIBERTACCHI-ARAMARK</v>
      </c>
      <c r="C16096" t="s">
        <v>104</v>
      </c>
      <c r="D16096" s="1" t="str">
        <f t="shared" si="442"/>
        <v>PRG-1044534</v>
      </c>
      <c r="E16096" t="s">
        <v>123</v>
      </c>
      <c r="F16096" t="s">
        <v>4</v>
      </c>
      <c r="G16096" t="str">
        <f>""</f>
        <v/>
      </c>
    </row>
    <row r="16097" spans="1:7" x14ac:dyDescent="0.25">
      <c r="A16097" t="s">
        <v>8</v>
      </c>
      <c r="B16097" s="1" t="str">
        <f>"000260259 - CASA DIBERTACCHI-ARAMARK"</f>
        <v>000260259 - CASA DIBERTACCHI-ARAMARK</v>
      </c>
      <c r="C16097" t="s">
        <v>104</v>
      </c>
      <c r="D16097" s="1" t="str">
        <f t="shared" si="442"/>
        <v>PRG-1044534</v>
      </c>
      <c r="E16097" t="s">
        <v>123</v>
      </c>
      <c r="F16097" t="s">
        <v>4</v>
      </c>
      <c r="G16097" t="str">
        <f>""</f>
        <v/>
      </c>
    </row>
    <row r="16098" spans="1:7" x14ac:dyDescent="0.25">
      <c r="A16098" t="s">
        <v>8</v>
      </c>
      <c r="B16098" s="1" t="str">
        <f>"000263632 - CASA DIBERTACCHI-ARAMARK"</f>
        <v>000263632 - CASA DIBERTACCHI-ARAMARK</v>
      </c>
      <c r="C16098" t="s">
        <v>104</v>
      </c>
      <c r="D16098" s="1" t="str">
        <f t="shared" si="442"/>
        <v>PRG-1044534</v>
      </c>
      <c r="E16098" t="s">
        <v>123</v>
      </c>
      <c r="F16098" t="s">
        <v>4</v>
      </c>
      <c r="G16098" t="str">
        <f>""</f>
        <v/>
      </c>
    </row>
    <row r="16099" spans="1:7" x14ac:dyDescent="0.25">
      <c r="A16099" t="s">
        <v>8</v>
      </c>
      <c r="B16099" s="1" t="str">
        <f>"000265450 - CASA DIBERTACCHI-ARAMARK"</f>
        <v>000265450 - CASA DIBERTACCHI-ARAMARK</v>
      </c>
      <c r="C16099" t="s">
        <v>104</v>
      </c>
      <c r="D16099" s="1" t="str">
        <f t="shared" si="442"/>
        <v>PRG-1044534</v>
      </c>
      <c r="E16099" t="s">
        <v>123</v>
      </c>
      <c r="F16099" t="s">
        <v>4</v>
      </c>
      <c r="G16099" t="str">
        <f>""</f>
        <v/>
      </c>
    </row>
    <row r="16100" spans="1:7" x14ac:dyDescent="0.25">
      <c r="A16100" t="s">
        <v>8</v>
      </c>
      <c r="B16100" s="1" t="str">
        <f>"000266857 - CASA DIBERTACCHI-ARAMARK"</f>
        <v>000266857 - CASA DIBERTACCHI-ARAMARK</v>
      </c>
      <c r="C16100" t="s">
        <v>104</v>
      </c>
      <c r="D16100" s="1" t="str">
        <f t="shared" si="442"/>
        <v>PRG-1044534</v>
      </c>
      <c r="E16100" t="s">
        <v>123</v>
      </c>
      <c r="F16100" t="s">
        <v>4</v>
      </c>
      <c r="G16100" t="str">
        <f>""</f>
        <v/>
      </c>
    </row>
    <row r="16101" spans="1:7" x14ac:dyDescent="0.25">
      <c r="A16101" t="s">
        <v>8</v>
      </c>
      <c r="B16101" s="1" t="str">
        <f>"000268106 - CASA DIBERTACCHI-ARAMARK"</f>
        <v>000268106 - CASA DIBERTACCHI-ARAMARK</v>
      </c>
      <c r="C16101" t="s">
        <v>104</v>
      </c>
      <c r="D16101" s="1" t="str">
        <f t="shared" si="442"/>
        <v>PRG-1044534</v>
      </c>
      <c r="E16101" t="s">
        <v>123</v>
      </c>
      <c r="F16101" t="s">
        <v>4</v>
      </c>
      <c r="G16101" t="str">
        <f>""</f>
        <v/>
      </c>
    </row>
    <row r="16102" spans="1:7" x14ac:dyDescent="0.25">
      <c r="A16102" t="s">
        <v>8</v>
      </c>
      <c r="B16102" s="1" t="str">
        <f>"000272590 - CASA DIBERTACCHI-ARAMARK"</f>
        <v>000272590 - CASA DIBERTACCHI-ARAMARK</v>
      </c>
      <c r="C16102" t="s">
        <v>104</v>
      </c>
      <c r="D16102" s="1" t="str">
        <f t="shared" si="442"/>
        <v>PRG-1044534</v>
      </c>
      <c r="E16102" t="s">
        <v>123</v>
      </c>
      <c r="F16102" t="s">
        <v>4</v>
      </c>
      <c r="G16102" t="str">
        <f>""</f>
        <v/>
      </c>
    </row>
    <row r="16103" spans="1:7" x14ac:dyDescent="0.25">
      <c r="A16103" t="s">
        <v>8</v>
      </c>
      <c r="B16103" s="1" t="str">
        <f>"000275058 - CASA DIBERTACCHI-ARAMARK"</f>
        <v>000275058 - CASA DIBERTACCHI-ARAMARK</v>
      </c>
      <c r="C16103" t="s">
        <v>104</v>
      </c>
      <c r="D16103" s="1" t="str">
        <f t="shared" si="442"/>
        <v>PRG-1044534</v>
      </c>
      <c r="E16103" t="s">
        <v>123</v>
      </c>
      <c r="F16103" t="s">
        <v>4</v>
      </c>
      <c r="G16103" t="str">
        <f>""</f>
        <v/>
      </c>
    </row>
    <row r="16104" spans="1:7" x14ac:dyDescent="0.25">
      <c r="A16104" t="s">
        <v>8</v>
      </c>
      <c r="B16104" s="1" t="str">
        <f>"000278297 - CASA DEIBERTACCHI-SSS ARAMARK"</f>
        <v>000278297 - CASA DEIBERTACCHI-SSS ARAMARK</v>
      </c>
      <c r="C16104" t="s">
        <v>465</v>
      </c>
      <c r="D16104" s="1" t="str">
        <f t="shared" si="442"/>
        <v>PRG-1044534</v>
      </c>
      <c r="E16104" t="s">
        <v>123</v>
      </c>
      <c r="F16104" t="s">
        <v>4</v>
      </c>
      <c r="G16104" t="str">
        <f>""</f>
        <v/>
      </c>
    </row>
    <row r="16105" spans="1:7" x14ac:dyDescent="0.25">
      <c r="A16105" t="s">
        <v>8</v>
      </c>
      <c r="B16105" s="1" t="str">
        <f>"000278900 - RICH FOODS BAPA-MAIN ARAMARK"</f>
        <v>000278900 - RICH FOODS BAPA-MAIN ARAMARK</v>
      </c>
      <c r="C16105" t="s">
        <v>320</v>
      </c>
      <c r="D16105" s="1" t="str">
        <f t="shared" ref="D16105:D16136" si="443">"PRG-1044534"</f>
        <v>PRG-1044534</v>
      </c>
      <c r="E16105" t="s">
        <v>123</v>
      </c>
      <c r="F16105" t="s">
        <v>4</v>
      </c>
      <c r="G16105" t="str">
        <f>""</f>
        <v/>
      </c>
    </row>
    <row r="16106" spans="1:7" x14ac:dyDescent="0.25">
      <c r="A16106" t="s">
        <v>8</v>
      </c>
      <c r="B16106" s="1" t="str">
        <f>"000279751 - CASA DIBERTACCHI-ARAMARK"</f>
        <v>000279751 - CASA DIBERTACCHI-ARAMARK</v>
      </c>
      <c r="C16106" t="s">
        <v>104</v>
      </c>
      <c r="D16106" s="1" t="str">
        <f t="shared" si="443"/>
        <v>PRG-1044534</v>
      </c>
      <c r="E16106" t="s">
        <v>123</v>
      </c>
      <c r="F16106" t="s">
        <v>4</v>
      </c>
      <c r="G16106" t="str">
        <f>""</f>
        <v/>
      </c>
    </row>
    <row r="16107" spans="1:7" x14ac:dyDescent="0.25">
      <c r="A16107" t="s">
        <v>8</v>
      </c>
      <c r="B16107" s="1" t="str">
        <f>"000281549 - CASA DIBERTACCHI-ARAMARK"</f>
        <v>000281549 - CASA DIBERTACCHI-ARAMARK</v>
      </c>
      <c r="C16107" t="s">
        <v>104</v>
      </c>
      <c r="D16107" s="1" t="str">
        <f t="shared" si="443"/>
        <v>PRG-1044534</v>
      </c>
      <c r="E16107" t="s">
        <v>123</v>
      </c>
      <c r="F16107" t="s">
        <v>4</v>
      </c>
      <c r="G16107" t="str">
        <f>""</f>
        <v/>
      </c>
    </row>
    <row r="16108" spans="1:7" x14ac:dyDescent="0.25">
      <c r="A16108" t="s">
        <v>8</v>
      </c>
      <c r="B16108" s="1" t="str">
        <f>"000282206 - RICH FOODS VARIETY-ARAMARK"</f>
        <v>000282206 - RICH FOODS VARIETY-ARAMARK</v>
      </c>
      <c r="C16108" t="s">
        <v>439</v>
      </c>
      <c r="D16108" s="1" t="str">
        <f t="shared" si="443"/>
        <v>PRG-1044534</v>
      </c>
      <c r="E16108" t="s">
        <v>123</v>
      </c>
      <c r="F16108" t="s">
        <v>4</v>
      </c>
      <c r="G16108" t="str">
        <f>""</f>
        <v/>
      </c>
    </row>
    <row r="16109" spans="1:7" x14ac:dyDescent="0.25">
      <c r="A16109" t="s">
        <v>8</v>
      </c>
      <c r="B16109" s="1" t="str">
        <f>"000284008 - CASA DIBERTACCHI-ARAMARK"</f>
        <v>000284008 - CASA DIBERTACCHI-ARAMARK</v>
      </c>
      <c r="C16109" t="s">
        <v>104</v>
      </c>
      <c r="D16109" s="1" t="str">
        <f t="shared" si="443"/>
        <v>PRG-1044534</v>
      </c>
      <c r="E16109" t="s">
        <v>123</v>
      </c>
      <c r="F16109" t="s">
        <v>4</v>
      </c>
      <c r="G16109" t="str">
        <f>""</f>
        <v/>
      </c>
    </row>
    <row r="16110" spans="1:7" x14ac:dyDescent="0.25">
      <c r="A16110" t="s">
        <v>8</v>
      </c>
      <c r="B16110" s="1" t="str">
        <f>"000284666 - CASA DEIBERTACCHI-SSS ARAMARK"</f>
        <v>000284666 - CASA DEIBERTACCHI-SSS ARAMARK</v>
      </c>
      <c r="C16110" t="s">
        <v>465</v>
      </c>
      <c r="D16110" s="1" t="str">
        <f t="shared" si="443"/>
        <v>PRG-1044534</v>
      </c>
      <c r="E16110" t="s">
        <v>123</v>
      </c>
      <c r="F16110" t="s">
        <v>4</v>
      </c>
      <c r="G16110" t="str">
        <f>""</f>
        <v/>
      </c>
    </row>
    <row r="16111" spans="1:7" x14ac:dyDescent="0.25">
      <c r="A16111" t="s">
        <v>8</v>
      </c>
      <c r="B16111" s="1" t="str">
        <f>"000285774 - CASA DIBERTACCHI-ARAMARK"</f>
        <v>000285774 - CASA DIBERTACCHI-ARAMARK</v>
      </c>
      <c r="C16111" t="s">
        <v>104</v>
      </c>
      <c r="D16111" s="1" t="str">
        <f t="shared" si="443"/>
        <v>PRG-1044534</v>
      </c>
      <c r="E16111" t="s">
        <v>123</v>
      </c>
      <c r="F16111" t="s">
        <v>4</v>
      </c>
      <c r="G16111" t="str">
        <f>""</f>
        <v/>
      </c>
    </row>
    <row r="16112" spans="1:7" x14ac:dyDescent="0.25">
      <c r="A16112" t="s">
        <v>8</v>
      </c>
      <c r="B16112" s="1" t="str">
        <f>"000286490 - CASA DIBERTACCHI-ARAMARK"</f>
        <v>000286490 - CASA DIBERTACCHI-ARAMARK</v>
      </c>
      <c r="C16112" t="s">
        <v>104</v>
      </c>
      <c r="D16112" s="1" t="str">
        <f t="shared" si="443"/>
        <v>PRG-1044534</v>
      </c>
      <c r="E16112" t="s">
        <v>123</v>
      </c>
      <c r="F16112" t="s">
        <v>4</v>
      </c>
      <c r="G16112" t="str">
        <f>""</f>
        <v/>
      </c>
    </row>
    <row r="16113" spans="1:7" x14ac:dyDescent="0.25">
      <c r="A16113" t="s">
        <v>8</v>
      </c>
      <c r="B16113" s="1" t="str">
        <f>"000287213 - CASA DIBERTACCHI-ARAMARK"</f>
        <v>000287213 - CASA DIBERTACCHI-ARAMARK</v>
      </c>
      <c r="C16113" t="s">
        <v>104</v>
      </c>
      <c r="D16113" s="1" t="str">
        <f t="shared" si="443"/>
        <v>PRG-1044534</v>
      </c>
      <c r="E16113" t="s">
        <v>123</v>
      </c>
      <c r="F16113" t="s">
        <v>4</v>
      </c>
      <c r="G16113" t="str">
        <f>""</f>
        <v/>
      </c>
    </row>
    <row r="16114" spans="1:7" x14ac:dyDescent="0.25">
      <c r="A16114" t="s">
        <v>8</v>
      </c>
      <c r="B16114" s="1" t="str">
        <f>"000287488 - CASA DIBERTACCHI-ARAMARK"</f>
        <v>000287488 - CASA DIBERTACCHI-ARAMARK</v>
      </c>
      <c r="C16114" t="s">
        <v>104</v>
      </c>
      <c r="D16114" s="1" t="str">
        <f t="shared" si="443"/>
        <v>PRG-1044534</v>
      </c>
      <c r="E16114" t="s">
        <v>123</v>
      </c>
      <c r="F16114" t="s">
        <v>4</v>
      </c>
      <c r="G16114" t="str">
        <f>""</f>
        <v/>
      </c>
    </row>
    <row r="16115" spans="1:7" x14ac:dyDescent="0.25">
      <c r="A16115" t="s">
        <v>8</v>
      </c>
      <c r="B16115" s="1" t="str">
        <f>"000289059 - CASA DIBERTACCHI-ARAMARK"</f>
        <v>000289059 - CASA DIBERTACCHI-ARAMARK</v>
      </c>
      <c r="C16115" t="s">
        <v>104</v>
      </c>
      <c r="D16115" s="1" t="str">
        <f t="shared" si="443"/>
        <v>PRG-1044534</v>
      </c>
      <c r="E16115" t="s">
        <v>123</v>
      </c>
      <c r="F16115" t="s">
        <v>4</v>
      </c>
      <c r="G16115" t="str">
        <f>""</f>
        <v/>
      </c>
    </row>
    <row r="16116" spans="1:7" x14ac:dyDescent="0.25">
      <c r="A16116" t="s">
        <v>8</v>
      </c>
      <c r="B16116" s="1" t="str">
        <f>"000290942 - CASA DEIBERTACCHI-SSS ARAMARK"</f>
        <v>000290942 - CASA DEIBERTACCHI-SSS ARAMARK</v>
      </c>
      <c r="C16116" t="s">
        <v>465</v>
      </c>
      <c r="D16116" s="1" t="str">
        <f t="shared" si="443"/>
        <v>PRG-1044534</v>
      </c>
      <c r="E16116" t="s">
        <v>123</v>
      </c>
      <c r="F16116" t="s">
        <v>4</v>
      </c>
      <c r="G16116" t="str">
        <f>""</f>
        <v/>
      </c>
    </row>
    <row r="16117" spans="1:7" x14ac:dyDescent="0.25">
      <c r="A16117" t="s">
        <v>8</v>
      </c>
      <c r="B16117" s="1" t="str">
        <f>"000291170 - CASA DIBERTACCHI-ARAMARK"</f>
        <v>000291170 - CASA DIBERTACCHI-ARAMARK</v>
      </c>
      <c r="C16117" t="s">
        <v>104</v>
      </c>
      <c r="D16117" s="1" t="str">
        <f t="shared" si="443"/>
        <v>PRG-1044534</v>
      </c>
      <c r="E16117" t="s">
        <v>123</v>
      </c>
      <c r="F16117" t="s">
        <v>4</v>
      </c>
      <c r="G16117" t="str">
        <f>""</f>
        <v/>
      </c>
    </row>
    <row r="16118" spans="1:7" x14ac:dyDescent="0.25">
      <c r="A16118" t="s">
        <v>8</v>
      </c>
      <c r="B16118" s="1" t="str">
        <f>"000294393 - CASA DIBERTACCHI-ARAMARK"</f>
        <v>000294393 - CASA DIBERTACCHI-ARAMARK</v>
      </c>
      <c r="C16118" t="s">
        <v>104</v>
      </c>
      <c r="D16118" s="1" t="str">
        <f t="shared" si="443"/>
        <v>PRG-1044534</v>
      </c>
      <c r="E16118" t="s">
        <v>123</v>
      </c>
      <c r="F16118" t="s">
        <v>4</v>
      </c>
      <c r="G16118" t="str">
        <f>""</f>
        <v/>
      </c>
    </row>
    <row r="16119" spans="1:7" x14ac:dyDescent="0.25">
      <c r="A16119" t="s">
        <v>8</v>
      </c>
      <c r="B16119" s="1" t="str">
        <f>"000296081 - CASA DIBERTACCHI-ARAMARK"</f>
        <v>000296081 - CASA DIBERTACCHI-ARAMARK</v>
      </c>
      <c r="C16119" t="s">
        <v>104</v>
      </c>
      <c r="D16119" s="1" t="str">
        <f t="shared" si="443"/>
        <v>PRG-1044534</v>
      </c>
      <c r="E16119" t="s">
        <v>123</v>
      </c>
      <c r="F16119" t="s">
        <v>4</v>
      </c>
      <c r="G16119" t="str">
        <f>""</f>
        <v/>
      </c>
    </row>
    <row r="16120" spans="1:7" x14ac:dyDescent="0.25">
      <c r="A16120" t="s">
        <v>8</v>
      </c>
      <c r="B16120" s="1" t="str">
        <f>"000297865 - CASA DIBERTACCHI-ARAMARK"</f>
        <v>000297865 - CASA DIBERTACCHI-ARAMARK</v>
      </c>
      <c r="C16120" t="s">
        <v>104</v>
      </c>
      <c r="D16120" s="1" t="str">
        <f t="shared" si="443"/>
        <v>PRG-1044534</v>
      </c>
      <c r="E16120" t="s">
        <v>123</v>
      </c>
      <c r="F16120" t="s">
        <v>4</v>
      </c>
      <c r="G16120" t="str">
        <f>""</f>
        <v/>
      </c>
    </row>
    <row r="16121" spans="1:7" x14ac:dyDescent="0.25">
      <c r="A16121" t="s">
        <v>8</v>
      </c>
      <c r="B16121" s="1" t="str">
        <f>"000300609 - CASA DIBERTACCHI-ARAMARK"</f>
        <v>000300609 - CASA DIBERTACCHI-ARAMARK</v>
      </c>
      <c r="C16121" t="s">
        <v>104</v>
      </c>
      <c r="D16121" s="1" t="str">
        <f t="shared" si="443"/>
        <v>PRG-1044534</v>
      </c>
      <c r="E16121" t="s">
        <v>123</v>
      </c>
      <c r="F16121" t="s">
        <v>4</v>
      </c>
      <c r="G16121" t="str">
        <f>""</f>
        <v/>
      </c>
    </row>
    <row r="16122" spans="1:7" x14ac:dyDescent="0.25">
      <c r="A16122" t="s">
        <v>8</v>
      </c>
      <c r="B16122" s="1" t="str">
        <f>"000301589 - CASA DIBERTACCHI-ARAMARK"</f>
        <v>000301589 - CASA DIBERTACCHI-ARAMARK</v>
      </c>
      <c r="C16122" t="s">
        <v>104</v>
      </c>
      <c r="D16122" s="1" t="str">
        <f t="shared" si="443"/>
        <v>PRG-1044534</v>
      </c>
      <c r="E16122" t="s">
        <v>123</v>
      </c>
      <c r="F16122" t="s">
        <v>4</v>
      </c>
      <c r="G16122" t="str">
        <f>""</f>
        <v/>
      </c>
    </row>
    <row r="16123" spans="1:7" x14ac:dyDescent="0.25">
      <c r="A16123" t="s">
        <v>8</v>
      </c>
      <c r="B16123" s="1" t="str">
        <f>"000302522 - CASA DIBERTACCHI-ARAMARK"</f>
        <v>000302522 - CASA DIBERTACCHI-ARAMARK</v>
      </c>
      <c r="C16123" t="s">
        <v>104</v>
      </c>
      <c r="D16123" s="1" t="str">
        <f t="shared" si="443"/>
        <v>PRG-1044534</v>
      </c>
      <c r="E16123" t="s">
        <v>123</v>
      </c>
      <c r="F16123" t="s">
        <v>4</v>
      </c>
      <c r="G16123" t="str">
        <f>""</f>
        <v/>
      </c>
    </row>
    <row r="16124" spans="1:7" x14ac:dyDescent="0.25">
      <c r="A16124" t="s">
        <v>8</v>
      </c>
      <c r="B16124" s="1" t="str">
        <f>"000304300 - CASA DIBERTACCHI-ARAMARK"</f>
        <v>000304300 - CASA DIBERTACCHI-ARAMARK</v>
      </c>
      <c r="C16124" t="s">
        <v>104</v>
      </c>
      <c r="D16124" s="1" t="str">
        <f t="shared" si="443"/>
        <v>PRG-1044534</v>
      </c>
      <c r="E16124" t="s">
        <v>123</v>
      </c>
      <c r="F16124" t="s">
        <v>4</v>
      </c>
      <c r="G16124" t="str">
        <f>""</f>
        <v/>
      </c>
    </row>
    <row r="16125" spans="1:7" x14ac:dyDescent="0.25">
      <c r="A16125" t="s">
        <v>8</v>
      </c>
      <c r="B16125" s="1" t="str">
        <f>"000306316 - CASA DEIBERTACCHI-SSS ARAMARK"</f>
        <v>000306316 - CASA DEIBERTACCHI-SSS ARAMARK</v>
      </c>
      <c r="C16125" t="s">
        <v>465</v>
      </c>
      <c r="D16125" s="1" t="str">
        <f t="shared" si="443"/>
        <v>PRG-1044534</v>
      </c>
      <c r="E16125" t="s">
        <v>123</v>
      </c>
      <c r="F16125" t="s">
        <v>4</v>
      </c>
      <c r="G16125" t="str">
        <f>""</f>
        <v/>
      </c>
    </row>
    <row r="16126" spans="1:7" x14ac:dyDescent="0.25">
      <c r="A16126" t="s">
        <v>8</v>
      </c>
      <c r="B16126" s="1" t="str">
        <f>"000306366 - CASA DIBERTACCHI-ARAMARK"</f>
        <v>000306366 - CASA DIBERTACCHI-ARAMARK</v>
      </c>
      <c r="C16126" t="s">
        <v>104</v>
      </c>
      <c r="D16126" s="1" t="str">
        <f t="shared" si="443"/>
        <v>PRG-1044534</v>
      </c>
      <c r="E16126" t="s">
        <v>123</v>
      </c>
      <c r="F16126" t="s">
        <v>4</v>
      </c>
      <c r="G16126" t="str">
        <f>""</f>
        <v/>
      </c>
    </row>
    <row r="16127" spans="1:7" x14ac:dyDescent="0.25">
      <c r="A16127" t="s">
        <v>8</v>
      </c>
      <c r="B16127" s="1" t="str">
        <f>"000306975 - CASA DIBERTACCHI-ARAMARK"</f>
        <v>000306975 - CASA DIBERTACCHI-ARAMARK</v>
      </c>
      <c r="C16127" t="s">
        <v>104</v>
      </c>
      <c r="D16127" s="1" t="str">
        <f t="shared" si="443"/>
        <v>PRG-1044534</v>
      </c>
      <c r="E16127" t="s">
        <v>123</v>
      </c>
      <c r="F16127" t="s">
        <v>4</v>
      </c>
      <c r="G16127" t="str">
        <f>""</f>
        <v/>
      </c>
    </row>
    <row r="16128" spans="1:7" x14ac:dyDescent="0.25">
      <c r="A16128" t="s">
        <v>8</v>
      </c>
      <c r="B16128" s="1" t="str">
        <f>"000307017 - CASA DIBERTACCHI-ARAMARK"</f>
        <v>000307017 - CASA DIBERTACCHI-ARAMARK</v>
      </c>
      <c r="C16128" t="s">
        <v>104</v>
      </c>
      <c r="D16128" s="1" t="str">
        <f t="shared" si="443"/>
        <v>PRG-1044534</v>
      </c>
      <c r="E16128" t="s">
        <v>123</v>
      </c>
      <c r="F16128" t="s">
        <v>4</v>
      </c>
      <c r="G16128" t="str">
        <f>""</f>
        <v/>
      </c>
    </row>
    <row r="16129" spans="1:7" x14ac:dyDescent="0.25">
      <c r="A16129" t="s">
        <v>8</v>
      </c>
      <c r="B16129" s="1" t="str">
        <f>"000307135 - CASA DIBERTACCHI-ARAMARK"</f>
        <v>000307135 - CASA DIBERTACCHI-ARAMARK</v>
      </c>
      <c r="C16129" t="s">
        <v>104</v>
      </c>
      <c r="D16129" s="1" t="str">
        <f t="shared" si="443"/>
        <v>PRG-1044534</v>
      </c>
      <c r="E16129" t="s">
        <v>123</v>
      </c>
      <c r="F16129" t="s">
        <v>4</v>
      </c>
      <c r="G16129" t="str">
        <f>""</f>
        <v/>
      </c>
    </row>
    <row r="16130" spans="1:7" x14ac:dyDescent="0.25">
      <c r="A16130" t="s">
        <v>8</v>
      </c>
      <c r="B16130" s="1" t="str">
        <f>"000307536 - CASA DEIBERTACCHI-SSS ARAMARK"</f>
        <v>000307536 - CASA DEIBERTACCHI-SSS ARAMARK</v>
      </c>
      <c r="C16130" t="s">
        <v>465</v>
      </c>
      <c r="D16130" s="1" t="str">
        <f t="shared" si="443"/>
        <v>PRG-1044534</v>
      </c>
      <c r="E16130" t="s">
        <v>123</v>
      </c>
      <c r="F16130" t="s">
        <v>4</v>
      </c>
      <c r="G16130" t="str">
        <f>""</f>
        <v/>
      </c>
    </row>
    <row r="16131" spans="1:7" x14ac:dyDescent="0.25">
      <c r="A16131" t="s">
        <v>8</v>
      </c>
      <c r="B16131" s="1" t="str">
        <f>"000307625 - CASA DIBERTACCHI-ARAMARK"</f>
        <v>000307625 - CASA DIBERTACCHI-ARAMARK</v>
      </c>
      <c r="C16131" t="s">
        <v>104</v>
      </c>
      <c r="D16131" s="1" t="str">
        <f t="shared" si="443"/>
        <v>PRG-1044534</v>
      </c>
      <c r="E16131" t="s">
        <v>123</v>
      </c>
      <c r="F16131" t="s">
        <v>4</v>
      </c>
      <c r="G16131" t="str">
        <f>""</f>
        <v/>
      </c>
    </row>
    <row r="16132" spans="1:7" x14ac:dyDescent="0.25">
      <c r="A16132" t="s">
        <v>8</v>
      </c>
      <c r="B16132" s="1" t="str">
        <f>"000308278 - CASA DIBERTACCHI-ARAMARK"</f>
        <v>000308278 - CASA DIBERTACCHI-ARAMARK</v>
      </c>
      <c r="C16132" t="s">
        <v>104</v>
      </c>
      <c r="D16132" s="1" t="str">
        <f t="shared" si="443"/>
        <v>PRG-1044534</v>
      </c>
      <c r="E16132" t="s">
        <v>123</v>
      </c>
      <c r="F16132" t="s">
        <v>4</v>
      </c>
      <c r="G16132" t="str">
        <f>""</f>
        <v/>
      </c>
    </row>
    <row r="16133" spans="1:7" x14ac:dyDescent="0.25">
      <c r="A16133" t="s">
        <v>8</v>
      </c>
      <c r="B16133" s="1" t="str">
        <f>"000308611 - CASA DIBERTACCHI-ARAMARK"</f>
        <v>000308611 - CASA DIBERTACCHI-ARAMARK</v>
      </c>
      <c r="C16133" t="s">
        <v>104</v>
      </c>
      <c r="D16133" s="1" t="str">
        <f t="shared" si="443"/>
        <v>PRG-1044534</v>
      </c>
      <c r="E16133" t="s">
        <v>123</v>
      </c>
      <c r="F16133" t="s">
        <v>4</v>
      </c>
      <c r="G16133" t="str">
        <f>""</f>
        <v/>
      </c>
    </row>
    <row r="16134" spans="1:7" x14ac:dyDescent="0.25">
      <c r="A16134" t="s">
        <v>8</v>
      </c>
      <c r="B16134" s="1" t="str">
        <f>"000309679 - CASA DIBERTACCHI-ARAMARK"</f>
        <v>000309679 - CASA DIBERTACCHI-ARAMARK</v>
      </c>
      <c r="C16134" t="s">
        <v>104</v>
      </c>
      <c r="D16134" s="1" t="str">
        <f t="shared" si="443"/>
        <v>PRG-1044534</v>
      </c>
      <c r="E16134" t="s">
        <v>123</v>
      </c>
      <c r="F16134" t="s">
        <v>4</v>
      </c>
      <c r="G16134" t="str">
        <f>""</f>
        <v/>
      </c>
    </row>
    <row r="16135" spans="1:7" x14ac:dyDescent="0.25">
      <c r="A16135" t="s">
        <v>8</v>
      </c>
      <c r="B16135" s="1" t="str">
        <f>"000310046 - CASA DEIBERTACCHI-SSS ARAMARK"</f>
        <v>000310046 - CASA DEIBERTACCHI-SSS ARAMARK</v>
      </c>
      <c r="C16135" t="s">
        <v>465</v>
      </c>
      <c r="D16135" s="1" t="str">
        <f t="shared" si="443"/>
        <v>PRG-1044534</v>
      </c>
      <c r="E16135" t="s">
        <v>123</v>
      </c>
      <c r="F16135" t="s">
        <v>4</v>
      </c>
      <c r="G16135" t="str">
        <f>""</f>
        <v/>
      </c>
    </row>
    <row r="16136" spans="1:7" x14ac:dyDescent="0.25">
      <c r="A16136" t="s">
        <v>8</v>
      </c>
      <c r="B16136" s="1" t="str">
        <f>"000310491 - CASA DIBERTACCHI-ARAMARK"</f>
        <v>000310491 - CASA DIBERTACCHI-ARAMARK</v>
      </c>
      <c r="C16136" t="s">
        <v>104</v>
      </c>
      <c r="D16136" s="1" t="str">
        <f t="shared" si="443"/>
        <v>PRG-1044534</v>
      </c>
      <c r="E16136" t="s">
        <v>123</v>
      </c>
      <c r="F16136" t="s">
        <v>4</v>
      </c>
      <c r="G16136" t="str">
        <f>""</f>
        <v/>
      </c>
    </row>
    <row r="16137" spans="1:7" x14ac:dyDescent="0.25">
      <c r="A16137" t="s">
        <v>8</v>
      </c>
      <c r="B16137" s="1" t="str">
        <f>"000310902 - RICH FOODS-SSS ARAMARK"</f>
        <v>000310902 - RICH FOODS-SSS ARAMARK</v>
      </c>
      <c r="C16137" t="s">
        <v>128</v>
      </c>
      <c r="D16137" s="1" t="str">
        <f t="shared" ref="D16137:D16168" si="444">"PRG-1044534"</f>
        <v>PRG-1044534</v>
      </c>
      <c r="E16137" t="s">
        <v>123</v>
      </c>
      <c r="F16137" t="s">
        <v>4</v>
      </c>
      <c r="G16137" t="str">
        <f>""</f>
        <v/>
      </c>
    </row>
    <row r="16138" spans="1:7" x14ac:dyDescent="0.25">
      <c r="A16138" t="s">
        <v>8</v>
      </c>
      <c r="B16138" s="1" t="str">
        <f>"000311417 - CASA DIBERTACCHI-ARAMARK"</f>
        <v>000311417 - CASA DIBERTACCHI-ARAMARK</v>
      </c>
      <c r="C16138" t="s">
        <v>104</v>
      </c>
      <c r="D16138" s="1" t="str">
        <f t="shared" si="444"/>
        <v>PRG-1044534</v>
      </c>
      <c r="E16138" t="s">
        <v>123</v>
      </c>
      <c r="F16138" t="s">
        <v>4</v>
      </c>
      <c r="G16138" t="str">
        <f>""</f>
        <v/>
      </c>
    </row>
    <row r="16139" spans="1:7" x14ac:dyDescent="0.25">
      <c r="A16139" t="s">
        <v>8</v>
      </c>
      <c r="B16139" s="1" t="str">
        <f>"000311537 - CASA DEIBERTACCHI-SSS ARAMARK"</f>
        <v>000311537 - CASA DEIBERTACCHI-SSS ARAMARK</v>
      </c>
      <c r="C16139" t="s">
        <v>465</v>
      </c>
      <c r="D16139" s="1" t="str">
        <f t="shared" si="444"/>
        <v>PRG-1044534</v>
      </c>
      <c r="E16139" t="s">
        <v>123</v>
      </c>
      <c r="F16139" t="s">
        <v>4</v>
      </c>
      <c r="G16139" t="str">
        <f>""</f>
        <v/>
      </c>
    </row>
    <row r="16140" spans="1:7" x14ac:dyDescent="0.25">
      <c r="A16140" t="s">
        <v>8</v>
      </c>
      <c r="B16140" s="1" t="str">
        <f>"000311972 - CASA DIBERTACCHI-ARAMARK"</f>
        <v>000311972 - CASA DIBERTACCHI-ARAMARK</v>
      </c>
      <c r="C16140" t="s">
        <v>104</v>
      </c>
      <c r="D16140" s="1" t="str">
        <f t="shared" si="444"/>
        <v>PRG-1044534</v>
      </c>
      <c r="E16140" t="s">
        <v>123</v>
      </c>
      <c r="F16140" t="s">
        <v>4</v>
      </c>
      <c r="G16140" t="str">
        <f>""</f>
        <v/>
      </c>
    </row>
    <row r="16141" spans="1:7" x14ac:dyDescent="0.25">
      <c r="A16141" t="s">
        <v>8</v>
      </c>
      <c r="B16141" s="1" t="str">
        <f>"000312488 - CASA DEIBERTACCHI-SSS ARAMARK"</f>
        <v>000312488 - CASA DEIBERTACCHI-SSS ARAMARK</v>
      </c>
      <c r="C16141" t="s">
        <v>465</v>
      </c>
      <c r="D16141" s="1" t="str">
        <f t="shared" si="444"/>
        <v>PRG-1044534</v>
      </c>
      <c r="E16141" t="s">
        <v>123</v>
      </c>
      <c r="F16141" t="s">
        <v>4</v>
      </c>
      <c r="G16141" t="str">
        <f>""</f>
        <v/>
      </c>
    </row>
    <row r="16142" spans="1:7" x14ac:dyDescent="0.25">
      <c r="A16142" t="s">
        <v>8</v>
      </c>
      <c r="B16142" s="1" t="str">
        <f>"000312716 - CASA DIBERTACCHI-ARAMARK"</f>
        <v>000312716 - CASA DIBERTACCHI-ARAMARK</v>
      </c>
      <c r="C16142" t="s">
        <v>104</v>
      </c>
      <c r="D16142" s="1" t="str">
        <f t="shared" si="444"/>
        <v>PRG-1044534</v>
      </c>
      <c r="E16142" t="s">
        <v>123</v>
      </c>
      <c r="F16142" t="s">
        <v>4</v>
      </c>
      <c r="G16142" t="str">
        <f>""</f>
        <v/>
      </c>
    </row>
    <row r="16143" spans="1:7" x14ac:dyDescent="0.25">
      <c r="A16143" t="s">
        <v>8</v>
      </c>
      <c r="B16143" s="1" t="str">
        <f>"000313274 - CASA DIBERTACCHI-ARAMARK"</f>
        <v>000313274 - CASA DIBERTACCHI-ARAMARK</v>
      </c>
      <c r="C16143" t="s">
        <v>104</v>
      </c>
      <c r="D16143" s="1" t="str">
        <f t="shared" si="444"/>
        <v>PRG-1044534</v>
      </c>
      <c r="E16143" t="s">
        <v>123</v>
      </c>
      <c r="F16143" t="s">
        <v>4</v>
      </c>
      <c r="G16143" t="str">
        <f>""</f>
        <v/>
      </c>
    </row>
    <row r="16144" spans="1:7" x14ac:dyDescent="0.25">
      <c r="A16144" t="s">
        <v>8</v>
      </c>
      <c r="B16144" s="1" t="str">
        <f>"000314039 - RICH'S CORE CC&amp;BB-COUNTRYKITCH"</f>
        <v>000314039 - RICH'S CORE CC&amp;BB-COUNTRYKITCH</v>
      </c>
      <c r="C16144" t="s">
        <v>575</v>
      </c>
      <c r="D16144" s="1" t="str">
        <f t="shared" si="444"/>
        <v>PRG-1044534</v>
      </c>
      <c r="E16144" t="s">
        <v>123</v>
      </c>
      <c r="F16144" t="s">
        <v>4</v>
      </c>
      <c r="G16144" t="str">
        <f>""</f>
        <v/>
      </c>
    </row>
    <row r="16145" spans="1:7" x14ac:dyDescent="0.25">
      <c r="A16145" t="s">
        <v>8</v>
      </c>
      <c r="B16145" s="1" t="str">
        <f>"000314404 - CASA DIBERTACCHI-ARAMARK"</f>
        <v>000314404 - CASA DIBERTACCHI-ARAMARK</v>
      </c>
      <c r="C16145" t="s">
        <v>104</v>
      </c>
      <c r="D16145" s="1" t="str">
        <f t="shared" si="444"/>
        <v>PRG-1044534</v>
      </c>
      <c r="E16145" t="s">
        <v>123</v>
      </c>
      <c r="F16145" t="s">
        <v>4</v>
      </c>
      <c r="G16145" t="str">
        <f>""</f>
        <v/>
      </c>
    </row>
    <row r="16146" spans="1:7" x14ac:dyDescent="0.25">
      <c r="A16146" t="s">
        <v>8</v>
      </c>
      <c r="B16146" s="1" t="str">
        <f>"000314474 - CASA DIBERTACCHI-ARAMARK"</f>
        <v>000314474 - CASA DIBERTACCHI-ARAMARK</v>
      </c>
      <c r="C16146" t="s">
        <v>104</v>
      </c>
      <c r="D16146" s="1" t="str">
        <f t="shared" si="444"/>
        <v>PRG-1044534</v>
      </c>
      <c r="E16146" t="s">
        <v>123</v>
      </c>
      <c r="F16146" t="s">
        <v>4</v>
      </c>
      <c r="G16146" t="str">
        <f>""</f>
        <v/>
      </c>
    </row>
    <row r="16147" spans="1:7" x14ac:dyDescent="0.25">
      <c r="A16147" t="s">
        <v>8</v>
      </c>
      <c r="B16147" s="1" t="str">
        <f>"000316247 - CASA DIBERTACCHI-ARAMARK"</f>
        <v>000316247 - CASA DIBERTACCHI-ARAMARK</v>
      </c>
      <c r="C16147" t="s">
        <v>104</v>
      </c>
      <c r="D16147" s="1" t="str">
        <f t="shared" si="444"/>
        <v>PRG-1044534</v>
      </c>
      <c r="E16147" t="s">
        <v>123</v>
      </c>
      <c r="F16147" t="s">
        <v>4</v>
      </c>
      <c r="G16147" t="str">
        <f>""</f>
        <v/>
      </c>
    </row>
    <row r="16148" spans="1:7" x14ac:dyDescent="0.25">
      <c r="A16148" t="s">
        <v>8</v>
      </c>
      <c r="B16148" s="1" t="str">
        <f>"000317612 - CASA DIBERTACCHI-ARAMARK"</f>
        <v>000317612 - CASA DIBERTACCHI-ARAMARK</v>
      </c>
      <c r="C16148" t="s">
        <v>104</v>
      </c>
      <c r="D16148" s="1" t="str">
        <f t="shared" si="444"/>
        <v>PRG-1044534</v>
      </c>
      <c r="E16148" t="s">
        <v>123</v>
      </c>
      <c r="F16148" t="s">
        <v>4</v>
      </c>
      <c r="G16148" t="str">
        <f>""</f>
        <v/>
      </c>
    </row>
    <row r="16149" spans="1:7" x14ac:dyDescent="0.25">
      <c r="A16149" t="s">
        <v>8</v>
      </c>
      <c r="B16149" s="1" t="str">
        <f>"000318771 - CASA DIBERTACCHI-ARAMARK"</f>
        <v>000318771 - CASA DIBERTACCHI-ARAMARK</v>
      </c>
      <c r="C16149" t="s">
        <v>104</v>
      </c>
      <c r="D16149" s="1" t="str">
        <f t="shared" si="444"/>
        <v>PRG-1044534</v>
      </c>
      <c r="E16149" t="s">
        <v>123</v>
      </c>
      <c r="F16149" t="s">
        <v>4</v>
      </c>
      <c r="G16149" t="str">
        <f>""</f>
        <v/>
      </c>
    </row>
    <row r="16150" spans="1:7" x14ac:dyDescent="0.25">
      <c r="A16150" t="s">
        <v>8</v>
      </c>
      <c r="B16150" s="1" t="str">
        <f>"000319183 - CASA DIBERTACCHI-ARAMARK"</f>
        <v>000319183 - CASA DIBERTACCHI-ARAMARK</v>
      </c>
      <c r="C16150" t="s">
        <v>104</v>
      </c>
      <c r="D16150" s="1" t="str">
        <f t="shared" si="444"/>
        <v>PRG-1044534</v>
      </c>
      <c r="E16150" t="s">
        <v>123</v>
      </c>
      <c r="F16150" t="s">
        <v>4</v>
      </c>
      <c r="G16150" t="str">
        <f>""</f>
        <v/>
      </c>
    </row>
    <row r="16151" spans="1:7" x14ac:dyDescent="0.25">
      <c r="A16151" t="s">
        <v>8</v>
      </c>
      <c r="B16151" s="1" t="str">
        <f>"000327163 - CASA DIBERTACCHI-ARAMARK"</f>
        <v>000327163 - CASA DIBERTACCHI-ARAMARK</v>
      </c>
      <c r="C16151" t="s">
        <v>104</v>
      </c>
      <c r="D16151" s="1" t="str">
        <f t="shared" si="444"/>
        <v>PRG-1044534</v>
      </c>
      <c r="E16151" t="s">
        <v>123</v>
      </c>
      <c r="F16151" t="s">
        <v>4</v>
      </c>
      <c r="G16151" t="str">
        <f>""</f>
        <v/>
      </c>
    </row>
    <row r="16152" spans="1:7" x14ac:dyDescent="0.25">
      <c r="A16152" t="s">
        <v>8</v>
      </c>
      <c r="B16152" s="1" t="str">
        <f>"000335597 - CASA DIBERTACCHI-ARAMARK"</f>
        <v>000335597 - CASA DIBERTACCHI-ARAMARK</v>
      </c>
      <c r="C16152" t="s">
        <v>104</v>
      </c>
      <c r="D16152" s="1" t="str">
        <f t="shared" si="444"/>
        <v>PRG-1044534</v>
      </c>
      <c r="E16152" t="s">
        <v>123</v>
      </c>
      <c r="F16152" t="s">
        <v>4</v>
      </c>
      <c r="G16152" t="str">
        <f>""</f>
        <v/>
      </c>
    </row>
    <row r="16153" spans="1:7" x14ac:dyDescent="0.25">
      <c r="A16153" t="s">
        <v>8</v>
      </c>
      <c r="B16153" s="1" t="str">
        <f>"000341838 - CASA DIBERTACCHI-ARAMARK"</f>
        <v>000341838 - CASA DIBERTACCHI-ARAMARK</v>
      </c>
      <c r="C16153" t="s">
        <v>104</v>
      </c>
      <c r="D16153" s="1" t="str">
        <f t="shared" si="444"/>
        <v>PRG-1044534</v>
      </c>
      <c r="E16153" t="s">
        <v>123</v>
      </c>
      <c r="F16153" t="s">
        <v>4</v>
      </c>
      <c r="G16153" t="str">
        <f>""</f>
        <v/>
      </c>
    </row>
    <row r="16154" spans="1:7" x14ac:dyDescent="0.25">
      <c r="A16154" t="s">
        <v>8</v>
      </c>
      <c r="B16154" s="1" t="str">
        <f>"000343217 - CASA DIBERTACCHI-ARAMARK"</f>
        <v>000343217 - CASA DIBERTACCHI-ARAMARK</v>
      </c>
      <c r="C16154" t="s">
        <v>104</v>
      </c>
      <c r="D16154" s="1" t="str">
        <f t="shared" si="444"/>
        <v>PRG-1044534</v>
      </c>
      <c r="E16154" t="s">
        <v>123</v>
      </c>
      <c r="F16154" t="s">
        <v>4</v>
      </c>
      <c r="G16154" t="str">
        <f>""</f>
        <v/>
      </c>
    </row>
    <row r="16155" spans="1:7" x14ac:dyDescent="0.25">
      <c r="A16155" t="s">
        <v>8</v>
      </c>
      <c r="B16155" s="1" t="str">
        <f>"000346300 - CASA DEIBERTACCHI-SSS ARAMARK"</f>
        <v>000346300 - CASA DEIBERTACCHI-SSS ARAMARK</v>
      </c>
      <c r="C16155" t="s">
        <v>465</v>
      </c>
      <c r="D16155" s="1" t="str">
        <f t="shared" si="444"/>
        <v>PRG-1044534</v>
      </c>
      <c r="E16155" t="s">
        <v>123</v>
      </c>
      <c r="F16155" t="s">
        <v>4</v>
      </c>
      <c r="G16155" t="str">
        <f>""</f>
        <v/>
      </c>
    </row>
    <row r="16156" spans="1:7" x14ac:dyDescent="0.25">
      <c r="A16156" t="s">
        <v>8</v>
      </c>
      <c r="B16156" s="1" t="str">
        <f>"000348971 - CASA DIBERTACCHI-ARAMARK"</f>
        <v>000348971 - CASA DIBERTACCHI-ARAMARK</v>
      </c>
      <c r="C16156" t="s">
        <v>104</v>
      </c>
      <c r="D16156" s="1" t="str">
        <f t="shared" si="444"/>
        <v>PRG-1044534</v>
      </c>
      <c r="E16156" t="s">
        <v>123</v>
      </c>
      <c r="F16156" t="s">
        <v>4</v>
      </c>
      <c r="G16156" t="str">
        <f>""</f>
        <v/>
      </c>
    </row>
    <row r="16157" spans="1:7" x14ac:dyDescent="0.25">
      <c r="A16157" t="s">
        <v>8</v>
      </c>
      <c r="B16157" s="1" t="str">
        <f>"000373712 - CASA DIBERTACCHI-ARAMARK"</f>
        <v>000373712 - CASA DIBERTACCHI-ARAMARK</v>
      </c>
      <c r="C16157" t="s">
        <v>104</v>
      </c>
      <c r="D16157" s="1" t="str">
        <f t="shared" si="444"/>
        <v>PRG-1044534</v>
      </c>
      <c r="E16157" t="s">
        <v>123</v>
      </c>
      <c r="F16157" t="s">
        <v>4</v>
      </c>
      <c r="G16157" t="str">
        <f>""</f>
        <v/>
      </c>
    </row>
    <row r="16158" spans="1:7" x14ac:dyDescent="0.25">
      <c r="A16158" t="s">
        <v>8</v>
      </c>
      <c r="B16158" s="1" t="str">
        <f>"000374572 - CASA DIBERTACCHI-ARAMARK"</f>
        <v>000374572 - CASA DIBERTACCHI-ARAMARK</v>
      </c>
      <c r="C16158" t="s">
        <v>104</v>
      </c>
      <c r="D16158" s="1" t="str">
        <f t="shared" si="444"/>
        <v>PRG-1044534</v>
      </c>
      <c r="E16158" t="s">
        <v>123</v>
      </c>
      <c r="F16158" t="s">
        <v>4</v>
      </c>
      <c r="G16158" t="str">
        <f>""</f>
        <v/>
      </c>
    </row>
    <row r="16159" spans="1:7" x14ac:dyDescent="0.25">
      <c r="A16159" t="s">
        <v>8</v>
      </c>
      <c r="B16159" s="1" t="str">
        <f>"000378246 - CASA DIBERTACCHI-ARAMARK"</f>
        <v>000378246 - CASA DIBERTACCHI-ARAMARK</v>
      </c>
      <c r="C16159" t="s">
        <v>104</v>
      </c>
      <c r="D16159" s="1" t="str">
        <f t="shared" si="444"/>
        <v>PRG-1044534</v>
      </c>
      <c r="E16159" t="s">
        <v>123</v>
      </c>
      <c r="F16159" t="s">
        <v>4</v>
      </c>
      <c r="G16159" t="str">
        <f>""</f>
        <v/>
      </c>
    </row>
    <row r="16160" spans="1:7" x14ac:dyDescent="0.25">
      <c r="A16160" t="s">
        <v>8</v>
      </c>
      <c r="B16160" s="1" t="str">
        <f>"000378426 - CASA DEIBERTACCHI-SSS ARAMARK"</f>
        <v>000378426 - CASA DEIBERTACCHI-SSS ARAMARK</v>
      </c>
      <c r="C16160" t="s">
        <v>465</v>
      </c>
      <c r="D16160" s="1" t="str">
        <f t="shared" si="444"/>
        <v>PRG-1044534</v>
      </c>
      <c r="E16160" t="s">
        <v>123</v>
      </c>
      <c r="F16160" t="s">
        <v>4</v>
      </c>
      <c r="G16160" t="str">
        <f>""</f>
        <v/>
      </c>
    </row>
    <row r="16161" spans="1:7" x14ac:dyDescent="0.25">
      <c r="A16161" t="s">
        <v>8</v>
      </c>
      <c r="B16161" s="1" t="str">
        <f>"000378670 - CASA DEIBERTACCHI-SSS ARAMARK"</f>
        <v>000378670 - CASA DEIBERTACCHI-SSS ARAMARK</v>
      </c>
      <c r="C16161" t="s">
        <v>465</v>
      </c>
      <c r="D16161" s="1" t="str">
        <f t="shared" si="444"/>
        <v>PRG-1044534</v>
      </c>
      <c r="E16161" t="s">
        <v>123</v>
      </c>
      <c r="F16161" t="s">
        <v>4</v>
      </c>
      <c r="G16161" t="str">
        <f>""</f>
        <v/>
      </c>
    </row>
    <row r="16162" spans="1:7" x14ac:dyDescent="0.25">
      <c r="A16162" t="s">
        <v>8</v>
      </c>
      <c r="B16162" s="1" t="str">
        <f>"000382529 - CASA DIBERTACCHI-ARAMARK"</f>
        <v>000382529 - CASA DIBERTACCHI-ARAMARK</v>
      </c>
      <c r="C16162" t="s">
        <v>104</v>
      </c>
      <c r="D16162" s="1" t="str">
        <f t="shared" si="444"/>
        <v>PRG-1044534</v>
      </c>
      <c r="E16162" t="s">
        <v>123</v>
      </c>
      <c r="F16162" t="s">
        <v>4</v>
      </c>
      <c r="G16162" t="str">
        <f>""</f>
        <v/>
      </c>
    </row>
    <row r="16163" spans="1:7" x14ac:dyDescent="0.25">
      <c r="A16163" t="s">
        <v>8</v>
      </c>
      <c r="B16163" s="1" t="str">
        <f>"000382980 - CASA DIBERTACCHI-ARAMARK"</f>
        <v>000382980 - CASA DIBERTACCHI-ARAMARK</v>
      </c>
      <c r="C16163" t="s">
        <v>104</v>
      </c>
      <c r="D16163" s="1" t="str">
        <f t="shared" si="444"/>
        <v>PRG-1044534</v>
      </c>
      <c r="E16163" t="s">
        <v>123</v>
      </c>
      <c r="F16163" t="s">
        <v>4</v>
      </c>
      <c r="G16163" t="str">
        <f>""</f>
        <v/>
      </c>
    </row>
    <row r="16164" spans="1:7" x14ac:dyDescent="0.25">
      <c r="A16164" t="s">
        <v>8</v>
      </c>
      <c r="B16164" s="1" t="str">
        <f>"000383092 - CASA DIBERTACCHI-ARAMARK"</f>
        <v>000383092 - CASA DIBERTACCHI-ARAMARK</v>
      </c>
      <c r="C16164" t="s">
        <v>104</v>
      </c>
      <c r="D16164" s="1" t="str">
        <f t="shared" si="444"/>
        <v>PRG-1044534</v>
      </c>
      <c r="E16164" t="s">
        <v>123</v>
      </c>
      <c r="F16164" t="s">
        <v>4</v>
      </c>
      <c r="G16164" t="str">
        <f>""</f>
        <v/>
      </c>
    </row>
    <row r="16165" spans="1:7" x14ac:dyDescent="0.25">
      <c r="A16165" t="s">
        <v>8</v>
      </c>
      <c r="B16165" s="1" t="str">
        <f>"000384903 - CASA DIBERTACCHI-ARAMARK"</f>
        <v>000384903 - CASA DIBERTACCHI-ARAMARK</v>
      </c>
      <c r="C16165" t="s">
        <v>104</v>
      </c>
      <c r="D16165" s="1" t="str">
        <f t="shared" si="444"/>
        <v>PRG-1044534</v>
      </c>
      <c r="E16165" t="s">
        <v>123</v>
      </c>
      <c r="F16165" t="s">
        <v>4</v>
      </c>
      <c r="G16165" t="str">
        <f>""</f>
        <v/>
      </c>
    </row>
    <row r="16166" spans="1:7" x14ac:dyDescent="0.25">
      <c r="A16166" t="s">
        <v>8</v>
      </c>
      <c r="B16166" s="1" t="str">
        <f>"000385208 - CASA DIBERTACCHI-ARAMARK"</f>
        <v>000385208 - CASA DIBERTACCHI-ARAMARK</v>
      </c>
      <c r="C16166" t="s">
        <v>104</v>
      </c>
      <c r="D16166" s="1" t="str">
        <f t="shared" si="444"/>
        <v>PRG-1044534</v>
      </c>
      <c r="E16166" t="s">
        <v>123</v>
      </c>
      <c r="F16166" t="s">
        <v>4</v>
      </c>
      <c r="G16166" t="str">
        <f>""</f>
        <v/>
      </c>
    </row>
    <row r="16167" spans="1:7" x14ac:dyDescent="0.25">
      <c r="A16167" t="s">
        <v>8</v>
      </c>
      <c r="B16167" s="1" t="str">
        <f>"000389528 - CASA DIBERTACCHI-ARAMARK"</f>
        <v>000389528 - CASA DIBERTACCHI-ARAMARK</v>
      </c>
      <c r="C16167" t="s">
        <v>104</v>
      </c>
      <c r="D16167" s="1" t="str">
        <f t="shared" si="444"/>
        <v>PRG-1044534</v>
      </c>
      <c r="E16167" t="s">
        <v>123</v>
      </c>
      <c r="F16167" t="s">
        <v>4</v>
      </c>
      <c r="G16167" t="str">
        <f>""</f>
        <v/>
      </c>
    </row>
    <row r="16168" spans="1:7" x14ac:dyDescent="0.25">
      <c r="A16168" t="s">
        <v>8</v>
      </c>
      <c r="B16168" s="1" t="str">
        <f>"000389629 - CASA DEIBERTACCHI-SSS ARAMARK"</f>
        <v>000389629 - CASA DEIBERTACCHI-SSS ARAMARK</v>
      </c>
      <c r="C16168" t="s">
        <v>465</v>
      </c>
      <c r="D16168" s="1" t="str">
        <f t="shared" si="444"/>
        <v>PRG-1044534</v>
      </c>
      <c r="E16168" t="s">
        <v>123</v>
      </c>
      <c r="F16168" t="s">
        <v>4</v>
      </c>
      <c r="G16168" t="str">
        <f>""</f>
        <v/>
      </c>
    </row>
    <row r="16169" spans="1:7" x14ac:dyDescent="0.25">
      <c r="A16169" t="s">
        <v>8</v>
      </c>
      <c r="B16169" s="1" t="str">
        <f>"000389985 - CASA DIBERTACCHI-ARAMARK"</f>
        <v>000389985 - CASA DIBERTACCHI-ARAMARK</v>
      </c>
      <c r="C16169" t="s">
        <v>104</v>
      </c>
      <c r="D16169" s="1" t="str">
        <f t="shared" ref="D16169:D16181" si="445">"PRG-1044534"</f>
        <v>PRG-1044534</v>
      </c>
      <c r="E16169" t="s">
        <v>123</v>
      </c>
      <c r="F16169" t="s">
        <v>4</v>
      </c>
      <c r="G16169" t="str">
        <f>""</f>
        <v/>
      </c>
    </row>
    <row r="16170" spans="1:7" x14ac:dyDescent="0.25">
      <c r="A16170" t="s">
        <v>8</v>
      </c>
      <c r="B16170" s="1" t="str">
        <f>"000391190 - CASA DIBERTACCHI-ARAMARK"</f>
        <v>000391190 - CASA DIBERTACCHI-ARAMARK</v>
      </c>
      <c r="C16170" t="s">
        <v>104</v>
      </c>
      <c r="D16170" s="1" t="str">
        <f t="shared" si="445"/>
        <v>PRG-1044534</v>
      </c>
      <c r="E16170" t="s">
        <v>123</v>
      </c>
      <c r="F16170" t="s">
        <v>4</v>
      </c>
      <c r="G16170" t="str">
        <f>""</f>
        <v/>
      </c>
    </row>
    <row r="16171" spans="1:7" x14ac:dyDescent="0.25">
      <c r="A16171" t="s">
        <v>8</v>
      </c>
      <c r="B16171" s="1" t="str">
        <f>"000393647 - CASA DIBERTACCHI-ARAMARK"</f>
        <v>000393647 - CASA DIBERTACCHI-ARAMARK</v>
      </c>
      <c r="C16171" t="s">
        <v>104</v>
      </c>
      <c r="D16171" s="1" t="str">
        <f t="shared" si="445"/>
        <v>PRG-1044534</v>
      </c>
      <c r="E16171" t="s">
        <v>123</v>
      </c>
      <c r="F16171" t="s">
        <v>4</v>
      </c>
      <c r="G16171" t="str">
        <f>""</f>
        <v/>
      </c>
    </row>
    <row r="16172" spans="1:7" x14ac:dyDescent="0.25">
      <c r="A16172" t="s">
        <v>8</v>
      </c>
      <c r="B16172" s="1" t="str">
        <f>"000397956 - CASA DIBERTACCHI-ARAMARK"</f>
        <v>000397956 - CASA DIBERTACCHI-ARAMARK</v>
      </c>
      <c r="C16172" t="s">
        <v>104</v>
      </c>
      <c r="D16172" s="1" t="str">
        <f t="shared" si="445"/>
        <v>PRG-1044534</v>
      </c>
      <c r="E16172" t="s">
        <v>123</v>
      </c>
      <c r="F16172" t="s">
        <v>4</v>
      </c>
      <c r="G16172" t="str">
        <f>""</f>
        <v/>
      </c>
    </row>
    <row r="16173" spans="1:7" x14ac:dyDescent="0.25">
      <c r="A16173" t="s">
        <v>8</v>
      </c>
      <c r="B16173" s="1" t="str">
        <f>"000398238 - CASA DIBERTACCHI-ARAMARK"</f>
        <v>000398238 - CASA DIBERTACCHI-ARAMARK</v>
      </c>
      <c r="C16173" t="s">
        <v>104</v>
      </c>
      <c r="D16173" s="1" t="str">
        <f t="shared" si="445"/>
        <v>PRG-1044534</v>
      </c>
      <c r="E16173" t="s">
        <v>123</v>
      </c>
      <c r="F16173" t="s">
        <v>4</v>
      </c>
      <c r="G16173" t="str">
        <f>""</f>
        <v/>
      </c>
    </row>
    <row r="16174" spans="1:7" x14ac:dyDescent="0.25">
      <c r="A16174" t="s">
        <v>8</v>
      </c>
      <c r="B16174" s="1" t="str">
        <f>"000398957 - CASA DIBERTACCHI-ARAMARK"</f>
        <v>000398957 - CASA DIBERTACCHI-ARAMARK</v>
      </c>
      <c r="C16174" t="s">
        <v>104</v>
      </c>
      <c r="D16174" s="1" t="str">
        <f t="shared" si="445"/>
        <v>PRG-1044534</v>
      </c>
      <c r="E16174" t="s">
        <v>123</v>
      </c>
      <c r="F16174" t="s">
        <v>4</v>
      </c>
      <c r="G16174" t="str">
        <f>""</f>
        <v/>
      </c>
    </row>
    <row r="16175" spans="1:7" x14ac:dyDescent="0.25">
      <c r="A16175" t="s">
        <v>8</v>
      </c>
      <c r="B16175" s="1" t="str">
        <f>"000400287 - CASA DIBERTACCHI-ARAMARK"</f>
        <v>000400287 - CASA DIBERTACCHI-ARAMARK</v>
      </c>
      <c r="C16175" t="s">
        <v>104</v>
      </c>
      <c r="D16175" s="1" t="str">
        <f t="shared" si="445"/>
        <v>PRG-1044534</v>
      </c>
      <c r="E16175" t="s">
        <v>123</v>
      </c>
      <c r="F16175" t="s">
        <v>4</v>
      </c>
      <c r="G16175" t="str">
        <f>""</f>
        <v/>
      </c>
    </row>
    <row r="16176" spans="1:7" x14ac:dyDescent="0.25">
      <c r="A16176" t="s">
        <v>8</v>
      </c>
      <c r="B16176" s="1" t="str">
        <f>"000402933 - RICH FOODS-SSS ARAMARK"</f>
        <v>000402933 - RICH FOODS-SSS ARAMARK</v>
      </c>
      <c r="C16176" t="s">
        <v>128</v>
      </c>
      <c r="D16176" s="1" t="str">
        <f t="shared" si="445"/>
        <v>PRG-1044534</v>
      </c>
      <c r="E16176" t="s">
        <v>123</v>
      </c>
      <c r="F16176" t="s">
        <v>4</v>
      </c>
      <c r="G16176" t="str">
        <f>""</f>
        <v/>
      </c>
    </row>
    <row r="16177" spans="1:7" x14ac:dyDescent="0.25">
      <c r="A16177" t="s">
        <v>8</v>
      </c>
      <c r="B16177" s="1" t="str">
        <f>"000403445 - CASA DEIBERTACCHI-SSS ARAMARK"</f>
        <v>000403445 - CASA DEIBERTACCHI-SSS ARAMARK</v>
      </c>
      <c r="C16177" t="s">
        <v>465</v>
      </c>
      <c r="D16177" s="1" t="str">
        <f t="shared" si="445"/>
        <v>PRG-1044534</v>
      </c>
      <c r="E16177" t="s">
        <v>123</v>
      </c>
      <c r="F16177" t="s">
        <v>4</v>
      </c>
      <c r="G16177" t="str">
        <f>""</f>
        <v/>
      </c>
    </row>
    <row r="16178" spans="1:7" x14ac:dyDescent="0.25">
      <c r="A16178" t="s">
        <v>8</v>
      </c>
      <c r="B16178" s="1" t="str">
        <f>"000407843 - CASA DIBERTACCHI-ARAMARK"</f>
        <v>000407843 - CASA DIBERTACCHI-ARAMARK</v>
      </c>
      <c r="C16178" t="s">
        <v>104</v>
      </c>
      <c r="D16178" s="1" t="str">
        <f t="shared" si="445"/>
        <v>PRG-1044534</v>
      </c>
      <c r="E16178" t="s">
        <v>123</v>
      </c>
      <c r="F16178" t="s">
        <v>4</v>
      </c>
      <c r="G16178" t="str">
        <f>""</f>
        <v/>
      </c>
    </row>
    <row r="16179" spans="1:7" x14ac:dyDescent="0.25">
      <c r="A16179" t="s">
        <v>8</v>
      </c>
      <c r="B16179" s="1" t="str">
        <f>"000409099 - CASA DIBERTACCHI-ARAMARK"</f>
        <v>000409099 - CASA DIBERTACCHI-ARAMARK</v>
      </c>
      <c r="C16179" t="s">
        <v>104</v>
      </c>
      <c r="D16179" s="1" t="str">
        <f t="shared" si="445"/>
        <v>PRG-1044534</v>
      </c>
      <c r="E16179" t="s">
        <v>123</v>
      </c>
      <c r="F16179" t="s">
        <v>4</v>
      </c>
      <c r="G16179" t="str">
        <f>""</f>
        <v/>
      </c>
    </row>
    <row r="16180" spans="1:7" x14ac:dyDescent="0.25">
      <c r="A16180" t="s">
        <v>8</v>
      </c>
      <c r="B16180" s="1" t="str">
        <f>"000409121 - CASA DIBERTACCHI-ARAMARK"</f>
        <v>000409121 - CASA DIBERTACCHI-ARAMARK</v>
      </c>
      <c r="C16180" t="s">
        <v>104</v>
      </c>
      <c r="D16180" s="1" t="str">
        <f t="shared" si="445"/>
        <v>PRG-1044534</v>
      </c>
      <c r="E16180" t="s">
        <v>123</v>
      </c>
      <c r="F16180" t="s">
        <v>4</v>
      </c>
      <c r="G16180" t="str">
        <f>""</f>
        <v/>
      </c>
    </row>
    <row r="16181" spans="1:7" x14ac:dyDescent="0.25">
      <c r="A16181" t="s">
        <v>8</v>
      </c>
      <c r="B16181" s="1" t="str">
        <f>"000416399 - CASA DIBERTACCHI-ARAMARK"</f>
        <v>000416399 - CASA DIBERTACCHI-ARAMARK</v>
      </c>
      <c r="C16181" t="s">
        <v>104</v>
      </c>
      <c r="D16181" s="1" t="str">
        <f t="shared" si="445"/>
        <v>PRG-1044534</v>
      </c>
      <c r="E16181" t="s">
        <v>123</v>
      </c>
      <c r="F16181" t="s">
        <v>4</v>
      </c>
      <c r="G16181" t="str">
        <f>""</f>
        <v/>
      </c>
    </row>
    <row r="16182" spans="1:7" x14ac:dyDescent="0.25">
      <c r="A16182" t="s">
        <v>8</v>
      </c>
      <c r="B16182" s="1" t="str">
        <f>"000355398 - RICH PRODUCTS THUNDER VALLEY"</f>
        <v>000355398 - RICH PRODUCTS THUNDER VALLEY</v>
      </c>
      <c r="C16182" t="s">
        <v>3554</v>
      </c>
      <c r="D16182" s="1" t="str">
        <f>"PRG-1044580"</f>
        <v>PRG-1044580</v>
      </c>
      <c r="E16182" t="s">
        <v>3555</v>
      </c>
      <c r="F16182" t="s">
        <v>4</v>
      </c>
      <c r="G16182" t="str">
        <f>""</f>
        <v/>
      </c>
    </row>
    <row r="16183" spans="1:7" x14ac:dyDescent="0.25">
      <c r="A16183" t="s">
        <v>8</v>
      </c>
      <c r="B16183" s="1" t="str">
        <f>"000356805 - RICH PROD  THUNDR VLY(1989144)"</f>
        <v>000356805 - RICH PROD  THUNDR VLY(1989144)</v>
      </c>
      <c r="C16183" t="s">
        <v>3563</v>
      </c>
      <c r="D16183" s="1" t="str">
        <f>"PRG-1044580"</f>
        <v>PRG-1044580</v>
      </c>
      <c r="E16183" t="s">
        <v>3555</v>
      </c>
      <c r="F16183" t="s">
        <v>4</v>
      </c>
      <c r="G16183" t="str">
        <f>""</f>
        <v/>
      </c>
    </row>
    <row r="16184" spans="1:7" x14ac:dyDescent="0.25">
      <c r="A16184" t="s">
        <v>8</v>
      </c>
      <c r="B16184" s="1" t="str">
        <f>"S3F01SZ0"</f>
        <v>S3F01SZ0</v>
      </c>
      <c r="C16184" t="s">
        <v>5606</v>
      </c>
      <c r="D16184" s="1" t="str">
        <f>"PRG-1044625"</f>
        <v>PRG-1044625</v>
      </c>
      <c r="E16184" t="s">
        <v>5607</v>
      </c>
      <c r="F16184" t="s">
        <v>5</v>
      </c>
      <c r="G16184" t="str">
        <f>""</f>
        <v/>
      </c>
    </row>
    <row r="16185" spans="1:7" x14ac:dyDescent="0.25">
      <c r="A16185" t="s">
        <v>8</v>
      </c>
      <c r="B16185" s="1" t="str">
        <f>"46300"</f>
        <v>46300</v>
      </c>
      <c r="C16185" t="s">
        <v>5013</v>
      </c>
      <c r="D16185" s="1" t="str">
        <f>"PRG-1044647"</f>
        <v>PRG-1044647</v>
      </c>
      <c r="E16185" t="s">
        <v>5014</v>
      </c>
      <c r="F16185" t="s">
        <v>7</v>
      </c>
      <c r="G16185" t="str">
        <f>""</f>
        <v/>
      </c>
    </row>
    <row r="16186" spans="1:7" x14ac:dyDescent="0.25">
      <c r="A16186" t="s">
        <v>8</v>
      </c>
      <c r="B16186" s="1" t="str">
        <f>"46306"</f>
        <v>46306</v>
      </c>
      <c r="C16186" t="s">
        <v>5015</v>
      </c>
      <c r="D16186" s="1" t="str">
        <f>"PRG-1044647"</f>
        <v>PRG-1044647</v>
      </c>
      <c r="E16186" t="s">
        <v>5014</v>
      </c>
      <c r="F16186" t="s">
        <v>7</v>
      </c>
      <c r="G16186" t="str">
        <f>""</f>
        <v/>
      </c>
    </row>
    <row r="16187" spans="1:7" x14ac:dyDescent="0.25">
      <c r="A16187" t="s">
        <v>8</v>
      </c>
      <c r="B16187" s="1" t="str">
        <f>"46400"</f>
        <v>46400</v>
      </c>
      <c r="C16187" t="s">
        <v>5016</v>
      </c>
      <c r="D16187" s="1" t="str">
        <f>"PRG-1044647"</f>
        <v>PRG-1044647</v>
      </c>
      <c r="E16187" t="s">
        <v>5014</v>
      </c>
      <c r="F16187" t="s">
        <v>7</v>
      </c>
      <c r="G16187" t="str">
        <f>""</f>
        <v/>
      </c>
    </row>
    <row r="16188" spans="1:7" x14ac:dyDescent="0.25">
      <c r="A16188" t="s">
        <v>8</v>
      </c>
      <c r="B16188" s="1" t="str">
        <f>"54572"</f>
        <v>54572</v>
      </c>
      <c r="C16188" t="s">
        <v>5025</v>
      </c>
      <c r="D16188" s="1" t="str">
        <f>"PRG-1044647"</f>
        <v>PRG-1044647</v>
      </c>
      <c r="E16188" t="s">
        <v>5014</v>
      </c>
      <c r="F16188" t="s">
        <v>7</v>
      </c>
      <c r="G16188" t="str">
        <f>""</f>
        <v/>
      </c>
    </row>
    <row r="16189" spans="1:7" x14ac:dyDescent="0.25">
      <c r="A16189" t="s">
        <v>8</v>
      </c>
      <c r="B16189" s="1" t="str">
        <f>"000003224 - RICH FOODS - FOODBUY"</f>
        <v>000003224 - RICH FOODS - FOODBUY</v>
      </c>
      <c r="C16189" t="s">
        <v>146</v>
      </c>
      <c r="D16189" s="1" t="str">
        <f t="shared" ref="D16189:D16252" si="446">"PRG-1044663"</f>
        <v>PRG-1044663</v>
      </c>
      <c r="E16189" t="s">
        <v>147</v>
      </c>
      <c r="F16189" t="s">
        <v>4</v>
      </c>
      <c r="G16189" t="str">
        <f>""</f>
        <v/>
      </c>
    </row>
    <row r="16190" spans="1:7" x14ac:dyDescent="0.25">
      <c r="A16190" t="s">
        <v>8</v>
      </c>
      <c r="B16190" s="1" t="str">
        <f>"000003889 - RICH FOODS - FOODBUY"</f>
        <v>000003889 - RICH FOODS - FOODBUY</v>
      </c>
      <c r="C16190" t="s">
        <v>146</v>
      </c>
      <c r="D16190" s="1" t="str">
        <f t="shared" si="446"/>
        <v>PRG-1044663</v>
      </c>
      <c r="E16190" t="s">
        <v>147</v>
      </c>
      <c r="F16190" t="s">
        <v>4</v>
      </c>
      <c r="G16190" t="str">
        <f>""</f>
        <v/>
      </c>
    </row>
    <row r="16191" spans="1:7" x14ac:dyDescent="0.25">
      <c r="A16191" t="s">
        <v>8</v>
      </c>
      <c r="B16191" s="1" t="str">
        <f>"000005146 - RICH FOODS BB-FOODBUY"</f>
        <v>000005146 - RICH FOODS BB-FOODBUY</v>
      </c>
      <c r="C16191" t="s">
        <v>209</v>
      </c>
      <c r="D16191" s="1" t="str">
        <f t="shared" si="446"/>
        <v>PRG-1044663</v>
      </c>
      <c r="E16191" t="s">
        <v>147</v>
      </c>
      <c r="F16191" t="s">
        <v>4</v>
      </c>
      <c r="G16191" t="str">
        <f>""</f>
        <v/>
      </c>
    </row>
    <row r="16192" spans="1:7" x14ac:dyDescent="0.25">
      <c r="A16192" t="s">
        <v>8</v>
      </c>
      <c r="B16192" s="1" t="str">
        <f>"000006407 - RICH FOODS - FOODBUY"</f>
        <v>000006407 - RICH FOODS - FOODBUY</v>
      </c>
      <c r="C16192" t="s">
        <v>146</v>
      </c>
      <c r="D16192" s="1" t="str">
        <f t="shared" si="446"/>
        <v>PRG-1044663</v>
      </c>
      <c r="E16192" t="s">
        <v>147</v>
      </c>
      <c r="F16192" t="s">
        <v>4</v>
      </c>
      <c r="G16192" t="str">
        <f>""</f>
        <v/>
      </c>
    </row>
    <row r="16193" spans="1:7" x14ac:dyDescent="0.25">
      <c r="A16193" t="s">
        <v>8</v>
      </c>
      <c r="B16193" s="1" t="str">
        <f>"000009777 - RICH FOODS-FOODBUY"</f>
        <v>000009777 - RICH FOODS-FOODBUY</v>
      </c>
      <c r="C16193" t="s">
        <v>237</v>
      </c>
      <c r="D16193" s="1" t="str">
        <f t="shared" si="446"/>
        <v>PRG-1044663</v>
      </c>
      <c r="E16193" t="s">
        <v>147</v>
      </c>
      <c r="F16193" t="s">
        <v>4</v>
      </c>
      <c r="G16193" t="str">
        <f>""</f>
        <v/>
      </c>
    </row>
    <row r="16194" spans="1:7" x14ac:dyDescent="0.25">
      <c r="A16194" t="s">
        <v>8</v>
      </c>
      <c r="B16194" s="1" t="str">
        <f>"000011130 - RICH FOODS BB-FOODBUY"</f>
        <v>000011130 - RICH FOODS BB-FOODBUY</v>
      </c>
      <c r="C16194" t="s">
        <v>209</v>
      </c>
      <c r="D16194" s="1" t="str">
        <f t="shared" si="446"/>
        <v>PRG-1044663</v>
      </c>
      <c r="E16194" t="s">
        <v>147</v>
      </c>
      <c r="F16194" t="s">
        <v>4</v>
      </c>
      <c r="G16194" t="str">
        <f>""</f>
        <v/>
      </c>
    </row>
    <row r="16195" spans="1:7" x14ac:dyDescent="0.25">
      <c r="A16195" t="s">
        <v>8</v>
      </c>
      <c r="B16195" s="1" t="str">
        <f>"000011768 - RICH FOODS-FOODBUY"</f>
        <v>000011768 - RICH FOODS-FOODBUY</v>
      </c>
      <c r="C16195" t="s">
        <v>237</v>
      </c>
      <c r="D16195" s="1" t="str">
        <f t="shared" si="446"/>
        <v>PRG-1044663</v>
      </c>
      <c r="E16195" t="s">
        <v>147</v>
      </c>
      <c r="F16195" t="s">
        <v>4</v>
      </c>
      <c r="G16195" t="str">
        <f>""</f>
        <v/>
      </c>
    </row>
    <row r="16196" spans="1:7" x14ac:dyDescent="0.25">
      <c r="A16196" t="s">
        <v>8</v>
      </c>
      <c r="B16196" s="1" t="str">
        <f>"000012321 - RICH FOODS-FOODBUY"</f>
        <v>000012321 - RICH FOODS-FOODBUY</v>
      </c>
      <c r="C16196" t="s">
        <v>237</v>
      </c>
      <c r="D16196" s="1" t="str">
        <f t="shared" si="446"/>
        <v>PRG-1044663</v>
      </c>
      <c r="E16196" t="s">
        <v>147</v>
      </c>
      <c r="F16196" t="s">
        <v>4</v>
      </c>
      <c r="G16196" t="str">
        <f>""</f>
        <v/>
      </c>
    </row>
    <row r="16197" spans="1:7" x14ac:dyDescent="0.25">
      <c r="A16197" t="s">
        <v>8</v>
      </c>
      <c r="B16197" s="1" t="str">
        <f>"000013855 - RICH FOODS-FOODBUY"</f>
        <v>000013855 - RICH FOODS-FOODBUY</v>
      </c>
      <c r="C16197" t="s">
        <v>237</v>
      </c>
      <c r="D16197" s="1" t="str">
        <f t="shared" si="446"/>
        <v>PRG-1044663</v>
      </c>
      <c r="E16197" t="s">
        <v>147</v>
      </c>
      <c r="F16197" t="s">
        <v>4</v>
      </c>
      <c r="G16197" t="str">
        <f>""</f>
        <v/>
      </c>
    </row>
    <row r="16198" spans="1:7" x14ac:dyDescent="0.25">
      <c r="A16198" t="s">
        <v>8</v>
      </c>
      <c r="B16198" s="1" t="str">
        <f>"000014471 - RICH FOODS BB FOODBUY"</f>
        <v>000014471 - RICH FOODS BB FOODBUY</v>
      </c>
      <c r="C16198" t="s">
        <v>228</v>
      </c>
      <c r="D16198" s="1" t="str">
        <f t="shared" si="446"/>
        <v>PRG-1044663</v>
      </c>
      <c r="E16198" t="s">
        <v>147</v>
      </c>
      <c r="F16198" t="s">
        <v>4</v>
      </c>
      <c r="G16198" t="str">
        <f>""</f>
        <v/>
      </c>
    </row>
    <row r="16199" spans="1:7" x14ac:dyDescent="0.25">
      <c r="A16199" t="s">
        <v>8</v>
      </c>
      <c r="B16199" s="1" t="str">
        <f>"000015575 - GA-RICH FOODS - FOODBUY"</f>
        <v>000015575 - GA-RICH FOODS - FOODBUY</v>
      </c>
      <c r="C16199" t="s">
        <v>367</v>
      </c>
      <c r="D16199" s="1" t="str">
        <f t="shared" si="446"/>
        <v>PRG-1044663</v>
      </c>
      <c r="E16199" t="s">
        <v>147</v>
      </c>
      <c r="F16199" t="s">
        <v>4</v>
      </c>
      <c r="G16199" t="str">
        <f>""</f>
        <v/>
      </c>
    </row>
    <row r="16200" spans="1:7" x14ac:dyDescent="0.25">
      <c r="A16200" t="s">
        <v>8</v>
      </c>
      <c r="B16200" s="1" t="str">
        <f>"000016659 - RICH FOODS-FOODBUY"</f>
        <v>000016659 - RICH FOODS-FOODBUY</v>
      </c>
      <c r="C16200" t="s">
        <v>237</v>
      </c>
      <c r="D16200" s="1" t="str">
        <f t="shared" si="446"/>
        <v>PRG-1044663</v>
      </c>
      <c r="E16200" t="s">
        <v>147</v>
      </c>
      <c r="F16200" t="s">
        <v>4</v>
      </c>
      <c r="G16200" t="str">
        <f>""</f>
        <v/>
      </c>
    </row>
    <row r="16201" spans="1:7" x14ac:dyDescent="0.25">
      <c r="A16201" t="s">
        <v>8</v>
      </c>
      <c r="B16201" s="1" t="str">
        <f>"000017018 - RICH'S FOOD BAPA -FOODBUY"</f>
        <v>000017018 - RICH'S FOOD BAPA -FOODBUY</v>
      </c>
      <c r="C16201" t="s">
        <v>363</v>
      </c>
      <c r="D16201" s="1" t="str">
        <f t="shared" si="446"/>
        <v>PRG-1044663</v>
      </c>
      <c r="E16201" t="s">
        <v>147</v>
      </c>
      <c r="F16201" t="s">
        <v>4</v>
      </c>
      <c r="G16201" t="str">
        <f>""</f>
        <v/>
      </c>
    </row>
    <row r="16202" spans="1:7" x14ac:dyDescent="0.25">
      <c r="A16202" t="s">
        <v>8</v>
      </c>
      <c r="B16202" s="1" t="str">
        <f>"000017508 - RICH FOODS-FOODBUY"</f>
        <v>000017508 - RICH FOODS-FOODBUY</v>
      </c>
      <c r="C16202" t="s">
        <v>237</v>
      </c>
      <c r="D16202" s="1" t="str">
        <f t="shared" si="446"/>
        <v>PRG-1044663</v>
      </c>
      <c r="E16202" t="s">
        <v>147</v>
      </c>
      <c r="F16202" t="s">
        <v>4</v>
      </c>
      <c r="G16202" t="str">
        <f>""</f>
        <v/>
      </c>
    </row>
    <row r="16203" spans="1:7" x14ac:dyDescent="0.25">
      <c r="A16203" t="s">
        <v>8</v>
      </c>
      <c r="B16203" s="1" t="str">
        <f>"000017655 - RICH'S FOOD BAPA -FOODBUY"</f>
        <v>000017655 - RICH'S FOOD BAPA -FOODBUY</v>
      </c>
      <c r="C16203" t="s">
        <v>363</v>
      </c>
      <c r="D16203" s="1" t="str">
        <f t="shared" si="446"/>
        <v>PRG-1044663</v>
      </c>
      <c r="E16203" t="s">
        <v>147</v>
      </c>
      <c r="F16203" t="s">
        <v>4</v>
      </c>
      <c r="G16203" t="str">
        <f>""</f>
        <v/>
      </c>
    </row>
    <row r="16204" spans="1:7" x14ac:dyDescent="0.25">
      <c r="A16204" t="s">
        <v>8</v>
      </c>
      <c r="B16204" s="1" t="str">
        <f>"000017787 - RICH FOODS-FOODBUY"</f>
        <v>000017787 - RICH FOODS-FOODBUY</v>
      </c>
      <c r="C16204" t="s">
        <v>237</v>
      </c>
      <c r="D16204" s="1" t="str">
        <f t="shared" si="446"/>
        <v>PRG-1044663</v>
      </c>
      <c r="E16204" t="s">
        <v>147</v>
      </c>
      <c r="F16204" t="s">
        <v>4</v>
      </c>
      <c r="G16204" t="str">
        <f>""</f>
        <v/>
      </c>
    </row>
    <row r="16205" spans="1:7" x14ac:dyDescent="0.25">
      <c r="A16205" t="s">
        <v>8</v>
      </c>
      <c r="B16205" s="1" t="str">
        <f>"000018376 - RICH FOODS-FOODBUY"</f>
        <v>000018376 - RICH FOODS-FOODBUY</v>
      </c>
      <c r="C16205" t="s">
        <v>237</v>
      </c>
      <c r="D16205" s="1" t="str">
        <f t="shared" si="446"/>
        <v>PRG-1044663</v>
      </c>
      <c r="E16205" t="s">
        <v>147</v>
      </c>
      <c r="F16205" t="s">
        <v>4</v>
      </c>
      <c r="G16205" t="str">
        <f>""</f>
        <v/>
      </c>
    </row>
    <row r="16206" spans="1:7" x14ac:dyDescent="0.25">
      <c r="A16206" t="s">
        <v>8</v>
      </c>
      <c r="B16206" s="1" t="str">
        <f>"000019883 - RICH FOODS-FOODBUY"</f>
        <v>000019883 - RICH FOODS-FOODBUY</v>
      </c>
      <c r="C16206" t="s">
        <v>237</v>
      </c>
      <c r="D16206" s="1" t="str">
        <f t="shared" si="446"/>
        <v>PRG-1044663</v>
      </c>
      <c r="E16206" t="s">
        <v>147</v>
      </c>
      <c r="F16206" t="s">
        <v>4</v>
      </c>
      <c r="G16206" t="str">
        <f>""</f>
        <v/>
      </c>
    </row>
    <row r="16207" spans="1:7" x14ac:dyDescent="0.25">
      <c r="A16207" t="s">
        <v>8</v>
      </c>
      <c r="B16207" s="1" t="str">
        <f>"000020144 - RICH FOODS-FOODBUY"</f>
        <v>000020144 - RICH FOODS-FOODBUY</v>
      </c>
      <c r="C16207" t="s">
        <v>237</v>
      </c>
      <c r="D16207" s="1" t="str">
        <f t="shared" si="446"/>
        <v>PRG-1044663</v>
      </c>
      <c r="E16207" t="s">
        <v>147</v>
      </c>
      <c r="F16207" t="s">
        <v>4</v>
      </c>
      <c r="G16207" t="str">
        <f>""</f>
        <v/>
      </c>
    </row>
    <row r="16208" spans="1:7" x14ac:dyDescent="0.25">
      <c r="A16208" t="s">
        <v>8</v>
      </c>
      <c r="B16208" s="1" t="str">
        <f>"000020556 - RICH FOODS-FOODBUY"</f>
        <v>000020556 - RICH FOODS-FOODBUY</v>
      </c>
      <c r="C16208" t="s">
        <v>237</v>
      </c>
      <c r="D16208" s="1" t="str">
        <f t="shared" si="446"/>
        <v>PRG-1044663</v>
      </c>
      <c r="E16208" t="s">
        <v>147</v>
      </c>
      <c r="F16208" t="s">
        <v>4</v>
      </c>
      <c r="G16208" t="str">
        <f>""</f>
        <v/>
      </c>
    </row>
    <row r="16209" spans="1:7" x14ac:dyDescent="0.25">
      <c r="A16209" t="s">
        <v>8</v>
      </c>
      <c r="B16209" s="1" t="str">
        <f>"000020578 - RICH'S FOOD BAPA -FOODBUY"</f>
        <v>000020578 - RICH'S FOOD BAPA -FOODBUY</v>
      </c>
      <c r="C16209" t="s">
        <v>363</v>
      </c>
      <c r="D16209" s="1" t="str">
        <f t="shared" si="446"/>
        <v>PRG-1044663</v>
      </c>
      <c r="E16209" t="s">
        <v>147</v>
      </c>
      <c r="F16209" t="s">
        <v>4</v>
      </c>
      <c r="G16209" t="str">
        <f>""</f>
        <v/>
      </c>
    </row>
    <row r="16210" spans="1:7" x14ac:dyDescent="0.25">
      <c r="A16210" t="s">
        <v>8</v>
      </c>
      <c r="B16210" s="1" t="str">
        <f>"000020586 - RICH FOODS - FOODBUY"</f>
        <v>000020586 - RICH FOODS - FOODBUY</v>
      </c>
      <c r="C16210" t="s">
        <v>146</v>
      </c>
      <c r="D16210" s="1" t="str">
        <f t="shared" si="446"/>
        <v>PRG-1044663</v>
      </c>
      <c r="E16210" t="s">
        <v>147</v>
      </c>
      <c r="F16210" t="s">
        <v>4</v>
      </c>
      <c r="G16210" t="str">
        <f>""</f>
        <v/>
      </c>
    </row>
    <row r="16211" spans="1:7" x14ac:dyDescent="0.25">
      <c r="A16211" t="s">
        <v>8</v>
      </c>
      <c r="B16211" s="1" t="str">
        <f>"000020986 - RICH FOODS-FOODBUY"</f>
        <v>000020986 - RICH FOODS-FOODBUY</v>
      </c>
      <c r="C16211" t="s">
        <v>237</v>
      </c>
      <c r="D16211" s="1" t="str">
        <f t="shared" si="446"/>
        <v>PRG-1044663</v>
      </c>
      <c r="E16211" t="s">
        <v>147</v>
      </c>
      <c r="F16211" t="s">
        <v>4</v>
      </c>
      <c r="G16211" t="str">
        <f>""</f>
        <v/>
      </c>
    </row>
    <row r="16212" spans="1:7" x14ac:dyDescent="0.25">
      <c r="A16212" t="s">
        <v>8</v>
      </c>
      <c r="B16212" s="1" t="str">
        <f>"000022054 - RICH FOODS-FOODBUY"</f>
        <v>000022054 - RICH FOODS-FOODBUY</v>
      </c>
      <c r="C16212" t="s">
        <v>237</v>
      </c>
      <c r="D16212" s="1" t="str">
        <f t="shared" si="446"/>
        <v>PRG-1044663</v>
      </c>
      <c r="E16212" t="s">
        <v>147</v>
      </c>
      <c r="F16212" t="s">
        <v>4</v>
      </c>
      <c r="G16212" t="str">
        <f>""</f>
        <v/>
      </c>
    </row>
    <row r="16213" spans="1:7" x14ac:dyDescent="0.25">
      <c r="A16213" t="s">
        <v>8</v>
      </c>
      <c r="B16213" s="1" t="str">
        <f>"000023159 - RICH FOODS-FOODBUY"</f>
        <v>000023159 - RICH FOODS-FOODBUY</v>
      </c>
      <c r="C16213" t="s">
        <v>237</v>
      </c>
      <c r="D16213" s="1" t="str">
        <f t="shared" si="446"/>
        <v>PRG-1044663</v>
      </c>
      <c r="E16213" t="s">
        <v>147</v>
      </c>
      <c r="F16213" t="s">
        <v>4</v>
      </c>
      <c r="G16213" t="str">
        <f>""</f>
        <v/>
      </c>
    </row>
    <row r="16214" spans="1:7" x14ac:dyDescent="0.25">
      <c r="A16214" t="s">
        <v>8</v>
      </c>
      <c r="B16214" s="1" t="str">
        <f>"000023304 - RICH FOODS - FOODBUY"</f>
        <v>000023304 - RICH FOODS - FOODBUY</v>
      </c>
      <c r="C16214" t="s">
        <v>146</v>
      </c>
      <c r="D16214" s="1" t="str">
        <f t="shared" si="446"/>
        <v>PRG-1044663</v>
      </c>
      <c r="E16214" t="s">
        <v>147</v>
      </c>
      <c r="F16214" t="s">
        <v>4</v>
      </c>
      <c r="G16214" t="str">
        <f>""</f>
        <v/>
      </c>
    </row>
    <row r="16215" spans="1:7" x14ac:dyDescent="0.25">
      <c r="A16215" t="s">
        <v>8</v>
      </c>
      <c r="B16215" s="1" t="str">
        <f>"000023476 - RICH FOODS-FOODBUY"</f>
        <v>000023476 - RICH FOODS-FOODBUY</v>
      </c>
      <c r="C16215" t="s">
        <v>237</v>
      </c>
      <c r="D16215" s="1" t="str">
        <f t="shared" si="446"/>
        <v>PRG-1044663</v>
      </c>
      <c r="E16215" t="s">
        <v>147</v>
      </c>
      <c r="F16215" t="s">
        <v>4</v>
      </c>
      <c r="G16215" t="str">
        <f>""</f>
        <v/>
      </c>
    </row>
    <row r="16216" spans="1:7" x14ac:dyDescent="0.25">
      <c r="A16216" t="s">
        <v>8</v>
      </c>
      <c r="B16216" s="1" t="str">
        <f>"000024373 - RICH FOODS-FOODBUY"</f>
        <v>000024373 - RICH FOODS-FOODBUY</v>
      </c>
      <c r="C16216" t="s">
        <v>237</v>
      </c>
      <c r="D16216" s="1" t="str">
        <f t="shared" si="446"/>
        <v>PRG-1044663</v>
      </c>
      <c r="E16216" t="s">
        <v>147</v>
      </c>
      <c r="F16216" t="s">
        <v>4</v>
      </c>
      <c r="G16216" t="str">
        <f>""</f>
        <v/>
      </c>
    </row>
    <row r="16217" spans="1:7" x14ac:dyDescent="0.25">
      <c r="A16217" t="s">
        <v>8</v>
      </c>
      <c r="B16217" s="1" t="str">
        <f>"000024518 - RICH FOODS-FOODBUY"</f>
        <v>000024518 - RICH FOODS-FOODBUY</v>
      </c>
      <c r="C16217" t="s">
        <v>237</v>
      </c>
      <c r="D16217" s="1" t="str">
        <f t="shared" si="446"/>
        <v>PRG-1044663</v>
      </c>
      <c r="E16217" t="s">
        <v>147</v>
      </c>
      <c r="F16217" t="s">
        <v>4</v>
      </c>
      <c r="G16217" t="str">
        <f>""</f>
        <v/>
      </c>
    </row>
    <row r="16218" spans="1:7" x14ac:dyDescent="0.25">
      <c r="A16218" t="s">
        <v>8</v>
      </c>
      <c r="B16218" s="1" t="str">
        <f>"000025370 - RICH FOODS-FOODBUY"</f>
        <v>000025370 - RICH FOODS-FOODBUY</v>
      </c>
      <c r="C16218" t="s">
        <v>237</v>
      </c>
      <c r="D16218" s="1" t="str">
        <f t="shared" si="446"/>
        <v>PRG-1044663</v>
      </c>
      <c r="E16218" t="s">
        <v>147</v>
      </c>
      <c r="F16218" t="s">
        <v>4</v>
      </c>
      <c r="G16218" t="str">
        <f>""</f>
        <v/>
      </c>
    </row>
    <row r="16219" spans="1:7" x14ac:dyDescent="0.25">
      <c r="A16219" t="s">
        <v>8</v>
      </c>
      <c r="B16219" s="1" t="str">
        <f>"000025738 - RICH FOODS-FOODBUY"</f>
        <v>000025738 - RICH FOODS-FOODBUY</v>
      </c>
      <c r="C16219" t="s">
        <v>237</v>
      </c>
      <c r="D16219" s="1" t="str">
        <f t="shared" si="446"/>
        <v>PRG-1044663</v>
      </c>
      <c r="E16219" t="s">
        <v>147</v>
      </c>
      <c r="F16219" t="s">
        <v>4</v>
      </c>
      <c r="G16219" t="str">
        <f>""</f>
        <v/>
      </c>
    </row>
    <row r="16220" spans="1:7" x14ac:dyDescent="0.25">
      <c r="A16220" t="s">
        <v>8</v>
      </c>
      <c r="B16220" s="1" t="str">
        <f>"000026271 - RICH FOODS-FOODBUY"</f>
        <v>000026271 - RICH FOODS-FOODBUY</v>
      </c>
      <c r="C16220" t="s">
        <v>237</v>
      </c>
      <c r="D16220" s="1" t="str">
        <f t="shared" si="446"/>
        <v>PRG-1044663</v>
      </c>
      <c r="E16220" t="s">
        <v>147</v>
      </c>
      <c r="F16220" t="s">
        <v>4</v>
      </c>
      <c r="G16220" t="str">
        <f>""</f>
        <v/>
      </c>
    </row>
    <row r="16221" spans="1:7" x14ac:dyDescent="0.25">
      <c r="A16221" t="s">
        <v>8</v>
      </c>
      <c r="B16221" s="1" t="str">
        <f>"000026329 - RICH FOODS-FOODBUY"</f>
        <v>000026329 - RICH FOODS-FOODBUY</v>
      </c>
      <c r="C16221" t="s">
        <v>237</v>
      </c>
      <c r="D16221" s="1" t="str">
        <f t="shared" si="446"/>
        <v>PRG-1044663</v>
      </c>
      <c r="E16221" t="s">
        <v>147</v>
      </c>
      <c r="F16221" t="s">
        <v>4</v>
      </c>
      <c r="G16221" t="str">
        <f>""</f>
        <v/>
      </c>
    </row>
    <row r="16222" spans="1:7" x14ac:dyDescent="0.25">
      <c r="A16222" t="s">
        <v>8</v>
      </c>
      <c r="B16222" s="1" t="str">
        <f>"000027029 - RICH FOODS-FOODBUY"</f>
        <v>000027029 - RICH FOODS-FOODBUY</v>
      </c>
      <c r="C16222" t="s">
        <v>237</v>
      </c>
      <c r="D16222" s="1" t="str">
        <f t="shared" si="446"/>
        <v>PRG-1044663</v>
      </c>
      <c r="E16222" t="s">
        <v>147</v>
      </c>
      <c r="F16222" t="s">
        <v>4</v>
      </c>
      <c r="G16222" t="str">
        <f>""</f>
        <v/>
      </c>
    </row>
    <row r="16223" spans="1:7" x14ac:dyDescent="0.25">
      <c r="A16223" t="s">
        <v>8</v>
      </c>
      <c r="B16223" s="1" t="str">
        <f>"000027108 - RICH FOODS-FOODBUY"</f>
        <v>000027108 - RICH FOODS-FOODBUY</v>
      </c>
      <c r="C16223" t="s">
        <v>237</v>
      </c>
      <c r="D16223" s="1" t="str">
        <f t="shared" si="446"/>
        <v>PRG-1044663</v>
      </c>
      <c r="E16223" t="s">
        <v>147</v>
      </c>
      <c r="F16223" t="s">
        <v>4</v>
      </c>
      <c r="G16223" t="str">
        <f>""</f>
        <v/>
      </c>
    </row>
    <row r="16224" spans="1:7" x14ac:dyDescent="0.25">
      <c r="A16224" t="s">
        <v>8</v>
      </c>
      <c r="B16224" s="1" t="str">
        <f>"000027448 - RICH FOODS-FOODBUY"</f>
        <v>000027448 - RICH FOODS-FOODBUY</v>
      </c>
      <c r="C16224" t="s">
        <v>237</v>
      </c>
      <c r="D16224" s="1" t="str">
        <f t="shared" si="446"/>
        <v>PRG-1044663</v>
      </c>
      <c r="E16224" t="s">
        <v>147</v>
      </c>
      <c r="F16224" t="s">
        <v>4</v>
      </c>
      <c r="G16224" t="str">
        <f>""</f>
        <v/>
      </c>
    </row>
    <row r="16225" spans="1:7" x14ac:dyDescent="0.25">
      <c r="A16225" t="s">
        <v>8</v>
      </c>
      <c r="B16225" s="1" t="str">
        <f>"000027742 - RICH FOODS-FOODBUY"</f>
        <v>000027742 - RICH FOODS-FOODBUY</v>
      </c>
      <c r="C16225" t="s">
        <v>237</v>
      </c>
      <c r="D16225" s="1" t="str">
        <f t="shared" si="446"/>
        <v>PRG-1044663</v>
      </c>
      <c r="E16225" t="s">
        <v>147</v>
      </c>
      <c r="F16225" t="s">
        <v>4</v>
      </c>
      <c r="G16225" t="str">
        <f>""</f>
        <v/>
      </c>
    </row>
    <row r="16226" spans="1:7" x14ac:dyDescent="0.25">
      <c r="A16226" t="s">
        <v>8</v>
      </c>
      <c r="B16226" s="1" t="str">
        <f>"000028800 - RICH FOODS-FOODBUY"</f>
        <v>000028800 - RICH FOODS-FOODBUY</v>
      </c>
      <c r="C16226" t="s">
        <v>237</v>
      </c>
      <c r="D16226" s="1" t="str">
        <f t="shared" si="446"/>
        <v>PRG-1044663</v>
      </c>
      <c r="E16226" t="s">
        <v>147</v>
      </c>
      <c r="F16226" t="s">
        <v>4</v>
      </c>
      <c r="G16226" t="str">
        <f>""</f>
        <v/>
      </c>
    </row>
    <row r="16227" spans="1:7" x14ac:dyDescent="0.25">
      <c r="A16227" t="s">
        <v>8</v>
      </c>
      <c r="B16227" s="1" t="str">
        <f>"000029021 - RICH FOODS-FOODBUY"</f>
        <v>000029021 - RICH FOODS-FOODBUY</v>
      </c>
      <c r="C16227" t="s">
        <v>237</v>
      </c>
      <c r="D16227" s="1" t="str">
        <f t="shared" si="446"/>
        <v>PRG-1044663</v>
      </c>
      <c r="E16227" t="s">
        <v>147</v>
      </c>
      <c r="F16227" t="s">
        <v>4</v>
      </c>
      <c r="G16227" t="str">
        <f>""</f>
        <v/>
      </c>
    </row>
    <row r="16228" spans="1:7" x14ac:dyDescent="0.25">
      <c r="A16228" t="s">
        <v>8</v>
      </c>
      <c r="B16228" s="1" t="str">
        <f>"000029797 - RICH FOODS-FOODBUY"</f>
        <v>000029797 - RICH FOODS-FOODBUY</v>
      </c>
      <c r="C16228" t="s">
        <v>237</v>
      </c>
      <c r="D16228" s="1" t="str">
        <f t="shared" si="446"/>
        <v>PRG-1044663</v>
      </c>
      <c r="E16228" t="s">
        <v>147</v>
      </c>
      <c r="F16228" t="s">
        <v>4</v>
      </c>
      <c r="G16228" t="str">
        <f>""</f>
        <v/>
      </c>
    </row>
    <row r="16229" spans="1:7" x14ac:dyDescent="0.25">
      <c r="A16229" t="s">
        <v>8</v>
      </c>
      <c r="B16229" s="1" t="str">
        <f>"000029838 - RICH FOODS-FOODBUY"</f>
        <v>000029838 - RICH FOODS-FOODBUY</v>
      </c>
      <c r="C16229" t="s">
        <v>237</v>
      </c>
      <c r="D16229" s="1" t="str">
        <f t="shared" si="446"/>
        <v>PRG-1044663</v>
      </c>
      <c r="E16229" t="s">
        <v>147</v>
      </c>
      <c r="F16229" t="s">
        <v>4</v>
      </c>
      <c r="G16229" t="str">
        <f>""</f>
        <v/>
      </c>
    </row>
    <row r="16230" spans="1:7" x14ac:dyDescent="0.25">
      <c r="A16230" t="s">
        <v>8</v>
      </c>
      <c r="B16230" s="1" t="str">
        <f>"000031182 - RICH FOODS-FOODBUY"</f>
        <v>000031182 - RICH FOODS-FOODBUY</v>
      </c>
      <c r="C16230" t="s">
        <v>237</v>
      </c>
      <c r="D16230" s="1" t="str">
        <f t="shared" si="446"/>
        <v>PRG-1044663</v>
      </c>
      <c r="E16230" t="s">
        <v>147</v>
      </c>
      <c r="F16230" t="s">
        <v>4</v>
      </c>
      <c r="G16230" t="str">
        <f>""</f>
        <v/>
      </c>
    </row>
    <row r="16231" spans="1:7" x14ac:dyDescent="0.25">
      <c r="A16231" t="s">
        <v>8</v>
      </c>
      <c r="B16231" s="1" t="str">
        <f>"000031347 - RICH FOODS-FOODBUY"</f>
        <v>000031347 - RICH FOODS-FOODBUY</v>
      </c>
      <c r="C16231" t="s">
        <v>237</v>
      </c>
      <c r="D16231" s="1" t="str">
        <f t="shared" si="446"/>
        <v>PRG-1044663</v>
      </c>
      <c r="E16231" t="s">
        <v>147</v>
      </c>
      <c r="F16231" t="s">
        <v>4</v>
      </c>
      <c r="G16231" t="str">
        <f>""</f>
        <v/>
      </c>
    </row>
    <row r="16232" spans="1:7" x14ac:dyDescent="0.25">
      <c r="A16232" t="s">
        <v>8</v>
      </c>
      <c r="B16232" s="1" t="str">
        <f>"000031417 - RICH FOODS-FOODBUY"</f>
        <v>000031417 - RICH FOODS-FOODBUY</v>
      </c>
      <c r="C16232" t="s">
        <v>237</v>
      </c>
      <c r="D16232" s="1" t="str">
        <f t="shared" si="446"/>
        <v>PRG-1044663</v>
      </c>
      <c r="E16232" t="s">
        <v>147</v>
      </c>
      <c r="F16232" t="s">
        <v>4</v>
      </c>
      <c r="G16232" t="str">
        <f>""</f>
        <v/>
      </c>
    </row>
    <row r="16233" spans="1:7" x14ac:dyDescent="0.25">
      <c r="A16233" t="s">
        <v>8</v>
      </c>
      <c r="B16233" s="1" t="str">
        <f>"000031944 - RICH FOODS-FOODBUY"</f>
        <v>000031944 - RICH FOODS-FOODBUY</v>
      </c>
      <c r="C16233" t="s">
        <v>237</v>
      </c>
      <c r="D16233" s="1" t="str">
        <f t="shared" si="446"/>
        <v>PRG-1044663</v>
      </c>
      <c r="E16233" t="s">
        <v>147</v>
      </c>
      <c r="F16233" t="s">
        <v>4</v>
      </c>
      <c r="G16233" t="str">
        <f>""</f>
        <v/>
      </c>
    </row>
    <row r="16234" spans="1:7" x14ac:dyDescent="0.25">
      <c r="A16234" t="s">
        <v>8</v>
      </c>
      <c r="B16234" s="1" t="str">
        <f>"000032562 - RICH FOODS-FOODBUY"</f>
        <v>000032562 - RICH FOODS-FOODBUY</v>
      </c>
      <c r="C16234" t="s">
        <v>237</v>
      </c>
      <c r="D16234" s="1" t="str">
        <f t="shared" si="446"/>
        <v>PRG-1044663</v>
      </c>
      <c r="E16234" t="s">
        <v>147</v>
      </c>
      <c r="F16234" t="s">
        <v>4</v>
      </c>
      <c r="G16234" t="str">
        <f>""</f>
        <v/>
      </c>
    </row>
    <row r="16235" spans="1:7" x14ac:dyDescent="0.25">
      <c r="A16235" t="s">
        <v>8</v>
      </c>
      <c r="B16235" s="1" t="str">
        <f>"000033684 - RICH FOODS-FOODBUY"</f>
        <v>000033684 - RICH FOODS-FOODBUY</v>
      </c>
      <c r="C16235" t="s">
        <v>237</v>
      </c>
      <c r="D16235" s="1" t="str">
        <f t="shared" si="446"/>
        <v>PRG-1044663</v>
      </c>
      <c r="E16235" t="s">
        <v>147</v>
      </c>
      <c r="F16235" t="s">
        <v>4</v>
      </c>
      <c r="G16235" t="str">
        <f>""</f>
        <v/>
      </c>
    </row>
    <row r="16236" spans="1:7" x14ac:dyDescent="0.25">
      <c r="A16236" t="s">
        <v>8</v>
      </c>
      <c r="B16236" s="1" t="str">
        <f>"000033734 - RICH FOODS-FOODBUY"</f>
        <v>000033734 - RICH FOODS-FOODBUY</v>
      </c>
      <c r="C16236" t="s">
        <v>237</v>
      </c>
      <c r="D16236" s="1" t="str">
        <f t="shared" si="446"/>
        <v>PRG-1044663</v>
      </c>
      <c r="E16236" t="s">
        <v>147</v>
      </c>
      <c r="F16236" t="s">
        <v>4</v>
      </c>
      <c r="G16236" t="str">
        <f>""</f>
        <v/>
      </c>
    </row>
    <row r="16237" spans="1:7" x14ac:dyDescent="0.25">
      <c r="A16237" t="s">
        <v>8</v>
      </c>
      <c r="B16237" s="1" t="str">
        <f>"000033783 - RICH FOODS-FOODBUY"</f>
        <v>000033783 - RICH FOODS-FOODBUY</v>
      </c>
      <c r="C16237" t="s">
        <v>237</v>
      </c>
      <c r="D16237" s="1" t="str">
        <f t="shared" si="446"/>
        <v>PRG-1044663</v>
      </c>
      <c r="E16237" t="s">
        <v>147</v>
      </c>
      <c r="F16237" t="s">
        <v>4</v>
      </c>
      <c r="G16237" t="str">
        <f>""</f>
        <v/>
      </c>
    </row>
    <row r="16238" spans="1:7" x14ac:dyDescent="0.25">
      <c r="A16238" t="s">
        <v>8</v>
      </c>
      <c r="B16238" s="1" t="str">
        <f>"000033836 - RICH FOODS-FOODBUY"</f>
        <v>000033836 - RICH FOODS-FOODBUY</v>
      </c>
      <c r="C16238" t="s">
        <v>237</v>
      </c>
      <c r="D16238" s="1" t="str">
        <f t="shared" si="446"/>
        <v>PRG-1044663</v>
      </c>
      <c r="E16238" t="s">
        <v>147</v>
      </c>
      <c r="F16238" t="s">
        <v>4</v>
      </c>
      <c r="G16238" t="str">
        <f>""</f>
        <v/>
      </c>
    </row>
    <row r="16239" spans="1:7" x14ac:dyDescent="0.25">
      <c r="A16239" t="s">
        <v>8</v>
      </c>
      <c r="B16239" s="1" t="str">
        <f>"000035092 - RICH FOODS-FOODBUY"</f>
        <v>000035092 - RICH FOODS-FOODBUY</v>
      </c>
      <c r="C16239" t="s">
        <v>237</v>
      </c>
      <c r="D16239" s="1" t="str">
        <f t="shared" si="446"/>
        <v>PRG-1044663</v>
      </c>
      <c r="E16239" t="s">
        <v>147</v>
      </c>
      <c r="F16239" t="s">
        <v>4</v>
      </c>
      <c r="G16239" t="str">
        <f>""</f>
        <v/>
      </c>
    </row>
    <row r="16240" spans="1:7" x14ac:dyDescent="0.25">
      <c r="A16240" t="s">
        <v>8</v>
      </c>
      <c r="B16240" s="1" t="str">
        <f>"000035100 - RICH FOODS-FOODBUY"</f>
        <v>000035100 - RICH FOODS-FOODBUY</v>
      </c>
      <c r="C16240" t="s">
        <v>237</v>
      </c>
      <c r="D16240" s="1" t="str">
        <f t="shared" si="446"/>
        <v>PRG-1044663</v>
      </c>
      <c r="E16240" t="s">
        <v>147</v>
      </c>
      <c r="F16240" t="s">
        <v>4</v>
      </c>
      <c r="G16240" t="str">
        <f>""</f>
        <v/>
      </c>
    </row>
    <row r="16241" spans="1:7" x14ac:dyDescent="0.25">
      <c r="A16241" t="s">
        <v>8</v>
      </c>
      <c r="B16241" s="1" t="str">
        <f>"000035342 - RICH FOODS-FOODBUY"</f>
        <v>000035342 - RICH FOODS-FOODBUY</v>
      </c>
      <c r="C16241" t="s">
        <v>237</v>
      </c>
      <c r="D16241" s="1" t="str">
        <f t="shared" si="446"/>
        <v>PRG-1044663</v>
      </c>
      <c r="E16241" t="s">
        <v>147</v>
      </c>
      <c r="F16241" t="s">
        <v>4</v>
      </c>
      <c r="G16241" t="str">
        <f>""</f>
        <v/>
      </c>
    </row>
    <row r="16242" spans="1:7" x14ac:dyDescent="0.25">
      <c r="A16242" t="s">
        <v>8</v>
      </c>
      <c r="B16242" s="1" t="str">
        <f>"000035562 - RICH FOODS-FOODBUY"</f>
        <v>000035562 - RICH FOODS-FOODBUY</v>
      </c>
      <c r="C16242" t="s">
        <v>237</v>
      </c>
      <c r="D16242" s="1" t="str">
        <f t="shared" si="446"/>
        <v>PRG-1044663</v>
      </c>
      <c r="E16242" t="s">
        <v>147</v>
      </c>
      <c r="F16242" t="s">
        <v>4</v>
      </c>
      <c r="G16242" t="str">
        <f>""</f>
        <v/>
      </c>
    </row>
    <row r="16243" spans="1:7" x14ac:dyDescent="0.25">
      <c r="A16243" t="s">
        <v>8</v>
      </c>
      <c r="B16243" s="1" t="str">
        <f>"000036056 - RICH FOODS-FOODBUY"</f>
        <v>000036056 - RICH FOODS-FOODBUY</v>
      </c>
      <c r="C16243" t="s">
        <v>237</v>
      </c>
      <c r="D16243" s="1" t="str">
        <f t="shared" si="446"/>
        <v>PRG-1044663</v>
      </c>
      <c r="E16243" t="s">
        <v>147</v>
      </c>
      <c r="F16243" t="s">
        <v>4</v>
      </c>
      <c r="G16243" t="str">
        <f>""</f>
        <v/>
      </c>
    </row>
    <row r="16244" spans="1:7" x14ac:dyDescent="0.25">
      <c r="A16244" t="s">
        <v>8</v>
      </c>
      <c r="B16244" s="1" t="str">
        <f>"000036294 - RICH FOODS - FOODBUY"</f>
        <v>000036294 - RICH FOODS - FOODBUY</v>
      </c>
      <c r="C16244" t="s">
        <v>146</v>
      </c>
      <c r="D16244" s="1" t="str">
        <f t="shared" si="446"/>
        <v>PRG-1044663</v>
      </c>
      <c r="E16244" t="s">
        <v>147</v>
      </c>
      <c r="F16244" t="s">
        <v>4</v>
      </c>
      <c r="G16244" t="str">
        <f>""</f>
        <v/>
      </c>
    </row>
    <row r="16245" spans="1:7" x14ac:dyDescent="0.25">
      <c r="A16245" t="s">
        <v>8</v>
      </c>
      <c r="B16245" s="1" t="str">
        <f>"000036541 - RICH FOODS-FOODBUY"</f>
        <v>000036541 - RICH FOODS-FOODBUY</v>
      </c>
      <c r="C16245" t="s">
        <v>237</v>
      </c>
      <c r="D16245" s="1" t="str">
        <f t="shared" si="446"/>
        <v>PRG-1044663</v>
      </c>
      <c r="E16245" t="s">
        <v>147</v>
      </c>
      <c r="F16245" t="s">
        <v>4</v>
      </c>
      <c r="G16245" t="str">
        <f>""</f>
        <v/>
      </c>
    </row>
    <row r="16246" spans="1:7" x14ac:dyDescent="0.25">
      <c r="A16246" t="s">
        <v>8</v>
      </c>
      <c r="B16246" s="1" t="str">
        <f>"000036543 - RICH FOODS-FOODBUY"</f>
        <v>000036543 - RICH FOODS-FOODBUY</v>
      </c>
      <c r="C16246" t="s">
        <v>237</v>
      </c>
      <c r="D16246" s="1" t="str">
        <f t="shared" si="446"/>
        <v>PRG-1044663</v>
      </c>
      <c r="E16246" t="s">
        <v>147</v>
      </c>
      <c r="F16246" t="s">
        <v>4</v>
      </c>
      <c r="G16246" t="str">
        <f>""</f>
        <v/>
      </c>
    </row>
    <row r="16247" spans="1:7" x14ac:dyDescent="0.25">
      <c r="A16247" t="s">
        <v>8</v>
      </c>
      <c r="B16247" s="1" t="str">
        <f>"000036994 - RICH FOODS-FOODBUY"</f>
        <v>000036994 - RICH FOODS-FOODBUY</v>
      </c>
      <c r="C16247" t="s">
        <v>237</v>
      </c>
      <c r="D16247" s="1" t="str">
        <f t="shared" si="446"/>
        <v>PRG-1044663</v>
      </c>
      <c r="E16247" t="s">
        <v>147</v>
      </c>
      <c r="F16247" t="s">
        <v>4</v>
      </c>
      <c r="G16247" t="str">
        <f>""</f>
        <v/>
      </c>
    </row>
    <row r="16248" spans="1:7" x14ac:dyDescent="0.25">
      <c r="A16248" t="s">
        <v>8</v>
      </c>
      <c r="B16248" s="1" t="str">
        <f>"000037959 - RICH FOODS-FOODBUY"</f>
        <v>000037959 - RICH FOODS-FOODBUY</v>
      </c>
      <c r="C16248" t="s">
        <v>237</v>
      </c>
      <c r="D16248" s="1" t="str">
        <f t="shared" si="446"/>
        <v>PRG-1044663</v>
      </c>
      <c r="E16248" t="s">
        <v>147</v>
      </c>
      <c r="F16248" t="s">
        <v>4</v>
      </c>
      <c r="G16248" t="str">
        <f>""</f>
        <v/>
      </c>
    </row>
    <row r="16249" spans="1:7" x14ac:dyDescent="0.25">
      <c r="A16249" t="s">
        <v>8</v>
      </c>
      <c r="B16249" s="1" t="str">
        <f>"000038122 - RICH FOODS-FOODBUY"</f>
        <v>000038122 - RICH FOODS-FOODBUY</v>
      </c>
      <c r="C16249" t="s">
        <v>237</v>
      </c>
      <c r="D16249" s="1" t="str">
        <f t="shared" si="446"/>
        <v>PRG-1044663</v>
      </c>
      <c r="E16249" t="s">
        <v>147</v>
      </c>
      <c r="F16249" t="s">
        <v>4</v>
      </c>
      <c r="G16249" t="str">
        <f>""</f>
        <v/>
      </c>
    </row>
    <row r="16250" spans="1:7" x14ac:dyDescent="0.25">
      <c r="A16250" t="s">
        <v>8</v>
      </c>
      <c r="B16250" s="1" t="str">
        <f>"000038207 - RICH FOODS-FOODBUY"</f>
        <v>000038207 - RICH FOODS-FOODBUY</v>
      </c>
      <c r="C16250" t="s">
        <v>237</v>
      </c>
      <c r="D16250" s="1" t="str">
        <f t="shared" si="446"/>
        <v>PRG-1044663</v>
      </c>
      <c r="E16250" t="s">
        <v>147</v>
      </c>
      <c r="F16250" t="s">
        <v>4</v>
      </c>
      <c r="G16250" t="str">
        <f>""</f>
        <v/>
      </c>
    </row>
    <row r="16251" spans="1:7" x14ac:dyDescent="0.25">
      <c r="A16251" t="s">
        <v>8</v>
      </c>
      <c r="B16251" s="1" t="str">
        <f>"000038933 - RICH FOODS-FOODBUY"</f>
        <v>000038933 - RICH FOODS-FOODBUY</v>
      </c>
      <c r="C16251" t="s">
        <v>237</v>
      </c>
      <c r="D16251" s="1" t="str">
        <f t="shared" si="446"/>
        <v>PRG-1044663</v>
      </c>
      <c r="E16251" t="s">
        <v>147</v>
      </c>
      <c r="F16251" t="s">
        <v>4</v>
      </c>
      <c r="G16251" t="str">
        <f>""</f>
        <v/>
      </c>
    </row>
    <row r="16252" spans="1:7" x14ac:dyDescent="0.25">
      <c r="A16252" t="s">
        <v>8</v>
      </c>
      <c r="B16252" s="1" t="str">
        <f>"000039528 - RICH FOODS-FOODBUY"</f>
        <v>000039528 - RICH FOODS-FOODBUY</v>
      </c>
      <c r="C16252" t="s">
        <v>237</v>
      </c>
      <c r="D16252" s="1" t="str">
        <f t="shared" si="446"/>
        <v>PRG-1044663</v>
      </c>
      <c r="E16252" t="s">
        <v>147</v>
      </c>
      <c r="F16252" t="s">
        <v>4</v>
      </c>
      <c r="G16252" t="str">
        <f>""</f>
        <v/>
      </c>
    </row>
    <row r="16253" spans="1:7" x14ac:dyDescent="0.25">
      <c r="A16253" t="s">
        <v>8</v>
      </c>
      <c r="B16253" s="1" t="str">
        <f>"000040197 - RICH FOODS-FOODBUY"</f>
        <v>000040197 - RICH FOODS-FOODBUY</v>
      </c>
      <c r="C16253" t="s">
        <v>237</v>
      </c>
      <c r="D16253" s="1" t="str">
        <f t="shared" ref="D16253:D16316" si="447">"PRG-1044663"</f>
        <v>PRG-1044663</v>
      </c>
      <c r="E16253" t="s">
        <v>147</v>
      </c>
      <c r="F16253" t="s">
        <v>4</v>
      </c>
      <c r="G16253" t="str">
        <f>""</f>
        <v/>
      </c>
    </row>
    <row r="16254" spans="1:7" x14ac:dyDescent="0.25">
      <c r="A16254" t="s">
        <v>8</v>
      </c>
      <c r="B16254" s="1" t="str">
        <f>"000040361 - RICH FOODS-FOODBUY"</f>
        <v>000040361 - RICH FOODS-FOODBUY</v>
      </c>
      <c r="C16254" t="s">
        <v>237</v>
      </c>
      <c r="D16254" s="1" t="str">
        <f t="shared" si="447"/>
        <v>PRG-1044663</v>
      </c>
      <c r="E16254" t="s">
        <v>147</v>
      </c>
      <c r="F16254" t="s">
        <v>4</v>
      </c>
      <c r="G16254" t="str">
        <f>""</f>
        <v/>
      </c>
    </row>
    <row r="16255" spans="1:7" x14ac:dyDescent="0.25">
      <c r="A16255" t="s">
        <v>8</v>
      </c>
      <c r="B16255" s="1" t="str">
        <f>"000040398 - RICH FOODS-FOODBUY"</f>
        <v>000040398 - RICH FOODS-FOODBUY</v>
      </c>
      <c r="C16255" t="s">
        <v>237</v>
      </c>
      <c r="D16255" s="1" t="str">
        <f t="shared" si="447"/>
        <v>PRG-1044663</v>
      </c>
      <c r="E16255" t="s">
        <v>147</v>
      </c>
      <c r="F16255" t="s">
        <v>4</v>
      </c>
      <c r="G16255" t="str">
        <f>""</f>
        <v/>
      </c>
    </row>
    <row r="16256" spans="1:7" x14ac:dyDescent="0.25">
      <c r="A16256" t="s">
        <v>8</v>
      </c>
      <c r="B16256" s="1" t="str">
        <f>"000041505 - RICH FOODS-FOODBUY"</f>
        <v>000041505 - RICH FOODS-FOODBUY</v>
      </c>
      <c r="C16256" t="s">
        <v>237</v>
      </c>
      <c r="D16256" s="1" t="str">
        <f t="shared" si="447"/>
        <v>PRG-1044663</v>
      </c>
      <c r="E16256" t="s">
        <v>147</v>
      </c>
      <c r="F16256" t="s">
        <v>4</v>
      </c>
      <c r="G16256" t="str">
        <f>""</f>
        <v/>
      </c>
    </row>
    <row r="16257" spans="1:7" x14ac:dyDescent="0.25">
      <c r="A16257" t="s">
        <v>8</v>
      </c>
      <c r="B16257" s="1" t="str">
        <f>"000041753 - RICH FOODS-FOODBUY"</f>
        <v>000041753 - RICH FOODS-FOODBUY</v>
      </c>
      <c r="C16257" t="s">
        <v>237</v>
      </c>
      <c r="D16257" s="1" t="str">
        <f t="shared" si="447"/>
        <v>PRG-1044663</v>
      </c>
      <c r="E16257" t="s">
        <v>147</v>
      </c>
      <c r="F16257" t="s">
        <v>4</v>
      </c>
      <c r="G16257" t="str">
        <f>""</f>
        <v/>
      </c>
    </row>
    <row r="16258" spans="1:7" x14ac:dyDescent="0.25">
      <c r="A16258" t="s">
        <v>8</v>
      </c>
      <c r="B16258" s="1" t="str">
        <f>"000042191 - RICH FOODS-FOODBUY"</f>
        <v>000042191 - RICH FOODS-FOODBUY</v>
      </c>
      <c r="C16258" t="s">
        <v>237</v>
      </c>
      <c r="D16258" s="1" t="str">
        <f t="shared" si="447"/>
        <v>PRG-1044663</v>
      </c>
      <c r="E16258" t="s">
        <v>147</v>
      </c>
      <c r="F16258" t="s">
        <v>4</v>
      </c>
      <c r="G16258" t="str">
        <f>""</f>
        <v/>
      </c>
    </row>
    <row r="16259" spans="1:7" x14ac:dyDescent="0.25">
      <c r="A16259" t="s">
        <v>8</v>
      </c>
      <c r="B16259" s="1" t="str">
        <f>"000042420 - RICH FOODS-FOODBUY"</f>
        <v>000042420 - RICH FOODS-FOODBUY</v>
      </c>
      <c r="C16259" t="s">
        <v>237</v>
      </c>
      <c r="D16259" s="1" t="str">
        <f t="shared" si="447"/>
        <v>PRG-1044663</v>
      </c>
      <c r="E16259" t="s">
        <v>147</v>
      </c>
      <c r="F16259" t="s">
        <v>4</v>
      </c>
      <c r="G16259" t="str">
        <f>""</f>
        <v/>
      </c>
    </row>
    <row r="16260" spans="1:7" x14ac:dyDescent="0.25">
      <c r="A16260" t="s">
        <v>8</v>
      </c>
      <c r="B16260" s="1" t="str">
        <f>"000043426 - RICH FOODS-FOODBUY"</f>
        <v>000043426 - RICH FOODS-FOODBUY</v>
      </c>
      <c r="C16260" t="s">
        <v>237</v>
      </c>
      <c r="D16260" s="1" t="str">
        <f t="shared" si="447"/>
        <v>PRG-1044663</v>
      </c>
      <c r="E16260" t="s">
        <v>147</v>
      </c>
      <c r="F16260" t="s">
        <v>4</v>
      </c>
      <c r="G16260" t="str">
        <f>""</f>
        <v/>
      </c>
    </row>
    <row r="16261" spans="1:7" x14ac:dyDescent="0.25">
      <c r="A16261" t="s">
        <v>8</v>
      </c>
      <c r="B16261" s="1" t="str">
        <f>"000043659 - RICH FOODS-FOODBUY"</f>
        <v>000043659 - RICH FOODS-FOODBUY</v>
      </c>
      <c r="C16261" t="s">
        <v>237</v>
      </c>
      <c r="D16261" s="1" t="str">
        <f t="shared" si="447"/>
        <v>PRG-1044663</v>
      </c>
      <c r="E16261" t="s">
        <v>147</v>
      </c>
      <c r="F16261" t="s">
        <v>4</v>
      </c>
      <c r="G16261" t="str">
        <f>""</f>
        <v/>
      </c>
    </row>
    <row r="16262" spans="1:7" x14ac:dyDescent="0.25">
      <c r="A16262" t="s">
        <v>8</v>
      </c>
      <c r="B16262" s="1" t="str">
        <f>"000044377 - RICH FOODS-FOODBUY"</f>
        <v>000044377 - RICH FOODS-FOODBUY</v>
      </c>
      <c r="C16262" t="s">
        <v>237</v>
      </c>
      <c r="D16262" s="1" t="str">
        <f t="shared" si="447"/>
        <v>PRG-1044663</v>
      </c>
      <c r="E16262" t="s">
        <v>147</v>
      </c>
      <c r="F16262" t="s">
        <v>4</v>
      </c>
      <c r="G16262" t="str">
        <f>""</f>
        <v/>
      </c>
    </row>
    <row r="16263" spans="1:7" x14ac:dyDescent="0.25">
      <c r="A16263" t="s">
        <v>8</v>
      </c>
      <c r="B16263" s="1" t="str">
        <f>"000044405 - RICH FOODS-FOODBUY"</f>
        <v>000044405 - RICH FOODS-FOODBUY</v>
      </c>
      <c r="C16263" t="s">
        <v>237</v>
      </c>
      <c r="D16263" s="1" t="str">
        <f t="shared" si="447"/>
        <v>PRG-1044663</v>
      </c>
      <c r="E16263" t="s">
        <v>147</v>
      </c>
      <c r="F16263" t="s">
        <v>4</v>
      </c>
      <c r="G16263" t="str">
        <f>""</f>
        <v/>
      </c>
    </row>
    <row r="16264" spans="1:7" x14ac:dyDescent="0.25">
      <c r="A16264" t="s">
        <v>8</v>
      </c>
      <c r="B16264" s="1" t="str">
        <f>"000044406 - RICH FOODS-FOODBUY"</f>
        <v>000044406 - RICH FOODS-FOODBUY</v>
      </c>
      <c r="C16264" t="s">
        <v>237</v>
      </c>
      <c r="D16264" s="1" t="str">
        <f t="shared" si="447"/>
        <v>PRG-1044663</v>
      </c>
      <c r="E16264" t="s">
        <v>147</v>
      </c>
      <c r="F16264" t="s">
        <v>4</v>
      </c>
      <c r="G16264" t="str">
        <f>""</f>
        <v/>
      </c>
    </row>
    <row r="16265" spans="1:7" x14ac:dyDescent="0.25">
      <c r="A16265" t="s">
        <v>8</v>
      </c>
      <c r="B16265" s="1" t="str">
        <f>"000044971 - RICH FOODS-FOODBUY"</f>
        <v>000044971 - RICH FOODS-FOODBUY</v>
      </c>
      <c r="C16265" t="s">
        <v>237</v>
      </c>
      <c r="D16265" s="1" t="str">
        <f t="shared" si="447"/>
        <v>PRG-1044663</v>
      </c>
      <c r="E16265" t="s">
        <v>147</v>
      </c>
      <c r="F16265" t="s">
        <v>4</v>
      </c>
      <c r="G16265" t="str">
        <f>""</f>
        <v/>
      </c>
    </row>
    <row r="16266" spans="1:7" x14ac:dyDescent="0.25">
      <c r="A16266" t="s">
        <v>8</v>
      </c>
      <c r="B16266" s="1" t="str">
        <f>"000045009 - RICH FOODS-FOODBUY"</f>
        <v>000045009 - RICH FOODS-FOODBUY</v>
      </c>
      <c r="C16266" t="s">
        <v>237</v>
      </c>
      <c r="D16266" s="1" t="str">
        <f t="shared" si="447"/>
        <v>PRG-1044663</v>
      </c>
      <c r="E16266" t="s">
        <v>147</v>
      </c>
      <c r="F16266" t="s">
        <v>4</v>
      </c>
      <c r="G16266" t="str">
        <f>""</f>
        <v/>
      </c>
    </row>
    <row r="16267" spans="1:7" x14ac:dyDescent="0.25">
      <c r="A16267" t="s">
        <v>8</v>
      </c>
      <c r="B16267" s="1" t="str">
        <f>"000045356 - RICH FOODS-FOODBUY"</f>
        <v>000045356 - RICH FOODS-FOODBUY</v>
      </c>
      <c r="C16267" t="s">
        <v>237</v>
      </c>
      <c r="D16267" s="1" t="str">
        <f t="shared" si="447"/>
        <v>PRG-1044663</v>
      </c>
      <c r="E16267" t="s">
        <v>147</v>
      </c>
      <c r="F16267" t="s">
        <v>4</v>
      </c>
      <c r="G16267" t="str">
        <f>""</f>
        <v/>
      </c>
    </row>
    <row r="16268" spans="1:7" x14ac:dyDescent="0.25">
      <c r="A16268" t="s">
        <v>8</v>
      </c>
      <c r="B16268" s="1" t="str">
        <f>"000045866 - RICH FOODS-FOODBUY"</f>
        <v>000045866 - RICH FOODS-FOODBUY</v>
      </c>
      <c r="C16268" t="s">
        <v>237</v>
      </c>
      <c r="D16268" s="1" t="str">
        <f t="shared" si="447"/>
        <v>PRG-1044663</v>
      </c>
      <c r="E16268" t="s">
        <v>147</v>
      </c>
      <c r="F16268" t="s">
        <v>4</v>
      </c>
      <c r="G16268" t="str">
        <f>""</f>
        <v/>
      </c>
    </row>
    <row r="16269" spans="1:7" x14ac:dyDescent="0.25">
      <c r="A16269" t="s">
        <v>8</v>
      </c>
      <c r="B16269" s="1" t="str">
        <f>"000045901 - RICH FOODS-FOODBUY"</f>
        <v>000045901 - RICH FOODS-FOODBUY</v>
      </c>
      <c r="C16269" t="s">
        <v>237</v>
      </c>
      <c r="D16269" s="1" t="str">
        <f t="shared" si="447"/>
        <v>PRG-1044663</v>
      </c>
      <c r="E16269" t="s">
        <v>147</v>
      </c>
      <c r="F16269" t="s">
        <v>4</v>
      </c>
      <c r="G16269" t="str">
        <f>""</f>
        <v/>
      </c>
    </row>
    <row r="16270" spans="1:7" x14ac:dyDescent="0.25">
      <c r="A16270" t="s">
        <v>8</v>
      </c>
      <c r="B16270" s="1" t="str">
        <f>"000046371 - RICH FOODS-FOODBUY"</f>
        <v>000046371 - RICH FOODS-FOODBUY</v>
      </c>
      <c r="C16270" t="s">
        <v>237</v>
      </c>
      <c r="D16270" s="1" t="str">
        <f t="shared" si="447"/>
        <v>PRG-1044663</v>
      </c>
      <c r="E16270" t="s">
        <v>147</v>
      </c>
      <c r="F16270" t="s">
        <v>4</v>
      </c>
      <c r="G16270" t="str">
        <f>""</f>
        <v/>
      </c>
    </row>
    <row r="16271" spans="1:7" x14ac:dyDescent="0.25">
      <c r="A16271" t="s">
        <v>8</v>
      </c>
      <c r="B16271" s="1" t="str">
        <f>"000047145 - RICH FOODS-FOODBUY"</f>
        <v>000047145 - RICH FOODS-FOODBUY</v>
      </c>
      <c r="C16271" t="s">
        <v>237</v>
      </c>
      <c r="D16271" s="1" t="str">
        <f t="shared" si="447"/>
        <v>PRG-1044663</v>
      </c>
      <c r="E16271" t="s">
        <v>147</v>
      </c>
      <c r="F16271" t="s">
        <v>4</v>
      </c>
      <c r="G16271" t="str">
        <f>""</f>
        <v/>
      </c>
    </row>
    <row r="16272" spans="1:7" x14ac:dyDescent="0.25">
      <c r="A16272" t="s">
        <v>8</v>
      </c>
      <c r="B16272" s="1" t="str">
        <f>"000047176 - RICH FOODS-FOODBUY"</f>
        <v>000047176 - RICH FOODS-FOODBUY</v>
      </c>
      <c r="C16272" t="s">
        <v>237</v>
      </c>
      <c r="D16272" s="1" t="str">
        <f t="shared" si="447"/>
        <v>PRG-1044663</v>
      </c>
      <c r="E16272" t="s">
        <v>147</v>
      </c>
      <c r="F16272" t="s">
        <v>4</v>
      </c>
      <c r="G16272" t="str">
        <f>""</f>
        <v/>
      </c>
    </row>
    <row r="16273" spans="1:7" x14ac:dyDescent="0.25">
      <c r="A16273" t="s">
        <v>8</v>
      </c>
      <c r="B16273" s="1" t="str">
        <f>"000047204 - RICH FOODS-FOODBUY"</f>
        <v>000047204 - RICH FOODS-FOODBUY</v>
      </c>
      <c r="C16273" t="s">
        <v>237</v>
      </c>
      <c r="D16273" s="1" t="str">
        <f t="shared" si="447"/>
        <v>PRG-1044663</v>
      </c>
      <c r="E16273" t="s">
        <v>147</v>
      </c>
      <c r="F16273" t="s">
        <v>4</v>
      </c>
      <c r="G16273" t="str">
        <f>""</f>
        <v/>
      </c>
    </row>
    <row r="16274" spans="1:7" x14ac:dyDescent="0.25">
      <c r="A16274" t="s">
        <v>8</v>
      </c>
      <c r="B16274" s="1" t="str">
        <f>"000047376 - RICH FOODS-FOODBUY"</f>
        <v>000047376 - RICH FOODS-FOODBUY</v>
      </c>
      <c r="C16274" t="s">
        <v>237</v>
      </c>
      <c r="D16274" s="1" t="str">
        <f t="shared" si="447"/>
        <v>PRG-1044663</v>
      </c>
      <c r="E16274" t="s">
        <v>147</v>
      </c>
      <c r="F16274" t="s">
        <v>4</v>
      </c>
      <c r="G16274" t="str">
        <f>""</f>
        <v/>
      </c>
    </row>
    <row r="16275" spans="1:7" x14ac:dyDescent="0.25">
      <c r="A16275" t="s">
        <v>8</v>
      </c>
      <c r="B16275" s="1" t="str">
        <f>"000048021 - RICH FOODS-FOODBUY"</f>
        <v>000048021 - RICH FOODS-FOODBUY</v>
      </c>
      <c r="C16275" t="s">
        <v>237</v>
      </c>
      <c r="D16275" s="1" t="str">
        <f t="shared" si="447"/>
        <v>PRG-1044663</v>
      </c>
      <c r="E16275" t="s">
        <v>147</v>
      </c>
      <c r="F16275" t="s">
        <v>4</v>
      </c>
      <c r="G16275" t="str">
        <f>""</f>
        <v/>
      </c>
    </row>
    <row r="16276" spans="1:7" x14ac:dyDescent="0.25">
      <c r="A16276" t="s">
        <v>8</v>
      </c>
      <c r="B16276" s="1" t="str">
        <f>"000048230 - RICH FOODS-FOODBUY"</f>
        <v>000048230 - RICH FOODS-FOODBUY</v>
      </c>
      <c r="C16276" t="s">
        <v>237</v>
      </c>
      <c r="D16276" s="1" t="str">
        <f t="shared" si="447"/>
        <v>PRG-1044663</v>
      </c>
      <c r="E16276" t="s">
        <v>147</v>
      </c>
      <c r="F16276" t="s">
        <v>4</v>
      </c>
      <c r="G16276" t="str">
        <f>""</f>
        <v/>
      </c>
    </row>
    <row r="16277" spans="1:7" x14ac:dyDescent="0.25">
      <c r="A16277" t="s">
        <v>8</v>
      </c>
      <c r="B16277" s="1" t="str">
        <f>"000048298 - RICH FOODS-FOODBUY"</f>
        <v>000048298 - RICH FOODS-FOODBUY</v>
      </c>
      <c r="C16277" t="s">
        <v>237</v>
      </c>
      <c r="D16277" s="1" t="str">
        <f t="shared" si="447"/>
        <v>PRG-1044663</v>
      </c>
      <c r="E16277" t="s">
        <v>147</v>
      </c>
      <c r="F16277" t="s">
        <v>4</v>
      </c>
      <c r="G16277" t="str">
        <f>""</f>
        <v/>
      </c>
    </row>
    <row r="16278" spans="1:7" x14ac:dyDescent="0.25">
      <c r="A16278" t="s">
        <v>8</v>
      </c>
      <c r="B16278" s="1" t="str">
        <f>"000048549 - RICH FOODS-FOODBUY"</f>
        <v>000048549 - RICH FOODS-FOODBUY</v>
      </c>
      <c r="C16278" t="s">
        <v>237</v>
      </c>
      <c r="D16278" s="1" t="str">
        <f t="shared" si="447"/>
        <v>PRG-1044663</v>
      </c>
      <c r="E16278" t="s">
        <v>147</v>
      </c>
      <c r="F16278" t="s">
        <v>4</v>
      </c>
      <c r="G16278" t="str">
        <f>""</f>
        <v/>
      </c>
    </row>
    <row r="16279" spans="1:7" x14ac:dyDescent="0.25">
      <c r="A16279" t="s">
        <v>8</v>
      </c>
      <c r="B16279" s="1" t="str">
        <f>"000048588 - RICH FOODS-FOODBUY"</f>
        <v>000048588 - RICH FOODS-FOODBUY</v>
      </c>
      <c r="C16279" t="s">
        <v>237</v>
      </c>
      <c r="D16279" s="1" t="str">
        <f t="shared" si="447"/>
        <v>PRG-1044663</v>
      </c>
      <c r="E16279" t="s">
        <v>147</v>
      </c>
      <c r="F16279" t="s">
        <v>4</v>
      </c>
      <c r="G16279" t="str">
        <f>""</f>
        <v/>
      </c>
    </row>
    <row r="16280" spans="1:7" x14ac:dyDescent="0.25">
      <c r="A16280" t="s">
        <v>8</v>
      </c>
      <c r="B16280" s="1" t="str">
        <f>"000048789 - RICH FOODS-FOODBUY"</f>
        <v>000048789 - RICH FOODS-FOODBUY</v>
      </c>
      <c r="C16280" t="s">
        <v>237</v>
      </c>
      <c r="D16280" s="1" t="str">
        <f t="shared" si="447"/>
        <v>PRG-1044663</v>
      </c>
      <c r="E16280" t="s">
        <v>147</v>
      </c>
      <c r="F16280" t="s">
        <v>4</v>
      </c>
      <c r="G16280" t="str">
        <f>""</f>
        <v/>
      </c>
    </row>
    <row r="16281" spans="1:7" x14ac:dyDescent="0.25">
      <c r="A16281" t="s">
        <v>8</v>
      </c>
      <c r="B16281" s="1" t="str">
        <f>"000048827 - RICH FOODS-FOODBUY"</f>
        <v>000048827 - RICH FOODS-FOODBUY</v>
      </c>
      <c r="C16281" t="s">
        <v>237</v>
      </c>
      <c r="D16281" s="1" t="str">
        <f t="shared" si="447"/>
        <v>PRG-1044663</v>
      </c>
      <c r="E16281" t="s">
        <v>147</v>
      </c>
      <c r="F16281" t="s">
        <v>4</v>
      </c>
      <c r="G16281" t="str">
        <f>""</f>
        <v/>
      </c>
    </row>
    <row r="16282" spans="1:7" x14ac:dyDescent="0.25">
      <c r="A16282" t="s">
        <v>8</v>
      </c>
      <c r="B16282" s="1" t="str">
        <f>"000049553 - RICH FOODS-FOODBUY"</f>
        <v>000049553 - RICH FOODS-FOODBUY</v>
      </c>
      <c r="C16282" t="s">
        <v>237</v>
      </c>
      <c r="D16282" s="1" t="str">
        <f t="shared" si="447"/>
        <v>PRG-1044663</v>
      </c>
      <c r="E16282" t="s">
        <v>147</v>
      </c>
      <c r="F16282" t="s">
        <v>4</v>
      </c>
      <c r="G16282" t="str">
        <f>""</f>
        <v/>
      </c>
    </row>
    <row r="16283" spans="1:7" x14ac:dyDescent="0.25">
      <c r="A16283" t="s">
        <v>8</v>
      </c>
      <c r="B16283" s="1" t="str">
        <f>"000049772 - RICH FOODS-FOODBUY"</f>
        <v>000049772 - RICH FOODS-FOODBUY</v>
      </c>
      <c r="C16283" t="s">
        <v>237</v>
      </c>
      <c r="D16283" s="1" t="str">
        <f t="shared" si="447"/>
        <v>PRG-1044663</v>
      </c>
      <c r="E16283" t="s">
        <v>147</v>
      </c>
      <c r="F16283" t="s">
        <v>4</v>
      </c>
      <c r="G16283" t="str">
        <f>""</f>
        <v/>
      </c>
    </row>
    <row r="16284" spans="1:7" x14ac:dyDescent="0.25">
      <c r="A16284" t="s">
        <v>8</v>
      </c>
      <c r="B16284" s="1" t="str">
        <f>"000050050 - RICH FOODS-FOODBUY"</f>
        <v>000050050 - RICH FOODS-FOODBUY</v>
      </c>
      <c r="C16284" t="s">
        <v>237</v>
      </c>
      <c r="D16284" s="1" t="str">
        <f t="shared" si="447"/>
        <v>PRG-1044663</v>
      </c>
      <c r="E16284" t="s">
        <v>147</v>
      </c>
      <c r="F16284" t="s">
        <v>4</v>
      </c>
      <c r="G16284" t="str">
        <f>""</f>
        <v/>
      </c>
    </row>
    <row r="16285" spans="1:7" x14ac:dyDescent="0.25">
      <c r="A16285" t="s">
        <v>8</v>
      </c>
      <c r="B16285" s="1" t="str">
        <f>"000050308 - RICH FOODS-FOODBUY"</f>
        <v>000050308 - RICH FOODS-FOODBUY</v>
      </c>
      <c r="C16285" t="s">
        <v>237</v>
      </c>
      <c r="D16285" s="1" t="str">
        <f t="shared" si="447"/>
        <v>PRG-1044663</v>
      </c>
      <c r="E16285" t="s">
        <v>147</v>
      </c>
      <c r="F16285" t="s">
        <v>4</v>
      </c>
      <c r="G16285" t="str">
        <f>""</f>
        <v/>
      </c>
    </row>
    <row r="16286" spans="1:7" x14ac:dyDescent="0.25">
      <c r="A16286" t="s">
        <v>8</v>
      </c>
      <c r="B16286" s="1" t="str">
        <f>"000050613 - RICH FOODS-FOODBUY"</f>
        <v>000050613 - RICH FOODS-FOODBUY</v>
      </c>
      <c r="C16286" t="s">
        <v>237</v>
      </c>
      <c r="D16286" s="1" t="str">
        <f t="shared" si="447"/>
        <v>PRG-1044663</v>
      </c>
      <c r="E16286" t="s">
        <v>147</v>
      </c>
      <c r="F16286" t="s">
        <v>4</v>
      </c>
      <c r="G16286" t="str">
        <f>""</f>
        <v/>
      </c>
    </row>
    <row r="16287" spans="1:7" x14ac:dyDescent="0.25">
      <c r="A16287" t="s">
        <v>8</v>
      </c>
      <c r="B16287" s="1" t="str">
        <f>"000051315 - RICH FOODS-FOODBUY"</f>
        <v>000051315 - RICH FOODS-FOODBUY</v>
      </c>
      <c r="C16287" t="s">
        <v>237</v>
      </c>
      <c r="D16287" s="1" t="str">
        <f t="shared" si="447"/>
        <v>PRG-1044663</v>
      </c>
      <c r="E16287" t="s">
        <v>147</v>
      </c>
      <c r="F16287" t="s">
        <v>4</v>
      </c>
      <c r="G16287" t="str">
        <f>""</f>
        <v/>
      </c>
    </row>
    <row r="16288" spans="1:7" x14ac:dyDescent="0.25">
      <c r="A16288" t="s">
        <v>8</v>
      </c>
      <c r="B16288" s="1" t="str">
        <f>"000051532 - RICH FOODS-FOODBUY"</f>
        <v>000051532 - RICH FOODS-FOODBUY</v>
      </c>
      <c r="C16288" t="s">
        <v>237</v>
      </c>
      <c r="D16288" s="1" t="str">
        <f t="shared" si="447"/>
        <v>PRG-1044663</v>
      </c>
      <c r="E16288" t="s">
        <v>147</v>
      </c>
      <c r="F16288" t="s">
        <v>4</v>
      </c>
      <c r="G16288" t="str">
        <f>""</f>
        <v/>
      </c>
    </row>
    <row r="16289" spans="1:7" x14ac:dyDescent="0.25">
      <c r="A16289" t="s">
        <v>8</v>
      </c>
      <c r="B16289" s="1" t="str">
        <f>"000051607 - RICH FOODS-FOODBUY"</f>
        <v>000051607 - RICH FOODS-FOODBUY</v>
      </c>
      <c r="C16289" t="s">
        <v>237</v>
      </c>
      <c r="D16289" s="1" t="str">
        <f t="shared" si="447"/>
        <v>PRG-1044663</v>
      </c>
      <c r="E16289" t="s">
        <v>147</v>
      </c>
      <c r="F16289" t="s">
        <v>4</v>
      </c>
      <c r="G16289" t="str">
        <f>""</f>
        <v/>
      </c>
    </row>
    <row r="16290" spans="1:7" x14ac:dyDescent="0.25">
      <c r="A16290" t="s">
        <v>8</v>
      </c>
      <c r="B16290" s="1" t="str">
        <f>"000051973 - RICH FOODS-FOODBUY"</f>
        <v>000051973 - RICH FOODS-FOODBUY</v>
      </c>
      <c r="C16290" t="s">
        <v>237</v>
      </c>
      <c r="D16290" s="1" t="str">
        <f t="shared" si="447"/>
        <v>PRG-1044663</v>
      </c>
      <c r="E16290" t="s">
        <v>147</v>
      </c>
      <c r="F16290" t="s">
        <v>4</v>
      </c>
      <c r="G16290" t="str">
        <f>""</f>
        <v/>
      </c>
    </row>
    <row r="16291" spans="1:7" x14ac:dyDescent="0.25">
      <c r="A16291" t="s">
        <v>8</v>
      </c>
      <c r="B16291" s="1" t="str">
        <f>"000052091 - RICH FOODS-FOODBUY"</f>
        <v>000052091 - RICH FOODS-FOODBUY</v>
      </c>
      <c r="C16291" t="s">
        <v>237</v>
      </c>
      <c r="D16291" s="1" t="str">
        <f t="shared" si="447"/>
        <v>PRG-1044663</v>
      </c>
      <c r="E16291" t="s">
        <v>147</v>
      </c>
      <c r="F16291" t="s">
        <v>4</v>
      </c>
      <c r="G16291" t="str">
        <f>""</f>
        <v/>
      </c>
    </row>
    <row r="16292" spans="1:7" x14ac:dyDescent="0.25">
      <c r="A16292" t="s">
        <v>8</v>
      </c>
      <c r="B16292" s="1" t="str">
        <f>"000052250 - RICH FOODS-FOODBUY"</f>
        <v>000052250 - RICH FOODS-FOODBUY</v>
      </c>
      <c r="C16292" t="s">
        <v>237</v>
      </c>
      <c r="D16292" s="1" t="str">
        <f t="shared" si="447"/>
        <v>PRG-1044663</v>
      </c>
      <c r="E16292" t="s">
        <v>147</v>
      </c>
      <c r="F16292" t="s">
        <v>4</v>
      </c>
      <c r="G16292" t="str">
        <f>""</f>
        <v/>
      </c>
    </row>
    <row r="16293" spans="1:7" x14ac:dyDescent="0.25">
      <c r="A16293" t="s">
        <v>8</v>
      </c>
      <c r="B16293" s="1" t="str">
        <f>"000053100 - RICH FOODS-FOODBUY"</f>
        <v>000053100 - RICH FOODS-FOODBUY</v>
      </c>
      <c r="C16293" t="s">
        <v>237</v>
      </c>
      <c r="D16293" s="1" t="str">
        <f t="shared" si="447"/>
        <v>PRG-1044663</v>
      </c>
      <c r="E16293" t="s">
        <v>147</v>
      </c>
      <c r="F16293" t="s">
        <v>4</v>
      </c>
      <c r="G16293" t="str">
        <f>""</f>
        <v/>
      </c>
    </row>
    <row r="16294" spans="1:7" x14ac:dyDescent="0.25">
      <c r="A16294" t="s">
        <v>8</v>
      </c>
      <c r="B16294" s="1" t="str">
        <f>"000053480 - RICH FOODS-FOODBUY"</f>
        <v>000053480 - RICH FOODS-FOODBUY</v>
      </c>
      <c r="C16294" t="s">
        <v>237</v>
      </c>
      <c r="D16294" s="1" t="str">
        <f t="shared" si="447"/>
        <v>PRG-1044663</v>
      </c>
      <c r="E16294" t="s">
        <v>147</v>
      </c>
      <c r="F16294" t="s">
        <v>4</v>
      </c>
      <c r="G16294" t="str">
        <f>""</f>
        <v/>
      </c>
    </row>
    <row r="16295" spans="1:7" x14ac:dyDescent="0.25">
      <c r="A16295" t="s">
        <v>8</v>
      </c>
      <c r="B16295" s="1" t="str">
        <f>"000053852 - RICH FOODS-FOODBUY"</f>
        <v>000053852 - RICH FOODS-FOODBUY</v>
      </c>
      <c r="C16295" t="s">
        <v>237</v>
      </c>
      <c r="D16295" s="1" t="str">
        <f t="shared" si="447"/>
        <v>PRG-1044663</v>
      </c>
      <c r="E16295" t="s">
        <v>147</v>
      </c>
      <c r="F16295" t="s">
        <v>4</v>
      </c>
      <c r="G16295" t="str">
        <f>""</f>
        <v/>
      </c>
    </row>
    <row r="16296" spans="1:7" x14ac:dyDescent="0.25">
      <c r="A16296" t="s">
        <v>8</v>
      </c>
      <c r="B16296" s="1" t="str">
        <f>"000053977 - RICH FOODS-FOODBUY"</f>
        <v>000053977 - RICH FOODS-FOODBUY</v>
      </c>
      <c r="C16296" t="s">
        <v>237</v>
      </c>
      <c r="D16296" s="1" t="str">
        <f t="shared" si="447"/>
        <v>PRG-1044663</v>
      </c>
      <c r="E16296" t="s">
        <v>147</v>
      </c>
      <c r="F16296" t="s">
        <v>4</v>
      </c>
      <c r="G16296" t="str">
        <f>""</f>
        <v/>
      </c>
    </row>
    <row r="16297" spans="1:7" x14ac:dyDescent="0.25">
      <c r="A16297" t="s">
        <v>8</v>
      </c>
      <c r="B16297" s="1" t="str">
        <f>"000054100 - RICH FOODS-FOODBUY"</f>
        <v>000054100 - RICH FOODS-FOODBUY</v>
      </c>
      <c r="C16297" t="s">
        <v>237</v>
      </c>
      <c r="D16297" s="1" t="str">
        <f t="shared" si="447"/>
        <v>PRG-1044663</v>
      </c>
      <c r="E16297" t="s">
        <v>147</v>
      </c>
      <c r="F16297" t="s">
        <v>4</v>
      </c>
      <c r="G16297" t="str">
        <f>""</f>
        <v/>
      </c>
    </row>
    <row r="16298" spans="1:7" x14ac:dyDescent="0.25">
      <c r="A16298" t="s">
        <v>8</v>
      </c>
      <c r="B16298" s="1" t="str">
        <f>"000055203 - RICH FOODS-FOODBUY"</f>
        <v>000055203 - RICH FOODS-FOODBUY</v>
      </c>
      <c r="C16298" t="s">
        <v>237</v>
      </c>
      <c r="D16298" s="1" t="str">
        <f t="shared" si="447"/>
        <v>PRG-1044663</v>
      </c>
      <c r="E16298" t="s">
        <v>147</v>
      </c>
      <c r="F16298" t="s">
        <v>4</v>
      </c>
      <c r="G16298" t="str">
        <f>""</f>
        <v/>
      </c>
    </row>
    <row r="16299" spans="1:7" x14ac:dyDescent="0.25">
      <c r="A16299" t="s">
        <v>8</v>
      </c>
      <c r="B16299" s="1" t="str">
        <f>"000055772 - RICH FOODS-FOODBUY"</f>
        <v>000055772 - RICH FOODS-FOODBUY</v>
      </c>
      <c r="C16299" t="s">
        <v>237</v>
      </c>
      <c r="D16299" s="1" t="str">
        <f t="shared" si="447"/>
        <v>PRG-1044663</v>
      </c>
      <c r="E16299" t="s">
        <v>147</v>
      </c>
      <c r="F16299" t="s">
        <v>4</v>
      </c>
      <c r="G16299" t="str">
        <f>""</f>
        <v/>
      </c>
    </row>
    <row r="16300" spans="1:7" x14ac:dyDescent="0.25">
      <c r="A16300" t="s">
        <v>8</v>
      </c>
      <c r="B16300" s="1" t="str">
        <f>"000057469 - RICH FOODS-FOODBUY"</f>
        <v>000057469 - RICH FOODS-FOODBUY</v>
      </c>
      <c r="C16300" t="s">
        <v>237</v>
      </c>
      <c r="D16300" s="1" t="str">
        <f t="shared" si="447"/>
        <v>PRG-1044663</v>
      </c>
      <c r="E16300" t="s">
        <v>147</v>
      </c>
      <c r="F16300" t="s">
        <v>4</v>
      </c>
      <c r="G16300" t="str">
        <f>""</f>
        <v/>
      </c>
    </row>
    <row r="16301" spans="1:7" x14ac:dyDescent="0.25">
      <c r="A16301" t="s">
        <v>8</v>
      </c>
      <c r="B16301" s="1" t="str">
        <f>"000059209 - RICH FOODS-FOODBUY"</f>
        <v>000059209 - RICH FOODS-FOODBUY</v>
      </c>
      <c r="C16301" t="s">
        <v>237</v>
      </c>
      <c r="D16301" s="1" t="str">
        <f t="shared" si="447"/>
        <v>PRG-1044663</v>
      </c>
      <c r="E16301" t="s">
        <v>147</v>
      </c>
      <c r="F16301" t="s">
        <v>4</v>
      </c>
      <c r="G16301" t="str">
        <f>""</f>
        <v/>
      </c>
    </row>
    <row r="16302" spans="1:7" x14ac:dyDescent="0.25">
      <c r="A16302" t="s">
        <v>8</v>
      </c>
      <c r="B16302" s="1" t="str">
        <f>"000059406 - RICH FOODS-FOODBUY"</f>
        <v>000059406 - RICH FOODS-FOODBUY</v>
      </c>
      <c r="C16302" t="s">
        <v>237</v>
      </c>
      <c r="D16302" s="1" t="str">
        <f t="shared" si="447"/>
        <v>PRG-1044663</v>
      </c>
      <c r="E16302" t="s">
        <v>147</v>
      </c>
      <c r="F16302" t="s">
        <v>4</v>
      </c>
      <c r="G16302" t="str">
        <f>""</f>
        <v/>
      </c>
    </row>
    <row r="16303" spans="1:7" x14ac:dyDescent="0.25">
      <c r="A16303" t="s">
        <v>8</v>
      </c>
      <c r="B16303" s="1" t="str">
        <f>"000059655 - RICH FOODS-FOODBUY"</f>
        <v>000059655 - RICH FOODS-FOODBUY</v>
      </c>
      <c r="C16303" t="s">
        <v>237</v>
      </c>
      <c r="D16303" s="1" t="str">
        <f t="shared" si="447"/>
        <v>PRG-1044663</v>
      </c>
      <c r="E16303" t="s">
        <v>147</v>
      </c>
      <c r="F16303" t="s">
        <v>4</v>
      </c>
      <c r="G16303" t="str">
        <f>""</f>
        <v/>
      </c>
    </row>
    <row r="16304" spans="1:7" x14ac:dyDescent="0.25">
      <c r="A16304" t="s">
        <v>8</v>
      </c>
      <c r="B16304" s="1" t="str">
        <f>"000061740 - RICH FOODS-FOODBUY"</f>
        <v>000061740 - RICH FOODS-FOODBUY</v>
      </c>
      <c r="C16304" t="s">
        <v>237</v>
      </c>
      <c r="D16304" s="1" t="str">
        <f t="shared" si="447"/>
        <v>PRG-1044663</v>
      </c>
      <c r="E16304" t="s">
        <v>147</v>
      </c>
      <c r="F16304" t="s">
        <v>4</v>
      </c>
      <c r="G16304" t="str">
        <f>""</f>
        <v/>
      </c>
    </row>
    <row r="16305" spans="1:7" x14ac:dyDescent="0.25">
      <c r="A16305" t="s">
        <v>8</v>
      </c>
      <c r="B16305" s="1" t="str">
        <f>"000061804 - RICH FOODS-FOODBUY"</f>
        <v>000061804 - RICH FOODS-FOODBUY</v>
      </c>
      <c r="C16305" t="s">
        <v>237</v>
      </c>
      <c r="D16305" s="1" t="str">
        <f t="shared" si="447"/>
        <v>PRG-1044663</v>
      </c>
      <c r="E16305" t="s">
        <v>147</v>
      </c>
      <c r="F16305" t="s">
        <v>4</v>
      </c>
      <c r="G16305" t="str">
        <f>""</f>
        <v/>
      </c>
    </row>
    <row r="16306" spans="1:7" x14ac:dyDescent="0.25">
      <c r="A16306" t="s">
        <v>8</v>
      </c>
      <c r="B16306" s="1" t="str">
        <f>"000062014 - RICH FOODS-FOODBUY"</f>
        <v>000062014 - RICH FOODS-FOODBUY</v>
      </c>
      <c r="C16306" t="s">
        <v>237</v>
      </c>
      <c r="D16306" s="1" t="str">
        <f t="shared" si="447"/>
        <v>PRG-1044663</v>
      </c>
      <c r="E16306" t="s">
        <v>147</v>
      </c>
      <c r="F16306" t="s">
        <v>4</v>
      </c>
      <c r="G16306" t="str">
        <f>""</f>
        <v/>
      </c>
    </row>
    <row r="16307" spans="1:7" x14ac:dyDescent="0.25">
      <c r="A16307" t="s">
        <v>8</v>
      </c>
      <c r="B16307" s="1" t="str">
        <f>"000063597 - RICH FOODS-FOODBUY"</f>
        <v>000063597 - RICH FOODS-FOODBUY</v>
      </c>
      <c r="C16307" t="s">
        <v>237</v>
      </c>
      <c r="D16307" s="1" t="str">
        <f t="shared" si="447"/>
        <v>PRG-1044663</v>
      </c>
      <c r="E16307" t="s">
        <v>147</v>
      </c>
      <c r="F16307" t="s">
        <v>4</v>
      </c>
      <c r="G16307" t="str">
        <f>""</f>
        <v/>
      </c>
    </row>
    <row r="16308" spans="1:7" x14ac:dyDescent="0.25">
      <c r="A16308" t="s">
        <v>8</v>
      </c>
      <c r="B16308" s="1" t="str">
        <f>"000064139 - RICH FOODS-FOODBUY"</f>
        <v>000064139 - RICH FOODS-FOODBUY</v>
      </c>
      <c r="C16308" t="s">
        <v>237</v>
      </c>
      <c r="D16308" s="1" t="str">
        <f t="shared" si="447"/>
        <v>PRG-1044663</v>
      </c>
      <c r="E16308" t="s">
        <v>147</v>
      </c>
      <c r="F16308" t="s">
        <v>4</v>
      </c>
      <c r="G16308" t="str">
        <f>""</f>
        <v/>
      </c>
    </row>
    <row r="16309" spans="1:7" x14ac:dyDescent="0.25">
      <c r="A16309" t="s">
        <v>8</v>
      </c>
      <c r="B16309" s="1" t="str">
        <f>"000066595 - RICH FOODS-FOODBUY"</f>
        <v>000066595 - RICH FOODS-FOODBUY</v>
      </c>
      <c r="C16309" t="s">
        <v>237</v>
      </c>
      <c r="D16309" s="1" t="str">
        <f t="shared" si="447"/>
        <v>PRG-1044663</v>
      </c>
      <c r="E16309" t="s">
        <v>147</v>
      </c>
      <c r="F16309" t="s">
        <v>4</v>
      </c>
      <c r="G16309" t="str">
        <f>""</f>
        <v/>
      </c>
    </row>
    <row r="16310" spans="1:7" x14ac:dyDescent="0.25">
      <c r="A16310" t="s">
        <v>8</v>
      </c>
      <c r="B16310" s="1" t="str">
        <f>"000067536 - RICH FOODS-FOODBUY"</f>
        <v>000067536 - RICH FOODS-FOODBUY</v>
      </c>
      <c r="C16310" t="s">
        <v>237</v>
      </c>
      <c r="D16310" s="1" t="str">
        <f t="shared" si="447"/>
        <v>PRG-1044663</v>
      </c>
      <c r="E16310" t="s">
        <v>147</v>
      </c>
      <c r="F16310" t="s">
        <v>4</v>
      </c>
      <c r="G16310" t="str">
        <f>""</f>
        <v/>
      </c>
    </row>
    <row r="16311" spans="1:7" x14ac:dyDescent="0.25">
      <c r="A16311" t="s">
        <v>8</v>
      </c>
      <c r="B16311" s="1" t="str">
        <f>"000081189 - RICH FOODS-FOODBUY"</f>
        <v>000081189 - RICH FOODS-FOODBUY</v>
      </c>
      <c r="C16311" t="s">
        <v>237</v>
      </c>
      <c r="D16311" s="1" t="str">
        <f t="shared" si="447"/>
        <v>PRG-1044663</v>
      </c>
      <c r="E16311" t="s">
        <v>147</v>
      </c>
      <c r="F16311" t="s">
        <v>4</v>
      </c>
      <c r="G16311" t="str">
        <f>""</f>
        <v/>
      </c>
    </row>
    <row r="16312" spans="1:7" x14ac:dyDescent="0.25">
      <c r="A16312" t="s">
        <v>8</v>
      </c>
      <c r="B16312" s="1" t="str">
        <f>"000081487 - RICH FOODS-FOODBUY"</f>
        <v>000081487 - RICH FOODS-FOODBUY</v>
      </c>
      <c r="C16312" t="s">
        <v>237</v>
      </c>
      <c r="D16312" s="1" t="str">
        <f t="shared" si="447"/>
        <v>PRG-1044663</v>
      </c>
      <c r="E16312" t="s">
        <v>147</v>
      </c>
      <c r="F16312" t="s">
        <v>4</v>
      </c>
      <c r="G16312" t="str">
        <f>""</f>
        <v/>
      </c>
    </row>
    <row r="16313" spans="1:7" x14ac:dyDescent="0.25">
      <c r="A16313" t="s">
        <v>8</v>
      </c>
      <c r="B16313" s="1" t="str">
        <f>"000082551 - RICH FOODS-FOODBUY"</f>
        <v>000082551 - RICH FOODS-FOODBUY</v>
      </c>
      <c r="C16313" t="s">
        <v>237</v>
      </c>
      <c r="D16313" s="1" t="str">
        <f t="shared" si="447"/>
        <v>PRG-1044663</v>
      </c>
      <c r="E16313" t="s">
        <v>147</v>
      </c>
      <c r="F16313" t="s">
        <v>4</v>
      </c>
      <c r="G16313" t="str">
        <f>""</f>
        <v/>
      </c>
    </row>
    <row r="16314" spans="1:7" x14ac:dyDescent="0.25">
      <c r="A16314" t="s">
        <v>8</v>
      </c>
      <c r="B16314" s="1" t="str">
        <f>"000083327 - RICH FOODS-FOODBUY"</f>
        <v>000083327 - RICH FOODS-FOODBUY</v>
      </c>
      <c r="C16314" t="s">
        <v>237</v>
      </c>
      <c r="D16314" s="1" t="str">
        <f t="shared" si="447"/>
        <v>PRG-1044663</v>
      </c>
      <c r="E16314" t="s">
        <v>147</v>
      </c>
      <c r="F16314" t="s">
        <v>4</v>
      </c>
      <c r="G16314" t="str">
        <f>""</f>
        <v/>
      </c>
    </row>
    <row r="16315" spans="1:7" x14ac:dyDescent="0.25">
      <c r="A16315" t="s">
        <v>8</v>
      </c>
      <c r="B16315" s="1" t="str">
        <f>"000084959 - RICH FOODS-FOODBUY"</f>
        <v>000084959 - RICH FOODS-FOODBUY</v>
      </c>
      <c r="C16315" t="s">
        <v>237</v>
      </c>
      <c r="D16315" s="1" t="str">
        <f t="shared" si="447"/>
        <v>PRG-1044663</v>
      </c>
      <c r="E16315" t="s">
        <v>147</v>
      </c>
      <c r="F16315" t="s">
        <v>4</v>
      </c>
      <c r="G16315" t="str">
        <f>""</f>
        <v/>
      </c>
    </row>
    <row r="16316" spans="1:7" x14ac:dyDescent="0.25">
      <c r="A16316" t="s">
        <v>8</v>
      </c>
      <c r="B16316" s="1" t="str">
        <f>"000085534 - RICH FOODS-FOODBUY"</f>
        <v>000085534 - RICH FOODS-FOODBUY</v>
      </c>
      <c r="C16316" t="s">
        <v>237</v>
      </c>
      <c r="D16316" s="1" t="str">
        <f t="shared" si="447"/>
        <v>PRG-1044663</v>
      </c>
      <c r="E16316" t="s">
        <v>147</v>
      </c>
      <c r="F16316" t="s">
        <v>4</v>
      </c>
      <c r="G16316" t="str">
        <f>""</f>
        <v/>
      </c>
    </row>
    <row r="16317" spans="1:7" x14ac:dyDescent="0.25">
      <c r="A16317" t="s">
        <v>8</v>
      </c>
      <c r="B16317" s="1" t="str">
        <f>"000086992 - RICH FOODS-FOODBUY"</f>
        <v>000086992 - RICH FOODS-FOODBUY</v>
      </c>
      <c r="C16317" t="s">
        <v>237</v>
      </c>
      <c r="D16317" s="1" t="str">
        <f t="shared" ref="D16317:D16380" si="448">"PRG-1044663"</f>
        <v>PRG-1044663</v>
      </c>
      <c r="E16317" t="s">
        <v>147</v>
      </c>
      <c r="F16317" t="s">
        <v>4</v>
      </c>
      <c r="G16317" t="str">
        <f>""</f>
        <v/>
      </c>
    </row>
    <row r="16318" spans="1:7" x14ac:dyDescent="0.25">
      <c r="A16318" t="s">
        <v>8</v>
      </c>
      <c r="B16318" s="1" t="str">
        <f>"000087983 - RICH FOODS-FOODBUY"</f>
        <v>000087983 - RICH FOODS-FOODBUY</v>
      </c>
      <c r="C16318" t="s">
        <v>237</v>
      </c>
      <c r="D16318" s="1" t="str">
        <f t="shared" si="448"/>
        <v>PRG-1044663</v>
      </c>
      <c r="E16318" t="s">
        <v>147</v>
      </c>
      <c r="F16318" t="s">
        <v>4</v>
      </c>
      <c r="G16318" t="str">
        <f>""</f>
        <v/>
      </c>
    </row>
    <row r="16319" spans="1:7" x14ac:dyDescent="0.25">
      <c r="A16319" t="s">
        <v>8</v>
      </c>
      <c r="B16319" s="1" t="str">
        <f>"000088973 - RICH FOODS-FOODBUY"</f>
        <v>000088973 - RICH FOODS-FOODBUY</v>
      </c>
      <c r="C16319" t="s">
        <v>237</v>
      </c>
      <c r="D16319" s="1" t="str">
        <f t="shared" si="448"/>
        <v>PRG-1044663</v>
      </c>
      <c r="E16319" t="s">
        <v>147</v>
      </c>
      <c r="F16319" t="s">
        <v>4</v>
      </c>
      <c r="G16319" t="str">
        <f>""</f>
        <v/>
      </c>
    </row>
    <row r="16320" spans="1:7" x14ac:dyDescent="0.25">
      <c r="A16320" t="s">
        <v>8</v>
      </c>
      <c r="B16320" s="1" t="str">
        <f>"000090119 - RICH FOODS-FOODBUY"</f>
        <v>000090119 - RICH FOODS-FOODBUY</v>
      </c>
      <c r="C16320" t="s">
        <v>237</v>
      </c>
      <c r="D16320" s="1" t="str">
        <f t="shared" si="448"/>
        <v>PRG-1044663</v>
      </c>
      <c r="E16320" t="s">
        <v>147</v>
      </c>
      <c r="F16320" t="s">
        <v>4</v>
      </c>
      <c r="G16320" t="str">
        <f>""</f>
        <v/>
      </c>
    </row>
    <row r="16321" spans="1:7" x14ac:dyDescent="0.25">
      <c r="A16321" t="s">
        <v>8</v>
      </c>
      <c r="B16321" s="1" t="str">
        <f>"000090714 - RICH FOODS-FOODBUY"</f>
        <v>000090714 - RICH FOODS-FOODBUY</v>
      </c>
      <c r="C16321" t="s">
        <v>237</v>
      </c>
      <c r="D16321" s="1" t="str">
        <f t="shared" si="448"/>
        <v>PRG-1044663</v>
      </c>
      <c r="E16321" t="s">
        <v>147</v>
      </c>
      <c r="F16321" t="s">
        <v>4</v>
      </c>
      <c r="G16321" t="str">
        <f>""</f>
        <v/>
      </c>
    </row>
    <row r="16322" spans="1:7" x14ac:dyDescent="0.25">
      <c r="A16322" t="s">
        <v>8</v>
      </c>
      <c r="B16322" s="1" t="str">
        <f>"000092059 - RICH FOODS-FOODBUY"</f>
        <v>000092059 - RICH FOODS-FOODBUY</v>
      </c>
      <c r="C16322" t="s">
        <v>237</v>
      </c>
      <c r="D16322" s="1" t="str">
        <f t="shared" si="448"/>
        <v>PRG-1044663</v>
      </c>
      <c r="E16322" t="s">
        <v>147</v>
      </c>
      <c r="F16322" t="s">
        <v>4</v>
      </c>
      <c r="G16322" t="str">
        <f>""</f>
        <v/>
      </c>
    </row>
    <row r="16323" spans="1:7" x14ac:dyDescent="0.25">
      <c r="A16323" t="s">
        <v>8</v>
      </c>
      <c r="B16323" s="1" t="str">
        <f>"000092686 - RICH FOODS-FOODBUY"</f>
        <v>000092686 - RICH FOODS-FOODBUY</v>
      </c>
      <c r="C16323" t="s">
        <v>237</v>
      </c>
      <c r="D16323" s="1" t="str">
        <f t="shared" si="448"/>
        <v>PRG-1044663</v>
      </c>
      <c r="E16323" t="s">
        <v>147</v>
      </c>
      <c r="F16323" t="s">
        <v>4</v>
      </c>
      <c r="G16323" t="str">
        <f>""</f>
        <v/>
      </c>
    </row>
    <row r="16324" spans="1:7" x14ac:dyDescent="0.25">
      <c r="A16324" t="s">
        <v>8</v>
      </c>
      <c r="B16324" s="1" t="str">
        <f>"000093628 - RICH FOODS-FOODBUY"</f>
        <v>000093628 - RICH FOODS-FOODBUY</v>
      </c>
      <c r="C16324" t="s">
        <v>237</v>
      </c>
      <c r="D16324" s="1" t="str">
        <f t="shared" si="448"/>
        <v>PRG-1044663</v>
      </c>
      <c r="E16324" t="s">
        <v>147</v>
      </c>
      <c r="F16324" t="s">
        <v>4</v>
      </c>
      <c r="G16324" t="str">
        <f>""</f>
        <v/>
      </c>
    </row>
    <row r="16325" spans="1:7" x14ac:dyDescent="0.25">
      <c r="A16325" t="s">
        <v>8</v>
      </c>
      <c r="B16325" s="1" t="str">
        <f>"000094079 - RICH FOODS-FOODBUY"</f>
        <v>000094079 - RICH FOODS-FOODBUY</v>
      </c>
      <c r="C16325" t="s">
        <v>237</v>
      </c>
      <c r="D16325" s="1" t="str">
        <f t="shared" si="448"/>
        <v>PRG-1044663</v>
      </c>
      <c r="E16325" t="s">
        <v>147</v>
      </c>
      <c r="F16325" t="s">
        <v>4</v>
      </c>
      <c r="G16325" t="str">
        <f>""</f>
        <v/>
      </c>
    </row>
    <row r="16326" spans="1:7" x14ac:dyDescent="0.25">
      <c r="A16326" t="s">
        <v>8</v>
      </c>
      <c r="B16326" s="1" t="str">
        <f>"000094182 - RICH FOODS-FOODBUY"</f>
        <v>000094182 - RICH FOODS-FOODBUY</v>
      </c>
      <c r="C16326" t="s">
        <v>237</v>
      </c>
      <c r="D16326" s="1" t="str">
        <f t="shared" si="448"/>
        <v>PRG-1044663</v>
      </c>
      <c r="E16326" t="s">
        <v>147</v>
      </c>
      <c r="F16326" t="s">
        <v>4</v>
      </c>
      <c r="G16326" t="str">
        <f>""</f>
        <v/>
      </c>
    </row>
    <row r="16327" spans="1:7" x14ac:dyDescent="0.25">
      <c r="A16327" t="s">
        <v>8</v>
      </c>
      <c r="B16327" s="1" t="str">
        <f>"000095054 - RICH FOODS-FOODBUY"</f>
        <v>000095054 - RICH FOODS-FOODBUY</v>
      </c>
      <c r="C16327" t="s">
        <v>237</v>
      </c>
      <c r="D16327" s="1" t="str">
        <f t="shared" si="448"/>
        <v>PRG-1044663</v>
      </c>
      <c r="E16327" t="s">
        <v>147</v>
      </c>
      <c r="F16327" t="s">
        <v>4</v>
      </c>
      <c r="G16327" t="str">
        <f>""</f>
        <v/>
      </c>
    </row>
    <row r="16328" spans="1:7" x14ac:dyDescent="0.25">
      <c r="A16328" t="s">
        <v>8</v>
      </c>
      <c r="B16328" s="1" t="str">
        <f>"000095777 - RICH FOODS-FOODBUY"</f>
        <v>000095777 - RICH FOODS-FOODBUY</v>
      </c>
      <c r="C16328" t="s">
        <v>237</v>
      </c>
      <c r="D16328" s="1" t="str">
        <f t="shared" si="448"/>
        <v>PRG-1044663</v>
      </c>
      <c r="E16328" t="s">
        <v>147</v>
      </c>
      <c r="F16328" t="s">
        <v>4</v>
      </c>
      <c r="G16328" t="str">
        <f>""</f>
        <v/>
      </c>
    </row>
    <row r="16329" spans="1:7" x14ac:dyDescent="0.25">
      <c r="A16329" t="s">
        <v>8</v>
      </c>
      <c r="B16329" s="1" t="str">
        <f>"000097181 - RICH FOODS-FOODBUY"</f>
        <v>000097181 - RICH FOODS-FOODBUY</v>
      </c>
      <c r="C16329" t="s">
        <v>237</v>
      </c>
      <c r="D16329" s="1" t="str">
        <f t="shared" si="448"/>
        <v>PRG-1044663</v>
      </c>
      <c r="E16329" t="s">
        <v>147</v>
      </c>
      <c r="F16329" t="s">
        <v>4</v>
      </c>
      <c r="G16329" t="str">
        <f>""</f>
        <v/>
      </c>
    </row>
    <row r="16330" spans="1:7" x14ac:dyDescent="0.25">
      <c r="A16330" t="s">
        <v>8</v>
      </c>
      <c r="B16330" s="1" t="str">
        <f>"000099398 - RICH FOODS-FOODBUY"</f>
        <v>000099398 - RICH FOODS-FOODBUY</v>
      </c>
      <c r="C16330" t="s">
        <v>237</v>
      </c>
      <c r="D16330" s="1" t="str">
        <f t="shared" si="448"/>
        <v>PRG-1044663</v>
      </c>
      <c r="E16330" t="s">
        <v>147</v>
      </c>
      <c r="F16330" t="s">
        <v>4</v>
      </c>
      <c r="G16330" t="str">
        <f>""</f>
        <v/>
      </c>
    </row>
    <row r="16331" spans="1:7" x14ac:dyDescent="0.25">
      <c r="A16331" t="s">
        <v>8</v>
      </c>
      <c r="B16331" s="1" t="str">
        <f>"000102611 - RICH FOODS FDBY SAN MANUEL"</f>
        <v>000102611 - RICH FOODS FDBY SAN MANUEL</v>
      </c>
      <c r="C16331" t="s">
        <v>806</v>
      </c>
      <c r="D16331" s="1" t="str">
        <f t="shared" si="448"/>
        <v>PRG-1044663</v>
      </c>
      <c r="E16331" t="s">
        <v>147</v>
      </c>
      <c r="F16331" t="s">
        <v>4</v>
      </c>
      <c r="G16331" t="str">
        <f>""</f>
        <v/>
      </c>
    </row>
    <row r="16332" spans="1:7" x14ac:dyDescent="0.25">
      <c r="A16332" t="s">
        <v>8</v>
      </c>
      <c r="B16332" s="1" t="str">
        <f>"000103860 - RICH FOODS-FOODBUY"</f>
        <v>000103860 - RICH FOODS-FOODBUY</v>
      </c>
      <c r="C16332" t="s">
        <v>237</v>
      </c>
      <c r="D16332" s="1" t="str">
        <f t="shared" si="448"/>
        <v>PRG-1044663</v>
      </c>
      <c r="E16332" t="s">
        <v>147</v>
      </c>
      <c r="F16332" t="s">
        <v>4</v>
      </c>
      <c r="G16332" t="str">
        <f>""</f>
        <v/>
      </c>
    </row>
    <row r="16333" spans="1:7" x14ac:dyDescent="0.25">
      <c r="A16333" t="s">
        <v>8</v>
      </c>
      <c r="B16333" s="1" t="str">
        <f>"000104951 - RICH FOODS-FOODBUY"</f>
        <v>000104951 - RICH FOODS-FOODBUY</v>
      </c>
      <c r="C16333" t="s">
        <v>237</v>
      </c>
      <c r="D16333" s="1" t="str">
        <f t="shared" si="448"/>
        <v>PRG-1044663</v>
      </c>
      <c r="E16333" t="s">
        <v>147</v>
      </c>
      <c r="F16333" t="s">
        <v>4</v>
      </c>
      <c r="G16333" t="str">
        <f>""</f>
        <v/>
      </c>
    </row>
    <row r="16334" spans="1:7" x14ac:dyDescent="0.25">
      <c r="A16334" t="s">
        <v>8</v>
      </c>
      <c r="B16334" s="1" t="str">
        <f>"000107055 - RICH FOODS-FOODBUY"</f>
        <v>000107055 - RICH FOODS-FOODBUY</v>
      </c>
      <c r="C16334" t="s">
        <v>237</v>
      </c>
      <c r="D16334" s="1" t="str">
        <f t="shared" si="448"/>
        <v>PRG-1044663</v>
      </c>
      <c r="E16334" t="s">
        <v>147</v>
      </c>
      <c r="F16334" t="s">
        <v>4</v>
      </c>
      <c r="G16334" t="str">
        <f>""</f>
        <v/>
      </c>
    </row>
    <row r="16335" spans="1:7" x14ac:dyDescent="0.25">
      <c r="A16335" t="s">
        <v>8</v>
      </c>
      <c r="B16335" s="1" t="str">
        <f>"000111634 - RICH FOODS-FOODBUY"</f>
        <v>000111634 - RICH FOODS-FOODBUY</v>
      </c>
      <c r="C16335" t="s">
        <v>237</v>
      </c>
      <c r="D16335" s="1" t="str">
        <f t="shared" si="448"/>
        <v>PRG-1044663</v>
      </c>
      <c r="E16335" t="s">
        <v>147</v>
      </c>
      <c r="F16335" t="s">
        <v>4</v>
      </c>
      <c r="G16335" t="str">
        <f>""</f>
        <v/>
      </c>
    </row>
    <row r="16336" spans="1:7" x14ac:dyDescent="0.25">
      <c r="A16336" t="s">
        <v>8</v>
      </c>
      <c r="B16336" s="1" t="str">
        <f>"000113185 - RICH FOODS-FOODBUY"</f>
        <v>000113185 - RICH FOODS-FOODBUY</v>
      </c>
      <c r="C16336" t="s">
        <v>237</v>
      </c>
      <c r="D16336" s="1" t="str">
        <f t="shared" si="448"/>
        <v>PRG-1044663</v>
      </c>
      <c r="E16336" t="s">
        <v>147</v>
      </c>
      <c r="F16336" t="s">
        <v>4</v>
      </c>
      <c r="G16336" t="str">
        <f>""</f>
        <v/>
      </c>
    </row>
    <row r="16337" spans="1:7" x14ac:dyDescent="0.25">
      <c r="A16337" t="s">
        <v>8</v>
      </c>
      <c r="B16337" s="1" t="str">
        <f>"000114635 - RICH FOODS-FOODBUY"</f>
        <v>000114635 - RICH FOODS-FOODBUY</v>
      </c>
      <c r="C16337" t="s">
        <v>237</v>
      </c>
      <c r="D16337" s="1" t="str">
        <f t="shared" si="448"/>
        <v>PRG-1044663</v>
      </c>
      <c r="E16337" t="s">
        <v>147</v>
      </c>
      <c r="F16337" t="s">
        <v>4</v>
      </c>
      <c r="G16337" t="str">
        <f>""</f>
        <v/>
      </c>
    </row>
    <row r="16338" spans="1:7" x14ac:dyDescent="0.25">
      <c r="A16338" t="s">
        <v>8</v>
      </c>
      <c r="B16338" s="1" t="str">
        <f>"000116928 - RICH FOODS-FOODBUY"</f>
        <v>000116928 - RICH FOODS-FOODBUY</v>
      </c>
      <c r="C16338" t="s">
        <v>237</v>
      </c>
      <c r="D16338" s="1" t="str">
        <f t="shared" si="448"/>
        <v>PRG-1044663</v>
      </c>
      <c r="E16338" t="s">
        <v>147</v>
      </c>
      <c r="F16338" t="s">
        <v>4</v>
      </c>
      <c r="G16338" t="str">
        <f>""</f>
        <v/>
      </c>
    </row>
    <row r="16339" spans="1:7" x14ac:dyDescent="0.25">
      <c r="A16339" t="s">
        <v>8</v>
      </c>
      <c r="B16339" s="1" t="str">
        <f>"000141198 - RICH FOODS-FOODBUY"</f>
        <v>000141198 - RICH FOODS-FOODBUY</v>
      </c>
      <c r="C16339" t="s">
        <v>237</v>
      </c>
      <c r="D16339" s="1" t="str">
        <f t="shared" si="448"/>
        <v>PRG-1044663</v>
      </c>
      <c r="E16339" t="s">
        <v>147</v>
      </c>
      <c r="F16339" t="s">
        <v>4</v>
      </c>
      <c r="G16339" t="str">
        <f>""</f>
        <v/>
      </c>
    </row>
    <row r="16340" spans="1:7" x14ac:dyDescent="0.25">
      <c r="A16340" t="s">
        <v>8</v>
      </c>
      <c r="B16340" s="1" t="str">
        <f>"000143317 - RICH FOODS-FOODBUY"</f>
        <v>000143317 - RICH FOODS-FOODBUY</v>
      </c>
      <c r="C16340" t="s">
        <v>237</v>
      </c>
      <c r="D16340" s="1" t="str">
        <f t="shared" si="448"/>
        <v>PRG-1044663</v>
      </c>
      <c r="E16340" t="s">
        <v>147</v>
      </c>
      <c r="F16340" t="s">
        <v>4</v>
      </c>
      <c r="G16340" t="str">
        <f>""</f>
        <v/>
      </c>
    </row>
    <row r="16341" spans="1:7" x14ac:dyDescent="0.25">
      <c r="A16341" t="s">
        <v>8</v>
      </c>
      <c r="B16341" s="1" t="str">
        <f>"000148191 - RICH FOODS-FOODBUY"</f>
        <v>000148191 - RICH FOODS-FOODBUY</v>
      </c>
      <c r="C16341" t="s">
        <v>237</v>
      </c>
      <c r="D16341" s="1" t="str">
        <f t="shared" si="448"/>
        <v>PRG-1044663</v>
      </c>
      <c r="E16341" t="s">
        <v>147</v>
      </c>
      <c r="F16341" t="s">
        <v>4</v>
      </c>
      <c r="G16341" t="str">
        <f>""</f>
        <v/>
      </c>
    </row>
    <row r="16342" spans="1:7" x14ac:dyDescent="0.25">
      <c r="A16342" t="s">
        <v>8</v>
      </c>
      <c r="B16342" s="1" t="str">
        <f>"000148267 - RICH FOODS-FOODBUY"</f>
        <v>000148267 - RICH FOODS-FOODBUY</v>
      </c>
      <c r="C16342" t="s">
        <v>237</v>
      </c>
      <c r="D16342" s="1" t="str">
        <f t="shared" si="448"/>
        <v>PRG-1044663</v>
      </c>
      <c r="E16342" t="s">
        <v>147</v>
      </c>
      <c r="F16342" t="s">
        <v>4</v>
      </c>
      <c r="G16342" t="str">
        <f>""</f>
        <v/>
      </c>
    </row>
    <row r="16343" spans="1:7" x14ac:dyDescent="0.25">
      <c r="A16343" t="s">
        <v>8</v>
      </c>
      <c r="B16343" s="1" t="str">
        <f>"000149537 - RICH FOODS-FOODBUY"</f>
        <v>000149537 - RICH FOODS-FOODBUY</v>
      </c>
      <c r="C16343" t="s">
        <v>237</v>
      </c>
      <c r="D16343" s="1" t="str">
        <f t="shared" si="448"/>
        <v>PRG-1044663</v>
      </c>
      <c r="E16343" t="s">
        <v>147</v>
      </c>
      <c r="F16343" t="s">
        <v>4</v>
      </c>
      <c r="G16343" t="str">
        <f>""</f>
        <v/>
      </c>
    </row>
    <row r="16344" spans="1:7" x14ac:dyDescent="0.25">
      <c r="A16344" t="s">
        <v>8</v>
      </c>
      <c r="B16344" s="1" t="str">
        <f>"000154579 - RICH FOODS-FOODBUY"</f>
        <v>000154579 - RICH FOODS-FOODBUY</v>
      </c>
      <c r="C16344" t="s">
        <v>237</v>
      </c>
      <c r="D16344" s="1" t="str">
        <f t="shared" si="448"/>
        <v>PRG-1044663</v>
      </c>
      <c r="E16344" t="s">
        <v>147</v>
      </c>
      <c r="F16344" t="s">
        <v>4</v>
      </c>
      <c r="G16344" t="str">
        <f>""</f>
        <v/>
      </c>
    </row>
    <row r="16345" spans="1:7" x14ac:dyDescent="0.25">
      <c r="A16345" t="s">
        <v>8</v>
      </c>
      <c r="B16345" s="1" t="str">
        <f>"000155658 - RICH FOODS-FOODBUY"</f>
        <v>000155658 - RICH FOODS-FOODBUY</v>
      </c>
      <c r="C16345" t="s">
        <v>237</v>
      </c>
      <c r="D16345" s="1" t="str">
        <f t="shared" si="448"/>
        <v>PRG-1044663</v>
      </c>
      <c r="E16345" t="s">
        <v>147</v>
      </c>
      <c r="F16345" t="s">
        <v>4</v>
      </c>
      <c r="G16345" t="str">
        <f>""</f>
        <v/>
      </c>
    </row>
    <row r="16346" spans="1:7" x14ac:dyDescent="0.25">
      <c r="A16346" t="s">
        <v>8</v>
      </c>
      <c r="B16346" s="1" t="str">
        <f>"000156338 - RICH FOODS-FOODBUY"</f>
        <v>000156338 - RICH FOODS-FOODBUY</v>
      </c>
      <c r="C16346" t="s">
        <v>237</v>
      </c>
      <c r="D16346" s="1" t="str">
        <f t="shared" si="448"/>
        <v>PRG-1044663</v>
      </c>
      <c r="E16346" t="s">
        <v>147</v>
      </c>
      <c r="F16346" t="s">
        <v>4</v>
      </c>
      <c r="G16346" t="str">
        <f>""</f>
        <v/>
      </c>
    </row>
    <row r="16347" spans="1:7" x14ac:dyDescent="0.25">
      <c r="A16347" t="s">
        <v>8</v>
      </c>
      <c r="B16347" s="1" t="str">
        <f>"000156382 - RICH FOODS-FOODBUY"</f>
        <v>000156382 - RICH FOODS-FOODBUY</v>
      </c>
      <c r="C16347" t="s">
        <v>237</v>
      </c>
      <c r="D16347" s="1" t="str">
        <f t="shared" si="448"/>
        <v>PRG-1044663</v>
      </c>
      <c r="E16347" t="s">
        <v>147</v>
      </c>
      <c r="F16347" t="s">
        <v>4</v>
      </c>
      <c r="G16347" t="str">
        <f>""</f>
        <v/>
      </c>
    </row>
    <row r="16348" spans="1:7" x14ac:dyDescent="0.25">
      <c r="A16348" t="s">
        <v>8</v>
      </c>
      <c r="B16348" s="1" t="str">
        <f>"000157556 - RICH FOODS-FOODBUY"</f>
        <v>000157556 - RICH FOODS-FOODBUY</v>
      </c>
      <c r="C16348" t="s">
        <v>237</v>
      </c>
      <c r="D16348" s="1" t="str">
        <f t="shared" si="448"/>
        <v>PRG-1044663</v>
      </c>
      <c r="E16348" t="s">
        <v>147</v>
      </c>
      <c r="F16348" t="s">
        <v>4</v>
      </c>
      <c r="G16348" t="str">
        <f>""</f>
        <v/>
      </c>
    </row>
    <row r="16349" spans="1:7" x14ac:dyDescent="0.25">
      <c r="A16349" t="s">
        <v>8</v>
      </c>
      <c r="B16349" s="1" t="str">
        <f>"000158079 - RICH FOODS-FOODBUY"</f>
        <v>000158079 - RICH FOODS-FOODBUY</v>
      </c>
      <c r="C16349" t="s">
        <v>237</v>
      </c>
      <c r="D16349" s="1" t="str">
        <f t="shared" si="448"/>
        <v>PRG-1044663</v>
      </c>
      <c r="E16349" t="s">
        <v>147</v>
      </c>
      <c r="F16349" t="s">
        <v>4</v>
      </c>
      <c r="G16349" t="str">
        <f>""</f>
        <v/>
      </c>
    </row>
    <row r="16350" spans="1:7" x14ac:dyDescent="0.25">
      <c r="A16350" t="s">
        <v>8</v>
      </c>
      <c r="B16350" s="1" t="str">
        <f>"000158499 - RICH FOODS-FOODBUY"</f>
        <v>000158499 - RICH FOODS-FOODBUY</v>
      </c>
      <c r="C16350" t="s">
        <v>237</v>
      </c>
      <c r="D16350" s="1" t="str">
        <f t="shared" si="448"/>
        <v>PRG-1044663</v>
      </c>
      <c r="E16350" t="s">
        <v>147</v>
      </c>
      <c r="F16350" t="s">
        <v>4</v>
      </c>
      <c r="G16350" t="str">
        <f>""</f>
        <v/>
      </c>
    </row>
    <row r="16351" spans="1:7" x14ac:dyDescent="0.25">
      <c r="A16351" t="s">
        <v>8</v>
      </c>
      <c r="B16351" s="1" t="str">
        <f>"000160506 - RICH FOODS-FOODBUY"</f>
        <v>000160506 - RICH FOODS-FOODBUY</v>
      </c>
      <c r="C16351" t="s">
        <v>237</v>
      </c>
      <c r="D16351" s="1" t="str">
        <f t="shared" si="448"/>
        <v>PRG-1044663</v>
      </c>
      <c r="E16351" t="s">
        <v>147</v>
      </c>
      <c r="F16351" t="s">
        <v>4</v>
      </c>
      <c r="G16351" t="str">
        <f>""</f>
        <v/>
      </c>
    </row>
    <row r="16352" spans="1:7" x14ac:dyDescent="0.25">
      <c r="A16352" t="s">
        <v>8</v>
      </c>
      <c r="B16352" s="1" t="str">
        <f>"000161335 - RICH FOODS-FOODBUY"</f>
        <v>000161335 - RICH FOODS-FOODBUY</v>
      </c>
      <c r="C16352" t="s">
        <v>237</v>
      </c>
      <c r="D16352" s="1" t="str">
        <f t="shared" si="448"/>
        <v>PRG-1044663</v>
      </c>
      <c r="E16352" t="s">
        <v>147</v>
      </c>
      <c r="F16352" t="s">
        <v>4</v>
      </c>
      <c r="G16352" t="str">
        <f>""</f>
        <v/>
      </c>
    </row>
    <row r="16353" spans="1:7" x14ac:dyDescent="0.25">
      <c r="A16353" t="s">
        <v>8</v>
      </c>
      <c r="B16353" s="1" t="str">
        <f>"000162622 - RICH FOODS-FOODBUY"</f>
        <v>000162622 - RICH FOODS-FOODBUY</v>
      </c>
      <c r="C16353" t="s">
        <v>237</v>
      </c>
      <c r="D16353" s="1" t="str">
        <f t="shared" si="448"/>
        <v>PRG-1044663</v>
      </c>
      <c r="E16353" t="s">
        <v>147</v>
      </c>
      <c r="F16353" t="s">
        <v>4</v>
      </c>
      <c r="G16353" t="str">
        <f>""</f>
        <v/>
      </c>
    </row>
    <row r="16354" spans="1:7" x14ac:dyDescent="0.25">
      <c r="A16354" t="s">
        <v>8</v>
      </c>
      <c r="B16354" s="1" t="str">
        <f>"000163723 - RICH FOODS-FOODBUY"</f>
        <v>000163723 - RICH FOODS-FOODBUY</v>
      </c>
      <c r="C16354" t="s">
        <v>237</v>
      </c>
      <c r="D16354" s="1" t="str">
        <f t="shared" si="448"/>
        <v>PRG-1044663</v>
      </c>
      <c r="E16354" t="s">
        <v>147</v>
      </c>
      <c r="F16354" t="s">
        <v>4</v>
      </c>
      <c r="G16354" t="str">
        <f>""</f>
        <v/>
      </c>
    </row>
    <row r="16355" spans="1:7" x14ac:dyDescent="0.25">
      <c r="A16355" t="s">
        <v>8</v>
      </c>
      <c r="B16355" s="1" t="str">
        <f>"000163810 - RICH FOODS-FOODBUY"</f>
        <v>000163810 - RICH FOODS-FOODBUY</v>
      </c>
      <c r="C16355" t="s">
        <v>237</v>
      </c>
      <c r="D16355" s="1" t="str">
        <f t="shared" si="448"/>
        <v>PRG-1044663</v>
      </c>
      <c r="E16355" t="s">
        <v>147</v>
      </c>
      <c r="F16355" t="s">
        <v>4</v>
      </c>
      <c r="G16355" t="str">
        <f>""</f>
        <v/>
      </c>
    </row>
    <row r="16356" spans="1:7" x14ac:dyDescent="0.25">
      <c r="A16356" t="s">
        <v>8</v>
      </c>
      <c r="B16356" s="1" t="str">
        <f>"000164550 - RICH FOODS-FOODBUY"</f>
        <v>000164550 - RICH FOODS-FOODBUY</v>
      </c>
      <c r="C16356" t="s">
        <v>237</v>
      </c>
      <c r="D16356" s="1" t="str">
        <f t="shared" si="448"/>
        <v>PRG-1044663</v>
      </c>
      <c r="E16356" t="s">
        <v>147</v>
      </c>
      <c r="F16356" t="s">
        <v>4</v>
      </c>
      <c r="G16356" t="str">
        <f>""</f>
        <v/>
      </c>
    </row>
    <row r="16357" spans="1:7" x14ac:dyDescent="0.25">
      <c r="A16357" t="s">
        <v>8</v>
      </c>
      <c r="B16357" s="1" t="str">
        <f>"000165189 - RICH FOODS-FOODBUY"</f>
        <v>000165189 - RICH FOODS-FOODBUY</v>
      </c>
      <c r="C16357" t="s">
        <v>237</v>
      </c>
      <c r="D16357" s="1" t="str">
        <f t="shared" si="448"/>
        <v>PRG-1044663</v>
      </c>
      <c r="E16357" t="s">
        <v>147</v>
      </c>
      <c r="F16357" t="s">
        <v>4</v>
      </c>
      <c r="G16357" t="str">
        <f>""</f>
        <v/>
      </c>
    </row>
    <row r="16358" spans="1:7" x14ac:dyDescent="0.25">
      <c r="A16358" t="s">
        <v>8</v>
      </c>
      <c r="B16358" s="1" t="str">
        <f>"000165398 - RICH FOODS-FOODBUY"</f>
        <v>000165398 - RICH FOODS-FOODBUY</v>
      </c>
      <c r="C16358" t="s">
        <v>237</v>
      </c>
      <c r="D16358" s="1" t="str">
        <f t="shared" si="448"/>
        <v>PRG-1044663</v>
      </c>
      <c r="E16358" t="s">
        <v>147</v>
      </c>
      <c r="F16358" t="s">
        <v>4</v>
      </c>
      <c r="G16358" t="str">
        <f>""</f>
        <v/>
      </c>
    </row>
    <row r="16359" spans="1:7" x14ac:dyDescent="0.25">
      <c r="A16359" t="s">
        <v>8</v>
      </c>
      <c r="B16359" s="1" t="str">
        <f>"000165593 - RICH FOODS-FOODBUY"</f>
        <v>000165593 - RICH FOODS-FOODBUY</v>
      </c>
      <c r="C16359" t="s">
        <v>237</v>
      </c>
      <c r="D16359" s="1" t="str">
        <f t="shared" si="448"/>
        <v>PRG-1044663</v>
      </c>
      <c r="E16359" t="s">
        <v>147</v>
      </c>
      <c r="F16359" t="s">
        <v>4</v>
      </c>
      <c r="G16359" t="str">
        <f>""</f>
        <v/>
      </c>
    </row>
    <row r="16360" spans="1:7" x14ac:dyDescent="0.25">
      <c r="A16360" t="s">
        <v>8</v>
      </c>
      <c r="B16360" s="1" t="str">
        <f>"000165839 - RICH FOODS-FOODBUY"</f>
        <v>000165839 - RICH FOODS-FOODBUY</v>
      </c>
      <c r="C16360" t="s">
        <v>237</v>
      </c>
      <c r="D16360" s="1" t="str">
        <f t="shared" si="448"/>
        <v>PRG-1044663</v>
      </c>
      <c r="E16360" t="s">
        <v>147</v>
      </c>
      <c r="F16360" t="s">
        <v>4</v>
      </c>
      <c r="G16360" t="str">
        <f>""</f>
        <v/>
      </c>
    </row>
    <row r="16361" spans="1:7" x14ac:dyDescent="0.25">
      <c r="A16361" t="s">
        <v>8</v>
      </c>
      <c r="B16361" s="1" t="str">
        <f>"000167151 - RICH FOODS-FOODBUY"</f>
        <v>000167151 - RICH FOODS-FOODBUY</v>
      </c>
      <c r="C16361" t="s">
        <v>237</v>
      </c>
      <c r="D16361" s="1" t="str">
        <f t="shared" si="448"/>
        <v>PRG-1044663</v>
      </c>
      <c r="E16361" t="s">
        <v>147</v>
      </c>
      <c r="F16361" t="s">
        <v>4</v>
      </c>
      <c r="G16361" t="str">
        <f>""</f>
        <v/>
      </c>
    </row>
    <row r="16362" spans="1:7" x14ac:dyDescent="0.25">
      <c r="A16362" t="s">
        <v>8</v>
      </c>
      <c r="B16362" s="1" t="str">
        <f>"000169205 - RICH FOODS-FOODBUY"</f>
        <v>000169205 - RICH FOODS-FOODBUY</v>
      </c>
      <c r="C16362" t="s">
        <v>237</v>
      </c>
      <c r="D16362" s="1" t="str">
        <f t="shared" si="448"/>
        <v>PRG-1044663</v>
      </c>
      <c r="E16362" t="s">
        <v>147</v>
      </c>
      <c r="F16362" t="s">
        <v>4</v>
      </c>
      <c r="G16362" t="str">
        <f>""</f>
        <v/>
      </c>
    </row>
    <row r="16363" spans="1:7" x14ac:dyDescent="0.25">
      <c r="A16363" t="s">
        <v>8</v>
      </c>
      <c r="B16363" s="1" t="str">
        <f>"000169270 - RICH FOODS-FOODBUY"</f>
        <v>000169270 - RICH FOODS-FOODBUY</v>
      </c>
      <c r="C16363" t="s">
        <v>237</v>
      </c>
      <c r="D16363" s="1" t="str">
        <f t="shared" si="448"/>
        <v>PRG-1044663</v>
      </c>
      <c r="E16363" t="s">
        <v>147</v>
      </c>
      <c r="F16363" t="s">
        <v>4</v>
      </c>
      <c r="G16363" t="str">
        <f>""</f>
        <v/>
      </c>
    </row>
    <row r="16364" spans="1:7" x14ac:dyDescent="0.25">
      <c r="A16364" t="s">
        <v>8</v>
      </c>
      <c r="B16364" s="1" t="str">
        <f>"000169291 - RICH FOODS-FOODBUY"</f>
        <v>000169291 - RICH FOODS-FOODBUY</v>
      </c>
      <c r="C16364" t="s">
        <v>237</v>
      </c>
      <c r="D16364" s="1" t="str">
        <f t="shared" si="448"/>
        <v>PRG-1044663</v>
      </c>
      <c r="E16364" t="s">
        <v>147</v>
      </c>
      <c r="F16364" t="s">
        <v>4</v>
      </c>
      <c r="G16364" t="str">
        <f>""</f>
        <v/>
      </c>
    </row>
    <row r="16365" spans="1:7" x14ac:dyDescent="0.25">
      <c r="A16365" t="s">
        <v>8</v>
      </c>
      <c r="B16365" s="1" t="str">
        <f>"000170239 - RICH FOODS-FOODBUY"</f>
        <v>000170239 - RICH FOODS-FOODBUY</v>
      </c>
      <c r="C16365" t="s">
        <v>237</v>
      </c>
      <c r="D16365" s="1" t="str">
        <f t="shared" si="448"/>
        <v>PRG-1044663</v>
      </c>
      <c r="E16365" t="s">
        <v>147</v>
      </c>
      <c r="F16365" t="s">
        <v>4</v>
      </c>
      <c r="G16365" t="str">
        <f>""</f>
        <v/>
      </c>
    </row>
    <row r="16366" spans="1:7" x14ac:dyDescent="0.25">
      <c r="A16366" t="s">
        <v>8</v>
      </c>
      <c r="B16366" s="1" t="str">
        <f>"000170327 - RICH FOODS-FOODBUY"</f>
        <v>000170327 - RICH FOODS-FOODBUY</v>
      </c>
      <c r="C16366" t="s">
        <v>237</v>
      </c>
      <c r="D16366" s="1" t="str">
        <f t="shared" si="448"/>
        <v>PRG-1044663</v>
      </c>
      <c r="E16366" t="s">
        <v>147</v>
      </c>
      <c r="F16366" t="s">
        <v>4</v>
      </c>
      <c r="G16366" t="str">
        <f>""</f>
        <v/>
      </c>
    </row>
    <row r="16367" spans="1:7" x14ac:dyDescent="0.25">
      <c r="A16367" t="s">
        <v>8</v>
      </c>
      <c r="B16367" s="1" t="str">
        <f>"000170765 - RICH FOODS-FOODBUY"</f>
        <v>000170765 - RICH FOODS-FOODBUY</v>
      </c>
      <c r="C16367" t="s">
        <v>237</v>
      </c>
      <c r="D16367" s="1" t="str">
        <f t="shared" si="448"/>
        <v>PRG-1044663</v>
      </c>
      <c r="E16367" t="s">
        <v>147</v>
      </c>
      <c r="F16367" t="s">
        <v>4</v>
      </c>
      <c r="G16367" t="str">
        <f>""</f>
        <v/>
      </c>
    </row>
    <row r="16368" spans="1:7" x14ac:dyDescent="0.25">
      <c r="A16368" t="s">
        <v>8</v>
      </c>
      <c r="B16368" s="1" t="str">
        <f>"000171660 - RICH FOODS-FOODBUY"</f>
        <v>000171660 - RICH FOODS-FOODBUY</v>
      </c>
      <c r="C16368" t="s">
        <v>237</v>
      </c>
      <c r="D16368" s="1" t="str">
        <f t="shared" si="448"/>
        <v>PRG-1044663</v>
      </c>
      <c r="E16368" t="s">
        <v>147</v>
      </c>
      <c r="F16368" t="s">
        <v>4</v>
      </c>
      <c r="G16368" t="str">
        <f>""</f>
        <v/>
      </c>
    </row>
    <row r="16369" spans="1:7" x14ac:dyDescent="0.25">
      <c r="A16369" t="s">
        <v>8</v>
      </c>
      <c r="B16369" s="1" t="str">
        <f>"000171981 - RICH FOODS-FOODBUY"</f>
        <v>000171981 - RICH FOODS-FOODBUY</v>
      </c>
      <c r="C16369" t="s">
        <v>237</v>
      </c>
      <c r="D16369" s="1" t="str">
        <f t="shared" si="448"/>
        <v>PRG-1044663</v>
      </c>
      <c r="E16369" t="s">
        <v>147</v>
      </c>
      <c r="F16369" t="s">
        <v>4</v>
      </c>
      <c r="G16369" t="str">
        <f>""</f>
        <v/>
      </c>
    </row>
    <row r="16370" spans="1:7" x14ac:dyDescent="0.25">
      <c r="A16370" t="s">
        <v>8</v>
      </c>
      <c r="B16370" s="1" t="str">
        <f>"000174690 - RICH FOODS-FOODBUY"</f>
        <v>000174690 - RICH FOODS-FOODBUY</v>
      </c>
      <c r="C16370" t="s">
        <v>237</v>
      </c>
      <c r="D16370" s="1" t="str">
        <f t="shared" si="448"/>
        <v>PRG-1044663</v>
      </c>
      <c r="E16370" t="s">
        <v>147</v>
      </c>
      <c r="F16370" t="s">
        <v>4</v>
      </c>
      <c r="G16370" t="str">
        <f>""</f>
        <v/>
      </c>
    </row>
    <row r="16371" spans="1:7" x14ac:dyDescent="0.25">
      <c r="A16371" t="s">
        <v>8</v>
      </c>
      <c r="B16371" s="1" t="str">
        <f>"000175581 - RICH FOODS-FOODBUY"</f>
        <v>000175581 - RICH FOODS-FOODBUY</v>
      </c>
      <c r="C16371" t="s">
        <v>237</v>
      </c>
      <c r="D16371" s="1" t="str">
        <f t="shared" si="448"/>
        <v>PRG-1044663</v>
      </c>
      <c r="E16371" t="s">
        <v>147</v>
      </c>
      <c r="F16371" t="s">
        <v>4</v>
      </c>
      <c r="G16371" t="str">
        <f>""</f>
        <v/>
      </c>
    </row>
    <row r="16372" spans="1:7" x14ac:dyDescent="0.25">
      <c r="A16372" t="s">
        <v>8</v>
      </c>
      <c r="B16372" s="1" t="str">
        <f>"000175648 - RICH FOODS-FOODBUY"</f>
        <v>000175648 - RICH FOODS-FOODBUY</v>
      </c>
      <c r="C16372" t="s">
        <v>237</v>
      </c>
      <c r="D16372" s="1" t="str">
        <f t="shared" si="448"/>
        <v>PRG-1044663</v>
      </c>
      <c r="E16372" t="s">
        <v>147</v>
      </c>
      <c r="F16372" t="s">
        <v>4</v>
      </c>
      <c r="G16372" t="str">
        <f>""</f>
        <v/>
      </c>
    </row>
    <row r="16373" spans="1:7" x14ac:dyDescent="0.25">
      <c r="A16373" t="s">
        <v>8</v>
      </c>
      <c r="B16373" s="1" t="str">
        <f>"000176580 - RICH FOODS-FOODBUY"</f>
        <v>000176580 - RICH FOODS-FOODBUY</v>
      </c>
      <c r="C16373" t="s">
        <v>237</v>
      </c>
      <c r="D16373" s="1" t="str">
        <f t="shared" si="448"/>
        <v>PRG-1044663</v>
      </c>
      <c r="E16373" t="s">
        <v>147</v>
      </c>
      <c r="F16373" t="s">
        <v>4</v>
      </c>
      <c r="G16373" t="str">
        <f>""</f>
        <v/>
      </c>
    </row>
    <row r="16374" spans="1:7" x14ac:dyDescent="0.25">
      <c r="A16374" t="s">
        <v>8</v>
      </c>
      <c r="B16374" s="1" t="str">
        <f>"000176647 - RICH FOODS-FOODBUY"</f>
        <v>000176647 - RICH FOODS-FOODBUY</v>
      </c>
      <c r="C16374" t="s">
        <v>237</v>
      </c>
      <c r="D16374" s="1" t="str">
        <f t="shared" si="448"/>
        <v>PRG-1044663</v>
      </c>
      <c r="E16374" t="s">
        <v>147</v>
      </c>
      <c r="F16374" t="s">
        <v>4</v>
      </c>
      <c r="G16374" t="str">
        <f>""</f>
        <v/>
      </c>
    </row>
    <row r="16375" spans="1:7" x14ac:dyDescent="0.25">
      <c r="A16375" t="s">
        <v>8</v>
      </c>
      <c r="B16375" s="1" t="str">
        <f>"000178206 - RICH FOODS-FOODBUY"</f>
        <v>000178206 - RICH FOODS-FOODBUY</v>
      </c>
      <c r="C16375" t="s">
        <v>237</v>
      </c>
      <c r="D16375" s="1" t="str">
        <f t="shared" si="448"/>
        <v>PRG-1044663</v>
      </c>
      <c r="E16375" t="s">
        <v>147</v>
      </c>
      <c r="F16375" t="s">
        <v>4</v>
      </c>
      <c r="G16375" t="str">
        <f>""</f>
        <v/>
      </c>
    </row>
    <row r="16376" spans="1:7" x14ac:dyDescent="0.25">
      <c r="A16376" t="s">
        <v>8</v>
      </c>
      <c r="B16376" s="1" t="str">
        <f>"000178498 - RICH FOODS-FOODBUY"</f>
        <v>000178498 - RICH FOODS-FOODBUY</v>
      </c>
      <c r="C16376" t="s">
        <v>237</v>
      </c>
      <c r="D16376" s="1" t="str">
        <f t="shared" si="448"/>
        <v>PRG-1044663</v>
      </c>
      <c r="E16376" t="s">
        <v>147</v>
      </c>
      <c r="F16376" t="s">
        <v>4</v>
      </c>
      <c r="G16376" t="str">
        <f>""</f>
        <v/>
      </c>
    </row>
    <row r="16377" spans="1:7" x14ac:dyDescent="0.25">
      <c r="A16377" t="s">
        <v>8</v>
      </c>
      <c r="B16377" s="1" t="str">
        <f>"000179755 - RICH FOODS-FOODBUY"</f>
        <v>000179755 - RICH FOODS-FOODBUY</v>
      </c>
      <c r="C16377" t="s">
        <v>237</v>
      </c>
      <c r="D16377" s="1" t="str">
        <f t="shared" si="448"/>
        <v>PRG-1044663</v>
      </c>
      <c r="E16377" t="s">
        <v>147</v>
      </c>
      <c r="F16377" t="s">
        <v>4</v>
      </c>
      <c r="G16377" t="str">
        <f>""</f>
        <v/>
      </c>
    </row>
    <row r="16378" spans="1:7" x14ac:dyDescent="0.25">
      <c r="A16378" t="s">
        <v>8</v>
      </c>
      <c r="B16378" s="1" t="str">
        <f>"000180776 - RICH FOODS-FOODBUY"</f>
        <v>000180776 - RICH FOODS-FOODBUY</v>
      </c>
      <c r="C16378" t="s">
        <v>237</v>
      </c>
      <c r="D16378" s="1" t="str">
        <f t="shared" si="448"/>
        <v>PRG-1044663</v>
      </c>
      <c r="E16378" t="s">
        <v>147</v>
      </c>
      <c r="F16378" t="s">
        <v>4</v>
      </c>
      <c r="G16378" t="str">
        <f>""</f>
        <v/>
      </c>
    </row>
    <row r="16379" spans="1:7" x14ac:dyDescent="0.25">
      <c r="A16379" t="s">
        <v>8</v>
      </c>
      <c r="B16379" s="1" t="str">
        <f>"000181195 - RICH FOODS-FOODBUY"</f>
        <v>000181195 - RICH FOODS-FOODBUY</v>
      </c>
      <c r="C16379" t="s">
        <v>237</v>
      </c>
      <c r="D16379" s="1" t="str">
        <f t="shared" si="448"/>
        <v>PRG-1044663</v>
      </c>
      <c r="E16379" t="s">
        <v>147</v>
      </c>
      <c r="F16379" t="s">
        <v>4</v>
      </c>
      <c r="G16379" t="str">
        <f>""</f>
        <v/>
      </c>
    </row>
    <row r="16380" spans="1:7" x14ac:dyDescent="0.25">
      <c r="A16380" t="s">
        <v>8</v>
      </c>
      <c r="B16380" s="1" t="str">
        <f>"000182221 - RICH FOODS-FOODBUY"</f>
        <v>000182221 - RICH FOODS-FOODBUY</v>
      </c>
      <c r="C16380" t="s">
        <v>237</v>
      </c>
      <c r="D16380" s="1" t="str">
        <f t="shared" si="448"/>
        <v>PRG-1044663</v>
      </c>
      <c r="E16380" t="s">
        <v>147</v>
      </c>
      <c r="F16380" t="s">
        <v>4</v>
      </c>
      <c r="G16380" t="str">
        <f>""</f>
        <v/>
      </c>
    </row>
    <row r="16381" spans="1:7" x14ac:dyDescent="0.25">
      <c r="A16381" t="s">
        <v>8</v>
      </c>
      <c r="B16381" s="1" t="str">
        <f>"000182789 - RICH FOODS-FOODBUY"</f>
        <v>000182789 - RICH FOODS-FOODBUY</v>
      </c>
      <c r="C16381" t="s">
        <v>237</v>
      </c>
      <c r="D16381" s="1" t="str">
        <f t="shared" ref="D16381:D16444" si="449">"PRG-1044663"</f>
        <v>PRG-1044663</v>
      </c>
      <c r="E16381" t="s">
        <v>147</v>
      </c>
      <c r="F16381" t="s">
        <v>4</v>
      </c>
      <c r="G16381" t="str">
        <f>""</f>
        <v/>
      </c>
    </row>
    <row r="16382" spans="1:7" x14ac:dyDescent="0.25">
      <c r="A16382" t="s">
        <v>8</v>
      </c>
      <c r="B16382" s="1" t="str">
        <f>"000182966 - RICH FOODS-FOODBUY"</f>
        <v>000182966 - RICH FOODS-FOODBUY</v>
      </c>
      <c r="C16382" t="s">
        <v>237</v>
      </c>
      <c r="D16382" s="1" t="str">
        <f t="shared" si="449"/>
        <v>PRG-1044663</v>
      </c>
      <c r="E16382" t="s">
        <v>147</v>
      </c>
      <c r="F16382" t="s">
        <v>4</v>
      </c>
      <c r="G16382" t="str">
        <f>""</f>
        <v/>
      </c>
    </row>
    <row r="16383" spans="1:7" x14ac:dyDescent="0.25">
      <c r="A16383" t="s">
        <v>8</v>
      </c>
      <c r="B16383" s="1" t="str">
        <f>"000184589 - RICH FOODS-FOODBUY"</f>
        <v>000184589 - RICH FOODS-FOODBUY</v>
      </c>
      <c r="C16383" t="s">
        <v>237</v>
      </c>
      <c r="D16383" s="1" t="str">
        <f t="shared" si="449"/>
        <v>PRG-1044663</v>
      </c>
      <c r="E16383" t="s">
        <v>147</v>
      </c>
      <c r="F16383" t="s">
        <v>4</v>
      </c>
      <c r="G16383" t="str">
        <f>""</f>
        <v/>
      </c>
    </row>
    <row r="16384" spans="1:7" x14ac:dyDescent="0.25">
      <c r="A16384" t="s">
        <v>8</v>
      </c>
      <c r="B16384" s="1" t="str">
        <f>"000184746 - RICH FOODS-FOODBUY"</f>
        <v>000184746 - RICH FOODS-FOODBUY</v>
      </c>
      <c r="C16384" t="s">
        <v>237</v>
      </c>
      <c r="D16384" s="1" t="str">
        <f t="shared" si="449"/>
        <v>PRG-1044663</v>
      </c>
      <c r="E16384" t="s">
        <v>147</v>
      </c>
      <c r="F16384" t="s">
        <v>4</v>
      </c>
      <c r="G16384" t="str">
        <f>""</f>
        <v/>
      </c>
    </row>
    <row r="16385" spans="1:7" x14ac:dyDescent="0.25">
      <c r="A16385" t="s">
        <v>8</v>
      </c>
      <c r="B16385" s="1" t="str">
        <f>"000186090 - RICH FOODS-FOODBUY"</f>
        <v>000186090 - RICH FOODS-FOODBUY</v>
      </c>
      <c r="C16385" t="s">
        <v>237</v>
      </c>
      <c r="D16385" s="1" t="str">
        <f t="shared" si="449"/>
        <v>PRG-1044663</v>
      </c>
      <c r="E16385" t="s">
        <v>147</v>
      </c>
      <c r="F16385" t="s">
        <v>4</v>
      </c>
      <c r="G16385" t="str">
        <f>""</f>
        <v/>
      </c>
    </row>
    <row r="16386" spans="1:7" x14ac:dyDescent="0.25">
      <c r="A16386" t="s">
        <v>8</v>
      </c>
      <c r="B16386" s="1" t="str">
        <f>"000186989 - RICH FOODS-FOODBUY"</f>
        <v>000186989 - RICH FOODS-FOODBUY</v>
      </c>
      <c r="C16386" t="s">
        <v>237</v>
      </c>
      <c r="D16386" s="1" t="str">
        <f t="shared" si="449"/>
        <v>PRG-1044663</v>
      </c>
      <c r="E16386" t="s">
        <v>147</v>
      </c>
      <c r="F16386" t="s">
        <v>4</v>
      </c>
      <c r="G16386" t="str">
        <f>""</f>
        <v/>
      </c>
    </row>
    <row r="16387" spans="1:7" x14ac:dyDescent="0.25">
      <c r="A16387" t="s">
        <v>8</v>
      </c>
      <c r="B16387" s="1" t="str">
        <f>"000187407 - RICH FOODS-FOODBUY"</f>
        <v>000187407 - RICH FOODS-FOODBUY</v>
      </c>
      <c r="C16387" t="s">
        <v>237</v>
      </c>
      <c r="D16387" s="1" t="str">
        <f t="shared" si="449"/>
        <v>PRG-1044663</v>
      </c>
      <c r="E16387" t="s">
        <v>147</v>
      </c>
      <c r="F16387" t="s">
        <v>4</v>
      </c>
      <c r="G16387" t="str">
        <f>""</f>
        <v/>
      </c>
    </row>
    <row r="16388" spans="1:7" x14ac:dyDescent="0.25">
      <c r="A16388" t="s">
        <v>8</v>
      </c>
      <c r="B16388" s="1" t="str">
        <f>"000188161 - RICH FOODS-FOODBUY"</f>
        <v>000188161 - RICH FOODS-FOODBUY</v>
      </c>
      <c r="C16388" t="s">
        <v>237</v>
      </c>
      <c r="D16388" s="1" t="str">
        <f t="shared" si="449"/>
        <v>PRG-1044663</v>
      </c>
      <c r="E16388" t="s">
        <v>147</v>
      </c>
      <c r="F16388" t="s">
        <v>4</v>
      </c>
      <c r="G16388" t="str">
        <f>""</f>
        <v/>
      </c>
    </row>
    <row r="16389" spans="1:7" x14ac:dyDescent="0.25">
      <c r="A16389" t="s">
        <v>8</v>
      </c>
      <c r="B16389" s="1" t="str">
        <f>"000188798 - RICH FOODS-FOODBUY"</f>
        <v>000188798 - RICH FOODS-FOODBUY</v>
      </c>
      <c r="C16389" t="s">
        <v>237</v>
      </c>
      <c r="D16389" s="1" t="str">
        <f t="shared" si="449"/>
        <v>PRG-1044663</v>
      </c>
      <c r="E16389" t="s">
        <v>147</v>
      </c>
      <c r="F16389" t="s">
        <v>4</v>
      </c>
      <c r="G16389" t="str">
        <f>""</f>
        <v/>
      </c>
    </row>
    <row r="16390" spans="1:7" x14ac:dyDescent="0.25">
      <c r="A16390" t="s">
        <v>8</v>
      </c>
      <c r="B16390" s="1" t="str">
        <f>"000189024 - RICH FOODS-FOODBUY"</f>
        <v>000189024 - RICH FOODS-FOODBUY</v>
      </c>
      <c r="C16390" t="s">
        <v>237</v>
      </c>
      <c r="D16390" s="1" t="str">
        <f t="shared" si="449"/>
        <v>PRG-1044663</v>
      </c>
      <c r="E16390" t="s">
        <v>147</v>
      </c>
      <c r="F16390" t="s">
        <v>4</v>
      </c>
      <c r="G16390" t="str">
        <f>""</f>
        <v/>
      </c>
    </row>
    <row r="16391" spans="1:7" x14ac:dyDescent="0.25">
      <c r="A16391" t="s">
        <v>8</v>
      </c>
      <c r="B16391" s="1" t="str">
        <f>"000189421 - RICH FOODS-FOODBUY"</f>
        <v>000189421 - RICH FOODS-FOODBUY</v>
      </c>
      <c r="C16391" t="s">
        <v>237</v>
      </c>
      <c r="D16391" s="1" t="str">
        <f t="shared" si="449"/>
        <v>PRG-1044663</v>
      </c>
      <c r="E16391" t="s">
        <v>147</v>
      </c>
      <c r="F16391" t="s">
        <v>4</v>
      </c>
      <c r="G16391" t="str">
        <f>""</f>
        <v/>
      </c>
    </row>
    <row r="16392" spans="1:7" x14ac:dyDescent="0.25">
      <c r="A16392" t="s">
        <v>8</v>
      </c>
      <c r="B16392" s="1" t="str">
        <f>"000189836 - RICH FOODS-FOODBUY"</f>
        <v>000189836 - RICH FOODS-FOODBUY</v>
      </c>
      <c r="C16392" t="s">
        <v>237</v>
      </c>
      <c r="D16392" s="1" t="str">
        <f t="shared" si="449"/>
        <v>PRG-1044663</v>
      </c>
      <c r="E16392" t="s">
        <v>147</v>
      </c>
      <c r="F16392" t="s">
        <v>4</v>
      </c>
      <c r="G16392" t="str">
        <f>""</f>
        <v/>
      </c>
    </row>
    <row r="16393" spans="1:7" x14ac:dyDescent="0.25">
      <c r="A16393" t="s">
        <v>8</v>
      </c>
      <c r="B16393" s="1" t="str">
        <f>"000189943 - RICH FOODS-FOODBUY"</f>
        <v>000189943 - RICH FOODS-FOODBUY</v>
      </c>
      <c r="C16393" t="s">
        <v>237</v>
      </c>
      <c r="D16393" s="1" t="str">
        <f t="shared" si="449"/>
        <v>PRG-1044663</v>
      </c>
      <c r="E16393" t="s">
        <v>147</v>
      </c>
      <c r="F16393" t="s">
        <v>4</v>
      </c>
      <c r="G16393" t="str">
        <f>""</f>
        <v/>
      </c>
    </row>
    <row r="16394" spans="1:7" x14ac:dyDescent="0.25">
      <c r="A16394" t="s">
        <v>8</v>
      </c>
      <c r="B16394" s="1" t="str">
        <f>"000190917 - RICH FOODS-FOODBUY"</f>
        <v>000190917 - RICH FOODS-FOODBUY</v>
      </c>
      <c r="C16394" t="s">
        <v>237</v>
      </c>
      <c r="D16394" s="1" t="str">
        <f t="shared" si="449"/>
        <v>PRG-1044663</v>
      </c>
      <c r="E16394" t="s">
        <v>147</v>
      </c>
      <c r="F16394" t="s">
        <v>4</v>
      </c>
      <c r="G16394" t="str">
        <f>""</f>
        <v/>
      </c>
    </row>
    <row r="16395" spans="1:7" x14ac:dyDescent="0.25">
      <c r="A16395" t="s">
        <v>8</v>
      </c>
      <c r="B16395" s="1" t="str">
        <f>"000191039 - RICH FOODS-FOODBUY"</f>
        <v>000191039 - RICH FOODS-FOODBUY</v>
      </c>
      <c r="C16395" t="s">
        <v>237</v>
      </c>
      <c r="D16395" s="1" t="str">
        <f t="shared" si="449"/>
        <v>PRG-1044663</v>
      </c>
      <c r="E16395" t="s">
        <v>147</v>
      </c>
      <c r="F16395" t="s">
        <v>4</v>
      </c>
      <c r="G16395" t="str">
        <f>""</f>
        <v/>
      </c>
    </row>
    <row r="16396" spans="1:7" x14ac:dyDescent="0.25">
      <c r="A16396" t="s">
        <v>8</v>
      </c>
      <c r="B16396" s="1" t="str">
        <f>"000192975 - RICH FOODS-FOODBUY"</f>
        <v>000192975 - RICH FOODS-FOODBUY</v>
      </c>
      <c r="C16396" t="s">
        <v>237</v>
      </c>
      <c r="D16396" s="1" t="str">
        <f t="shared" si="449"/>
        <v>PRG-1044663</v>
      </c>
      <c r="E16396" t="s">
        <v>147</v>
      </c>
      <c r="F16396" t="s">
        <v>4</v>
      </c>
      <c r="G16396" t="str">
        <f>""</f>
        <v/>
      </c>
    </row>
    <row r="16397" spans="1:7" x14ac:dyDescent="0.25">
      <c r="A16397" t="s">
        <v>8</v>
      </c>
      <c r="B16397" s="1" t="str">
        <f>"000193075 - RICH FOODS-FOODBUY"</f>
        <v>000193075 - RICH FOODS-FOODBUY</v>
      </c>
      <c r="C16397" t="s">
        <v>237</v>
      </c>
      <c r="D16397" s="1" t="str">
        <f t="shared" si="449"/>
        <v>PRG-1044663</v>
      </c>
      <c r="E16397" t="s">
        <v>147</v>
      </c>
      <c r="F16397" t="s">
        <v>4</v>
      </c>
      <c r="G16397" t="str">
        <f>""</f>
        <v/>
      </c>
    </row>
    <row r="16398" spans="1:7" x14ac:dyDescent="0.25">
      <c r="A16398" t="s">
        <v>8</v>
      </c>
      <c r="B16398" s="1" t="str">
        <f>"000193395 - RICH FOODS-FOODBUY"</f>
        <v>000193395 - RICH FOODS-FOODBUY</v>
      </c>
      <c r="C16398" t="s">
        <v>237</v>
      </c>
      <c r="D16398" s="1" t="str">
        <f t="shared" si="449"/>
        <v>PRG-1044663</v>
      </c>
      <c r="E16398" t="s">
        <v>147</v>
      </c>
      <c r="F16398" t="s">
        <v>4</v>
      </c>
      <c r="G16398" t="str">
        <f>""</f>
        <v/>
      </c>
    </row>
    <row r="16399" spans="1:7" x14ac:dyDescent="0.25">
      <c r="A16399" t="s">
        <v>8</v>
      </c>
      <c r="B16399" s="1" t="str">
        <f>"000194522 - RICH FOODS-FOODBUY"</f>
        <v>000194522 - RICH FOODS-FOODBUY</v>
      </c>
      <c r="C16399" t="s">
        <v>237</v>
      </c>
      <c r="D16399" s="1" t="str">
        <f t="shared" si="449"/>
        <v>PRG-1044663</v>
      </c>
      <c r="E16399" t="s">
        <v>147</v>
      </c>
      <c r="F16399" t="s">
        <v>4</v>
      </c>
      <c r="G16399" t="str">
        <f>""</f>
        <v/>
      </c>
    </row>
    <row r="16400" spans="1:7" x14ac:dyDescent="0.25">
      <c r="A16400" t="s">
        <v>8</v>
      </c>
      <c r="B16400" s="1" t="str">
        <f>"000195474 - RICH FOODS-FOODBUY"</f>
        <v>000195474 - RICH FOODS-FOODBUY</v>
      </c>
      <c r="C16400" t="s">
        <v>237</v>
      </c>
      <c r="D16400" s="1" t="str">
        <f t="shared" si="449"/>
        <v>PRG-1044663</v>
      </c>
      <c r="E16400" t="s">
        <v>147</v>
      </c>
      <c r="F16400" t="s">
        <v>4</v>
      </c>
      <c r="G16400" t="str">
        <f>""</f>
        <v/>
      </c>
    </row>
    <row r="16401" spans="1:7" x14ac:dyDescent="0.25">
      <c r="A16401" t="s">
        <v>8</v>
      </c>
      <c r="B16401" s="1" t="str">
        <f>"000195878 - RICH FOODS-FOODBUY"</f>
        <v>000195878 - RICH FOODS-FOODBUY</v>
      </c>
      <c r="C16401" t="s">
        <v>237</v>
      </c>
      <c r="D16401" s="1" t="str">
        <f t="shared" si="449"/>
        <v>PRG-1044663</v>
      </c>
      <c r="E16401" t="s">
        <v>147</v>
      </c>
      <c r="F16401" t="s">
        <v>4</v>
      </c>
      <c r="G16401" t="str">
        <f>""</f>
        <v/>
      </c>
    </row>
    <row r="16402" spans="1:7" x14ac:dyDescent="0.25">
      <c r="A16402" t="s">
        <v>8</v>
      </c>
      <c r="B16402" s="1" t="str">
        <f>"000196635 - RICH FOODS-FOODBUY"</f>
        <v>000196635 - RICH FOODS-FOODBUY</v>
      </c>
      <c r="C16402" t="s">
        <v>237</v>
      </c>
      <c r="D16402" s="1" t="str">
        <f t="shared" si="449"/>
        <v>PRG-1044663</v>
      </c>
      <c r="E16402" t="s">
        <v>147</v>
      </c>
      <c r="F16402" t="s">
        <v>4</v>
      </c>
      <c r="G16402" t="str">
        <f>""</f>
        <v/>
      </c>
    </row>
    <row r="16403" spans="1:7" x14ac:dyDescent="0.25">
      <c r="A16403" t="s">
        <v>8</v>
      </c>
      <c r="B16403" s="1" t="str">
        <f>"000197886 - RICH FOODS-FOODBUY"</f>
        <v>000197886 - RICH FOODS-FOODBUY</v>
      </c>
      <c r="C16403" t="s">
        <v>237</v>
      </c>
      <c r="D16403" s="1" t="str">
        <f t="shared" si="449"/>
        <v>PRG-1044663</v>
      </c>
      <c r="E16403" t="s">
        <v>147</v>
      </c>
      <c r="F16403" t="s">
        <v>4</v>
      </c>
      <c r="G16403" t="str">
        <f>""</f>
        <v/>
      </c>
    </row>
    <row r="16404" spans="1:7" x14ac:dyDescent="0.25">
      <c r="A16404" t="s">
        <v>8</v>
      </c>
      <c r="B16404" s="1" t="str">
        <f>"000203011 - RICH FOODS-FOODBUY"</f>
        <v>000203011 - RICH FOODS-FOODBUY</v>
      </c>
      <c r="C16404" t="s">
        <v>237</v>
      </c>
      <c r="D16404" s="1" t="str">
        <f t="shared" si="449"/>
        <v>PRG-1044663</v>
      </c>
      <c r="E16404" t="s">
        <v>147</v>
      </c>
      <c r="F16404" t="s">
        <v>4</v>
      </c>
      <c r="G16404" t="str">
        <f>""</f>
        <v/>
      </c>
    </row>
    <row r="16405" spans="1:7" x14ac:dyDescent="0.25">
      <c r="A16405" t="s">
        <v>8</v>
      </c>
      <c r="B16405" s="1" t="str">
        <f>"000204067 - RICH FOODS BB-FOODBUY"</f>
        <v>000204067 - RICH FOODS BB-FOODBUY</v>
      </c>
      <c r="C16405" t="s">
        <v>209</v>
      </c>
      <c r="D16405" s="1" t="str">
        <f t="shared" si="449"/>
        <v>PRG-1044663</v>
      </c>
      <c r="E16405" t="s">
        <v>147</v>
      </c>
      <c r="F16405" t="s">
        <v>4</v>
      </c>
      <c r="G16405" t="str">
        <f>""</f>
        <v/>
      </c>
    </row>
    <row r="16406" spans="1:7" x14ac:dyDescent="0.25">
      <c r="A16406" t="s">
        <v>8</v>
      </c>
      <c r="B16406" s="1" t="str">
        <f>"000204248 - RICH FOODS-FOODBUY"</f>
        <v>000204248 - RICH FOODS-FOODBUY</v>
      </c>
      <c r="C16406" t="s">
        <v>237</v>
      </c>
      <c r="D16406" s="1" t="str">
        <f t="shared" si="449"/>
        <v>PRG-1044663</v>
      </c>
      <c r="E16406" t="s">
        <v>147</v>
      </c>
      <c r="F16406" t="s">
        <v>4</v>
      </c>
      <c r="G16406" t="str">
        <f>""</f>
        <v/>
      </c>
    </row>
    <row r="16407" spans="1:7" x14ac:dyDescent="0.25">
      <c r="A16407" t="s">
        <v>8</v>
      </c>
      <c r="B16407" s="1" t="str">
        <f>"000205232 - RICH FOODS-FOODBUY"</f>
        <v>000205232 - RICH FOODS-FOODBUY</v>
      </c>
      <c r="C16407" t="s">
        <v>237</v>
      </c>
      <c r="D16407" s="1" t="str">
        <f t="shared" si="449"/>
        <v>PRG-1044663</v>
      </c>
      <c r="E16407" t="s">
        <v>147</v>
      </c>
      <c r="F16407" t="s">
        <v>4</v>
      </c>
      <c r="G16407" t="str">
        <f>""</f>
        <v/>
      </c>
    </row>
    <row r="16408" spans="1:7" x14ac:dyDescent="0.25">
      <c r="A16408" t="s">
        <v>8</v>
      </c>
      <c r="B16408" s="1" t="str">
        <f>"000206992 - RICH FOODS-FOODBUY"</f>
        <v>000206992 - RICH FOODS-FOODBUY</v>
      </c>
      <c r="C16408" t="s">
        <v>237</v>
      </c>
      <c r="D16408" s="1" t="str">
        <f t="shared" si="449"/>
        <v>PRG-1044663</v>
      </c>
      <c r="E16408" t="s">
        <v>147</v>
      </c>
      <c r="F16408" t="s">
        <v>4</v>
      </c>
      <c r="G16408" t="str">
        <f>""</f>
        <v/>
      </c>
    </row>
    <row r="16409" spans="1:7" x14ac:dyDescent="0.25">
      <c r="A16409" t="s">
        <v>8</v>
      </c>
      <c r="B16409" s="1" t="str">
        <f>"000207751 - RICH FOODS - FOODBUY"</f>
        <v>000207751 - RICH FOODS - FOODBUY</v>
      </c>
      <c r="C16409" t="s">
        <v>146</v>
      </c>
      <c r="D16409" s="1" t="str">
        <f t="shared" si="449"/>
        <v>PRG-1044663</v>
      </c>
      <c r="E16409" t="s">
        <v>147</v>
      </c>
      <c r="F16409" t="s">
        <v>4</v>
      </c>
      <c r="G16409" t="str">
        <f>""</f>
        <v/>
      </c>
    </row>
    <row r="16410" spans="1:7" x14ac:dyDescent="0.25">
      <c r="A16410" t="s">
        <v>8</v>
      </c>
      <c r="B16410" s="1" t="str">
        <f>"000211130 - RICH FOODS-FOODBUY"</f>
        <v>000211130 - RICH FOODS-FOODBUY</v>
      </c>
      <c r="C16410" t="s">
        <v>237</v>
      </c>
      <c r="D16410" s="1" t="str">
        <f t="shared" si="449"/>
        <v>PRG-1044663</v>
      </c>
      <c r="E16410" t="s">
        <v>147</v>
      </c>
      <c r="F16410" t="s">
        <v>4</v>
      </c>
      <c r="G16410" t="str">
        <f>""</f>
        <v/>
      </c>
    </row>
    <row r="16411" spans="1:7" x14ac:dyDescent="0.25">
      <c r="A16411" t="s">
        <v>8</v>
      </c>
      <c r="B16411" s="1" t="str">
        <f>"000211697 - RICH FOODS-FOODBUY"</f>
        <v>000211697 - RICH FOODS-FOODBUY</v>
      </c>
      <c r="C16411" t="s">
        <v>237</v>
      </c>
      <c r="D16411" s="1" t="str">
        <f t="shared" si="449"/>
        <v>PRG-1044663</v>
      </c>
      <c r="E16411" t="s">
        <v>147</v>
      </c>
      <c r="F16411" t="s">
        <v>4</v>
      </c>
      <c r="G16411" t="str">
        <f>""</f>
        <v/>
      </c>
    </row>
    <row r="16412" spans="1:7" x14ac:dyDescent="0.25">
      <c r="A16412" t="s">
        <v>8</v>
      </c>
      <c r="B16412" s="1" t="str">
        <f>"000213129 - RICH FOODS-FOODBUY"</f>
        <v>000213129 - RICH FOODS-FOODBUY</v>
      </c>
      <c r="C16412" t="s">
        <v>237</v>
      </c>
      <c r="D16412" s="1" t="str">
        <f t="shared" si="449"/>
        <v>PRG-1044663</v>
      </c>
      <c r="E16412" t="s">
        <v>147</v>
      </c>
      <c r="F16412" t="s">
        <v>4</v>
      </c>
      <c r="G16412" t="str">
        <f>""</f>
        <v/>
      </c>
    </row>
    <row r="16413" spans="1:7" x14ac:dyDescent="0.25">
      <c r="A16413" t="s">
        <v>8</v>
      </c>
      <c r="B16413" s="1" t="str">
        <f>"000214502 - RICH FOODS-FOODBUY"</f>
        <v>000214502 - RICH FOODS-FOODBUY</v>
      </c>
      <c r="C16413" t="s">
        <v>237</v>
      </c>
      <c r="D16413" s="1" t="str">
        <f t="shared" si="449"/>
        <v>PRG-1044663</v>
      </c>
      <c r="E16413" t="s">
        <v>147</v>
      </c>
      <c r="F16413" t="s">
        <v>4</v>
      </c>
      <c r="G16413" t="str">
        <f>""</f>
        <v/>
      </c>
    </row>
    <row r="16414" spans="1:7" x14ac:dyDescent="0.25">
      <c r="A16414" t="s">
        <v>8</v>
      </c>
      <c r="B16414" s="1" t="str">
        <f>"000214826 - RICH FOODS-FOODBUY"</f>
        <v>000214826 - RICH FOODS-FOODBUY</v>
      </c>
      <c r="C16414" t="s">
        <v>237</v>
      </c>
      <c r="D16414" s="1" t="str">
        <f t="shared" si="449"/>
        <v>PRG-1044663</v>
      </c>
      <c r="E16414" t="s">
        <v>147</v>
      </c>
      <c r="F16414" t="s">
        <v>4</v>
      </c>
      <c r="G16414" t="str">
        <f>""</f>
        <v/>
      </c>
    </row>
    <row r="16415" spans="1:7" x14ac:dyDescent="0.25">
      <c r="A16415" t="s">
        <v>8</v>
      </c>
      <c r="B16415" s="1" t="str">
        <f>"000215622 - RICH FOODS-FOODBUY"</f>
        <v>000215622 - RICH FOODS-FOODBUY</v>
      </c>
      <c r="C16415" t="s">
        <v>237</v>
      </c>
      <c r="D16415" s="1" t="str">
        <f t="shared" si="449"/>
        <v>PRG-1044663</v>
      </c>
      <c r="E16415" t="s">
        <v>147</v>
      </c>
      <c r="F16415" t="s">
        <v>4</v>
      </c>
      <c r="G16415" t="str">
        <f>""</f>
        <v/>
      </c>
    </row>
    <row r="16416" spans="1:7" x14ac:dyDescent="0.25">
      <c r="A16416" t="s">
        <v>8</v>
      </c>
      <c r="B16416" s="1" t="str">
        <f>"000216484 - RICH FOODS-FOODBUY"</f>
        <v>000216484 - RICH FOODS-FOODBUY</v>
      </c>
      <c r="C16416" t="s">
        <v>237</v>
      </c>
      <c r="D16416" s="1" t="str">
        <f t="shared" si="449"/>
        <v>PRG-1044663</v>
      </c>
      <c r="E16416" t="s">
        <v>147</v>
      </c>
      <c r="F16416" t="s">
        <v>4</v>
      </c>
      <c r="G16416" t="str">
        <f>""</f>
        <v/>
      </c>
    </row>
    <row r="16417" spans="1:7" x14ac:dyDescent="0.25">
      <c r="A16417" t="s">
        <v>8</v>
      </c>
      <c r="B16417" s="1" t="str">
        <f>"000220674 - RICH FOODS-FOODBUY"</f>
        <v>000220674 - RICH FOODS-FOODBUY</v>
      </c>
      <c r="C16417" t="s">
        <v>237</v>
      </c>
      <c r="D16417" s="1" t="str">
        <f t="shared" si="449"/>
        <v>PRG-1044663</v>
      </c>
      <c r="E16417" t="s">
        <v>147</v>
      </c>
      <c r="F16417" t="s">
        <v>4</v>
      </c>
      <c r="G16417" t="str">
        <f>""</f>
        <v/>
      </c>
    </row>
    <row r="16418" spans="1:7" x14ac:dyDescent="0.25">
      <c r="A16418" t="s">
        <v>8</v>
      </c>
      <c r="B16418" s="1" t="str">
        <f>"000221689 - RICH FOODS-FOODBUY"</f>
        <v>000221689 - RICH FOODS-FOODBUY</v>
      </c>
      <c r="C16418" t="s">
        <v>237</v>
      </c>
      <c r="D16418" s="1" t="str">
        <f t="shared" si="449"/>
        <v>PRG-1044663</v>
      </c>
      <c r="E16418" t="s">
        <v>147</v>
      </c>
      <c r="F16418" t="s">
        <v>4</v>
      </c>
      <c r="G16418" t="str">
        <f>""</f>
        <v/>
      </c>
    </row>
    <row r="16419" spans="1:7" x14ac:dyDescent="0.25">
      <c r="A16419" t="s">
        <v>8</v>
      </c>
      <c r="B16419" s="1" t="str">
        <f>"000222331 - RICH FOODS-FOODBUY"</f>
        <v>000222331 - RICH FOODS-FOODBUY</v>
      </c>
      <c r="C16419" t="s">
        <v>237</v>
      </c>
      <c r="D16419" s="1" t="str">
        <f t="shared" si="449"/>
        <v>PRG-1044663</v>
      </c>
      <c r="E16419" t="s">
        <v>147</v>
      </c>
      <c r="F16419" t="s">
        <v>4</v>
      </c>
      <c r="G16419" t="str">
        <f>""</f>
        <v/>
      </c>
    </row>
    <row r="16420" spans="1:7" x14ac:dyDescent="0.25">
      <c r="A16420" t="s">
        <v>8</v>
      </c>
      <c r="B16420" s="1" t="str">
        <f>"000223624 - RICH FOODS-FOODBUY"</f>
        <v>000223624 - RICH FOODS-FOODBUY</v>
      </c>
      <c r="C16420" t="s">
        <v>237</v>
      </c>
      <c r="D16420" s="1" t="str">
        <f t="shared" si="449"/>
        <v>PRG-1044663</v>
      </c>
      <c r="E16420" t="s">
        <v>147</v>
      </c>
      <c r="F16420" t="s">
        <v>4</v>
      </c>
      <c r="G16420" t="str">
        <f>""</f>
        <v/>
      </c>
    </row>
    <row r="16421" spans="1:7" x14ac:dyDescent="0.25">
      <c r="A16421" t="s">
        <v>8</v>
      </c>
      <c r="B16421" s="1" t="str">
        <f>"000227198 - RICH FOODS-FOODBUY"</f>
        <v>000227198 - RICH FOODS-FOODBUY</v>
      </c>
      <c r="C16421" t="s">
        <v>237</v>
      </c>
      <c r="D16421" s="1" t="str">
        <f t="shared" si="449"/>
        <v>PRG-1044663</v>
      </c>
      <c r="E16421" t="s">
        <v>147</v>
      </c>
      <c r="F16421" t="s">
        <v>4</v>
      </c>
      <c r="G16421" t="str">
        <f>""</f>
        <v/>
      </c>
    </row>
    <row r="16422" spans="1:7" x14ac:dyDescent="0.25">
      <c r="A16422" t="s">
        <v>8</v>
      </c>
      <c r="B16422" s="1" t="str">
        <f>"000228670 - RICH FOODS-FOODBUY"</f>
        <v>000228670 - RICH FOODS-FOODBUY</v>
      </c>
      <c r="C16422" t="s">
        <v>237</v>
      </c>
      <c r="D16422" s="1" t="str">
        <f t="shared" si="449"/>
        <v>PRG-1044663</v>
      </c>
      <c r="E16422" t="s">
        <v>147</v>
      </c>
      <c r="F16422" t="s">
        <v>4</v>
      </c>
      <c r="G16422" t="str">
        <f>""</f>
        <v/>
      </c>
    </row>
    <row r="16423" spans="1:7" x14ac:dyDescent="0.25">
      <c r="A16423" t="s">
        <v>8</v>
      </c>
      <c r="B16423" s="1" t="str">
        <f>"000229952 - RICH FOODS-FOODBUY"</f>
        <v>000229952 - RICH FOODS-FOODBUY</v>
      </c>
      <c r="C16423" t="s">
        <v>237</v>
      </c>
      <c r="D16423" s="1" t="str">
        <f t="shared" si="449"/>
        <v>PRG-1044663</v>
      </c>
      <c r="E16423" t="s">
        <v>147</v>
      </c>
      <c r="F16423" t="s">
        <v>4</v>
      </c>
      <c r="G16423" t="str">
        <f>""</f>
        <v/>
      </c>
    </row>
    <row r="16424" spans="1:7" x14ac:dyDescent="0.25">
      <c r="A16424" t="s">
        <v>8</v>
      </c>
      <c r="B16424" s="1" t="str">
        <f>"000231879 - RICH FOODS-FOODBUY"</f>
        <v>000231879 - RICH FOODS-FOODBUY</v>
      </c>
      <c r="C16424" t="s">
        <v>237</v>
      </c>
      <c r="D16424" s="1" t="str">
        <f t="shared" si="449"/>
        <v>PRG-1044663</v>
      </c>
      <c r="E16424" t="s">
        <v>147</v>
      </c>
      <c r="F16424" t="s">
        <v>4</v>
      </c>
      <c r="G16424" t="str">
        <f>""</f>
        <v/>
      </c>
    </row>
    <row r="16425" spans="1:7" x14ac:dyDescent="0.25">
      <c r="A16425" t="s">
        <v>8</v>
      </c>
      <c r="B16425" s="1" t="str">
        <f>"000233842 - RICH FOODS-FOODBUY"</f>
        <v>000233842 - RICH FOODS-FOODBUY</v>
      </c>
      <c r="C16425" t="s">
        <v>237</v>
      </c>
      <c r="D16425" s="1" t="str">
        <f t="shared" si="449"/>
        <v>PRG-1044663</v>
      </c>
      <c r="E16425" t="s">
        <v>147</v>
      </c>
      <c r="F16425" t="s">
        <v>4</v>
      </c>
      <c r="G16425" t="str">
        <f>""</f>
        <v/>
      </c>
    </row>
    <row r="16426" spans="1:7" x14ac:dyDescent="0.25">
      <c r="A16426" t="s">
        <v>8</v>
      </c>
      <c r="B16426" s="1" t="str">
        <f>"000237451 - RICH FOODS-FOODBUY"</f>
        <v>000237451 - RICH FOODS-FOODBUY</v>
      </c>
      <c r="C16426" t="s">
        <v>237</v>
      </c>
      <c r="D16426" s="1" t="str">
        <f t="shared" si="449"/>
        <v>PRG-1044663</v>
      </c>
      <c r="E16426" t="s">
        <v>147</v>
      </c>
      <c r="F16426" t="s">
        <v>4</v>
      </c>
      <c r="G16426" t="str">
        <f>""</f>
        <v/>
      </c>
    </row>
    <row r="16427" spans="1:7" x14ac:dyDescent="0.25">
      <c r="A16427" t="s">
        <v>8</v>
      </c>
      <c r="B16427" s="1" t="str">
        <f>"000239296 - RICH FOODS-FOODBUY"</f>
        <v>000239296 - RICH FOODS-FOODBUY</v>
      </c>
      <c r="C16427" t="s">
        <v>237</v>
      </c>
      <c r="D16427" s="1" t="str">
        <f t="shared" si="449"/>
        <v>PRG-1044663</v>
      </c>
      <c r="E16427" t="s">
        <v>147</v>
      </c>
      <c r="F16427" t="s">
        <v>4</v>
      </c>
      <c r="G16427" t="str">
        <f>""</f>
        <v/>
      </c>
    </row>
    <row r="16428" spans="1:7" x14ac:dyDescent="0.25">
      <c r="A16428" t="s">
        <v>8</v>
      </c>
      <c r="B16428" s="1" t="str">
        <f>"000239827 - RICH FOODS-FOODBUY"</f>
        <v>000239827 - RICH FOODS-FOODBUY</v>
      </c>
      <c r="C16428" t="s">
        <v>237</v>
      </c>
      <c r="D16428" s="1" t="str">
        <f t="shared" si="449"/>
        <v>PRG-1044663</v>
      </c>
      <c r="E16428" t="s">
        <v>147</v>
      </c>
      <c r="F16428" t="s">
        <v>4</v>
      </c>
      <c r="G16428" t="str">
        <f>""</f>
        <v/>
      </c>
    </row>
    <row r="16429" spans="1:7" x14ac:dyDescent="0.25">
      <c r="A16429" t="s">
        <v>8</v>
      </c>
      <c r="B16429" s="1" t="str">
        <f>"000240685 - RICH FOODS-FOODBUY"</f>
        <v>000240685 - RICH FOODS-FOODBUY</v>
      </c>
      <c r="C16429" t="s">
        <v>237</v>
      </c>
      <c r="D16429" s="1" t="str">
        <f t="shared" si="449"/>
        <v>PRG-1044663</v>
      </c>
      <c r="E16429" t="s">
        <v>147</v>
      </c>
      <c r="F16429" t="s">
        <v>4</v>
      </c>
      <c r="G16429" t="str">
        <f>""</f>
        <v/>
      </c>
    </row>
    <row r="16430" spans="1:7" x14ac:dyDescent="0.25">
      <c r="A16430" t="s">
        <v>8</v>
      </c>
      <c r="B16430" s="1" t="str">
        <f>"000241996 - RICH FOODS-FOODBUY"</f>
        <v>000241996 - RICH FOODS-FOODBUY</v>
      </c>
      <c r="C16430" t="s">
        <v>237</v>
      </c>
      <c r="D16430" s="1" t="str">
        <f t="shared" si="449"/>
        <v>PRG-1044663</v>
      </c>
      <c r="E16430" t="s">
        <v>147</v>
      </c>
      <c r="F16430" t="s">
        <v>4</v>
      </c>
      <c r="G16430" t="str">
        <f>""</f>
        <v/>
      </c>
    </row>
    <row r="16431" spans="1:7" x14ac:dyDescent="0.25">
      <c r="A16431" t="s">
        <v>8</v>
      </c>
      <c r="B16431" s="1" t="str">
        <f>"000245694 - RICH FOODS-FOODBUY"</f>
        <v>000245694 - RICH FOODS-FOODBUY</v>
      </c>
      <c r="C16431" t="s">
        <v>237</v>
      </c>
      <c r="D16431" s="1" t="str">
        <f t="shared" si="449"/>
        <v>PRG-1044663</v>
      </c>
      <c r="E16431" t="s">
        <v>147</v>
      </c>
      <c r="F16431" t="s">
        <v>4</v>
      </c>
      <c r="G16431" t="str">
        <f>""</f>
        <v/>
      </c>
    </row>
    <row r="16432" spans="1:7" x14ac:dyDescent="0.25">
      <c r="A16432" t="s">
        <v>8</v>
      </c>
      <c r="B16432" s="1" t="str">
        <f>"000245750 - RICH FOODS-FOODBUY"</f>
        <v>000245750 - RICH FOODS-FOODBUY</v>
      </c>
      <c r="C16432" t="s">
        <v>237</v>
      </c>
      <c r="D16432" s="1" t="str">
        <f t="shared" si="449"/>
        <v>PRG-1044663</v>
      </c>
      <c r="E16432" t="s">
        <v>147</v>
      </c>
      <c r="F16432" t="s">
        <v>4</v>
      </c>
      <c r="G16432" t="str">
        <f>""</f>
        <v/>
      </c>
    </row>
    <row r="16433" spans="1:7" x14ac:dyDescent="0.25">
      <c r="A16433" t="s">
        <v>8</v>
      </c>
      <c r="B16433" s="1" t="str">
        <f>"000247546 - RICH FOODS-FOODBUY"</f>
        <v>000247546 - RICH FOODS-FOODBUY</v>
      </c>
      <c r="C16433" t="s">
        <v>237</v>
      </c>
      <c r="D16433" s="1" t="str">
        <f t="shared" si="449"/>
        <v>PRG-1044663</v>
      </c>
      <c r="E16433" t="s">
        <v>147</v>
      </c>
      <c r="F16433" t="s">
        <v>4</v>
      </c>
      <c r="G16433" t="str">
        <f>""</f>
        <v/>
      </c>
    </row>
    <row r="16434" spans="1:7" x14ac:dyDescent="0.25">
      <c r="A16434" t="s">
        <v>8</v>
      </c>
      <c r="B16434" s="1" t="str">
        <f>"000247665 - RICH FOODS-FOODBUY"</f>
        <v>000247665 - RICH FOODS-FOODBUY</v>
      </c>
      <c r="C16434" t="s">
        <v>237</v>
      </c>
      <c r="D16434" s="1" t="str">
        <f t="shared" si="449"/>
        <v>PRG-1044663</v>
      </c>
      <c r="E16434" t="s">
        <v>147</v>
      </c>
      <c r="F16434" t="s">
        <v>4</v>
      </c>
      <c r="G16434" t="str">
        <f>""</f>
        <v/>
      </c>
    </row>
    <row r="16435" spans="1:7" x14ac:dyDescent="0.25">
      <c r="A16435" t="s">
        <v>8</v>
      </c>
      <c r="B16435" s="1" t="str">
        <f>"000248988 - RICH FOODS-FOODBUY"</f>
        <v>000248988 - RICH FOODS-FOODBUY</v>
      </c>
      <c r="C16435" t="s">
        <v>237</v>
      </c>
      <c r="D16435" s="1" t="str">
        <f t="shared" si="449"/>
        <v>PRG-1044663</v>
      </c>
      <c r="E16435" t="s">
        <v>147</v>
      </c>
      <c r="F16435" t="s">
        <v>4</v>
      </c>
      <c r="G16435" t="str">
        <f>""</f>
        <v/>
      </c>
    </row>
    <row r="16436" spans="1:7" x14ac:dyDescent="0.25">
      <c r="A16436" t="s">
        <v>8</v>
      </c>
      <c r="B16436" s="1" t="str">
        <f>"000249406 - RICH FOODS-FOODBUY"</f>
        <v>000249406 - RICH FOODS-FOODBUY</v>
      </c>
      <c r="C16436" t="s">
        <v>237</v>
      </c>
      <c r="D16436" s="1" t="str">
        <f t="shared" si="449"/>
        <v>PRG-1044663</v>
      </c>
      <c r="E16436" t="s">
        <v>147</v>
      </c>
      <c r="F16436" t="s">
        <v>4</v>
      </c>
      <c r="G16436" t="str">
        <f>""</f>
        <v/>
      </c>
    </row>
    <row r="16437" spans="1:7" x14ac:dyDescent="0.25">
      <c r="A16437" t="s">
        <v>8</v>
      </c>
      <c r="B16437" s="1" t="str">
        <f>"000249993 - RICH FOODS-FOODBUY"</f>
        <v>000249993 - RICH FOODS-FOODBUY</v>
      </c>
      <c r="C16437" t="s">
        <v>237</v>
      </c>
      <c r="D16437" s="1" t="str">
        <f t="shared" si="449"/>
        <v>PRG-1044663</v>
      </c>
      <c r="E16437" t="s">
        <v>147</v>
      </c>
      <c r="F16437" t="s">
        <v>4</v>
      </c>
      <c r="G16437" t="str">
        <f>""</f>
        <v/>
      </c>
    </row>
    <row r="16438" spans="1:7" x14ac:dyDescent="0.25">
      <c r="A16438" t="s">
        <v>8</v>
      </c>
      <c r="B16438" s="1" t="str">
        <f>"000251816 - RICH FOODS-FOODBUY"</f>
        <v>000251816 - RICH FOODS-FOODBUY</v>
      </c>
      <c r="C16438" t="s">
        <v>237</v>
      </c>
      <c r="D16438" s="1" t="str">
        <f t="shared" si="449"/>
        <v>PRG-1044663</v>
      </c>
      <c r="E16438" t="s">
        <v>147</v>
      </c>
      <c r="F16438" t="s">
        <v>4</v>
      </c>
      <c r="G16438" t="str">
        <f>""</f>
        <v/>
      </c>
    </row>
    <row r="16439" spans="1:7" x14ac:dyDescent="0.25">
      <c r="A16439" t="s">
        <v>8</v>
      </c>
      <c r="B16439" s="1" t="str">
        <f>"000251984 - RICH FOODS-FOODBUY"</f>
        <v>000251984 - RICH FOODS-FOODBUY</v>
      </c>
      <c r="C16439" t="s">
        <v>237</v>
      </c>
      <c r="D16439" s="1" t="str">
        <f t="shared" si="449"/>
        <v>PRG-1044663</v>
      </c>
      <c r="E16439" t="s">
        <v>147</v>
      </c>
      <c r="F16439" t="s">
        <v>4</v>
      </c>
      <c r="G16439" t="str">
        <f>""</f>
        <v/>
      </c>
    </row>
    <row r="16440" spans="1:7" x14ac:dyDescent="0.25">
      <c r="A16440" t="s">
        <v>8</v>
      </c>
      <c r="B16440" s="1" t="str">
        <f>"000252891 - RICH FOODS-FOODBUY"</f>
        <v>000252891 - RICH FOODS-FOODBUY</v>
      </c>
      <c r="C16440" t="s">
        <v>237</v>
      </c>
      <c r="D16440" s="1" t="str">
        <f t="shared" si="449"/>
        <v>PRG-1044663</v>
      </c>
      <c r="E16440" t="s">
        <v>147</v>
      </c>
      <c r="F16440" t="s">
        <v>4</v>
      </c>
      <c r="G16440" t="str">
        <f>""</f>
        <v/>
      </c>
    </row>
    <row r="16441" spans="1:7" x14ac:dyDescent="0.25">
      <c r="A16441" t="s">
        <v>8</v>
      </c>
      <c r="B16441" s="1" t="str">
        <f>"000254745 - RICH FOODS-FOODBUY"</f>
        <v>000254745 - RICH FOODS-FOODBUY</v>
      </c>
      <c r="C16441" t="s">
        <v>237</v>
      </c>
      <c r="D16441" s="1" t="str">
        <f t="shared" si="449"/>
        <v>PRG-1044663</v>
      </c>
      <c r="E16441" t="s">
        <v>147</v>
      </c>
      <c r="F16441" t="s">
        <v>4</v>
      </c>
      <c r="G16441" t="str">
        <f>""</f>
        <v/>
      </c>
    </row>
    <row r="16442" spans="1:7" x14ac:dyDescent="0.25">
      <c r="A16442" t="s">
        <v>8</v>
      </c>
      <c r="B16442" s="1" t="str">
        <f>"000255201 - RICH FOODS-FOODBUY"</f>
        <v>000255201 - RICH FOODS-FOODBUY</v>
      </c>
      <c r="C16442" t="s">
        <v>237</v>
      </c>
      <c r="D16442" s="1" t="str">
        <f t="shared" si="449"/>
        <v>PRG-1044663</v>
      </c>
      <c r="E16442" t="s">
        <v>147</v>
      </c>
      <c r="F16442" t="s">
        <v>4</v>
      </c>
      <c r="G16442" t="str">
        <f>""</f>
        <v/>
      </c>
    </row>
    <row r="16443" spans="1:7" x14ac:dyDescent="0.25">
      <c r="A16443" t="s">
        <v>8</v>
      </c>
      <c r="B16443" s="1" t="str">
        <f>"000256355 - RICH FOODS-FOODBUY"</f>
        <v>000256355 - RICH FOODS-FOODBUY</v>
      </c>
      <c r="C16443" t="s">
        <v>237</v>
      </c>
      <c r="D16443" s="1" t="str">
        <f t="shared" si="449"/>
        <v>PRG-1044663</v>
      </c>
      <c r="E16443" t="s">
        <v>147</v>
      </c>
      <c r="F16443" t="s">
        <v>4</v>
      </c>
      <c r="G16443" t="str">
        <f>""</f>
        <v/>
      </c>
    </row>
    <row r="16444" spans="1:7" x14ac:dyDescent="0.25">
      <c r="A16444" t="s">
        <v>8</v>
      </c>
      <c r="B16444" s="1" t="str">
        <f>"000256426 - RICH FOODS-FOODBUY"</f>
        <v>000256426 - RICH FOODS-FOODBUY</v>
      </c>
      <c r="C16444" t="s">
        <v>237</v>
      </c>
      <c r="D16444" s="1" t="str">
        <f t="shared" si="449"/>
        <v>PRG-1044663</v>
      </c>
      <c r="E16444" t="s">
        <v>147</v>
      </c>
      <c r="F16444" t="s">
        <v>4</v>
      </c>
      <c r="G16444" t="str">
        <f>""</f>
        <v/>
      </c>
    </row>
    <row r="16445" spans="1:7" x14ac:dyDescent="0.25">
      <c r="A16445" t="s">
        <v>8</v>
      </c>
      <c r="B16445" s="1" t="str">
        <f>"000256541 - RICH FOODS-FOODBUY"</f>
        <v>000256541 - RICH FOODS-FOODBUY</v>
      </c>
      <c r="C16445" t="s">
        <v>237</v>
      </c>
      <c r="D16445" s="1" t="str">
        <f t="shared" ref="D16445:D16508" si="450">"PRG-1044663"</f>
        <v>PRG-1044663</v>
      </c>
      <c r="E16445" t="s">
        <v>147</v>
      </c>
      <c r="F16445" t="s">
        <v>4</v>
      </c>
      <c r="G16445" t="str">
        <f>""</f>
        <v/>
      </c>
    </row>
    <row r="16446" spans="1:7" x14ac:dyDescent="0.25">
      <c r="A16446" t="s">
        <v>8</v>
      </c>
      <c r="B16446" s="1" t="str">
        <f>"000256747 - RICH FOODS-FOODBUY"</f>
        <v>000256747 - RICH FOODS-FOODBUY</v>
      </c>
      <c r="C16446" t="s">
        <v>237</v>
      </c>
      <c r="D16446" s="1" t="str">
        <f t="shared" si="450"/>
        <v>PRG-1044663</v>
      </c>
      <c r="E16446" t="s">
        <v>147</v>
      </c>
      <c r="F16446" t="s">
        <v>4</v>
      </c>
      <c r="G16446" t="str">
        <f>""</f>
        <v/>
      </c>
    </row>
    <row r="16447" spans="1:7" x14ac:dyDescent="0.25">
      <c r="A16447" t="s">
        <v>8</v>
      </c>
      <c r="B16447" s="1" t="str">
        <f>"000257365 - RICH FOODS-FOODBUY"</f>
        <v>000257365 - RICH FOODS-FOODBUY</v>
      </c>
      <c r="C16447" t="s">
        <v>237</v>
      </c>
      <c r="D16447" s="1" t="str">
        <f t="shared" si="450"/>
        <v>PRG-1044663</v>
      </c>
      <c r="E16447" t="s">
        <v>147</v>
      </c>
      <c r="F16447" t="s">
        <v>4</v>
      </c>
      <c r="G16447" t="str">
        <f>""</f>
        <v/>
      </c>
    </row>
    <row r="16448" spans="1:7" x14ac:dyDescent="0.25">
      <c r="A16448" t="s">
        <v>8</v>
      </c>
      <c r="B16448" s="1" t="str">
        <f>"000257394 - RICH FOODS-FOODBUY"</f>
        <v>000257394 - RICH FOODS-FOODBUY</v>
      </c>
      <c r="C16448" t="s">
        <v>237</v>
      </c>
      <c r="D16448" s="1" t="str">
        <f t="shared" si="450"/>
        <v>PRG-1044663</v>
      </c>
      <c r="E16448" t="s">
        <v>147</v>
      </c>
      <c r="F16448" t="s">
        <v>4</v>
      </c>
      <c r="G16448" t="str">
        <f>""</f>
        <v/>
      </c>
    </row>
    <row r="16449" spans="1:7" x14ac:dyDescent="0.25">
      <c r="A16449" t="s">
        <v>8</v>
      </c>
      <c r="B16449" s="1" t="str">
        <f>"000257849 - RICH FOODS-FOODBUY"</f>
        <v>000257849 - RICH FOODS-FOODBUY</v>
      </c>
      <c r="C16449" t="s">
        <v>237</v>
      </c>
      <c r="D16449" s="1" t="str">
        <f t="shared" si="450"/>
        <v>PRG-1044663</v>
      </c>
      <c r="E16449" t="s">
        <v>147</v>
      </c>
      <c r="F16449" t="s">
        <v>4</v>
      </c>
      <c r="G16449" t="str">
        <f>""</f>
        <v/>
      </c>
    </row>
    <row r="16450" spans="1:7" x14ac:dyDescent="0.25">
      <c r="A16450" t="s">
        <v>8</v>
      </c>
      <c r="B16450" s="1" t="str">
        <f>"000258046 - RICH FOODS-FOODBUY"</f>
        <v>000258046 - RICH FOODS-FOODBUY</v>
      </c>
      <c r="C16450" t="s">
        <v>237</v>
      </c>
      <c r="D16450" s="1" t="str">
        <f t="shared" si="450"/>
        <v>PRG-1044663</v>
      </c>
      <c r="E16450" t="s">
        <v>147</v>
      </c>
      <c r="F16450" t="s">
        <v>4</v>
      </c>
      <c r="G16450" t="str">
        <f>""</f>
        <v/>
      </c>
    </row>
    <row r="16451" spans="1:7" x14ac:dyDescent="0.25">
      <c r="A16451" t="s">
        <v>8</v>
      </c>
      <c r="B16451" s="1" t="str">
        <f>"000258159 - RICH FOODS-FOODBUY"</f>
        <v>000258159 - RICH FOODS-FOODBUY</v>
      </c>
      <c r="C16451" t="s">
        <v>237</v>
      </c>
      <c r="D16451" s="1" t="str">
        <f t="shared" si="450"/>
        <v>PRG-1044663</v>
      </c>
      <c r="E16451" t="s">
        <v>147</v>
      </c>
      <c r="F16451" t="s">
        <v>4</v>
      </c>
      <c r="G16451" t="str">
        <f>""</f>
        <v/>
      </c>
    </row>
    <row r="16452" spans="1:7" x14ac:dyDescent="0.25">
      <c r="A16452" t="s">
        <v>8</v>
      </c>
      <c r="B16452" s="1" t="str">
        <f>"000258791 - RICH FOODS-FOODBUY"</f>
        <v>000258791 - RICH FOODS-FOODBUY</v>
      </c>
      <c r="C16452" t="s">
        <v>237</v>
      </c>
      <c r="D16452" s="1" t="str">
        <f t="shared" si="450"/>
        <v>PRG-1044663</v>
      </c>
      <c r="E16452" t="s">
        <v>147</v>
      </c>
      <c r="F16452" t="s">
        <v>4</v>
      </c>
      <c r="G16452" t="str">
        <f>""</f>
        <v/>
      </c>
    </row>
    <row r="16453" spans="1:7" x14ac:dyDescent="0.25">
      <c r="A16453" t="s">
        <v>8</v>
      </c>
      <c r="B16453" s="1" t="str">
        <f>"000258897 - RICH FOODS-FOODBUY"</f>
        <v>000258897 - RICH FOODS-FOODBUY</v>
      </c>
      <c r="C16453" t="s">
        <v>237</v>
      </c>
      <c r="D16453" s="1" t="str">
        <f t="shared" si="450"/>
        <v>PRG-1044663</v>
      </c>
      <c r="E16453" t="s">
        <v>147</v>
      </c>
      <c r="F16453" t="s">
        <v>4</v>
      </c>
      <c r="G16453" t="str">
        <f>""</f>
        <v/>
      </c>
    </row>
    <row r="16454" spans="1:7" x14ac:dyDescent="0.25">
      <c r="A16454" t="s">
        <v>8</v>
      </c>
      <c r="B16454" s="1" t="str">
        <f>"000259390 - RICH FOODS-FOODBUY"</f>
        <v>000259390 - RICH FOODS-FOODBUY</v>
      </c>
      <c r="C16454" t="s">
        <v>237</v>
      </c>
      <c r="D16454" s="1" t="str">
        <f t="shared" si="450"/>
        <v>PRG-1044663</v>
      </c>
      <c r="E16454" t="s">
        <v>147</v>
      </c>
      <c r="F16454" t="s">
        <v>4</v>
      </c>
      <c r="G16454" t="str">
        <f>""</f>
        <v/>
      </c>
    </row>
    <row r="16455" spans="1:7" x14ac:dyDescent="0.25">
      <c r="A16455" t="s">
        <v>8</v>
      </c>
      <c r="B16455" s="1" t="str">
        <f>"000259673 - RICH FOODS-FOODBUY"</f>
        <v>000259673 - RICH FOODS-FOODBUY</v>
      </c>
      <c r="C16455" t="s">
        <v>237</v>
      </c>
      <c r="D16455" s="1" t="str">
        <f t="shared" si="450"/>
        <v>PRG-1044663</v>
      </c>
      <c r="E16455" t="s">
        <v>147</v>
      </c>
      <c r="F16455" t="s">
        <v>4</v>
      </c>
      <c r="G16455" t="str">
        <f>""</f>
        <v/>
      </c>
    </row>
    <row r="16456" spans="1:7" x14ac:dyDescent="0.25">
      <c r="A16456" t="s">
        <v>8</v>
      </c>
      <c r="B16456" s="1" t="str">
        <f>"000259935 - RICH FOODS-FOODBUY"</f>
        <v>000259935 - RICH FOODS-FOODBUY</v>
      </c>
      <c r="C16456" t="s">
        <v>237</v>
      </c>
      <c r="D16456" s="1" t="str">
        <f t="shared" si="450"/>
        <v>PRG-1044663</v>
      </c>
      <c r="E16456" t="s">
        <v>147</v>
      </c>
      <c r="F16456" t="s">
        <v>4</v>
      </c>
      <c r="G16456" t="str">
        <f>""</f>
        <v/>
      </c>
    </row>
    <row r="16457" spans="1:7" x14ac:dyDescent="0.25">
      <c r="A16457" t="s">
        <v>8</v>
      </c>
      <c r="B16457" s="1" t="str">
        <f>"000259960 - RICH FOODS-FOODBUY"</f>
        <v>000259960 - RICH FOODS-FOODBUY</v>
      </c>
      <c r="C16457" t="s">
        <v>237</v>
      </c>
      <c r="D16457" s="1" t="str">
        <f t="shared" si="450"/>
        <v>PRG-1044663</v>
      </c>
      <c r="E16457" t="s">
        <v>147</v>
      </c>
      <c r="F16457" t="s">
        <v>4</v>
      </c>
      <c r="G16457" t="str">
        <f>""</f>
        <v/>
      </c>
    </row>
    <row r="16458" spans="1:7" x14ac:dyDescent="0.25">
      <c r="A16458" t="s">
        <v>8</v>
      </c>
      <c r="B16458" s="1" t="str">
        <f>"000260037 - RICH FOODS-FOODBUY"</f>
        <v>000260037 - RICH FOODS-FOODBUY</v>
      </c>
      <c r="C16458" t="s">
        <v>237</v>
      </c>
      <c r="D16458" s="1" t="str">
        <f t="shared" si="450"/>
        <v>PRG-1044663</v>
      </c>
      <c r="E16458" t="s">
        <v>147</v>
      </c>
      <c r="F16458" t="s">
        <v>4</v>
      </c>
      <c r="G16458" t="str">
        <f>""</f>
        <v/>
      </c>
    </row>
    <row r="16459" spans="1:7" x14ac:dyDescent="0.25">
      <c r="A16459" t="s">
        <v>8</v>
      </c>
      <c r="B16459" s="1" t="str">
        <f>"000260455 - RICH FOODS-FOODBUY"</f>
        <v>000260455 - RICH FOODS-FOODBUY</v>
      </c>
      <c r="C16459" t="s">
        <v>237</v>
      </c>
      <c r="D16459" s="1" t="str">
        <f t="shared" si="450"/>
        <v>PRG-1044663</v>
      </c>
      <c r="E16459" t="s">
        <v>147</v>
      </c>
      <c r="F16459" t="s">
        <v>4</v>
      </c>
      <c r="G16459" t="str">
        <f>""</f>
        <v/>
      </c>
    </row>
    <row r="16460" spans="1:7" x14ac:dyDescent="0.25">
      <c r="A16460" t="s">
        <v>8</v>
      </c>
      <c r="B16460" s="1" t="str">
        <f>"000260714 - RICH FOODS-FOODBUY"</f>
        <v>000260714 - RICH FOODS-FOODBUY</v>
      </c>
      <c r="C16460" t="s">
        <v>237</v>
      </c>
      <c r="D16460" s="1" t="str">
        <f t="shared" si="450"/>
        <v>PRG-1044663</v>
      </c>
      <c r="E16460" t="s">
        <v>147</v>
      </c>
      <c r="F16460" t="s">
        <v>4</v>
      </c>
      <c r="G16460" t="str">
        <f>""</f>
        <v/>
      </c>
    </row>
    <row r="16461" spans="1:7" x14ac:dyDescent="0.25">
      <c r="A16461" t="s">
        <v>8</v>
      </c>
      <c r="B16461" s="1" t="str">
        <f>"000261543 - RICH FOODS-FOODBUY"</f>
        <v>000261543 - RICH FOODS-FOODBUY</v>
      </c>
      <c r="C16461" t="s">
        <v>237</v>
      </c>
      <c r="D16461" s="1" t="str">
        <f t="shared" si="450"/>
        <v>PRG-1044663</v>
      </c>
      <c r="E16461" t="s">
        <v>147</v>
      </c>
      <c r="F16461" t="s">
        <v>4</v>
      </c>
      <c r="G16461" t="str">
        <f>""</f>
        <v/>
      </c>
    </row>
    <row r="16462" spans="1:7" x14ac:dyDescent="0.25">
      <c r="A16462" t="s">
        <v>8</v>
      </c>
      <c r="B16462" s="1" t="str">
        <f>"000262282 - RICH FOODS-FOODBUY"</f>
        <v>000262282 - RICH FOODS-FOODBUY</v>
      </c>
      <c r="C16462" t="s">
        <v>237</v>
      </c>
      <c r="D16462" s="1" t="str">
        <f t="shared" si="450"/>
        <v>PRG-1044663</v>
      </c>
      <c r="E16462" t="s">
        <v>147</v>
      </c>
      <c r="F16462" t="s">
        <v>4</v>
      </c>
      <c r="G16462" t="str">
        <f>""</f>
        <v/>
      </c>
    </row>
    <row r="16463" spans="1:7" x14ac:dyDescent="0.25">
      <c r="A16463" t="s">
        <v>8</v>
      </c>
      <c r="B16463" s="1" t="str">
        <f>"000262515 - RICH FOODS-FOODBUY"</f>
        <v>000262515 - RICH FOODS-FOODBUY</v>
      </c>
      <c r="C16463" t="s">
        <v>237</v>
      </c>
      <c r="D16463" s="1" t="str">
        <f t="shared" si="450"/>
        <v>PRG-1044663</v>
      </c>
      <c r="E16463" t="s">
        <v>147</v>
      </c>
      <c r="F16463" t="s">
        <v>4</v>
      </c>
      <c r="G16463" t="str">
        <f>""</f>
        <v/>
      </c>
    </row>
    <row r="16464" spans="1:7" x14ac:dyDescent="0.25">
      <c r="A16464" t="s">
        <v>8</v>
      </c>
      <c r="B16464" s="1" t="str">
        <f>"000263155 - RICH FOODS-FOODBUY"</f>
        <v>000263155 - RICH FOODS-FOODBUY</v>
      </c>
      <c r="C16464" t="s">
        <v>237</v>
      </c>
      <c r="D16464" s="1" t="str">
        <f t="shared" si="450"/>
        <v>PRG-1044663</v>
      </c>
      <c r="E16464" t="s">
        <v>147</v>
      </c>
      <c r="F16464" t="s">
        <v>4</v>
      </c>
      <c r="G16464" t="str">
        <f>""</f>
        <v/>
      </c>
    </row>
    <row r="16465" spans="1:7" x14ac:dyDescent="0.25">
      <c r="A16465" t="s">
        <v>8</v>
      </c>
      <c r="B16465" s="1" t="str">
        <f>"000263356 - RICH FOODS-FOODBUY"</f>
        <v>000263356 - RICH FOODS-FOODBUY</v>
      </c>
      <c r="C16465" t="s">
        <v>237</v>
      </c>
      <c r="D16465" s="1" t="str">
        <f t="shared" si="450"/>
        <v>PRG-1044663</v>
      </c>
      <c r="E16465" t="s">
        <v>147</v>
      </c>
      <c r="F16465" t="s">
        <v>4</v>
      </c>
      <c r="G16465" t="str">
        <f>""</f>
        <v/>
      </c>
    </row>
    <row r="16466" spans="1:7" x14ac:dyDescent="0.25">
      <c r="A16466" t="s">
        <v>8</v>
      </c>
      <c r="B16466" s="1" t="str">
        <f>"000263764 - RICH FOODS-FOODBUY"</f>
        <v>000263764 - RICH FOODS-FOODBUY</v>
      </c>
      <c r="C16466" t="s">
        <v>237</v>
      </c>
      <c r="D16466" s="1" t="str">
        <f t="shared" si="450"/>
        <v>PRG-1044663</v>
      </c>
      <c r="E16466" t="s">
        <v>147</v>
      </c>
      <c r="F16466" t="s">
        <v>4</v>
      </c>
      <c r="G16466" t="str">
        <f>""</f>
        <v/>
      </c>
    </row>
    <row r="16467" spans="1:7" x14ac:dyDescent="0.25">
      <c r="A16467" t="s">
        <v>8</v>
      </c>
      <c r="B16467" s="1" t="str">
        <f>"000264318 - RICH FOODS-FOODBUY"</f>
        <v>000264318 - RICH FOODS-FOODBUY</v>
      </c>
      <c r="C16467" t="s">
        <v>237</v>
      </c>
      <c r="D16467" s="1" t="str">
        <f t="shared" si="450"/>
        <v>PRG-1044663</v>
      </c>
      <c r="E16467" t="s">
        <v>147</v>
      </c>
      <c r="F16467" t="s">
        <v>4</v>
      </c>
      <c r="G16467" t="str">
        <f>""</f>
        <v/>
      </c>
    </row>
    <row r="16468" spans="1:7" x14ac:dyDescent="0.25">
      <c r="A16468" t="s">
        <v>8</v>
      </c>
      <c r="B16468" s="1" t="str">
        <f>"000264840 - RICH FOODS-FOODBUY"</f>
        <v>000264840 - RICH FOODS-FOODBUY</v>
      </c>
      <c r="C16468" t="s">
        <v>237</v>
      </c>
      <c r="D16468" s="1" t="str">
        <f t="shared" si="450"/>
        <v>PRG-1044663</v>
      </c>
      <c r="E16468" t="s">
        <v>147</v>
      </c>
      <c r="F16468" t="s">
        <v>4</v>
      </c>
      <c r="G16468" t="str">
        <f>""</f>
        <v/>
      </c>
    </row>
    <row r="16469" spans="1:7" x14ac:dyDescent="0.25">
      <c r="A16469" t="s">
        <v>8</v>
      </c>
      <c r="B16469" s="1" t="str">
        <f>"000264883 - RICH FDS BB CORE-ARA EX-SSS"</f>
        <v>000264883 - RICH FDS BB CORE-ARA EX-SSS</v>
      </c>
      <c r="C16469" t="s">
        <v>570</v>
      </c>
      <c r="D16469" s="1" t="str">
        <f t="shared" si="450"/>
        <v>PRG-1044663</v>
      </c>
      <c r="E16469" t="s">
        <v>147</v>
      </c>
      <c r="F16469" t="s">
        <v>4</v>
      </c>
      <c r="G16469" t="str">
        <f>""</f>
        <v/>
      </c>
    </row>
    <row r="16470" spans="1:7" x14ac:dyDescent="0.25">
      <c r="A16470" t="s">
        <v>8</v>
      </c>
      <c r="B16470" s="1" t="str">
        <f>"000265378 - RICH FOODS-FOODBUY"</f>
        <v>000265378 - RICH FOODS-FOODBUY</v>
      </c>
      <c r="C16470" t="s">
        <v>237</v>
      </c>
      <c r="D16470" s="1" t="str">
        <f t="shared" si="450"/>
        <v>PRG-1044663</v>
      </c>
      <c r="E16470" t="s">
        <v>147</v>
      </c>
      <c r="F16470" t="s">
        <v>4</v>
      </c>
      <c r="G16470" t="str">
        <f>""</f>
        <v/>
      </c>
    </row>
    <row r="16471" spans="1:7" x14ac:dyDescent="0.25">
      <c r="A16471" t="s">
        <v>8</v>
      </c>
      <c r="B16471" s="1" t="str">
        <f>"000266277 - RICH FOODS-FOODBUY"</f>
        <v>000266277 - RICH FOODS-FOODBUY</v>
      </c>
      <c r="C16471" t="s">
        <v>237</v>
      </c>
      <c r="D16471" s="1" t="str">
        <f t="shared" si="450"/>
        <v>PRG-1044663</v>
      </c>
      <c r="E16471" t="s">
        <v>147</v>
      </c>
      <c r="F16471" t="s">
        <v>4</v>
      </c>
      <c r="G16471" t="str">
        <f>""</f>
        <v/>
      </c>
    </row>
    <row r="16472" spans="1:7" x14ac:dyDescent="0.25">
      <c r="A16472" t="s">
        <v>8</v>
      </c>
      <c r="B16472" s="1" t="str">
        <f>"000266439 - RICH FOODS-FOODBUY"</f>
        <v>000266439 - RICH FOODS-FOODBUY</v>
      </c>
      <c r="C16472" t="s">
        <v>237</v>
      </c>
      <c r="D16472" s="1" t="str">
        <f t="shared" si="450"/>
        <v>PRG-1044663</v>
      </c>
      <c r="E16472" t="s">
        <v>147</v>
      </c>
      <c r="F16472" t="s">
        <v>4</v>
      </c>
      <c r="G16472" t="str">
        <f>""</f>
        <v/>
      </c>
    </row>
    <row r="16473" spans="1:7" x14ac:dyDescent="0.25">
      <c r="A16473" t="s">
        <v>8</v>
      </c>
      <c r="B16473" s="1" t="str">
        <f>"000266587 - RICH FOODS-FOODBUY"</f>
        <v>000266587 - RICH FOODS-FOODBUY</v>
      </c>
      <c r="C16473" t="s">
        <v>237</v>
      </c>
      <c r="D16473" s="1" t="str">
        <f t="shared" si="450"/>
        <v>PRG-1044663</v>
      </c>
      <c r="E16473" t="s">
        <v>147</v>
      </c>
      <c r="F16473" t="s">
        <v>4</v>
      </c>
      <c r="G16473" t="str">
        <f>""</f>
        <v/>
      </c>
    </row>
    <row r="16474" spans="1:7" x14ac:dyDescent="0.25">
      <c r="A16474" t="s">
        <v>8</v>
      </c>
      <c r="B16474" s="1" t="str">
        <f>"000266780 - RICH FOODS-FOODBUY"</f>
        <v>000266780 - RICH FOODS-FOODBUY</v>
      </c>
      <c r="C16474" t="s">
        <v>237</v>
      </c>
      <c r="D16474" s="1" t="str">
        <f t="shared" si="450"/>
        <v>PRG-1044663</v>
      </c>
      <c r="E16474" t="s">
        <v>147</v>
      </c>
      <c r="F16474" t="s">
        <v>4</v>
      </c>
      <c r="G16474" t="str">
        <f>""</f>
        <v/>
      </c>
    </row>
    <row r="16475" spans="1:7" x14ac:dyDescent="0.25">
      <c r="A16475" t="s">
        <v>8</v>
      </c>
      <c r="B16475" s="1" t="str">
        <f>"000267109 - RICH FOODS-FOODBUY"</f>
        <v>000267109 - RICH FOODS-FOODBUY</v>
      </c>
      <c r="C16475" t="s">
        <v>237</v>
      </c>
      <c r="D16475" s="1" t="str">
        <f t="shared" si="450"/>
        <v>PRG-1044663</v>
      </c>
      <c r="E16475" t="s">
        <v>147</v>
      </c>
      <c r="F16475" t="s">
        <v>4</v>
      </c>
      <c r="G16475" t="str">
        <f>""</f>
        <v/>
      </c>
    </row>
    <row r="16476" spans="1:7" x14ac:dyDescent="0.25">
      <c r="A16476" t="s">
        <v>8</v>
      </c>
      <c r="B16476" s="1" t="str">
        <f>"000267557 - RICH FOODS-FOODBUY"</f>
        <v>000267557 - RICH FOODS-FOODBUY</v>
      </c>
      <c r="C16476" t="s">
        <v>237</v>
      </c>
      <c r="D16476" s="1" t="str">
        <f t="shared" si="450"/>
        <v>PRG-1044663</v>
      </c>
      <c r="E16476" t="s">
        <v>147</v>
      </c>
      <c r="F16476" t="s">
        <v>4</v>
      </c>
      <c r="G16476" t="str">
        <f>""</f>
        <v/>
      </c>
    </row>
    <row r="16477" spans="1:7" x14ac:dyDescent="0.25">
      <c r="A16477" t="s">
        <v>8</v>
      </c>
      <c r="B16477" s="1" t="str">
        <f>"000267860 - RICH FOODS-FOODBUY"</f>
        <v>000267860 - RICH FOODS-FOODBUY</v>
      </c>
      <c r="C16477" t="s">
        <v>237</v>
      </c>
      <c r="D16477" s="1" t="str">
        <f t="shared" si="450"/>
        <v>PRG-1044663</v>
      </c>
      <c r="E16477" t="s">
        <v>147</v>
      </c>
      <c r="F16477" t="s">
        <v>4</v>
      </c>
      <c r="G16477" t="str">
        <f>""</f>
        <v/>
      </c>
    </row>
    <row r="16478" spans="1:7" x14ac:dyDescent="0.25">
      <c r="A16478" t="s">
        <v>8</v>
      </c>
      <c r="B16478" s="1" t="str">
        <f>"000268129 - RICH FOODS-FOODBUY"</f>
        <v>000268129 - RICH FOODS-FOODBUY</v>
      </c>
      <c r="C16478" t="s">
        <v>237</v>
      </c>
      <c r="D16478" s="1" t="str">
        <f t="shared" si="450"/>
        <v>PRG-1044663</v>
      </c>
      <c r="E16478" t="s">
        <v>147</v>
      </c>
      <c r="F16478" t="s">
        <v>4</v>
      </c>
      <c r="G16478" t="str">
        <f>""</f>
        <v/>
      </c>
    </row>
    <row r="16479" spans="1:7" x14ac:dyDescent="0.25">
      <c r="A16479" t="s">
        <v>8</v>
      </c>
      <c r="B16479" s="1" t="str">
        <f>"000268164 - RICH FOODS-FOODBUY"</f>
        <v>000268164 - RICH FOODS-FOODBUY</v>
      </c>
      <c r="C16479" t="s">
        <v>237</v>
      </c>
      <c r="D16479" s="1" t="str">
        <f t="shared" si="450"/>
        <v>PRG-1044663</v>
      </c>
      <c r="E16479" t="s">
        <v>147</v>
      </c>
      <c r="F16479" t="s">
        <v>4</v>
      </c>
      <c r="G16479" t="str">
        <f>""</f>
        <v/>
      </c>
    </row>
    <row r="16480" spans="1:7" x14ac:dyDescent="0.25">
      <c r="A16480" t="s">
        <v>8</v>
      </c>
      <c r="B16480" s="1" t="str">
        <f>"000268253 - RICH FOODS-FOODBUY"</f>
        <v>000268253 - RICH FOODS-FOODBUY</v>
      </c>
      <c r="C16480" t="s">
        <v>237</v>
      </c>
      <c r="D16480" s="1" t="str">
        <f t="shared" si="450"/>
        <v>PRG-1044663</v>
      </c>
      <c r="E16480" t="s">
        <v>147</v>
      </c>
      <c r="F16480" t="s">
        <v>4</v>
      </c>
      <c r="G16480" t="str">
        <f>""</f>
        <v/>
      </c>
    </row>
    <row r="16481" spans="1:7" x14ac:dyDescent="0.25">
      <c r="A16481" t="s">
        <v>8</v>
      </c>
      <c r="B16481" s="1" t="str">
        <f>"000268514 - RICH FOODS-FOODBUY"</f>
        <v>000268514 - RICH FOODS-FOODBUY</v>
      </c>
      <c r="C16481" t="s">
        <v>237</v>
      </c>
      <c r="D16481" s="1" t="str">
        <f t="shared" si="450"/>
        <v>PRG-1044663</v>
      </c>
      <c r="E16481" t="s">
        <v>147</v>
      </c>
      <c r="F16481" t="s">
        <v>4</v>
      </c>
      <c r="G16481" t="str">
        <f>""</f>
        <v/>
      </c>
    </row>
    <row r="16482" spans="1:7" x14ac:dyDescent="0.25">
      <c r="A16482" t="s">
        <v>8</v>
      </c>
      <c r="B16482" s="1" t="str">
        <f>"000268739 - RICH FOODS-FOODBUY"</f>
        <v>000268739 - RICH FOODS-FOODBUY</v>
      </c>
      <c r="C16482" t="s">
        <v>237</v>
      </c>
      <c r="D16482" s="1" t="str">
        <f t="shared" si="450"/>
        <v>PRG-1044663</v>
      </c>
      <c r="E16482" t="s">
        <v>147</v>
      </c>
      <c r="F16482" t="s">
        <v>4</v>
      </c>
      <c r="G16482" t="str">
        <f>""</f>
        <v/>
      </c>
    </row>
    <row r="16483" spans="1:7" x14ac:dyDescent="0.25">
      <c r="A16483" t="s">
        <v>8</v>
      </c>
      <c r="B16483" s="1" t="str">
        <f>"000269159 - RICH FOODS-FOODBUY"</f>
        <v>000269159 - RICH FOODS-FOODBUY</v>
      </c>
      <c r="C16483" t="s">
        <v>237</v>
      </c>
      <c r="D16483" s="1" t="str">
        <f t="shared" si="450"/>
        <v>PRG-1044663</v>
      </c>
      <c r="E16483" t="s">
        <v>147</v>
      </c>
      <c r="F16483" t="s">
        <v>4</v>
      </c>
      <c r="G16483" t="str">
        <f>""</f>
        <v/>
      </c>
    </row>
    <row r="16484" spans="1:7" x14ac:dyDescent="0.25">
      <c r="A16484" t="s">
        <v>8</v>
      </c>
      <c r="B16484" s="1" t="str">
        <f>"000269527 - RICH FOODS-FOODBUY"</f>
        <v>000269527 - RICH FOODS-FOODBUY</v>
      </c>
      <c r="C16484" t="s">
        <v>237</v>
      </c>
      <c r="D16484" s="1" t="str">
        <f t="shared" si="450"/>
        <v>PRG-1044663</v>
      </c>
      <c r="E16484" t="s">
        <v>147</v>
      </c>
      <c r="F16484" t="s">
        <v>4</v>
      </c>
      <c r="G16484" t="str">
        <f>""</f>
        <v/>
      </c>
    </row>
    <row r="16485" spans="1:7" x14ac:dyDescent="0.25">
      <c r="A16485" t="s">
        <v>8</v>
      </c>
      <c r="B16485" s="1" t="str">
        <f>"000269577 - RICH FOODS-FOODBUY"</f>
        <v>000269577 - RICH FOODS-FOODBUY</v>
      </c>
      <c r="C16485" t="s">
        <v>237</v>
      </c>
      <c r="D16485" s="1" t="str">
        <f t="shared" si="450"/>
        <v>PRG-1044663</v>
      </c>
      <c r="E16485" t="s">
        <v>147</v>
      </c>
      <c r="F16485" t="s">
        <v>4</v>
      </c>
      <c r="G16485" t="str">
        <f>""</f>
        <v/>
      </c>
    </row>
    <row r="16486" spans="1:7" x14ac:dyDescent="0.25">
      <c r="A16486" t="s">
        <v>8</v>
      </c>
      <c r="B16486" s="1" t="str">
        <f>"000270020 - RICH FOODS-FOODBUY"</f>
        <v>000270020 - RICH FOODS-FOODBUY</v>
      </c>
      <c r="C16486" t="s">
        <v>237</v>
      </c>
      <c r="D16486" s="1" t="str">
        <f t="shared" si="450"/>
        <v>PRG-1044663</v>
      </c>
      <c r="E16486" t="s">
        <v>147</v>
      </c>
      <c r="F16486" t="s">
        <v>4</v>
      </c>
      <c r="G16486" t="str">
        <f>""</f>
        <v/>
      </c>
    </row>
    <row r="16487" spans="1:7" x14ac:dyDescent="0.25">
      <c r="A16487" t="s">
        <v>8</v>
      </c>
      <c r="B16487" s="1" t="str">
        <f>"000270125 - RICH FOODS-FOODBUY"</f>
        <v>000270125 - RICH FOODS-FOODBUY</v>
      </c>
      <c r="C16487" t="s">
        <v>237</v>
      </c>
      <c r="D16487" s="1" t="str">
        <f t="shared" si="450"/>
        <v>PRG-1044663</v>
      </c>
      <c r="E16487" t="s">
        <v>147</v>
      </c>
      <c r="F16487" t="s">
        <v>4</v>
      </c>
      <c r="G16487" t="str">
        <f>""</f>
        <v/>
      </c>
    </row>
    <row r="16488" spans="1:7" x14ac:dyDescent="0.25">
      <c r="A16488" t="s">
        <v>8</v>
      </c>
      <c r="B16488" s="1" t="str">
        <f>"000270187 - RICH FOODS-FOODBUY"</f>
        <v>000270187 - RICH FOODS-FOODBUY</v>
      </c>
      <c r="C16488" t="s">
        <v>237</v>
      </c>
      <c r="D16488" s="1" t="str">
        <f t="shared" si="450"/>
        <v>PRG-1044663</v>
      </c>
      <c r="E16488" t="s">
        <v>147</v>
      </c>
      <c r="F16488" t="s">
        <v>4</v>
      </c>
      <c r="G16488" t="str">
        <f>""</f>
        <v/>
      </c>
    </row>
    <row r="16489" spans="1:7" x14ac:dyDescent="0.25">
      <c r="A16489" t="s">
        <v>8</v>
      </c>
      <c r="B16489" s="1" t="str">
        <f>"000270516 - RICH FOODS-FOODBUY"</f>
        <v>000270516 - RICH FOODS-FOODBUY</v>
      </c>
      <c r="C16489" t="s">
        <v>237</v>
      </c>
      <c r="D16489" s="1" t="str">
        <f t="shared" si="450"/>
        <v>PRG-1044663</v>
      </c>
      <c r="E16489" t="s">
        <v>147</v>
      </c>
      <c r="F16489" t="s">
        <v>4</v>
      </c>
      <c r="G16489" t="str">
        <f>""</f>
        <v/>
      </c>
    </row>
    <row r="16490" spans="1:7" x14ac:dyDescent="0.25">
      <c r="A16490" t="s">
        <v>8</v>
      </c>
      <c r="B16490" s="1" t="str">
        <f>"000270578 - RICH FOODS-FOODBUY"</f>
        <v>000270578 - RICH FOODS-FOODBUY</v>
      </c>
      <c r="C16490" t="s">
        <v>237</v>
      </c>
      <c r="D16490" s="1" t="str">
        <f t="shared" si="450"/>
        <v>PRG-1044663</v>
      </c>
      <c r="E16490" t="s">
        <v>147</v>
      </c>
      <c r="F16490" t="s">
        <v>4</v>
      </c>
      <c r="G16490" t="str">
        <f>""</f>
        <v/>
      </c>
    </row>
    <row r="16491" spans="1:7" x14ac:dyDescent="0.25">
      <c r="A16491" t="s">
        <v>8</v>
      </c>
      <c r="B16491" s="1" t="str">
        <f>"000270607 - RICH FOODS-FOODBUY"</f>
        <v>000270607 - RICH FOODS-FOODBUY</v>
      </c>
      <c r="C16491" t="s">
        <v>237</v>
      </c>
      <c r="D16491" s="1" t="str">
        <f t="shared" si="450"/>
        <v>PRG-1044663</v>
      </c>
      <c r="E16491" t="s">
        <v>147</v>
      </c>
      <c r="F16491" t="s">
        <v>4</v>
      </c>
      <c r="G16491" t="str">
        <f>""</f>
        <v/>
      </c>
    </row>
    <row r="16492" spans="1:7" x14ac:dyDescent="0.25">
      <c r="A16492" t="s">
        <v>8</v>
      </c>
      <c r="B16492" s="1" t="str">
        <f>"000270780 - RICH FOODS-FOODBUY"</f>
        <v>000270780 - RICH FOODS-FOODBUY</v>
      </c>
      <c r="C16492" t="s">
        <v>237</v>
      </c>
      <c r="D16492" s="1" t="str">
        <f t="shared" si="450"/>
        <v>PRG-1044663</v>
      </c>
      <c r="E16492" t="s">
        <v>147</v>
      </c>
      <c r="F16492" t="s">
        <v>4</v>
      </c>
      <c r="G16492" t="str">
        <f>""</f>
        <v/>
      </c>
    </row>
    <row r="16493" spans="1:7" x14ac:dyDescent="0.25">
      <c r="A16493" t="s">
        <v>8</v>
      </c>
      <c r="B16493" s="1" t="str">
        <f>"000271319 - RICH FOODS BB-FOODBUY"</f>
        <v>000271319 - RICH FOODS BB-FOODBUY</v>
      </c>
      <c r="C16493" t="s">
        <v>209</v>
      </c>
      <c r="D16493" s="1" t="str">
        <f t="shared" si="450"/>
        <v>PRG-1044663</v>
      </c>
      <c r="E16493" t="s">
        <v>147</v>
      </c>
      <c r="F16493" t="s">
        <v>4</v>
      </c>
      <c r="G16493" t="str">
        <f>""</f>
        <v/>
      </c>
    </row>
    <row r="16494" spans="1:7" x14ac:dyDescent="0.25">
      <c r="A16494" t="s">
        <v>8</v>
      </c>
      <c r="B16494" s="1" t="str">
        <f>"000271458 - RICH FOODS-FOODBUY"</f>
        <v>000271458 - RICH FOODS-FOODBUY</v>
      </c>
      <c r="C16494" t="s">
        <v>237</v>
      </c>
      <c r="D16494" s="1" t="str">
        <f t="shared" si="450"/>
        <v>PRG-1044663</v>
      </c>
      <c r="E16494" t="s">
        <v>147</v>
      </c>
      <c r="F16494" t="s">
        <v>4</v>
      </c>
      <c r="G16494" t="str">
        <f>""</f>
        <v/>
      </c>
    </row>
    <row r="16495" spans="1:7" x14ac:dyDescent="0.25">
      <c r="A16495" t="s">
        <v>8</v>
      </c>
      <c r="B16495" s="1" t="str">
        <f>"000271622 - RICH FOODS-FOODBUY"</f>
        <v>000271622 - RICH FOODS-FOODBUY</v>
      </c>
      <c r="C16495" t="s">
        <v>237</v>
      </c>
      <c r="D16495" s="1" t="str">
        <f t="shared" si="450"/>
        <v>PRG-1044663</v>
      </c>
      <c r="E16495" t="s">
        <v>147</v>
      </c>
      <c r="F16495" t="s">
        <v>4</v>
      </c>
      <c r="G16495" t="str">
        <f>""</f>
        <v/>
      </c>
    </row>
    <row r="16496" spans="1:7" x14ac:dyDescent="0.25">
      <c r="A16496" t="s">
        <v>8</v>
      </c>
      <c r="B16496" s="1" t="str">
        <f>"000271835 - RICH FOODS BB-FOODBUY"</f>
        <v>000271835 - RICH FOODS BB-FOODBUY</v>
      </c>
      <c r="C16496" t="s">
        <v>209</v>
      </c>
      <c r="D16496" s="1" t="str">
        <f t="shared" si="450"/>
        <v>PRG-1044663</v>
      </c>
      <c r="E16496" t="s">
        <v>147</v>
      </c>
      <c r="F16496" t="s">
        <v>4</v>
      </c>
      <c r="G16496" t="str">
        <f>""</f>
        <v/>
      </c>
    </row>
    <row r="16497" spans="1:7" x14ac:dyDescent="0.25">
      <c r="A16497" t="s">
        <v>8</v>
      </c>
      <c r="B16497" s="1" t="str">
        <f>"000272176 - RICH FOODS-FOODBUY"</f>
        <v>000272176 - RICH FOODS-FOODBUY</v>
      </c>
      <c r="C16497" t="s">
        <v>237</v>
      </c>
      <c r="D16497" s="1" t="str">
        <f t="shared" si="450"/>
        <v>PRG-1044663</v>
      </c>
      <c r="E16497" t="s">
        <v>147</v>
      </c>
      <c r="F16497" t="s">
        <v>4</v>
      </c>
      <c r="G16497" t="str">
        <f>""</f>
        <v/>
      </c>
    </row>
    <row r="16498" spans="1:7" x14ac:dyDescent="0.25">
      <c r="A16498" t="s">
        <v>8</v>
      </c>
      <c r="B16498" s="1" t="str">
        <f>"000272408 - RICH FOODS-FOODBUY"</f>
        <v>000272408 - RICH FOODS-FOODBUY</v>
      </c>
      <c r="C16498" t="s">
        <v>237</v>
      </c>
      <c r="D16498" s="1" t="str">
        <f t="shared" si="450"/>
        <v>PRG-1044663</v>
      </c>
      <c r="E16498" t="s">
        <v>147</v>
      </c>
      <c r="F16498" t="s">
        <v>4</v>
      </c>
      <c r="G16498" t="str">
        <f>""</f>
        <v/>
      </c>
    </row>
    <row r="16499" spans="1:7" x14ac:dyDescent="0.25">
      <c r="A16499" t="s">
        <v>8</v>
      </c>
      <c r="B16499" s="1" t="str">
        <f>"000273117 - RICH FOODS-FOODBUY"</f>
        <v>000273117 - RICH FOODS-FOODBUY</v>
      </c>
      <c r="C16499" t="s">
        <v>237</v>
      </c>
      <c r="D16499" s="1" t="str">
        <f t="shared" si="450"/>
        <v>PRG-1044663</v>
      </c>
      <c r="E16499" t="s">
        <v>147</v>
      </c>
      <c r="F16499" t="s">
        <v>4</v>
      </c>
      <c r="G16499" t="str">
        <f>""</f>
        <v/>
      </c>
    </row>
    <row r="16500" spans="1:7" x14ac:dyDescent="0.25">
      <c r="A16500" t="s">
        <v>8</v>
      </c>
      <c r="B16500" s="1" t="str">
        <f>"000273324 - RICH FOODS-FOODBUY"</f>
        <v>000273324 - RICH FOODS-FOODBUY</v>
      </c>
      <c r="C16500" t="s">
        <v>237</v>
      </c>
      <c r="D16500" s="1" t="str">
        <f t="shared" si="450"/>
        <v>PRG-1044663</v>
      </c>
      <c r="E16500" t="s">
        <v>147</v>
      </c>
      <c r="F16500" t="s">
        <v>4</v>
      </c>
      <c r="G16500" t="str">
        <f>""</f>
        <v/>
      </c>
    </row>
    <row r="16501" spans="1:7" x14ac:dyDescent="0.25">
      <c r="A16501" t="s">
        <v>8</v>
      </c>
      <c r="B16501" s="1" t="str">
        <f>"000273532 - RICH FOODS-FOODBUY"</f>
        <v>000273532 - RICH FOODS-FOODBUY</v>
      </c>
      <c r="C16501" t="s">
        <v>237</v>
      </c>
      <c r="D16501" s="1" t="str">
        <f t="shared" si="450"/>
        <v>PRG-1044663</v>
      </c>
      <c r="E16501" t="s">
        <v>147</v>
      </c>
      <c r="F16501" t="s">
        <v>4</v>
      </c>
      <c r="G16501" t="str">
        <f>""</f>
        <v/>
      </c>
    </row>
    <row r="16502" spans="1:7" x14ac:dyDescent="0.25">
      <c r="A16502" t="s">
        <v>8</v>
      </c>
      <c r="B16502" s="1" t="str">
        <f>"000273823 - RICH FOODS-FOODBUY"</f>
        <v>000273823 - RICH FOODS-FOODBUY</v>
      </c>
      <c r="C16502" t="s">
        <v>237</v>
      </c>
      <c r="D16502" s="1" t="str">
        <f t="shared" si="450"/>
        <v>PRG-1044663</v>
      </c>
      <c r="E16502" t="s">
        <v>147</v>
      </c>
      <c r="F16502" t="s">
        <v>4</v>
      </c>
      <c r="G16502" t="str">
        <f>""</f>
        <v/>
      </c>
    </row>
    <row r="16503" spans="1:7" x14ac:dyDescent="0.25">
      <c r="A16503" t="s">
        <v>8</v>
      </c>
      <c r="B16503" s="1" t="str">
        <f>"000274226 - RICH FOODS-FOODBUY"</f>
        <v>000274226 - RICH FOODS-FOODBUY</v>
      </c>
      <c r="C16503" t="s">
        <v>237</v>
      </c>
      <c r="D16503" s="1" t="str">
        <f t="shared" si="450"/>
        <v>PRG-1044663</v>
      </c>
      <c r="E16503" t="s">
        <v>147</v>
      </c>
      <c r="F16503" t="s">
        <v>4</v>
      </c>
      <c r="G16503" t="str">
        <f>""</f>
        <v/>
      </c>
    </row>
    <row r="16504" spans="1:7" x14ac:dyDescent="0.25">
      <c r="A16504" t="s">
        <v>8</v>
      </c>
      <c r="B16504" s="1" t="str">
        <f>"000274572 - RICH FOODS-FOODBUY"</f>
        <v>000274572 - RICH FOODS-FOODBUY</v>
      </c>
      <c r="C16504" t="s">
        <v>237</v>
      </c>
      <c r="D16504" s="1" t="str">
        <f t="shared" si="450"/>
        <v>PRG-1044663</v>
      </c>
      <c r="E16504" t="s">
        <v>147</v>
      </c>
      <c r="F16504" t="s">
        <v>4</v>
      </c>
      <c r="G16504" t="str">
        <f>""</f>
        <v/>
      </c>
    </row>
    <row r="16505" spans="1:7" x14ac:dyDescent="0.25">
      <c r="A16505" t="s">
        <v>8</v>
      </c>
      <c r="B16505" s="1" t="str">
        <f>"000274615 - RICH FOODS-FOODBUY"</f>
        <v>000274615 - RICH FOODS-FOODBUY</v>
      </c>
      <c r="C16505" t="s">
        <v>237</v>
      </c>
      <c r="D16505" s="1" t="str">
        <f t="shared" si="450"/>
        <v>PRG-1044663</v>
      </c>
      <c r="E16505" t="s">
        <v>147</v>
      </c>
      <c r="F16505" t="s">
        <v>4</v>
      </c>
      <c r="G16505" t="str">
        <f>""</f>
        <v/>
      </c>
    </row>
    <row r="16506" spans="1:7" x14ac:dyDescent="0.25">
      <c r="A16506" t="s">
        <v>8</v>
      </c>
      <c r="B16506" s="1" t="str">
        <f>"000274725 - RICH FOODS-FOODBUY"</f>
        <v>000274725 - RICH FOODS-FOODBUY</v>
      </c>
      <c r="C16506" t="s">
        <v>237</v>
      </c>
      <c r="D16506" s="1" t="str">
        <f t="shared" si="450"/>
        <v>PRG-1044663</v>
      </c>
      <c r="E16506" t="s">
        <v>147</v>
      </c>
      <c r="F16506" t="s">
        <v>4</v>
      </c>
      <c r="G16506" t="str">
        <f>""</f>
        <v/>
      </c>
    </row>
    <row r="16507" spans="1:7" x14ac:dyDescent="0.25">
      <c r="A16507" t="s">
        <v>8</v>
      </c>
      <c r="B16507" s="1" t="str">
        <f>"000274814 - RICH FOODS-FOODBUY"</f>
        <v>000274814 - RICH FOODS-FOODBUY</v>
      </c>
      <c r="C16507" t="s">
        <v>237</v>
      </c>
      <c r="D16507" s="1" t="str">
        <f t="shared" si="450"/>
        <v>PRG-1044663</v>
      </c>
      <c r="E16507" t="s">
        <v>147</v>
      </c>
      <c r="F16507" t="s">
        <v>4</v>
      </c>
      <c r="G16507" t="str">
        <f>""</f>
        <v/>
      </c>
    </row>
    <row r="16508" spans="1:7" x14ac:dyDescent="0.25">
      <c r="A16508" t="s">
        <v>8</v>
      </c>
      <c r="B16508" s="1" t="str">
        <f>"000275467 - RICH FOODS-FOODBUY"</f>
        <v>000275467 - RICH FOODS-FOODBUY</v>
      </c>
      <c r="C16508" t="s">
        <v>237</v>
      </c>
      <c r="D16508" s="1" t="str">
        <f t="shared" si="450"/>
        <v>PRG-1044663</v>
      </c>
      <c r="E16508" t="s">
        <v>147</v>
      </c>
      <c r="F16508" t="s">
        <v>4</v>
      </c>
      <c r="G16508" t="str">
        <f>""</f>
        <v/>
      </c>
    </row>
    <row r="16509" spans="1:7" x14ac:dyDescent="0.25">
      <c r="A16509" t="s">
        <v>8</v>
      </c>
      <c r="B16509" s="1" t="str">
        <f>"000275530 - RICH FOODS-FOODBUY"</f>
        <v>000275530 - RICH FOODS-FOODBUY</v>
      </c>
      <c r="C16509" t="s">
        <v>237</v>
      </c>
      <c r="D16509" s="1" t="str">
        <f t="shared" ref="D16509:D16572" si="451">"PRG-1044663"</f>
        <v>PRG-1044663</v>
      </c>
      <c r="E16509" t="s">
        <v>147</v>
      </c>
      <c r="F16509" t="s">
        <v>4</v>
      </c>
      <c r="G16509" t="str">
        <f>""</f>
        <v/>
      </c>
    </row>
    <row r="16510" spans="1:7" x14ac:dyDescent="0.25">
      <c r="A16510" t="s">
        <v>8</v>
      </c>
      <c r="B16510" s="1" t="str">
        <f>"000275689 - RICH FOODS-FOODBUY"</f>
        <v>000275689 - RICH FOODS-FOODBUY</v>
      </c>
      <c r="C16510" t="s">
        <v>237</v>
      </c>
      <c r="D16510" s="1" t="str">
        <f t="shared" si="451"/>
        <v>PRG-1044663</v>
      </c>
      <c r="E16510" t="s">
        <v>147</v>
      </c>
      <c r="F16510" t="s">
        <v>4</v>
      </c>
      <c r="G16510" t="str">
        <f>""</f>
        <v/>
      </c>
    </row>
    <row r="16511" spans="1:7" x14ac:dyDescent="0.25">
      <c r="A16511" t="s">
        <v>8</v>
      </c>
      <c r="B16511" s="1" t="str">
        <f>"000275725 - RICH FOODS-FOODBUY"</f>
        <v>000275725 - RICH FOODS-FOODBUY</v>
      </c>
      <c r="C16511" t="s">
        <v>237</v>
      </c>
      <c r="D16511" s="1" t="str">
        <f t="shared" si="451"/>
        <v>PRG-1044663</v>
      </c>
      <c r="E16511" t="s">
        <v>147</v>
      </c>
      <c r="F16511" t="s">
        <v>4</v>
      </c>
      <c r="G16511" t="str">
        <f>""</f>
        <v/>
      </c>
    </row>
    <row r="16512" spans="1:7" x14ac:dyDescent="0.25">
      <c r="A16512" t="s">
        <v>8</v>
      </c>
      <c r="B16512" s="1" t="str">
        <f>"000276902 - RICH FOODS-FOODBUY"</f>
        <v>000276902 - RICH FOODS-FOODBUY</v>
      </c>
      <c r="C16512" t="s">
        <v>237</v>
      </c>
      <c r="D16512" s="1" t="str">
        <f t="shared" si="451"/>
        <v>PRG-1044663</v>
      </c>
      <c r="E16512" t="s">
        <v>147</v>
      </c>
      <c r="F16512" t="s">
        <v>4</v>
      </c>
      <c r="G16512" t="str">
        <f>""</f>
        <v/>
      </c>
    </row>
    <row r="16513" spans="1:7" x14ac:dyDescent="0.25">
      <c r="A16513" t="s">
        <v>8</v>
      </c>
      <c r="B16513" s="1" t="str">
        <f>"000276922 - RICH FOODS - FOODBUY"</f>
        <v>000276922 - RICH FOODS - FOODBUY</v>
      </c>
      <c r="C16513" t="s">
        <v>146</v>
      </c>
      <c r="D16513" s="1" t="str">
        <f t="shared" si="451"/>
        <v>PRG-1044663</v>
      </c>
      <c r="E16513" t="s">
        <v>147</v>
      </c>
      <c r="F16513" t="s">
        <v>4</v>
      </c>
      <c r="G16513" t="str">
        <f>""</f>
        <v/>
      </c>
    </row>
    <row r="16514" spans="1:7" x14ac:dyDescent="0.25">
      <c r="A16514" t="s">
        <v>8</v>
      </c>
      <c r="B16514" s="1" t="str">
        <f>"000277274 - RICH FOODS-FOODBUY"</f>
        <v>000277274 - RICH FOODS-FOODBUY</v>
      </c>
      <c r="C16514" t="s">
        <v>237</v>
      </c>
      <c r="D16514" s="1" t="str">
        <f t="shared" si="451"/>
        <v>PRG-1044663</v>
      </c>
      <c r="E16514" t="s">
        <v>147</v>
      </c>
      <c r="F16514" t="s">
        <v>4</v>
      </c>
      <c r="G16514" t="str">
        <f>""</f>
        <v/>
      </c>
    </row>
    <row r="16515" spans="1:7" x14ac:dyDescent="0.25">
      <c r="A16515" t="s">
        <v>8</v>
      </c>
      <c r="B16515" s="1" t="str">
        <f>"000277629 - RICH FOODS-FOODBUY"</f>
        <v>000277629 - RICH FOODS-FOODBUY</v>
      </c>
      <c r="C16515" t="s">
        <v>237</v>
      </c>
      <c r="D16515" s="1" t="str">
        <f t="shared" si="451"/>
        <v>PRG-1044663</v>
      </c>
      <c r="E16515" t="s">
        <v>147</v>
      </c>
      <c r="F16515" t="s">
        <v>4</v>
      </c>
      <c r="G16515" t="str">
        <f>""</f>
        <v/>
      </c>
    </row>
    <row r="16516" spans="1:7" x14ac:dyDescent="0.25">
      <c r="A16516" t="s">
        <v>8</v>
      </c>
      <c r="B16516" s="1" t="str">
        <f>"000277937 - RICH FOODS-FOODBUY"</f>
        <v>000277937 - RICH FOODS-FOODBUY</v>
      </c>
      <c r="C16516" t="s">
        <v>237</v>
      </c>
      <c r="D16516" s="1" t="str">
        <f t="shared" si="451"/>
        <v>PRG-1044663</v>
      </c>
      <c r="E16516" t="s">
        <v>147</v>
      </c>
      <c r="F16516" t="s">
        <v>4</v>
      </c>
      <c r="G16516" t="str">
        <f>""</f>
        <v/>
      </c>
    </row>
    <row r="16517" spans="1:7" x14ac:dyDescent="0.25">
      <c r="A16517" t="s">
        <v>8</v>
      </c>
      <c r="B16517" s="1" t="str">
        <f>"000277978 - RICH FOODS-FOODBUY"</f>
        <v>000277978 - RICH FOODS-FOODBUY</v>
      </c>
      <c r="C16517" t="s">
        <v>237</v>
      </c>
      <c r="D16517" s="1" t="str">
        <f t="shared" si="451"/>
        <v>PRG-1044663</v>
      </c>
      <c r="E16517" t="s">
        <v>147</v>
      </c>
      <c r="F16517" t="s">
        <v>4</v>
      </c>
      <c r="G16517" t="str">
        <f>""</f>
        <v/>
      </c>
    </row>
    <row r="16518" spans="1:7" x14ac:dyDescent="0.25">
      <c r="A16518" t="s">
        <v>8</v>
      </c>
      <c r="B16518" s="1" t="str">
        <f>"000278040 - RICH FOODS-FOODBUY"</f>
        <v>000278040 - RICH FOODS-FOODBUY</v>
      </c>
      <c r="C16518" t="s">
        <v>237</v>
      </c>
      <c r="D16518" s="1" t="str">
        <f t="shared" si="451"/>
        <v>PRG-1044663</v>
      </c>
      <c r="E16518" t="s">
        <v>147</v>
      </c>
      <c r="F16518" t="s">
        <v>4</v>
      </c>
      <c r="G16518" t="str">
        <f>""</f>
        <v/>
      </c>
    </row>
    <row r="16519" spans="1:7" x14ac:dyDescent="0.25">
      <c r="A16519" t="s">
        <v>8</v>
      </c>
      <c r="B16519" s="1" t="str">
        <f>"000278555 - RICH FOODS-FOODBUY"</f>
        <v>000278555 - RICH FOODS-FOODBUY</v>
      </c>
      <c r="C16519" t="s">
        <v>237</v>
      </c>
      <c r="D16519" s="1" t="str">
        <f t="shared" si="451"/>
        <v>PRG-1044663</v>
      </c>
      <c r="E16519" t="s">
        <v>147</v>
      </c>
      <c r="F16519" t="s">
        <v>4</v>
      </c>
      <c r="G16519" t="str">
        <f>""</f>
        <v/>
      </c>
    </row>
    <row r="16520" spans="1:7" x14ac:dyDescent="0.25">
      <c r="A16520" t="s">
        <v>8</v>
      </c>
      <c r="B16520" s="1" t="str">
        <f>"000279010 - RICH FOODS-FOODBUY"</f>
        <v>000279010 - RICH FOODS-FOODBUY</v>
      </c>
      <c r="C16520" t="s">
        <v>237</v>
      </c>
      <c r="D16520" s="1" t="str">
        <f t="shared" si="451"/>
        <v>PRG-1044663</v>
      </c>
      <c r="E16520" t="s">
        <v>147</v>
      </c>
      <c r="F16520" t="s">
        <v>4</v>
      </c>
      <c r="G16520" t="str">
        <f>""</f>
        <v/>
      </c>
    </row>
    <row r="16521" spans="1:7" x14ac:dyDescent="0.25">
      <c r="A16521" t="s">
        <v>8</v>
      </c>
      <c r="B16521" s="1" t="str">
        <f>"000279361 - RICH FOODS-FOODBUY"</f>
        <v>000279361 - RICH FOODS-FOODBUY</v>
      </c>
      <c r="C16521" t="s">
        <v>237</v>
      </c>
      <c r="D16521" s="1" t="str">
        <f t="shared" si="451"/>
        <v>PRG-1044663</v>
      </c>
      <c r="E16521" t="s">
        <v>147</v>
      </c>
      <c r="F16521" t="s">
        <v>4</v>
      </c>
      <c r="G16521" t="str">
        <f>""</f>
        <v/>
      </c>
    </row>
    <row r="16522" spans="1:7" x14ac:dyDescent="0.25">
      <c r="A16522" t="s">
        <v>8</v>
      </c>
      <c r="B16522" s="1" t="str">
        <f>"000279674 - RICH FOODS-FOODBUY"</f>
        <v>000279674 - RICH FOODS-FOODBUY</v>
      </c>
      <c r="C16522" t="s">
        <v>237</v>
      </c>
      <c r="D16522" s="1" t="str">
        <f t="shared" si="451"/>
        <v>PRG-1044663</v>
      </c>
      <c r="E16522" t="s">
        <v>147</v>
      </c>
      <c r="F16522" t="s">
        <v>4</v>
      </c>
      <c r="G16522" t="str">
        <f>""</f>
        <v/>
      </c>
    </row>
    <row r="16523" spans="1:7" x14ac:dyDescent="0.25">
      <c r="A16523" t="s">
        <v>8</v>
      </c>
      <c r="B16523" s="1" t="str">
        <f>"000279683 - RICH FOODS-FOODBUY"</f>
        <v>000279683 - RICH FOODS-FOODBUY</v>
      </c>
      <c r="C16523" t="s">
        <v>237</v>
      </c>
      <c r="D16523" s="1" t="str">
        <f t="shared" si="451"/>
        <v>PRG-1044663</v>
      </c>
      <c r="E16523" t="s">
        <v>147</v>
      </c>
      <c r="F16523" t="s">
        <v>4</v>
      </c>
      <c r="G16523" t="str">
        <f>""</f>
        <v/>
      </c>
    </row>
    <row r="16524" spans="1:7" x14ac:dyDescent="0.25">
      <c r="A16524" t="s">
        <v>8</v>
      </c>
      <c r="B16524" s="1" t="str">
        <f>"000280203 - RICH FOODS-FOODBUY"</f>
        <v>000280203 - RICH FOODS-FOODBUY</v>
      </c>
      <c r="C16524" t="s">
        <v>237</v>
      </c>
      <c r="D16524" s="1" t="str">
        <f t="shared" si="451"/>
        <v>PRG-1044663</v>
      </c>
      <c r="E16524" t="s">
        <v>147</v>
      </c>
      <c r="F16524" t="s">
        <v>4</v>
      </c>
      <c r="G16524" t="str">
        <f>""</f>
        <v/>
      </c>
    </row>
    <row r="16525" spans="1:7" x14ac:dyDescent="0.25">
      <c r="A16525" t="s">
        <v>8</v>
      </c>
      <c r="B16525" s="1" t="str">
        <f>"000280390 - RICH FOODS-FOODBUY"</f>
        <v>000280390 - RICH FOODS-FOODBUY</v>
      </c>
      <c r="C16525" t="s">
        <v>237</v>
      </c>
      <c r="D16525" s="1" t="str">
        <f t="shared" si="451"/>
        <v>PRG-1044663</v>
      </c>
      <c r="E16525" t="s">
        <v>147</v>
      </c>
      <c r="F16525" t="s">
        <v>4</v>
      </c>
      <c r="G16525" t="str">
        <f>""</f>
        <v/>
      </c>
    </row>
    <row r="16526" spans="1:7" x14ac:dyDescent="0.25">
      <c r="A16526" t="s">
        <v>8</v>
      </c>
      <c r="B16526" s="1" t="str">
        <f>"000281093 - RICH FOODS-FOODBUY"</f>
        <v>000281093 - RICH FOODS-FOODBUY</v>
      </c>
      <c r="C16526" t="s">
        <v>237</v>
      </c>
      <c r="D16526" s="1" t="str">
        <f t="shared" si="451"/>
        <v>PRG-1044663</v>
      </c>
      <c r="E16526" t="s">
        <v>147</v>
      </c>
      <c r="F16526" t="s">
        <v>4</v>
      </c>
      <c r="G16526" t="str">
        <f>""</f>
        <v/>
      </c>
    </row>
    <row r="16527" spans="1:7" x14ac:dyDescent="0.25">
      <c r="A16527" t="s">
        <v>8</v>
      </c>
      <c r="B16527" s="1" t="str">
        <f>"000281179 - RICH FOODS-FOODBUY"</f>
        <v>000281179 - RICH FOODS-FOODBUY</v>
      </c>
      <c r="C16527" t="s">
        <v>237</v>
      </c>
      <c r="D16527" s="1" t="str">
        <f t="shared" si="451"/>
        <v>PRG-1044663</v>
      </c>
      <c r="E16527" t="s">
        <v>147</v>
      </c>
      <c r="F16527" t="s">
        <v>4</v>
      </c>
      <c r="G16527" t="str">
        <f>""</f>
        <v/>
      </c>
    </row>
    <row r="16528" spans="1:7" x14ac:dyDescent="0.25">
      <c r="A16528" t="s">
        <v>8</v>
      </c>
      <c r="B16528" s="1" t="str">
        <f>"000281672 - RICH FOODS-FOODBUY"</f>
        <v>000281672 - RICH FOODS-FOODBUY</v>
      </c>
      <c r="C16528" t="s">
        <v>237</v>
      </c>
      <c r="D16528" s="1" t="str">
        <f t="shared" si="451"/>
        <v>PRG-1044663</v>
      </c>
      <c r="E16528" t="s">
        <v>147</v>
      </c>
      <c r="F16528" t="s">
        <v>4</v>
      </c>
      <c r="G16528" t="str">
        <f>""</f>
        <v/>
      </c>
    </row>
    <row r="16529" spans="1:7" x14ac:dyDescent="0.25">
      <c r="A16529" t="s">
        <v>8</v>
      </c>
      <c r="B16529" s="1" t="str">
        <f>"000281681 - RICH FOODS-FOODBUY"</f>
        <v>000281681 - RICH FOODS-FOODBUY</v>
      </c>
      <c r="C16529" t="s">
        <v>237</v>
      </c>
      <c r="D16529" s="1" t="str">
        <f t="shared" si="451"/>
        <v>PRG-1044663</v>
      </c>
      <c r="E16529" t="s">
        <v>147</v>
      </c>
      <c r="F16529" t="s">
        <v>4</v>
      </c>
      <c r="G16529" t="str">
        <f>""</f>
        <v/>
      </c>
    </row>
    <row r="16530" spans="1:7" x14ac:dyDescent="0.25">
      <c r="A16530" t="s">
        <v>8</v>
      </c>
      <c r="B16530" s="1" t="str">
        <f>"000281691 - RICH FOODS-FOODBUY"</f>
        <v>000281691 - RICH FOODS-FOODBUY</v>
      </c>
      <c r="C16530" t="s">
        <v>237</v>
      </c>
      <c r="D16530" s="1" t="str">
        <f t="shared" si="451"/>
        <v>PRG-1044663</v>
      </c>
      <c r="E16530" t="s">
        <v>147</v>
      </c>
      <c r="F16530" t="s">
        <v>4</v>
      </c>
      <c r="G16530" t="str">
        <f>""</f>
        <v/>
      </c>
    </row>
    <row r="16531" spans="1:7" x14ac:dyDescent="0.25">
      <c r="A16531" t="s">
        <v>8</v>
      </c>
      <c r="B16531" s="1" t="str">
        <f>"000281864 - RICH FOODS-FOODBUY AUDIT"</f>
        <v>000281864 - RICH FOODS-FOODBUY AUDIT</v>
      </c>
      <c r="C16531" t="s">
        <v>2657</v>
      </c>
      <c r="D16531" s="1" t="str">
        <f t="shared" si="451"/>
        <v>PRG-1044663</v>
      </c>
      <c r="E16531" t="s">
        <v>147</v>
      </c>
      <c r="F16531" t="s">
        <v>4</v>
      </c>
      <c r="G16531" t="str">
        <f>""</f>
        <v/>
      </c>
    </row>
    <row r="16532" spans="1:7" x14ac:dyDescent="0.25">
      <c r="A16532" t="s">
        <v>8</v>
      </c>
      <c r="B16532" s="1" t="str">
        <f>"000281968 - RICH FOODS-FOODBUY"</f>
        <v>000281968 - RICH FOODS-FOODBUY</v>
      </c>
      <c r="C16532" t="s">
        <v>237</v>
      </c>
      <c r="D16532" s="1" t="str">
        <f t="shared" si="451"/>
        <v>PRG-1044663</v>
      </c>
      <c r="E16532" t="s">
        <v>147</v>
      </c>
      <c r="F16532" t="s">
        <v>4</v>
      </c>
      <c r="G16532" t="str">
        <f>""</f>
        <v/>
      </c>
    </row>
    <row r="16533" spans="1:7" x14ac:dyDescent="0.25">
      <c r="A16533" t="s">
        <v>8</v>
      </c>
      <c r="B16533" s="1" t="str">
        <f>"000282157 - RICH FOODS-FOODBUY"</f>
        <v>000282157 - RICH FOODS-FOODBUY</v>
      </c>
      <c r="C16533" t="s">
        <v>237</v>
      </c>
      <c r="D16533" s="1" t="str">
        <f t="shared" si="451"/>
        <v>PRG-1044663</v>
      </c>
      <c r="E16533" t="s">
        <v>147</v>
      </c>
      <c r="F16533" t="s">
        <v>4</v>
      </c>
      <c r="G16533" t="str">
        <f>""</f>
        <v/>
      </c>
    </row>
    <row r="16534" spans="1:7" x14ac:dyDescent="0.25">
      <c r="A16534" t="s">
        <v>8</v>
      </c>
      <c r="B16534" s="1" t="str">
        <f>"000282543 - RICH FOODS-FOODBUY"</f>
        <v>000282543 - RICH FOODS-FOODBUY</v>
      </c>
      <c r="C16534" t="s">
        <v>237</v>
      </c>
      <c r="D16534" s="1" t="str">
        <f t="shared" si="451"/>
        <v>PRG-1044663</v>
      </c>
      <c r="E16534" t="s">
        <v>147</v>
      </c>
      <c r="F16534" t="s">
        <v>4</v>
      </c>
      <c r="G16534" t="str">
        <f>""</f>
        <v/>
      </c>
    </row>
    <row r="16535" spans="1:7" x14ac:dyDescent="0.25">
      <c r="A16535" t="s">
        <v>8</v>
      </c>
      <c r="B16535" s="1" t="str">
        <f>"000282871 - RICH FOODS-FOODBUY"</f>
        <v>000282871 - RICH FOODS-FOODBUY</v>
      </c>
      <c r="C16535" t="s">
        <v>237</v>
      </c>
      <c r="D16535" s="1" t="str">
        <f t="shared" si="451"/>
        <v>PRG-1044663</v>
      </c>
      <c r="E16535" t="s">
        <v>147</v>
      </c>
      <c r="F16535" t="s">
        <v>4</v>
      </c>
      <c r="G16535" t="str">
        <f>""</f>
        <v/>
      </c>
    </row>
    <row r="16536" spans="1:7" x14ac:dyDescent="0.25">
      <c r="A16536" t="s">
        <v>8</v>
      </c>
      <c r="B16536" s="1" t="str">
        <f>"000282924 - RICH FOODS-FOODBUY"</f>
        <v>000282924 - RICH FOODS-FOODBUY</v>
      </c>
      <c r="C16536" t="s">
        <v>237</v>
      </c>
      <c r="D16536" s="1" t="str">
        <f t="shared" si="451"/>
        <v>PRG-1044663</v>
      </c>
      <c r="E16536" t="s">
        <v>147</v>
      </c>
      <c r="F16536" t="s">
        <v>4</v>
      </c>
      <c r="G16536" t="str">
        <f>""</f>
        <v/>
      </c>
    </row>
    <row r="16537" spans="1:7" x14ac:dyDescent="0.25">
      <c r="A16537" t="s">
        <v>8</v>
      </c>
      <c r="B16537" s="1" t="str">
        <f>"000283024 - RICH FOODS-FOODBUY"</f>
        <v>000283024 - RICH FOODS-FOODBUY</v>
      </c>
      <c r="C16537" t="s">
        <v>237</v>
      </c>
      <c r="D16537" s="1" t="str">
        <f t="shared" si="451"/>
        <v>PRG-1044663</v>
      </c>
      <c r="E16537" t="s">
        <v>147</v>
      </c>
      <c r="F16537" t="s">
        <v>4</v>
      </c>
      <c r="G16537" t="str">
        <f>""</f>
        <v/>
      </c>
    </row>
    <row r="16538" spans="1:7" x14ac:dyDescent="0.25">
      <c r="A16538" t="s">
        <v>8</v>
      </c>
      <c r="B16538" s="1" t="str">
        <f>"000283481 - RICH FOODS-FOODBUY"</f>
        <v>000283481 - RICH FOODS-FOODBUY</v>
      </c>
      <c r="C16538" t="s">
        <v>237</v>
      </c>
      <c r="D16538" s="1" t="str">
        <f t="shared" si="451"/>
        <v>PRG-1044663</v>
      </c>
      <c r="E16538" t="s">
        <v>147</v>
      </c>
      <c r="F16538" t="s">
        <v>4</v>
      </c>
      <c r="G16538" t="str">
        <f>""</f>
        <v/>
      </c>
    </row>
    <row r="16539" spans="1:7" x14ac:dyDescent="0.25">
      <c r="A16539" t="s">
        <v>8</v>
      </c>
      <c r="B16539" s="1" t="str">
        <f>"000284051 - RICH FOODS-FOODBUY"</f>
        <v>000284051 - RICH FOODS-FOODBUY</v>
      </c>
      <c r="C16539" t="s">
        <v>237</v>
      </c>
      <c r="D16539" s="1" t="str">
        <f t="shared" si="451"/>
        <v>PRG-1044663</v>
      </c>
      <c r="E16539" t="s">
        <v>147</v>
      </c>
      <c r="F16539" t="s">
        <v>4</v>
      </c>
      <c r="G16539" t="str">
        <f>""</f>
        <v/>
      </c>
    </row>
    <row r="16540" spans="1:7" x14ac:dyDescent="0.25">
      <c r="A16540" t="s">
        <v>8</v>
      </c>
      <c r="B16540" s="1" t="str">
        <f>"000284139 - RICH FOODS-FOODBUY"</f>
        <v>000284139 - RICH FOODS-FOODBUY</v>
      </c>
      <c r="C16540" t="s">
        <v>237</v>
      </c>
      <c r="D16540" s="1" t="str">
        <f t="shared" si="451"/>
        <v>PRG-1044663</v>
      </c>
      <c r="E16540" t="s">
        <v>147</v>
      </c>
      <c r="F16540" t="s">
        <v>4</v>
      </c>
      <c r="G16540" t="str">
        <f>""</f>
        <v/>
      </c>
    </row>
    <row r="16541" spans="1:7" x14ac:dyDescent="0.25">
      <c r="A16541" t="s">
        <v>8</v>
      </c>
      <c r="B16541" s="1" t="str">
        <f>"000284328 - RICH FOODS-FOODBUY"</f>
        <v>000284328 - RICH FOODS-FOODBUY</v>
      </c>
      <c r="C16541" t="s">
        <v>237</v>
      </c>
      <c r="D16541" s="1" t="str">
        <f t="shared" si="451"/>
        <v>PRG-1044663</v>
      </c>
      <c r="E16541" t="s">
        <v>147</v>
      </c>
      <c r="F16541" t="s">
        <v>4</v>
      </c>
      <c r="G16541" t="str">
        <f>""</f>
        <v/>
      </c>
    </row>
    <row r="16542" spans="1:7" x14ac:dyDescent="0.25">
      <c r="A16542" t="s">
        <v>8</v>
      </c>
      <c r="B16542" s="1" t="str">
        <f>"000284348 - RICH FOODS-FOODBUY"</f>
        <v>000284348 - RICH FOODS-FOODBUY</v>
      </c>
      <c r="C16542" t="s">
        <v>237</v>
      </c>
      <c r="D16542" s="1" t="str">
        <f t="shared" si="451"/>
        <v>PRG-1044663</v>
      </c>
      <c r="E16542" t="s">
        <v>147</v>
      </c>
      <c r="F16542" t="s">
        <v>4</v>
      </c>
      <c r="G16542" t="str">
        <f>""</f>
        <v/>
      </c>
    </row>
    <row r="16543" spans="1:7" x14ac:dyDescent="0.25">
      <c r="A16543" t="s">
        <v>8</v>
      </c>
      <c r="B16543" s="1" t="str">
        <f>"000284424 - RICH FOODS-FOODBUY"</f>
        <v>000284424 - RICH FOODS-FOODBUY</v>
      </c>
      <c r="C16543" t="s">
        <v>237</v>
      </c>
      <c r="D16543" s="1" t="str">
        <f t="shared" si="451"/>
        <v>PRG-1044663</v>
      </c>
      <c r="E16543" t="s">
        <v>147</v>
      </c>
      <c r="F16543" t="s">
        <v>4</v>
      </c>
      <c r="G16543" t="str">
        <f>""</f>
        <v/>
      </c>
    </row>
    <row r="16544" spans="1:7" x14ac:dyDescent="0.25">
      <c r="A16544" t="s">
        <v>8</v>
      </c>
      <c r="B16544" s="1" t="str">
        <f>"000284466 - RICH FOODS-FOODBUY"</f>
        <v>000284466 - RICH FOODS-FOODBUY</v>
      </c>
      <c r="C16544" t="s">
        <v>237</v>
      </c>
      <c r="D16544" s="1" t="str">
        <f t="shared" si="451"/>
        <v>PRG-1044663</v>
      </c>
      <c r="E16544" t="s">
        <v>147</v>
      </c>
      <c r="F16544" t="s">
        <v>4</v>
      </c>
      <c r="G16544" t="str">
        <f>""</f>
        <v/>
      </c>
    </row>
    <row r="16545" spans="1:7" x14ac:dyDescent="0.25">
      <c r="A16545" t="s">
        <v>8</v>
      </c>
      <c r="B16545" s="1" t="str">
        <f>"000284632 - RICH FOODS-FOODBUY"</f>
        <v>000284632 - RICH FOODS-FOODBUY</v>
      </c>
      <c r="C16545" t="s">
        <v>237</v>
      </c>
      <c r="D16545" s="1" t="str">
        <f t="shared" si="451"/>
        <v>PRG-1044663</v>
      </c>
      <c r="E16545" t="s">
        <v>147</v>
      </c>
      <c r="F16545" t="s">
        <v>4</v>
      </c>
      <c r="G16545" t="str">
        <f>""</f>
        <v/>
      </c>
    </row>
    <row r="16546" spans="1:7" x14ac:dyDescent="0.25">
      <c r="A16546" t="s">
        <v>8</v>
      </c>
      <c r="B16546" s="1" t="str">
        <f>"000285107 - RICH FOODS-FOODBUY"</f>
        <v>000285107 - RICH FOODS-FOODBUY</v>
      </c>
      <c r="C16546" t="s">
        <v>237</v>
      </c>
      <c r="D16546" s="1" t="str">
        <f t="shared" si="451"/>
        <v>PRG-1044663</v>
      </c>
      <c r="E16546" t="s">
        <v>147</v>
      </c>
      <c r="F16546" t="s">
        <v>4</v>
      </c>
      <c r="G16546" t="str">
        <f>""</f>
        <v/>
      </c>
    </row>
    <row r="16547" spans="1:7" x14ac:dyDescent="0.25">
      <c r="A16547" t="s">
        <v>8</v>
      </c>
      <c r="B16547" s="1" t="str">
        <f>"000285401 - RICH FOODS-FOODBUY"</f>
        <v>000285401 - RICH FOODS-FOODBUY</v>
      </c>
      <c r="C16547" t="s">
        <v>237</v>
      </c>
      <c r="D16547" s="1" t="str">
        <f t="shared" si="451"/>
        <v>PRG-1044663</v>
      </c>
      <c r="E16547" t="s">
        <v>147</v>
      </c>
      <c r="F16547" t="s">
        <v>4</v>
      </c>
      <c r="G16547" t="str">
        <f>""</f>
        <v/>
      </c>
    </row>
    <row r="16548" spans="1:7" x14ac:dyDescent="0.25">
      <c r="A16548" t="s">
        <v>8</v>
      </c>
      <c r="B16548" s="1" t="str">
        <f>"000286062 - RICH FOODS-FOODBUY"</f>
        <v>000286062 - RICH FOODS-FOODBUY</v>
      </c>
      <c r="C16548" t="s">
        <v>237</v>
      </c>
      <c r="D16548" s="1" t="str">
        <f t="shared" si="451"/>
        <v>PRG-1044663</v>
      </c>
      <c r="E16548" t="s">
        <v>147</v>
      </c>
      <c r="F16548" t="s">
        <v>4</v>
      </c>
      <c r="G16548" t="str">
        <f>""</f>
        <v/>
      </c>
    </row>
    <row r="16549" spans="1:7" x14ac:dyDescent="0.25">
      <c r="A16549" t="s">
        <v>8</v>
      </c>
      <c r="B16549" s="1" t="str">
        <f>"000286147 - RICH FOODS-FOODBUY"</f>
        <v>000286147 - RICH FOODS-FOODBUY</v>
      </c>
      <c r="C16549" t="s">
        <v>237</v>
      </c>
      <c r="D16549" s="1" t="str">
        <f t="shared" si="451"/>
        <v>PRG-1044663</v>
      </c>
      <c r="E16549" t="s">
        <v>147</v>
      </c>
      <c r="F16549" t="s">
        <v>4</v>
      </c>
      <c r="G16549" t="str">
        <f>""</f>
        <v/>
      </c>
    </row>
    <row r="16550" spans="1:7" x14ac:dyDescent="0.25">
      <c r="A16550" t="s">
        <v>8</v>
      </c>
      <c r="B16550" s="1" t="str">
        <f>"000286278 - RICH FOODS-FOODBUY"</f>
        <v>000286278 - RICH FOODS-FOODBUY</v>
      </c>
      <c r="C16550" t="s">
        <v>237</v>
      </c>
      <c r="D16550" s="1" t="str">
        <f t="shared" si="451"/>
        <v>PRG-1044663</v>
      </c>
      <c r="E16550" t="s">
        <v>147</v>
      </c>
      <c r="F16550" t="s">
        <v>4</v>
      </c>
      <c r="G16550" t="str">
        <f>""</f>
        <v/>
      </c>
    </row>
    <row r="16551" spans="1:7" x14ac:dyDescent="0.25">
      <c r="A16551" t="s">
        <v>8</v>
      </c>
      <c r="B16551" s="1" t="str">
        <f>"000286284 - RICH FOODS-FOODBUY"</f>
        <v>000286284 - RICH FOODS-FOODBUY</v>
      </c>
      <c r="C16551" t="s">
        <v>237</v>
      </c>
      <c r="D16551" s="1" t="str">
        <f t="shared" si="451"/>
        <v>PRG-1044663</v>
      </c>
      <c r="E16551" t="s">
        <v>147</v>
      </c>
      <c r="F16551" t="s">
        <v>4</v>
      </c>
      <c r="G16551" t="str">
        <f>""</f>
        <v/>
      </c>
    </row>
    <row r="16552" spans="1:7" x14ac:dyDescent="0.25">
      <c r="A16552" t="s">
        <v>8</v>
      </c>
      <c r="B16552" s="1" t="str">
        <f>"000286446 - RICH FOODS-FOODBUY"</f>
        <v>000286446 - RICH FOODS-FOODBUY</v>
      </c>
      <c r="C16552" t="s">
        <v>237</v>
      </c>
      <c r="D16552" s="1" t="str">
        <f t="shared" si="451"/>
        <v>PRG-1044663</v>
      </c>
      <c r="E16552" t="s">
        <v>147</v>
      </c>
      <c r="F16552" t="s">
        <v>4</v>
      </c>
      <c r="G16552" t="str">
        <f>""</f>
        <v/>
      </c>
    </row>
    <row r="16553" spans="1:7" x14ac:dyDescent="0.25">
      <c r="A16553" t="s">
        <v>8</v>
      </c>
      <c r="B16553" s="1" t="str">
        <f>"000286495 - RICH FOODS-FOODBUY"</f>
        <v>000286495 - RICH FOODS-FOODBUY</v>
      </c>
      <c r="C16553" t="s">
        <v>237</v>
      </c>
      <c r="D16553" s="1" t="str">
        <f t="shared" si="451"/>
        <v>PRG-1044663</v>
      </c>
      <c r="E16553" t="s">
        <v>147</v>
      </c>
      <c r="F16553" t="s">
        <v>4</v>
      </c>
      <c r="G16553" t="str">
        <f>""</f>
        <v/>
      </c>
    </row>
    <row r="16554" spans="1:7" x14ac:dyDescent="0.25">
      <c r="A16554" t="s">
        <v>8</v>
      </c>
      <c r="B16554" s="1" t="str">
        <f>"000286661 - RICH FOODS-FOODBUY"</f>
        <v>000286661 - RICH FOODS-FOODBUY</v>
      </c>
      <c r="C16554" t="s">
        <v>237</v>
      </c>
      <c r="D16554" s="1" t="str">
        <f t="shared" si="451"/>
        <v>PRG-1044663</v>
      </c>
      <c r="E16554" t="s">
        <v>147</v>
      </c>
      <c r="F16554" t="s">
        <v>4</v>
      </c>
      <c r="G16554" t="str">
        <f>""</f>
        <v/>
      </c>
    </row>
    <row r="16555" spans="1:7" x14ac:dyDescent="0.25">
      <c r="A16555" t="s">
        <v>8</v>
      </c>
      <c r="B16555" s="1" t="str">
        <f>"000287027 - RICH FOODS-FOODBUY"</f>
        <v>000287027 - RICH FOODS-FOODBUY</v>
      </c>
      <c r="C16555" t="s">
        <v>237</v>
      </c>
      <c r="D16555" s="1" t="str">
        <f t="shared" si="451"/>
        <v>PRG-1044663</v>
      </c>
      <c r="E16555" t="s">
        <v>147</v>
      </c>
      <c r="F16555" t="s">
        <v>4</v>
      </c>
      <c r="G16555" t="str">
        <f>""</f>
        <v/>
      </c>
    </row>
    <row r="16556" spans="1:7" x14ac:dyDescent="0.25">
      <c r="A16556" t="s">
        <v>8</v>
      </c>
      <c r="B16556" s="1" t="str">
        <f>"000287164 - RICH FOODS-FOODBUY"</f>
        <v>000287164 - RICH FOODS-FOODBUY</v>
      </c>
      <c r="C16556" t="s">
        <v>237</v>
      </c>
      <c r="D16556" s="1" t="str">
        <f t="shared" si="451"/>
        <v>PRG-1044663</v>
      </c>
      <c r="E16556" t="s">
        <v>147</v>
      </c>
      <c r="F16556" t="s">
        <v>4</v>
      </c>
      <c r="G16556" t="str">
        <f>""</f>
        <v/>
      </c>
    </row>
    <row r="16557" spans="1:7" x14ac:dyDescent="0.25">
      <c r="A16557" t="s">
        <v>8</v>
      </c>
      <c r="B16557" s="1" t="str">
        <f>"000287533 - RICH FOODS-FOODBUY"</f>
        <v>000287533 - RICH FOODS-FOODBUY</v>
      </c>
      <c r="C16557" t="s">
        <v>237</v>
      </c>
      <c r="D16557" s="1" t="str">
        <f t="shared" si="451"/>
        <v>PRG-1044663</v>
      </c>
      <c r="E16557" t="s">
        <v>147</v>
      </c>
      <c r="F16557" t="s">
        <v>4</v>
      </c>
      <c r="G16557" t="str">
        <f>""</f>
        <v/>
      </c>
    </row>
    <row r="16558" spans="1:7" x14ac:dyDescent="0.25">
      <c r="A16558" t="s">
        <v>8</v>
      </c>
      <c r="B16558" s="1" t="str">
        <f>"000287654 - RICH FOODS-FOODBUY"</f>
        <v>000287654 - RICH FOODS-FOODBUY</v>
      </c>
      <c r="C16558" t="s">
        <v>237</v>
      </c>
      <c r="D16558" s="1" t="str">
        <f t="shared" si="451"/>
        <v>PRG-1044663</v>
      </c>
      <c r="E16558" t="s">
        <v>147</v>
      </c>
      <c r="F16558" t="s">
        <v>4</v>
      </c>
      <c r="G16558" t="str">
        <f>""</f>
        <v/>
      </c>
    </row>
    <row r="16559" spans="1:7" x14ac:dyDescent="0.25">
      <c r="A16559" t="s">
        <v>8</v>
      </c>
      <c r="B16559" s="1" t="str">
        <f>"000287993 - RICH FOODS-FOODBUY"</f>
        <v>000287993 - RICH FOODS-FOODBUY</v>
      </c>
      <c r="C16559" t="s">
        <v>237</v>
      </c>
      <c r="D16559" s="1" t="str">
        <f t="shared" si="451"/>
        <v>PRG-1044663</v>
      </c>
      <c r="E16559" t="s">
        <v>147</v>
      </c>
      <c r="F16559" t="s">
        <v>4</v>
      </c>
      <c r="G16559" t="str">
        <f>""</f>
        <v/>
      </c>
    </row>
    <row r="16560" spans="1:7" x14ac:dyDescent="0.25">
      <c r="A16560" t="s">
        <v>8</v>
      </c>
      <c r="B16560" s="1" t="str">
        <f>"000288071 - RICH FOODS-FOODBUY"</f>
        <v>000288071 - RICH FOODS-FOODBUY</v>
      </c>
      <c r="C16560" t="s">
        <v>237</v>
      </c>
      <c r="D16560" s="1" t="str">
        <f t="shared" si="451"/>
        <v>PRG-1044663</v>
      </c>
      <c r="E16560" t="s">
        <v>147</v>
      </c>
      <c r="F16560" t="s">
        <v>4</v>
      </c>
      <c r="G16560" t="str">
        <f>""</f>
        <v/>
      </c>
    </row>
    <row r="16561" spans="1:7" x14ac:dyDescent="0.25">
      <c r="A16561" t="s">
        <v>8</v>
      </c>
      <c r="B16561" s="1" t="str">
        <f>"000288213 - RICH FOODS-FOODBUY"</f>
        <v>000288213 - RICH FOODS-FOODBUY</v>
      </c>
      <c r="C16561" t="s">
        <v>237</v>
      </c>
      <c r="D16561" s="1" t="str">
        <f t="shared" si="451"/>
        <v>PRG-1044663</v>
      </c>
      <c r="E16561" t="s">
        <v>147</v>
      </c>
      <c r="F16561" t="s">
        <v>4</v>
      </c>
      <c r="G16561" t="str">
        <f>""</f>
        <v/>
      </c>
    </row>
    <row r="16562" spans="1:7" x14ac:dyDescent="0.25">
      <c r="A16562" t="s">
        <v>8</v>
      </c>
      <c r="B16562" s="1" t="str">
        <f>"000288249 - RICH FOODS-FOODBUY"</f>
        <v>000288249 - RICH FOODS-FOODBUY</v>
      </c>
      <c r="C16562" t="s">
        <v>237</v>
      </c>
      <c r="D16562" s="1" t="str">
        <f t="shared" si="451"/>
        <v>PRG-1044663</v>
      </c>
      <c r="E16562" t="s">
        <v>147</v>
      </c>
      <c r="F16562" t="s">
        <v>4</v>
      </c>
      <c r="G16562" t="str">
        <f>""</f>
        <v/>
      </c>
    </row>
    <row r="16563" spans="1:7" x14ac:dyDescent="0.25">
      <c r="A16563" t="s">
        <v>8</v>
      </c>
      <c r="B16563" s="1" t="str">
        <f>"000288413 - RICH FOODS-FOODBUY"</f>
        <v>000288413 - RICH FOODS-FOODBUY</v>
      </c>
      <c r="C16563" t="s">
        <v>237</v>
      </c>
      <c r="D16563" s="1" t="str">
        <f t="shared" si="451"/>
        <v>PRG-1044663</v>
      </c>
      <c r="E16563" t="s">
        <v>147</v>
      </c>
      <c r="F16563" t="s">
        <v>4</v>
      </c>
      <c r="G16563" t="str">
        <f>""</f>
        <v/>
      </c>
    </row>
    <row r="16564" spans="1:7" x14ac:dyDescent="0.25">
      <c r="A16564" t="s">
        <v>8</v>
      </c>
      <c r="B16564" s="1" t="str">
        <f>"000288576 - RICH FOODS-FOODBUY"</f>
        <v>000288576 - RICH FOODS-FOODBUY</v>
      </c>
      <c r="C16564" t="s">
        <v>237</v>
      </c>
      <c r="D16564" s="1" t="str">
        <f t="shared" si="451"/>
        <v>PRG-1044663</v>
      </c>
      <c r="E16564" t="s">
        <v>147</v>
      </c>
      <c r="F16564" t="s">
        <v>4</v>
      </c>
      <c r="G16564" t="str">
        <f>""</f>
        <v/>
      </c>
    </row>
    <row r="16565" spans="1:7" x14ac:dyDescent="0.25">
      <c r="A16565" t="s">
        <v>8</v>
      </c>
      <c r="B16565" s="1" t="str">
        <f>"000289290 - RICH FOODS-FOODBUY"</f>
        <v>000289290 - RICH FOODS-FOODBUY</v>
      </c>
      <c r="C16565" t="s">
        <v>237</v>
      </c>
      <c r="D16565" s="1" t="str">
        <f t="shared" si="451"/>
        <v>PRG-1044663</v>
      </c>
      <c r="E16565" t="s">
        <v>147</v>
      </c>
      <c r="F16565" t="s">
        <v>4</v>
      </c>
      <c r="G16565" t="str">
        <f>""</f>
        <v/>
      </c>
    </row>
    <row r="16566" spans="1:7" x14ac:dyDescent="0.25">
      <c r="A16566" t="s">
        <v>8</v>
      </c>
      <c r="B16566" s="1" t="str">
        <f>"000289765 - RICH FOODS-FOODBUY"</f>
        <v>000289765 - RICH FOODS-FOODBUY</v>
      </c>
      <c r="C16566" t="s">
        <v>237</v>
      </c>
      <c r="D16566" s="1" t="str">
        <f t="shared" si="451"/>
        <v>PRG-1044663</v>
      </c>
      <c r="E16566" t="s">
        <v>147</v>
      </c>
      <c r="F16566" t="s">
        <v>4</v>
      </c>
      <c r="G16566" t="str">
        <f>""</f>
        <v/>
      </c>
    </row>
    <row r="16567" spans="1:7" x14ac:dyDescent="0.25">
      <c r="A16567" t="s">
        <v>8</v>
      </c>
      <c r="B16567" s="1" t="str">
        <f>"000289929 - RICH FOODS-FOODBUY"</f>
        <v>000289929 - RICH FOODS-FOODBUY</v>
      </c>
      <c r="C16567" t="s">
        <v>237</v>
      </c>
      <c r="D16567" s="1" t="str">
        <f t="shared" si="451"/>
        <v>PRG-1044663</v>
      </c>
      <c r="E16567" t="s">
        <v>147</v>
      </c>
      <c r="F16567" t="s">
        <v>4</v>
      </c>
      <c r="G16567" t="str">
        <f>""</f>
        <v/>
      </c>
    </row>
    <row r="16568" spans="1:7" x14ac:dyDescent="0.25">
      <c r="A16568" t="s">
        <v>8</v>
      </c>
      <c r="B16568" s="1" t="str">
        <f>"000290004 - RICH FOODS-FOODBUY"</f>
        <v>000290004 - RICH FOODS-FOODBUY</v>
      </c>
      <c r="C16568" t="s">
        <v>237</v>
      </c>
      <c r="D16568" s="1" t="str">
        <f t="shared" si="451"/>
        <v>PRG-1044663</v>
      </c>
      <c r="E16568" t="s">
        <v>147</v>
      </c>
      <c r="F16568" t="s">
        <v>4</v>
      </c>
      <c r="G16568" t="str">
        <f>""</f>
        <v/>
      </c>
    </row>
    <row r="16569" spans="1:7" x14ac:dyDescent="0.25">
      <c r="A16569" t="s">
        <v>8</v>
      </c>
      <c r="B16569" s="1" t="str">
        <f>"000290190 - RICH FOODS-FOODBUY"</f>
        <v>000290190 - RICH FOODS-FOODBUY</v>
      </c>
      <c r="C16569" t="s">
        <v>237</v>
      </c>
      <c r="D16569" s="1" t="str">
        <f t="shared" si="451"/>
        <v>PRG-1044663</v>
      </c>
      <c r="E16569" t="s">
        <v>147</v>
      </c>
      <c r="F16569" t="s">
        <v>4</v>
      </c>
      <c r="G16569" t="str">
        <f>""</f>
        <v/>
      </c>
    </row>
    <row r="16570" spans="1:7" x14ac:dyDescent="0.25">
      <c r="A16570" t="s">
        <v>8</v>
      </c>
      <c r="B16570" s="1" t="str">
        <f>"000290203 - RICH FOODS-FOODBUY"</f>
        <v>000290203 - RICH FOODS-FOODBUY</v>
      </c>
      <c r="C16570" t="s">
        <v>237</v>
      </c>
      <c r="D16570" s="1" t="str">
        <f t="shared" si="451"/>
        <v>PRG-1044663</v>
      </c>
      <c r="E16570" t="s">
        <v>147</v>
      </c>
      <c r="F16570" t="s">
        <v>4</v>
      </c>
      <c r="G16570" t="str">
        <f>""</f>
        <v/>
      </c>
    </row>
    <row r="16571" spans="1:7" x14ac:dyDescent="0.25">
      <c r="A16571" t="s">
        <v>8</v>
      </c>
      <c r="B16571" s="1" t="str">
        <f>"000290257 - RICH FOODS-FOODBUY"</f>
        <v>000290257 - RICH FOODS-FOODBUY</v>
      </c>
      <c r="C16571" t="s">
        <v>237</v>
      </c>
      <c r="D16571" s="1" t="str">
        <f t="shared" si="451"/>
        <v>PRG-1044663</v>
      </c>
      <c r="E16571" t="s">
        <v>147</v>
      </c>
      <c r="F16571" t="s">
        <v>4</v>
      </c>
      <c r="G16571" t="str">
        <f>""</f>
        <v/>
      </c>
    </row>
    <row r="16572" spans="1:7" x14ac:dyDescent="0.25">
      <c r="A16572" t="s">
        <v>8</v>
      </c>
      <c r="B16572" s="1" t="str">
        <f>"000290313 - RICH FOODS-FOODBUY"</f>
        <v>000290313 - RICH FOODS-FOODBUY</v>
      </c>
      <c r="C16572" t="s">
        <v>237</v>
      </c>
      <c r="D16572" s="1" t="str">
        <f t="shared" si="451"/>
        <v>PRG-1044663</v>
      </c>
      <c r="E16572" t="s">
        <v>147</v>
      </c>
      <c r="F16572" t="s">
        <v>4</v>
      </c>
      <c r="G16572" t="str">
        <f>""</f>
        <v/>
      </c>
    </row>
    <row r="16573" spans="1:7" x14ac:dyDescent="0.25">
      <c r="A16573" t="s">
        <v>8</v>
      </c>
      <c r="B16573" s="1" t="str">
        <f>"000290484 - RICH FOODS-FOODBUY"</f>
        <v>000290484 - RICH FOODS-FOODBUY</v>
      </c>
      <c r="C16573" t="s">
        <v>237</v>
      </c>
      <c r="D16573" s="1" t="str">
        <f t="shared" ref="D16573:D16636" si="452">"PRG-1044663"</f>
        <v>PRG-1044663</v>
      </c>
      <c r="E16573" t="s">
        <v>147</v>
      </c>
      <c r="F16573" t="s">
        <v>4</v>
      </c>
      <c r="G16573" t="str">
        <f>""</f>
        <v/>
      </c>
    </row>
    <row r="16574" spans="1:7" x14ac:dyDescent="0.25">
      <c r="A16574" t="s">
        <v>8</v>
      </c>
      <c r="B16574" s="1" t="str">
        <f>"000290550 - RICH FOODS-FOODBUY"</f>
        <v>000290550 - RICH FOODS-FOODBUY</v>
      </c>
      <c r="C16574" t="s">
        <v>237</v>
      </c>
      <c r="D16574" s="1" t="str">
        <f t="shared" si="452"/>
        <v>PRG-1044663</v>
      </c>
      <c r="E16574" t="s">
        <v>147</v>
      </c>
      <c r="F16574" t="s">
        <v>4</v>
      </c>
      <c r="G16574" t="str">
        <f>""</f>
        <v/>
      </c>
    </row>
    <row r="16575" spans="1:7" x14ac:dyDescent="0.25">
      <c r="A16575" t="s">
        <v>8</v>
      </c>
      <c r="B16575" s="1" t="str">
        <f>"000290578 - RICH FOODS-FOODBUY"</f>
        <v>000290578 - RICH FOODS-FOODBUY</v>
      </c>
      <c r="C16575" t="s">
        <v>237</v>
      </c>
      <c r="D16575" s="1" t="str">
        <f t="shared" si="452"/>
        <v>PRG-1044663</v>
      </c>
      <c r="E16575" t="s">
        <v>147</v>
      </c>
      <c r="F16575" t="s">
        <v>4</v>
      </c>
      <c r="G16575" t="str">
        <f>""</f>
        <v/>
      </c>
    </row>
    <row r="16576" spans="1:7" x14ac:dyDescent="0.25">
      <c r="A16576" t="s">
        <v>8</v>
      </c>
      <c r="B16576" s="1" t="str">
        <f>"000291204 - RICH FOODS-FOODBUY"</f>
        <v>000291204 - RICH FOODS-FOODBUY</v>
      </c>
      <c r="C16576" t="s">
        <v>237</v>
      </c>
      <c r="D16576" s="1" t="str">
        <f t="shared" si="452"/>
        <v>PRG-1044663</v>
      </c>
      <c r="E16576" t="s">
        <v>147</v>
      </c>
      <c r="F16576" t="s">
        <v>4</v>
      </c>
      <c r="G16576" t="str">
        <f>""</f>
        <v/>
      </c>
    </row>
    <row r="16577" spans="1:7" x14ac:dyDescent="0.25">
      <c r="A16577" t="s">
        <v>8</v>
      </c>
      <c r="B16577" s="1" t="str">
        <f>"000292174 - RICH FOODS-FOODBUY"</f>
        <v>000292174 - RICH FOODS-FOODBUY</v>
      </c>
      <c r="C16577" t="s">
        <v>237</v>
      </c>
      <c r="D16577" s="1" t="str">
        <f t="shared" si="452"/>
        <v>PRG-1044663</v>
      </c>
      <c r="E16577" t="s">
        <v>147</v>
      </c>
      <c r="F16577" t="s">
        <v>4</v>
      </c>
      <c r="G16577" t="str">
        <f>""</f>
        <v/>
      </c>
    </row>
    <row r="16578" spans="1:7" x14ac:dyDescent="0.25">
      <c r="A16578" t="s">
        <v>8</v>
      </c>
      <c r="B16578" s="1" t="str">
        <f>"000292276 - RICH FOODS-FOODBUY"</f>
        <v>000292276 - RICH FOODS-FOODBUY</v>
      </c>
      <c r="C16578" t="s">
        <v>237</v>
      </c>
      <c r="D16578" s="1" t="str">
        <f t="shared" si="452"/>
        <v>PRG-1044663</v>
      </c>
      <c r="E16578" t="s">
        <v>147</v>
      </c>
      <c r="F16578" t="s">
        <v>4</v>
      </c>
      <c r="G16578" t="str">
        <f>""</f>
        <v/>
      </c>
    </row>
    <row r="16579" spans="1:7" x14ac:dyDescent="0.25">
      <c r="A16579" t="s">
        <v>8</v>
      </c>
      <c r="B16579" s="1" t="str">
        <f>"000292341 - RICH FOODS-FOODBUY"</f>
        <v>000292341 - RICH FOODS-FOODBUY</v>
      </c>
      <c r="C16579" t="s">
        <v>237</v>
      </c>
      <c r="D16579" s="1" t="str">
        <f t="shared" si="452"/>
        <v>PRG-1044663</v>
      </c>
      <c r="E16579" t="s">
        <v>147</v>
      </c>
      <c r="F16579" t="s">
        <v>4</v>
      </c>
      <c r="G16579" t="str">
        <f>""</f>
        <v/>
      </c>
    </row>
    <row r="16580" spans="1:7" x14ac:dyDescent="0.25">
      <c r="A16580" t="s">
        <v>8</v>
      </c>
      <c r="B16580" s="1" t="str">
        <f>"000292392 - RICH FOODS-FOODBUY"</f>
        <v>000292392 - RICH FOODS-FOODBUY</v>
      </c>
      <c r="C16580" t="s">
        <v>237</v>
      </c>
      <c r="D16580" s="1" t="str">
        <f t="shared" si="452"/>
        <v>PRG-1044663</v>
      </c>
      <c r="E16580" t="s">
        <v>147</v>
      </c>
      <c r="F16580" t="s">
        <v>4</v>
      </c>
      <c r="G16580" t="str">
        <f>""</f>
        <v/>
      </c>
    </row>
    <row r="16581" spans="1:7" x14ac:dyDescent="0.25">
      <c r="A16581" t="s">
        <v>8</v>
      </c>
      <c r="B16581" s="1" t="str">
        <f>"000292479 - RICH FOODS-FOODBUY"</f>
        <v>000292479 - RICH FOODS-FOODBUY</v>
      </c>
      <c r="C16581" t="s">
        <v>237</v>
      </c>
      <c r="D16581" s="1" t="str">
        <f t="shared" si="452"/>
        <v>PRG-1044663</v>
      </c>
      <c r="E16581" t="s">
        <v>147</v>
      </c>
      <c r="F16581" t="s">
        <v>4</v>
      </c>
      <c r="G16581" t="str">
        <f>""</f>
        <v/>
      </c>
    </row>
    <row r="16582" spans="1:7" x14ac:dyDescent="0.25">
      <c r="A16582" t="s">
        <v>8</v>
      </c>
      <c r="B16582" s="1" t="str">
        <f>"000293213 - RICH FOODS-FOODBUY"</f>
        <v>000293213 - RICH FOODS-FOODBUY</v>
      </c>
      <c r="C16582" t="s">
        <v>237</v>
      </c>
      <c r="D16582" s="1" t="str">
        <f t="shared" si="452"/>
        <v>PRG-1044663</v>
      </c>
      <c r="E16582" t="s">
        <v>147</v>
      </c>
      <c r="F16582" t="s">
        <v>4</v>
      </c>
      <c r="G16582" t="str">
        <f>""</f>
        <v/>
      </c>
    </row>
    <row r="16583" spans="1:7" x14ac:dyDescent="0.25">
      <c r="A16583" t="s">
        <v>8</v>
      </c>
      <c r="B16583" s="1" t="str">
        <f>"000293933 - RICH FOODS-FOODBUY"</f>
        <v>000293933 - RICH FOODS-FOODBUY</v>
      </c>
      <c r="C16583" t="s">
        <v>237</v>
      </c>
      <c r="D16583" s="1" t="str">
        <f t="shared" si="452"/>
        <v>PRG-1044663</v>
      </c>
      <c r="E16583" t="s">
        <v>147</v>
      </c>
      <c r="F16583" t="s">
        <v>4</v>
      </c>
      <c r="G16583" t="str">
        <f>""</f>
        <v/>
      </c>
    </row>
    <row r="16584" spans="1:7" x14ac:dyDescent="0.25">
      <c r="A16584" t="s">
        <v>8</v>
      </c>
      <c r="B16584" s="1" t="str">
        <f>"000293940 - RICH FOODS-FOODBUY"</f>
        <v>000293940 - RICH FOODS-FOODBUY</v>
      </c>
      <c r="C16584" t="s">
        <v>237</v>
      </c>
      <c r="D16584" s="1" t="str">
        <f t="shared" si="452"/>
        <v>PRG-1044663</v>
      </c>
      <c r="E16584" t="s">
        <v>147</v>
      </c>
      <c r="F16584" t="s">
        <v>4</v>
      </c>
      <c r="G16584" t="str">
        <f>""</f>
        <v/>
      </c>
    </row>
    <row r="16585" spans="1:7" x14ac:dyDescent="0.25">
      <c r="A16585" t="s">
        <v>8</v>
      </c>
      <c r="B16585" s="1" t="str">
        <f>"000294034 - RICH FOODS-FOODBUY"</f>
        <v>000294034 - RICH FOODS-FOODBUY</v>
      </c>
      <c r="C16585" t="s">
        <v>237</v>
      </c>
      <c r="D16585" s="1" t="str">
        <f t="shared" si="452"/>
        <v>PRG-1044663</v>
      </c>
      <c r="E16585" t="s">
        <v>147</v>
      </c>
      <c r="F16585" t="s">
        <v>4</v>
      </c>
      <c r="G16585" t="str">
        <f>""</f>
        <v/>
      </c>
    </row>
    <row r="16586" spans="1:7" x14ac:dyDescent="0.25">
      <c r="A16586" t="s">
        <v>8</v>
      </c>
      <c r="B16586" s="1" t="str">
        <f>"000294123 - RICH FOODS-FOODBUY"</f>
        <v>000294123 - RICH FOODS-FOODBUY</v>
      </c>
      <c r="C16586" t="s">
        <v>237</v>
      </c>
      <c r="D16586" s="1" t="str">
        <f t="shared" si="452"/>
        <v>PRG-1044663</v>
      </c>
      <c r="E16586" t="s">
        <v>147</v>
      </c>
      <c r="F16586" t="s">
        <v>4</v>
      </c>
      <c r="G16586" t="str">
        <f>""</f>
        <v/>
      </c>
    </row>
    <row r="16587" spans="1:7" x14ac:dyDescent="0.25">
      <c r="A16587" t="s">
        <v>8</v>
      </c>
      <c r="B16587" s="1" t="str">
        <f>"000294321 - RICH FOODS-FOODBUY"</f>
        <v>000294321 - RICH FOODS-FOODBUY</v>
      </c>
      <c r="C16587" t="s">
        <v>237</v>
      </c>
      <c r="D16587" s="1" t="str">
        <f t="shared" si="452"/>
        <v>PRG-1044663</v>
      </c>
      <c r="E16587" t="s">
        <v>147</v>
      </c>
      <c r="F16587" t="s">
        <v>4</v>
      </c>
      <c r="G16587" t="str">
        <f>""</f>
        <v/>
      </c>
    </row>
    <row r="16588" spans="1:7" x14ac:dyDescent="0.25">
      <c r="A16588" t="s">
        <v>8</v>
      </c>
      <c r="B16588" s="1" t="str">
        <f>"000295005 - RICH FOODS-FOODBUY"</f>
        <v>000295005 - RICH FOODS-FOODBUY</v>
      </c>
      <c r="C16588" t="s">
        <v>237</v>
      </c>
      <c r="D16588" s="1" t="str">
        <f t="shared" si="452"/>
        <v>PRG-1044663</v>
      </c>
      <c r="E16588" t="s">
        <v>147</v>
      </c>
      <c r="F16588" t="s">
        <v>4</v>
      </c>
      <c r="G16588" t="str">
        <f>""</f>
        <v/>
      </c>
    </row>
    <row r="16589" spans="1:7" x14ac:dyDescent="0.25">
      <c r="A16589" t="s">
        <v>8</v>
      </c>
      <c r="B16589" s="1" t="str">
        <f>"000295311 - RICH FOODS-FOODBUY"</f>
        <v>000295311 - RICH FOODS-FOODBUY</v>
      </c>
      <c r="C16589" t="s">
        <v>237</v>
      </c>
      <c r="D16589" s="1" t="str">
        <f t="shared" si="452"/>
        <v>PRG-1044663</v>
      </c>
      <c r="E16589" t="s">
        <v>147</v>
      </c>
      <c r="F16589" t="s">
        <v>4</v>
      </c>
      <c r="G16589" t="str">
        <f>""</f>
        <v/>
      </c>
    </row>
    <row r="16590" spans="1:7" x14ac:dyDescent="0.25">
      <c r="A16590" t="s">
        <v>8</v>
      </c>
      <c r="B16590" s="1" t="str">
        <f>"000295462 - RICH FOODS-FOODBUY"</f>
        <v>000295462 - RICH FOODS-FOODBUY</v>
      </c>
      <c r="C16590" t="s">
        <v>237</v>
      </c>
      <c r="D16590" s="1" t="str">
        <f t="shared" si="452"/>
        <v>PRG-1044663</v>
      </c>
      <c r="E16590" t="s">
        <v>147</v>
      </c>
      <c r="F16590" t="s">
        <v>4</v>
      </c>
      <c r="G16590" t="str">
        <f>""</f>
        <v/>
      </c>
    </row>
    <row r="16591" spans="1:7" x14ac:dyDescent="0.25">
      <c r="A16591" t="s">
        <v>8</v>
      </c>
      <c r="B16591" s="1" t="str">
        <f>"000295565 - RICH FOODS-FOODBUY"</f>
        <v>000295565 - RICH FOODS-FOODBUY</v>
      </c>
      <c r="C16591" t="s">
        <v>237</v>
      </c>
      <c r="D16591" s="1" t="str">
        <f t="shared" si="452"/>
        <v>PRG-1044663</v>
      </c>
      <c r="E16591" t="s">
        <v>147</v>
      </c>
      <c r="F16591" t="s">
        <v>4</v>
      </c>
      <c r="G16591" t="str">
        <f>""</f>
        <v/>
      </c>
    </row>
    <row r="16592" spans="1:7" x14ac:dyDescent="0.25">
      <c r="A16592" t="s">
        <v>8</v>
      </c>
      <c r="B16592" s="1" t="str">
        <f>"000295566 - RICH FOODS-FOODBUY"</f>
        <v>000295566 - RICH FOODS-FOODBUY</v>
      </c>
      <c r="C16592" t="s">
        <v>237</v>
      </c>
      <c r="D16592" s="1" t="str">
        <f t="shared" si="452"/>
        <v>PRG-1044663</v>
      </c>
      <c r="E16592" t="s">
        <v>147</v>
      </c>
      <c r="F16592" t="s">
        <v>4</v>
      </c>
      <c r="G16592" t="str">
        <f>""</f>
        <v/>
      </c>
    </row>
    <row r="16593" spans="1:7" x14ac:dyDescent="0.25">
      <c r="A16593" t="s">
        <v>8</v>
      </c>
      <c r="B16593" s="1" t="str">
        <f>"000295650 - RICH FOODS-FOODBUY"</f>
        <v>000295650 - RICH FOODS-FOODBUY</v>
      </c>
      <c r="C16593" t="s">
        <v>237</v>
      </c>
      <c r="D16593" s="1" t="str">
        <f t="shared" si="452"/>
        <v>PRG-1044663</v>
      </c>
      <c r="E16593" t="s">
        <v>147</v>
      </c>
      <c r="F16593" t="s">
        <v>4</v>
      </c>
      <c r="G16593" t="str">
        <f>""</f>
        <v/>
      </c>
    </row>
    <row r="16594" spans="1:7" x14ac:dyDescent="0.25">
      <c r="A16594" t="s">
        <v>8</v>
      </c>
      <c r="B16594" s="1" t="str">
        <f>"000295743 - RICH FOODS-FOODBUY"</f>
        <v>000295743 - RICH FOODS-FOODBUY</v>
      </c>
      <c r="C16594" t="s">
        <v>237</v>
      </c>
      <c r="D16594" s="1" t="str">
        <f t="shared" si="452"/>
        <v>PRG-1044663</v>
      </c>
      <c r="E16594" t="s">
        <v>147</v>
      </c>
      <c r="F16594" t="s">
        <v>4</v>
      </c>
      <c r="G16594" t="str">
        <f>""</f>
        <v/>
      </c>
    </row>
    <row r="16595" spans="1:7" x14ac:dyDescent="0.25">
      <c r="A16595" t="s">
        <v>8</v>
      </c>
      <c r="B16595" s="1" t="str">
        <f>"000295923 - RICH FOODS-FOODBUY"</f>
        <v>000295923 - RICH FOODS-FOODBUY</v>
      </c>
      <c r="C16595" t="s">
        <v>237</v>
      </c>
      <c r="D16595" s="1" t="str">
        <f t="shared" si="452"/>
        <v>PRG-1044663</v>
      </c>
      <c r="E16595" t="s">
        <v>147</v>
      </c>
      <c r="F16595" t="s">
        <v>4</v>
      </c>
      <c r="G16595" t="str">
        <f>""</f>
        <v/>
      </c>
    </row>
    <row r="16596" spans="1:7" x14ac:dyDescent="0.25">
      <c r="A16596" t="s">
        <v>8</v>
      </c>
      <c r="B16596" s="1" t="str">
        <f>"000295973 - RICH FOODS-FOODBUY"</f>
        <v>000295973 - RICH FOODS-FOODBUY</v>
      </c>
      <c r="C16596" t="s">
        <v>237</v>
      </c>
      <c r="D16596" s="1" t="str">
        <f t="shared" si="452"/>
        <v>PRG-1044663</v>
      </c>
      <c r="E16596" t="s">
        <v>147</v>
      </c>
      <c r="F16596" t="s">
        <v>4</v>
      </c>
      <c r="G16596" t="str">
        <f>""</f>
        <v/>
      </c>
    </row>
    <row r="16597" spans="1:7" x14ac:dyDescent="0.25">
      <c r="A16597" t="s">
        <v>8</v>
      </c>
      <c r="B16597" s="1" t="str">
        <f>"000296403 - RICH FOODS-FOODBUY"</f>
        <v>000296403 - RICH FOODS-FOODBUY</v>
      </c>
      <c r="C16597" t="s">
        <v>237</v>
      </c>
      <c r="D16597" s="1" t="str">
        <f t="shared" si="452"/>
        <v>PRG-1044663</v>
      </c>
      <c r="E16597" t="s">
        <v>147</v>
      </c>
      <c r="F16597" t="s">
        <v>4</v>
      </c>
      <c r="G16597" t="str">
        <f>""</f>
        <v/>
      </c>
    </row>
    <row r="16598" spans="1:7" x14ac:dyDescent="0.25">
      <c r="A16598" t="s">
        <v>8</v>
      </c>
      <c r="B16598" s="1" t="str">
        <f>"000296417 - RICH FOODS-FOODBUY"</f>
        <v>000296417 - RICH FOODS-FOODBUY</v>
      </c>
      <c r="C16598" t="s">
        <v>237</v>
      </c>
      <c r="D16598" s="1" t="str">
        <f t="shared" si="452"/>
        <v>PRG-1044663</v>
      </c>
      <c r="E16598" t="s">
        <v>147</v>
      </c>
      <c r="F16598" t="s">
        <v>4</v>
      </c>
      <c r="G16598" t="str">
        <f>""</f>
        <v/>
      </c>
    </row>
    <row r="16599" spans="1:7" x14ac:dyDescent="0.25">
      <c r="A16599" t="s">
        <v>8</v>
      </c>
      <c r="B16599" s="1" t="str">
        <f>"000296672 - RICH FOODS-FOODBUY"</f>
        <v>000296672 - RICH FOODS-FOODBUY</v>
      </c>
      <c r="C16599" t="s">
        <v>237</v>
      </c>
      <c r="D16599" s="1" t="str">
        <f t="shared" si="452"/>
        <v>PRG-1044663</v>
      </c>
      <c r="E16599" t="s">
        <v>147</v>
      </c>
      <c r="F16599" t="s">
        <v>4</v>
      </c>
      <c r="G16599" t="str">
        <f>""</f>
        <v/>
      </c>
    </row>
    <row r="16600" spans="1:7" x14ac:dyDescent="0.25">
      <c r="A16600" t="s">
        <v>8</v>
      </c>
      <c r="B16600" s="1" t="str">
        <f>"000296776 - RICH FOODS-FOODBUY"</f>
        <v>000296776 - RICH FOODS-FOODBUY</v>
      </c>
      <c r="C16600" t="s">
        <v>237</v>
      </c>
      <c r="D16600" s="1" t="str">
        <f t="shared" si="452"/>
        <v>PRG-1044663</v>
      </c>
      <c r="E16600" t="s">
        <v>147</v>
      </c>
      <c r="F16600" t="s">
        <v>4</v>
      </c>
      <c r="G16600" t="str">
        <f>""</f>
        <v/>
      </c>
    </row>
    <row r="16601" spans="1:7" x14ac:dyDescent="0.25">
      <c r="A16601" t="s">
        <v>8</v>
      </c>
      <c r="B16601" s="1" t="str">
        <f>"000296965 - RICH FOODS-FOODBUY"</f>
        <v>000296965 - RICH FOODS-FOODBUY</v>
      </c>
      <c r="C16601" t="s">
        <v>237</v>
      </c>
      <c r="D16601" s="1" t="str">
        <f t="shared" si="452"/>
        <v>PRG-1044663</v>
      </c>
      <c r="E16601" t="s">
        <v>147</v>
      </c>
      <c r="F16601" t="s">
        <v>4</v>
      </c>
      <c r="G16601" t="str">
        <f>""</f>
        <v/>
      </c>
    </row>
    <row r="16602" spans="1:7" x14ac:dyDescent="0.25">
      <c r="A16602" t="s">
        <v>8</v>
      </c>
      <c r="B16602" s="1" t="str">
        <f>"000297115 - RICH FOODS-FOODBUY"</f>
        <v>000297115 - RICH FOODS-FOODBUY</v>
      </c>
      <c r="C16602" t="s">
        <v>237</v>
      </c>
      <c r="D16602" s="1" t="str">
        <f t="shared" si="452"/>
        <v>PRG-1044663</v>
      </c>
      <c r="E16602" t="s">
        <v>147</v>
      </c>
      <c r="F16602" t="s">
        <v>4</v>
      </c>
      <c r="G16602" t="str">
        <f>""</f>
        <v/>
      </c>
    </row>
    <row r="16603" spans="1:7" x14ac:dyDescent="0.25">
      <c r="A16603" t="s">
        <v>8</v>
      </c>
      <c r="B16603" s="1" t="str">
        <f>"000297188 - RICH FOODS-FOODBUY"</f>
        <v>000297188 - RICH FOODS-FOODBUY</v>
      </c>
      <c r="C16603" t="s">
        <v>237</v>
      </c>
      <c r="D16603" s="1" t="str">
        <f t="shared" si="452"/>
        <v>PRG-1044663</v>
      </c>
      <c r="E16603" t="s">
        <v>147</v>
      </c>
      <c r="F16603" t="s">
        <v>4</v>
      </c>
      <c r="G16603" t="str">
        <f>""</f>
        <v/>
      </c>
    </row>
    <row r="16604" spans="1:7" x14ac:dyDescent="0.25">
      <c r="A16604" t="s">
        <v>8</v>
      </c>
      <c r="B16604" s="1" t="str">
        <f>"000297278 - RICH FOODS-FOODBUY"</f>
        <v>000297278 - RICH FOODS-FOODBUY</v>
      </c>
      <c r="C16604" t="s">
        <v>237</v>
      </c>
      <c r="D16604" s="1" t="str">
        <f t="shared" si="452"/>
        <v>PRG-1044663</v>
      </c>
      <c r="E16604" t="s">
        <v>147</v>
      </c>
      <c r="F16604" t="s">
        <v>4</v>
      </c>
      <c r="G16604" t="str">
        <f>""</f>
        <v/>
      </c>
    </row>
    <row r="16605" spans="1:7" x14ac:dyDescent="0.25">
      <c r="A16605" t="s">
        <v>8</v>
      </c>
      <c r="B16605" s="1" t="str">
        <f>"000297464 - RICH FOODS-FOODBUY"</f>
        <v>000297464 - RICH FOODS-FOODBUY</v>
      </c>
      <c r="C16605" t="s">
        <v>237</v>
      </c>
      <c r="D16605" s="1" t="str">
        <f t="shared" si="452"/>
        <v>PRG-1044663</v>
      </c>
      <c r="E16605" t="s">
        <v>147</v>
      </c>
      <c r="F16605" t="s">
        <v>4</v>
      </c>
      <c r="G16605" t="str">
        <f>""</f>
        <v/>
      </c>
    </row>
    <row r="16606" spans="1:7" x14ac:dyDescent="0.25">
      <c r="A16606" t="s">
        <v>8</v>
      </c>
      <c r="B16606" s="1" t="str">
        <f>"000297609 - RICH FOODS-FOODBUY"</f>
        <v>000297609 - RICH FOODS-FOODBUY</v>
      </c>
      <c r="C16606" t="s">
        <v>237</v>
      </c>
      <c r="D16606" s="1" t="str">
        <f t="shared" si="452"/>
        <v>PRG-1044663</v>
      </c>
      <c r="E16606" t="s">
        <v>147</v>
      </c>
      <c r="F16606" t="s">
        <v>4</v>
      </c>
      <c r="G16606" t="str">
        <f>""</f>
        <v/>
      </c>
    </row>
    <row r="16607" spans="1:7" x14ac:dyDescent="0.25">
      <c r="A16607" t="s">
        <v>8</v>
      </c>
      <c r="B16607" s="1" t="str">
        <f>"000297674 - RICH FOODS-FOODBUY"</f>
        <v>000297674 - RICH FOODS-FOODBUY</v>
      </c>
      <c r="C16607" t="s">
        <v>237</v>
      </c>
      <c r="D16607" s="1" t="str">
        <f t="shared" si="452"/>
        <v>PRG-1044663</v>
      </c>
      <c r="E16607" t="s">
        <v>147</v>
      </c>
      <c r="F16607" t="s">
        <v>4</v>
      </c>
      <c r="G16607" t="str">
        <f>""</f>
        <v/>
      </c>
    </row>
    <row r="16608" spans="1:7" x14ac:dyDescent="0.25">
      <c r="A16608" t="s">
        <v>8</v>
      </c>
      <c r="B16608" s="1" t="str">
        <f>"000297986 - RICH FOODS-FOODBUY"</f>
        <v>000297986 - RICH FOODS-FOODBUY</v>
      </c>
      <c r="C16608" t="s">
        <v>237</v>
      </c>
      <c r="D16608" s="1" t="str">
        <f t="shared" si="452"/>
        <v>PRG-1044663</v>
      </c>
      <c r="E16608" t="s">
        <v>147</v>
      </c>
      <c r="F16608" t="s">
        <v>4</v>
      </c>
      <c r="G16608" t="str">
        <f>""</f>
        <v/>
      </c>
    </row>
    <row r="16609" spans="1:7" x14ac:dyDescent="0.25">
      <c r="A16609" t="s">
        <v>8</v>
      </c>
      <c r="B16609" s="1" t="str">
        <f>"000298308 - RICH FOODS-FOODBUY"</f>
        <v>000298308 - RICH FOODS-FOODBUY</v>
      </c>
      <c r="C16609" t="s">
        <v>237</v>
      </c>
      <c r="D16609" s="1" t="str">
        <f t="shared" si="452"/>
        <v>PRG-1044663</v>
      </c>
      <c r="E16609" t="s">
        <v>147</v>
      </c>
      <c r="F16609" t="s">
        <v>4</v>
      </c>
      <c r="G16609" t="str">
        <f>""</f>
        <v/>
      </c>
    </row>
    <row r="16610" spans="1:7" x14ac:dyDescent="0.25">
      <c r="A16610" t="s">
        <v>8</v>
      </c>
      <c r="B16610" s="1" t="str">
        <f>"000298714 - RICH FOODS-FOODBUY"</f>
        <v>000298714 - RICH FOODS-FOODBUY</v>
      </c>
      <c r="C16610" t="s">
        <v>237</v>
      </c>
      <c r="D16610" s="1" t="str">
        <f t="shared" si="452"/>
        <v>PRG-1044663</v>
      </c>
      <c r="E16610" t="s">
        <v>147</v>
      </c>
      <c r="F16610" t="s">
        <v>4</v>
      </c>
      <c r="G16610" t="str">
        <f>""</f>
        <v/>
      </c>
    </row>
    <row r="16611" spans="1:7" x14ac:dyDescent="0.25">
      <c r="A16611" t="s">
        <v>8</v>
      </c>
      <c r="B16611" s="1" t="str">
        <f>"000298747 - RICH FOODS-FOODBUY"</f>
        <v>000298747 - RICH FOODS-FOODBUY</v>
      </c>
      <c r="C16611" t="s">
        <v>237</v>
      </c>
      <c r="D16611" s="1" t="str">
        <f t="shared" si="452"/>
        <v>PRG-1044663</v>
      </c>
      <c r="E16611" t="s">
        <v>147</v>
      </c>
      <c r="F16611" t="s">
        <v>4</v>
      </c>
      <c r="G16611" t="str">
        <f>""</f>
        <v/>
      </c>
    </row>
    <row r="16612" spans="1:7" x14ac:dyDescent="0.25">
      <c r="A16612" t="s">
        <v>8</v>
      </c>
      <c r="B16612" s="1" t="str">
        <f>"000298992 - RICH FOODS-FOODBUY"</f>
        <v>000298992 - RICH FOODS-FOODBUY</v>
      </c>
      <c r="C16612" t="s">
        <v>237</v>
      </c>
      <c r="D16612" s="1" t="str">
        <f t="shared" si="452"/>
        <v>PRG-1044663</v>
      </c>
      <c r="E16612" t="s">
        <v>147</v>
      </c>
      <c r="F16612" t="s">
        <v>4</v>
      </c>
      <c r="G16612" t="str">
        <f>""</f>
        <v/>
      </c>
    </row>
    <row r="16613" spans="1:7" x14ac:dyDescent="0.25">
      <c r="A16613" t="s">
        <v>8</v>
      </c>
      <c r="B16613" s="1" t="str">
        <f>"000299005 - RICH FOODS-FOODBUY"</f>
        <v>000299005 - RICH FOODS-FOODBUY</v>
      </c>
      <c r="C16613" t="s">
        <v>237</v>
      </c>
      <c r="D16613" s="1" t="str">
        <f t="shared" si="452"/>
        <v>PRG-1044663</v>
      </c>
      <c r="E16613" t="s">
        <v>147</v>
      </c>
      <c r="F16613" t="s">
        <v>4</v>
      </c>
      <c r="G16613" t="str">
        <f>""</f>
        <v/>
      </c>
    </row>
    <row r="16614" spans="1:7" x14ac:dyDescent="0.25">
      <c r="A16614" t="s">
        <v>8</v>
      </c>
      <c r="B16614" s="1" t="str">
        <f>"000299543 - RICH FOODS-FOODBUY"</f>
        <v>000299543 - RICH FOODS-FOODBUY</v>
      </c>
      <c r="C16614" t="s">
        <v>237</v>
      </c>
      <c r="D16614" s="1" t="str">
        <f t="shared" si="452"/>
        <v>PRG-1044663</v>
      </c>
      <c r="E16614" t="s">
        <v>147</v>
      </c>
      <c r="F16614" t="s">
        <v>4</v>
      </c>
      <c r="G16614" t="str">
        <f>""</f>
        <v/>
      </c>
    </row>
    <row r="16615" spans="1:7" x14ac:dyDescent="0.25">
      <c r="A16615" t="s">
        <v>8</v>
      </c>
      <c r="B16615" s="1" t="str">
        <f>"000299545 - RICH FOODS-FOODBUY"</f>
        <v>000299545 - RICH FOODS-FOODBUY</v>
      </c>
      <c r="C16615" t="s">
        <v>237</v>
      </c>
      <c r="D16615" s="1" t="str">
        <f t="shared" si="452"/>
        <v>PRG-1044663</v>
      </c>
      <c r="E16615" t="s">
        <v>147</v>
      </c>
      <c r="F16615" t="s">
        <v>4</v>
      </c>
      <c r="G16615" t="str">
        <f>""</f>
        <v/>
      </c>
    </row>
    <row r="16616" spans="1:7" x14ac:dyDescent="0.25">
      <c r="A16616" t="s">
        <v>8</v>
      </c>
      <c r="B16616" s="1" t="str">
        <f>"000300166 - RICH FOODS-FOODBUY"</f>
        <v>000300166 - RICH FOODS-FOODBUY</v>
      </c>
      <c r="C16616" t="s">
        <v>237</v>
      </c>
      <c r="D16616" s="1" t="str">
        <f t="shared" si="452"/>
        <v>PRG-1044663</v>
      </c>
      <c r="E16616" t="s">
        <v>147</v>
      </c>
      <c r="F16616" t="s">
        <v>4</v>
      </c>
      <c r="G16616" t="str">
        <f>""</f>
        <v/>
      </c>
    </row>
    <row r="16617" spans="1:7" x14ac:dyDescent="0.25">
      <c r="A16617" t="s">
        <v>8</v>
      </c>
      <c r="B16617" s="1" t="str">
        <f>"000300315 - RICH FOODS-FOODBUY"</f>
        <v>000300315 - RICH FOODS-FOODBUY</v>
      </c>
      <c r="C16617" t="s">
        <v>237</v>
      </c>
      <c r="D16617" s="1" t="str">
        <f t="shared" si="452"/>
        <v>PRG-1044663</v>
      </c>
      <c r="E16617" t="s">
        <v>147</v>
      </c>
      <c r="F16617" t="s">
        <v>4</v>
      </c>
      <c r="G16617" t="str">
        <f>""</f>
        <v/>
      </c>
    </row>
    <row r="16618" spans="1:7" x14ac:dyDescent="0.25">
      <c r="A16618" t="s">
        <v>8</v>
      </c>
      <c r="B16618" s="1" t="str">
        <f>"000300720 - RICH FOODS-FOODBUY"</f>
        <v>000300720 - RICH FOODS-FOODBUY</v>
      </c>
      <c r="C16618" t="s">
        <v>237</v>
      </c>
      <c r="D16618" s="1" t="str">
        <f t="shared" si="452"/>
        <v>PRG-1044663</v>
      </c>
      <c r="E16618" t="s">
        <v>147</v>
      </c>
      <c r="F16618" t="s">
        <v>4</v>
      </c>
      <c r="G16618" t="str">
        <f>""</f>
        <v/>
      </c>
    </row>
    <row r="16619" spans="1:7" x14ac:dyDescent="0.25">
      <c r="A16619" t="s">
        <v>8</v>
      </c>
      <c r="B16619" s="1" t="str">
        <f>"000300978 - RICH FOODS-FOODBUY"</f>
        <v>000300978 - RICH FOODS-FOODBUY</v>
      </c>
      <c r="C16619" t="s">
        <v>237</v>
      </c>
      <c r="D16619" s="1" t="str">
        <f t="shared" si="452"/>
        <v>PRG-1044663</v>
      </c>
      <c r="E16619" t="s">
        <v>147</v>
      </c>
      <c r="F16619" t="s">
        <v>4</v>
      </c>
      <c r="G16619" t="str">
        <f>""</f>
        <v/>
      </c>
    </row>
    <row r="16620" spans="1:7" x14ac:dyDescent="0.25">
      <c r="A16620" t="s">
        <v>8</v>
      </c>
      <c r="B16620" s="1" t="str">
        <f>"000301141 - RICH FOODS-FOODBUY"</f>
        <v>000301141 - RICH FOODS-FOODBUY</v>
      </c>
      <c r="C16620" t="s">
        <v>237</v>
      </c>
      <c r="D16620" s="1" t="str">
        <f t="shared" si="452"/>
        <v>PRG-1044663</v>
      </c>
      <c r="E16620" t="s">
        <v>147</v>
      </c>
      <c r="F16620" t="s">
        <v>4</v>
      </c>
      <c r="G16620" t="str">
        <f>""</f>
        <v/>
      </c>
    </row>
    <row r="16621" spans="1:7" x14ac:dyDescent="0.25">
      <c r="A16621" t="s">
        <v>8</v>
      </c>
      <c r="B16621" s="1" t="str">
        <f>"000301158 - RICH FOODS-FOODBUY"</f>
        <v>000301158 - RICH FOODS-FOODBUY</v>
      </c>
      <c r="C16621" t="s">
        <v>237</v>
      </c>
      <c r="D16621" s="1" t="str">
        <f t="shared" si="452"/>
        <v>PRG-1044663</v>
      </c>
      <c r="E16621" t="s">
        <v>147</v>
      </c>
      <c r="F16621" t="s">
        <v>4</v>
      </c>
      <c r="G16621" t="str">
        <f>""</f>
        <v/>
      </c>
    </row>
    <row r="16622" spans="1:7" x14ac:dyDescent="0.25">
      <c r="A16622" t="s">
        <v>8</v>
      </c>
      <c r="B16622" s="1" t="str">
        <f>"000301932 - RICH FOODS-FOODBUY"</f>
        <v>000301932 - RICH FOODS-FOODBUY</v>
      </c>
      <c r="C16622" t="s">
        <v>237</v>
      </c>
      <c r="D16622" s="1" t="str">
        <f t="shared" si="452"/>
        <v>PRG-1044663</v>
      </c>
      <c r="E16622" t="s">
        <v>147</v>
      </c>
      <c r="F16622" t="s">
        <v>4</v>
      </c>
      <c r="G16622" t="str">
        <f>""</f>
        <v/>
      </c>
    </row>
    <row r="16623" spans="1:7" x14ac:dyDescent="0.25">
      <c r="A16623" t="s">
        <v>8</v>
      </c>
      <c r="B16623" s="1" t="str">
        <f>"000302039 - RICH FOODS-FOODBUY"</f>
        <v>000302039 - RICH FOODS-FOODBUY</v>
      </c>
      <c r="C16623" t="s">
        <v>237</v>
      </c>
      <c r="D16623" s="1" t="str">
        <f t="shared" si="452"/>
        <v>PRG-1044663</v>
      </c>
      <c r="E16623" t="s">
        <v>147</v>
      </c>
      <c r="F16623" t="s">
        <v>4</v>
      </c>
      <c r="G16623" t="str">
        <f>""</f>
        <v/>
      </c>
    </row>
    <row r="16624" spans="1:7" x14ac:dyDescent="0.25">
      <c r="A16624" t="s">
        <v>8</v>
      </c>
      <c r="B16624" s="1" t="str">
        <f>"000302298 - RICH FOODS-FOODBUY"</f>
        <v>000302298 - RICH FOODS-FOODBUY</v>
      </c>
      <c r="C16624" t="s">
        <v>237</v>
      </c>
      <c r="D16624" s="1" t="str">
        <f t="shared" si="452"/>
        <v>PRG-1044663</v>
      </c>
      <c r="E16624" t="s">
        <v>147</v>
      </c>
      <c r="F16624" t="s">
        <v>4</v>
      </c>
      <c r="G16624" t="str">
        <f>""</f>
        <v/>
      </c>
    </row>
    <row r="16625" spans="1:7" x14ac:dyDescent="0.25">
      <c r="A16625" t="s">
        <v>8</v>
      </c>
      <c r="B16625" s="1" t="str">
        <f>"000302494 - RICH FOODS-FOODBUY"</f>
        <v>000302494 - RICH FOODS-FOODBUY</v>
      </c>
      <c r="C16625" t="s">
        <v>237</v>
      </c>
      <c r="D16625" s="1" t="str">
        <f t="shared" si="452"/>
        <v>PRG-1044663</v>
      </c>
      <c r="E16625" t="s">
        <v>147</v>
      </c>
      <c r="F16625" t="s">
        <v>4</v>
      </c>
      <c r="G16625" t="str">
        <f>""</f>
        <v/>
      </c>
    </row>
    <row r="16626" spans="1:7" x14ac:dyDescent="0.25">
      <c r="A16626" t="s">
        <v>8</v>
      </c>
      <c r="B16626" s="1" t="str">
        <f>"000302523 - RICH FOODS-FOODBUY"</f>
        <v>000302523 - RICH FOODS-FOODBUY</v>
      </c>
      <c r="C16626" t="s">
        <v>237</v>
      </c>
      <c r="D16626" s="1" t="str">
        <f t="shared" si="452"/>
        <v>PRG-1044663</v>
      </c>
      <c r="E16626" t="s">
        <v>147</v>
      </c>
      <c r="F16626" t="s">
        <v>4</v>
      </c>
      <c r="G16626" t="str">
        <f>""</f>
        <v/>
      </c>
    </row>
    <row r="16627" spans="1:7" x14ac:dyDescent="0.25">
      <c r="A16627" t="s">
        <v>8</v>
      </c>
      <c r="B16627" s="1" t="str">
        <f>"000302818 - RICH FOODS-FOODBUY"</f>
        <v>000302818 - RICH FOODS-FOODBUY</v>
      </c>
      <c r="C16627" t="s">
        <v>237</v>
      </c>
      <c r="D16627" s="1" t="str">
        <f t="shared" si="452"/>
        <v>PRG-1044663</v>
      </c>
      <c r="E16627" t="s">
        <v>147</v>
      </c>
      <c r="F16627" t="s">
        <v>4</v>
      </c>
      <c r="G16627" t="str">
        <f>""</f>
        <v/>
      </c>
    </row>
    <row r="16628" spans="1:7" x14ac:dyDescent="0.25">
      <c r="A16628" t="s">
        <v>8</v>
      </c>
      <c r="B16628" s="1" t="str">
        <f>"000303140 - RICH FOODS-FOODBUY"</f>
        <v>000303140 - RICH FOODS-FOODBUY</v>
      </c>
      <c r="C16628" t="s">
        <v>237</v>
      </c>
      <c r="D16628" s="1" t="str">
        <f t="shared" si="452"/>
        <v>PRG-1044663</v>
      </c>
      <c r="E16628" t="s">
        <v>147</v>
      </c>
      <c r="F16628" t="s">
        <v>4</v>
      </c>
      <c r="G16628" t="str">
        <f>""</f>
        <v/>
      </c>
    </row>
    <row r="16629" spans="1:7" x14ac:dyDescent="0.25">
      <c r="A16629" t="s">
        <v>8</v>
      </c>
      <c r="B16629" s="1" t="str">
        <f>"000303337 - RICH FOODS-FOODBUY"</f>
        <v>000303337 - RICH FOODS-FOODBUY</v>
      </c>
      <c r="C16629" t="s">
        <v>237</v>
      </c>
      <c r="D16629" s="1" t="str">
        <f t="shared" si="452"/>
        <v>PRG-1044663</v>
      </c>
      <c r="E16629" t="s">
        <v>147</v>
      </c>
      <c r="F16629" t="s">
        <v>4</v>
      </c>
      <c r="G16629" t="str">
        <f>""</f>
        <v/>
      </c>
    </row>
    <row r="16630" spans="1:7" x14ac:dyDescent="0.25">
      <c r="A16630" t="s">
        <v>8</v>
      </c>
      <c r="B16630" s="1" t="str">
        <f>"000303861 - RICH FOODS-FOODBUY"</f>
        <v>000303861 - RICH FOODS-FOODBUY</v>
      </c>
      <c r="C16630" t="s">
        <v>237</v>
      </c>
      <c r="D16630" s="1" t="str">
        <f t="shared" si="452"/>
        <v>PRG-1044663</v>
      </c>
      <c r="E16630" t="s">
        <v>147</v>
      </c>
      <c r="F16630" t="s">
        <v>4</v>
      </c>
      <c r="G16630" t="str">
        <f>""</f>
        <v/>
      </c>
    </row>
    <row r="16631" spans="1:7" x14ac:dyDescent="0.25">
      <c r="A16631" t="s">
        <v>8</v>
      </c>
      <c r="B16631" s="1" t="str">
        <f>"000304340 - RICH FOODS-FOODBUY"</f>
        <v>000304340 - RICH FOODS-FOODBUY</v>
      </c>
      <c r="C16631" t="s">
        <v>237</v>
      </c>
      <c r="D16631" s="1" t="str">
        <f t="shared" si="452"/>
        <v>PRG-1044663</v>
      </c>
      <c r="E16631" t="s">
        <v>147</v>
      </c>
      <c r="F16631" t="s">
        <v>4</v>
      </c>
      <c r="G16631" t="str">
        <f>""</f>
        <v/>
      </c>
    </row>
    <row r="16632" spans="1:7" x14ac:dyDescent="0.25">
      <c r="A16632" t="s">
        <v>8</v>
      </c>
      <c r="B16632" s="1" t="str">
        <f>"000304461 - RICH FOODS - FOODBUY"</f>
        <v>000304461 - RICH FOODS - FOODBUY</v>
      </c>
      <c r="C16632" t="s">
        <v>146</v>
      </c>
      <c r="D16632" s="1" t="str">
        <f t="shared" si="452"/>
        <v>PRG-1044663</v>
      </c>
      <c r="E16632" t="s">
        <v>147</v>
      </c>
      <c r="F16632" t="s">
        <v>4</v>
      </c>
      <c r="G16632" t="str">
        <f>""</f>
        <v/>
      </c>
    </row>
    <row r="16633" spans="1:7" x14ac:dyDescent="0.25">
      <c r="A16633" t="s">
        <v>8</v>
      </c>
      <c r="B16633" s="1" t="str">
        <f>"000304860 - RICH FOODS-FOODBUY"</f>
        <v>000304860 - RICH FOODS-FOODBUY</v>
      </c>
      <c r="C16633" t="s">
        <v>237</v>
      </c>
      <c r="D16633" s="1" t="str">
        <f t="shared" si="452"/>
        <v>PRG-1044663</v>
      </c>
      <c r="E16633" t="s">
        <v>147</v>
      </c>
      <c r="F16633" t="s">
        <v>4</v>
      </c>
      <c r="G16633" t="str">
        <f>""</f>
        <v/>
      </c>
    </row>
    <row r="16634" spans="1:7" x14ac:dyDescent="0.25">
      <c r="A16634" t="s">
        <v>8</v>
      </c>
      <c r="B16634" s="1" t="str">
        <f>"000305022 - RICH FOODS-FOODBUY"</f>
        <v>000305022 - RICH FOODS-FOODBUY</v>
      </c>
      <c r="C16634" t="s">
        <v>237</v>
      </c>
      <c r="D16634" s="1" t="str">
        <f t="shared" si="452"/>
        <v>PRG-1044663</v>
      </c>
      <c r="E16634" t="s">
        <v>147</v>
      </c>
      <c r="F16634" t="s">
        <v>4</v>
      </c>
      <c r="G16634" t="str">
        <f>""</f>
        <v/>
      </c>
    </row>
    <row r="16635" spans="1:7" x14ac:dyDescent="0.25">
      <c r="A16635" t="s">
        <v>8</v>
      </c>
      <c r="B16635" s="1" t="str">
        <f>"000305189 - RICH FOODS-FOODBUY"</f>
        <v>000305189 - RICH FOODS-FOODBUY</v>
      </c>
      <c r="C16635" t="s">
        <v>237</v>
      </c>
      <c r="D16635" s="1" t="str">
        <f t="shared" si="452"/>
        <v>PRG-1044663</v>
      </c>
      <c r="E16635" t="s">
        <v>147</v>
      </c>
      <c r="F16635" t="s">
        <v>4</v>
      </c>
      <c r="G16635" t="str">
        <f>""</f>
        <v/>
      </c>
    </row>
    <row r="16636" spans="1:7" x14ac:dyDescent="0.25">
      <c r="A16636" t="s">
        <v>8</v>
      </c>
      <c r="B16636" s="1" t="str">
        <f>"000305288 - RICH FOODS-FOODBUY"</f>
        <v>000305288 - RICH FOODS-FOODBUY</v>
      </c>
      <c r="C16636" t="s">
        <v>237</v>
      </c>
      <c r="D16636" s="1" t="str">
        <f t="shared" si="452"/>
        <v>PRG-1044663</v>
      </c>
      <c r="E16636" t="s">
        <v>147</v>
      </c>
      <c r="F16636" t="s">
        <v>4</v>
      </c>
      <c r="G16636" t="str">
        <f>""</f>
        <v/>
      </c>
    </row>
    <row r="16637" spans="1:7" x14ac:dyDescent="0.25">
      <c r="A16637" t="s">
        <v>8</v>
      </c>
      <c r="B16637" s="1" t="str">
        <f>"000305562 - RICH FOODS-FOODBUY"</f>
        <v>000305562 - RICH FOODS-FOODBUY</v>
      </c>
      <c r="C16637" t="s">
        <v>237</v>
      </c>
      <c r="D16637" s="1" t="str">
        <f t="shared" ref="D16637:D16700" si="453">"PRG-1044663"</f>
        <v>PRG-1044663</v>
      </c>
      <c r="E16637" t="s">
        <v>147</v>
      </c>
      <c r="F16637" t="s">
        <v>4</v>
      </c>
      <c r="G16637" t="str">
        <f>""</f>
        <v/>
      </c>
    </row>
    <row r="16638" spans="1:7" x14ac:dyDescent="0.25">
      <c r="A16638" t="s">
        <v>8</v>
      </c>
      <c r="B16638" s="1" t="str">
        <f>"000305850 - RICH FOODS-FOODBUY"</f>
        <v>000305850 - RICH FOODS-FOODBUY</v>
      </c>
      <c r="C16638" t="s">
        <v>237</v>
      </c>
      <c r="D16638" s="1" t="str">
        <f t="shared" si="453"/>
        <v>PRG-1044663</v>
      </c>
      <c r="E16638" t="s">
        <v>147</v>
      </c>
      <c r="F16638" t="s">
        <v>4</v>
      </c>
      <c r="G16638" t="str">
        <f>""</f>
        <v/>
      </c>
    </row>
    <row r="16639" spans="1:7" x14ac:dyDescent="0.25">
      <c r="A16639" t="s">
        <v>8</v>
      </c>
      <c r="B16639" s="1" t="str">
        <f>"000305933 - RICH FOODS-FOODBUY"</f>
        <v>000305933 - RICH FOODS-FOODBUY</v>
      </c>
      <c r="C16639" t="s">
        <v>237</v>
      </c>
      <c r="D16639" s="1" t="str">
        <f t="shared" si="453"/>
        <v>PRG-1044663</v>
      </c>
      <c r="E16639" t="s">
        <v>147</v>
      </c>
      <c r="F16639" t="s">
        <v>4</v>
      </c>
      <c r="G16639" t="str">
        <f>""</f>
        <v/>
      </c>
    </row>
    <row r="16640" spans="1:7" x14ac:dyDescent="0.25">
      <c r="A16640" t="s">
        <v>8</v>
      </c>
      <c r="B16640" s="1" t="str">
        <f>"000306163 - RICH FOODS-FOODBUY"</f>
        <v>000306163 - RICH FOODS-FOODBUY</v>
      </c>
      <c r="C16640" t="s">
        <v>237</v>
      </c>
      <c r="D16640" s="1" t="str">
        <f t="shared" si="453"/>
        <v>PRG-1044663</v>
      </c>
      <c r="E16640" t="s">
        <v>147</v>
      </c>
      <c r="F16640" t="s">
        <v>4</v>
      </c>
      <c r="G16640" t="str">
        <f>""</f>
        <v/>
      </c>
    </row>
    <row r="16641" spans="1:7" x14ac:dyDescent="0.25">
      <c r="A16641" t="s">
        <v>8</v>
      </c>
      <c r="B16641" s="1" t="str">
        <f>"000306397 - RICH FOODS-FOODBUY"</f>
        <v>000306397 - RICH FOODS-FOODBUY</v>
      </c>
      <c r="C16641" t="s">
        <v>237</v>
      </c>
      <c r="D16641" s="1" t="str">
        <f t="shared" si="453"/>
        <v>PRG-1044663</v>
      </c>
      <c r="E16641" t="s">
        <v>147</v>
      </c>
      <c r="F16641" t="s">
        <v>4</v>
      </c>
      <c r="G16641" t="str">
        <f>""</f>
        <v/>
      </c>
    </row>
    <row r="16642" spans="1:7" x14ac:dyDescent="0.25">
      <c r="A16642" t="s">
        <v>8</v>
      </c>
      <c r="B16642" s="1" t="str">
        <f>"000306574 - RICH FOODS-FOODBUY"</f>
        <v>000306574 - RICH FOODS-FOODBUY</v>
      </c>
      <c r="C16642" t="s">
        <v>237</v>
      </c>
      <c r="D16642" s="1" t="str">
        <f t="shared" si="453"/>
        <v>PRG-1044663</v>
      </c>
      <c r="E16642" t="s">
        <v>147</v>
      </c>
      <c r="F16642" t="s">
        <v>4</v>
      </c>
      <c r="G16642" t="str">
        <f>""</f>
        <v/>
      </c>
    </row>
    <row r="16643" spans="1:7" x14ac:dyDescent="0.25">
      <c r="A16643" t="s">
        <v>8</v>
      </c>
      <c r="B16643" s="1" t="str">
        <f>"000307048 - RICH FOODS-FOODBUY"</f>
        <v>000307048 - RICH FOODS-FOODBUY</v>
      </c>
      <c r="C16643" t="s">
        <v>237</v>
      </c>
      <c r="D16643" s="1" t="str">
        <f t="shared" si="453"/>
        <v>PRG-1044663</v>
      </c>
      <c r="E16643" t="s">
        <v>147</v>
      </c>
      <c r="F16643" t="s">
        <v>4</v>
      </c>
      <c r="G16643" t="str">
        <f>""</f>
        <v/>
      </c>
    </row>
    <row r="16644" spans="1:7" x14ac:dyDescent="0.25">
      <c r="A16644" t="s">
        <v>8</v>
      </c>
      <c r="B16644" s="1" t="str">
        <f>"000307181 - RICH FOODS-FOODBUY"</f>
        <v>000307181 - RICH FOODS-FOODBUY</v>
      </c>
      <c r="C16644" t="s">
        <v>237</v>
      </c>
      <c r="D16644" s="1" t="str">
        <f t="shared" si="453"/>
        <v>PRG-1044663</v>
      </c>
      <c r="E16644" t="s">
        <v>147</v>
      </c>
      <c r="F16644" t="s">
        <v>4</v>
      </c>
      <c r="G16644" t="str">
        <f>""</f>
        <v/>
      </c>
    </row>
    <row r="16645" spans="1:7" x14ac:dyDescent="0.25">
      <c r="A16645" t="s">
        <v>8</v>
      </c>
      <c r="B16645" s="1" t="str">
        <f>"000307191 - RICH FOODS-FOODBUY"</f>
        <v>000307191 - RICH FOODS-FOODBUY</v>
      </c>
      <c r="C16645" t="s">
        <v>237</v>
      </c>
      <c r="D16645" s="1" t="str">
        <f t="shared" si="453"/>
        <v>PRG-1044663</v>
      </c>
      <c r="E16645" t="s">
        <v>147</v>
      </c>
      <c r="F16645" t="s">
        <v>4</v>
      </c>
      <c r="G16645" t="str">
        <f>""</f>
        <v/>
      </c>
    </row>
    <row r="16646" spans="1:7" x14ac:dyDescent="0.25">
      <c r="A16646" t="s">
        <v>8</v>
      </c>
      <c r="B16646" s="1" t="str">
        <f>"000307426 - RICH FOODS-FOODBUY"</f>
        <v>000307426 - RICH FOODS-FOODBUY</v>
      </c>
      <c r="C16646" t="s">
        <v>237</v>
      </c>
      <c r="D16646" s="1" t="str">
        <f t="shared" si="453"/>
        <v>PRG-1044663</v>
      </c>
      <c r="E16646" t="s">
        <v>147</v>
      </c>
      <c r="F16646" t="s">
        <v>4</v>
      </c>
      <c r="G16646" t="str">
        <f>""</f>
        <v/>
      </c>
    </row>
    <row r="16647" spans="1:7" x14ac:dyDescent="0.25">
      <c r="A16647" t="s">
        <v>8</v>
      </c>
      <c r="B16647" s="1" t="str">
        <f>"000307602 - RICH FOODS-FOODBUY"</f>
        <v>000307602 - RICH FOODS-FOODBUY</v>
      </c>
      <c r="C16647" t="s">
        <v>237</v>
      </c>
      <c r="D16647" s="1" t="str">
        <f t="shared" si="453"/>
        <v>PRG-1044663</v>
      </c>
      <c r="E16647" t="s">
        <v>147</v>
      </c>
      <c r="F16647" t="s">
        <v>4</v>
      </c>
      <c r="G16647" t="str">
        <f>""</f>
        <v/>
      </c>
    </row>
    <row r="16648" spans="1:7" x14ac:dyDescent="0.25">
      <c r="A16648" t="s">
        <v>8</v>
      </c>
      <c r="B16648" s="1" t="str">
        <f>"000307860 - RICH FOODS-FOODBUY"</f>
        <v>000307860 - RICH FOODS-FOODBUY</v>
      </c>
      <c r="C16648" t="s">
        <v>237</v>
      </c>
      <c r="D16648" s="1" t="str">
        <f t="shared" si="453"/>
        <v>PRG-1044663</v>
      </c>
      <c r="E16648" t="s">
        <v>147</v>
      </c>
      <c r="F16648" t="s">
        <v>4</v>
      </c>
      <c r="G16648" t="str">
        <f>""</f>
        <v/>
      </c>
    </row>
    <row r="16649" spans="1:7" x14ac:dyDescent="0.25">
      <c r="A16649" t="s">
        <v>8</v>
      </c>
      <c r="B16649" s="1" t="str">
        <f>"000307904 - RICH FOODS-FOODBUY"</f>
        <v>000307904 - RICH FOODS-FOODBUY</v>
      </c>
      <c r="C16649" t="s">
        <v>237</v>
      </c>
      <c r="D16649" s="1" t="str">
        <f t="shared" si="453"/>
        <v>PRG-1044663</v>
      </c>
      <c r="E16649" t="s">
        <v>147</v>
      </c>
      <c r="F16649" t="s">
        <v>4</v>
      </c>
      <c r="G16649" t="str">
        <f>""</f>
        <v/>
      </c>
    </row>
    <row r="16650" spans="1:7" x14ac:dyDescent="0.25">
      <c r="A16650" t="s">
        <v>8</v>
      </c>
      <c r="B16650" s="1" t="str">
        <f>"000308061 - RICH FOODS-FOODBUY"</f>
        <v>000308061 - RICH FOODS-FOODBUY</v>
      </c>
      <c r="C16650" t="s">
        <v>237</v>
      </c>
      <c r="D16650" s="1" t="str">
        <f t="shared" si="453"/>
        <v>PRG-1044663</v>
      </c>
      <c r="E16650" t="s">
        <v>147</v>
      </c>
      <c r="F16650" t="s">
        <v>4</v>
      </c>
      <c r="G16650" t="str">
        <f>""</f>
        <v/>
      </c>
    </row>
    <row r="16651" spans="1:7" x14ac:dyDescent="0.25">
      <c r="A16651" t="s">
        <v>8</v>
      </c>
      <c r="B16651" s="1" t="str">
        <f>"000308090 - RICH FOODS-FOODBUY"</f>
        <v>000308090 - RICH FOODS-FOODBUY</v>
      </c>
      <c r="C16651" t="s">
        <v>237</v>
      </c>
      <c r="D16651" s="1" t="str">
        <f t="shared" si="453"/>
        <v>PRG-1044663</v>
      </c>
      <c r="E16651" t="s">
        <v>147</v>
      </c>
      <c r="F16651" t="s">
        <v>4</v>
      </c>
      <c r="G16651" t="str">
        <f>""</f>
        <v/>
      </c>
    </row>
    <row r="16652" spans="1:7" x14ac:dyDescent="0.25">
      <c r="A16652" t="s">
        <v>8</v>
      </c>
      <c r="B16652" s="1" t="str">
        <f>"000308449 - FOODBUY  RICHS BB"</f>
        <v>000308449 - FOODBUY  RICHS BB</v>
      </c>
      <c r="C16652" t="s">
        <v>3084</v>
      </c>
      <c r="D16652" s="1" t="str">
        <f t="shared" si="453"/>
        <v>PRG-1044663</v>
      </c>
      <c r="E16652" t="s">
        <v>147</v>
      </c>
      <c r="F16652" t="s">
        <v>4</v>
      </c>
      <c r="G16652" t="str">
        <f>""</f>
        <v/>
      </c>
    </row>
    <row r="16653" spans="1:7" x14ac:dyDescent="0.25">
      <c r="A16653" t="s">
        <v>8</v>
      </c>
      <c r="B16653" s="1" t="str">
        <f>"000308737 - RICH FOODS-FOODBUY"</f>
        <v>000308737 - RICH FOODS-FOODBUY</v>
      </c>
      <c r="C16653" t="s">
        <v>237</v>
      </c>
      <c r="D16653" s="1" t="str">
        <f t="shared" si="453"/>
        <v>PRG-1044663</v>
      </c>
      <c r="E16653" t="s">
        <v>147</v>
      </c>
      <c r="F16653" t="s">
        <v>4</v>
      </c>
      <c r="G16653" t="str">
        <f>""</f>
        <v/>
      </c>
    </row>
    <row r="16654" spans="1:7" x14ac:dyDescent="0.25">
      <c r="A16654" t="s">
        <v>8</v>
      </c>
      <c r="B16654" s="1" t="str">
        <f>"000308781 - RICH FOODS-FOODBUY"</f>
        <v>000308781 - RICH FOODS-FOODBUY</v>
      </c>
      <c r="C16654" t="s">
        <v>237</v>
      </c>
      <c r="D16654" s="1" t="str">
        <f t="shared" si="453"/>
        <v>PRG-1044663</v>
      </c>
      <c r="E16654" t="s">
        <v>147</v>
      </c>
      <c r="F16654" t="s">
        <v>4</v>
      </c>
      <c r="G16654" t="str">
        <f>""</f>
        <v/>
      </c>
    </row>
    <row r="16655" spans="1:7" x14ac:dyDescent="0.25">
      <c r="A16655" t="s">
        <v>8</v>
      </c>
      <c r="B16655" s="1" t="str">
        <f>"000308821 - RICH FOODS-FOODBUY"</f>
        <v>000308821 - RICH FOODS-FOODBUY</v>
      </c>
      <c r="C16655" t="s">
        <v>237</v>
      </c>
      <c r="D16655" s="1" t="str">
        <f t="shared" si="453"/>
        <v>PRG-1044663</v>
      </c>
      <c r="E16655" t="s">
        <v>147</v>
      </c>
      <c r="F16655" t="s">
        <v>4</v>
      </c>
      <c r="G16655" t="str">
        <f>""</f>
        <v/>
      </c>
    </row>
    <row r="16656" spans="1:7" x14ac:dyDescent="0.25">
      <c r="A16656" t="s">
        <v>8</v>
      </c>
      <c r="B16656" s="1" t="str">
        <f>"000309061 - RICH FOODS-FOODBUY"</f>
        <v>000309061 - RICH FOODS-FOODBUY</v>
      </c>
      <c r="C16656" t="s">
        <v>237</v>
      </c>
      <c r="D16656" s="1" t="str">
        <f t="shared" si="453"/>
        <v>PRG-1044663</v>
      </c>
      <c r="E16656" t="s">
        <v>147</v>
      </c>
      <c r="F16656" t="s">
        <v>4</v>
      </c>
      <c r="G16656" t="str">
        <f>""</f>
        <v/>
      </c>
    </row>
    <row r="16657" spans="1:7" x14ac:dyDescent="0.25">
      <c r="A16657" t="s">
        <v>8</v>
      </c>
      <c r="B16657" s="1" t="str">
        <f>"000309416 - RICH FOODS-FOODBUY"</f>
        <v>000309416 - RICH FOODS-FOODBUY</v>
      </c>
      <c r="C16657" t="s">
        <v>237</v>
      </c>
      <c r="D16657" s="1" t="str">
        <f t="shared" si="453"/>
        <v>PRG-1044663</v>
      </c>
      <c r="E16657" t="s">
        <v>147</v>
      </c>
      <c r="F16657" t="s">
        <v>4</v>
      </c>
      <c r="G16657" t="str">
        <f>""</f>
        <v/>
      </c>
    </row>
    <row r="16658" spans="1:7" x14ac:dyDescent="0.25">
      <c r="A16658" t="s">
        <v>8</v>
      </c>
      <c r="B16658" s="1" t="str">
        <f>"000309550 - RICH FOODS-FOODBUY"</f>
        <v>000309550 - RICH FOODS-FOODBUY</v>
      </c>
      <c r="C16658" t="s">
        <v>237</v>
      </c>
      <c r="D16658" s="1" t="str">
        <f t="shared" si="453"/>
        <v>PRG-1044663</v>
      </c>
      <c r="E16658" t="s">
        <v>147</v>
      </c>
      <c r="F16658" t="s">
        <v>4</v>
      </c>
      <c r="G16658" t="str">
        <f>""</f>
        <v/>
      </c>
    </row>
    <row r="16659" spans="1:7" x14ac:dyDescent="0.25">
      <c r="A16659" t="s">
        <v>8</v>
      </c>
      <c r="B16659" s="1" t="str">
        <f>"000309688 - RICH FOODS-FOODBUY"</f>
        <v>000309688 - RICH FOODS-FOODBUY</v>
      </c>
      <c r="C16659" t="s">
        <v>237</v>
      </c>
      <c r="D16659" s="1" t="str">
        <f t="shared" si="453"/>
        <v>PRG-1044663</v>
      </c>
      <c r="E16659" t="s">
        <v>147</v>
      </c>
      <c r="F16659" t="s">
        <v>4</v>
      </c>
      <c r="G16659" t="str">
        <f>""</f>
        <v/>
      </c>
    </row>
    <row r="16660" spans="1:7" x14ac:dyDescent="0.25">
      <c r="A16660" t="s">
        <v>8</v>
      </c>
      <c r="B16660" s="1" t="str">
        <f>"000309807 - RICH FOODS-FOODBUY"</f>
        <v>000309807 - RICH FOODS-FOODBUY</v>
      </c>
      <c r="C16660" t="s">
        <v>237</v>
      </c>
      <c r="D16660" s="1" t="str">
        <f t="shared" si="453"/>
        <v>PRG-1044663</v>
      </c>
      <c r="E16660" t="s">
        <v>147</v>
      </c>
      <c r="F16660" t="s">
        <v>4</v>
      </c>
      <c r="G16660" t="str">
        <f>""</f>
        <v/>
      </c>
    </row>
    <row r="16661" spans="1:7" x14ac:dyDescent="0.25">
      <c r="A16661" t="s">
        <v>8</v>
      </c>
      <c r="B16661" s="1" t="str">
        <f>"000310132 - RICH FOODS-FOODBUY"</f>
        <v>000310132 - RICH FOODS-FOODBUY</v>
      </c>
      <c r="C16661" t="s">
        <v>237</v>
      </c>
      <c r="D16661" s="1" t="str">
        <f t="shared" si="453"/>
        <v>PRG-1044663</v>
      </c>
      <c r="E16661" t="s">
        <v>147</v>
      </c>
      <c r="F16661" t="s">
        <v>4</v>
      </c>
      <c r="G16661" t="str">
        <f>""</f>
        <v/>
      </c>
    </row>
    <row r="16662" spans="1:7" x14ac:dyDescent="0.25">
      <c r="A16662" t="s">
        <v>8</v>
      </c>
      <c r="B16662" s="1" t="str">
        <f>"000310162 - RICH FOODS-FOODBUY"</f>
        <v>000310162 - RICH FOODS-FOODBUY</v>
      </c>
      <c r="C16662" t="s">
        <v>237</v>
      </c>
      <c r="D16662" s="1" t="str">
        <f t="shared" si="453"/>
        <v>PRG-1044663</v>
      </c>
      <c r="E16662" t="s">
        <v>147</v>
      </c>
      <c r="F16662" t="s">
        <v>4</v>
      </c>
      <c r="G16662" t="str">
        <f>""</f>
        <v/>
      </c>
    </row>
    <row r="16663" spans="1:7" x14ac:dyDescent="0.25">
      <c r="A16663" t="s">
        <v>8</v>
      </c>
      <c r="B16663" s="1" t="str">
        <f>"000310238 - RICH FOODS-FOODBUY"</f>
        <v>000310238 - RICH FOODS-FOODBUY</v>
      </c>
      <c r="C16663" t="s">
        <v>237</v>
      </c>
      <c r="D16663" s="1" t="str">
        <f t="shared" si="453"/>
        <v>PRG-1044663</v>
      </c>
      <c r="E16663" t="s">
        <v>147</v>
      </c>
      <c r="F16663" t="s">
        <v>4</v>
      </c>
      <c r="G16663" t="str">
        <f>""</f>
        <v/>
      </c>
    </row>
    <row r="16664" spans="1:7" x14ac:dyDescent="0.25">
      <c r="A16664" t="s">
        <v>8</v>
      </c>
      <c r="B16664" s="1" t="str">
        <f>"000310725 - RICH FOODS-FOODBUY"</f>
        <v>000310725 - RICH FOODS-FOODBUY</v>
      </c>
      <c r="C16664" t="s">
        <v>237</v>
      </c>
      <c r="D16664" s="1" t="str">
        <f t="shared" si="453"/>
        <v>PRG-1044663</v>
      </c>
      <c r="E16664" t="s">
        <v>147</v>
      </c>
      <c r="F16664" t="s">
        <v>4</v>
      </c>
      <c r="G16664" t="str">
        <f>""</f>
        <v/>
      </c>
    </row>
    <row r="16665" spans="1:7" x14ac:dyDescent="0.25">
      <c r="A16665" t="s">
        <v>8</v>
      </c>
      <c r="B16665" s="1" t="str">
        <f>"000310955 - RICH FOODS-FOODBUY"</f>
        <v>000310955 - RICH FOODS-FOODBUY</v>
      </c>
      <c r="C16665" t="s">
        <v>237</v>
      </c>
      <c r="D16665" s="1" t="str">
        <f t="shared" si="453"/>
        <v>PRG-1044663</v>
      </c>
      <c r="E16665" t="s">
        <v>147</v>
      </c>
      <c r="F16665" t="s">
        <v>4</v>
      </c>
      <c r="G16665" t="str">
        <f>""</f>
        <v/>
      </c>
    </row>
    <row r="16666" spans="1:7" x14ac:dyDescent="0.25">
      <c r="A16666" t="s">
        <v>8</v>
      </c>
      <c r="B16666" s="1" t="str">
        <f>"000311010 - RICH FOODS-FOODBUY"</f>
        <v>000311010 - RICH FOODS-FOODBUY</v>
      </c>
      <c r="C16666" t="s">
        <v>237</v>
      </c>
      <c r="D16666" s="1" t="str">
        <f t="shared" si="453"/>
        <v>PRG-1044663</v>
      </c>
      <c r="E16666" t="s">
        <v>147</v>
      </c>
      <c r="F16666" t="s">
        <v>4</v>
      </c>
      <c r="G16666" t="str">
        <f>""</f>
        <v/>
      </c>
    </row>
    <row r="16667" spans="1:7" x14ac:dyDescent="0.25">
      <c r="A16667" t="s">
        <v>8</v>
      </c>
      <c r="B16667" s="1" t="str">
        <f>"000311133 - RICH FOODS-FOODBUY"</f>
        <v>000311133 - RICH FOODS-FOODBUY</v>
      </c>
      <c r="C16667" t="s">
        <v>237</v>
      </c>
      <c r="D16667" s="1" t="str">
        <f t="shared" si="453"/>
        <v>PRG-1044663</v>
      </c>
      <c r="E16667" t="s">
        <v>147</v>
      </c>
      <c r="F16667" t="s">
        <v>4</v>
      </c>
      <c r="G16667" t="str">
        <f>""</f>
        <v/>
      </c>
    </row>
    <row r="16668" spans="1:7" x14ac:dyDescent="0.25">
      <c r="A16668" t="s">
        <v>8</v>
      </c>
      <c r="B16668" s="1" t="str">
        <f>"000311209 - RICH FOODS-FOODBUY"</f>
        <v>000311209 - RICH FOODS-FOODBUY</v>
      </c>
      <c r="C16668" t="s">
        <v>237</v>
      </c>
      <c r="D16668" s="1" t="str">
        <f t="shared" si="453"/>
        <v>PRG-1044663</v>
      </c>
      <c r="E16668" t="s">
        <v>147</v>
      </c>
      <c r="F16668" t="s">
        <v>4</v>
      </c>
      <c r="G16668" t="str">
        <f>""</f>
        <v/>
      </c>
    </row>
    <row r="16669" spans="1:7" x14ac:dyDescent="0.25">
      <c r="A16669" t="s">
        <v>8</v>
      </c>
      <c r="B16669" s="1" t="str">
        <f>"000311430 - RICH FOODS-FOODBUY"</f>
        <v>000311430 - RICH FOODS-FOODBUY</v>
      </c>
      <c r="C16669" t="s">
        <v>237</v>
      </c>
      <c r="D16669" s="1" t="str">
        <f t="shared" si="453"/>
        <v>PRG-1044663</v>
      </c>
      <c r="E16669" t="s">
        <v>147</v>
      </c>
      <c r="F16669" t="s">
        <v>4</v>
      </c>
      <c r="G16669" t="str">
        <f>""</f>
        <v/>
      </c>
    </row>
    <row r="16670" spans="1:7" x14ac:dyDescent="0.25">
      <c r="A16670" t="s">
        <v>8</v>
      </c>
      <c r="B16670" s="1" t="str">
        <f>"000311436 - RICH FOODS-FOODBUY"</f>
        <v>000311436 - RICH FOODS-FOODBUY</v>
      </c>
      <c r="C16670" t="s">
        <v>237</v>
      </c>
      <c r="D16670" s="1" t="str">
        <f t="shared" si="453"/>
        <v>PRG-1044663</v>
      </c>
      <c r="E16670" t="s">
        <v>147</v>
      </c>
      <c r="F16670" t="s">
        <v>4</v>
      </c>
      <c r="G16670" t="str">
        <f>""</f>
        <v/>
      </c>
    </row>
    <row r="16671" spans="1:7" x14ac:dyDescent="0.25">
      <c r="A16671" t="s">
        <v>8</v>
      </c>
      <c r="B16671" s="1" t="str">
        <f>"000311620 - RICH FOODS-FOODBUY"</f>
        <v>000311620 - RICH FOODS-FOODBUY</v>
      </c>
      <c r="C16671" t="s">
        <v>237</v>
      </c>
      <c r="D16671" s="1" t="str">
        <f t="shared" si="453"/>
        <v>PRG-1044663</v>
      </c>
      <c r="E16671" t="s">
        <v>147</v>
      </c>
      <c r="F16671" t="s">
        <v>4</v>
      </c>
      <c r="G16671" t="str">
        <f>""</f>
        <v/>
      </c>
    </row>
    <row r="16672" spans="1:7" x14ac:dyDescent="0.25">
      <c r="A16672" t="s">
        <v>8</v>
      </c>
      <c r="B16672" s="1" t="str">
        <f>"000312024 - RICH FOODS-FOODBUY"</f>
        <v>000312024 - RICH FOODS-FOODBUY</v>
      </c>
      <c r="C16672" t="s">
        <v>237</v>
      </c>
      <c r="D16672" s="1" t="str">
        <f t="shared" si="453"/>
        <v>PRG-1044663</v>
      </c>
      <c r="E16672" t="s">
        <v>147</v>
      </c>
      <c r="F16672" t="s">
        <v>4</v>
      </c>
      <c r="G16672" t="str">
        <f>""</f>
        <v/>
      </c>
    </row>
    <row r="16673" spans="1:7" x14ac:dyDescent="0.25">
      <c r="A16673" t="s">
        <v>8</v>
      </c>
      <c r="B16673" s="1" t="str">
        <f>"000312037 - RICH FOODS-FOODBUY"</f>
        <v>000312037 - RICH FOODS-FOODBUY</v>
      </c>
      <c r="C16673" t="s">
        <v>237</v>
      </c>
      <c r="D16673" s="1" t="str">
        <f t="shared" si="453"/>
        <v>PRG-1044663</v>
      </c>
      <c r="E16673" t="s">
        <v>147</v>
      </c>
      <c r="F16673" t="s">
        <v>4</v>
      </c>
      <c r="G16673" t="str">
        <f>""</f>
        <v/>
      </c>
    </row>
    <row r="16674" spans="1:7" x14ac:dyDescent="0.25">
      <c r="A16674" t="s">
        <v>8</v>
      </c>
      <c r="B16674" s="1" t="str">
        <f>"000312106 - RICH FOODS-FOODBUY"</f>
        <v>000312106 - RICH FOODS-FOODBUY</v>
      </c>
      <c r="C16674" t="s">
        <v>237</v>
      </c>
      <c r="D16674" s="1" t="str">
        <f t="shared" si="453"/>
        <v>PRG-1044663</v>
      </c>
      <c r="E16674" t="s">
        <v>147</v>
      </c>
      <c r="F16674" t="s">
        <v>4</v>
      </c>
      <c r="G16674" t="str">
        <f>""</f>
        <v/>
      </c>
    </row>
    <row r="16675" spans="1:7" x14ac:dyDescent="0.25">
      <c r="A16675" t="s">
        <v>8</v>
      </c>
      <c r="B16675" s="1" t="str">
        <f>"000312630 - RICH FOODS-FOODBUY"</f>
        <v>000312630 - RICH FOODS-FOODBUY</v>
      </c>
      <c r="C16675" t="s">
        <v>237</v>
      </c>
      <c r="D16675" s="1" t="str">
        <f t="shared" si="453"/>
        <v>PRG-1044663</v>
      </c>
      <c r="E16675" t="s">
        <v>147</v>
      </c>
      <c r="F16675" t="s">
        <v>4</v>
      </c>
      <c r="G16675" t="str">
        <f>""</f>
        <v/>
      </c>
    </row>
    <row r="16676" spans="1:7" x14ac:dyDescent="0.25">
      <c r="A16676" t="s">
        <v>8</v>
      </c>
      <c r="B16676" s="1" t="str">
        <f>"000312836 - RICH FOODS-FOODBUY"</f>
        <v>000312836 - RICH FOODS-FOODBUY</v>
      </c>
      <c r="C16676" t="s">
        <v>237</v>
      </c>
      <c r="D16676" s="1" t="str">
        <f t="shared" si="453"/>
        <v>PRG-1044663</v>
      </c>
      <c r="E16676" t="s">
        <v>147</v>
      </c>
      <c r="F16676" t="s">
        <v>4</v>
      </c>
      <c r="G16676" t="str">
        <f>""</f>
        <v/>
      </c>
    </row>
    <row r="16677" spans="1:7" x14ac:dyDescent="0.25">
      <c r="A16677" t="s">
        <v>8</v>
      </c>
      <c r="B16677" s="1" t="str">
        <f>"000312999 - RICH FOODS-FOODBUY"</f>
        <v>000312999 - RICH FOODS-FOODBUY</v>
      </c>
      <c r="C16677" t="s">
        <v>237</v>
      </c>
      <c r="D16677" s="1" t="str">
        <f t="shared" si="453"/>
        <v>PRG-1044663</v>
      </c>
      <c r="E16677" t="s">
        <v>147</v>
      </c>
      <c r="F16677" t="s">
        <v>4</v>
      </c>
      <c r="G16677" t="str">
        <f>""</f>
        <v/>
      </c>
    </row>
    <row r="16678" spans="1:7" x14ac:dyDescent="0.25">
      <c r="A16678" t="s">
        <v>8</v>
      </c>
      <c r="B16678" s="1" t="str">
        <f>"000313024 - CP RICH FOODS FOODBUY"</f>
        <v>000313024 - CP RICH FOODS FOODBUY</v>
      </c>
      <c r="C16678" t="s">
        <v>310</v>
      </c>
      <c r="D16678" s="1" t="str">
        <f t="shared" si="453"/>
        <v>PRG-1044663</v>
      </c>
      <c r="E16678" t="s">
        <v>147</v>
      </c>
      <c r="F16678" t="s">
        <v>4</v>
      </c>
      <c r="G16678" t="str">
        <f>""</f>
        <v/>
      </c>
    </row>
    <row r="16679" spans="1:7" x14ac:dyDescent="0.25">
      <c r="A16679" t="s">
        <v>8</v>
      </c>
      <c r="B16679" s="1" t="str">
        <f>"000313177 - RICH FOODS-FOODBUY"</f>
        <v>000313177 - RICH FOODS-FOODBUY</v>
      </c>
      <c r="C16679" t="s">
        <v>237</v>
      </c>
      <c r="D16679" s="1" t="str">
        <f t="shared" si="453"/>
        <v>PRG-1044663</v>
      </c>
      <c r="E16679" t="s">
        <v>147</v>
      </c>
      <c r="F16679" t="s">
        <v>4</v>
      </c>
      <c r="G16679" t="str">
        <f>""</f>
        <v/>
      </c>
    </row>
    <row r="16680" spans="1:7" x14ac:dyDescent="0.25">
      <c r="A16680" t="s">
        <v>8</v>
      </c>
      <c r="B16680" s="1" t="str">
        <f>"000313190 - RICH FOODS-FOODBUY"</f>
        <v>000313190 - RICH FOODS-FOODBUY</v>
      </c>
      <c r="C16680" t="s">
        <v>237</v>
      </c>
      <c r="D16680" s="1" t="str">
        <f t="shared" si="453"/>
        <v>PRG-1044663</v>
      </c>
      <c r="E16680" t="s">
        <v>147</v>
      </c>
      <c r="F16680" t="s">
        <v>4</v>
      </c>
      <c r="G16680" t="str">
        <f>""</f>
        <v/>
      </c>
    </row>
    <row r="16681" spans="1:7" x14ac:dyDescent="0.25">
      <c r="A16681" t="s">
        <v>8</v>
      </c>
      <c r="B16681" s="1" t="str">
        <f>"000313874 - RICH FOODS-FOODBUY"</f>
        <v>000313874 - RICH FOODS-FOODBUY</v>
      </c>
      <c r="C16681" t="s">
        <v>237</v>
      </c>
      <c r="D16681" s="1" t="str">
        <f t="shared" si="453"/>
        <v>PRG-1044663</v>
      </c>
      <c r="E16681" t="s">
        <v>147</v>
      </c>
      <c r="F16681" t="s">
        <v>4</v>
      </c>
      <c r="G16681" t="str">
        <f>""</f>
        <v/>
      </c>
    </row>
    <row r="16682" spans="1:7" x14ac:dyDescent="0.25">
      <c r="A16682" t="s">
        <v>8</v>
      </c>
      <c r="B16682" s="1" t="str">
        <f>"000313959 - RICH FOODS-FOODBUY"</f>
        <v>000313959 - RICH FOODS-FOODBUY</v>
      </c>
      <c r="C16682" t="s">
        <v>237</v>
      </c>
      <c r="D16682" s="1" t="str">
        <f t="shared" si="453"/>
        <v>PRG-1044663</v>
      </c>
      <c r="E16682" t="s">
        <v>147</v>
      </c>
      <c r="F16682" t="s">
        <v>4</v>
      </c>
      <c r="G16682" t="str">
        <f>""</f>
        <v/>
      </c>
    </row>
    <row r="16683" spans="1:7" x14ac:dyDescent="0.25">
      <c r="A16683" t="s">
        <v>8</v>
      </c>
      <c r="B16683" s="1" t="str">
        <f>"000314151 - RICH FOODS-FOODBUY AUDIT"</f>
        <v>000314151 - RICH FOODS-FOODBUY AUDIT</v>
      </c>
      <c r="C16683" t="s">
        <v>2657</v>
      </c>
      <c r="D16683" s="1" t="str">
        <f t="shared" si="453"/>
        <v>PRG-1044663</v>
      </c>
      <c r="E16683" t="s">
        <v>147</v>
      </c>
      <c r="F16683" t="s">
        <v>4</v>
      </c>
      <c r="G16683" t="str">
        <f>""</f>
        <v/>
      </c>
    </row>
    <row r="16684" spans="1:7" x14ac:dyDescent="0.25">
      <c r="A16684" t="s">
        <v>8</v>
      </c>
      <c r="B16684" s="1" t="str">
        <f>"000314285 - RICH FOODS-FOODBUY"</f>
        <v>000314285 - RICH FOODS-FOODBUY</v>
      </c>
      <c r="C16684" t="s">
        <v>237</v>
      </c>
      <c r="D16684" s="1" t="str">
        <f t="shared" si="453"/>
        <v>PRG-1044663</v>
      </c>
      <c r="E16684" t="s">
        <v>147</v>
      </c>
      <c r="F16684" t="s">
        <v>4</v>
      </c>
      <c r="G16684" t="str">
        <f>""</f>
        <v/>
      </c>
    </row>
    <row r="16685" spans="1:7" x14ac:dyDescent="0.25">
      <c r="A16685" t="s">
        <v>8</v>
      </c>
      <c r="B16685" s="1" t="str">
        <f>"000314540 - RICH FOODS-FOODBUY"</f>
        <v>000314540 - RICH FOODS-FOODBUY</v>
      </c>
      <c r="C16685" t="s">
        <v>237</v>
      </c>
      <c r="D16685" s="1" t="str">
        <f t="shared" si="453"/>
        <v>PRG-1044663</v>
      </c>
      <c r="E16685" t="s">
        <v>147</v>
      </c>
      <c r="F16685" t="s">
        <v>4</v>
      </c>
      <c r="G16685" t="str">
        <f>""</f>
        <v/>
      </c>
    </row>
    <row r="16686" spans="1:7" x14ac:dyDescent="0.25">
      <c r="A16686" t="s">
        <v>8</v>
      </c>
      <c r="B16686" s="1" t="str">
        <f>"000314783 - RICH FOODS-FOODBUY"</f>
        <v>000314783 - RICH FOODS-FOODBUY</v>
      </c>
      <c r="C16686" t="s">
        <v>237</v>
      </c>
      <c r="D16686" s="1" t="str">
        <f t="shared" si="453"/>
        <v>PRG-1044663</v>
      </c>
      <c r="E16686" t="s">
        <v>147</v>
      </c>
      <c r="F16686" t="s">
        <v>4</v>
      </c>
      <c r="G16686" t="str">
        <f>""</f>
        <v/>
      </c>
    </row>
    <row r="16687" spans="1:7" x14ac:dyDescent="0.25">
      <c r="A16687" t="s">
        <v>8</v>
      </c>
      <c r="B16687" s="1" t="str">
        <f>"000315103 - RICH FOODS-FOODBUY"</f>
        <v>000315103 - RICH FOODS-FOODBUY</v>
      </c>
      <c r="C16687" t="s">
        <v>237</v>
      </c>
      <c r="D16687" s="1" t="str">
        <f t="shared" si="453"/>
        <v>PRG-1044663</v>
      </c>
      <c r="E16687" t="s">
        <v>147</v>
      </c>
      <c r="F16687" t="s">
        <v>4</v>
      </c>
      <c r="G16687" t="str">
        <f>""</f>
        <v/>
      </c>
    </row>
    <row r="16688" spans="1:7" x14ac:dyDescent="0.25">
      <c r="A16688" t="s">
        <v>8</v>
      </c>
      <c r="B16688" s="1" t="str">
        <f>"000315332 - RICH FOODS-FOODBUY"</f>
        <v>000315332 - RICH FOODS-FOODBUY</v>
      </c>
      <c r="C16688" t="s">
        <v>237</v>
      </c>
      <c r="D16688" s="1" t="str">
        <f t="shared" si="453"/>
        <v>PRG-1044663</v>
      </c>
      <c r="E16688" t="s">
        <v>147</v>
      </c>
      <c r="F16688" t="s">
        <v>4</v>
      </c>
      <c r="G16688" t="str">
        <f>""</f>
        <v/>
      </c>
    </row>
    <row r="16689" spans="1:7" x14ac:dyDescent="0.25">
      <c r="A16689" t="s">
        <v>8</v>
      </c>
      <c r="B16689" s="1" t="str">
        <f>"000315407 - RICH FOODS-FOODBUY"</f>
        <v>000315407 - RICH FOODS-FOODBUY</v>
      </c>
      <c r="C16689" t="s">
        <v>237</v>
      </c>
      <c r="D16689" s="1" t="str">
        <f t="shared" si="453"/>
        <v>PRG-1044663</v>
      </c>
      <c r="E16689" t="s">
        <v>147</v>
      </c>
      <c r="F16689" t="s">
        <v>4</v>
      </c>
      <c r="G16689" t="str">
        <f>""</f>
        <v/>
      </c>
    </row>
    <row r="16690" spans="1:7" x14ac:dyDescent="0.25">
      <c r="A16690" t="s">
        <v>8</v>
      </c>
      <c r="B16690" s="1" t="str">
        <f>"000315711 - RICH FOODS-FOODBUY"</f>
        <v>000315711 - RICH FOODS-FOODBUY</v>
      </c>
      <c r="C16690" t="s">
        <v>237</v>
      </c>
      <c r="D16690" s="1" t="str">
        <f t="shared" si="453"/>
        <v>PRG-1044663</v>
      </c>
      <c r="E16690" t="s">
        <v>147</v>
      </c>
      <c r="F16690" t="s">
        <v>4</v>
      </c>
      <c r="G16690" t="str">
        <f>""</f>
        <v/>
      </c>
    </row>
    <row r="16691" spans="1:7" x14ac:dyDescent="0.25">
      <c r="A16691" t="s">
        <v>8</v>
      </c>
      <c r="B16691" s="1" t="str">
        <f>"000315719 - RICH FOODS-FOODBUY"</f>
        <v>000315719 - RICH FOODS-FOODBUY</v>
      </c>
      <c r="C16691" t="s">
        <v>237</v>
      </c>
      <c r="D16691" s="1" t="str">
        <f t="shared" si="453"/>
        <v>PRG-1044663</v>
      </c>
      <c r="E16691" t="s">
        <v>147</v>
      </c>
      <c r="F16691" t="s">
        <v>4</v>
      </c>
      <c r="G16691" t="str">
        <f>""</f>
        <v/>
      </c>
    </row>
    <row r="16692" spans="1:7" x14ac:dyDescent="0.25">
      <c r="A16692" t="s">
        <v>8</v>
      </c>
      <c r="B16692" s="1" t="str">
        <f>"000315909 - RICH FOODS-FOODBUY"</f>
        <v>000315909 - RICH FOODS-FOODBUY</v>
      </c>
      <c r="C16692" t="s">
        <v>237</v>
      </c>
      <c r="D16692" s="1" t="str">
        <f t="shared" si="453"/>
        <v>PRG-1044663</v>
      </c>
      <c r="E16692" t="s">
        <v>147</v>
      </c>
      <c r="F16692" t="s">
        <v>4</v>
      </c>
      <c r="G16692" t="str">
        <f>""</f>
        <v/>
      </c>
    </row>
    <row r="16693" spans="1:7" x14ac:dyDescent="0.25">
      <c r="A16693" t="s">
        <v>8</v>
      </c>
      <c r="B16693" s="1" t="str">
        <f>"000316511 - RICH FOODS-FOODBUY"</f>
        <v>000316511 - RICH FOODS-FOODBUY</v>
      </c>
      <c r="C16693" t="s">
        <v>237</v>
      </c>
      <c r="D16693" s="1" t="str">
        <f t="shared" si="453"/>
        <v>PRG-1044663</v>
      </c>
      <c r="E16693" t="s">
        <v>147</v>
      </c>
      <c r="F16693" t="s">
        <v>4</v>
      </c>
      <c r="G16693" t="str">
        <f>""</f>
        <v/>
      </c>
    </row>
    <row r="16694" spans="1:7" x14ac:dyDescent="0.25">
      <c r="A16694" t="s">
        <v>8</v>
      </c>
      <c r="B16694" s="1" t="str">
        <f>"000316602 - RICH FOODS-FOODBUY"</f>
        <v>000316602 - RICH FOODS-FOODBUY</v>
      </c>
      <c r="C16694" t="s">
        <v>237</v>
      </c>
      <c r="D16694" s="1" t="str">
        <f t="shared" si="453"/>
        <v>PRG-1044663</v>
      </c>
      <c r="E16694" t="s">
        <v>147</v>
      </c>
      <c r="F16694" t="s">
        <v>4</v>
      </c>
      <c r="G16694" t="str">
        <f>""</f>
        <v/>
      </c>
    </row>
    <row r="16695" spans="1:7" x14ac:dyDescent="0.25">
      <c r="A16695" t="s">
        <v>8</v>
      </c>
      <c r="B16695" s="1" t="str">
        <f>"000316642 - RICH FOODS-FOODBUY"</f>
        <v>000316642 - RICH FOODS-FOODBUY</v>
      </c>
      <c r="C16695" t="s">
        <v>237</v>
      </c>
      <c r="D16695" s="1" t="str">
        <f t="shared" si="453"/>
        <v>PRG-1044663</v>
      </c>
      <c r="E16695" t="s">
        <v>147</v>
      </c>
      <c r="F16695" t="s">
        <v>4</v>
      </c>
      <c r="G16695" t="str">
        <f>""</f>
        <v/>
      </c>
    </row>
    <row r="16696" spans="1:7" x14ac:dyDescent="0.25">
      <c r="A16696" t="s">
        <v>8</v>
      </c>
      <c r="B16696" s="1" t="str">
        <f>"000316683 - RICH FOODS-FOODBUY"</f>
        <v>000316683 - RICH FOODS-FOODBUY</v>
      </c>
      <c r="C16696" t="s">
        <v>237</v>
      </c>
      <c r="D16696" s="1" t="str">
        <f t="shared" si="453"/>
        <v>PRG-1044663</v>
      </c>
      <c r="E16696" t="s">
        <v>147</v>
      </c>
      <c r="F16696" t="s">
        <v>4</v>
      </c>
      <c r="G16696" t="str">
        <f>""</f>
        <v/>
      </c>
    </row>
    <row r="16697" spans="1:7" x14ac:dyDescent="0.25">
      <c r="A16697" t="s">
        <v>8</v>
      </c>
      <c r="B16697" s="1" t="str">
        <f>"000317194 - RICH FOODS-FOODBUY"</f>
        <v>000317194 - RICH FOODS-FOODBUY</v>
      </c>
      <c r="C16697" t="s">
        <v>237</v>
      </c>
      <c r="D16697" s="1" t="str">
        <f t="shared" si="453"/>
        <v>PRG-1044663</v>
      </c>
      <c r="E16697" t="s">
        <v>147</v>
      </c>
      <c r="F16697" t="s">
        <v>4</v>
      </c>
      <c r="G16697" t="str">
        <f>""</f>
        <v/>
      </c>
    </row>
    <row r="16698" spans="1:7" x14ac:dyDescent="0.25">
      <c r="A16698" t="s">
        <v>8</v>
      </c>
      <c r="B16698" s="1" t="str">
        <f>"000317319 - RICH FOODS-FOODBUY"</f>
        <v>000317319 - RICH FOODS-FOODBUY</v>
      </c>
      <c r="C16698" t="s">
        <v>237</v>
      </c>
      <c r="D16698" s="1" t="str">
        <f t="shared" si="453"/>
        <v>PRG-1044663</v>
      </c>
      <c r="E16698" t="s">
        <v>147</v>
      </c>
      <c r="F16698" t="s">
        <v>4</v>
      </c>
      <c r="G16698" t="str">
        <f>""</f>
        <v/>
      </c>
    </row>
    <row r="16699" spans="1:7" x14ac:dyDescent="0.25">
      <c r="A16699" t="s">
        <v>8</v>
      </c>
      <c r="B16699" s="1" t="str">
        <f>"000317356 - RICH FOODS-FOODBUY"</f>
        <v>000317356 - RICH FOODS-FOODBUY</v>
      </c>
      <c r="C16699" t="s">
        <v>237</v>
      </c>
      <c r="D16699" s="1" t="str">
        <f t="shared" si="453"/>
        <v>PRG-1044663</v>
      </c>
      <c r="E16699" t="s">
        <v>147</v>
      </c>
      <c r="F16699" t="s">
        <v>4</v>
      </c>
      <c r="G16699" t="str">
        <f>""</f>
        <v/>
      </c>
    </row>
    <row r="16700" spans="1:7" x14ac:dyDescent="0.25">
      <c r="A16700" t="s">
        <v>8</v>
      </c>
      <c r="B16700" s="1" t="str">
        <f>"000317413 - RICH FOODS-FOODBUY"</f>
        <v>000317413 - RICH FOODS-FOODBUY</v>
      </c>
      <c r="C16700" t="s">
        <v>237</v>
      </c>
      <c r="D16700" s="1" t="str">
        <f t="shared" si="453"/>
        <v>PRG-1044663</v>
      </c>
      <c r="E16700" t="s">
        <v>147</v>
      </c>
      <c r="F16700" t="s">
        <v>4</v>
      </c>
      <c r="G16700" t="str">
        <f>""</f>
        <v/>
      </c>
    </row>
    <row r="16701" spans="1:7" x14ac:dyDescent="0.25">
      <c r="A16701" t="s">
        <v>8</v>
      </c>
      <c r="B16701" s="1" t="str">
        <f>"000317509 - RICH FOODS-FOODBUY"</f>
        <v>000317509 - RICH FOODS-FOODBUY</v>
      </c>
      <c r="C16701" t="s">
        <v>237</v>
      </c>
      <c r="D16701" s="1" t="str">
        <f t="shared" ref="D16701:D16764" si="454">"PRG-1044663"</f>
        <v>PRG-1044663</v>
      </c>
      <c r="E16701" t="s">
        <v>147</v>
      </c>
      <c r="F16701" t="s">
        <v>4</v>
      </c>
      <c r="G16701" t="str">
        <f>""</f>
        <v/>
      </c>
    </row>
    <row r="16702" spans="1:7" x14ac:dyDescent="0.25">
      <c r="A16702" t="s">
        <v>8</v>
      </c>
      <c r="B16702" s="1" t="str">
        <f>"000317805 - RICHS TOPPINGS-SODEXO"</f>
        <v>000317805 - RICHS TOPPINGS-SODEXO</v>
      </c>
      <c r="C16702" t="s">
        <v>222</v>
      </c>
      <c r="D16702" s="1" t="str">
        <f t="shared" si="454"/>
        <v>PRG-1044663</v>
      </c>
      <c r="E16702" t="s">
        <v>147</v>
      </c>
      <c r="F16702" t="s">
        <v>4</v>
      </c>
      <c r="G16702" t="str">
        <f>""</f>
        <v/>
      </c>
    </row>
    <row r="16703" spans="1:7" x14ac:dyDescent="0.25">
      <c r="A16703" t="s">
        <v>8</v>
      </c>
      <c r="B16703" s="1" t="str">
        <f>"000318715 - RICH FOODS-FOODBUY"</f>
        <v>000318715 - RICH FOODS-FOODBUY</v>
      </c>
      <c r="C16703" t="s">
        <v>237</v>
      </c>
      <c r="D16703" s="1" t="str">
        <f t="shared" si="454"/>
        <v>PRG-1044663</v>
      </c>
      <c r="E16703" t="s">
        <v>147</v>
      </c>
      <c r="F16703" t="s">
        <v>4</v>
      </c>
      <c r="G16703" t="str">
        <f>""</f>
        <v/>
      </c>
    </row>
    <row r="16704" spans="1:7" x14ac:dyDescent="0.25">
      <c r="A16704" t="s">
        <v>8</v>
      </c>
      <c r="B16704" s="1" t="str">
        <f>"000318716 - RICH FOODS-FOODBUY"</f>
        <v>000318716 - RICH FOODS-FOODBUY</v>
      </c>
      <c r="C16704" t="s">
        <v>237</v>
      </c>
      <c r="D16704" s="1" t="str">
        <f t="shared" si="454"/>
        <v>PRG-1044663</v>
      </c>
      <c r="E16704" t="s">
        <v>147</v>
      </c>
      <c r="F16704" t="s">
        <v>4</v>
      </c>
      <c r="G16704" t="str">
        <f>""</f>
        <v/>
      </c>
    </row>
    <row r="16705" spans="1:7" x14ac:dyDescent="0.25">
      <c r="A16705" t="s">
        <v>8</v>
      </c>
      <c r="B16705" s="1" t="str">
        <f>"000318779 - RICH FOODS-FOODBUY"</f>
        <v>000318779 - RICH FOODS-FOODBUY</v>
      </c>
      <c r="C16705" t="s">
        <v>237</v>
      </c>
      <c r="D16705" s="1" t="str">
        <f t="shared" si="454"/>
        <v>PRG-1044663</v>
      </c>
      <c r="E16705" t="s">
        <v>147</v>
      </c>
      <c r="F16705" t="s">
        <v>4</v>
      </c>
      <c r="G16705" t="str">
        <f>""</f>
        <v/>
      </c>
    </row>
    <row r="16706" spans="1:7" x14ac:dyDescent="0.25">
      <c r="A16706" t="s">
        <v>8</v>
      </c>
      <c r="B16706" s="1" t="str">
        <f>"000318880 - RICH FOODS-FOODBUY"</f>
        <v>000318880 - RICH FOODS-FOODBUY</v>
      </c>
      <c r="C16706" t="s">
        <v>237</v>
      </c>
      <c r="D16706" s="1" t="str">
        <f t="shared" si="454"/>
        <v>PRG-1044663</v>
      </c>
      <c r="E16706" t="s">
        <v>147</v>
      </c>
      <c r="F16706" t="s">
        <v>4</v>
      </c>
      <c r="G16706" t="str">
        <f>""</f>
        <v/>
      </c>
    </row>
    <row r="16707" spans="1:7" x14ac:dyDescent="0.25">
      <c r="A16707" t="s">
        <v>8</v>
      </c>
      <c r="B16707" s="1" t="str">
        <f>"000318908 - RICH FOODS-FOODBUY"</f>
        <v>000318908 - RICH FOODS-FOODBUY</v>
      </c>
      <c r="C16707" t="s">
        <v>237</v>
      </c>
      <c r="D16707" s="1" t="str">
        <f t="shared" si="454"/>
        <v>PRG-1044663</v>
      </c>
      <c r="E16707" t="s">
        <v>147</v>
      </c>
      <c r="F16707" t="s">
        <v>4</v>
      </c>
      <c r="G16707" t="str">
        <f>""</f>
        <v/>
      </c>
    </row>
    <row r="16708" spans="1:7" x14ac:dyDescent="0.25">
      <c r="A16708" t="s">
        <v>8</v>
      </c>
      <c r="B16708" s="1" t="str">
        <f>"000320071 - RICH FOODS-FOODBUY"</f>
        <v>000320071 - RICH FOODS-FOODBUY</v>
      </c>
      <c r="C16708" t="s">
        <v>237</v>
      </c>
      <c r="D16708" s="1" t="str">
        <f t="shared" si="454"/>
        <v>PRG-1044663</v>
      </c>
      <c r="E16708" t="s">
        <v>147</v>
      </c>
      <c r="F16708" t="s">
        <v>4</v>
      </c>
      <c r="G16708" t="str">
        <f>""</f>
        <v/>
      </c>
    </row>
    <row r="16709" spans="1:7" x14ac:dyDescent="0.25">
      <c r="A16709" t="s">
        <v>8</v>
      </c>
      <c r="B16709" s="1" t="str">
        <f>"000320268 - RICH FOODS-FOODBUY"</f>
        <v>000320268 - RICH FOODS-FOODBUY</v>
      </c>
      <c r="C16709" t="s">
        <v>237</v>
      </c>
      <c r="D16709" s="1" t="str">
        <f t="shared" si="454"/>
        <v>PRG-1044663</v>
      </c>
      <c r="E16709" t="s">
        <v>147</v>
      </c>
      <c r="F16709" t="s">
        <v>4</v>
      </c>
      <c r="G16709" t="str">
        <f>""</f>
        <v/>
      </c>
    </row>
    <row r="16710" spans="1:7" x14ac:dyDescent="0.25">
      <c r="A16710" t="s">
        <v>8</v>
      </c>
      <c r="B16710" s="1" t="str">
        <f>"000320366 - RICH FOODS-FOODBUY"</f>
        <v>000320366 - RICH FOODS-FOODBUY</v>
      </c>
      <c r="C16710" t="s">
        <v>237</v>
      </c>
      <c r="D16710" s="1" t="str">
        <f t="shared" si="454"/>
        <v>PRG-1044663</v>
      </c>
      <c r="E16710" t="s">
        <v>147</v>
      </c>
      <c r="F16710" t="s">
        <v>4</v>
      </c>
      <c r="G16710" t="str">
        <f>""</f>
        <v/>
      </c>
    </row>
    <row r="16711" spans="1:7" x14ac:dyDescent="0.25">
      <c r="A16711" t="s">
        <v>8</v>
      </c>
      <c r="B16711" s="1" t="str">
        <f>"000320518 - RICH FOODS-FOODBUY"</f>
        <v>000320518 - RICH FOODS-FOODBUY</v>
      </c>
      <c r="C16711" t="s">
        <v>237</v>
      </c>
      <c r="D16711" s="1" t="str">
        <f t="shared" si="454"/>
        <v>PRG-1044663</v>
      </c>
      <c r="E16711" t="s">
        <v>147</v>
      </c>
      <c r="F16711" t="s">
        <v>4</v>
      </c>
      <c r="G16711" t="str">
        <f>""</f>
        <v/>
      </c>
    </row>
    <row r="16712" spans="1:7" x14ac:dyDescent="0.25">
      <c r="A16712" t="s">
        <v>8</v>
      </c>
      <c r="B16712" s="1" t="str">
        <f>"000320813 - RICH FOODS-FOODBUY"</f>
        <v>000320813 - RICH FOODS-FOODBUY</v>
      </c>
      <c r="C16712" t="s">
        <v>237</v>
      </c>
      <c r="D16712" s="1" t="str">
        <f t="shared" si="454"/>
        <v>PRG-1044663</v>
      </c>
      <c r="E16712" t="s">
        <v>147</v>
      </c>
      <c r="F16712" t="s">
        <v>4</v>
      </c>
      <c r="G16712" t="str">
        <f>""</f>
        <v/>
      </c>
    </row>
    <row r="16713" spans="1:7" x14ac:dyDescent="0.25">
      <c r="A16713" t="s">
        <v>8</v>
      </c>
      <c r="B16713" s="1" t="str">
        <f>"000321295 - RICH FOODS-FOODBUY"</f>
        <v>000321295 - RICH FOODS-FOODBUY</v>
      </c>
      <c r="C16713" t="s">
        <v>237</v>
      </c>
      <c r="D16713" s="1" t="str">
        <f t="shared" si="454"/>
        <v>PRG-1044663</v>
      </c>
      <c r="E16713" t="s">
        <v>147</v>
      </c>
      <c r="F16713" t="s">
        <v>4</v>
      </c>
      <c r="G16713" t="str">
        <f>""</f>
        <v/>
      </c>
    </row>
    <row r="16714" spans="1:7" x14ac:dyDescent="0.25">
      <c r="A16714" t="s">
        <v>8</v>
      </c>
      <c r="B16714" s="1" t="str">
        <f>"000321352 - RICH FOODS-FOODBUY"</f>
        <v>000321352 - RICH FOODS-FOODBUY</v>
      </c>
      <c r="C16714" t="s">
        <v>237</v>
      </c>
      <c r="D16714" s="1" t="str">
        <f t="shared" si="454"/>
        <v>PRG-1044663</v>
      </c>
      <c r="E16714" t="s">
        <v>147</v>
      </c>
      <c r="F16714" t="s">
        <v>4</v>
      </c>
      <c r="G16714" t="str">
        <f>""</f>
        <v/>
      </c>
    </row>
    <row r="16715" spans="1:7" x14ac:dyDescent="0.25">
      <c r="A16715" t="s">
        <v>8</v>
      </c>
      <c r="B16715" s="1" t="str">
        <f>"000321943 - RICH FOODS-FOODBUY"</f>
        <v>000321943 - RICH FOODS-FOODBUY</v>
      </c>
      <c r="C16715" t="s">
        <v>237</v>
      </c>
      <c r="D16715" s="1" t="str">
        <f t="shared" si="454"/>
        <v>PRG-1044663</v>
      </c>
      <c r="E16715" t="s">
        <v>147</v>
      </c>
      <c r="F16715" t="s">
        <v>4</v>
      </c>
      <c r="G16715" t="str">
        <f>""</f>
        <v/>
      </c>
    </row>
    <row r="16716" spans="1:7" x14ac:dyDescent="0.25">
      <c r="A16716" t="s">
        <v>8</v>
      </c>
      <c r="B16716" s="1" t="str">
        <f>"000322002 - RICH FOODS-FOODBUY"</f>
        <v>000322002 - RICH FOODS-FOODBUY</v>
      </c>
      <c r="C16716" t="s">
        <v>237</v>
      </c>
      <c r="D16716" s="1" t="str">
        <f t="shared" si="454"/>
        <v>PRG-1044663</v>
      </c>
      <c r="E16716" t="s">
        <v>147</v>
      </c>
      <c r="F16716" t="s">
        <v>4</v>
      </c>
      <c r="G16716" t="str">
        <f>""</f>
        <v/>
      </c>
    </row>
    <row r="16717" spans="1:7" x14ac:dyDescent="0.25">
      <c r="A16717" t="s">
        <v>8</v>
      </c>
      <c r="B16717" s="1" t="str">
        <f>"000322088 - RICH FOODS-FOODBUY"</f>
        <v>000322088 - RICH FOODS-FOODBUY</v>
      </c>
      <c r="C16717" t="s">
        <v>237</v>
      </c>
      <c r="D16717" s="1" t="str">
        <f t="shared" si="454"/>
        <v>PRG-1044663</v>
      </c>
      <c r="E16717" t="s">
        <v>147</v>
      </c>
      <c r="F16717" t="s">
        <v>4</v>
      </c>
      <c r="G16717" t="str">
        <f>""</f>
        <v/>
      </c>
    </row>
    <row r="16718" spans="1:7" x14ac:dyDescent="0.25">
      <c r="A16718" t="s">
        <v>8</v>
      </c>
      <c r="B16718" s="1" t="str">
        <f>"000322403 - RICH FOODS-FOODBUY"</f>
        <v>000322403 - RICH FOODS-FOODBUY</v>
      </c>
      <c r="C16718" t="s">
        <v>237</v>
      </c>
      <c r="D16718" s="1" t="str">
        <f t="shared" si="454"/>
        <v>PRG-1044663</v>
      </c>
      <c r="E16718" t="s">
        <v>147</v>
      </c>
      <c r="F16718" t="s">
        <v>4</v>
      </c>
      <c r="G16718" t="str">
        <f>""</f>
        <v/>
      </c>
    </row>
    <row r="16719" spans="1:7" x14ac:dyDescent="0.25">
      <c r="A16719" t="s">
        <v>8</v>
      </c>
      <c r="B16719" s="1" t="str">
        <f>"000323329 - RICH FOODS-FOODBUY"</f>
        <v>000323329 - RICH FOODS-FOODBUY</v>
      </c>
      <c r="C16719" t="s">
        <v>237</v>
      </c>
      <c r="D16719" s="1" t="str">
        <f t="shared" si="454"/>
        <v>PRG-1044663</v>
      </c>
      <c r="E16719" t="s">
        <v>147</v>
      </c>
      <c r="F16719" t="s">
        <v>4</v>
      </c>
      <c r="G16719" t="str">
        <f>""</f>
        <v/>
      </c>
    </row>
    <row r="16720" spans="1:7" x14ac:dyDescent="0.25">
      <c r="A16720" t="s">
        <v>8</v>
      </c>
      <c r="B16720" s="1" t="str">
        <f>"000323785 - RICH FOODS-FOODBUY"</f>
        <v>000323785 - RICH FOODS-FOODBUY</v>
      </c>
      <c r="C16720" t="s">
        <v>237</v>
      </c>
      <c r="D16720" s="1" t="str">
        <f t="shared" si="454"/>
        <v>PRG-1044663</v>
      </c>
      <c r="E16720" t="s">
        <v>147</v>
      </c>
      <c r="F16720" t="s">
        <v>4</v>
      </c>
      <c r="G16720" t="str">
        <f>""</f>
        <v/>
      </c>
    </row>
    <row r="16721" spans="1:7" x14ac:dyDescent="0.25">
      <c r="A16721" t="s">
        <v>8</v>
      </c>
      <c r="B16721" s="1" t="str">
        <f>"000324323 - RICH FOODS-FOODBUY"</f>
        <v>000324323 - RICH FOODS-FOODBUY</v>
      </c>
      <c r="C16721" t="s">
        <v>237</v>
      </c>
      <c r="D16721" s="1" t="str">
        <f t="shared" si="454"/>
        <v>PRG-1044663</v>
      </c>
      <c r="E16721" t="s">
        <v>147</v>
      </c>
      <c r="F16721" t="s">
        <v>4</v>
      </c>
      <c r="G16721" t="str">
        <f>""</f>
        <v/>
      </c>
    </row>
    <row r="16722" spans="1:7" x14ac:dyDescent="0.25">
      <c r="A16722" t="s">
        <v>8</v>
      </c>
      <c r="B16722" s="1" t="str">
        <f>"000324411 - RICH FOODS-FOODBUY"</f>
        <v>000324411 - RICH FOODS-FOODBUY</v>
      </c>
      <c r="C16722" t="s">
        <v>237</v>
      </c>
      <c r="D16722" s="1" t="str">
        <f t="shared" si="454"/>
        <v>PRG-1044663</v>
      </c>
      <c r="E16722" t="s">
        <v>147</v>
      </c>
      <c r="F16722" t="s">
        <v>4</v>
      </c>
      <c r="G16722" t="str">
        <f>""</f>
        <v/>
      </c>
    </row>
    <row r="16723" spans="1:7" x14ac:dyDescent="0.25">
      <c r="A16723" t="s">
        <v>8</v>
      </c>
      <c r="B16723" s="1" t="str">
        <f>"000325229 - RICH FOODS-FOODBUY"</f>
        <v>000325229 - RICH FOODS-FOODBUY</v>
      </c>
      <c r="C16723" t="s">
        <v>237</v>
      </c>
      <c r="D16723" s="1" t="str">
        <f t="shared" si="454"/>
        <v>PRG-1044663</v>
      </c>
      <c r="E16723" t="s">
        <v>147</v>
      </c>
      <c r="F16723" t="s">
        <v>4</v>
      </c>
      <c r="G16723" t="str">
        <f>""</f>
        <v/>
      </c>
    </row>
    <row r="16724" spans="1:7" x14ac:dyDescent="0.25">
      <c r="A16724" t="s">
        <v>8</v>
      </c>
      <c r="B16724" s="1" t="str">
        <f>"000325231 - RICH FOODS-FOODBUY"</f>
        <v>000325231 - RICH FOODS-FOODBUY</v>
      </c>
      <c r="C16724" t="s">
        <v>237</v>
      </c>
      <c r="D16724" s="1" t="str">
        <f t="shared" si="454"/>
        <v>PRG-1044663</v>
      </c>
      <c r="E16724" t="s">
        <v>147</v>
      </c>
      <c r="F16724" t="s">
        <v>4</v>
      </c>
      <c r="G16724" t="str">
        <f>""</f>
        <v/>
      </c>
    </row>
    <row r="16725" spans="1:7" x14ac:dyDescent="0.25">
      <c r="A16725" t="s">
        <v>8</v>
      </c>
      <c r="B16725" s="1" t="str">
        <f>"000325496 - RICH FOODS-FOODBUY"</f>
        <v>000325496 - RICH FOODS-FOODBUY</v>
      </c>
      <c r="C16725" t="s">
        <v>237</v>
      </c>
      <c r="D16725" s="1" t="str">
        <f t="shared" si="454"/>
        <v>PRG-1044663</v>
      </c>
      <c r="E16725" t="s">
        <v>147</v>
      </c>
      <c r="F16725" t="s">
        <v>4</v>
      </c>
      <c r="G16725" t="str">
        <f>""</f>
        <v/>
      </c>
    </row>
    <row r="16726" spans="1:7" x14ac:dyDescent="0.25">
      <c r="A16726" t="s">
        <v>8</v>
      </c>
      <c r="B16726" s="1" t="str">
        <f>"000326208 - RICH FOODS-FOODBUY"</f>
        <v>000326208 - RICH FOODS-FOODBUY</v>
      </c>
      <c r="C16726" t="s">
        <v>237</v>
      </c>
      <c r="D16726" s="1" t="str">
        <f t="shared" si="454"/>
        <v>PRG-1044663</v>
      </c>
      <c r="E16726" t="s">
        <v>147</v>
      </c>
      <c r="F16726" t="s">
        <v>4</v>
      </c>
      <c r="G16726" t="str">
        <f>""</f>
        <v/>
      </c>
    </row>
    <row r="16727" spans="1:7" x14ac:dyDescent="0.25">
      <c r="A16727" t="s">
        <v>8</v>
      </c>
      <c r="B16727" s="1" t="str">
        <f>"000326335 - RICH FOODS-FOODBUY"</f>
        <v>000326335 - RICH FOODS-FOODBUY</v>
      </c>
      <c r="C16727" t="s">
        <v>237</v>
      </c>
      <c r="D16727" s="1" t="str">
        <f t="shared" si="454"/>
        <v>PRG-1044663</v>
      </c>
      <c r="E16727" t="s">
        <v>147</v>
      </c>
      <c r="F16727" t="s">
        <v>4</v>
      </c>
      <c r="G16727" t="str">
        <f>""</f>
        <v/>
      </c>
    </row>
    <row r="16728" spans="1:7" x14ac:dyDescent="0.25">
      <c r="A16728" t="s">
        <v>8</v>
      </c>
      <c r="B16728" s="1" t="str">
        <f>"000326614 - RICH FOODS-FOODBUY"</f>
        <v>000326614 - RICH FOODS-FOODBUY</v>
      </c>
      <c r="C16728" t="s">
        <v>237</v>
      </c>
      <c r="D16728" s="1" t="str">
        <f t="shared" si="454"/>
        <v>PRG-1044663</v>
      </c>
      <c r="E16728" t="s">
        <v>147</v>
      </c>
      <c r="F16728" t="s">
        <v>4</v>
      </c>
      <c r="G16728" t="str">
        <f>""</f>
        <v/>
      </c>
    </row>
    <row r="16729" spans="1:7" x14ac:dyDescent="0.25">
      <c r="A16729" t="s">
        <v>8</v>
      </c>
      <c r="B16729" s="1" t="str">
        <f>"000327005 - RICH FOODS BB-LOCAL FOODBUY"</f>
        <v>000327005 - RICH FOODS BB-LOCAL FOODBUY</v>
      </c>
      <c r="C16729" t="s">
        <v>3304</v>
      </c>
      <c r="D16729" s="1" t="str">
        <f t="shared" si="454"/>
        <v>PRG-1044663</v>
      </c>
      <c r="E16729" t="s">
        <v>147</v>
      </c>
      <c r="F16729" t="s">
        <v>4</v>
      </c>
      <c r="G16729" t="str">
        <f>""</f>
        <v/>
      </c>
    </row>
    <row r="16730" spans="1:7" x14ac:dyDescent="0.25">
      <c r="A16730" t="s">
        <v>8</v>
      </c>
      <c r="B16730" s="1" t="str">
        <f>"000327616 - RICH FOODS-FOODBUY"</f>
        <v>000327616 - RICH FOODS-FOODBUY</v>
      </c>
      <c r="C16730" t="s">
        <v>237</v>
      </c>
      <c r="D16730" s="1" t="str">
        <f t="shared" si="454"/>
        <v>PRG-1044663</v>
      </c>
      <c r="E16730" t="s">
        <v>147</v>
      </c>
      <c r="F16730" t="s">
        <v>4</v>
      </c>
      <c r="G16730" t="str">
        <f>""</f>
        <v/>
      </c>
    </row>
    <row r="16731" spans="1:7" x14ac:dyDescent="0.25">
      <c r="A16731" t="s">
        <v>8</v>
      </c>
      <c r="B16731" s="1" t="str">
        <f>"000327825 - RICH FOODS-FOODBUY"</f>
        <v>000327825 - RICH FOODS-FOODBUY</v>
      </c>
      <c r="C16731" t="s">
        <v>237</v>
      </c>
      <c r="D16731" s="1" t="str">
        <f t="shared" si="454"/>
        <v>PRG-1044663</v>
      </c>
      <c r="E16731" t="s">
        <v>147</v>
      </c>
      <c r="F16731" t="s">
        <v>4</v>
      </c>
      <c r="G16731" t="str">
        <f>""</f>
        <v/>
      </c>
    </row>
    <row r="16732" spans="1:7" x14ac:dyDescent="0.25">
      <c r="A16732" t="s">
        <v>8</v>
      </c>
      <c r="B16732" s="1" t="str">
        <f>"000328569 - RICH FOODS BB-FOODBUY"</f>
        <v>000328569 - RICH FOODS BB-FOODBUY</v>
      </c>
      <c r="C16732" t="s">
        <v>209</v>
      </c>
      <c r="D16732" s="1" t="str">
        <f t="shared" si="454"/>
        <v>PRG-1044663</v>
      </c>
      <c r="E16732" t="s">
        <v>147</v>
      </c>
      <c r="F16732" t="s">
        <v>4</v>
      </c>
      <c r="G16732" t="str">
        <f>""</f>
        <v/>
      </c>
    </row>
    <row r="16733" spans="1:7" x14ac:dyDescent="0.25">
      <c r="A16733" t="s">
        <v>8</v>
      </c>
      <c r="B16733" s="1" t="str">
        <f>"000330009 - RICH FOODS-FOODBUY"</f>
        <v>000330009 - RICH FOODS-FOODBUY</v>
      </c>
      <c r="C16733" t="s">
        <v>237</v>
      </c>
      <c r="D16733" s="1" t="str">
        <f t="shared" si="454"/>
        <v>PRG-1044663</v>
      </c>
      <c r="E16733" t="s">
        <v>147</v>
      </c>
      <c r="F16733" t="s">
        <v>4</v>
      </c>
      <c r="G16733" t="str">
        <f>""</f>
        <v/>
      </c>
    </row>
    <row r="16734" spans="1:7" x14ac:dyDescent="0.25">
      <c r="A16734" t="s">
        <v>8</v>
      </c>
      <c r="B16734" s="1" t="str">
        <f>"000332604 - RICH FOODS-FOODBUY"</f>
        <v>000332604 - RICH FOODS-FOODBUY</v>
      </c>
      <c r="C16734" t="s">
        <v>237</v>
      </c>
      <c r="D16734" s="1" t="str">
        <f t="shared" si="454"/>
        <v>PRG-1044663</v>
      </c>
      <c r="E16734" t="s">
        <v>147</v>
      </c>
      <c r="F16734" t="s">
        <v>4</v>
      </c>
      <c r="G16734" t="str">
        <f>""</f>
        <v/>
      </c>
    </row>
    <row r="16735" spans="1:7" x14ac:dyDescent="0.25">
      <c r="A16735" t="s">
        <v>8</v>
      </c>
      <c r="B16735" s="1" t="str">
        <f>"000333781 - RICH FOODS-FOODBUY"</f>
        <v>000333781 - RICH FOODS-FOODBUY</v>
      </c>
      <c r="C16735" t="s">
        <v>237</v>
      </c>
      <c r="D16735" s="1" t="str">
        <f t="shared" si="454"/>
        <v>PRG-1044663</v>
      </c>
      <c r="E16735" t="s">
        <v>147</v>
      </c>
      <c r="F16735" t="s">
        <v>4</v>
      </c>
      <c r="G16735" t="str">
        <f>""</f>
        <v/>
      </c>
    </row>
    <row r="16736" spans="1:7" x14ac:dyDescent="0.25">
      <c r="A16736" t="s">
        <v>8</v>
      </c>
      <c r="B16736" s="1" t="str">
        <f>"000333878 - RICH FOODS - FOODBUY"</f>
        <v>000333878 - RICH FOODS - FOODBUY</v>
      </c>
      <c r="C16736" t="s">
        <v>146</v>
      </c>
      <c r="D16736" s="1" t="str">
        <f t="shared" si="454"/>
        <v>PRG-1044663</v>
      </c>
      <c r="E16736" t="s">
        <v>147</v>
      </c>
      <c r="F16736" t="s">
        <v>4</v>
      </c>
      <c r="G16736" t="str">
        <f>""</f>
        <v/>
      </c>
    </row>
    <row r="16737" spans="1:7" x14ac:dyDescent="0.25">
      <c r="A16737" t="s">
        <v>8</v>
      </c>
      <c r="B16737" s="1" t="str">
        <f>"000333994 - RICHS  NE ESU OVR FDBY"</f>
        <v>000333994 - RICHS  NE ESU OVR FDBY</v>
      </c>
      <c r="C16737" t="s">
        <v>3377</v>
      </c>
      <c r="D16737" s="1" t="str">
        <f t="shared" si="454"/>
        <v>PRG-1044663</v>
      </c>
      <c r="E16737" t="s">
        <v>147</v>
      </c>
      <c r="F16737" t="s">
        <v>4</v>
      </c>
      <c r="G16737" t="str">
        <f>""</f>
        <v/>
      </c>
    </row>
    <row r="16738" spans="1:7" x14ac:dyDescent="0.25">
      <c r="A16738" t="s">
        <v>8</v>
      </c>
      <c r="B16738" s="1" t="str">
        <f>"000334271 - RICH FOODS-FOODBUY"</f>
        <v>000334271 - RICH FOODS-FOODBUY</v>
      </c>
      <c r="C16738" t="s">
        <v>237</v>
      </c>
      <c r="D16738" s="1" t="str">
        <f t="shared" si="454"/>
        <v>PRG-1044663</v>
      </c>
      <c r="E16738" t="s">
        <v>147</v>
      </c>
      <c r="F16738" t="s">
        <v>4</v>
      </c>
      <c r="G16738" t="str">
        <f>""</f>
        <v/>
      </c>
    </row>
    <row r="16739" spans="1:7" x14ac:dyDescent="0.25">
      <c r="A16739" t="s">
        <v>8</v>
      </c>
      <c r="B16739" s="1" t="str">
        <f>"000335092 - RICH FOODS-FOODBUY"</f>
        <v>000335092 - RICH FOODS-FOODBUY</v>
      </c>
      <c r="C16739" t="s">
        <v>237</v>
      </c>
      <c r="D16739" s="1" t="str">
        <f t="shared" si="454"/>
        <v>PRG-1044663</v>
      </c>
      <c r="E16739" t="s">
        <v>147</v>
      </c>
      <c r="F16739" t="s">
        <v>4</v>
      </c>
      <c r="G16739" t="str">
        <f>""</f>
        <v/>
      </c>
    </row>
    <row r="16740" spans="1:7" x14ac:dyDescent="0.25">
      <c r="A16740" t="s">
        <v>8</v>
      </c>
      <c r="B16740" s="1" t="str">
        <f>"000335370 - RICH FOODS-FOODBUY"</f>
        <v>000335370 - RICH FOODS-FOODBUY</v>
      </c>
      <c r="C16740" t="s">
        <v>237</v>
      </c>
      <c r="D16740" s="1" t="str">
        <f t="shared" si="454"/>
        <v>PRG-1044663</v>
      </c>
      <c r="E16740" t="s">
        <v>147</v>
      </c>
      <c r="F16740" t="s">
        <v>4</v>
      </c>
      <c r="G16740" t="str">
        <f>""</f>
        <v/>
      </c>
    </row>
    <row r="16741" spans="1:7" x14ac:dyDescent="0.25">
      <c r="A16741" t="s">
        <v>8</v>
      </c>
      <c r="B16741" s="1" t="str">
        <f>"000335476 - RICH FOODS-FOODBUY"</f>
        <v>000335476 - RICH FOODS-FOODBUY</v>
      </c>
      <c r="C16741" t="s">
        <v>237</v>
      </c>
      <c r="D16741" s="1" t="str">
        <f t="shared" si="454"/>
        <v>PRG-1044663</v>
      </c>
      <c r="E16741" t="s">
        <v>147</v>
      </c>
      <c r="F16741" t="s">
        <v>4</v>
      </c>
      <c r="G16741" t="str">
        <f>""</f>
        <v/>
      </c>
    </row>
    <row r="16742" spans="1:7" x14ac:dyDescent="0.25">
      <c r="A16742" t="s">
        <v>8</v>
      </c>
      <c r="B16742" s="1" t="str">
        <f>"000336265 - RICH FOODS-FOODBUY"</f>
        <v>000336265 - RICH FOODS-FOODBUY</v>
      </c>
      <c r="C16742" t="s">
        <v>237</v>
      </c>
      <c r="D16742" s="1" t="str">
        <f t="shared" si="454"/>
        <v>PRG-1044663</v>
      </c>
      <c r="E16742" t="s">
        <v>147</v>
      </c>
      <c r="F16742" t="s">
        <v>4</v>
      </c>
      <c r="G16742" t="str">
        <f>""</f>
        <v/>
      </c>
    </row>
    <row r="16743" spans="1:7" x14ac:dyDescent="0.25">
      <c r="A16743" t="s">
        <v>8</v>
      </c>
      <c r="B16743" s="1" t="str">
        <f>"000336906 - RICH FOODS-FOODBUY"</f>
        <v>000336906 - RICH FOODS-FOODBUY</v>
      </c>
      <c r="C16743" t="s">
        <v>237</v>
      </c>
      <c r="D16743" s="1" t="str">
        <f t="shared" si="454"/>
        <v>PRG-1044663</v>
      </c>
      <c r="E16743" t="s">
        <v>147</v>
      </c>
      <c r="F16743" t="s">
        <v>4</v>
      </c>
      <c r="G16743" t="str">
        <f>""</f>
        <v/>
      </c>
    </row>
    <row r="16744" spans="1:7" x14ac:dyDescent="0.25">
      <c r="A16744" t="s">
        <v>8</v>
      </c>
      <c r="B16744" s="1" t="str">
        <f>"000337086 - RICH FOODS-FOODBUY"</f>
        <v>000337086 - RICH FOODS-FOODBUY</v>
      </c>
      <c r="C16744" t="s">
        <v>237</v>
      </c>
      <c r="D16744" s="1" t="str">
        <f t="shared" si="454"/>
        <v>PRG-1044663</v>
      </c>
      <c r="E16744" t="s">
        <v>147</v>
      </c>
      <c r="F16744" t="s">
        <v>4</v>
      </c>
      <c r="G16744" t="str">
        <f>""</f>
        <v/>
      </c>
    </row>
    <row r="16745" spans="1:7" x14ac:dyDescent="0.25">
      <c r="A16745" t="s">
        <v>8</v>
      </c>
      <c r="B16745" s="1" t="str">
        <f>"000338373 - RICH FOODS-FOODBUY"</f>
        <v>000338373 - RICH FOODS-FOODBUY</v>
      </c>
      <c r="C16745" t="s">
        <v>237</v>
      </c>
      <c r="D16745" s="1" t="str">
        <f t="shared" si="454"/>
        <v>PRG-1044663</v>
      </c>
      <c r="E16745" t="s">
        <v>147</v>
      </c>
      <c r="F16745" t="s">
        <v>4</v>
      </c>
      <c r="G16745" t="str">
        <f>""</f>
        <v/>
      </c>
    </row>
    <row r="16746" spans="1:7" x14ac:dyDescent="0.25">
      <c r="A16746" t="s">
        <v>8</v>
      </c>
      <c r="B16746" s="1" t="str">
        <f>"000338631 - RICH FOODS-FOODBUY"</f>
        <v>000338631 - RICH FOODS-FOODBUY</v>
      </c>
      <c r="C16746" t="s">
        <v>237</v>
      </c>
      <c r="D16746" s="1" t="str">
        <f t="shared" si="454"/>
        <v>PRG-1044663</v>
      </c>
      <c r="E16746" t="s">
        <v>147</v>
      </c>
      <c r="F16746" t="s">
        <v>4</v>
      </c>
      <c r="G16746" t="str">
        <f>""</f>
        <v/>
      </c>
    </row>
    <row r="16747" spans="1:7" x14ac:dyDescent="0.25">
      <c r="A16747" t="s">
        <v>8</v>
      </c>
      <c r="B16747" s="1" t="str">
        <f>"000338713 - RICH FOODS-FOODBUY"</f>
        <v>000338713 - RICH FOODS-FOODBUY</v>
      </c>
      <c r="C16747" t="s">
        <v>237</v>
      </c>
      <c r="D16747" s="1" t="str">
        <f t="shared" si="454"/>
        <v>PRG-1044663</v>
      </c>
      <c r="E16747" t="s">
        <v>147</v>
      </c>
      <c r="F16747" t="s">
        <v>4</v>
      </c>
      <c r="G16747" t="str">
        <f>""</f>
        <v/>
      </c>
    </row>
    <row r="16748" spans="1:7" x14ac:dyDescent="0.25">
      <c r="A16748" t="s">
        <v>8</v>
      </c>
      <c r="B16748" s="1" t="str">
        <f>"000339595 - RICH FOODS-FOODBUY"</f>
        <v>000339595 - RICH FOODS-FOODBUY</v>
      </c>
      <c r="C16748" t="s">
        <v>237</v>
      </c>
      <c r="D16748" s="1" t="str">
        <f t="shared" si="454"/>
        <v>PRG-1044663</v>
      </c>
      <c r="E16748" t="s">
        <v>147</v>
      </c>
      <c r="F16748" t="s">
        <v>4</v>
      </c>
      <c r="G16748" t="str">
        <f>""</f>
        <v/>
      </c>
    </row>
    <row r="16749" spans="1:7" x14ac:dyDescent="0.25">
      <c r="A16749" t="s">
        <v>8</v>
      </c>
      <c r="B16749" s="1" t="str">
        <f>"000339715 - RICH FOODS-FOODBUY"</f>
        <v>000339715 - RICH FOODS-FOODBUY</v>
      </c>
      <c r="C16749" t="s">
        <v>237</v>
      </c>
      <c r="D16749" s="1" t="str">
        <f t="shared" si="454"/>
        <v>PRG-1044663</v>
      </c>
      <c r="E16749" t="s">
        <v>147</v>
      </c>
      <c r="F16749" t="s">
        <v>4</v>
      </c>
      <c r="G16749" t="str">
        <f>""</f>
        <v/>
      </c>
    </row>
    <row r="16750" spans="1:7" x14ac:dyDescent="0.25">
      <c r="A16750" t="s">
        <v>8</v>
      </c>
      <c r="B16750" s="1" t="str">
        <f>"000341204 - RICH FOODS-FOODBUY"</f>
        <v>000341204 - RICH FOODS-FOODBUY</v>
      </c>
      <c r="C16750" t="s">
        <v>237</v>
      </c>
      <c r="D16750" s="1" t="str">
        <f t="shared" si="454"/>
        <v>PRG-1044663</v>
      </c>
      <c r="E16750" t="s">
        <v>147</v>
      </c>
      <c r="F16750" t="s">
        <v>4</v>
      </c>
      <c r="G16750" t="str">
        <f>""</f>
        <v/>
      </c>
    </row>
    <row r="16751" spans="1:7" x14ac:dyDescent="0.25">
      <c r="A16751" t="s">
        <v>8</v>
      </c>
      <c r="B16751" s="1" t="str">
        <f>"000341608 - RICH FOODS-FOODBUY"</f>
        <v>000341608 - RICH FOODS-FOODBUY</v>
      </c>
      <c r="C16751" t="s">
        <v>237</v>
      </c>
      <c r="D16751" s="1" t="str">
        <f t="shared" si="454"/>
        <v>PRG-1044663</v>
      </c>
      <c r="E16751" t="s">
        <v>147</v>
      </c>
      <c r="F16751" t="s">
        <v>4</v>
      </c>
      <c r="G16751" t="str">
        <f>""</f>
        <v/>
      </c>
    </row>
    <row r="16752" spans="1:7" x14ac:dyDescent="0.25">
      <c r="A16752" t="s">
        <v>8</v>
      </c>
      <c r="B16752" s="1" t="str">
        <f>"000341610 - RICH FOODS-FOODBUY"</f>
        <v>000341610 - RICH FOODS-FOODBUY</v>
      </c>
      <c r="C16752" t="s">
        <v>237</v>
      </c>
      <c r="D16752" s="1" t="str">
        <f t="shared" si="454"/>
        <v>PRG-1044663</v>
      </c>
      <c r="E16752" t="s">
        <v>147</v>
      </c>
      <c r="F16752" t="s">
        <v>4</v>
      </c>
      <c r="G16752" t="str">
        <f>""</f>
        <v/>
      </c>
    </row>
    <row r="16753" spans="1:7" x14ac:dyDescent="0.25">
      <c r="A16753" t="s">
        <v>8</v>
      </c>
      <c r="B16753" s="1" t="str">
        <f>"000341934 - RICH FOODS BB-FOODBUY"</f>
        <v>000341934 - RICH FOODS BB-FOODBUY</v>
      </c>
      <c r="C16753" t="s">
        <v>209</v>
      </c>
      <c r="D16753" s="1" t="str">
        <f t="shared" si="454"/>
        <v>PRG-1044663</v>
      </c>
      <c r="E16753" t="s">
        <v>147</v>
      </c>
      <c r="F16753" t="s">
        <v>4</v>
      </c>
      <c r="G16753" t="str">
        <f>""</f>
        <v/>
      </c>
    </row>
    <row r="16754" spans="1:7" x14ac:dyDescent="0.25">
      <c r="A16754" t="s">
        <v>8</v>
      </c>
      <c r="B16754" s="1" t="str">
        <f>"000342737 - RICH FOODS-FOODBUY"</f>
        <v>000342737 - RICH FOODS-FOODBUY</v>
      </c>
      <c r="C16754" t="s">
        <v>237</v>
      </c>
      <c r="D16754" s="1" t="str">
        <f t="shared" si="454"/>
        <v>PRG-1044663</v>
      </c>
      <c r="E16754" t="s">
        <v>147</v>
      </c>
      <c r="F16754" t="s">
        <v>4</v>
      </c>
      <c r="G16754" t="str">
        <f>""</f>
        <v/>
      </c>
    </row>
    <row r="16755" spans="1:7" x14ac:dyDescent="0.25">
      <c r="A16755" t="s">
        <v>8</v>
      </c>
      <c r="B16755" s="1" t="str">
        <f>"000342993 - RICH FOODS-FOODBUY"</f>
        <v>000342993 - RICH FOODS-FOODBUY</v>
      </c>
      <c r="C16755" t="s">
        <v>237</v>
      </c>
      <c r="D16755" s="1" t="str">
        <f t="shared" si="454"/>
        <v>PRG-1044663</v>
      </c>
      <c r="E16755" t="s">
        <v>147</v>
      </c>
      <c r="F16755" t="s">
        <v>4</v>
      </c>
      <c r="G16755" t="str">
        <f>""</f>
        <v/>
      </c>
    </row>
    <row r="16756" spans="1:7" x14ac:dyDescent="0.25">
      <c r="A16756" t="s">
        <v>8</v>
      </c>
      <c r="B16756" s="1" t="str">
        <f>"000343101 - RICH FOODS-FOODBUY"</f>
        <v>000343101 - RICH FOODS-FOODBUY</v>
      </c>
      <c r="C16756" t="s">
        <v>237</v>
      </c>
      <c r="D16756" s="1" t="str">
        <f t="shared" si="454"/>
        <v>PRG-1044663</v>
      </c>
      <c r="E16756" t="s">
        <v>147</v>
      </c>
      <c r="F16756" t="s">
        <v>4</v>
      </c>
      <c r="G16756" t="str">
        <f>""</f>
        <v/>
      </c>
    </row>
    <row r="16757" spans="1:7" x14ac:dyDescent="0.25">
      <c r="A16757" t="s">
        <v>8</v>
      </c>
      <c r="B16757" s="1" t="str">
        <f>"000343255 - RICH FOODS-FOODBUY"</f>
        <v>000343255 - RICH FOODS-FOODBUY</v>
      </c>
      <c r="C16757" t="s">
        <v>237</v>
      </c>
      <c r="D16757" s="1" t="str">
        <f t="shared" si="454"/>
        <v>PRG-1044663</v>
      </c>
      <c r="E16757" t="s">
        <v>147</v>
      </c>
      <c r="F16757" t="s">
        <v>4</v>
      </c>
      <c r="G16757" t="str">
        <f>""</f>
        <v/>
      </c>
    </row>
    <row r="16758" spans="1:7" x14ac:dyDescent="0.25">
      <c r="A16758" t="s">
        <v>8</v>
      </c>
      <c r="B16758" s="1" t="str">
        <f>"000343921 - RICH FOODS-FOODBUY"</f>
        <v>000343921 - RICH FOODS-FOODBUY</v>
      </c>
      <c r="C16758" t="s">
        <v>237</v>
      </c>
      <c r="D16758" s="1" t="str">
        <f t="shared" si="454"/>
        <v>PRG-1044663</v>
      </c>
      <c r="E16758" t="s">
        <v>147</v>
      </c>
      <c r="F16758" t="s">
        <v>4</v>
      </c>
      <c r="G16758" t="str">
        <f>""</f>
        <v/>
      </c>
    </row>
    <row r="16759" spans="1:7" x14ac:dyDescent="0.25">
      <c r="A16759" t="s">
        <v>8</v>
      </c>
      <c r="B16759" s="1" t="str">
        <f>"000344009 - RICH FOODS-FOODBUY"</f>
        <v>000344009 - RICH FOODS-FOODBUY</v>
      </c>
      <c r="C16759" t="s">
        <v>237</v>
      </c>
      <c r="D16759" s="1" t="str">
        <f t="shared" si="454"/>
        <v>PRG-1044663</v>
      </c>
      <c r="E16759" t="s">
        <v>147</v>
      </c>
      <c r="F16759" t="s">
        <v>4</v>
      </c>
      <c r="G16759" t="str">
        <f>""</f>
        <v/>
      </c>
    </row>
    <row r="16760" spans="1:7" x14ac:dyDescent="0.25">
      <c r="A16760" t="s">
        <v>8</v>
      </c>
      <c r="B16760" s="1" t="str">
        <f>"000344784 - RICH FOODS-FOODBUY"</f>
        <v>000344784 - RICH FOODS-FOODBUY</v>
      </c>
      <c r="C16760" t="s">
        <v>237</v>
      </c>
      <c r="D16760" s="1" t="str">
        <f t="shared" si="454"/>
        <v>PRG-1044663</v>
      </c>
      <c r="E16760" t="s">
        <v>147</v>
      </c>
      <c r="F16760" t="s">
        <v>4</v>
      </c>
      <c r="G16760" t="str">
        <f>""</f>
        <v/>
      </c>
    </row>
    <row r="16761" spans="1:7" x14ac:dyDescent="0.25">
      <c r="A16761" t="s">
        <v>8</v>
      </c>
      <c r="B16761" s="1" t="str">
        <f>"000344842 - RICH FOODS-FOODBUY"</f>
        <v>000344842 - RICH FOODS-FOODBUY</v>
      </c>
      <c r="C16761" t="s">
        <v>237</v>
      </c>
      <c r="D16761" s="1" t="str">
        <f t="shared" si="454"/>
        <v>PRG-1044663</v>
      </c>
      <c r="E16761" t="s">
        <v>147</v>
      </c>
      <c r="F16761" t="s">
        <v>4</v>
      </c>
      <c r="G16761" t="str">
        <f>""</f>
        <v/>
      </c>
    </row>
    <row r="16762" spans="1:7" x14ac:dyDescent="0.25">
      <c r="A16762" t="s">
        <v>8</v>
      </c>
      <c r="B16762" s="1" t="str">
        <f>"000344896 - RICH FOODS-FOODBUY"</f>
        <v>000344896 - RICH FOODS-FOODBUY</v>
      </c>
      <c r="C16762" t="s">
        <v>237</v>
      </c>
      <c r="D16762" s="1" t="str">
        <f t="shared" si="454"/>
        <v>PRG-1044663</v>
      </c>
      <c r="E16762" t="s">
        <v>147</v>
      </c>
      <c r="F16762" t="s">
        <v>4</v>
      </c>
      <c r="G16762" t="str">
        <f>""</f>
        <v/>
      </c>
    </row>
    <row r="16763" spans="1:7" x14ac:dyDescent="0.25">
      <c r="A16763" t="s">
        <v>8</v>
      </c>
      <c r="B16763" s="1" t="str">
        <f>"000345873 - RICH FOODS-FOODBUY"</f>
        <v>000345873 - RICH FOODS-FOODBUY</v>
      </c>
      <c r="C16763" t="s">
        <v>237</v>
      </c>
      <c r="D16763" s="1" t="str">
        <f t="shared" si="454"/>
        <v>PRG-1044663</v>
      </c>
      <c r="E16763" t="s">
        <v>147</v>
      </c>
      <c r="F16763" t="s">
        <v>4</v>
      </c>
      <c r="G16763" t="str">
        <f>""</f>
        <v/>
      </c>
    </row>
    <row r="16764" spans="1:7" x14ac:dyDescent="0.25">
      <c r="A16764" t="s">
        <v>8</v>
      </c>
      <c r="B16764" s="1" t="str">
        <f>"000345950 - RICH FOODS-FOODBUY"</f>
        <v>000345950 - RICH FOODS-FOODBUY</v>
      </c>
      <c r="C16764" t="s">
        <v>237</v>
      </c>
      <c r="D16764" s="1" t="str">
        <f t="shared" si="454"/>
        <v>PRG-1044663</v>
      </c>
      <c r="E16764" t="s">
        <v>147</v>
      </c>
      <c r="F16764" t="s">
        <v>4</v>
      </c>
      <c r="G16764" t="str">
        <f>""</f>
        <v/>
      </c>
    </row>
    <row r="16765" spans="1:7" x14ac:dyDescent="0.25">
      <c r="A16765" t="s">
        <v>8</v>
      </c>
      <c r="B16765" s="1" t="str">
        <f>"000345984 - RICH FOODS-FOODBUY"</f>
        <v>000345984 - RICH FOODS-FOODBUY</v>
      </c>
      <c r="C16765" t="s">
        <v>237</v>
      </c>
      <c r="D16765" s="1" t="str">
        <f t="shared" ref="D16765:D16828" si="455">"PRG-1044663"</f>
        <v>PRG-1044663</v>
      </c>
      <c r="E16765" t="s">
        <v>147</v>
      </c>
      <c r="F16765" t="s">
        <v>4</v>
      </c>
      <c r="G16765" t="str">
        <f>""</f>
        <v/>
      </c>
    </row>
    <row r="16766" spans="1:7" x14ac:dyDescent="0.25">
      <c r="A16766" t="s">
        <v>8</v>
      </c>
      <c r="B16766" s="1" t="str">
        <f>"000345989 - RICH FOODS-FOODBUY"</f>
        <v>000345989 - RICH FOODS-FOODBUY</v>
      </c>
      <c r="C16766" t="s">
        <v>237</v>
      </c>
      <c r="D16766" s="1" t="str">
        <f t="shared" si="455"/>
        <v>PRG-1044663</v>
      </c>
      <c r="E16766" t="s">
        <v>147</v>
      </c>
      <c r="F16766" t="s">
        <v>4</v>
      </c>
      <c r="G16766" t="str">
        <f>""</f>
        <v/>
      </c>
    </row>
    <row r="16767" spans="1:7" x14ac:dyDescent="0.25">
      <c r="A16767" t="s">
        <v>8</v>
      </c>
      <c r="B16767" s="1" t="str">
        <f>"000346589 - RICH FOODS-FOODBUY"</f>
        <v>000346589 - RICH FOODS-FOODBUY</v>
      </c>
      <c r="C16767" t="s">
        <v>237</v>
      </c>
      <c r="D16767" s="1" t="str">
        <f t="shared" si="455"/>
        <v>PRG-1044663</v>
      </c>
      <c r="E16767" t="s">
        <v>147</v>
      </c>
      <c r="F16767" t="s">
        <v>4</v>
      </c>
      <c r="G16767" t="str">
        <f>""</f>
        <v/>
      </c>
    </row>
    <row r="16768" spans="1:7" x14ac:dyDescent="0.25">
      <c r="A16768" t="s">
        <v>8</v>
      </c>
      <c r="B16768" s="1" t="str">
        <f>"000347605 - RICH FOODS - FOODBUY"</f>
        <v>000347605 - RICH FOODS - FOODBUY</v>
      </c>
      <c r="C16768" t="s">
        <v>146</v>
      </c>
      <c r="D16768" s="1" t="str">
        <f t="shared" si="455"/>
        <v>PRG-1044663</v>
      </c>
      <c r="E16768" t="s">
        <v>147</v>
      </c>
      <c r="F16768" t="s">
        <v>4</v>
      </c>
      <c r="G16768" t="str">
        <f>""</f>
        <v/>
      </c>
    </row>
    <row r="16769" spans="1:7" x14ac:dyDescent="0.25">
      <c r="A16769" t="s">
        <v>8</v>
      </c>
      <c r="B16769" s="1" t="str">
        <f>"000348657 - RICH FDS BB CORE-ARA EX-SSS"</f>
        <v>000348657 - RICH FDS BB CORE-ARA EX-SSS</v>
      </c>
      <c r="C16769" t="s">
        <v>570</v>
      </c>
      <c r="D16769" s="1" t="str">
        <f t="shared" si="455"/>
        <v>PRG-1044663</v>
      </c>
      <c r="E16769" t="s">
        <v>147</v>
      </c>
      <c r="F16769" t="s">
        <v>4</v>
      </c>
      <c r="G16769" t="str">
        <f>""</f>
        <v/>
      </c>
    </row>
    <row r="16770" spans="1:7" x14ac:dyDescent="0.25">
      <c r="A16770" t="s">
        <v>8</v>
      </c>
      <c r="B16770" s="1" t="str">
        <f>"000350152 - RICH FOODS-FOODBUY"</f>
        <v>000350152 - RICH FOODS-FOODBUY</v>
      </c>
      <c r="C16770" t="s">
        <v>237</v>
      </c>
      <c r="D16770" s="1" t="str">
        <f t="shared" si="455"/>
        <v>PRG-1044663</v>
      </c>
      <c r="E16770" t="s">
        <v>147</v>
      </c>
      <c r="F16770" t="s">
        <v>4</v>
      </c>
      <c r="G16770" t="str">
        <f>""</f>
        <v/>
      </c>
    </row>
    <row r="16771" spans="1:7" x14ac:dyDescent="0.25">
      <c r="A16771" t="s">
        <v>8</v>
      </c>
      <c r="B16771" s="1" t="str">
        <f>"000350228 - RICH FOODS-FOODBUY"</f>
        <v>000350228 - RICH FOODS-FOODBUY</v>
      </c>
      <c r="C16771" t="s">
        <v>237</v>
      </c>
      <c r="D16771" s="1" t="str">
        <f t="shared" si="455"/>
        <v>PRG-1044663</v>
      </c>
      <c r="E16771" t="s">
        <v>147</v>
      </c>
      <c r="F16771" t="s">
        <v>4</v>
      </c>
      <c r="G16771" t="str">
        <f>""</f>
        <v/>
      </c>
    </row>
    <row r="16772" spans="1:7" x14ac:dyDescent="0.25">
      <c r="A16772" t="s">
        <v>8</v>
      </c>
      <c r="B16772" s="1" t="str">
        <f>"000351987 - RICH FOODS-FOODBUY"</f>
        <v>000351987 - RICH FOODS-FOODBUY</v>
      </c>
      <c r="C16772" t="s">
        <v>237</v>
      </c>
      <c r="D16772" s="1" t="str">
        <f t="shared" si="455"/>
        <v>PRG-1044663</v>
      </c>
      <c r="E16772" t="s">
        <v>147</v>
      </c>
      <c r="F16772" t="s">
        <v>4</v>
      </c>
      <c r="G16772" t="str">
        <f>""</f>
        <v/>
      </c>
    </row>
    <row r="16773" spans="1:7" x14ac:dyDescent="0.25">
      <c r="A16773" t="s">
        <v>8</v>
      </c>
      <c r="B16773" s="1" t="str">
        <f>"000353293 - RICH FOODS-FOODBUY"</f>
        <v>000353293 - RICH FOODS-FOODBUY</v>
      </c>
      <c r="C16773" t="s">
        <v>237</v>
      </c>
      <c r="D16773" s="1" t="str">
        <f t="shared" si="455"/>
        <v>PRG-1044663</v>
      </c>
      <c r="E16773" t="s">
        <v>147</v>
      </c>
      <c r="F16773" t="s">
        <v>4</v>
      </c>
      <c r="G16773" t="str">
        <f>""</f>
        <v/>
      </c>
    </row>
    <row r="16774" spans="1:7" x14ac:dyDescent="0.25">
      <c r="A16774" t="s">
        <v>8</v>
      </c>
      <c r="B16774" s="1" t="str">
        <f>"000353338 - RICH FOODS-FOODBUY"</f>
        <v>000353338 - RICH FOODS-FOODBUY</v>
      </c>
      <c r="C16774" t="s">
        <v>237</v>
      </c>
      <c r="D16774" s="1" t="str">
        <f t="shared" si="455"/>
        <v>PRG-1044663</v>
      </c>
      <c r="E16774" t="s">
        <v>147</v>
      </c>
      <c r="F16774" t="s">
        <v>4</v>
      </c>
      <c r="G16774" t="str">
        <f>""</f>
        <v/>
      </c>
    </row>
    <row r="16775" spans="1:7" x14ac:dyDescent="0.25">
      <c r="A16775" t="s">
        <v>8</v>
      </c>
      <c r="B16775" s="1" t="str">
        <f>"000353364 - RICH FOODS-FOODBUY"</f>
        <v>000353364 - RICH FOODS-FOODBUY</v>
      </c>
      <c r="C16775" t="s">
        <v>237</v>
      </c>
      <c r="D16775" s="1" t="str">
        <f t="shared" si="455"/>
        <v>PRG-1044663</v>
      </c>
      <c r="E16775" t="s">
        <v>147</v>
      </c>
      <c r="F16775" t="s">
        <v>4</v>
      </c>
      <c r="G16775" t="str">
        <f>""</f>
        <v/>
      </c>
    </row>
    <row r="16776" spans="1:7" x14ac:dyDescent="0.25">
      <c r="A16776" t="s">
        <v>8</v>
      </c>
      <c r="B16776" s="1" t="str">
        <f>"000354138 - RICH FOODS-FOODBUY"</f>
        <v>000354138 - RICH FOODS-FOODBUY</v>
      </c>
      <c r="C16776" t="s">
        <v>237</v>
      </c>
      <c r="D16776" s="1" t="str">
        <f t="shared" si="455"/>
        <v>PRG-1044663</v>
      </c>
      <c r="E16776" t="s">
        <v>147</v>
      </c>
      <c r="F16776" t="s">
        <v>4</v>
      </c>
      <c r="G16776" t="str">
        <f>""</f>
        <v/>
      </c>
    </row>
    <row r="16777" spans="1:7" x14ac:dyDescent="0.25">
      <c r="A16777" t="s">
        <v>8</v>
      </c>
      <c r="B16777" s="1" t="str">
        <f>"000354681 - RICH FOODS-FOODBUY"</f>
        <v>000354681 - RICH FOODS-FOODBUY</v>
      </c>
      <c r="C16777" t="s">
        <v>237</v>
      </c>
      <c r="D16777" s="1" t="str">
        <f t="shared" si="455"/>
        <v>PRG-1044663</v>
      </c>
      <c r="E16777" t="s">
        <v>147</v>
      </c>
      <c r="F16777" t="s">
        <v>4</v>
      </c>
      <c r="G16777" t="str">
        <f>""</f>
        <v/>
      </c>
    </row>
    <row r="16778" spans="1:7" x14ac:dyDescent="0.25">
      <c r="A16778" t="s">
        <v>8</v>
      </c>
      <c r="B16778" s="1" t="str">
        <f>"000355079 - RICH FOODS-FOODBUY"</f>
        <v>000355079 - RICH FOODS-FOODBUY</v>
      </c>
      <c r="C16778" t="s">
        <v>237</v>
      </c>
      <c r="D16778" s="1" t="str">
        <f t="shared" si="455"/>
        <v>PRG-1044663</v>
      </c>
      <c r="E16778" t="s">
        <v>147</v>
      </c>
      <c r="F16778" t="s">
        <v>4</v>
      </c>
      <c r="G16778" t="str">
        <f>""</f>
        <v/>
      </c>
    </row>
    <row r="16779" spans="1:7" x14ac:dyDescent="0.25">
      <c r="A16779" t="s">
        <v>8</v>
      </c>
      <c r="B16779" s="1" t="str">
        <f>"000355134 - RICH FOODS - FOODBUY"</f>
        <v>000355134 - RICH FOODS - FOODBUY</v>
      </c>
      <c r="C16779" t="s">
        <v>146</v>
      </c>
      <c r="D16779" s="1" t="str">
        <f t="shared" si="455"/>
        <v>PRG-1044663</v>
      </c>
      <c r="E16779" t="s">
        <v>147</v>
      </c>
      <c r="F16779" t="s">
        <v>4</v>
      </c>
      <c r="G16779" t="str">
        <f>""</f>
        <v/>
      </c>
    </row>
    <row r="16780" spans="1:7" x14ac:dyDescent="0.25">
      <c r="A16780" t="s">
        <v>8</v>
      </c>
      <c r="B16780" s="1" t="str">
        <f>"000355532 - RICH FOODS-FOODBUY"</f>
        <v>000355532 - RICH FOODS-FOODBUY</v>
      </c>
      <c r="C16780" t="s">
        <v>237</v>
      </c>
      <c r="D16780" s="1" t="str">
        <f t="shared" si="455"/>
        <v>PRG-1044663</v>
      </c>
      <c r="E16780" t="s">
        <v>147</v>
      </c>
      <c r="F16780" t="s">
        <v>4</v>
      </c>
      <c r="G16780" t="str">
        <f>""</f>
        <v/>
      </c>
    </row>
    <row r="16781" spans="1:7" x14ac:dyDescent="0.25">
      <c r="A16781" t="s">
        <v>8</v>
      </c>
      <c r="B16781" s="1" t="str">
        <f>"000355911 - RICH FOODS-FOODBUY"</f>
        <v>000355911 - RICH FOODS-FOODBUY</v>
      </c>
      <c r="C16781" t="s">
        <v>237</v>
      </c>
      <c r="D16781" s="1" t="str">
        <f t="shared" si="455"/>
        <v>PRG-1044663</v>
      </c>
      <c r="E16781" t="s">
        <v>147</v>
      </c>
      <c r="F16781" t="s">
        <v>4</v>
      </c>
      <c r="G16781" t="str">
        <f>""</f>
        <v/>
      </c>
    </row>
    <row r="16782" spans="1:7" x14ac:dyDescent="0.25">
      <c r="A16782" t="s">
        <v>8</v>
      </c>
      <c r="B16782" s="1" t="str">
        <f>"000356822 - RICH FOODS-FOODBUY"</f>
        <v>000356822 - RICH FOODS-FOODBUY</v>
      </c>
      <c r="C16782" t="s">
        <v>237</v>
      </c>
      <c r="D16782" s="1" t="str">
        <f t="shared" si="455"/>
        <v>PRG-1044663</v>
      </c>
      <c r="E16782" t="s">
        <v>147</v>
      </c>
      <c r="F16782" t="s">
        <v>4</v>
      </c>
      <c r="G16782" t="str">
        <f>""</f>
        <v/>
      </c>
    </row>
    <row r="16783" spans="1:7" x14ac:dyDescent="0.25">
      <c r="A16783" t="s">
        <v>8</v>
      </c>
      <c r="B16783" s="1" t="str">
        <f>"000356990 - RICH FOODS-FOODBUY"</f>
        <v>000356990 - RICH FOODS-FOODBUY</v>
      </c>
      <c r="C16783" t="s">
        <v>237</v>
      </c>
      <c r="D16783" s="1" t="str">
        <f t="shared" si="455"/>
        <v>PRG-1044663</v>
      </c>
      <c r="E16783" t="s">
        <v>147</v>
      </c>
      <c r="F16783" t="s">
        <v>4</v>
      </c>
      <c r="G16783" t="str">
        <f>""</f>
        <v/>
      </c>
    </row>
    <row r="16784" spans="1:7" x14ac:dyDescent="0.25">
      <c r="A16784" t="s">
        <v>8</v>
      </c>
      <c r="B16784" s="1" t="str">
        <f>"000357528 - RICH FOODS-FOODBUY"</f>
        <v>000357528 - RICH FOODS-FOODBUY</v>
      </c>
      <c r="C16784" t="s">
        <v>237</v>
      </c>
      <c r="D16784" s="1" t="str">
        <f t="shared" si="455"/>
        <v>PRG-1044663</v>
      </c>
      <c r="E16784" t="s">
        <v>147</v>
      </c>
      <c r="F16784" t="s">
        <v>4</v>
      </c>
      <c r="G16784" t="str">
        <f>""</f>
        <v/>
      </c>
    </row>
    <row r="16785" spans="1:7" x14ac:dyDescent="0.25">
      <c r="A16785" t="s">
        <v>8</v>
      </c>
      <c r="B16785" s="1" t="str">
        <f>"000357696 - RICH FOODS-FOODBUY"</f>
        <v>000357696 - RICH FOODS-FOODBUY</v>
      </c>
      <c r="C16785" t="s">
        <v>237</v>
      </c>
      <c r="D16785" s="1" t="str">
        <f t="shared" si="455"/>
        <v>PRG-1044663</v>
      </c>
      <c r="E16785" t="s">
        <v>147</v>
      </c>
      <c r="F16785" t="s">
        <v>4</v>
      </c>
      <c r="G16785" t="str">
        <f>""</f>
        <v/>
      </c>
    </row>
    <row r="16786" spans="1:7" x14ac:dyDescent="0.25">
      <c r="A16786" t="s">
        <v>8</v>
      </c>
      <c r="B16786" s="1" t="str">
        <f>"000358692 - RICH FOODS-FOODBUY"</f>
        <v>000358692 - RICH FOODS-FOODBUY</v>
      </c>
      <c r="C16786" t="s">
        <v>237</v>
      </c>
      <c r="D16786" s="1" t="str">
        <f t="shared" si="455"/>
        <v>PRG-1044663</v>
      </c>
      <c r="E16786" t="s">
        <v>147</v>
      </c>
      <c r="F16786" t="s">
        <v>4</v>
      </c>
      <c r="G16786" t="str">
        <f>""</f>
        <v/>
      </c>
    </row>
    <row r="16787" spans="1:7" x14ac:dyDescent="0.25">
      <c r="A16787" t="s">
        <v>8</v>
      </c>
      <c r="B16787" s="1" t="str">
        <f>"000358822 - RICH FOODS-FOODBUY"</f>
        <v>000358822 - RICH FOODS-FOODBUY</v>
      </c>
      <c r="C16787" t="s">
        <v>237</v>
      </c>
      <c r="D16787" s="1" t="str">
        <f t="shared" si="455"/>
        <v>PRG-1044663</v>
      </c>
      <c r="E16787" t="s">
        <v>147</v>
      </c>
      <c r="F16787" t="s">
        <v>4</v>
      </c>
      <c r="G16787" t="str">
        <f>""</f>
        <v/>
      </c>
    </row>
    <row r="16788" spans="1:7" x14ac:dyDescent="0.25">
      <c r="A16788" t="s">
        <v>8</v>
      </c>
      <c r="B16788" s="1" t="str">
        <f>"000358825 - RICH FOODS-FOODBUY"</f>
        <v>000358825 - RICH FOODS-FOODBUY</v>
      </c>
      <c r="C16788" t="s">
        <v>237</v>
      </c>
      <c r="D16788" s="1" t="str">
        <f t="shared" si="455"/>
        <v>PRG-1044663</v>
      </c>
      <c r="E16788" t="s">
        <v>147</v>
      </c>
      <c r="F16788" t="s">
        <v>4</v>
      </c>
      <c r="G16788" t="str">
        <f>""</f>
        <v/>
      </c>
    </row>
    <row r="16789" spans="1:7" x14ac:dyDescent="0.25">
      <c r="A16789" t="s">
        <v>8</v>
      </c>
      <c r="B16789" s="1" t="str">
        <f>"000360347 - RICH FOODS-FOODBUY"</f>
        <v>000360347 - RICH FOODS-FOODBUY</v>
      </c>
      <c r="C16789" t="s">
        <v>237</v>
      </c>
      <c r="D16789" s="1" t="str">
        <f t="shared" si="455"/>
        <v>PRG-1044663</v>
      </c>
      <c r="E16789" t="s">
        <v>147</v>
      </c>
      <c r="F16789" t="s">
        <v>4</v>
      </c>
      <c r="G16789" t="str">
        <f>""</f>
        <v/>
      </c>
    </row>
    <row r="16790" spans="1:7" x14ac:dyDescent="0.25">
      <c r="A16790" t="s">
        <v>8</v>
      </c>
      <c r="B16790" s="1" t="str">
        <f>"000360885 - RICH FOODS-FOODBUY"</f>
        <v>000360885 - RICH FOODS-FOODBUY</v>
      </c>
      <c r="C16790" t="s">
        <v>237</v>
      </c>
      <c r="D16790" s="1" t="str">
        <f t="shared" si="455"/>
        <v>PRG-1044663</v>
      </c>
      <c r="E16790" t="s">
        <v>147</v>
      </c>
      <c r="F16790" t="s">
        <v>4</v>
      </c>
      <c r="G16790" t="str">
        <f>""</f>
        <v/>
      </c>
    </row>
    <row r="16791" spans="1:7" x14ac:dyDescent="0.25">
      <c r="A16791" t="s">
        <v>8</v>
      </c>
      <c r="B16791" s="1" t="str">
        <f>"000361100 - RICH FOODS-FOODBUY"</f>
        <v>000361100 - RICH FOODS-FOODBUY</v>
      </c>
      <c r="C16791" t="s">
        <v>237</v>
      </c>
      <c r="D16791" s="1" t="str">
        <f t="shared" si="455"/>
        <v>PRG-1044663</v>
      </c>
      <c r="E16791" t="s">
        <v>147</v>
      </c>
      <c r="F16791" t="s">
        <v>4</v>
      </c>
      <c r="G16791" t="str">
        <f>""</f>
        <v/>
      </c>
    </row>
    <row r="16792" spans="1:7" x14ac:dyDescent="0.25">
      <c r="A16792" t="s">
        <v>8</v>
      </c>
      <c r="B16792" s="1" t="str">
        <f>"000361460 - RICH FOODS-FOODBUY"</f>
        <v>000361460 - RICH FOODS-FOODBUY</v>
      </c>
      <c r="C16792" t="s">
        <v>237</v>
      </c>
      <c r="D16792" s="1" t="str">
        <f t="shared" si="455"/>
        <v>PRG-1044663</v>
      </c>
      <c r="E16792" t="s">
        <v>147</v>
      </c>
      <c r="F16792" t="s">
        <v>4</v>
      </c>
      <c r="G16792" t="str">
        <f>""</f>
        <v/>
      </c>
    </row>
    <row r="16793" spans="1:7" x14ac:dyDescent="0.25">
      <c r="A16793" t="s">
        <v>8</v>
      </c>
      <c r="B16793" s="1" t="str">
        <f>"000361875 - RICH FOODS - FOODBUY"</f>
        <v>000361875 - RICH FOODS - FOODBUY</v>
      </c>
      <c r="C16793" t="s">
        <v>146</v>
      </c>
      <c r="D16793" s="1" t="str">
        <f t="shared" si="455"/>
        <v>PRG-1044663</v>
      </c>
      <c r="E16793" t="s">
        <v>147</v>
      </c>
      <c r="F16793" t="s">
        <v>4</v>
      </c>
      <c r="G16793" t="str">
        <f>""</f>
        <v/>
      </c>
    </row>
    <row r="16794" spans="1:7" x14ac:dyDescent="0.25">
      <c r="A16794" t="s">
        <v>8</v>
      </c>
      <c r="B16794" s="1" t="str">
        <f>"000362315 - RICH FOODS-FOODBUY"</f>
        <v>000362315 - RICH FOODS-FOODBUY</v>
      </c>
      <c r="C16794" t="s">
        <v>237</v>
      </c>
      <c r="D16794" s="1" t="str">
        <f t="shared" si="455"/>
        <v>PRG-1044663</v>
      </c>
      <c r="E16794" t="s">
        <v>147</v>
      </c>
      <c r="F16794" t="s">
        <v>4</v>
      </c>
      <c r="G16794" t="str">
        <f>""</f>
        <v/>
      </c>
    </row>
    <row r="16795" spans="1:7" x14ac:dyDescent="0.25">
      <c r="A16795" t="s">
        <v>8</v>
      </c>
      <c r="B16795" s="1" t="str">
        <f>"000363820 - RICH FOODS-FOODBUY"</f>
        <v>000363820 - RICH FOODS-FOODBUY</v>
      </c>
      <c r="C16795" t="s">
        <v>237</v>
      </c>
      <c r="D16795" s="1" t="str">
        <f t="shared" si="455"/>
        <v>PRG-1044663</v>
      </c>
      <c r="E16795" t="s">
        <v>147</v>
      </c>
      <c r="F16795" t="s">
        <v>4</v>
      </c>
      <c r="G16795" t="str">
        <f>""</f>
        <v/>
      </c>
    </row>
    <row r="16796" spans="1:7" x14ac:dyDescent="0.25">
      <c r="A16796" t="s">
        <v>8</v>
      </c>
      <c r="B16796" s="1" t="str">
        <f>"000365224 - RICH FOODS-FOODBUY"</f>
        <v>000365224 - RICH FOODS-FOODBUY</v>
      </c>
      <c r="C16796" t="s">
        <v>237</v>
      </c>
      <c r="D16796" s="1" t="str">
        <f t="shared" si="455"/>
        <v>PRG-1044663</v>
      </c>
      <c r="E16796" t="s">
        <v>147</v>
      </c>
      <c r="F16796" t="s">
        <v>4</v>
      </c>
      <c r="G16796" t="str">
        <f>""</f>
        <v/>
      </c>
    </row>
    <row r="16797" spans="1:7" x14ac:dyDescent="0.25">
      <c r="A16797" t="s">
        <v>8</v>
      </c>
      <c r="B16797" s="1" t="str">
        <f>"000366383 - RICH FOODS-FOODBUY"</f>
        <v>000366383 - RICH FOODS-FOODBUY</v>
      </c>
      <c r="C16797" t="s">
        <v>237</v>
      </c>
      <c r="D16797" s="1" t="str">
        <f t="shared" si="455"/>
        <v>PRG-1044663</v>
      </c>
      <c r="E16797" t="s">
        <v>147</v>
      </c>
      <c r="F16797" t="s">
        <v>4</v>
      </c>
      <c r="G16797" t="str">
        <f>""</f>
        <v/>
      </c>
    </row>
    <row r="16798" spans="1:7" x14ac:dyDescent="0.25">
      <c r="A16798" t="s">
        <v>8</v>
      </c>
      <c r="B16798" s="1" t="str">
        <f>"000367496 - RICH FOODS-FOODBUY"</f>
        <v>000367496 - RICH FOODS-FOODBUY</v>
      </c>
      <c r="C16798" t="s">
        <v>237</v>
      </c>
      <c r="D16798" s="1" t="str">
        <f t="shared" si="455"/>
        <v>PRG-1044663</v>
      </c>
      <c r="E16798" t="s">
        <v>147</v>
      </c>
      <c r="F16798" t="s">
        <v>4</v>
      </c>
      <c r="G16798" t="str">
        <f>""</f>
        <v/>
      </c>
    </row>
    <row r="16799" spans="1:7" x14ac:dyDescent="0.25">
      <c r="A16799" t="s">
        <v>8</v>
      </c>
      <c r="B16799" s="1" t="str">
        <f>"000368675 - RICH FOODS-FOODBUY"</f>
        <v>000368675 - RICH FOODS-FOODBUY</v>
      </c>
      <c r="C16799" t="s">
        <v>237</v>
      </c>
      <c r="D16799" s="1" t="str">
        <f t="shared" si="455"/>
        <v>PRG-1044663</v>
      </c>
      <c r="E16799" t="s">
        <v>147</v>
      </c>
      <c r="F16799" t="s">
        <v>4</v>
      </c>
      <c r="G16799" t="str">
        <f>""</f>
        <v/>
      </c>
    </row>
    <row r="16800" spans="1:7" x14ac:dyDescent="0.25">
      <c r="A16800" t="s">
        <v>8</v>
      </c>
      <c r="B16800" s="1" t="str">
        <f>"000368681 - RICH FOODS-FOODBUY"</f>
        <v>000368681 - RICH FOODS-FOODBUY</v>
      </c>
      <c r="C16800" t="s">
        <v>237</v>
      </c>
      <c r="D16800" s="1" t="str">
        <f t="shared" si="455"/>
        <v>PRG-1044663</v>
      </c>
      <c r="E16800" t="s">
        <v>147</v>
      </c>
      <c r="F16800" t="s">
        <v>4</v>
      </c>
      <c r="G16800" t="str">
        <f>""</f>
        <v/>
      </c>
    </row>
    <row r="16801" spans="1:7" x14ac:dyDescent="0.25">
      <c r="A16801" t="s">
        <v>8</v>
      </c>
      <c r="B16801" s="1" t="str">
        <f>"000369176 - RICH FOODS-FOODBUY"</f>
        <v>000369176 - RICH FOODS-FOODBUY</v>
      </c>
      <c r="C16801" t="s">
        <v>237</v>
      </c>
      <c r="D16801" s="1" t="str">
        <f t="shared" si="455"/>
        <v>PRG-1044663</v>
      </c>
      <c r="E16801" t="s">
        <v>147</v>
      </c>
      <c r="F16801" t="s">
        <v>4</v>
      </c>
      <c r="G16801" t="str">
        <f>""</f>
        <v/>
      </c>
    </row>
    <row r="16802" spans="1:7" x14ac:dyDescent="0.25">
      <c r="A16802" t="s">
        <v>8</v>
      </c>
      <c r="B16802" s="1" t="str">
        <f>"000369252 - RICH FOODS - FOODBUY"</f>
        <v>000369252 - RICH FOODS - FOODBUY</v>
      </c>
      <c r="C16802" t="s">
        <v>146</v>
      </c>
      <c r="D16802" s="1" t="str">
        <f t="shared" si="455"/>
        <v>PRG-1044663</v>
      </c>
      <c r="E16802" t="s">
        <v>147</v>
      </c>
      <c r="F16802" t="s">
        <v>4</v>
      </c>
      <c r="G16802" t="str">
        <f>""</f>
        <v/>
      </c>
    </row>
    <row r="16803" spans="1:7" x14ac:dyDescent="0.25">
      <c r="A16803" t="s">
        <v>8</v>
      </c>
      <c r="B16803" s="1" t="str">
        <f>"000370245 - RICH FOODS-FOODBUY"</f>
        <v>000370245 - RICH FOODS-FOODBUY</v>
      </c>
      <c r="C16803" t="s">
        <v>237</v>
      </c>
      <c r="D16803" s="1" t="str">
        <f t="shared" si="455"/>
        <v>PRG-1044663</v>
      </c>
      <c r="E16803" t="s">
        <v>147</v>
      </c>
      <c r="F16803" t="s">
        <v>4</v>
      </c>
      <c r="G16803" t="str">
        <f>""</f>
        <v/>
      </c>
    </row>
    <row r="16804" spans="1:7" x14ac:dyDescent="0.25">
      <c r="A16804" t="s">
        <v>8</v>
      </c>
      <c r="B16804" s="1" t="str">
        <f>"000370532 - RICH FOODS-FOODBUY"</f>
        <v>000370532 - RICH FOODS-FOODBUY</v>
      </c>
      <c r="C16804" t="s">
        <v>237</v>
      </c>
      <c r="D16804" s="1" t="str">
        <f t="shared" si="455"/>
        <v>PRG-1044663</v>
      </c>
      <c r="E16804" t="s">
        <v>147</v>
      </c>
      <c r="F16804" t="s">
        <v>4</v>
      </c>
      <c r="G16804" t="str">
        <f>""</f>
        <v/>
      </c>
    </row>
    <row r="16805" spans="1:7" x14ac:dyDescent="0.25">
      <c r="A16805" t="s">
        <v>8</v>
      </c>
      <c r="B16805" s="1" t="str">
        <f>"000370867 - RICH FOODS-FOODBUY"</f>
        <v>000370867 - RICH FOODS-FOODBUY</v>
      </c>
      <c r="C16805" t="s">
        <v>237</v>
      </c>
      <c r="D16805" s="1" t="str">
        <f t="shared" si="455"/>
        <v>PRG-1044663</v>
      </c>
      <c r="E16805" t="s">
        <v>147</v>
      </c>
      <c r="F16805" t="s">
        <v>4</v>
      </c>
      <c r="G16805" t="str">
        <f>""</f>
        <v/>
      </c>
    </row>
    <row r="16806" spans="1:7" x14ac:dyDescent="0.25">
      <c r="A16806" t="s">
        <v>8</v>
      </c>
      <c r="B16806" s="1" t="str">
        <f>"000371536 - RICH FOODS-FOODBUY"</f>
        <v>000371536 - RICH FOODS-FOODBUY</v>
      </c>
      <c r="C16806" t="s">
        <v>237</v>
      </c>
      <c r="D16806" s="1" t="str">
        <f t="shared" si="455"/>
        <v>PRG-1044663</v>
      </c>
      <c r="E16806" t="s">
        <v>147</v>
      </c>
      <c r="F16806" t="s">
        <v>4</v>
      </c>
      <c r="G16806" t="str">
        <f>""</f>
        <v/>
      </c>
    </row>
    <row r="16807" spans="1:7" x14ac:dyDescent="0.25">
      <c r="A16807" t="s">
        <v>8</v>
      </c>
      <c r="B16807" s="1" t="str">
        <f>"000371871 - RICH FOODS-FOODBUY"</f>
        <v>000371871 - RICH FOODS-FOODBUY</v>
      </c>
      <c r="C16807" t="s">
        <v>237</v>
      </c>
      <c r="D16807" s="1" t="str">
        <f t="shared" si="455"/>
        <v>PRG-1044663</v>
      </c>
      <c r="E16807" t="s">
        <v>147</v>
      </c>
      <c r="F16807" t="s">
        <v>4</v>
      </c>
      <c r="G16807" t="str">
        <f>""</f>
        <v/>
      </c>
    </row>
    <row r="16808" spans="1:7" x14ac:dyDescent="0.25">
      <c r="A16808" t="s">
        <v>8</v>
      </c>
      <c r="B16808" s="1" t="str">
        <f>"000372254 - RICH FOODS-FOODBUY"</f>
        <v>000372254 - RICH FOODS-FOODBUY</v>
      </c>
      <c r="C16808" t="s">
        <v>237</v>
      </c>
      <c r="D16808" s="1" t="str">
        <f t="shared" si="455"/>
        <v>PRG-1044663</v>
      </c>
      <c r="E16808" t="s">
        <v>147</v>
      </c>
      <c r="F16808" t="s">
        <v>4</v>
      </c>
      <c r="G16808" t="str">
        <f>""</f>
        <v/>
      </c>
    </row>
    <row r="16809" spans="1:7" x14ac:dyDescent="0.25">
      <c r="A16809" t="s">
        <v>8</v>
      </c>
      <c r="B16809" s="1" t="str">
        <f>"000373209 - RICH FOODS-FOODBUY"</f>
        <v>000373209 - RICH FOODS-FOODBUY</v>
      </c>
      <c r="C16809" t="s">
        <v>237</v>
      </c>
      <c r="D16809" s="1" t="str">
        <f t="shared" si="455"/>
        <v>PRG-1044663</v>
      </c>
      <c r="E16809" t="s">
        <v>147</v>
      </c>
      <c r="F16809" t="s">
        <v>4</v>
      </c>
      <c r="G16809" t="str">
        <f>""</f>
        <v/>
      </c>
    </row>
    <row r="16810" spans="1:7" x14ac:dyDescent="0.25">
      <c r="A16810" t="s">
        <v>8</v>
      </c>
      <c r="B16810" s="1" t="str">
        <f>"000373447 - RICH FOODS-FOODBUY"</f>
        <v>000373447 - RICH FOODS-FOODBUY</v>
      </c>
      <c r="C16810" t="s">
        <v>237</v>
      </c>
      <c r="D16810" s="1" t="str">
        <f t="shared" si="455"/>
        <v>PRG-1044663</v>
      </c>
      <c r="E16810" t="s">
        <v>147</v>
      </c>
      <c r="F16810" t="s">
        <v>4</v>
      </c>
      <c r="G16810" t="str">
        <f>""</f>
        <v/>
      </c>
    </row>
    <row r="16811" spans="1:7" x14ac:dyDescent="0.25">
      <c r="A16811" t="s">
        <v>8</v>
      </c>
      <c r="B16811" s="1" t="str">
        <f>"000373532 - RICH FOODS-FOODBUY"</f>
        <v>000373532 - RICH FOODS-FOODBUY</v>
      </c>
      <c r="C16811" t="s">
        <v>237</v>
      </c>
      <c r="D16811" s="1" t="str">
        <f t="shared" si="455"/>
        <v>PRG-1044663</v>
      </c>
      <c r="E16811" t="s">
        <v>147</v>
      </c>
      <c r="F16811" t="s">
        <v>4</v>
      </c>
      <c r="G16811" t="str">
        <f>""</f>
        <v/>
      </c>
    </row>
    <row r="16812" spans="1:7" x14ac:dyDescent="0.25">
      <c r="A16812" t="s">
        <v>8</v>
      </c>
      <c r="B16812" s="1" t="str">
        <f>"000373954 - RICH FOODS-FOODBUY"</f>
        <v>000373954 - RICH FOODS-FOODBUY</v>
      </c>
      <c r="C16812" t="s">
        <v>237</v>
      </c>
      <c r="D16812" s="1" t="str">
        <f t="shared" si="455"/>
        <v>PRG-1044663</v>
      </c>
      <c r="E16812" t="s">
        <v>147</v>
      </c>
      <c r="F16812" t="s">
        <v>4</v>
      </c>
      <c r="G16812" t="str">
        <f>""</f>
        <v/>
      </c>
    </row>
    <row r="16813" spans="1:7" x14ac:dyDescent="0.25">
      <c r="A16813" t="s">
        <v>8</v>
      </c>
      <c r="B16813" s="1" t="str">
        <f>"000374668 - RICH FOODS-FOODBUY"</f>
        <v>000374668 - RICH FOODS-FOODBUY</v>
      </c>
      <c r="C16813" t="s">
        <v>237</v>
      </c>
      <c r="D16813" s="1" t="str">
        <f t="shared" si="455"/>
        <v>PRG-1044663</v>
      </c>
      <c r="E16813" t="s">
        <v>147</v>
      </c>
      <c r="F16813" t="s">
        <v>4</v>
      </c>
      <c r="G16813" t="str">
        <f>""</f>
        <v/>
      </c>
    </row>
    <row r="16814" spans="1:7" x14ac:dyDescent="0.25">
      <c r="A16814" t="s">
        <v>8</v>
      </c>
      <c r="B16814" s="1" t="str">
        <f>"000375140 - RICH FOODS-FOODBUY"</f>
        <v>000375140 - RICH FOODS-FOODBUY</v>
      </c>
      <c r="C16814" t="s">
        <v>237</v>
      </c>
      <c r="D16814" s="1" t="str">
        <f t="shared" si="455"/>
        <v>PRG-1044663</v>
      </c>
      <c r="E16814" t="s">
        <v>147</v>
      </c>
      <c r="F16814" t="s">
        <v>4</v>
      </c>
      <c r="G16814" t="str">
        <f>""</f>
        <v/>
      </c>
    </row>
    <row r="16815" spans="1:7" x14ac:dyDescent="0.25">
      <c r="A16815" t="s">
        <v>8</v>
      </c>
      <c r="B16815" s="1" t="str">
        <f>"000375453 - RICH FOODS-FOODBUY"</f>
        <v>000375453 - RICH FOODS-FOODBUY</v>
      </c>
      <c r="C16815" t="s">
        <v>237</v>
      </c>
      <c r="D16815" s="1" t="str">
        <f t="shared" si="455"/>
        <v>PRG-1044663</v>
      </c>
      <c r="E16815" t="s">
        <v>147</v>
      </c>
      <c r="F16815" t="s">
        <v>4</v>
      </c>
      <c r="G16815" t="str">
        <f>""</f>
        <v/>
      </c>
    </row>
    <row r="16816" spans="1:7" x14ac:dyDescent="0.25">
      <c r="A16816" t="s">
        <v>8</v>
      </c>
      <c r="B16816" s="1" t="str">
        <f>"000376054 - RICH FOODS-FOODBUY"</f>
        <v>000376054 - RICH FOODS-FOODBUY</v>
      </c>
      <c r="C16816" t="s">
        <v>237</v>
      </c>
      <c r="D16816" s="1" t="str">
        <f t="shared" si="455"/>
        <v>PRG-1044663</v>
      </c>
      <c r="E16816" t="s">
        <v>147</v>
      </c>
      <c r="F16816" t="s">
        <v>4</v>
      </c>
      <c r="G16816" t="str">
        <f>""</f>
        <v/>
      </c>
    </row>
    <row r="16817" spans="1:7" x14ac:dyDescent="0.25">
      <c r="A16817" t="s">
        <v>8</v>
      </c>
      <c r="B16817" s="1" t="str">
        <f>"000376284 - RICH FOODS-FOODBUY"</f>
        <v>000376284 - RICH FOODS-FOODBUY</v>
      </c>
      <c r="C16817" t="s">
        <v>237</v>
      </c>
      <c r="D16817" s="1" t="str">
        <f t="shared" si="455"/>
        <v>PRG-1044663</v>
      </c>
      <c r="E16817" t="s">
        <v>147</v>
      </c>
      <c r="F16817" t="s">
        <v>4</v>
      </c>
      <c r="G16817" t="str">
        <f>""</f>
        <v/>
      </c>
    </row>
    <row r="16818" spans="1:7" x14ac:dyDescent="0.25">
      <c r="A16818" t="s">
        <v>8</v>
      </c>
      <c r="B16818" s="1" t="str">
        <f>"000376603 - RICH FOODS-FOODBUY"</f>
        <v>000376603 - RICH FOODS-FOODBUY</v>
      </c>
      <c r="C16818" t="s">
        <v>237</v>
      </c>
      <c r="D16818" s="1" t="str">
        <f t="shared" si="455"/>
        <v>PRG-1044663</v>
      </c>
      <c r="E16818" t="s">
        <v>147</v>
      </c>
      <c r="F16818" t="s">
        <v>4</v>
      </c>
      <c r="G16818" t="str">
        <f>""</f>
        <v/>
      </c>
    </row>
    <row r="16819" spans="1:7" x14ac:dyDescent="0.25">
      <c r="A16819" t="s">
        <v>8</v>
      </c>
      <c r="B16819" s="1" t="str">
        <f>"000377377 - RICH FOODS-FOODBUY"</f>
        <v>000377377 - RICH FOODS-FOODBUY</v>
      </c>
      <c r="C16819" t="s">
        <v>237</v>
      </c>
      <c r="D16819" s="1" t="str">
        <f t="shared" si="455"/>
        <v>PRG-1044663</v>
      </c>
      <c r="E16819" t="s">
        <v>147</v>
      </c>
      <c r="F16819" t="s">
        <v>4</v>
      </c>
      <c r="G16819" t="str">
        <f>""</f>
        <v/>
      </c>
    </row>
    <row r="16820" spans="1:7" x14ac:dyDescent="0.25">
      <c r="A16820" t="s">
        <v>8</v>
      </c>
      <c r="B16820" s="1" t="str">
        <f>"000377727 - RICH FOODS-FOODBUY"</f>
        <v>000377727 - RICH FOODS-FOODBUY</v>
      </c>
      <c r="C16820" t="s">
        <v>237</v>
      </c>
      <c r="D16820" s="1" t="str">
        <f t="shared" si="455"/>
        <v>PRG-1044663</v>
      </c>
      <c r="E16820" t="s">
        <v>147</v>
      </c>
      <c r="F16820" t="s">
        <v>4</v>
      </c>
      <c r="G16820" t="str">
        <f>""</f>
        <v/>
      </c>
    </row>
    <row r="16821" spans="1:7" x14ac:dyDescent="0.25">
      <c r="A16821" t="s">
        <v>8</v>
      </c>
      <c r="B16821" s="1" t="str">
        <f>"000377811 - RICH FOODS-FOODBUY"</f>
        <v>000377811 - RICH FOODS-FOODBUY</v>
      </c>
      <c r="C16821" t="s">
        <v>237</v>
      </c>
      <c r="D16821" s="1" t="str">
        <f t="shared" si="455"/>
        <v>PRG-1044663</v>
      </c>
      <c r="E16821" t="s">
        <v>147</v>
      </c>
      <c r="F16821" t="s">
        <v>4</v>
      </c>
      <c r="G16821" t="str">
        <f>""</f>
        <v/>
      </c>
    </row>
    <row r="16822" spans="1:7" x14ac:dyDescent="0.25">
      <c r="A16822" t="s">
        <v>8</v>
      </c>
      <c r="B16822" s="1" t="str">
        <f>"000377893 - RICH FOODS-FOODBUY"</f>
        <v>000377893 - RICH FOODS-FOODBUY</v>
      </c>
      <c r="C16822" t="s">
        <v>237</v>
      </c>
      <c r="D16822" s="1" t="str">
        <f t="shared" si="455"/>
        <v>PRG-1044663</v>
      </c>
      <c r="E16822" t="s">
        <v>147</v>
      </c>
      <c r="F16822" t="s">
        <v>4</v>
      </c>
      <c r="G16822" t="str">
        <f>""</f>
        <v/>
      </c>
    </row>
    <row r="16823" spans="1:7" x14ac:dyDescent="0.25">
      <c r="A16823" t="s">
        <v>8</v>
      </c>
      <c r="B16823" s="1" t="str">
        <f>"000377930 - RICH FOODS-FOODBUY"</f>
        <v>000377930 - RICH FOODS-FOODBUY</v>
      </c>
      <c r="C16823" t="s">
        <v>237</v>
      </c>
      <c r="D16823" s="1" t="str">
        <f t="shared" si="455"/>
        <v>PRG-1044663</v>
      </c>
      <c r="E16823" t="s">
        <v>147</v>
      </c>
      <c r="F16823" t="s">
        <v>4</v>
      </c>
      <c r="G16823" t="str">
        <f>""</f>
        <v/>
      </c>
    </row>
    <row r="16824" spans="1:7" x14ac:dyDescent="0.25">
      <c r="A16824" t="s">
        <v>8</v>
      </c>
      <c r="B16824" s="1" t="str">
        <f>"000378038 - RICH FOODS-FOODBUY"</f>
        <v>000378038 - RICH FOODS-FOODBUY</v>
      </c>
      <c r="C16824" t="s">
        <v>237</v>
      </c>
      <c r="D16824" s="1" t="str">
        <f t="shared" si="455"/>
        <v>PRG-1044663</v>
      </c>
      <c r="E16824" t="s">
        <v>147</v>
      </c>
      <c r="F16824" t="s">
        <v>4</v>
      </c>
      <c r="G16824" t="str">
        <f>""</f>
        <v/>
      </c>
    </row>
    <row r="16825" spans="1:7" x14ac:dyDescent="0.25">
      <c r="A16825" t="s">
        <v>8</v>
      </c>
      <c r="B16825" s="1" t="str">
        <f>"000378196 - RICH FOODS-FOODBUY"</f>
        <v>000378196 - RICH FOODS-FOODBUY</v>
      </c>
      <c r="C16825" t="s">
        <v>237</v>
      </c>
      <c r="D16825" s="1" t="str">
        <f t="shared" si="455"/>
        <v>PRG-1044663</v>
      </c>
      <c r="E16825" t="s">
        <v>147</v>
      </c>
      <c r="F16825" t="s">
        <v>4</v>
      </c>
      <c r="G16825" t="str">
        <f>""</f>
        <v/>
      </c>
    </row>
    <row r="16826" spans="1:7" x14ac:dyDescent="0.25">
      <c r="A16826" t="s">
        <v>8</v>
      </c>
      <c r="B16826" s="1" t="str">
        <f>"000378956 - RICH FOODS-FOODBUY"</f>
        <v>000378956 - RICH FOODS-FOODBUY</v>
      </c>
      <c r="C16826" t="s">
        <v>237</v>
      </c>
      <c r="D16826" s="1" t="str">
        <f t="shared" si="455"/>
        <v>PRG-1044663</v>
      </c>
      <c r="E16826" t="s">
        <v>147</v>
      </c>
      <c r="F16826" t="s">
        <v>4</v>
      </c>
      <c r="G16826" t="str">
        <f>""</f>
        <v/>
      </c>
    </row>
    <row r="16827" spans="1:7" x14ac:dyDescent="0.25">
      <c r="A16827" t="s">
        <v>8</v>
      </c>
      <c r="B16827" s="1" t="str">
        <f>"000379036 - RICH FOODS-FOODBUY"</f>
        <v>000379036 - RICH FOODS-FOODBUY</v>
      </c>
      <c r="C16827" t="s">
        <v>237</v>
      </c>
      <c r="D16827" s="1" t="str">
        <f t="shared" si="455"/>
        <v>PRG-1044663</v>
      </c>
      <c r="E16827" t="s">
        <v>147</v>
      </c>
      <c r="F16827" t="s">
        <v>4</v>
      </c>
      <c r="G16827" t="str">
        <f>""</f>
        <v/>
      </c>
    </row>
    <row r="16828" spans="1:7" x14ac:dyDescent="0.25">
      <c r="A16828" t="s">
        <v>8</v>
      </c>
      <c r="B16828" s="1" t="str">
        <f>"000379163 - RICH FOODS-FOODBUY"</f>
        <v>000379163 - RICH FOODS-FOODBUY</v>
      </c>
      <c r="C16828" t="s">
        <v>237</v>
      </c>
      <c r="D16828" s="1" t="str">
        <f t="shared" si="455"/>
        <v>PRG-1044663</v>
      </c>
      <c r="E16828" t="s">
        <v>147</v>
      </c>
      <c r="F16828" t="s">
        <v>4</v>
      </c>
      <c r="G16828" t="str">
        <f>""</f>
        <v/>
      </c>
    </row>
    <row r="16829" spans="1:7" x14ac:dyDescent="0.25">
      <c r="A16829" t="s">
        <v>8</v>
      </c>
      <c r="B16829" s="1" t="str">
        <f>"000380158 - RICHS SWEET DOUGH-SODEXO"</f>
        <v>000380158 - RICHS SWEET DOUGH-SODEXO</v>
      </c>
      <c r="C16829" t="s">
        <v>137</v>
      </c>
      <c r="D16829" s="1" t="str">
        <f t="shared" ref="D16829:D16892" si="456">"PRG-1044663"</f>
        <v>PRG-1044663</v>
      </c>
      <c r="E16829" t="s">
        <v>147</v>
      </c>
      <c r="F16829" t="s">
        <v>4</v>
      </c>
      <c r="G16829" t="str">
        <f>""</f>
        <v/>
      </c>
    </row>
    <row r="16830" spans="1:7" x14ac:dyDescent="0.25">
      <c r="A16830" t="s">
        <v>8</v>
      </c>
      <c r="B16830" s="1" t="str">
        <f>"000380703 - RICH FOODS-FOODBUY"</f>
        <v>000380703 - RICH FOODS-FOODBUY</v>
      </c>
      <c r="C16830" t="s">
        <v>237</v>
      </c>
      <c r="D16830" s="1" t="str">
        <f t="shared" si="456"/>
        <v>PRG-1044663</v>
      </c>
      <c r="E16830" t="s">
        <v>147</v>
      </c>
      <c r="F16830" t="s">
        <v>4</v>
      </c>
      <c r="G16830" t="str">
        <f>""</f>
        <v/>
      </c>
    </row>
    <row r="16831" spans="1:7" x14ac:dyDescent="0.25">
      <c r="A16831" t="s">
        <v>8</v>
      </c>
      <c r="B16831" s="1" t="str">
        <f>"000381270 - RICH FOODS-FOODBUY"</f>
        <v>000381270 - RICH FOODS-FOODBUY</v>
      </c>
      <c r="C16831" t="s">
        <v>237</v>
      </c>
      <c r="D16831" s="1" t="str">
        <f t="shared" si="456"/>
        <v>PRG-1044663</v>
      </c>
      <c r="E16831" t="s">
        <v>147</v>
      </c>
      <c r="F16831" t="s">
        <v>4</v>
      </c>
      <c r="G16831" t="str">
        <f>""</f>
        <v/>
      </c>
    </row>
    <row r="16832" spans="1:7" x14ac:dyDescent="0.25">
      <c r="A16832" t="s">
        <v>8</v>
      </c>
      <c r="B16832" s="1" t="str">
        <f>"000381876 - RICH FOODS-FOODBUY"</f>
        <v>000381876 - RICH FOODS-FOODBUY</v>
      </c>
      <c r="C16832" t="s">
        <v>237</v>
      </c>
      <c r="D16832" s="1" t="str">
        <f t="shared" si="456"/>
        <v>PRG-1044663</v>
      </c>
      <c r="E16832" t="s">
        <v>147</v>
      </c>
      <c r="F16832" t="s">
        <v>4</v>
      </c>
      <c r="G16832" t="str">
        <f>""</f>
        <v/>
      </c>
    </row>
    <row r="16833" spans="1:7" x14ac:dyDescent="0.25">
      <c r="A16833" t="s">
        <v>8</v>
      </c>
      <c r="B16833" s="1" t="str">
        <f>"000382445 - RICH FOODS-FOODBUY"</f>
        <v>000382445 - RICH FOODS-FOODBUY</v>
      </c>
      <c r="C16833" t="s">
        <v>237</v>
      </c>
      <c r="D16833" s="1" t="str">
        <f t="shared" si="456"/>
        <v>PRG-1044663</v>
      </c>
      <c r="E16833" t="s">
        <v>147</v>
      </c>
      <c r="F16833" t="s">
        <v>4</v>
      </c>
      <c r="G16833" t="str">
        <f>""</f>
        <v/>
      </c>
    </row>
    <row r="16834" spans="1:7" x14ac:dyDescent="0.25">
      <c r="A16834" t="s">
        <v>8</v>
      </c>
      <c r="B16834" s="1" t="str">
        <f>"000383316 - RICH FOODS-FOODBUY"</f>
        <v>000383316 - RICH FOODS-FOODBUY</v>
      </c>
      <c r="C16834" t="s">
        <v>237</v>
      </c>
      <c r="D16834" s="1" t="str">
        <f t="shared" si="456"/>
        <v>PRG-1044663</v>
      </c>
      <c r="E16834" t="s">
        <v>147</v>
      </c>
      <c r="F16834" t="s">
        <v>4</v>
      </c>
      <c r="G16834" t="str">
        <f>""</f>
        <v/>
      </c>
    </row>
    <row r="16835" spans="1:7" x14ac:dyDescent="0.25">
      <c r="A16835" t="s">
        <v>8</v>
      </c>
      <c r="B16835" s="1" t="str">
        <f>"000383386 - RICH FOODS-FOODBUY"</f>
        <v>000383386 - RICH FOODS-FOODBUY</v>
      </c>
      <c r="C16835" t="s">
        <v>237</v>
      </c>
      <c r="D16835" s="1" t="str">
        <f t="shared" si="456"/>
        <v>PRG-1044663</v>
      </c>
      <c r="E16835" t="s">
        <v>147</v>
      </c>
      <c r="F16835" t="s">
        <v>4</v>
      </c>
      <c r="G16835" t="str">
        <f>""</f>
        <v/>
      </c>
    </row>
    <row r="16836" spans="1:7" x14ac:dyDescent="0.25">
      <c r="A16836" t="s">
        <v>8</v>
      </c>
      <c r="B16836" s="1" t="str">
        <f>"000383840 - RICH FOODS-FOODBUY"</f>
        <v>000383840 - RICH FOODS-FOODBUY</v>
      </c>
      <c r="C16836" t="s">
        <v>237</v>
      </c>
      <c r="D16836" s="1" t="str">
        <f t="shared" si="456"/>
        <v>PRG-1044663</v>
      </c>
      <c r="E16836" t="s">
        <v>147</v>
      </c>
      <c r="F16836" t="s">
        <v>4</v>
      </c>
      <c r="G16836" t="str">
        <f>""</f>
        <v/>
      </c>
    </row>
    <row r="16837" spans="1:7" x14ac:dyDescent="0.25">
      <c r="A16837" t="s">
        <v>8</v>
      </c>
      <c r="B16837" s="1" t="str">
        <f>"000384490 - RICH FOODS-FOODBUY"</f>
        <v>000384490 - RICH FOODS-FOODBUY</v>
      </c>
      <c r="C16837" t="s">
        <v>237</v>
      </c>
      <c r="D16837" s="1" t="str">
        <f t="shared" si="456"/>
        <v>PRG-1044663</v>
      </c>
      <c r="E16837" t="s">
        <v>147</v>
      </c>
      <c r="F16837" t="s">
        <v>4</v>
      </c>
      <c r="G16837" t="str">
        <f>""</f>
        <v/>
      </c>
    </row>
    <row r="16838" spans="1:7" x14ac:dyDescent="0.25">
      <c r="A16838" t="s">
        <v>8</v>
      </c>
      <c r="B16838" s="1" t="str">
        <f>"000384670 - RICH FOODS-FOODBUY"</f>
        <v>000384670 - RICH FOODS-FOODBUY</v>
      </c>
      <c r="C16838" t="s">
        <v>237</v>
      </c>
      <c r="D16838" s="1" t="str">
        <f t="shared" si="456"/>
        <v>PRG-1044663</v>
      </c>
      <c r="E16838" t="s">
        <v>147</v>
      </c>
      <c r="F16838" t="s">
        <v>4</v>
      </c>
      <c r="G16838" t="str">
        <f>""</f>
        <v/>
      </c>
    </row>
    <row r="16839" spans="1:7" x14ac:dyDescent="0.25">
      <c r="A16839" t="s">
        <v>8</v>
      </c>
      <c r="B16839" s="1" t="str">
        <f>"000384970 - RICH FOODS-FOODBUY"</f>
        <v>000384970 - RICH FOODS-FOODBUY</v>
      </c>
      <c r="C16839" t="s">
        <v>237</v>
      </c>
      <c r="D16839" s="1" t="str">
        <f t="shared" si="456"/>
        <v>PRG-1044663</v>
      </c>
      <c r="E16839" t="s">
        <v>147</v>
      </c>
      <c r="F16839" t="s">
        <v>4</v>
      </c>
      <c r="G16839" t="str">
        <f>""</f>
        <v/>
      </c>
    </row>
    <row r="16840" spans="1:7" x14ac:dyDescent="0.25">
      <c r="A16840" t="s">
        <v>8</v>
      </c>
      <c r="B16840" s="1" t="str">
        <f>"000385210 - RICH FOODS-FOODBUY"</f>
        <v>000385210 - RICH FOODS-FOODBUY</v>
      </c>
      <c r="C16840" t="s">
        <v>237</v>
      </c>
      <c r="D16840" s="1" t="str">
        <f t="shared" si="456"/>
        <v>PRG-1044663</v>
      </c>
      <c r="E16840" t="s">
        <v>147</v>
      </c>
      <c r="F16840" t="s">
        <v>4</v>
      </c>
      <c r="G16840" t="str">
        <f>""</f>
        <v/>
      </c>
    </row>
    <row r="16841" spans="1:7" x14ac:dyDescent="0.25">
      <c r="A16841" t="s">
        <v>8</v>
      </c>
      <c r="B16841" s="1" t="str">
        <f>"000385335 - RICH FOODS-FOODBUY"</f>
        <v>000385335 - RICH FOODS-FOODBUY</v>
      </c>
      <c r="C16841" t="s">
        <v>237</v>
      </c>
      <c r="D16841" s="1" t="str">
        <f t="shared" si="456"/>
        <v>PRG-1044663</v>
      </c>
      <c r="E16841" t="s">
        <v>147</v>
      </c>
      <c r="F16841" t="s">
        <v>4</v>
      </c>
      <c r="G16841" t="str">
        <f>""</f>
        <v/>
      </c>
    </row>
    <row r="16842" spans="1:7" x14ac:dyDescent="0.25">
      <c r="A16842" t="s">
        <v>8</v>
      </c>
      <c r="B16842" s="1" t="str">
        <f>"000385984 - RICH FOODS-FOODBUY"</f>
        <v>000385984 - RICH FOODS-FOODBUY</v>
      </c>
      <c r="C16842" t="s">
        <v>237</v>
      </c>
      <c r="D16842" s="1" t="str">
        <f t="shared" si="456"/>
        <v>PRG-1044663</v>
      </c>
      <c r="E16842" t="s">
        <v>147</v>
      </c>
      <c r="F16842" t="s">
        <v>4</v>
      </c>
      <c r="G16842" t="str">
        <f>""</f>
        <v/>
      </c>
    </row>
    <row r="16843" spans="1:7" x14ac:dyDescent="0.25">
      <c r="A16843" t="s">
        <v>8</v>
      </c>
      <c r="B16843" s="1" t="str">
        <f>"000386016 - RICH FOODS-FOODBUY"</f>
        <v>000386016 - RICH FOODS-FOODBUY</v>
      </c>
      <c r="C16843" t="s">
        <v>237</v>
      </c>
      <c r="D16843" s="1" t="str">
        <f t="shared" si="456"/>
        <v>PRG-1044663</v>
      </c>
      <c r="E16843" t="s">
        <v>147</v>
      </c>
      <c r="F16843" t="s">
        <v>4</v>
      </c>
      <c r="G16843" t="str">
        <f>""</f>
        <v/>
      </c>
    </row>
    <row r="16844" spans="1:7" x14ac:dyDescent="0.25">
      <c r="A16844" t="s">
        <v>8</v>
      </c>
      <c r="B16844" s="1" t="str">
        <f>"000386123 - RICH FOODS-FOODBUY"</f>
        <v>000386123 - RICH FOODS-FOODBUY</v>
      </c>
      <c r="C16844" t="s">
        <v>237</v>
      </c>
      <c r="D16844" s="1" t="str">
        <f t="shared" si="456"/>
        <v>PRG-1044663</v>
      </c>
      <c r="E16844" t="s">
        <v>147</v>
      </c>
      <c r="F16844" t="s">
        <v>4</v>
      </c>
      <c r="G16844" t="str">
        <f>""</f>
        <v/>
      </c>
    </row>
    <row r="16845" spans="1:7" x14ac:dyDescent="0.25">
      <c r="A16845" t="s">
        <v>8</v>
      </c>
      <c r="B16845" s="1" t="str">
        <f>"000386180 - RICH FOODS-FOODBUY"</f>
        <v>000386180 - RICH FOODS-FOODBUY</v>
      </c>
      <c r="C16845" t="s">
        <v>237</v>
      </c>
      <c r="D16845" s="1" t="str">
        <f t="shared" si="456"/>
        <v>PRG-1044663</v>
      </c>
      <c r="E16845" t="s">
        <v>147</v>
      </c>
      <c r="F16845" t="s">
        <v>4</v>
      </c>
      <c r="G16845" t="str">
        <f>""</f>
        <v/>
      </c>
    </row>
    <row r="16846" spans="1:7" x14ac:dyDescent="0.25">
      <c r="A16846" t="s">
        <v>8</v>
      </c>
      <c r="B16846" s="1" t="str">
        <f>"000386740 - RICH FOODS-FOODBUY"</f>
        <v>000386740 - RICH FOODS-FOODBUY</v>
      </c>
      <c r="C16846" t="s">
        <v>237</v>
      </c>
      <c r="D16846" s="1" t="str">
        <f t="shared" si="456"/>
        <v>PRG-1044663</v>
      </c>
      <c r="E16846" t="s">
        <v>147</v>
      </c>
      <c r="F16846" t="s">
        <v>4</v>
      </c>
      <c r="G16846" t="str">
        <f>""</f>
        <v/>
      </c>
    </row>
    <row r="16847" spans="1:7" x14ac:dyDescent="0.25">
      <c r="A16847" t="s">
        <v>8</v>
      </c>
      <c r="B16847" s="1" t="str">
        <f>"000386753 - RICH FOODS-FOODBUY"</f>
        <v>000386753 - RICH FOODS-FOODBUY</v>
      </c>
      <c r="C16847" t="s">
        <v>237</v>
      </c>
      <c r="D16847" s="1" t="str">
        <f t="shared" si="456"/>
        <v>PRG-1044663</v>
      </c>
      <c r="E16847" t="s">
        <v>147</v>
      </c>
      <c r="F16847" t="s">
        <v>4</v>
      </c>
      <c r="G16847" t="str">
        <f>""</f>
        <v/>
      </c>
    </row>
    <row r="16848" spans="1:7" x14ac:dyDescent="0.25">
      <c r="A16848" t="s">
        <v>8</v>
      </c>
      <c r="B16848" s="1" t="str">
        <f>"000387085 - RICH FOODS-FOODBUY"</f>
        <v>000387085 - RICH FOODS-FOODBUY</v>
      </c>
      <c r="C16848" t="s">
        <v>237</v>
      </c>
      <c r="D16848" s="1" t="str">
        <f t="shared" si="456"/>
        <v>PRG-1044663</v>
      </c>
      <c r="E16848" t="s">
        <v>147</v>
      </c>
      <c r="F16848" t="s">
        <v>4</v>
      </c>
      <c r="G16848" t="str">
        <f>""</f>
        <v/>
      </c>
    </row>
    <row r="16849" spans="1:7" x14ac:dyDescent="0.25">
      <c r="A16849" t="s">
        <v>8</v>
      </c>
      <c r="B16849" s="1" t="str">
        <f>"000387287 - RICH FOODS-FOODBUY"</f>
        <v>000387287 - RICH FOODS-FOODBUY</v>
      </c>
      <c r="C16849" t="s">
        <v>237</v>
      </c>
      <c r="D16849" s="1" t="str">
        <f t="shared" si="456"/>
        <v>PRG-1044663</v>
      </c>
      <c r="E16849" t="s">
        <v>147</v>
      </c>
      <c r="F16849" t="s">
        <v>4</v>
      </c>
      <c r="G16849" t="str">
        <f>""</f>
        <v/>
      </c>
    </row>
    <row r="16850" spans="1:7" x14ac:dyDescent="0.25">
      <c r="A16850" t="s">
        <v>8</v>
      </c>
      <c r="B16850" s="1" t="str">
        <f>"000387450 - RICH FOODS-FOODBUY"</f>
        <v>000387450 - RICH FOODS-FOODBUY</v>
      </c>
      <c r="C16850" t="s">
        <v>237</v>
      </c>
      <c r="D16850" s="1" t="str">
        <f t="shared" si="456"/>
        <v>PRG-1044663</v>
      </c>
      <c r="E16850" t="s">
        <v>147</v>
      </c>
      <c r="F16850" t="s">
        <v>4</v>
      </c>
      <c r="G16850" t="str">
        <f>""</f>
        <v/>
      </c>
    </row>
    <row r="16851" spans="1:7" x14ac:dyDescent="0.25">
      <c r="A16851" t="s">
        <v>8</v>
      </c>
      <c r="B16851" s="1" t="str">
        <f>"000387504 - RICH FOODS-FOODBUY"</f>
        <v>000387504 - RICH FOODS-FOODBUY</v>
      </c>
      <c r="C16851" t="s">
        <v>237</v>
      </c>
      <c r="D16851" s="1" t="str">
        <f t="shared" si="456"/>
        <v>PRG-1044663</v>
      </c>
      <c r="E16851" t="s">
        <v>147</v>
      </c>
      <c r="F16851" t="s">
        <v>4</v>
      </c>
      <c r="G16851" t="str">
        <f>""</f>
        <v/>
      </c>
    </row>
    <row r="16852" spans="1:7" x14ac:dyDescent="0.25">
      <c r="A16852" t="s">
        <v>8</v>
      </c>
      <c r="B16852" s="1" t="str">
        <f>"000387545 - RICH FOODS-FOODBUY"</f>
        <v>000387545 - RICH FOODS-FOODBUY</v>
      </c>
      <c r="C16852" t="s">
        <v>237</v>
      </c>
      <c r="D16852" s="1" t="str">
        <f t="shared" si="456"/>
        <v>PRG-1044663</v>
      </c>
      <c r="E16852" t="s">
        <v>147</v>
      </c>
      <c r="F16852" t="s">
        <v>4</v>
      </c>
      <c r="G16852" t="str">
        <f>""</f>
        <v/>
      </c>
    </row>
    <row r="16853" spans="1:7" x14ac:dyDescent="0.25">
      <c r="A16853" t="s">
        <v>8</v>
      </c>
      <c r="B16853" s="1" t="str">
        <f>"000387564 - RICH FOODS-FOODBUY"</f>
        <v>000387564 - RICH FOODS-FOODBUY</v>
      </c>
      <c r="C16853" t="s">
        <v>237</v>
      </c>
      <c r="D16853" s="1" t="str">
        <f t="shared" si="456"/>
        <v>PRG-1044663</v>
      </c>
      <c r="E16853" t="s">
        <v>147</v>
      </c>
      <c r="F16853" t="s">
        <v>4</v>
      </c>
      <c r="G16853" t="str">
        <f>""</f>
        <v/>
      </c>
    </row>
    <row r="16854" spans="1:7" x14ac:dyDescent="0.25">
      <c r="A16854" t="s">
        <v>8</v>
      </c>
      <c r="B16854" s="1" t="str">
        <f>"000387787 - RICH FOODS-FOODBUY"</f>
        <v>000387787 - RICH FOODS-FOODBUY</v>
      </c>
      <c r="C16854" t="s">
        <v>237</v>
      </c>
      <c r="D16854" s="1" t="str">
        <f t="shared" si="456"/>
        <v>PRG-1044663</v>
      </c>
      <c r="E16854" t="s">
        <v>147</v>
      </c>
      <c r="F16854" t="s">
        <v>4</v>
      </c>
      <c r="G16854" t="str">
        <f>""</f>
        <v/>
      </c>
    </row>
    <row r="16855" spans="1:7" x14ac:dyDescent="0.25">
      <c r="A16855" t="s">
        <v>8</v>
      </c>
      <c r="B16855" s="1" t="str">
        <f>"000387892 - RICH FOODS-FOODBUY"</f>
        <v>000387892 - RICH FOODS-FOODBUY</v>
      </c>
      <c r="C16855" t="s">
        <v>237</v>
      </c>
      <c r="D16855" s="1" t="str">
        <f t="shared" si="456"/>
        <v>PRG-1044663</v>
      </c>
      <c r="E16855" t="s">
        <v>147</v>
      </c>
      <c r="F16855" t="s">
        <v>4</v>
      </c>
      <c r="G16855" t="str">
        <f>""</f>
        <v/>
      </c>
    </row>
    <row r="16856" spans="1:7" x14ac:dyDescent="0.25">
      <c r="A16856" t="s">
        <v>8</v>
      </c>
      <c r="B16856" s="1" t="str">
        <f>"000388107 - RICH FOODS BB-FOODBUY"</f>
        <v>000388107 - RICH FOODS BB-FOODBUY</v>
      </c>
      <c r="C16856" t="s">
        <v>209</v>
      </c>
      <c r="D16856" s="1" t="str">
        <f t="shared" si="456"/>
        <v>PRG-1044663</v>
      </c>
      <c r="E16856" t="s">
        <v>147</v>
      </c>
      <c r="F16856" t="s">
        <v>4</v>
      </c>
      <c r="G16856" t="str">
        <f>""</f>
        <v/>
      </c>
    </row>
    <row r="16857" spans="1:7" x14ac:dyDescent="0.25">
      <c r="A16857" t="s">
        <v>8</v>
      </c>
      <c r="B16857" s="1" t="str">
        <f>"000389012 - RICH FOODS-FOODBUY"</f>
        <v>000389012 - RICH FOODS-FOODBUY</v>
      </c>
      <c r="C16857" t="s">
        <v>237</v>
      </c>
      <c r="D16857" s="1" t="str">
        <f t="shared" si="456"/>
        <v>PRG-1044663</v>
      </c>
      <c r="E16857" t="s">
        <v>147</v>
      </c>
      <c r="F16857" t="s">
        <v>4</v>
      </c>
      <c r="G16857" t="str">
        <f>""</f>
        <v/>
      </c>
    </row>
    <row r="16858" spans="1:7" x14ac:dyDescent="0.25">
      <c r="A16858" t="s">
        <v>8</v>
      </c>
      <c r="B16858" s="1" t="str">
        <f>"000389040 - RICH FOODS-FOODBUY"</f>
        <v>000389040 - RICH FOODS-FOODBUY</v>
      </c>
      <c r="C16858" t="s">
        <v>237</v>
      </c>
      <c r="D16858" s="1" t="str">
        <f t="shared" si="456"/>
        <v>PRG-1044663</v>
      </c>
      <c r="E16858" t="s">
        <v>147</v>
      </c>
      <c r="F16858" t="s">
        <v>4</v>
      </c>
      <c r="G16858" t="str">
        <f>""</f>
        <v/>
      </c>
    </row>
    <row r="16859" spans="1:7" x14ac:dyDescent="0.25">
      <c r="A16859" t="s">
        <v>8</v>
      </c>
      <c r="B16859" s="1" t="str">
        <f>"000389106 - RICH FOODS-FOODBUY"</f>
        <v>000389106 - RICH FOODS-FOODBUY</v>
      </c>
      <c r="C16859" t="s">
        <v>237</v>
      </c>
      <c r="D16859" s="1" t="str">
        <f t="shared" si="456"/>
        <v>PRG-1044663</v>
      </c>
      <c r="E16859" t="s">
        <v>147</v>
      </c>
      <c r="F16859" t="s">
        <v>4</v>
      </c>
      <c r="G16859" t="str">
        <f>""</f>
        <v/>
      </c>
    </row>
    <row r="16860" spans="1:7" x14ac:dyDescent="0.25">
      <c r="A16860" t="s">
        <v>8</v>
      </c>
      <c r="B16860" s="1" t="str">
        <f>"000389107 - RICH FOODS-FOODBUY"</f>
        <v>000389107 - RICH FOODS-FOODBUY</v>
      </c>
      <c r="C16860" t="s">
        <v>237</v>
      </c>
      <c r="D16860" s="1" t="str">
        <f t="shared" si="456"/>
        <v>PRG-1044663</v>
      </c>
      <c r="E16860" t="s">
        <v>147</v>
      </c>
      <c r="F16860" t="s">
        <v>4</v>
      </c>
      <c r="G16860" t="str">
        <f>""</f>
        <v/>
      </c>
    </row>
    <row r="16861" spans="1:7" x14ac:dyDescent="0.25">
      <c r="A16861" t="s">
        <v>8</v>
      </c>
      <c r="B16861" s="1" t="str">
        <f>"000389458 - RICH FOODS-FOODBUY"</f>
        <v>000389458 - RICH FOODS-FOODBUY</v>
      </c>
      <c r="C16861" t="s">
        <v>237</v>
      </c>
      <c r="D16861" s="1" t="str">
        <f t="shared" si="456"/>
        <v>PRG-1044663</v>
      </c>
      <c r="E16861" t="s">
        <v>147</v>
      </c>
      <c r="F16861" t="s">
        <v>4</v>
      </c>
      <c r="G16861" t="str">
        <f>""</f>
        <v/>
      </c>
    </row>
    <row r="16862" spans="1:7" x14ac:dyDescent="0.25">
      <c r="A16862" t="s">
        <v>8</v>
      </c>
      <c r="B16862" s="1" t="str">
        <f>"000389482 - RICH FOODS-FOODBUY"</f>
        <v>000389482 - RICH FOODS-FOODBUY</v>
      </c>
      <c r="C16862" t="s">
        <v>237</v>
      </c>
      <c r="D16862" s="1" t="str">
        <f t="shared" si="456"/>
        <v>PRG-1044663</v>
      </c>
      <c r="E16862" t="s">
        <v>147</v>
      </c>
      <c r="F16862" t="s">
        <v>4</v>
      </c>
      <c r="G16862" t="str">
        <f>""</f>
        <v/>
      </c>
    </row>
    <row r="16863" spans="1:7" x14ac:dyDescent="0.25">
      <c r="A16863" t="s">
        <v>8</v>
      </c>
      <c r="B16863" s="1" t="str">
        <f>"000390009 - RICH FOODS-FOODBUY"</f>
        <v>000390009 - RICH FOODS-FOODBUY</v>
      </c>
      <c r="C16863" t="s">
        <v>237</v>
      </c>
      <c r="D16863" s="1" t="str">
        <f t="shared" si="456"/>
        <v>PRG-1044663</v>
      </c>
      <c r="E16863" t="s">
        <v>147</v>
      </c>
      <c r="F16863" t="s">
        <v>4</v>
      </c>
      <c r="G16863" t="str">
        <f>""</f>
        <v/>
      </c>
    </row>
    <row r="16864" spans="1:7" x14ac:dyDescent="0.25">
      <c r="A16864" t="s">
        <v>8</v>
      </c>
      <c r="B16864" s="1" t="str">
        <f>"000390268 - RICH FOODS-FOODBUY"</f>
        <v>000390268 - RICH FOODS-FOODBUY</v>
      </c>
      <c r="C16864" t="s">
        <v>237</v>
      </c>
      <c r="D16864" s="1" t="str">
        <f t="shared" si="456"/>
        <v>PRG-1044663</v>
      </c>
      <c r="E16864" t="s">
        <v>147</v>
      </c>
      <c r="F16864" t="s">
        <v>4</v>
      </c>
      <c r="G16864" t="str">
        <f>""</f>
        <v/>
      </c>
    </row>
    <row r="16865" spans="1:7" x14ac:dyDescent="0.25">
      <c r="A16865" t="s">
        <v>8</v>
      </c>
      <c r="B16865" s="1" t="str">
        <f>"000390410 - RICH FOODS-FOODBUY"</f>
        <v>000390410 - RICH FOODS-FOODBUY</v>
      </c>
      <c r="C16865" t="s">
        <v>237</v>
      </c>
      <c r="D16865" s="1" t="str">
        <f t="shared" si="456"/>
        <v>PRG-1044663</v>
      </c>
      <c r="E16865" t="s">
        <v>147</v>
      </c>
      <c r="F16865" t="s">
        <v>4</v>
      </c>
      <c r="G16865" t="str">
        <f>""</f>
        <v/>
      </c>
    </row>
    <row r="16866" spans="1:7" x14ac:dyDescent="0.25">
      <c r="A16866" t="s">
        <v>8</v>
      </c>
      <c r="B16866" s="1" t="str">
        <f>"000390663 - RICH FOODS-FOODBUY"</f>
        <v>000390663 - RICH FOODS-FOODBUY</v>
      </c>
      <c r="C16866" t="s">
        <v>237</v>
      </c>
      <c r="D16866" s="1" t="str">
        <f t="shared" si="456"/>
        <v>PRG-1044663</v>
      </c>
      <c r="E16866" t="s">
        <v>147</v>
      </c>
      <c r="F16866" t="s">
        <v>4</v>
      </c>
      <c r="G16866" t="str">
        <f>""</f>
        <v/>
      </c>
    </row>
    <row r="16867" spans="1:7" x14ac:dyDescent="0.25">
      <c r="A16867" t="s">
        <v>8</v>
      </c>
      <c r="B16867" s="1" t="str">
        <f>"000390771 - RICH FOODS-FOODBUY"</f>
        <v>000390771 - RICH FOODS-FOODBUY</v>
      </c>
      <c r="C16867" t="s">
        <v>237</v>
      </c>
      <c r="D16867" s="1" t="str">
        <f t="shared" si="456"/>
        <v>PRG-1044663</v>
      </c>
      <c r="E16867" t="s">
        <v>147</v>
      </c>
      <c r="F16867" t="s">
        <v>4</v>
      </c>
      <c r="G16867" t="str">
        <f>""</f>
        <v/>
      </c>
    </row>
    <row r="16868" spans="1:7" x14ac:dyDescent="0.25">
      <c r="A16868" t="s">
        <v>8</v>
      </c>
      <c r="B16868" s="1" t="str">
        <f>"000391884 - RICH FOODS-FOODBUY"</f>
        <v>000391884 - RICH FOODS-FOODBUY</v>
      </c>
      <c r="C16868" t="s">
        <v>237</v>
      </c>
      <c r="D16868" s="1" t="str">
        <f t="shared" si="456"/>
        <v>PRG-1044663</v>
      </c>
      <c r="E16868" t="s">
        <v>147</v>
      </c>
      <c r="F16868" t="s">
        <v>4</v>
      </c>
      <c r="G16868" t="str">
        <f>""</f>
        <v/>
      </c>
    </row>
    <row r="16869" spans="1:7" x14ac:dyDescent="0.25">
      <c r="A16869" t="s">
        <v>8</v>
      </c>
      <c r="B16869" s="1" t="str">
        <f>"000391954 - RICH FOODS-FOODBUY"</f>
        <v>000391954 - RICH FOODS-FOODBUY</v>
      </c>
      <c r="C16869" t="s">
        <v>237</v>
      </c>
      <c r="D16869" s="1" t="str">
        <f t="shared" si="456"/>
        <v>PRG-1044663</v>
      </c>
      <c r="E16869" t="s">
        <v>147</v>
      </c>
      <c r="F16869" t="s">
        <v>4</v>
      </c>
      <c r="G16869" t="str">
        <f>""</f>
        <v/>
      </c>
    </row>
    <row r="16870" spans="1:7" x14ac:dyDescent="0.25">
      <c r="A16870" t="s">
        <v>8</v>
      </c>
      <c r="B16870" s="1" t="str">
        <f>"000392003 - RICH FOODS-FOODBUY"</f>
        <v>000392003 - RICH FOODS-FOODBUY</v>
      </c>
      <c r="C16870" t="s">
        <v>237</v>
      </c>
      <c r="D16870" s="1" t="str">
        <f t="shared" si="456"/>
        <v>PRG-1044663</v>
      </c>
      <c r="E16870" t="s">
        <v>147</v>
      </c>
      <c r="F16870" t="s">
        <v>4</v>
      </c>
      <c r="G16870" t="str">
        <f>""</f>
        <v/>
      </c>
    </row>
    <row r="16871" spans="1:7" x14ac:dyDescent="0.25">
      <c r="A16871" t="s">
        <v>8</v>
      </c>
      <c r="B16871" s="1" t="str">
        <f>"000392493 - RICH FOODS-FOODBUY"</f>
        <v>000392493 - RICH FOODS-FOODBUY</v>
      </c>
      <c r="C16871" t="s">
        <v>237</v>
      </c>
      <c r="D16871" s="1" t="str">
        <f t="shared" si="456"/>
        <v>PRG-1044663</v>
      </c>
      <c r="E16871" t="s">
        <v>147</v>
      </c>
      <c r="F16871" t="s">
        <v>4</v>
      </c>
      <c r="G16871" t="str">
        <f>""</f>
        <v/>
      </c>
    </row>
    <row r="16872" spans="1:7" x14ac:dyDescent="0.25">
      <c r="A16872" t="s">
        <v>8</v>
      </c>
      <c r="B16872" s="1" t="str">
        <f>"000392748 - RICH FOODS-FOODBUY"</f>
        <v>000392748 - RICH FOODS-FOODBUY</v>
      </c>
      <c r="C16872" t="s">
        <v>237</v>
      </c>
      <c r="D16872" s="1" t="str">
        <f t="shared" si="456"/>
        <v>PRG-1044663</v>
      </c>
      <c r="E16872" t="s">
        <v>147</v>
      </c>
      <c r="F16872" t="s">
        <v>4</v>
      </c>
      <c r="G16872" t="str">
        <f>""</f>
        <v/>
      </c>
    </row>
    <row r="16873" spans="1:7" x14ac:dyDescent="0.25">
      <c r="A16873" t="s">
        <v>8</v>
      </c>
      <c r="B16873" s="1" t="str">
        <f>"000393715 - RICH FOODS-FOODBUY"</f>
        <v>000393715 - RICH FOODS-FOODBUY</v>
      </c>
      <c r="C16873" t="s">
        <v>237</v>
      </c>
      <c r="D16873" s="1" t="str">
        <f t="shared" si="456"/>
        <v>PRG-1044663</v>
      </c>
      <c r="E16873" t="s">
        <v>147</v>
      </c>
      <c r="F16873" t="s">
        <v>4</v>
      </c>
      <c r="G16873" t="str">
        <f>""</f>
        <v/>
      </c>
    </row>
    <row r="16874" spans="1:7" x14ac:dyDescent="0.25">
      <c r="A16874" t="s">
        <v>8</v>
      </c>
      <c r="B16874" s="1" t="str">
        <f>"000394069 - RICH FOODS-FOODBUY"</f>
        <v>000394069 - RICH FOODS-FOODBUY</v>
      </c>
      <c r="C16874" t="s">
        <v>237</v>
      </c>
      <c r="D16874" s="1" t="str">
        <f t="shared" si="456"/>
        <v>PRG-1044663</v>
      </c>
      <c r="E16874" t="s">
        <v>147</v>
      </c>
      <c r="F16874" t="s">
        <v>4</v>
      </c>
      <c r="G16874" t="str">
        <f>""</f>
        <v/>
      </c>
    </row>
    <row r="16875" spans="1:7" x14ac:dyDescent="0.25">
      <c r="A16875" t="s">
        <v>8</v>
      </c>
      <c r="B16875" s="1" t="str">
        <f>"000394305 - RICH FOODS-FOODBUY"</f>
        <v>000394305 - RICH FOODS-FOODBUY</v>
      </c>
      <c r="C16875" t="s">
        <v>237</v>
      </c>
      <c r="D16875" s="1" t="str">
        <f t="shared" si="456"/>
        <v>PRG-1044663</v>
      </c>
      <c r="E16875" t="s">
        <v>147</v>
      </c>
      <c r="F16875" t="s">
        <v>4</v>
      </c>
      <c r="G16875" t="str">
        <f>""</f>
        <v/>
      </c>
    </row>
    <row r="16876" spans="1:7" x14ac:dyDescent="0.25">
      <c r="A16876" t="s">
        <v>8</v>
      </c>
      <c r="B16876" s="1" t="str">
        <f>"000395013 - RICH FOODS-FOODBUY"</f>
        <v>000395013 - RICH FOODS-FOODBUY</v>
      </c>
      <c r="C16876" t="s">
        <v>237</v>
      </c>
      <c r="D16876" s="1" t="str">
        <f t="shared" si="456"/>
        <v>PRG-1044663</v>
      </c>
      <c r="E16876" t="s">
        <v>147</v>
      </c>
      <c r="F16876" t="s">
        <v>4</v>
      </c>
      <c r="G16876" t="str">
        <f>""</f>
        <v/>
      </c>
    </row>
    <row r="16877" spans="1:7" x14ac:dyDescent="0.25">
      <c r="A16877" t="s">
        <v>8</v>
      </c>
      <c r="B16877" s="1" t="str">
        <f>"000395410 - RICH FOODS-FOODBUY"</f>
        <v>000395410 - RICH FOODS-FOODBUY</v>
      </c>
      <c r="C16877" t="s">
        <v>237</v>
      </c>
      <c r="D16877" s="1" t="str">
        <f t="shared" si="456"/>
        <v>PRG-1044663</v>
      </c>
      <c r="E16877" t="s">
        <v>147</v>
      </c>
      <c r="F16877" t="s">
        <v>4</v>
      </c>
      <c r="G16877" t="str">
        <f>""</f>
        <v/>
      </c>
    </row>
    <row r="16878" spans="1:7" x14ac:dyDescent="0.25">
      <c r="A16878" t="s">
        <v>8</v>
      </c>
      <c r="B16878" s="1" t="str">
        <f>"000395878 - RICH FOODS-FOODBUY"</f>
        <v>000395878 - RICH FOODS-FOODBUY</v>
      </c>
      <c r="C16878" t="s">
        <v>237</v>
      </c>
      <c r="D16878" s="1" t="str">
        <f t="shared" si="456"/>
        <v>PRG-1044663</v>
      </c>
      <c r="E16878" t="s">
        <v>147</v>
      </c>
      <c r="F16878" t="s">
        <v>4</v>
      </c>
      <c r="G16878" t="str">
        <f>""</f>
        <v/>
      </c>
    </row>
    <row r="16879" spans="1:7" x14ac:dyDescent="0.25">
      <c r="A16879" t="s">
        <v>8</v>
      </c>
      <c r="B16879" s="1" t="str">
        <f>"000396361 - RICH FOODS-FOODBUY"</f>
        <v>000396361 - RICH FOODS-FOODBUY</v>
      </c>
      <c r="C16879" t="s">
        <v>237</v>
      </c>
      <c r="D16879" s="1" t="str">
        <f t="shared" si="456"/>
        <v>PRG-1044663</v>
      </c>
      <c r="E16879" t="s">
        <v>147</v>
      </c>
      <c r="F16879" t="s">
        <v>4</v>
      </c>
      <c r="G16879" t="str">
        <f>""</f>
        <v/>
      </c>
    </row>
    <row r="16880" spans="1:7" x14ac:dyDescent="0.25">
      <c r="A16880" t="s">
        <v>8</v>
      </c>
      <c r="B16880" s="1" t="str">
        <f>"000397056 - RICH FOODS-FOODBUY"</f>
        <v>000397056 - RICH FOODS-FOODBUY</v>
      </c>
      <c r="C16880" t="s">
        <v>237</v>
      </c>
      <c r="D16880" s="1" t="str">
        <f t="shared" si="456"/>
        <v>PRG-1044663</v>
      </c>
      <c r="E16880" t="s">
        <v>147</v>
      </c>
      <c r="F16880" t="s">
        <v>4</v>
      </c>
      <c r="G16880" t="str">
        <f>""</f>
        <v/>
      </c>
    </row>
    <row r="16881" spans="1:7" x14ac:dyDescent="0.25">
      <c r="A16881" t="s">
        <v>8</v>
      </c>
      <c r="B16881" s="1" t="str">
        <f>"000397489 - RICH FOODS-FOODBUY"</f>
        <v>000397489 - RICH FOODS-FOODBUY</v>
      </c>
      <c r="C16881" t="s">
        <v>237</v>
      </c>
      <c r="D16881" s="1" t="str">
        <f t="shared" si="456"/>
        <v>PRG-1044663</v>
      </c>
      <c r="E16881" t="s">
        <v>147</v>
      </c>
      <c r="F16881" t="s">
        <v>4</v>
      </c>
      <c r="G16881" t="str">
        <f>""</f>
        <v/>
      </c>
    </row>
    <row r="16882" spans="1:7" x14ac:dyDescent="0.25">
      <c r="A16882" t="s">
        <v>8</v>
      </c>
      <c r="B16882" s="1" t="str">
        <f>"000397557 - RICH FOODS-FOODBUY"</f>
        <v>000397557 - RICH FOODS-FOODBUY</v>
      </c>
      <c r="C16882" t="s">
        <v>237</v>
      </c>
      <c r="D16882" s="1" t="str">
        <f t="shared" si="456"/>
        <v>PRG-1044663</v>
      </c>
      <c r="E16882" t="s">
        <v>147</v>
      </c>
      <c r="F16882" t="s">
        <v>4</v>
      </c>
      <c r="G16882" t="str">
        <f>""</f>
        <v/>
      </c>
    </row>
    <row r="16883" spans="1:7" x14ac:dyDescent="0.25">
      <c r="A16883" t="s">
        <v>8</v>
      </c>
      <c r="B16883" s="1" t="str">
        <f>"000398121 - RICH FOODS-FOODBUY"</f>
        <v>000398121 - RICH FOODS-FOODBUY</v>
      </c>
      <c r="C16883" t="s">
        <v>237</v>
      </c>
      <c r="D16883" s="1" t="str">
        <f t="shared" si="456"/>
        <v>PRG-1044663</v>
      </c>
      <c r="E16883" t="s">
        <v>147</v>
      </c>
      <c r="F16883" t="s">
        <v>4</v>
      </c>
      <c r="G16883" t="str">
        <f>""</f>
        <v/>
      </c>
    </row>
    <row r="16884" spans="1:7" x14ac:dyDescent="0.25">
      <c r="A16884" t="s">
        <v>8</v>
      </c>
      <c r="B16884" s="1" t="str">
        <f>"000398242 - RICH FOODS-FOODBUY"</f>
        <v>000398242 - RICH FOODS-FOODBUY</v>
      </c>
      <c r="C16884" t="s">
        <v>237</v>
      </c>
      <c r="D16884" s="1" t="str">
        <f t="shared" si="456"/>
        <v>PRG-1044663</v>
      </c>
      <c r="E16884" t="s">
        <v>147</v>
      </c>
      <c r="F16884" t="s">
        <v>4</v>
      </c>
      <c r="G16884" t="str">
        <f>""</f>
        <v/>
      </c>
    </row>
    <row r="16885" spans="1:7" x14ac:dyDescent="0.25">
      <c r="A16885" t="s">
        <v>8</v>
      </c>
      <c r="B16885" s="1" t="str">
        <f>"000398308 - RICH FOODS-FOODBUY"</f>
        <v>000398308 - RICH FOODS-FOODBUY</v>
      </c>
      <c r="C16885" t="s">
        <v>237</v>
      </c>
      <c r="D16885" s="1" t="str">
        <f t="shared" si="456"/>
        <v>PRG-1044663</v>
      </c>
      <c r="E16885" t="s">
        <v>147</v>
      </c>
      <c r="F16885" t="s">
        <v>4</v>
      </c>
      <c r="G16885" t="str">
        <f>""</f>
        <v/>
      </c>
    </row>
    <row r="16886" spans="1:7" x14ac:dyDescent="0.25">
      <c r="A16886" t="s">
        <v>8</v>
      </c>
      <c r="B16886" s="1" t="str">
        <f>"000399543 - RICH FOODS-FOODBUY"</f>
        <v>000399543 - RICH FOODS-FOODBUY</v>
      </c>
      <c r="C16886" t="s">
        <v>237</v>
      </c>
      <c r="D16886" s="1" t="str">
        <f t="shared" si="456"/>
        <v>PRG-1044663</v>
      </c>
      <c r="E16886" t="s">
        <v>147</v>
      </c>
      <c r="F16886" t="s">
        <v>4</v>
      </c>
      <c r="G16886" t="str">
        <f>""</f>
        <v/>
      </c>
    </row>
    <row r="16887" spans="1:7" x14ac:dyDescent="0.25">
      <c r="A16887" t="s">
        <v>8</v>
      </c>
      <c r="B16887" s="1" t="str">
        <f>"000399549 - RICH FOODS-FOODBUY"</f>
        <v>000399549 - RICH FOODS-FOODBUY</v>
      </c>
      <c r="C16887" t="s">
        <v>237</v>
      </c>
      <c r="D16887" s="1" t="str">
        <f t="shared" si="456"/>
        <v>PRG-1044663</v>
      </c>
      <c r="E16887" t="s">
        <v>147</v>
      </c>
      <c r="F16887" t="s">
        <v>4</v>
      </c>
      <c r="G16887" t="str">
        <f>""</f>
        <v/>
      </c>
    </row>
    <row r="16888" spans="1:7" x14ac:dyDescent="0.25">
      <c r="A16888" t="s">
        <v>8</v>
      </c>
      <c r="B16888" s="1" t="str">
        <f>"000399644 - RICH FOODS-FOODBUY"</f>
        <v>000399644 - RICH FOODS-FOODBUY</v>
      </c>
      <c r="C16888" t="s">
        <v>237</v>
      </c>
      <c r="D16888" s="1" t="str">
        <f t="shared" si="456"/>
        <v>PRG-1044663</v>
      </c>
      <c r="E16888" t="s">
        <v>147</v>
      </c>
      <c r="F16888" t="s">
        <v>4</v>
      </c>
      <c r="G16888" t="str">
        <f>""</f>
        <v/>
      </c>
    </row>
    <row r="16889" spans="1:7" x14ac:dyDescent="0.25">
      <c r="A16889" t="s">
        <v>8</v>
      </c>
      <c r="B16889" s="1" t="str">
        <f>"000399728 - RICH FOODS-FOODBUY"</f>
        <v>000399728 - RICH FOODS-FOODBUY</v>
      </c>
      <c r="C16889" t="s">
        <v>237</v>
      </c>
      <c r="D16889" s="1" t="str">
        <f t="shared" si="456"/>
        <v>PRG-1044663</v>
      </c>
      <c r="E16889" t="s">
        <v>147</v>
      </c>
      <c r="F16889" t="s">
        <v>4</v>
      </c>
      <c r="G16889" t="str">
        <f>""</f>
        <v/>
      </c>
    </row>
    <row r="16890" spans="1:7" x14ac:dyDescent="0.25">
      <c r="A16890" t="s">
        <v>8</v>
      </c>
      <c r="B16890" s="1" t="str">
        <f>"000399889 - RICH FOODS-FOODBUY"</f>
        <v>000399889 - RICH FOODS-FOODBUY</v>
      </c>
      <c r="C16890" t="s">
        <v>237</v>
      </c>
      <c r="D16890" s="1" t="str">
        <f t="shared" si="456"/>
        <v>PRG-1044663</v>
      </c>
      <c r="E16890" t="s">
        <v>147</v>
      </c>
      <c r="F16890" t="s">
        <v>4</v>
      </c>
      <c r="G16890" t="str">
        <f>""</f>
        <v/>
      </c>
    </row>
    <row r="16891" spans="1:7" x14ac:dyDescent="0.25">
      <c r="A16891" t="s">
        <v>8</v>
      </c>
      <c r="B16891" s="1" t="str">
        <f>"000400066 - RICH FOODS-FOODBUY"</f>
        <v>000400066 - RICH FOODS-FOODBUY</v>
      </c>
      <c r="C16891" t="s">
        <v>237</v>
      </c>
      <c r="D16891" s="1" t="str">
        <f t="shared" si="456"/>
        <v>PRG-1044663</v>
      </c>
      <c r="E16891" t="s">
        <v>147</v>
      </c>
      <c r="F16891" t="s">
        <v>4</v>
      </c>
      <c r="G16891" t="str">
        <f>""</f>
        <v/>
      </c>
    </row>
    <row r="16892" spans="1:7" x14ac:dyDescent="0.25">
      <c r="A16892" t="s">
        <v>8</v>
      </c>
      <c r="B16892" s="1" t="str">
        <f>"000400228 - RICH FOODS-FOODBUY"</f>
        <v>000400228 - RICH FOODS-FOODBUY</v>
      </c>
      <c r="C16892" t="s">
        <v>237</v>
      </c>
      <c r="D16892" s="1" t="str">
        <f t="shared" si="456"/>
        <v>PRG-1044663</v>
      </c>
      <c r="E16892" t="s">
        <v>147</v>
      </c>
      <c r="F16892" t="s">
        <v>4</v>
      </c>
      <c r="G16892" t="str">
        <f>""</f>
        <v/>
      </c>
    </row>
    <row r="16893" spans="1:7" x14ac:dyDescent="0.25">
      <c r="A16893" t="s">
        <v>8</v>
      </c>
      <c r="B16893" s="1" t="str">
        <f>"000401228 - RICH FOODS-FOODBUY"</f>
        <v>000401228 - RICH FOODS-FOODBUY</v>
      </c>
      <c r="C16893" t="s">
        <v>237</v>
      </c>
      <c r="D16893" s="1" t="str">
        <f t="shared" ref="D16893:D16949" si="457">"PRG-1044663"</f>
        <v>PRG-1044663</v>
      </c>
      <c r="E16893" t="s">
        <v>147</v>
      </c>
      <c r="F16893" t="s">
        <v>4</v>
      </c>
      <c r="G16893" t="str">
        <f>""</f>
        <v/>
      </c>
    </row>
    <row r="16894" spans="1:7" x14ac:dyDescent="0.25">
      <c r="A16894" t="s">
        <v>8</v>
      </c>
      <c r="B16894" s="1" t="str">
        <f>"000401823 - RICH FOODS-FOODBUY"</f>
        <v>000401823 - RICH FOODS-FOODBUY</v>
      </c>
      <c r="C16894" t="s">
        <v>237</v>
      </c>
      <c r="D16894" s="1" t="str">
        <f t="shared" si="457"/>
        <v>PRG-1044663</v>
      </c>
      <c r="E16894" t="s">
        <v>147</v>
      </c>
      <c r="F16894" t="s">
        <v>4</v>
      </c>
      <c r="G16894" t="str">
        <f>""</f>
        <v/>
      </c>
    </row>
    <row r="16895" spans="1:7" x14ac:dyDescent="0.25">
      <c r="A16895" t="s">
        <v>8</v>
      </c>
      <c r="B16895" s="1" t="str">
        <f>"000402027 - RICH FOODS-FOODBUY"</f>
        <v>000402027 - RICH FOODS-FOODBUY</v>
      </c>
      <c r="C16895" t="s">
        <v>237</v>
      </c>
      <c r="D16895" s="1" t="str">
        <f t="shared" si="457"/>
        <v>PRG-1044663</v>
      </c>
      <c r="E16895" t="s">
        <v>147</v>
      </c>
      <c r="F16895" t="s">
        <v>4</v>
      </c>
      <c r="G16895" t="str">
        <f>""</f>
        <v/>
      </c>
    </row>
    <row r="16896" spans="1:7" x14ac:dyDescent="0.25">
      <c r="A16896" t="s">
        <v>8</v>
      </c>
      <c r="B16896" s="1" t="str">
        <f>"000402160 - RICH FOODS-FOODBUY"</f>
        <v>000402160 - RICH FOODS-FOODBUY</v>
      </c>
      <c r="C16896" t="s">
        <v>237</v>
      </c>
      <c r="D16896" s="1" t="str">
        <f t="shared" si="457"/>
        <v>PRG-1044663</v>
      </c>
      <c r="E16896" t="s">
        <v>147</v>
      </c>
      <c r="F16896" t="s">
        <v>4</v>
      </c>
      <c r="G16896" t="str">
        <f>""</f>
        <v/>
      </c>
    </row>
    <row r="16897" spans="1:7" x14ac:dyDescent="0.25">
      <c r="A16897" t="s">
        <v>8</v>
      </c>
      <c r="B16897" s="1" t="str">
        <f>"000402873 - RICH FOODS-FOODBUY"</f>
        <v>000402873 - RICH FOODS-FOODBUY</v>
      </c>
      <c r="C16897" t="s">
        <v>237</v>
      </c>
      <c r="D16897" s="1" t="str">
        <f t="shared" si="457"/>
        <v>PRG-1044663</v>
      </c>
      <c r="E16897" t="s">
        <v>147</v>
      </c>
      <c r="F16897" t="s">
        <v>4</v>
      </c>
      <c r="G16897" t="str">
        <f>""</f>
        <v/>
      </c>
    </row>
    <row r="16898" spans="1:7" x14ac:dyDescent="0.25">
      <c r="A16898" t="s">
        <v>8</v>
      </c>
      <c r="B16898" s="1" t="str">
        <f>"000403106 - RICH FOODS-FOODBUY"</f>
        <v>000403106 - RICH FOODS-FOODBUY</v>
      </c>
      <c r="C16898" t="s">
        <v>237</v>
      </c>
      <c r="D16898" s="1" t="str">
        <f t="shared" si="457"/>
        <v>PRG-1044663</v>
      </c>
      <c r="E16898" t="s">
        <v>147</v>
      </c>
      <c r="F16898" t="s">
        <v>4</v>
      </c>
      <c r="G16898" t="str">
        <f>""</f>
        <v/>
      </c>
    </row>
    <row r="16899" spans="1:7" x14ac:dyDescent="0.25">
      <c r="A16899" t="s">
        <v>8</v>
      </c>
      <c r="B16899" s="1" t="str">
        <f>"000403285 - RICH FOODS-FOODBUY"</f>
        <v>000403285 - RICH FOODS-FOODBUY</v>
      </c>
      <c r="C16899" t="s">
        <v>237</v>
      </c>
      <c r="D16899" s="1" t="str">
        <f t="shared" si="457"/>
        <v>PRG-1044663</v>
      </c>
      <c r="E16899" t="s">
        <v>147</v>
      </c>
      <c r="F16899" t="s">
        <v>4</v>
      </c>
      <c r="G16899" t="str">
        <f>""</f>
        <v/>
      </c>
    </row>
    <row r="16900" spans="1:7" x14ac:dyDescent="0.25">
      <c r="A16900" t="s">
        <v>8</v>
      </c>
      <c r="B16900" s="1" t="str">
        <f>"000403414 - RICH FOODS-FOODBUY"</f>
        <v>000403414 - RICH FOODS-FOODBUY</v>
      </c>
      <c r="C16900" t="s">
        <v>237</v>
      </c>
      <c r="D16900" s="1" t="str">
        <f t="shared" si="457"/>
        <v>PRG-1044663</v>
      </c>
      <c r="E16900" t="s">
        <v>147</v>
      </c>
      <c r="F16900" t="s">
        <v>4</v>
      </c>
      <c r="G16900" t="str">
        <f>""</f>
        <v/>
      </c>
    </row>
    <row r="16901" spans="1:7" x14ac:dyDescent="0.25">
      <c r="A16901" t="s">
        <v>8</v>
      </c>
      <c r="B16901" s="1" t="str">
        <f>"000403678 - RICH FOODS-FOODBUY"</f>
        <v>000403678 - RICH FOODS-FOODBUY</v>
      </c>
      <c r="C16901" t="s">
        <v>237</v>
      </c>
      <c r="D16901" s="1" t="str">
        <f t="shared" si="457"/>
        <v>PRG-1044663</v>
      </c>
      <c r="E16901" t="s">
        <v>147</v>
      </c>
      <c r="F16901" t="s">
        <v>4</v>
      </c>
      <c r="G16901" t="str">
        <f>""</f>
        <v/>
      </c>
    </row>
    <row r="16902" spans="1:7" x14ac:dyDescent="0.25">
      <c r="A16902" t="s">
        <v>8</v>
      </c>
      <c r="B16902" s="1" t="str">
        <f>"000404130 - RICH FOODS-FOODBUY"</f>
        <v>000404130 - RICH FOODS-FOODBUY</v>
      </c>
      <c r="C16902" t="s">
        <v>237</v>
      </c>
      <c r="D16902" s="1" t="str">
        <f t="shared" si="457"/>
        <v>PRG-1044663</v>
      </c>
      <c r="E16902" t="s">
        <v>147</v>
      </c>
      <c r="F16902" t="s">
        <v>4</v>
      </c>
      <c r="G16902" t="str">
        <f>""</f>
        <v/>
      </c>
    </row>
    <row r="16903" spans="1:7" x14ac:dyDescent="0.25">
      <c r="A16903" t="s">
        <v>8</v>
      </c>
      <c r="B16903" s="1" t="str">
        <f>"000404251 - RICH FOODS-FOODBUY"</f>
        <v>000404251 - RICH FOODS-FOODBUY</v>
      </c>
      <c r="C16903" t="s">
        <v>237</v>
      </c>
      <c r="D16903" s="1" t="str">
        <f t="shared" si="457"/>
        <v>PRG-1044663</v>
      </c>
      <c r="E16903" t="s">
        <v>147</v>
      </c>
      <c r="F16903" t="s">
        <v>4</v>
      </c>
      <c r="G16903" t="str">
        <f>""</f>
        <v/>
      </c>
    </row>
    <row r="16904" spans="1:7" x14ac:dyDescent="0.25">
      <c r="A16904" t="s">
        <v>8</v>
      </c>
      <c r="B16904" s="1" t="str">
        <f>"000404660 - RICH FOODS-FOODBUY"</f>
        <v>000404660 - RICH FOODS-FOODBUY</v>
      </c>
      <c r="C16904" t="s">
        <v>237</v>
      </c>
      <c r="D16904" s="1" t="str">
        <f t="shared" si="457"/>
        <v>PRG-1044663</v>
      </c>
      <c r="E16904" t="s">
        <v>147</v>
      </c>
      <c r="F16904" t="s">
        <v>4</v>
      </c>
      <c r="G16904" t="str">
        <f>""</f>
        <v/>
      </c>
    </row>
    <row r="16905" spans="1:7" x14ac:dyDescent="0.25">
      <c r="A16905" t="s">
        <v>8</v>
      </c>
      <c r="B16905" s="1" t="str">
        <f>"000404681 - RICH FOODS-FOODBUY"</f>
        <v>000404681 - RICH FOODS-FOODBUY</v>
      </c>
      <c r="C16905" t="s">
        <v>237</v>
      </c>
      <c r="D16905" s="1" t="str">
        <f t="shared" si="457"/>
        <v>PRG-1044663</v>
      </c>
      <c r="E16905" t="s">
        <v>147</v>
      </c>
      <c r="F16905" t="s">
        <v>4</v>
      </c>
      <c r="G16905" t="str">
        <f>""</f>
        <v/>
      </c>
    </row>
    <row r="16906" spans="1:7" x14ac:dyDescent="0.25">
      <c r="A16906" t="s">
        <v>8</v>
      </c>
      <c r="B16906" s="1" t="str">
        <f>"000406311 - RICH FOODS-FOODBUY"</f>
        <v>000406311 - RICH FOODS-FOODBUY</v>
      </c>
      <c r="C16906" t="s">
        <v>237</v>
      </c>
      <c r="D16906" s="1" t="str">
        <f t="shared" si="457"/>
        <v>PRG-1044663</v>
      </c>
      <c r="E16906" t="s">
        <v>147</v>
      </c>
      <c r="F16906" t="s">
        <v>4</v>
      </c>
      <c r="G16906" t="str">
        <f>""</f>
        <v/>
      </c>
    </row>
    <row r="16907" spans="1:7" x14ac:dyDescent="0.25">
      <c r="A16907" t="s">
        <v>8</v>
      </c>
      <c r="B16907" s="1" t="str">
        <f>"000406828 - RICH FOODS-FOODBUY"</f>
        <v>000406828 - RICH FOODS-FOODBUY</v>
      </c>
      <c r="C16907" t="s">
        <v>237</v>
      </c>
      <c r="D16907" s="1" t="str">
        <f t="shared" si="457"/>
        <v>PRG-1044663</v>
      </c>
      <c r="E16907" t="s">
        <v>147</v>
      </c>
      <c r="F16907" t="s">
        <v>4</v>
      </c>
      <c r="G16907" t="str">
        <f>""</f>
        <v/>
      </c>
    </row>
    <row r="16908" spans="1:7" x14ac:dyDescent="0.25">
      <c r="A16908" t="s">
        <v>8</v>
      </c>
      <c r="B16908" s="1" t="str">
        <f>"000407373 - RICH FOODS-FOODBUY"</f>
        <v>000407373 - RICH FOODS-FOODBUY</v>
      </c>
      <c r="C16908" t="s">
        <v>237</v>
      </c>
      <c r="D16908" s="1" t="str">
        <f t="shared" si="457"/>
        <v>PRG-1044663</v>
      </c>
      <c r="E16908" t="s">
        <v>147</v>
      </c>
      <c r="F16908" t="s">
        <v>4</v>
      </c>
      <c r="G16908" t="str">
        <f>""</f>
        <v/>
      </c>
    </row>
    <row r="16909" spans="1:7" x14ac:dyDescent="0.25">
      <c r="A16909" t="s">
        <v>8</v>
      </c>
      <c r="B16909" s="1" t="str">
        <f>"000408580 - RICH FOODS-FOODBUY"</f>
        <v>000408580 - RICH FOODS-FOODBUY</v>
      </c>
      <c r="C16909" t="s">
        <v>237</v>
      </c>
      <c r="D16909" s="1" t="str">
        <f t="shared" si="457"/>
        <v>PRG-1044663</v>
      </c>
      <c r="E16909" t="s">
        <v>147</v>
      </c>
      <c r="F16909" t="s">
        <v>4</v>
      </c>
      <c r="G16909" t="str">
        <f>""</f>
        <v/>
      </c>
    </row>
    <row r="16910" spans="1:7" x14ac:dyDescent="0.25">
      <c r="A16910" t="s">
        <v>8</v>
      </c>
      <c r="B16910" s="1" t="str">
        <f>"000409478 - RICH FOODS-FOODBUY"</f>
        <v>000409478 - RICH FOODS-FOODBUY</v>
      </c>
      <c r="C16910" t="s">
        <v>237</v>
      </c>
      <c r="D16910" s="1" t="str">
        <f t="shared" si="457"/>
        <v>PRG-1044663</v>
      </c>
      <c r="E16910" t="s">
        <v>147</v>
      </c>
      <c r="F16910" t="s">
        <v>4</v>
      </c>
      <c r="G16910" t="str">
        <f>""</f>
        <v/>
      </c>
    </row>
    <row r="16911" spans="1:7" x14ac:dyDescent="0.25">
      <c r="A16911" t="s">
        <v>8</v>
      </c>
      <c r="B16911" s="1" t="str">
        <f>"000409818 - RICH FOODS-FOODBUY"</f>
        <v>000409818 - RICH FOODS-FOODBUY</v>
      </c>
      <c r="C16911" t="s">
        <v>237</v>
      </c>
      <c r="D16911" s="1" t="str">
        <f t="shared" si="457"/>
        <v>PRG-1044663</v>
      </c>
      <c r="E16911" t="s">
        <v>147</v>
      </c>
      <c r="F16911" t="s">
        <v>4</v>
      </c>
      <c r="G16911" t="str">
        <f>""</f>
        <v/>
      </c>
    </row>
    <row r="16912" spans="1:7" x14ac:dyDescent="0.25">
      <c r="A16912" t="s">
        <v>8</v>
      </c>
      <c r="B16912" s="1" t="str">
        <f>"000410127 - RICH FOODS-FOODBUY"</f>
        <v>000410127 - RICH FOODS-FOODBUY</v>
      </c>
      <c r="C16912" t="s">
        <v>237</v>
      </c>
      <c r="D16912" s="1" t="str">
        <f t="shared" si="457"/>
        <v>PRG-1044663</v>
      </c>
      <c r="E16912" t="s">
        <v>147</v>
      </c>
      <c r="F16912" t="s">
        <v>4</v>
      </c>
      <c r="G16912" t="str">
        <f>""</f>
        <v/>
      </c>
    </row>
    <row r="16913" spans="1:7" x14ac:dyDescent="0.25">
      <c r="A16913" t="s">
        <v>8</v>
      </c>
      <c r="B16913" s="1" t="str">
        <f>"000410832 - RICH FOODS-FOODBUY"</f>
        <v>000410832 - RICH FOODS-FOODBUY</v>
      </c>
      <c r="C16913" t="s">
        <v>237</v>
      </c>
      <c r="D16913" s="1" t="str">
        <f t="shared" si="457"/>
        <v>PRG-1044663</v>
      </c>
      <c r="E16913" t="s">
        <v>147</v>
      </c>
      <c r="F16913" t="s">
        <v>4</v>
      </c>
      <c r="G16913" t="str">
        <f>""</f>
        <v/>
      </c>
    </row>
    <row r="16914" spans="1:7" x14ac:dyDescent="0.25">
      <c r="A16914" t="s">
        <v>8</v>
      </c>
      <c r="B16914" s="1" t="str">
        <f>"000411386 - RICH FOODS-FOODBUY"</f>
        <v>000411386 - RICH FOODS-FOODBUY</v>
      </c>
      <c r="C16914" t="s">
        <v>237</v>
      </c>
      <c r="D16914" s="1" t="str">
        <f t="shared" si="457"/>
        <v>PRG-1044663</v>
      </c>
      <c r="E16914" t="s">
        <v>147</v>
      </c>
      <c r="F16914" t="s">
        <v>4</v>
      </c>
      <c r="G16914" t="str">
        <f>""</f>
        <v/>
      </c>
    </row>
    <row r="16915" spans="1:7" x14ac:dyDescent="0.25">
      <c r="A16915" t="s">
        <v>8</v>
      </c>
      <c r="B16915" s="1" t="str">
        <f>"000411877 - RICH FOODS-FOODBUY"</f>
        <v>000411877 - RICH FOODS-FOODBUY</v>
      </c>
      <c r="C16915" t="s">
        <v>237</v>
      </c>
      <c r="D16915" s="1" t="str">
        <f t="shared" si="457"/>
        <v>PRG-1044663</v>
      </c>
      <c r="E16915" t="s">
        <v>147</v>
      </c>
      <c r="F16915" t="s">
        <v>4</v>
      </c>
      <c r="G16915" t="str">
        <f>""</f>
        <v/>
      </c>
    </row>
    <row r="16916" spans="1:7" x14ac:dyDescent="0.25">
      <c r="A16916" t="s">
        <v>8</v>
      </c>
      <c r="B16916" s="1" t="str">
        <f>"000411915 - RICH FOODS-FOODBUY"</f>
        <v>000411915 - RICH FOODS-FOODBUY</v>
      </c>
      <c r="C16916" t="s">
        <v>237</v>
      </c>
      <c r="D16916" s="1" t="str">
        <f t="shared" si="457"/>
        <v>PRG-1044663</v>
      </c>
      <c r="E16916" t="s">
        <v>147</v>
      </c>
      <c r="F16916" t="s">
        <v>4</v>
      </c>
      <c r="G16916" t="str">
        <f>""</f>
        <v/>
      </c>
    </row>
    <row r="16917" spans="1:7" x14ac:dyDescent="0.25">
      <c r="A16917" t="s">
        <v>8</v>
      </c>
      <c r="B16917" s="1" t="str">
        <f>"000412470 - RICH FOODS-FOODBUY"</f>
        <v>000412470 - RICH FOODS-FOODBUY</v>
      </c>
      <c r="C16917" t="s">
        <v>237</v>
      </c>
      <c r="D16917" s="1" t="str">
        <f t="shared" si="457"/>
        <v>PRG-1044663</v>
      </c>
      <c r="E16917" t="s">
        <v>147</v>
      </c>
      <c r="F16917" t="s">
        <v>4</v>
      </c>
      <c r="G16917" t="str">
        <f>""</f>
        <v/>
      </c>
    </row>
    <row r="16918" spans="1:7" x14ac:dyDescent="0.25">
      <c r="A16918" t="s">
        <v>8</v>
      </c>
      <c r="B16918" s="1" t="str">
        <f>"000412622 - RICH FOODS-FOODBUY"</f>
        <v>000412622 - RICH FOODS-FOODBUY</v>
      </c>
      <c r="C16918" t="s">
        <v>237</v>
      </c>
      <c r="D16918" s="1" t="str">
        <f t="shared" si="457"/>
        <v>PRG-1044663</v>
      </c>
      <c r="E16918" t="s">
        <v>147</v>
      </c>
      <c r="F16918" t="s">
        <v>4</v>
      </c>
      <c r="G16918" t="str">
        <f>""</f>
        <v/>
      </c>
    </row>
    <row r="16919" spans="1:7" x14ac:dyDescent="0.25">
      <c r="A16919" t="s">
        <v>8</v>
      </c>
      <c r="B16919" s="1" t="str">
        <f>"000412958 - RICH FOODS-FOODBUY"</f>
        <v>000412958 - RICH FOODS-FOODBUY</v>
      </c>
      <c r="C16919" t="s">
        <v>237</v>
      </c>
      <c r="D16919" s="1" t="str">
        <f t="shared" si="457"/>
        <v>PRG-1044663</v>
      </c>
      <c r="E16919" t="s">
        <v>147</v>
      </c>
      <c r="F16919" t="s">
        <v>4</v>
      </c>
      <c r="G16919" t="str">
        <f>""</f>
        <v/>
      </c>
    </row>
    <row r="16920" spans="1:7" x14ac:dyDescent="0.25">
      <c r="A16920" t="s">
        <v>8</v>
      </c>
      <c r="B16920" s="1" t="str">
        <f>"000413699 - RICH FOODS-FOODBUY"</f>
        <v>000413699 - RICH FOODS-FOODBUY</v>
      </c>
      <c r="C16920" t="s">
        <v>237</v>
      </c>
      <c r="D16920" s="1" t="str">
        <f t="shared" si="457"/>
        <v>PRG-1044663</v>
      </c>
      <c r="E16920" t="s">
        <v>147</v>
      </c>
      <c r="F16920" t="s">
        <v>4</v>
      </c>
      <c r="G16920" t="str">
        <f>""</f>
        <v/>
      </c>
    </row>
    <row r="16921" spans="1:7" x14ac:dyDescent="0.25">
      <c r="A16921" t="s">
        <v>8</v>
      </c>
      <c r="B16921" s="1" t="str">
        <f>"000414114 - RICH FOODS-FOODBUY"</f>
        <v>000414114 - RICH FOODS-FOODBUY</v>
      </c>
      <c r="C16921" t="s">
        <v>237</v>
      </c>
      <c r="D16921" s="1" t="str">
        <f t="shared" si="457"/>
        <v>PRG-1044663</v>
      </c>
      <c r="E16921" t="s">
        <v>147</v>
      </c>
      <c r="F16921" t="s">
        <v>4</v>
      </c>
      <c r="G16921" t="str">
        <f>""</f>
        <v/>
      </c>
    </row>
    <row r="16922" spans="1:7" x14ac:dyDescent="0.25">
      <c r="A16922" t="s">
        <v>8</v>
      </c>
      <c r="B16922" s="1" t="str">
        <f>"000415063 - RICH FOODS-FOODBUY"</f>
        <v>000415063 - RICH FOODS-FOODBUY</v>
      </c>
      <c r="C16922" t="s">
        <v>237</v>
      </c>
      <c r="D16922" s="1" t="str">
        <f t="shared" si="457"/>
        <v>PRG-1044663</v>
      </c>
      <c r="E16922" t="s">
        <v>147</v>
      </c>
      <c r="F16922" t="s">
        <v>4</v>
      </c>
      <c r="G16922" t="str">
        <f>""</f>
        <v/>
      </c>
    </row>
    <row r="16923" spans="1:7" x14ac:dyDescent="0.25">
      <c r="A16923" t="s">
        <v>8</v>
      </c>
      <c r="B16923" s="1" t="str">
        <f>"000415845 - RICH FOODS-FOODBUY"</f>
        <v>000415845 - RICH FOODS-FOODBUY</v>
      </c>
      <c r="C16923" t="s">
        <v>237</v>
      </c>
      <c r="D16923" s="1" t="str">
        <f t="shared" si="457"/>
        <v>PRG-1044663</v>
      </c>
      <c r="E16923" t="s">
        <v>147</v>
      </c>
      <c r="F16923" t="s">
        <v>4</v>
      </c>
      <c r="G16923" t="str">
        <f>""</f>
        <v/>
      </c>
    </row>
    <row r="16924" spans="1:7" x14ac:dyDescent="0.25">
      <c r="A16924" t="s">
        <v>8</v>
      </c>
      <c r="B16924" s="1" t="str">
        <f>"000417403 - RICH FOODS-FOODBUY"</f>
        <v>000417403 - RICH FOODS-FOODBUY</v>
      </c>
      <c r="C16924" t="s">
        <v>237</v>
      </c>
      <c r="D16924" s="1" t="str">
        <f t="shared" si="457"/>
        <v>PRG-1044663</v>
      </c>
      <c r="E16924" t="s">
        <v>147</v>
      </c>
      <c r="F16924" t="s">
        <v>4</v>
      </c>
      <c r="G16924" t="str">
        <f>""</f>
        <v/>
      </c>
    </row>
    <row r="16925" spans="1:7" x14ac:dyDescent="0.25">
      <c r="A16925" t="s">
        <v>8</v>
      </c>
      <c r="B16925" s="1" t="str">
        <f>"000417926 - RICH FOODS-FOODBUY"</f>
        <v>000417926 - RICH FOODS-FOODBUY</v>
      </c>
      <c r="C16925" t="s">
        <v>237</v>
      </c>
      <c r="D16925" s="1" t="str">
        <f t="shared" si="457"/>
        <v>PRG-1044663</v>
      </c>
      <c r="E16925" t="s">
        <v>147</v>
      </c>
      <c r="F16925" t="s">
        <v>4</v>
      </c>
      <c r="G16925" t="str">
        <f>""</f>
        <v/>
      </c>
    </row>
    <row r="16926" spans="1:7" x14ac:dyDescent="0.25">
      <c r="A16926" t="s">
        <v>8</v>
      </c>
      <c r="B16926" s="1" t="str">
        <f>"000418029 - RICH FOODS-FOODBUY"</f>
        <v>000418029 - RICH FOODS-FOODBUY</v>
      </c>
      <c r="C16926" t="s">
        <v>237</v>
      </c>
      <c r="D16926" s="1" t="str">
        <f t="shared" si="457"/>
        <v>PRG-1044663</v>
      </c>
      <c r="E16926" t="s">
        <v>147</v>
      </c>
      <c r="F16926" t="s">
        <v>4</v>
      </c>
      <c r="G16926" t="str">
        <f>""</f>
        <v/>
      </c>
    </row>
    <row r="16927" spans="1:7" x14ac:dyDescent="0.25">
      <c r="A16927" t="s">
        <v>8</v>
      </c>
      <c r="B16927" s="1" t="str">
        <f>"000419858 - RICH FOODS-FOODBUY"</f>
        <v>000419858 - RICH FOODS-FOODBUY</v>
      </c>
      <c r="C16927" t="s">
        <v>237</v>
      </c>
      <c r="D16927" s="1" t="str">
        <f t="shared" si="457"/>
        <v>PRG-1044663</v>
      </c>
      <c r="E16927" t="s">
        <v>147</v>
      </c>
      <c r="F16927" t="s">
        <v>4</v>
      </c>
      <c r="G16927" t="str">
        <f>""</f>
        <v/>
      </c>
    </row>
    <row r="16928" spans="1:7" x14ac:dyDescent="0.25">
      <c r="A16928" t="s">
        <v>8</v>
      </c>
      <c r="B16928" s="1" t="str">
        <f>"000420373 - RICH FOODS-FOODBUY"</f>
        <v>000420373 - RICH FOODS-FOODBUY</v>
      </c>
      <c r="C16928" t="s">
        <v>237</v>
      </c>
      <c r="D16928" s="1" t="str">
        <f t="shared" si="457"/>
        <v>PRG-1044663</v>
      </c>
      <c r="E16928" t="s">
        <v>147</v>
      </c>
      <c r="F16928" t="s">
        <v>4</v>
      </c>
      <c r="G16928" t="str">
        <f>""</f>
        <v/>
      </c>
    </row>
    <row r="16929" spans="1:7" x14ac:dyDescent="0.25">
      <c r="A16929" t="s">
        <v>8</v>
      </c>
      <c r="B16929" s="1" t="str">
        <f>"000420724 - RICH FOODS-FOODBUY"</f>
        <v>000420724 - RICH FOODS-FOODBUY</v>
      </c>
      <c r="C16929" t="s">
        <v>237</v>
      </c>
      <c r="D16929" s="1" t="str">
        <f t="shared" si="457"/>
        <v>PRG-1044663</v>
      </c>
      <c r="E16929" t="s">
        <v>147</v>
      </c>
      <c r="F16929" t="s">
        <v>4</v>
      </c>
      <c r="G16929" t="str">
        <f>""</f>
        <v/>
      </c>
    </row>
    <row r="16930" spans="1:7" x14ac:dyDescent="0.25">
      <c r="A16930" t="s">
        <v>8</v>
      </c>
      <c r="B16930" s="1" t="str">
        <f>"000421698 - RICH FOODS-FOODBUY"</f>
        <v>000421698 - RICH FOODS-FOODBUY</v>
      </c>
      <c r="C16930" t="s">
        <v>237</v>
      </c>
      <c r="D16930" s="1" t="str">
        <f t="shared" si="457"/>
        <v>PRG-1044663</v>
      </c>
      <c r="E16930" t="s">
        <v>147</v>
      </c>
      <c r="F16930" t="s">
        <v>4</v>
      </c>
      <c r="G16930" t="str">
        <f>""</f>
        <v/>
      </c>
    </row>
    <row r="16931" spans="1:7" x14ac:dyDescent="0.25">
      <c r="A16931" t="s">
        <v>8</v>
      </c>
      <c r="B16931" s="1" t="str">
        <f>"000421841 - RICH FOODS-FOODBUY"</f>
        <v>000421841 - RICH FOODS-FOODBUY</v>
      </c>
      <c r="C16931" t="s">
        <v>237</v>
      </c>
      <c r="D16931" s="1" t="str">
        <f t="shared" si="457"/>
        <v>PRG-1044663</v>
      </c>
      <c r="E16931" t="s">
        <v>147</v>
      </c>
      <c r="F16931" t="s">
        <v>4</v>
      </c>
      <c r="G16931" t="str">
        <f>""</f>
        <v/>
      </c>
    </row>
    <row r="16932" spans="1:7" x14ac:dyDescent="0.25">
      <c r="A16932" t="s">
        <v>8</v>
      </c>
      <c r="B16932" s="1" t="str">
        <f>"000422469 - RICH FOODS-FOODBUY"</f>
        <v>000422469 - RICH FOODS-FOODBUY</v>
      </c>
      <c r="C16932" t="s">
        <v>237</v>
      </c>
      <c r="D16932" s="1" t="str">
        <f t="shared" si="457"/>
        <v>PRG-1044663</v>
      </c>
      <c r="E16932" t="s">
        <v>147</v>
      </c>
      <c r="F16932" t="s">
        <v>4</v>
      </c>
      <c r="G16932" t="str">
        <f>""</f>
        <v/>
      </c>
    </row>
    <row r="16933" spans="1:7" x14ac:dyDescent="0.25">
      <c r="A16933" t="s">
        <v>8</v>
      </c>
      <c r="B16933" s="1" t="str">
        <f>"000423281 - RICH FOODS-FOODBUY"</f>
        <v>000423281 - RICH FOODS-FOODBUY</v>
      </c>
      <c r="C16933" t="s">
        <v>237</v>
      </c>
      <c r="D16933" s="1" t="str">
        <f t="shared" si="457"/>
        <v>PRG-1044663</v>
      </c>
      <c r="E16933" t="s">
        <v>147</v>
      </c>
      <c r="F16933" t="s">
        <v>4</v>
      </c>
      <c r="G16933" t="str">
        <f>""</f>
        <v/>
      </c>
    </row>
    <row r="16934" spans="1:7" x14ac:dyDescent="0.25">
      <c r="A16934" t="s">
        <v>8</v>
      </c>
      <c r="B16934" s="1" t="str">
        <f>"000423896 - RICH FOODS-FOODBUY"</f>
        <v>000423896 - RICH FOODS-FOODBUY</v>
      </c>
      <c r="C16934" t="s">
        <v>237</v>
      </c>
      <c r="D16934" s="1" t="str">
        <f t="shared" si="457"/>
        <v>PRG-1044663</v>
      </c>
      <c r="E16934" t="s">
        <v>147</v>
      </c>
      <c r="F16934" t="s">
        <v>4</v>
      </c>
      <c r="G16934" t="str">
        <f>""</f>
        <v/>
      </c>
    </row>
    <row r="16935" spans="1:7" x14ac:dyDescent="0.25">
      <c r="A16935" t="s">
        <v>8</v>
      </c>
      <c r="B16935" s="1" t="str">
        <f>"000424415 - RICH FOODS-FOODBUY"</f>
        <v>000424415 - RICH FOODS-FOODBUY</v>
      </c>
      <c r="C16935" t="s">
        <v>237</v>
      </c>
      <c r="D16935" s="1" t="str">
        <f t="shared" si="457"/>
        <v>PRG-1044663</v>
      </c>
      <c r="E16935" t="s">
        <v>147</v>
      </c>
      <c r="F16935" t="s">
        <v>4</v>
      </c>
      <c r="G16935" t="str">
        <f>""</f>
        <v/>
      </c>
    </row>
    <row r="16936" spans="1:7" x14ac:dyDescent="0.25">
      <c r="A16936" t="s">
        <v>8</v>
      </c>
      <c r="B16936" s="1" t="str">
        <f>"000425550 - RICH FOODS-FOODBUY"</f>
        <v>000425550 - RICH FOODS-FOODBUY</v>
      </c>
      <c r="C16936" t="s">
        <v>237</v>
      </c>
      <c r="D16936" s="1" t="str">
        <f t="shared" si="457"/>
        <v>PRG-1044663</v>
      </c>
      <c r="E16936" t="s">
        <v>147</v>
      </c>
      <c r="F16936" t="s">
        <v>4</v>
      </c>
      <c r="G16936" t="str">
        <f>""</f>
        <v/>
      </c>
    </row>
    <row r="16937" spans="1:7" x14ac:dyDescent="0.25">
      <c r="A16937" t="s">
        <v>8</v>
      </c>
      <c r="B16937" s="1" t="str">
        <f>"000426346 - RICH FOODS-FOODBUY"</f>
        <v>000426346 - RICH FOODS-FOODBUY</v>
      </c>
      <c r="C16937" t="s">
        <v>237</v>
      </c>
      <c r="D16937" s="1" t="str">
        <f t="shared" si="457"/>
        <v>PRG-1044663</v>
      </c>
      <c r="E16937" t="s">
        <v>147</v>
      </c>
      <c r="F16937" t="s">
        <v>4</v>
      </c>
      <c r="G16937" t="str">
        <f>""</f>
        <v/>
      </c>
    </row>
    <row r="16938" spans="1:7" x14ac:dyDescent="0.25">
      <c r="A16938" t="s">
        <v>8</v>
      </c>
      <c r="B16938" s="1" t="str">
        <f>"000432131 - RICH FOODS-FOODBUY"</f>
        <v>000432131 - RICH FOODS-FOODBUY</v>
      </c>
      <c r="C16938" t="s">
        <v>237</v>
      </c>
      <c r="D16938" s="1" t="str">
        <f t="shared" si="457"/>
        <v>PRG-1044663</v>
      </c>
      <c r="E16938" t="s">
        <v>147</v>
      </c>
      <c r="F16938" t="s">
        <v>4</v>
      </c>
      <c r="G16938" t="str">
        <f>""</f>
        <v/>
      </c>
    </row>
    <row r="16939" spans="1:7" x14ac:dyDescent="0.25">
      <c r="A16939" t="s">
        <v>8</v>
      </c>
      <c r="B16939" s="1" t="str">
        <f>"000433897 - RICH FOODS-FOODBUY"</f>
        <v>000433897 - RICH FOODS-FOODBUY</v>
      </c>
      <c r="C16939" t="s">
        <v>237</v>
      </c>
      <c r="D16939" s="1" t="str">
        <f t="shared" si="457"/>
        <v>PRG-1044663</v>
      </c>
      <c r="E16939" t="s">
        <v>147</v>
      </c>
      <c r="F16939" t="s">
        <v>4</v>
      </c>
      <c r="G16939" t="str">
        <f>""</f>
        <v/>
      </c>
    </row>
    <row r="16940" spans="1:7" x14ac:dyDescent="0.25">
      <c r="A16940" t="s">
        <v>8</v>
      </c>
      <c r="B16940" s="1" t="str">
        <f>"000435740 - RICH FOODS-FOODBUY"</f>
        <v>000435740 - RICH FOODS-FOODBUY</v>
      </c>
      <c r="C16940" t="s">
        <v>237</v>
      </c>
      <c r="D16940" s="1" t="str">
        <f t="shared" si="457"/>
        <v>PRG-1044663</v>
      </c>
      <c r="E16940" t="s">
        <v>147</v>
      </c>
      <c r="F16940" t="s">
        <v>4</v>
      </c>
      <c r="G16940" t="str">
        <f>""</f>
        <v/>
      </c>
    </row>
    <row r="16941" spans="1:7" x14ac:dyDescent="0.25">
      <c r="A16941" t="s">
        <v>8</v>
      </c>
      <c r="B16941" s="1" t="str">
        <f>"000438465 - RICH FOODS-FOODBUY"</f>
        <v>000438465 - RICH FOODS-FOODBUY</v>
      </c>
      <c r="C16941" t="s">
        <v>237</v>
      </c>
      <c r="D16941" s="1" t="str">
        <f t="shared" si="457"/>
        <v>PRG-1044663</v>
      </c>
      <c r="E16941" t="s">
        <v>147</v>
      </c>
      <c r="F16941" t="s">
        <v>4</v>
      </c>
      <c r="G16941" t="str">
        <f>""</f>
        <v/>
      </c>
    </row>
    <row r="16942" spans="1:7" x14ac:dyDescent="0.25">
      <c r="A16942" t="s">
        <v>8</v>
      </c>
      <c r="B16942" s="1" t="str">
        <f>"00290484 - "</f>
        <v xml:space="preserve">00290484 - </v>
      </c>
      <c r="D16942" s="1" t="str">
        <f t="shared" si="457"/>
        <v>PRG-1044663</v>
      </c>
      <c r="E16942" t="s">
        <v>147</v>
      </c>
      <c r="F16942" t="s">
        <v>4</v>
      </c>
      <c r="G16942" t="str">
        <f>""</f>
        <v/>
      </c>
    </row>
    <row r="16943" spans="1:7" x14ac:dyDescent="0.25">
      <c r="A16943" t="s">
        <v>8</v>
      </c>
      <c r="B16943" s="1" t="str">
        <f>"6026EN93"</f>
        <v>6026EN93</v>
      </c>
      <c r="C16943" t="s">
        <v>5062</v>
      </c>
      <c r="D16943" s="1" t="str">
        <f t="shared" si="457"/>
        <v>PRG-1044663</v>
      </c>
      <c r="E16943" t="s">
        <v>147</v>
      </c>
      <c r="F16943" t="s">
        <v>5</v>
      </c>
      <c r="G16943" t="str">
        <f>""</f>
        <v/>
      </c>
    </row>
    <row r="16944" spans="1:7" x14ac:dyDescent="0.25">
      <c r="A16944" t="s">
        <v>8</v>
      </c>
      <c r="B16944" s="1" t="str">
        <f>"6026PR78"</f>
        <v>6026PR78</v>
      </c>
      <c r="C16944" t="s">
        <v>5113</v>
      </c>
      <c r="D16944" s="1" t="str">
        <f t="shared" si="457"/>
        <v>PRG-1044663</v>
      </c>
      <c r="E16944" t="s">
        <v>147</v>
      </c>
      <c r="F16944" t="s">
        <v>5</v>
      </c>
      <c r="G16944" t="str">
        <f>""</f>
        <v/>
      </c>
    </row>
    <row r="16945" spans="1:7" x14ac:dyDescent="0.25">
      <c r="A16945" t="s">
        <v>8</v>
      </c>
      <c r="B16945" s="1" t="str">
        <f>"6026R066"</f>
        <v>6026R066</v>
      </c>
      <c r="C16945" t="s">
        <v>5119</v>
      </c>
      <c r="D16945" s="1" t="str">
        <f t="shared" si="457"/>
        <v>PRG-1044663</v>
      </c>
      <c r="E16945" t="s">
        <v>147</v>
      </c>
      <c r="F16945" t="s">
        <v>5</v>
      </c>
      <c r="G16945" t="str">
        <f>""</f>
        <v/>
      </c>
    </row>
    <row r="16946" spans="1:7" x14ac:dyDescent="0.25">
      <c r="A16946" t="s">
        <v>8</v>
      </c>
      <c r="B16946" s="1" t="str">
        <f>"6026R071"</f>
        <v>6026R071</v>
      </c>
      <c r="C16946" t="s">
        <v>5123</v>
      </c>
      <c r="D16946" s="1" t="str">
        <f t="shared" si="457"/>
        <v>PRG-1044663</v>
      </c>
      <c r="E16946" t="s">
        <v>147</v>
      </c>
      <c r="F16946" t="s">
        <v>5</v>
      </c>
      <c r="G16946" t="str">
        <f>""</f>
        <v/>
      </c>
    </row>
    <row r="16947" spans="1:7" x14ac:dyDescent="0.25">
      <c r="A16947" t="s">
        <v>8</v>
      </c>
      <c r="B16947" s="1" t="str">
        <f>"60293404"</f>
        <v>60293404</v>
      </c>
      <c r="C16947" t="s">
        <v>5229</v>
      </c>
      <c r="D16947" s="1" t="str">
        <f t="shared" si="457"/>
        <v>PRG-1044663</v>
      </c>
      <c r="E16947" t="s">
        <v>147</v>
      </c>
      <c r="F16947" t="s">
        <v>5</v>
      </c>
      <c r="G16947" t="str">
        <f>""</f>
        <v/>
      </c>
    </row>
    <row r="16948" spans="1:7" x14ac:dyDescent="0.25">
      <c r="A16948" t="s">
        <v>8</v>
      </c>
      <c r="B16948" s="1" t="str">
        <f>"60303287"</f>
        <v>60303287</v>
      </c>
      <c r="C16948" t="s">
        <v>5252</v>
      </c>
      <c r="D16948" s="1" t="str">
        <f t="shared" si="457"/>
        <v>PRG-1044663</v>
      </c>
      <c r="E16948" t="s">
        <v>147</v>
      </c>
      <c r="F16948" t="s">
        <v>5</v>
      </c>
      <c r="G16948" t="str">
        <f>""</f>
        <v/>
      </c>
    </row>
    <row r="16949" spans="1:7" x14ac:dyDescent="0.25">
      <c r="A16949" t="s">
        <v>8</v>
      </c>
      <c r="B16949" s="1" t="str">
        <f>"S1Z09HH0"</f>
        <v>S1Z09HH0</v>
      </c>
      <c r="C16949" t="s">
        <v>5365</v>
      </c>
      <c r="D16949" s="1" t="str">
        <f t="shared" si="457"/>
        <v>PRG-1044663</v>
      </c>
      <c r="E16949" t="s">
        <v>147</v>
      </c>
      <c r="F16949" t="s">
        <v>5</v>
      </c>
      <c r="G16949" t="str">
        <f>""</f>
        <v/>
      </c>
    </row>
    <row r="16950" spans="1:7" x14ac:dyDescent="0.25">
      <c r="A16950" t="s">
        <v>8</v>
      </c>
      <c r="B16950" s="1" t="str">
        <f>"000040972 - RICH FOODS-REVOLUTION"</f>
        <v>000040972 - RICH FOODS-REVOLUTION</v>
      </c>
      <c r="C16950" t="s">
        <v>442</v>
      </c>
      <c r="D16950" s="1" t="str">
        <f>"PRG-1044852"</f>
        <v>PRG-1044852</v>
      </c>
      <c r="E16950" t="s">
        <v>584</v>
      </c>
      <c r="F16950" t="s">
        <v>4</v>
      </c>
      <c r="G16950" t="str">
        <f>""</f>
        <v/>
      </c>
    </row>
    <row r="16951" spans="1:7" x14ac:dyDescent="0.25">
      <c r="A16951" t="s">
        <v>8</v>
      </c>
      <c r="B16951" s="1" t="str">
        <f>"000302688 - RICH FOODS-REVOLUTION"</f>
        <v>000302688 - RICH FOODS-REVOLUTION</v>
      </c>
      <c r="C16951" t="s">
        <v>442</v>
      </c>
      <c r="D16951" s="1" t="str">
        <f>"PRG-1044852"</f>
        <v>PRG-1044852</v>
      </c>
      <c r="E16951" t="s">
        <v>584</v>
      </c>
      <c r="F16951" t="s">
        <v>4</v>
      </c>
      <c r="G16951" t="str">
        <f>""</f>
        <v/>
      </c>
    </row>
    <row r="16952" spans="1:7" x14ac:dyDescent="0.25">
      <c r="A16952" t="s">
        <v>8</v>
      </c>
      <c r="B16952" s="1" t="str">
        <f>"000374737 - RICH FOODS-REVOLUTION"</f>
        <v>000374737 - RICH FOODS-REVOLUTION</v>
      </c>
      <c r="C16952" t="s">
        <v>442</v>
      </c>
      <c r="D16952" s="1" t="str">
        <f>"PRG-1044852"</f>
        <v>PRG-1044852</v>
      </c>
      <c r="E16952" t="s">
        <v>584</v>
      </c>
      <c r="F16952" t="s">
        <v>4</v>
      </c>
      <c r="G16952" t="str">
        <f>""</f>
        <v/>
      </c>
    </row>
    <row r="16953" spans="1:7" x14ac:dyDescent="0.25">
      <c r="A16953" t="s">
        <v>8</v>
      </c>
      <c r="B16953" s="1" t="str">
        <f>"000389674 - RICH FOODS-REVOLUTION"</f>
        <v>000389674 - RICH FOODS-REVOLUTION</v>
      </c>
      <c r="C16953" t="s">
        <v>442</v>
      </c>
      <c r="D16953" s="1" t="str">
        <f>"PRG-1044852"</f>
        <v>PRG-1044852</v>
      </c>
      <c r="E16953" t="s">
        <v>584</v>
      </c>
      <c r="F16953" t="s">
        <v>4</v>
      </c>
      <c r="G16953" t="str">
        <f>""</f>
        <v/>
      </c>
    </row>
    <row r="16954" spans="1:7" x14ac:dyDescent="0.25">
      <c r="A16954" t="s">
        <v>8</v>
      </c>
      <c r="B16954" s="1" t="str">
        <f>"000376470 - RICHS-SMOKEY MOS"</f>
        <v>000376470 - RICHS-SMOKEY MOS</v>
      </c>
      <c r="C16954" t="s">
        <v>3643</v>
      </c>
      <c r="D16954" s="1" t="str">
        <f>"PRG-1044885"</f>
        <v>PRG-1044885</v>
      </c>
      <c r="E16954" t="s">
        <v>3644</v>
      </c>
      <c r="F16954" t="s">
        <v>4</v>
      </c>
      <c r="G16954" t="str">
        <f>""</f>
        <v/>
      </c>
    </row>
    <row r="16955" spans="1:7" x14ac:dyDescent="0.25">
      <c r="A16955" t="s">
        <v>8</v>
      </c>
      <c r="B16955" s="1" t="str">
        <f>"000104426 - XXRICHFOODS RETRO BUCATINITRAT"</f>
        <v>000104426 - XXRICHFOODS RETRO BUCATINITRAT</v>
      </c>
      <c r="C16955" t="s">
        <v>817</v>
      </c>
      <c r="D16955" s="1" t="str">
        <f>"PRG-1044902"</f>
        <v>PRG-1044902</v>
      </c>
      <c r="E16955" t="s">
        <v>818</v>
      </c>
      <c r="F16955" t="s">
        <v>4</v>
      </c>
      <c r="G16955" t="str">
        <f>""</f>
        <v/>
      </c>
    </row>
    <row r="16956" spans="1:7" x14ac:dyDescent="0.25">
      <c r="A16956" t="s">
        <v>8</v>
      </c>
      <c r="B16956" s="1" t="str">
        <f>"000104427 - RICH FOODS BUCATINI TRATTORIA"</f>
        <v>000104427 - RICH FOODS BUCATINI TRATTORIA</v>
      </c>
      <c r="C16956" t="s">
        <v>819</v>
      </c>
      <c r="D16956" s="1" t="str">
        <f>"PRG-1044902"</f>
        <v>PRG-1044902</v>
      </c>
      <c r="E16956" t="s">
        <v>818</v>
      </c>
      <c r="F16956" t="s">
        <v>4</v>
      </c>
      <c r="G16956" t="str">
        <f>""</f>
        <v/>
      </c>
    </row>
    <row r="16957" spans="1:7" x14ac:dyDescent="0.25">
      <c r="A16957" t="s">
        <v>8</v>
      </c>
      <c r="B16957" s="1" t="str">
        <f>"000024567 - CASA DIBRITACHI PROTEIN-ARAMAR"</f>
        <v>000024567 - CASA DIBRITACHI PROTEIN-ARAMAR</v>
      </c>
      <c r="C16957" t="s">
        <v>330</v>
      </c>
      <c r="D16957" s="1" t="str">
        <f>"PRG-1044914"</f>
        <v>PRG-1044914</v>
      </c>
      <c r="E16957" t="s">
        <v>428</v>
      </c>
      <c r="F16957" t="s">
        <v>4</v>
      </c>
      <c r="G16957" t="str">
        <f>""</f>
        <v/>
      </c>
    </row>
    <row r="16958" spans="1:7" x14ac:dyDescent="0.25">
      <c r="A16958" t="s">
        <v>8</v>
      </c>
      <c r="B16958" s="1" t="str">
        <f>"000032323 - CASA DIBRITACHI PROTEIN-ARAMAR"</f>
        <v>000032323 - CASA DIBRITACHI PROTEIN-ARAMAR</v>
      </c>
      <c r="C16958" t="s">
        <v>330</v>
      </c>
      <c r="D16958" s="1" t="str">
        <f>"PRG-1044914"</f>
        <v>PRG-1044914</v>
      </c>
      <c r="E16958" t="s">
        <v>428</v>
      </c>
      <c r="F16958" t="s">
        <v>4</v>
      </c>
      <c r="G16958" t="str">
        <f>""</f>
        <v/>
      </c>
    </row>
    <row r="16959" spans="1:7" x14ac:dyDescent="0.25">
      <c r="A16959" t="s">
        <v>8</v>
      </c>
      <c r="B16959" s="1" t="str">
        <f>"000295548 - CASA DIBRITACHI PROTEIN-ARAMAR"</f>
        <v>000295548 - CASA DIBRITACHI PROTEIN-ARAMAR</v>
      </c>
      <c r="C16959" t="s">
        <v>330</v>
      </c>
      <c r="D16959" s="1" t="str">
        <f>"PRG-1044914"</f>
        <v>PRG-1044914</v>
      </c>
      <c r="E16959" t="s">
        <v>428</v>
      </c>
      <c r="F16959" t="s">
        <v>4</v>
      </c>
      <c r="G16959" t="str">
        <f>""</f>
        <v/>
      </c>
    </row>
    <row r="16960" spans="1:7" x14ac:dyDescent="0.25">
      <c r="A16960" t="s">
        <v>8</v>
      </c>
      <c r="B16960" s="1" t="str">
        <f>"000376673 - CASA DIBRITACHI PROTEIN-ARAMAR"</f>
        <v>000376673 - CASA DIBRITACHI PROTEIN-ARAMAR</v>
      </c>
      <c r="C16960" t="s">
        <v>330</v>
      </c>
      <c r="D16960" s="1" t="str">
        <f>"PRG-1044914"</f>
        <v>PRG-1044914</v>
      </c>
      <c r="E16960" t="s">
        <v>428</v>
      </c>
      <c r="F16960" t="s">
        <v>4</v>
      </c>
      <c r="G16960" t="str">
        <f>""</f>
        <v/>
      </c>
    </row>
    <row r="16961" spans="1:7" x14ac:dyDescent="0.25">
      <c r="A16961" t="s">
        <v>8</v>
      </c>
      <c r="B16961" s="1" t="str">
        <f>"000023711 - CASA DIBRITACHI PROTEIN-ARAMAR"</f>
        <v>000023711 - CASA DIBRITACHI PROTEIN-ARAMAR</v>
      </c>
      <c r="C16961" t="s">
        <v>330</v>
      </c>
      <c r="D16961" s="1" t="str">
        <f t="shared" ref="D16961:D17008" si="458">"PRG-1044916"</f>
        <v>PRG-1044916</v>
      </c>
      <c r="E16961" t="s">
        <v>428</v>
      </c>
      <c r="F16961" t="s">
        <v>4</v>
      </c>
      <c r="G16961" t="str">
        <f>""</f>
        <v/>
      </c>
    </row>
    <row r="16962" spans="1:7" x14ac:dyDescent="0.25">
      <c r="A16962" t="s">
        <v>8</v>
      </c>
      <c r="B16962" s="1" t="str">
        <f>"000034145 - CASA DIBRITACHI PROTEIN-ARAMAR"</f>
        <v>000034145 - CASA DIBRITACHI PROTEIN-ARAMAR</v>
      </c>
      <c r="C16962" t="s">
        <v>330</v>
      </c>
      <c r="D16962" s="1" t="str">
        <f t="shared" si="458"/>
        <v>PRG-1044916</v>
      </c>
      <c r="E16962" t="s">
        <v>428</v>
      </c>
      <c r="F16962" t="s">
        <v>4</v>
      </c>
      <c r="G16962" t="str">
        <f>""</f>
        <v/>
      </c>
    </row>
    <row r="16963" spans="1:7" x14ac:dyDescent="0.25">
      <c r="A16963" t="s">
        <v>8</v>
      </c>
      <c r="B16963" s="1" t="str">
        <f>"000039295 - CASA DIBRITACHI PROTEIN-ARAMAR"</f>
        <v>000039295 - CASA DIBRITACHI PROTEIN-ARAMAR</v>
      </c>
      <c r="C16963" t="s">
        <v>330</v>
      </c>
      <c r="D16963" s="1" t="str">
        <f t="shared" si="458"/>
        <v>PRG-1044916</v>
      </c>
      <c r="E16963" t="s">
        <v>428</v>
      </c>
      <c r="F16963" t="s">
        <v>4</v>
      </c>
      <c r="G16963" t="str">
        <f>""</f>
        <v/>
      </c>
    </row>
    <row r="16964" spans="1:7" x14ac:dyDescent="0.25">
      <c r="A16964" t="s">
        <v>8</v>
      </c>
      <c r="B16964" s="1" t="str">
        <f>"000042474 - CASA DIBRITACHI PROTEIN-ARAMAR"</f>
        <v>000042474 - CASA DIBRITACHI PROTEIN-ARAMAR</v>
      </c>
      <c r="C16964" t="s">
        <v>330</v>
      </c>
      <c r="D16964" s="1" t="str">
        <f t="shared" si="458"/>
        <v>PRG-1044916</v>
      </c>
      <c r="E16964" t="s">
        <v>428</v>
      </c>
      <c r="F16964" t="s">
        <v>4</v>
      </c>
      <c r="G16964" t="str">
        <f>""</f>
        <v/>
      </c>
    </row>
    <row r="16965" spans="1:7" x14ac:dyDescent="0.25">
      <c r="A16965" t="s">
        <v>8</v>
      </c>
      <c r="B16965" s="1" t="str">
        <f>"000049011 - CASA DIBRITACHI PROTEIN-ARAMAR"</f>
        <v>000049011 - CASA DIBRITACHI PROTEIN-ARAMAR</v>
      </c>
      <c r="C16965" t="s">
        <v>330</v>
      </c>
      <c r="D16965" s="1" t="str">
        <f t="shared" si="458"/>
        <v>PRG-1044916</v>
      </c>
      <c r="E16965" t="s">
        <v>428</v>
      </c>
      <c r="F16965" t="s">
        <v>4</v>
      </c>
      <c r="G16965" t="str">
        <f>""</f>
        <v/>
      </c>
    </row>
    <row r="16966" spans="1:7" x14ac:dyDescent="0.25">
      <c r="A16966" t="s">
        <v>8</v>
      </c>
      <c r="B16966" s="1" t="str">
        <f>"000085933 - CASA DIBRITACHI PROTEIN-ARAMAR"</f>
        <v>000085933 - CASA DIBRITACHI PROTEIN-ARAMAR</v>
      </c>
      <c r="C16966" t="s">
        <v>330</v>
      </c>
      <c r="D16966" s="1" t="str">
        <f t="shared" si="458"/>
        <v>PRG-1044916</v>
      </c>
      <c r="E16966" t="s">
        <v>428</v>
      </c>
      <c r="F16966" t="s">
        <v>4</v>
      </c>
      <c r="G16966" t="str">
        <f>""</f>
        <v/>
      </c>
    </row>
    <row r="16967" spans="1:7" x14ac:dyDescent="0.25">
      <c r="A16967" t="s">
        <v>8</v>
      </c>
      <c r="B16967" s="1" t="str">
        <f>"000102822 - CASA DIBRITACHI PROTEIN-ARAMAR"</f>
        <v>000102822 - CASA DIBRITACHI PROTEIN-ARAMAR</v>
      </c>
      <c r="C16967" t="s">
        <v>330</v>
      </c>
      <c r="D16967" s="1" t="str">
        <f t="shared" si="458"/>
        <v>PRG-1044916</v>
      </c>
      <c r="E16967" t="s">
        <v>428</v>
      </c>
      <c r="F16967" t="s">
        <v>4</v>
      </c>
      <c r="G16967" t="str">
        <f>""</f>
        <v/>
      </c>
    </row>
    <row r="16968" spans="1:7" x14ac:dyDescent="0.25">
      <c r="A16968" t="s">
        <v>8</v>
      </c>
      <c r="B16968" s="1" t="str">
        <f>"000156619 - CASA DIBRITACHI PROTEIN-ARAMAR"</f>
        <v>000156619 - CASA DIBRITACHI PROTEIN-ARAMAR</v>
      </c>
      <c r="C16968" t="s">
        <v>330</v>
      </c>
      <c r="D16968" s="1" t="str">
        <f t="shared" si="458"/>
        <v>PRG-1044916</v>
      </c>
      <c r="E16968" t="s">
        <v>428</v>
      </c>
      <c r="F16968" t="s">
        <v>4</v>
      </c>
      <c r="G16968" t="str">
        <f>""</f>
        <v/>
      </c>
    </row>
    <row r="16969" spans="1:7" x14ac:dyDescent="0.25">
      <c r="A16969" t="s">
        <v>8</v>
      </c>
      <c r="B16969" s="1" t="str">
        <f>"000175807 - CASA DIBRITACHI PROTEIN-ARAMAR"</f>
        <v>000175807 - CASA DIBRITACHI PROTEIN-ARAMAR</v>
      </c>
      <c r="C16969" t="s">
        <v>330</v>
      </c>
      <c r="D16969" s="1" t="str">
        <f t="shared" si="458"/>
        <v>PRG-1044916</v>
      </c>
      <c r="E16969" t="s">
        <v>428</v>
      </c>
      <c r="F16969" t="s">
        <v>4</v>
      </c>
      <c r="G16969" t="str">
        <f>""</f>
        <v/>
      </c>
    </row>
    <row r="16970" spans="1:7" x14ac:dyDescent="0.25">
      <c r="A16970" t="s">
        <v>8</v>
      </c>
      <c r="B16970" s="1" t="str">
        <f>"000178808 - CASA DIBRITACHI PROTEIN-ARAMAR"</f>
        <v>000178808 - CASA DIBRITACHI PROTEIN-ARAMAR</v>
      </c>
      <c r="C16970" t="s">
        <v>330</v>
      </c>
      <c r="D16970" s="1" t="str">
        <f t="shared" si="458"/>
        <v>PRG-1044916</v>
      </c>
      <c r="E16970" t="s">
        <v>428</v>
      </c>
      <c r="F16970" t="s">
        <v>4</v>
      </c>
      <c r="G16970" t="str">
        <f>""</f>
        <v/>
      </c>
    </row>
    <row r="16971" spans="1:7" x14ac:dyDescent="0.25">
      <c r="A16971" t="s">
        <v>8</v>
      </c>
      <c r="B16971" s="1" t="str">
        <f>"000247966 - CASA DIBRITACHI PROTEIN-ARAMAR"</f>
        <v>000247966 - CASA DIBRITACHI PROTEIN-ARAMAR</v>
      </c>
      <c r="C16971" t="s">
        <v>330</v>
      </c>
      <c r="D16971" s="1" t="str">
        <f t="shared" si="458"/>
        <v>PRG-1044916</v>
      </c>
      <c r="E16971" t="s">
        <v>428</v>
      </c>
      <c r="F16971" t="s">
        <v>4</v>
      </c>
      <c r="G16971" t="str">
        <f>""</f>
        <v/>
      </c>
    </row>
    <row r="16972" spans="1:7" x14ac:dyDescent="0.25">
      <c r="A16972" t="s">
        <v>8</v>
      </c>
      <c r="B16972" s="1" t="str">
        <f>"000254262 - CASA DIBRITACHI PROTEIN-ARAMAR"</f>
        <v>000254262 - CASA DIBRITACHI PROTEIN-ARAMAR</v>
      </c>
      <c r="C16972" t="s">
        <v>330</v>
      </c>
      <c r="D16972" s="1" t="str">
        <f t="shared" si="458"/>
        <v>PRG-1044916</v>
      </c>
      <c r="E16972" t="s">
        <v>428</v>
      </c>
      <c r="F16972" t="s">
        <v>4</v>
      </c>
      <c r="G16972" t="str">
        <f>""</f>
        <v/>
      </c>
    </row>
    <row r="16973" spans="1:7" x14ac:dyDescent="0.25">
      <c r="A16973" t="s">
        <v>8</v>
      </c>
      <c r="B16973" s="1" t="str">
        <f>"000255609 - CASA DIBRITACHI PROTEIN-ARAMAR"</f>
        <v>000255609 - CASA DIBRITACHI PROTEIN-ARAMAR</v>
      </c>
      <c r="C16973" t="s">
        <v>330</v>
      </c>
      <c r="D16973" s="1" t="str">
        <f t="shared" si="458"/>
        <v>PRG-1044916</v>
      </c>
      <c r="E16973" t="s">
        <v>428</v>
      </c>
      <c r="F16973" t="s">
        <v>4</v>
      </c>
      <c r="G16973" t="str">
        <f>""</f>
        <v/>
      </c>
    </row>
    <row r="16974" spans="1:7" x14ac:dyDescent="0.25">
      <c r="A16974" t="s">
        <v>8</v>
      </c>
      <c r="B16974" s="1" t="str">
        <f>"000257712 - CASA DIBRITACHI PROTEIN-ARAMAR"</f>
        <v>000257712 - CASA DIBRITACHI PROTEIN-ARAMAR</v>
      </c>
      <c r="C16974" t="s">
        <v>330</v>
      </c>
      <c r="D16974" s="1" t="str">
        <f t="shared" si="458"/>
        <v>PRG-1044916</v>
      </c>
      <c r="E16974" t="s">
        <v>428</v>
      </c>
      <c r="F16974" t="s">
        <v>4</v>
      </c>
      <c r="G16974" t="str">
        <f>""</f>
        <v/>
      </c>
    </row>
    <row r="16975" spans="1:7" x14ac:dyDescent="0.25">
      <c r="A16975" t="s">
        <v>8</v>
      </c>
      <c r="B16975" s="1" t="str">
        <f>"000259166 - CASA DIBRITACHI PROTEIN-ARAMAR"</f>
        <v>000259166 - CASA DIBRITACHI PROTEIN-ARAMAR</v>
      </c>
      <c r="C16975" t="s">
        <v>330</v>
      </c>
      <c r="D16975" s="1" t="str">
        <f t="shared" si="458"/>
        <v>PRG-1044916</v>
      </c>
      <c r="E16975" t="s">
        <v>428</v>
      </c>
      <c r="F16975" t="s">
        <v>4</v>
      </c>
      <c r="G16975" t="str">
        <f>""</f>
        <v/>
      </c>
    </row>
    <row r="16976" spans="1:7" x14ac:dyDescent="0.25">
      <c r="A16976" t="s">
        <v>8</v>
      </c>
      <c r="B16976" s="1" t="str">
        <f>"000266978 - CASA DIBRITACHI PROTEIN-ARAMAR"</f>
        <v>000266978 - CASA DIBRITACHI PROTEIN-ARAMAR</v>
      </c>
      <c r="C16976" t="s">
        <v>330</v>
      </c>
      <c r="D16976" s="1" t="str">
        <f t="shared" si="458"/>
        <v>PRG-1044916</v>
      </c>
      <c r="E16976" t="s">
        <v>428</v>
      </c>
      <c r="F16976" t="s">
        <v>4</v>
      </c>
      <c r="G16976" t="str">
        <f>""</f>
        <v/>
      </c>
    </row>
    <row r="16977" spans="1:7" x14ac:dyDescent="0.25">
      <c r="A16977" t="s">
        <v>8</v>
      </c>
      <c r="B16977" s="1" t="str">
        <f>"000273515 - CASA DIBRITACHI PROTEIN-ARAMAR"</f>
        <v>000273515 - CASA DIBRITACHI PROTEIN-ARAMAR</v>
      </c>
      <c r="C16977" t="s">
        <v>330</v>
      </c>
      <c r="D16977" s="1" t="str">
        <f t="shared" si="458"/>
        <v>PRG-1044916</v>
      </c>
      <c r="E16977" t="s">
        <v>428</v>
      </c>
      <c r="F16977" t="s">
        <v>4</v>
      </c>
      <c r="G16977" t="str">
        <f>""</f>
        <v/>
      </c>
    </row>
    <row r="16978" spans="1:7" x14ac:dyDescent="0.25">
      <c r="A16978" t="s">
        <v>8</v>
      </c>
      <c r="B16978" s="1" t="str">
        <f>"000277594 - CASA DIBRITACHI PROTEIN-ARAMAR"</f>
        <v>000277594 - CASA DIBRITACHI PROTEIN-ARAMAR</v>
      </c>
      <c r="C16978" t="s">
        <v>330</v>
      </c>
      <c r="D16978" s="1" t="str">
        <f t="shared" si="458"/>
        <v>PRG-1044916</v>
      </c>
      <c r="E16978" t="s">
        <v>428</v>
      </c>
      <c r="F16978" t="s">
        <v>4</v>
      </c>
      <c r="G16978" t="str">
        <f>""</f>
        <v/>
      </c>
    </row>
    <row r="16979" spans="1:7" x14ac:dyDescent="0.25">
      <c r="A16979" t="s">
        <v>8</v>
      </c>
      <c r="B16979" s="1" t="str">
        <f>"000278292 - CASA DIBRITACHI PROTEIN-ARAMAR"</f>
        <v>000278292 - CASA DIBRITACHI PROTEIN-ARAMAR</v>
      </c>
      <c r="C16979" t="s">
        <v>330</v>
      </c>
      <c r="D16979" s="1" t="str">
        <f t="shared" si="458"/>
        <v>PRG-1044916</v>
      </c>
      <c r="E16979" t="s">
        <v>428</v>
      </c>
      <c r="F16979" t="s">
        <v>4</v>
      </c>
      <c r="G16979" t="str">
        <f>""</f>
        <v/>
      </c>
    </row>
    <row r="16980" spans="1:7" x14ac:dyDescent="0.25">
      <c r="A16980" t="s">
        <v>8</v>
      </c>
      <c r="B16980" s="1" t="str">
        <f>"000280055 - CASA DIBRITACHI PROTEIN-ARAMAR"</f>
        <v>000280055 - CASA DIBRITACHI PROTEIN-ARAMAR</v>
      </c>
      <c r="C16980" t="s">
        <v>330</v>
      </c>
      <c r="D16980" s="1" t="str">
        <f t="shared" si="458"/>
        <v>PRG-1044916</v>
      </c>
      <c r="E16980" t="s">
        <v>428</v>
      </c>
      <c r="F16980" t="s">
        <v>4</v>
      </c>
      <c r="G16980" t="str">
        <f>""</f>
        <v/>
      </c>
    </row>
    <row r="16981" spans="1:7" x14ac:dyDescent="0.25">
      <c r="A16981" t="s">
        <v>8</v>
      </c>
      <c r="B16981" s="1" t="str">
        <f>"000280596 - CASA DIBRITACHI PROTEIN-ARAMAR"</f>
        <v>000280596 - CASA DIBRITACHI PROTEIN-ARAMAR</v>
      </c>
      <c r="C16981" t="s">
        <v>330</v>
      </c>
      <c r="D16981" s="1" t="str">
        <f t="shared" si="458"/>
        <v>PRG-1044916</v>
      </c>
      <c r="E16981" t="s">
        <v>428</v>
      </c>
      <c r="F16981" t="s">
        <v>4</v>
      </c>
      <c r="G16981" t="str">
        <f>""</f>
        <v/>
      </c>
    </row>
    <row r="16982" spans="1:7" x14ac:dyDescent="0.25">
      <c r="A16982" t="s">
        <v>8</v>
      </c>
      <c r="B16982" s="1" t="str">
        <f>"000284703 - CASA DIBRITACHI PROTEIN-ARAMAR"</f>
        <v>000284703 - CASA DIBRITACHI PROTEIN-ARAMAR</v>
      </c>
      <c r="C16982" t="s">
        <v>330</v>
      </c>
      <c r="D16982" s="1" t="str">
        <f t="shared" si="458"/>
        <v>PRG-1044916</v>
      </c>
      <c r="E16982" t="s">
        <v>428</v>
      </c>
      <c r="F16982" t="s">
        <v>4</v>
      </c>
      <c r="G16982" t="str">
        <f>""</f>
        <v/>
      </c>
    </row>
    <row r="16983" spans="1:7" x14ac:dyDescent="0.25">
      <c r="A16983" t="s">
        <v>8</v>
      </c>
      <c r="B16983" s="1" t="str">
        <f>"000284918 - CASA DIBRITACHI PROTEIN-ARAMAR"</f>
        <v>000284918 - CASA DIBRITACHI PROTEIN-ARAMAR</v>
      </c>
      <c r="C16983" t="s">
        <v>330</v>
      </c>
      <c r="D16983" s="1" t="str">
        <f t="shared" si="458"/>
        <v>PRG-1044916</v>
      </c>
      <c r="E16983" t="s">
        <v>428</v>
      </c>
      <c r="F16983" t="s">
        <v>4</v>
      </c>
      <c r="G16983" t="str">
        <f>""</f>
        <v/>
      </c>
    </row>
    <row r="16984" spans="1:7" x14ac:dyDescent="0.25">
      <c r="A16984" t="s">
        <v>8</v>
      </c>
      <c r="B16984" s="1" t="str">
        <f>"000285530 - CASA DIBRITACHI PROTEIN-ARAMAR"</f>
        <v>000285530 - CASA DIBRITACHI PROTEIN-ARAMAR</v>
      </c>
      <c r="C16984" t="s">
        <v>330</v>
      </c>
      <c r="D16984" s="1" t="str">
        <f t="shared" si="458"/>
        <v>PRG-1044916</v>
      </c>
      <c r="E16984" t="s">
        <v>428</v>
      </c>
      <c r="F16984" t="s">
        <v>4</v>
      </c>
      <c r="G16984" t="str">
        <f>""</f>
        <v/>
      </c>
    </row>
    <row r="16985" spans="1:7" x14ac:dyDescent="0.25">
      <c r="A16985" t="s">
        <v>8</v>
      </c>
      <c r="B16985" s="1" t="str">
        <f>"000294649 - CASA DIBRITACHI PROTEIN-ARAMAR"</f>
        <v>000294649 - CASA DIBRITACHI PROTEIN-ARAMAR</v>
      </c>
      <c r="C16985" t="s">
        <v>330</v>
      </c>
      <c r="D16985" s="1" t="str">
        <f t="shared" si="458"/>
        <v>PRG-1044916</v>
      </c>
      <c r="E16985" t="s">
        <v>428</v>
      </c>
      <c r="F16985" t="s">
        <v>4</v>
      </c>
      <c r="G16985" t="str">
        <f>""</f>
        <v/>
      </c>
    </row>
    <row r="16986" spans="1:7" x14ac:dyDescent="0.25">
      <c r="A16986" t="s">
        <v>8</v>
      </c>
      <c r="B16986" s="1" t="str">
        <f>"000299267 - CASA DIBRITACHI PROTEIN-ARAMAR"</f>
        <v>000299267 - CASA DIBRITACHI PROTEIN-ARAMAR</v>
      </c>
      <c r="C16986" t="s">
        <v>330</v>
      </c>
      <c r="D16986" s="1" t="str">
        <f t="shared" si="458"/>
        <v>PRG-1044916</v>
      </c>
      <c r="E16986" t="s">
        <v>428</v>
      </c>
      <c r="F16986" t="s">
        <v>4</v>
      </c>
      <c r="G16986" t="str">
        <f>""</f>
        <v/>
      </c>
    </row>
    <row r="16987" spans="1:7" x14ac:dyDescent="0.25">
      <c r="A16987" t="s">
        <v>8</v>
      </c>
      <c r="B16987" s="1" t="str">
        <f>"000300870 - CASA DIBRITACHI PROTEIN-ARAMAR"</f>
        <v>000300870 - CASA DIBRITACHI PROTEIN-ARAMAR</v>
      </c>
      <c r="C16987" t="s">
        <v>330</v>
      </c>
      <c r="D16987" s="1" t="str">
        <f t="shared" si="458"/>
        <v>PRG-1044916</v>
      </c>
      <c r="E16987" t="s">
        <v>428</v>
      </c>
      <c r="F16987" t="s">
        <v>4</v>
      </c>
      <c r="G16987" t="str">
        <f>""</f>
        <v/>
      </c>
    </row>
    <row r="16988" spans="1:7" x14ac:dyDescent="0.25">
      <c r="A16988" t="s">
        <v>8</v>
      </c>
      <c r="B16988" s="1" t="str">
        <f>"000302804 - CASA DIBRITACHI PROTEIN-ARAMAR"</f>
        <v>000302804 - CASA DIBRITACHI PROTEIN-ARAMAR</v>
      </c>
      <c r="C16988" t="s">
        <v>330</v>
      </c>
      <c r="D16988" s="1" t="str">
        <f t="shared" si="458"/>
        <v>PRG-1044916</v>
      </c>
      <c r="E16988" t="s">
        <v>428</v>
      </c>
      <c r="F16988" t="s">
        <v>4</v>
      </c>
      <c r="G16988" t="str">
        <f>""</f>
        <v/>
      </c>
    </row>
    <row r="16989" spans="1:7" x14ac:dyDescent="0.25">
      <c r="A16989" t="s">
        <v>8</v>
      </c>
      <c r="B16989" s="1" t="str">
        <f>"000305580 - CASA DIBRITACHI PROTEIN-ARAMAR"</f>
        <v>000305580 - CASA DIBRITACHI PROTEIN-ARAMAR</v>
      </c>
      <c r="C16989" t="s">
        <v>330</v>
      </c>
      <c r="D16989" s="1" t="str">
        <f t="shared" si="458"/>
        <v>PRG-1044916</v>
      </c>
      <c r="E16989" t="s">
        <v>428</v>
      </c>
      <c r="F16989" t="s">
        <v>4</v>
      </c>
      <c r="G16989" t="str">
        <f>""</f>
        <v/>
      </c>
    </row>
    <row r="16990" spans="1:7" x14ac:dyDescent="0.25">
      <c r="A16990" t="s">
        <v>8</v>
      </c>
      <c r="B16990" s="1" t="str">
        <f>"000305623 - CASA DIBRITACHI PROTEIN-ARAMAR"</f>
        <v>000305623 - CASA DIBRITACHI PROTEIN-ARAMAR</v>
      </c>
      <c r="C16990" t="s">
        <v>330</v>
      </c>
      <c r="D16990" s="1" t="str">
        <f t="shared" si="458"/>
        <v>PRG-1044916</v>
      </c>
      <c r="E16990" t="s">
        <v>428</v>
      </c>
      <c r="F16990" t="s">
        <v>4</v>
      </c>
      <c r="G16990" t="str">
        <f>""</f>
        <v/>
      </c>
    </row>
    <row r="16991" spans="1:7" x14ac:dyDescent="0.25">
      <c r="A16991" t="s">
        <v>8</v>
      </c>
      <c r="B16991" s="1" t="str">
        <f>"000305985 - CASA DIBRITACHI PROTEIN-ARAMAR"</f>
        <v>000305985 - CASA DIBRITACHI PROTEIN-ARAMAR</v>
      </c>
      <c r="C16991" t="s">
        <v>330</v>
      </c>
      <c r="D16991" s="1" t="str">
        <f t="shared" si="458"/>
        <v>PRG-1044916</v>
      </c>
      <c r="E16991" t="s">
        <v>428</v>
      </c>
      <c r="F16991" t="s">
        <v>4</v>
      </c>
      <c r="G16991" t="str">
        <f>""</f>
        <v/>
      </c>
    </row>
    <row r="16992" spans="1:7" x14ac:dyDescent="0.25">
      <c r="A16992" t="s">
        <v>8</v>
      </c>
      <c r="B16992" s="1" t="str">
        <f>"000306678 - CASA DIBRITACHI PROTEIN-ARAMAR"</f>
        <v>000306678 - CASA DIBRITACHI PROTEIN-ARAMAR</v>
      </c>
      <c r="C16992" t="s">
        <v>330</v>
      </c>
      <c r="D16992" s="1" t="str">
        <f t="shared" si="458"/>
        <v>PRG-1044916</v>
      </c>
      <c r="E16992" t="s">
        <v>428</v>
      </c>
      <c r="F16992" t="s">
        <v>4</v>
      </c>
      <c r="G16992" t="str">
        <f>""</f>
        <v/>
      </c>
    </row>
    <row r="16993" spans="1:7" x14ac:dyDescent="0.25">
      <c r="A16993" t="s">
        <v>8</v>
      </c>
      <c r="B16993" s="1" t="str">
        <f>"000306820 - CASA DIBRITACHI PROTEIN-ARAMAR"</f>
        <v>000306820 - CASA DIBRITACHI PROTEIN-ARAMAR</v>
      </c>
      <c r="C16993" t="s">
        <v>330</v>
      </c>
      <c r="D16993" s="1" t="str">
        <f t="shared" si="458"/>
        <v>PRG-1044916</v>
      </c>
      <c r="E16993" t="s">
        <v>428</v>
      </c>
      <c r="F16993" t="s">
        <v>4</v>
      </c>
      <c r="G16993" t="str">
        <f>""</f>
        <v/>
      </c>
    </row>
    <row r="16994" spans="1:7" x14ac:dyDescent="0.25">
      <c r="A16994" t="s">
        <v>8</v>
      </c>
      <c r="B16994" s="1" t="str">
        <f>"000309957 - CASA DIBRITACHI PROTEIN-ARAMAR"</f>
        <v>000309957 - CASA DIBRITACHI PROTEIN-ARAMAR</v>
      </c>
      <c r="C16994" t="s">
        <v>330</v>
      </c>
      <c r="D16994" s="1" t="str">
        <f t="shared" si="458"/>
        <v>PRG-1044916</v>
      </c>
      <c r="E16994" t="s">
        <v>428</v>
      </c>
      <c r="F16994" t="s">
        <v>4</v>
      </c>
      <c r="G16994" t="str">
        <f>""</f>
        <v/>
      </c>
    </row>
    <row r="16995" spans="1:7" x14ac:dyDescent="0.25">
      <c r="A16995" t="s">
        <v>8</v>
      </c>
      <c r="B16995" s="1" t="str">
        <f>"000310262 - CASA DIBRITACHI PROTEIN-ARAMAR"</f>
        <v>000310262 - CASA DIBRITACHI PROTEIN-ARAMAR</v>
      </c>
      <c r="C16995" t="s">
        <v>330</v>
      </c>
      <c r="D16995" s="1" t="str">
        <f t="shared" si="458"/>
        <v>PRG-1044916</v>
      </c>
      <c r="E16995" t="s">
        <v>428</v>
      </c>
      <c r="F16995" t="s">
        <v>4</v>
      </c>
      <c r="G16995" t="str">
        <f>""</f>
        <v/>
      </c>
    </row>
    <row r="16996" spans="1:7" x14ac:dyDescent="0.25">
      <c r="A16996" t="s">
        <v>8</v>
      </c>
      <c r="B16996" s="1" t="str">
        <f>"000311815 - CASA DIBRITACHI PROTEIN-ARAMAR"</f>
        <v>000311815 - CASA DIBRITACHI PROTEIN-ARAMAR</v>
      </c>
      <c r="C16996" t="s">
        <v>330</v>
      </c>
      <c r="D16996" s="1" t="str">
        <f t="shared" si="458"/>
        <v>PRG-1044916</v>
      </c>
      <c r="E16996" t="s">
        <v>428</v>
      </c>
      <c r="F16996" t="s">
        <v>4</v>
      </c>
      <c r="G16996" t="str">
        <f>""</f>
        <v/>
      </c>
    </row>
    <row r="16997" spans="1:7" x14ac:dyDescent="0.25">
      <c r="A16997" t="s">
        <v>8</v>
      </c>
      <c r="B16997" s="1" t="str">
        <f>"000334132 - CASA DIBRITACHI PROTEIN-ARAMAR"</f>
        <v>000334132 - CASA DIBRITACHI PROTEIN-ARAMAR</v>
      </c>
      <c r="C16997" t="s">
        <v>330</v>
      </c>
      <c r="D16997" s="1" t="str">
        <f t="shared" si="458"/>
        <v>PRG-1044916</v>
      </c>
      <c r="E16997" t="s">
        <v>428</v>
      </c>
      <c r="F16997" t="s">
        <v>4</v>
      </c>
      <c r="G16997" t="str">
        <f>""</f>
        <v/>
      </c>
    </row>
    <row r="16998" spans="1:7" x14ac:dyDescent="0.25">
      <c r="A16998" t="s">
        <v>8</v>
      </c>
      <c r="B16998" s="1" t="str">
        <f>"000341806 - CASA DIBRITACHI PROTEIN-ARAMAR"</f>
        <v>000341806 - CASA DIBRITACHI PROTEIN-ARAMAR</v>
      </c>
      <c r="C16998" t="s">
        <v>330</v>
      </c>
      <c r="D16998" s="1" t="str">
        <f t="shared" si="458"/>
        <v>PRG-1044916</v>
      </c>
      <c r="E16998" t="s">
        <v>428</v>
      </c>
      <c r="F16998" t="s">
        <v>4</v>
      </c>
      <c r="G16998" t="str">
        <f>""</f>
        <v/>
      </c>
    </row>
    <row r="16999" spans="1:7" x14ac:dyDescent="0.25">
      <c r="A16999" t="s">
        <v>8</v>
      </c>
      <c r="B16999" s="1" t="str">
        <f>"000356332 - CASA DIBRITACHI PROTEIN-ARAMAR"</f>
        <v>000356332 - CASA DIBRITACHI PROTEIN-ARAMAR</v>
      </c>
      <c r="C16999" t="s">
        <v>330</v>
      </c>
      <c r="D16999" s="1" t="str">
        <f t="shared" si="458"/>
        <v>PRG-1044916</v>
      </c>
      <c r="E16999" t="s">
        <v>428</v>
      </c>
      <c r="F16999" t="s">
        <v>4</v>
      </c>
      <c r="G16999" t="str">
        <f>""</f>
        <v/>
      </c>
    </row>
    <row r="17000" spans="1:7" x14ac:dyDescent="0.25">
      <c r="A17000" t="s">
        <v>8</v>
      </c>
      <c r="B17000" s="1" t="str">
        <f>"000371489 - CASA DIBRITACHI PROTEIN-ARAMAR"</f>
        <v>000371489 - CASA DIBRITACHI PROTEIN-ARAMAR</v>
      </c>
      <c r="C17000" t="s">
        <v>330</v>
      </c>
      <c r="D17000" s="1" t="str">
        <f t="shared" si="458"/>
        <v>PRG-1044916</v>
      </c>
      <c r="E17000" t="s">
        <v>428</v>
      </c>
      <c r="F17000" t="s">
        <v>4</v>
      </c>
      <c r="G17000" t="str">
        <f>""</f>
        <v/>
      </c>
    </row>
    <row r="17001" spans="1:7" x14ac:dyDescent="0.25">
      <c r="A17001" t="s">
        <v>8</v>
      </c>
      <c r="B17001" s="1" t="str">
        <f>"000372685 - CASA DIBRITACHI PROTEIN-ARAMAR"</f>
        <v>000372685 - CASA DIBRITACHI PROTEIN-ARAMAR</v>
      </c>
      <c r="C17001" t="s">
        <v>330</v>
      </c>
      <c r="D17001" s="1" t="str">
        <f t="shared" si="458"/>
        <v>PRG-1044916</v>
      </c>
      <c r="E17001" t="s">
        <v>428</v>
      </c>
      <c r="F17001" t="s">
        <v>4</v>
      </c>
      <c r="G17001" t="str">
        <f>""</f>
        <v/>
      </c>
    </row>
    <row r="17002" spans="1:7" x14ac:dyDescent="0.25">
      <c r="A17002" t="s">
        <v>8</v>
      </c>
      <c r="B17002" s="1" t="str">
        <f>"000380602 - CASA DIBRITACHI PROTEIN-ARAMAR"</f>
        <v>000380602 - CASA DIBRITACHI PROTEIN-ARAMAR</v>
      </c>
      <c r="C17002" t="s">
        <v>330</v>
      </c>
      <c r="D17002" s="1" t="str">
        <f t="shared" si="458"/>
        <v>PRG-1044916</v>
      </c>
      <c r="E17002" t="s">
        <v>428</v>
      </c>
      <c r="F17002" t="s">
        <v>4</v>
      </c>
      <c r="G17002" t="str">
        <f>""</f>
        <v/>
      </c>
    </row>
    <row r="17003" spans="1:7" x14ac:dyDescent="0.25">
      <c r="A17003" t="s">
        <v>8</v>
      </c>
      <c r="B17003" s="1" t="str">
        <f>"000383009 - CASA DIBRITACHI PROTEIN-ARAMAR"</f>
        <v>000383009 - CASA DIBRITACHI PROTEIN-ARAMAR</v>
      </c>
      <c r="C17003" t="s">
        <v>330</v>
      </c>
      <c r="D17003" s="1" t="str">
        <f t="shared" si="458"/>
        <v>PRG-1044916</v>
      </c>
      <c r="E17003" t="s">
        <v>428</v>
      </c>
      <c r="F17003" t="s">
        <v>4</v>
      </c>
      <c r="G17003" t="str">
        <f>""</f>
        <v/>
      </c>
    </row>
    <row r="17004" spans="1:7" x14ac:dyDescent="0.25">
      <c r="A17004" t="s">
        <v>8</v>
      </c>
      <c r="B17004" s="1" t="str">
        <f>"000387938 - CASA DIBRITACHI PROTEIN-ARAMAR"</f>
        <v>000387938 - CASA DIBRITACHI PROTEIN-ARAMAR</v>
      </c>
      <c r="C17004" t="s">
        <v>330</v>
      </c>
      <c r="D17004" s="1" t="str">
        <f t="shared" si="458"/>
        <v>PRG-1044916</v>
      </c>
      <c r="E17004" t="s">
        <v>428</v>
      </c>
      <c r="F17004" t="s">
        <v>4</v>
      </c>
      <c r="G17004" t="str">
        <f>""</f>
        <v/>
      </c>
    </row>
    <row r="17005" spans="1:7" x14ac:dyDescent="0.25">
      <c r="A17005" t="s">
        <v>8</v>
      </c>
      <c r="B17005" s="1" t="str">
        <f>"000388016 - CASA DIBRITACHI PROTEIN-ARAMAR"</f>
        <v>000388016 - CASA DIBRITACHI PROTEIN-ARAMAR</v>
      </c>
      <c r="C17005" t="s">
        <v>330</v>
      </c>
      <c r="D17005" s="1" t="str">
        <f t="shared" si="458"/>
        <v>PRG-1044916</v>
      </c>
      <c r="E17005" t="s">
        <v>428</v>
      </c>
      <c r="F17005" t="s">
        <v>4</v>
      </c>
      <c r="G17005" t="str">
        <f>""</f>
        <v/>
      </c>
    </row>
    <row r="17006" spans="1:7" x14ac:dyDescent="0.25">
      <c r="A17006" t="s">
        <v>8</v>
      </c>
      <c r="B17006" s="1" t="str">
        <f>"000389525 - CASA DIBRITACHI PROTEIN-ARAMAR"</f>
        <v>000389525 - CASA DIBRITACHI PROTEIN-ARAMAR</v>
      </c>
      <c r="C17006" t="s">
        <v>330</v>
      </c>
      <c r="D17006" s="1" t="str">
        <f t="shared" si="458"/>
        <v>PRG-1044916</v>
      </c>
      <c r="E17006" t="s">
        <v>428</v>
      </c>
      <c r="F17006" t="s">
        <v>4</v>
      </c>
      <c r="G17006" t="str">
        <f>""</f>
        <v/>
      </c>
    </row>
    <row r="17007" spans="1:7" x14ac:dyDescent="0.25">
      <c r="A17007" t="s">
        <v>8</v>
      </c>
      <c r="B17007" s="1" t="str">
        <f>"000396872 - CASA DIBRITACHI PROTEIN-ARAMAR"</f>
        <v>000396872 - CASA DIBRITACHI PROTEIN-ARAMAR</v>
      </c>
      <c r="C17007" t="s">
        <v>330</v>
      </c>
      <c r="D17007" s="1" t="str">
        <f t="shared" si="458"/>
        <v>PRG-1044916</v>
      </c>
      <c r="E17007" t="s">
        <v>428</v>
      </c>
      <c r="F17007" t="s">
        <v>4</v>
      </c>
      <c r="G17007" t="str">
        <f>""</f>
        <v/>
      </c>
    </row>
    <row r="17008" spans="1:7" x14ac:dyDescent="0.25">
      <c r="A17008" t="s">
        <v>8</v>
      </c>
      <c r="B17008" s="1" t="str">
        <f>"000407316 - CASA DIBRITACHI PROTEIN-ARAMAR"</f>
        <v>000407316 - CASA DIBRITACHI PROTEIN-ARAMAR</v>
      </c>
      <c r="C17008" t="s">
        <v>330</v>
      </c>
      <c r="D17008" s="1" t="str">
        <f t="shared" si="458"/>
        <v>PRG-1044916</v>
      </c>
      <c r="E17008" t="s">
        <v>428</v>
      </c>
      <c r="F17008" t="s">
        <v>4</v>
      </c>
      <c r="G17008" t="str">
        <f>""</f>
        <v/>
      </c>
    </row>
    <row r="17009" spans="1:7" x14ac:dyDescent="0.25">
      <c r="A17009" t="s">
        <v>8</v>
      </c>
      <c r="B17009" s="1" t="str">
        <f>"000393754 - RICH'S FOR KI SPEED DC"</f>
        <v>000393754 - RICH'S FOR KI SPEED DC</v>
      </c>
      <c r="C17009" t="s">
        <v>3689</v>
      </c>
      <c r="D17009" s="1" t="str">
        <f>"PRG-1044967"</f>
        <v>PRG-1044967</v>
      </c>
      <c r="E17009" t="s">
        <v>3690</v>
      </c>
      <c r="F17009" t="s">
        <v>4</v>
      </c>
      <c r="G17009" t="str">
        <f>""</f>
        <v/>
      </c>
    </row>
    <row r="17010" spans="1:7" x14ac:dyDescent="0.25">
      <c r="A17010" t="s">
        <v>8</v>
      </c>
      <c r="B17010" s="1" t="str">
        <f>"000260240 - RICH'S MARYS KITCHEN"</f>
        <v>000260240 - RICH'S MARYS KITCHEN</v>
      </c>
      <c r="C17010" t="s">
        <v>2258</v>
      </c>
      <c r="D17010" s="1" t="str">
        <f>"PRG-1044991"</f>
        <v>PRG-1044991</v>
      </c>
      <c r="E17010" t="s">
        <v>2259</v>
      </c>
      <c r="F17010" t="s">
        <v>4</v>
      </c>
      <c r="G17010" t="str">
        <f>""</f>
        <v/>
      </c>
    </row>
    <row r="17011" spans="1:7" x14ac:dyDescent="0.25">
      <c r="A17011" t="s">
        <v>8</v>
      </c>
      <c r="B17011" s="1" t="str">
        <f>"S2I012E0"</f>
        <v>S2I012E0</v>
      </c>
      <c r="C17011" t="s">
        <v>5526</v>
      </c>
      <c r="D17011" s="1" t="str">
        <f>"PRG-1045065"</f>
        <v>PRG-1045065</v>
      </c>
      <c r="E17011" t="s">
        <v>5527</v>
      </c>
      <c r="F17011" t="s">
        <v>5</v>
      </c>
      <c r="G17011" t="str">
        <f>""</f>
        <v/>
      </c>
    </row>
    <row r="17012" spans="1:7" x14ac:dyDescent="0.25">
      <c r="A17012" t="s">
        <v>8</v>
      </c>
      <c r="B17012" s="1" t="str">
        <f>"000360863 - RICH FOODS-TWO ROADS HOSP"</f>
        <v>000360863 - RICH FOODS-TWO ROADS HOSP</v>
      </c>
      <c r="C17012" t="s">
        <v>1152</v>
      </c>
      <c r="D17012" s="1" t="str">
        <f>"PRG-1045074"</f>
        <v>PRG-1045074</v>
      </c>
      <c r="E17012" t="s">
        <v>1153</v>
      </c>
      <c r="F17012" t="s">
        <v>4</v>
      </c>
      <c r="G17012" t="str">
        <f>""</f>
        <v/>
      </c>
    </row>
    <row r="17013" spans="1:7" x14ac:dyDescent="0.25">
      <c r="A17013" t="s">
        <v>8</v>
      </c>
      <c r="B17013" s="1" t="str">
        <f>"000029445 - RICHS-JIMMIES GROCERY"</f>
        <v>000029445 - RICHS-JIMMIES GROCERY</v>
      </c>
      <c r="C17013" t="s">
        <v>486</v>
      </c>
      <c r="D17013" s="1" t="str">
        <f>"PRG-1045085"</f>
        <v>PRG-1045085</v>
      </c>
      <c r="E17013" t="s">
        <v>487</v>
      </c>
      <c r="F17013" t="s">
        <v>4</v>
      </c>
      <c r="G17013" t="str">
        <f>""</f>
        <v/>
      </c>
    </row>
    <row r="17014" spans="1:7" x14ac:dyDescent="0.25">
      <c r="A17014" t="s">
        <v>8</v>
      </c>
      <c r="B17014" s="1" t="str">
        <f>"000327858 - RICH LOST IN FUN"</f>
        <v>000327858 - RICH LOST IN FUN</v>
      </c>
      <c r="C17014" t="s">
        <v>3307</v>
      </c>
      <c r="D17014" s="1" t="str">
        <f>"PRG-1045103"</f>
        <v>PRG-1045103</v>
      </c>
      <c r="E17014" t="s">
        <v>3308</v>
      </c>
      <c r="F17014" t="s">
        <v>4</v>
      </c>
      <c r="G17014" t="str">
        <f>""</f>
        <v/>
      </c>
    </row>
    <row r="17015" spans="1:7" x14ac:dyDescent="0.25">
      <c r="A17015" t="s">
        <v>8</v>
      </c>
      <c r="B17015" s="1" t="str">
        <f>"000179817 - RICHS DUNN BROS"</f>
        <v>000179817 - RICHS DUNN BROS</v>
      </c>
      <c r="C17015" t="s">
        <v>1133</v>
      </c>
      <c r="D17015" s="1" t="str">
        <f>"PRG-1045116"</f>
        <v>PRG-1045116</v>
      </c>
      <c r="E17015" t="s">
        <v>1134</v>
      </c>
      <c r="F17015" t="s">
        <v>4</v>
      </c>
      <c r="G17015" t="str">
        <f>""</f>
        <v/>
      </c>
    </row>
    <row r="17016" spans="1:7" x14ac:dyDescent="0.25">
      <c r="A17016" t="s">
        <v>8</v>
      </c>
      <c r="B17016" s="1" t="str">
        <f>"000414101 - RICHS DUNN BROS"</f>
        <v>000414101 - RICHS DUNN BROS</v>
      </c>
      <c r="C17016" t="s">
        <v>1133</v>
      </c>
      <c r="D17016" s="1" t="str">
        <f>"PRG-1045116"</f>
        <v>PRG-1045116</v>
      </c>
      <c r="E17016" t="s">
        <v>1134</v>
      </c>
      <c r="F17016" t="s">
        <v>4</v>
      </c>
      <c r="G17016" t="str">
        <f>""</f>
        <v/>
      </c>
    </row>
    <row r="17017" spans="1:7" x14ac:dyDescent="0.25">
      <c r="A17017" t="s">
        <v>8</v>
      </c>
      <c r="B17017" s="1" t="str">
        <f>"000416382 - RICHS DUNN BROS"</f>
        <v>000416382 - RICHS DUNN BROS</v>
      </c>
      <c r="C17017" t="s">
        <v>1133</v>
      </c>
      <c r="D17017" s="1" t="str">
        <f>"PRG-1045116"</f>
        <v>PRG-1045116</v>
      </c>
      <c r="E17017" t="s">
        <v>1134</v>
      </c>
      <c r="F17017" t="s">
        <v>4</v>
      </c>
      <c r="G17017" t="str">
        <f>""</f>
        <v/>
      </c>
    </row>
    <row r="17018" spans="1:7" x14ac:dyDescent="0.25">
      <c r="A17018" t="s">
        <v>8</v>
      </c>
      <c r="B17018" s="1" t="str">
        <f>"000428347 - RICHS DUNN BROS"</f>
        <v>000428347 - RICHS DUNN BROS</v>
      </c>
      <c r="C17018" t="s">
        <v>1133</v>
      </c>
      <c r="D17018" s="1" t="str">
        <f>"PRG-1045116"</f>
        <v>PRG-1045116</v>
      </c>
      <c r="E17018" t="s">
        <v>1134</v>
      </c>
      <c r="F17018" t="s">
        <v>4</v>
      </c>
      <c r="G17018" t="str">
        <f>""</f>
        <v/>
      </c>
    </row>
    <row r="17019" spans="1:7" x14ac:dyDescent="0.25">
      <c r="A17019" t="s">
        <v>8</v>
      </c>
      <c r="B17019" s="1" t="str">
        <f>"6026J362"</f>
        <v>6026J362</v>
      </c>
      <c r="C17019" t="s">
        <v>5085</v>
      </c>
      <c r="D17019" s="1" t="str">
        <f>"PRG-1045123"</f>
        <v>PRG-1045123</v>
      </c>
      <c r="E17019" t="s">
        <v>1524</v>
      </c>
      <c r="F17019" t="s">
        <v>5</v>
      </c>
      <c r="G17019" t="str">
        <f>""</f>
        <v/>
      </c>
    </row>
    <row r="17020" spans="1:7" x14ac:dyDescent="0.25">
      <c r="A17020" t="s">
        <v>8</v>
      </c>
      <c r="B17020" s="1" t="str">
        <f>"6026J364"</f>
        <v>6026J364</v>
      </c>
      <c r="D17020" s="1" t="str">
        <f>"PRG-1045123"</f>
        <v>PRG-1045123</v>
      </c>
      <c r="E17020" t="s">
        <v>1524</v>
      </c>
      <c r="F17020" t="s">
        <v>5</v>
      </c>
      <c r="G17020" t="str">
        <f>""</f>
        <v/>
      </c>
    </row>
    <row r="17021" spans="1:7" x14ac:dyDescent="0.25">
      <c r="A17021" t="s">
        <v>8</v>
      </c>
      <c r="B17021" s="1" t="str">
        <f>"000051385 - RICH PRODUCTS SLCSD"</f>
        <v>000051385 - RICH PRODUCTS SLCSD</v>
      </c>
      <c r="C17021" t="s">
        <v>657</v>
      </c>
      <c r="D17021" s="1" t="str">
        <f>"PRG-1045174"</f>
        <v>PRG-1045174</v>
      </c>
      <c r="E17021" t="s">
        <v>658</v>
      </c>
      <c r="F17021" t="s">
        <v>4</v>
      </c>
      <c r="G17021" t="str">
        <f>""</f>
        <v/>
      </c>
    </row>
    <row r="17022" spans="1:7" x14ac:dyDescent="0.25">
      <c r="A17022" t="s">
        <v>8</v>
      </c>
      <c r="B17022" s="1" t="str">
        <f>"000291400 - RICH FOODS BAPA-MAIN ARAMARK"</f>
        <v>000291400 - RICH FOODS BAPA-MAIN ARAMARK</v>
      </c>
      <c r="C17022" t="s">
        <v>320</v>
      </c>
      <c r="D17022" s="1" t="str">
        <f>"PRG-1045201"</f>
        <v>PRG-1045201</v>
      </c>
      <c r="E17022" t="s">
        <v>2846</v>
      </c>
      <c r="F17022" t="s">
        <v>4</v>
      </c>
      <c r="G17022" t="str">
        <f>""</f>
        <v/>
      </c>
    </row>
    <row r="17023" spans="1:7" x14ac:dyDescent="0.25">
      <c r="A17023" t="s">
        <v>8</v>
      </c>
      <c r="B17023" s="1" t="str">
        <f>"000347697 - RICH'S ROCKFISH SPIN"</f>
        <v>000347697 - RICH'S ROCKFISH SPIN</v>
      </c>
      <c r="C17023" t="s">
        <v>2902</v>
      </c>
      <c r="D17023" s="1" t="str">
        <f>"PRG-1045207"</f>
        <v>PRG-1045207</v>
      </c>
      <c r="E17023" t="s">
        <v>3478</v>
      </c>
      <c r="F17023" t="s">
        <v>4</v>
      </c>
      <c r="G17023" t="str">
        <f>""</f>
        <v/>
      </c>
    </row>
    <row r="17024" spans="1:7" x14ac:dyDescent="0.25">
      <c r="A17024" t="s">
        <v>8</v>
      </c>
      <c r="B17024" s="1" t="str">
        <f>"000370387 - RICH FOODS-ROCKFISH GRILL"</f>
        <v>000370387 - RICH FOODS-ROCKFISH GRILL</v>
      </c>
      <c r="C17024" t="s">
        <v>3623</v>
      </c>
      <c r="D17024" s="1" t="str">
        <f>"PRG-1045207"</f>
        <v>PRG-1045207</v>
      </c>
      <c r="E17024" t="s">
        <v>3478</v>
      </c>
      <c r="F17024" t="s">
        <v>4</v>
      </c>
      <c r="G17024" t="str">
        <f>""</f>
        <v/>
      </c>
    </row>
    <row r="17025" spans="1:7" x14ac:dyDescent="0.25">
      <c r="A17025" t="s">
        <v>8</v>
      </c>
      <c r="B17025" s="1" t="str">
        <f>"000403223 - RICHS-ROCKFISH"</f>
        <v>000403223 - RICHS-ROCKFISH</v>
      </c>
      <c r="C17025" t="s">
        <v>3722</v>
      </c>
      <c r="D17025" s="1" t="str">
        <f>"PRG-1045207"</f>
        <v>PRG-1045207</v>
      </c>
      <c r="E17025" t="s">
        <v>3478</v>
      </c>
      <c r="F17025" t="s">
        <v>4</v>
      </c>
      <c r="G17025" t="str">
        <f>""</f>
        <v/>
      </c>
    </row>
    <row r="17026" spans="1:7" x14ac:dyDescent="0.25">
      <c r="A17026" t="s">
        <v>8</v>
      </c>
      <c r="B17026" s="1" t="str">
        <f>"000407909 - RICH FOODS-ROCKFISH GRILL"</f>
        <v>000407909 - RICH FOODS-ROCKFISH GRILL</v>
      </c>
      <c r="C17026" t="s">
        <v>3623</v>
      </c>
      <c r="D17026" s="1" t="str">
        <f>"PRG-1045207"</f>
        <v>PRG-1045207</v>
      </c>
      <c r="E17026" t="s">
        <v>3478</v>
      </c>
      <c r="F17026" t="s">
        <v>4</v>
      </c>
      <c r="G17026" t="str">
        <f>""</f>
        <v/>
      </c>
    </row>
    <row r="17027" spans="1:7" x14ac:dyDescent="0.25">
      <c r="A17027" t="s">
        <v>8</v>
      </c>
      <c r="B17027" s="1" t="str">
        <f>"000268805 - FLAVORS CAFE AND GRILL RICH'S"</f>
        <v>000268805 - FLAVORS CAFE AND GRILL RICH'S</v>
      </c>
      <c r="C17027" t="s">
        <v>2442</v>
      </c>
      <c r="D17027" s="1" t="str">
        <f>"PRG-1045215"</f>
        <v>PRG-1045215</v>
      </c>
      <c r="E17027" t="s">
        <v>2443</v>
      </c>
      <c r="F17027" t="s">
        <v>4</v>
      </c>
      <c r="G17027" t="str">
        <f>""</f>
        <v/>
      </c>
    </row>
    <row r="17028" spans="1:7" x14ac:dyDescent="0.25">
      <c r="A17028" t="s">
        <v>8</v>
      </c>
      <c r="B17028" s="1" t="str">
        <f>"000052773 - RICH PRODUCTS FIESTA FUN CTR"</f>
        <v>000052773 - RICH PRODUCTS FIESTA FUN CTR</v>
      </c>
      <c r="C17028" t="s">
        <v>669</v>
      </c>
      <c r="D17028" s="1" t="str">
        <f>"PRG-1045217"</f>
        <v>PRG-1045217</v>
      </c>
      <c r="E17028" t="s">
        <v>670</v>
      </c>
      <c r="F17028" t="s">
        <v>4</v>
      </c>
      <c r="G17028" t="str">
        <f>""</f>
        <v/>
      </c>
    </row>
    <row r="17029" spans="1:7" x14ac:dyDescent="0.25">
      <c r="A17029" t="s">
        <v>8</v>
      </c>
      <c r="B17029" s="1" t="str">
        <f>"000074406 - RICH-COOKIES AYRES"</f>
        <v>000074406 - RICH-COOKIES AYRES</v>
      </c>
      <c r="C17029" t="s">
        <v>740</v>
      </c>
      <c r="D17029" s="1" t="str">
        <f>"PRG-1045218"</f>
        <v>PRG-1045218</v>
      </c>
      <c r="E17029" t="s">
        <v>741</v>
      </c>
      <c r="F17029" t="s">
        <v>4</v>
      </c>
      <c r="G17029" t="str">
        <f>""</f>
        <v/>
      </c>
    </row>
    <row r="17030" spans="1:7" x14ac:dyDescent="0.25">
      <c r="A17030" t="s">
        <v>8</v>
      </c>
      <c r="B17030" s="1" t="str">
        <f>"000386364 - RICH AYRES HOTEL GRP"</f>
        <v>000386364 - RICH AYRES HOTEL GRP</v>
      </c>
      <c r="C17030" t="s">
        <v>3671</v>
      </c>
      <c r="D17030" s="1" t="str">
        <f>"PRG-1045218"</f>
        <v>PRG-1045218</v>
      </c>
      <c r="E17030" t="s">
        <v>741</v>
      </c>
      <c r="F17030" t="s">
        <v>4</v>
      </c>
      <c r="G17030" t="str">
        <f>""</f>
        <v/>
      </c>
    </row>
    <row r="17031" spans="1:7" x14ac:dyDescent="0.25">
      <c r="A17031" t="s">
        <v>8</v>
      </c>
      <c r="B17031" s="1" t="str">
        <f>"000386691 - RICH PROD AYRES HOTELS"</f>
        <v>000386691 - RICH PROD AYRES HOTELS</v>
      </c>
      <c r="C17031" t="s">
        <v>3672</v>
      </c>
      <c r="D17031" s="1" t="str">
        <f>"PRG-1045218"</f>
        <v>PRG-1045218</v>
      </c>
      <c r="E17031" t="s">
        <v>741</v>
      </c>
      <c r="F17031" t="s">
        <v>4</v>
      </c>
      <c r="G17031" t="str">
        <f>""</f>
        <v/>
      </c>
    </row>
    <row r="17032" spans="1:7" x14ac:dyDescent="0.25">
      <c r="A17032" t="s">
        <v>8</v>
      </c>
      <c r="B17032" s="1" t="str">
        <f>"000413863 - RICH FOODS-BLACK ANGUS"</f>
        <v>000413863 - RICH FOODS-BLACK ANGUS</v>
      </c>
      <c r="C17032" t="s">
        <v>188</v>
      </c>
      <c r="D17032" s="1" t="str">
        <f>"PRG-1045220"</f>
        <v>PRG-1045220</v>
      </c>
      <c r="E17032" t="s">
        <v>3129</v>
      </c>
      <c r="F17032" t="s">
        <v>4</v>
      </c>
      <c r="G17032" t="str">
        <f>""</f>
        <v/>
      </c>
    </row>
    <row r="17033" spans="1:7" x14ac:dyDescent="0.25">
      <c r="A17033" t="s">
        <v>8</v>
      </c>
      <c r="B17033" s="1" t="str">
        <f>"000059687 - RICH PRODUCTS CHIN CHIN"</f>
        <v>000059687 - RICH PRODUCTS CHIN CHIN</v>
      </c>
      <c r="C17033" t="s">
        <v>698</v>
      </c>
      <c r="D17033" s="1" t="str">
        <f>"PRG-1045221"</f>
        <v>PRG-1045221</v>
      </c>
      <c r="E17033" t="s">
        <v>699</v>
      </c>
      <c r="F17033" t="s">
        <v>4</v>
      </c>
      <c r="G17033" t="str">
        <f>""</f>
        <v/>
      </c>
    </row>
    <row r="17034" spans="1:7" x14ac:dyDescent="0.25">
      <c r="A17034" t="s">
        <v>8</v>
      </c>
      <c r="B17034" s="1" t="str">
        <f>"000272900 - RICH FOODS-BOSTON PIZZA"</f>
        <v>000272900 - RICH FOODS-BOSTON PIZZA</v>
      </c>
      <c r="C17034" t="s">
        <v>899</v>
      </c>
      <c r="D17034" s="1" t="str">
        <f>"PRG-1045223"</f>
        <v>PRG-1045223</v>
      </c>
      <c r="E17034" t="s">
        <v>293</v>
      </c>
      <c r="F17034" t="s">
        <v>4</v>
      </c>
      <c r="G17034" t="str">
        <f>""</f>
        <v/>
      </c>
    </row>
    <row r="17035" spans="1:7" x14ac:dyDescent="0.25">
      <c r="A17035" t="s">
        <v>8</v>
      </c>
      <c r="B17035" s="1" t="str">
        <f>"000380650 - RICH PROD TX HHSC-FRZN FDS"</f>
        <v>000380650 - RICH PROD TX HHSC-FRZN FDS</v>
      </c>
      <c r="C17035" t="s">
        <v>3652</v>
      </c>
      <c r="D17035" s="1" t="str">
        <f>"PRG-1045261"</f>
        <v>PRG-1045261</v>
      </c>
      <c r="E17035" t="s">
        <v>2870</v>
      </c>
      <c r="F17035" t="s">
        <v>4</v>
      </c>
      <c r="G17035" t="str">
        <f>""</f>
        <v/>
      </c>
    </row>
    <row r="17036" spans="1:7" x14ac:dyDescent="0.25">
      <c r="A17036" t="s">
        <v>8</v>
      </c>
      <c r="B17036" s="1" t="str">
        <f>"000020966 - RICH FOODS BAPA ARAMARK"</f>
        <v>000020966 - RICH FOODS BAPA ARAMARK</v>
      </c>
      <c r="C17036" t="s">
        <v>358</v>
      </c>
      <c r="D17036" s="1" t="str">
        <f t="shared" ref="D17036:D17067" si="459">"PRG-1045266"</f>
        <v>PRG-1045266</v>
      </c>
      <c r="E17036" t="s">
        <v>408</v>
      </c>
      <c r="F17036" t="s">
        <v>4</v>
      </c>
      <c r="G17036" t="str">
        <f>""</f>
        <v/>
      </c>
    </row>
    <row r="17037" spans="1:7" x14ac:dyDescent="0.25">
      <c r="A17037" t="s">
        <v>8</v>
      </c>
      <c r="B17037" s="1" t="str">
        <f>"000021272 - RICH FOODS BAPA ARAMARK"</f>
        <v>000021272 - RICH FOODS BAPA ARAMARK</v>
      </c>
      <c r="C17037" t="s">
        <v>358</v>
      </c>
      <c r="D17037" s="1" t="str">
        <f t="shared" si="459"/>
        <v>PRG-1045266</v>
      </c>
      <c r="E17037" t="s">
        <v>408</v>
      </c>
      <c r="F17037" t="s">
        <v>4</v>
      </c>
      <c r="G17037" t="str">
        <f>""</f>
        <v/>
      </c>
    </row>
    <row r="17038" spans="1:7" x14ac:dyDescent="0.25">
      <c r="A17038" t="s">
        <v>8</v>
      </c>
      <c r="B17038" s="1" t="str">
        <f>"000022186 - RICH FOODS BAPA-MAIN ARAMARK"</f>
        <v>000022186 - RICH FOODS BAPA-MAIN ARAMARK</v>
      </c>
      <c r="C17038" t="s">
        <v>320</v>
      </c>
      <c r="D17038" s="1" t="str">
        <f t="shared" si="459"/>
        <v>PRG-1045266</v>
      </c>
      <c r="E17038" t="s">
        <v>408</v>
      </c>
      <c r="F17038" t="s">
        <v>4</v>
      </c>
      <c r="G17038" t="str">
        <f>""</f>
        <v/>
      </c>
    </row>
    <row r="17039" spans="1:7" x14ac:dyDescent="0.25">
      <c r="A17039" t="s">
        <v>8</v>
      </c>
      <c r="B17039" s="1" t="str">
        <f>"000023236 - RICH FOODS BAPA ARAMARK"</f>
        <v>000023236 - RICH FOODS BAPA ARAMARK</v>
      </c>
      <c r="C17039" t="s">
        <v>358</v>
      </c>
      <c r="D17039" s="1" t="str">
        <f t="shared" si="459"/>
        <v>PRG-1045266</v>
      </c>
      <c r="E17039" t="s">
        <v>408</v>
      </c>
      <c r="F17039" t="s">
        <v>4</v>
      </c>
      <c r="G17039" t="str">
        <f>""</f>
        <v/>
      </c>
    </row>
    <row r="17040" spans="1:7" x14ac:dyDescent="0.25">
      <c r="A17040" t="s">
        <v>8</v>
      </c>
      <c r="B17040" s="1" t="str">
        <f>"000024590 - RICH FOODS BAPA-MAIN ARAMARK"</f>
        <v>000024590 - RICH FOODS BAPA-MAIN ARAMARK</v>
      </c>
      <c r="C17040" t="s">
        <v>320</v>
      </c>
      <c r="D17040" s="1" t="str">
        <f t="shared" si="459"/>
        <v>PRG-1045266</v>
      </c>
      <c r="E17040" t="s">
        <v>408</v>
      </c>
      <c r="F17040" t="s">
        <v>4</v>
      </c>
      <c r="G17040" t="str">
        <f>""</f>
        <v/>
      </c>
    </row>
    <row r="17041" spans="1:7" x14ac:dyDescent="0.25">
      <c r="A17041" t="s">
        <v>8</v>
      </c>
      <c r="B17041" s="1" t="str">
        <f>"000025790 - RICH FOODS BAPA-MAIN ARAMARK"</f>
        <v>000025790 - RICH FOODS BAPA-MAIN ARAMARK</v>
      </c>
      <c r="C17041" t="s">
        <v>320</v>
      </c>
      <c r="D17041" s="1" t="str">
        <f t="shared" si="459"/>
        <v>PRG-1045266</v>
      </c>
      <c r="E17041" t="s">
        <v>408</v>
      </c>
      <c r="F17041" t="s">
        <v>4</v>
      </c>
      <c r="G17041" t="str">
        <f>""</f>
        <v/>
      </c>
    </row>
    <row r="17042" spans="1:7" x14ac:dyDescent="0.25">
      <c r="A17042" t="s">
        <v>8</v>
      </c>
      <c r="B17042" s="1" t="str">
        <f>"000027078 - RICH FOODS-MAIN ARAMARK"</f>
        <v>000027078 - RICH FOODS-MAIN ARAMARK</v>
      </c>
      <c r="C17042" t="s">
        <v>126</v>
      </c>
      <c r="D17042" s="1" t="str">
        <f t="shared" si="459"/>
        <v>PRG-1045266</v>
      </c>
      <c r="E17042" t="s">
        <v>408</v>
      </c>
      <c r="F17042" t="s">
        <v>4</v>
      </c>
      <c r="G17042" t="str">
        <f>""</f>
        <v/>
      </c>
    </row>
    <row r="17043" spans="1:7" x14ac:dyDescent="0.25">
      <c r="A17043" t="s">
        <v>8</v>
      </c>
      <c r="B17043" s="1" t="str">
        <f>"000030198 - RICH FOODS-MAIN ARAMARK"</f>
        <v>000030198 - RICH FOODS-MAIN ARAMARK</v>
      </c>
      <c r="C17043" t="s">
        <v>126</v>
      </c>
      <c r="D17043" s="1" t="str">
        <f t="shared" si="459"/>
        <v>PRG-1045266</v>
      </c>
      <c r="E17043" t="s">
        <v>408</v>
      </c>
      <c r="F17043" t="s">
        <v>4</v>
      </c>
      <c r="G17043" t="str">
        <f>""</f>
        <v/>
      </c>
    </row>
    <row r="17044" spans="1:7" x14ac:dyDescent="0.25">
      <c r="A17044" t="s">
        <v>8</v>
      </c>
      <c r="B17044" s="1" t="str">
        <f>"000032005 - RICH FOODS-MAIN ARAMARK"</f>
        <v>000032005 - RICH FOODS-MAIN ARAMARK</v>
      </c>
      <c r="C17044" t="s">
        <v>126</v>
      </c>
      <c r="D17044" s="1" t="str">
        <f t="shared" si="459"/>
        <v>PRG-1045266</v>
      </c>
      <c r="E17044" t="s">
        <v>408</v>
      </c>
      <c r="F17044" t="s">
        <v>4</v>
      </c>
      <c r="G17044" t="str">
        <f>""</f>
        <v/>
      </c>
    </row>
    <row r="17045" spans="1:7" x14ac:dyDescent="0.25">
      <c r="A17045" t="s">
        <v>8</v>
      </c>
      <c r="B17045" s="1" t="str">
        <f>"000032304 - RICH FOODS BAPA-MAIN ARAMARK"</f>
        <v>000032304 - RICH FOODS BAPA-MAIN ARAMARK</v>
      </c>
      <c r="C17045" t="s">
        <v>320</v>
      </c>
      <c r="D17045" s="1" t="str">
        <f t="shared" si="459"/>
        <v>PRG-1045266</v>
      </c>
      <c r="E17045" t="s">
        <v>408</v>
      </c>
      <c r="F17045" t="s">
        <v>4</v>
      </c>
      <c r="G17045" t="str">
        <f>""</f>
        <v/>
      </c>
    </row>
    <row r="17046" spans="1:7" x14ac:dyDescent="0.25">
      <c r="A17046" t="s">
        <v>8</v>
      </c>
      <c r="B17046" s="1" t="str">
        <f>"000032342 - RICH FOODS BAPA-MAIN ARAMARK"</f>
        <v>000032342 - RICH FOODS BAPA-MAIN ARAMARK</v>
      </c>
      <c r="C17046" t="s">
        <v>320</v>
      </c>
      <c r="D17046" s="1" t="str">
        <f t="shared" si="459"/>
        <v>PRG-1045266</v>
      </c>
      <c r="E17046" t="s">
        <v>408</v>
      </c>
      <c r="F17046" t="s">
        <v>4</v>
      </c>
      <c r="G17046" t="str">
        <f>""</f>
        <v/>
      </c>
    </row>
    <row r="17047" spans="1:7" x14ac:dyDescent="0.25">
      <c r="A17047" t="s">
        <v>8</v>
      </c>
      <c r="B17047" s="1" t="str">
        <f>"000033578 - RICH FOODS BAPA-MAIN ARAMARK"</f>
        <v>000033578 - RICH FOODS BAPA-MAIN ARAMARK</v>
      </c>
      <c r="C17047" t="s">
        <v>320</v>
      </c>
      <c r="D17047" s="1" t="str">
        <f t="shared" si="459"/>
        <v>PRG-1045266</v>
      </c>
      <c r="E17047" t="s">
        <v>408</v>
      </c>
      <c r="F17047" t="s">
        <v>4</v>
      </c>
      <c r="G17047" t="str">
        <f>""</f>
        <v/>
      </c>
    </row>
    <row r="17048" spans="1:7" x14ac:dyDescent="0.25">
      <c r="A17048" t="s">
        <v>8</v>
      </c>
      <c r="B17048" s="1" t="str">
        <f>"000035938 - RICH FOODS BAPA-MAIN ARAMARK"</f>
        <v>000035938 - RICH FOODS BAPA-MAIN ARAMARK</v>
      </c>
      <c r="C17048" t="s">
        <v>320</v>
      </c>
      <c r="D17048" s="1" t="str">
        <f t="shared" si="459"/>
        <v>PRG-1045266</v>
      </c>
      <c r="E17048" t="s">
        <v>408</v>
      </c>
      <c r="F17048" t="s">
        <v>4</v>
      </c>
      <c r="G17048" t="str">
        <f>""</f>
        <v/>
      </c>
    </row>
    <row r="17049" spans="1:7" x14ac:dyDescent="0.25">
      <c r="A17049" t="s">
        <v>8</v>
      </c>
      <c r="B17049" s="1" t="str">
        <f>"000037168 - RICH FOODS BAPA-MAIN ARAMARK"</f>
        <v>000037168 - RICH FOODS BAPA-MAIN ARAMARK</v>
      </c>
      <c r="C17049" t="s">
        <v>320</v>
      </c>
      <c r="D17049" s="1" t="str">
        <f t="shared" si="459"/>
        <v>PRG-1045266</v>
      </c>
      <c r="E17049" t="s">
        <v>408</v>
      </c>
      <c r="F17049" t="s">
        <v>4</v>
      </c>
      <c r="G17049" t="str">
        <f>""</f>
        <v/>
      </c>
    </row>
    <row r="17050" spans="1:7" x14ac:dyDescent="0.25">
      <c r="A17050" t="s">
        <v>8</v>
      </c>
      <c r="B17050" s="1" t="str">
        <f>"000038032 - RICH FOODS-MAIN ARAMARK"</f>
        <v>000038032 - RICH FOODS-MAIN ARAMARK</v>
      </c>
      <c r="C17050" t="s">
        <v>126</v>
      </c>
      <c r="D17050" s="1" t="str">
        <f t="shared" si="459"/>
        <v>PRG-1045266</v>
      </c>
      <c r="E17050" t="s">
        <v>408</v>
      </c>
      <c r="F17050" t="s">
        <v>4</v>
      </c>
      <c r="G17050" t="str">
        <f>""</f>
        <v/>
      </c>
    </row>
    <row r="17051" spans="1:7" x14ac:dyDescent="0.25">
      <c r="A17051" t="s">
        <v>8</v>
      </c>
      <c r="B17051" s="1" t="str">
        <f>"000039467 - RICH FOODS BAPA-MAIN ARAMARK"</f>
        <v>000039467 - RICH FOODS BAPA-MAIN ARAMARK</v>
      </c>
      <c r="C17051" t="s">
        <v>320</v>
      </c>
      <c r="D17051" s="1" t="str">
        <f t="shared" si="459"/>
        <v>PRG-1045266</v>
      </c>
      <c r="E17051" t="s">
        <v>408</v>
      </c>
      <c r="F17051" t="s">
        <v>4</v>
      </c>
      <c r="G17051" t="str">
        <f>""</f>
        <v/>
      </c>
    </row>
    <row r="17052" spans="1:7" x14ac:dyDescent="0.25">
      <c r="A17052" t="s">
        <v>8</v>
      </c>
      <c r="B17052" s="1" t="str">
        <f>"000040415 - RICH FOODS-MAIN ARAMARK"</f>
        <v>000040415 - RICH FOODS-MAIN ARAMARK</v>
      </c>
      <c r="C17052" t="s">
        <v>126</v>
      </c>
      <c r="D17052" s="1" t="str">
        <f t="shared" si="459"/>
        <v>PRG-1045266</v>
      </c>
      <c r="E17052" t="s">
        <v>408</v>
      </c>
      <c r="F17052" t="s">
        <v>4</v>
      </c>
      <c r="G17052" t="str">
        <f>""</f>
        <v/>
      </c>
    </row>
    <row r="17053" spans="1:7" x14ac:dyDescent="0.25">
      <c r="A17053" t="s">
        <v>8</v>
      </c>
      <c r="B17053" s="1" t="str">
        <f>"000040481 - RICH FOODS BAPA-MAIN ARAMARK"</f>
        <v>000040481 - RICH FOODS BAPA-MAIN ARAMARK</v>
      </c>
      <c r="C17053" t="s">
        <v>320</v>
      </c>
      <c r="D17053" s="1" t="str">
        <f t="shared" si="459"/>
        <v>PRG-1045266</v>
      </c>
      <c r="E17053" t="s">
        <v>408</v>
      </c>
      <c r="F17053" t="s">
        <v>4</v>
      </c>
      <c r="G17053" t="str">
        <f>""</f>
        <v/>
      </c>
    </row>
    <row r="17054" spans="1:7" x14ac:dyDescent="0.25">
      <c r="A17054" t="s">
        <v>8</v>
      </c>
      <c r="B17054" s="1" t="str">
        <f>"000040584 - RICH FOODS BAPA-MAIN ARAMARK"</f>
        <v>000040584 - RICH FOODS BAPA-MAIN ARAMARK</v>
      </c>
      <c r="C17054" t="s">
        <v>320</v>
      </c>
      <c r="D17054" s="1" t="str">
        <f t="shared" si="459"/>
        <v>PRG-1045266</v>
      </c>
      <c r="E17054" t="s">
        <v>408</v>
      </c>
      <c r="F17054" t="s">
        <v>4</v>
      </c>
      <c r="G17054" t="str">
        <f>""</f>
        <v/>
      </c>
    </row>
    <row r="17055" spans="1:7" x14ac:dyDescent="0.25">
      <c r="A17055" t="s">
        <v>8</v>
      </c>
      <c r="B17055" s="1" t="str">
        <f>"000041154 - RICH FOODS BAPA-MAIN ARAMARK"</f>
        <v>000041154 - RICH FOODS BAPA-MAIN ARAMARK</v>
      </c>
      <c r="C17055" t="s">
        <v>320</v>
      </c>
      <c r="D17055" s="1" t="str">
        <f t="shared" si="459"/>
        <v>PRG-1045266</v>
      </c>
      <c r="E17055" t="s">
        <v>408</v>
      </c>
      <c r="F17055" t="s">
        <v>4</v>
      </c>
      <c r="G17055" t="str">
        <f>""</f>
        <v/>
      </c>
    </row>
    <row r="17056" spans="1:7" x14ac:dyDescent="0.25">
      <c r="A17056" t="s">
        <v>8</v>
      </c>
      <c r="B17056" s="1" t="str">
        <f>"000041225 - RICH FOODS-MAIN ARAMARK"</f>
        <v>000041225 - RICH FOODS-MAIN ARAMARK</v>
      </c>
      <c r="C17056" t="s">
        <v>126</v>
      </c>
      <c r="D17056" s="1" t="str">
        <f t="shared" si="459"/>
        <v>PRG-1045266</v>
      </c>
      <c r="E17056" t="s">
        <v>408</v>
      </c>
      <c r="F17056" t="s">
        <v>4</v>
      </c>
      <c r="G17056" t="str">
        <f>""</f>
        <v/>
      </c>
    </row>
    <row r="17057" spans="1:7" x14ac:dyDescent="0.25">
      <c r="A17057" t="s">
        <v>8</v>
      </c>
      <c r="B17057" s="1" t="str">
        <f>"000042561 - RICH FOODS BAPA-MAIN ARAMARK"</f>
        <v>000042561 - RICH FOODS BAPA-MAIN ARAMARK</v>
      </c>
      <c r="C17057" t="s">
        <v>320</v>
      </c>
      <c r="D17057" s="1" t="str">
        <f t="shared" si="459"/>
        <v>PRG-1045266</v>
      </c>
      <c r="E17057" t="s">
        <v>408</v>
      </c>
      <c r="F17057" t="s">
        <v>4</v>
      </c>
      <c r="G17057" t="str">
        <f>""</f>
        <v/>
      </c>
    </row>
    <row r="17058" spans="1:7" x14ac:dyDescent="0.25">
      <c r="A17058" t="s">
        <v>8</v>
      </c>
      <c r="B17058" s="1" t="str">
        <f>"000043727 - RICH FOODS-MAIN ARAMARK"</f>
        <v>000043727 - RICH FOODS-MAIN ARAMARK</v>
      </c>
      <c r="C17058" t="s">
        <v>126</v>
      </c>
      <c r="D17058" s="1" t="str">
        <f t="shared" si="459"/>
        <v>PRG-1045266</v>
      </c>
      <c r="E17058" t="s">
        <v>408</v>
      </c>
      <c r="F17058" t="s">
        <v>4</v>
      </c>
      <c r="G17058" t="str">
        <f>""</f>
        <v/>
      </c>
    </row>
    <row r="17059" spans="1:7" x14ac:dyDescent="0.25">
      <c r="A17059" t="s">
        <v>8</v>
      </c>
      <c r="B17059" s="1" t="str">
        <f>"000044761 - RICH FOODS BAPA-MAIN ARAMARK"</f>
        <v>000044761 - RICH FOODS BAPA-MAIN ARAMARK</v>
      </c>
      <c r="C17059" t="s">
        <v>320</v>
      </c>
      <c r="D17059" s="1" t="str">
        <f t="shared" si="459"/>
        <v>PRG-1045266</v>
      </c>
      <c r="E17059" t="s">
        <v>408</v>
      </c>
      <c r="F17059" t="s">
        <v>4</v>
      </c>
      <c r="G17059" t="str">
        <f>""</f>
        <v/>
      </c>
    </row>
    <row r="17060" spans="1:7" x14ac:dyDescent="0.25">
      <c r="A17060" t="s">
        <v>8</v>
      </c>
      <c r="B17060" s="1" t="str">
        <f>"000046430 - RICH FOODS-MAIN ARAMARK"</f>
        <v>000046430 - RICH FOODS-MAIN ARAMARK</v>
      </c>
      <c r="C17060" t="s">
        <v>126</v>
      </c>
      <c r="D17060" s="1" t="str">
        <f t="shared" si="459"/>
        <v>PRG-1045266</v>
      </c>
      <c r="E17060" t="s">
        <v>408</v>
      </c>
      <c r="F17060" t="s">
        <v>4</v>
      </c>
      <c r="G17060" t="str">
        <f>""</f>
        <v/>
      </c>
    </row>
    <row r="17061" spans="1:7" x14ac:dyDescent="0.25">
      <c r="A17061" t="s">
        <v>8</v>
      </c>
      <c r="B17061" s="1" t="str">
        <f>"000049619 - RICH FOODS-MAIN ARAMARK"</f>
        <v>000049619 - RICH FOODS-MAIN ARAMARK</v>
      </c>
      <c r="C17061" t="s">
        <v>126</v>
      </c>
      <c r="D17061" s="1" t="str">
        <f t="shared" si="459"/>
        <v>PRG-1045266</v>
      </c>
      <c r="E17061" t="s">
        <v>408</v>
      </c>
      <c r="F17061" t="s">
        <v>4</v>
      </c>
      <c r="G17061" t="str">
        <f>""</f>
        <v/>
      </c>
    </row>
    <row r="17062" spans="1:7" x14ac:dyDescent="0.25">
      <c r="A17062" t="s">
        <v>8</v>
      </c>
      <c r="B17062" s="1" t="str">
        <f>"000054171 - RICH FOODS-MAIN ARAMARK"</f>
        <v>000054171 - RICH FOODS-MAIN ARAMARK</v>
      </c>
      <c r="C17062" t="s">
        <v>126</v>
      </c>
      <c r="D17062" s="1" t="str">
        <f t="shared" si="459"/>
        <v>PRG-1045266</v>
      </c>
      <c r="E17062" t="s">
        <v>408</v>
      </c>
      <c r="F17062" t="s">
        <v>4</v>
      </c>
      <c r="G17062" t="str">
        <f>""</f>
        <v/>
      </c>
    </row>
    <row r="17063" spans="1:7" x14ac:dyDescent="0.25">
      <c r="A17063" t="s">
        <v>8</v>
      </c>
      <c r="B17063" s="1" t="str">
        <f>"000079143 - RICH FOODS BAPA-MAIN ARAMARK"</f>
        <v>000079143 - RICH FOODS BAPA-MAIN ARAMARK</v>
      </c>
      <c r="C17063" t="s">
        <v>320</v>
      </c>
      <c r="D17063" s="1" t="str">
        <f t="shared" si="459"/>
        <v>PRG-1045266</v>
      </c>
      <c r="E17063" t="s">
        <v>408</v>
      </c>
      <c r="F17063" t="s">
        <v>4</v>
      </c>
      <c r="G17063" t="str">
        <f>""</f>
        <v/>
      </c>
    </row>
    <row r="17064" spans="1:7" x14ac:dyDescent="0.25">
      <c r="A17064" t="s">
        <v>8</v>
      </c>
      <c r="B17064" s="1" t="str">
        <f>"000080114 - RICH FOODS BAPA-MAIN ARAMARK"</f>
        <v>000080114 - RICH FOODS BAPA-MAIN ARAMARK</v>
      </c>
      <c r="C17064" t="s">
        <v>320</v>
      </c>
      <c r="D17064" s="1" t="str">
        <f t="shared" si="459"/>
        <v>PRG-1045266</v>
      </c>
      <c r="E17064" t="s">
        <v>408</v>
      </c>
      <c r="F17064" t="s">
        <v>4</v>
      </c>
      <c r="G17064" t="str">
        <f>""</f>
        <v/>
      </c>
    </row>
    <row r="17065" spans="1:7" x14ac:dyDescent="0.25">
      <c r="A17065" t="s">
        <v>8</v>
      </c>
      <c r="B17065" s="1" t="str">
        <f>"000084043 - RICH FOODS BAPA-MAIN ARAMARK"</f>
        <v>000084043 - RICH FOODS BAPA-MAIN ARAMARK</v>
      </c>
      <c r="C17065" t="s">
        <v>320</v>
      </c>
      <c r="D17065" s="1" t="str">
        <f t="shared" si="459"/>
        <v>PRG-1045266</v>
      </c>
      <c r="E17065" t="s">
        <v>408</v>
      </c>
      <c r="F17065" t="s">
        <v>4</v>
      </c>
      <c r="G17065" t="str">
        <f>""</f>
        <v/>
      </c>
    </row>
    <row r="17066" spans="1:7" x14ac:dyDescent="0.25">
      <c r="A17066" t="s">
        <v>8</v>
      </c>
      <c r="B17066" s="1" t="str">
        <f>"000085009 - RICH FOODS-MAIN ARAMARK"</f>
        <v>000085009 - RICH FOODS-MAIN ARAMARK</v>
      </c>
      <c r="C17066" t="s">
        <v>126</v>
      </c>
      <c r="D17066" s="1" t="str">
        <f t="shared" si="459"/>
        <v>PRG-1045266</v>
      </c>
      <c r="E17066" t="s">
        <v>408</v>
      </c>
      <c r="F17066" t="s">
        <v>4</v>
      </c>
      <c r="G17066" t="str">
        <f>""</f>
        <v/>
      </c>
    </row>
    <row r="17067" spans="1:7" x14ac:dyDescent="0.25">
      <c r="A17067" t="s">
        <v>8</v>
      </c>
      <c r="B17067" s="1" t="str">
        <f>"000087904 - RICH FOODS-SSS ARAMARK"</f>
        <v>000087904 - RICH FOODS-SSS ARAMARK</v>
      </c>
      <c r="C17067" t="s">
        <v>128</v>
      </c>
      <c r="D17067" s="1" t="str">
        <f t="shared" si="459"/>
        <v>PRG-1045266</v>
      </c>
      <c r="E17067" t="s">
        <v>408</v>
      </c>
      <c r="F17067" t="s">
        <v>4</v>
      </c>
      <c r="G17067" t="str">
        <f>""</f>
        <v/>
      </c>
    </row>
    <row r="17068" spans="1:7" x14ac:dyDescent="0.25">
      <c r="A17068" t="s">
        <v>8</v>
      </c>
      <c r="B17068" s="1" t="str">
        <f>"000090182 - RICH FOODS-MAIN ARAMARK"</f>
        <v>000090182 - RICH FOODS-MAIN ARAMARK</v>
      </c>
      <c r="C17068" t="s">
        <v>126</v>
      </c>
      <c r="D17068" s="1" t="str">
        <f t="shared" ref="D17068:D17099" si="460">"PRG-1045266"</f>
        <v>PRG-1045266</v>
      </c>
      <c r="E17068" t="s">
        <v>408</v>
      </c>
      <c r="F17068" t="s">
        <v>4</v>
      </c>
      <c r="G17068" t="str">
        <f>""</f>
        <v/>
      </c>
    </row>
    <row r="17069" spans="1:7" x14ac:dyDescent="0.25">
      <c r="A17069" t="s">
        <v>8</v>
      </c>
      <c r="B17069" s="1" t="str">
        <f>"000093101 - RICH FOODS-MAIN ARAMARK"</f>
        <v>000093101 - RICH FOODS-MAIN ARAMARK</v>
      </c>
      <c r="C17069" t="s">
        <v>126</v>
      </c>
      <c r="D17069" s="1" t="str">
        <f t="shared" si="460"/>
        <v>PRG-1045266</v>
      </c>
      <c r="E17069" t="s">
        <v>408</v>
      </c>
      <c r="F17069" t="s">
        <v>4</v>
      </c>
      <c r="G17069" t="str">
        <f>""</f>
        <v/>
      </c>
    </row>
    <row r="17070" spans="1:7" x14ac:dyDescent="0.25">
      <c r="A17070" t="s">
        <v>8</v>
      </c>
      <c r="B17070" s="1" t="str">
        <f>"000100753 - RICH FOODS BAPA-MAIN ARAMARK"</f>
        <v>000100753 - RICH FOODS BAPA-MAIN ARAMARK</v>
      </c>
      <c r="C17070" t="s">
        <v>320</v>
      </c>
      <c r="D17070" s="1" t="str">
        <f t="shared" si="460"/>
        <v>PRG-1045266</v>
      </c>
      <c r="E17070" t="s">
        <v>408</v>
      </c>
      <c r="F17070" t="s">
        <v>4</v>
      </c>
      <c r="G17070" t="str">
        <f>""</f>
        <v/>
      </c>
    </row>
    <row r="17071" spans="1:7" x14ac:dyDescent="0.25">
      <c r="A17071" t="s">
        <v>8</v>
      </c>
      <c r="B17071" s="1" t="str">
        <f>"000107115 - RICH FOODS-MAIN ARAMARK"</f>
        <v>000107115 - RICH FOODS-MAIN ARAMARK</v>
      </c>
      <c r="C17071" t="s">
        <v>126</v>
      </c>
      <c r="D17071" s="1" t="str">
        <f t="shared" si="460"/>
        <v>PRG-1045266</v>
      </c>
      <c r="E17071" t="s">
        <v>408</v>
      </c>
      <c r="F17071" t="s">
        <v>4</v>
      </c>
      <c r="G17071" t="str">
        <f>""</f>
        <v/>
      </c>
    </row>
    <row r="17072" spans="1:7" x14ac:dyDescent="0.25">
      <c r="A17072" t="s">
        <v>8</v>
      </c>
      <c r="B17072" s="1" t="str">
        <f>"000153335 - RICH FOODS BAPA-MAIN ARAMARK"</f>
        <v>000153335 - RICH FOODS BAPA-MAIN ARAMARK</v>
      </c>
      <c r="C17072" t="s">
        <v>320</v>
      </c>
      <c r="D17072" s="1" t="str">
        <f t="shared" si="460"/>
        <v>PRG-1045266</v>
      </c>
      <c r="E17072" t="s">
        <v>408</v>
      </c>
      <c r="F17072" t="s">
        <v>4</v>
      </c>
      <c r="G17072" t="str">
        <f>""</f>
        <v/>
      </c>
    </row>
    <row r="17073" spans="1:7" x14ac:dyDescent="0.25">
      <c r="A17073" t="s">
        <v>8</v>
      </c>
      <c r="B17073" s="1" t="str">
        <f>"000154699 - RICH FOODS BAPA-MAIN ARAMARK"</f>
        <v>000154699 - RICH FOODS BAPA-MAIN ARAMARK</v>
      </c>
      <c r="C17073" t="s">
        <v>320</v>
      </c>
      <c r="D17073" s="1" t="str">
        <f t="shared" si="460"/>
        <v>PRG-1045266</v>
      </c>
      <c r="E17073" t="s">
        <v>408</v>
      </c>
      <c r="F17073" t="s">
        <v>4</v>
      </c>
      <c r="G17073" t="str">
        <f>""</f>
        <v/>
      </c>
    </row>
    <row r="17074" spans="1:7" x14ac:dyDescent="0.25">
      <c r="A17074" t="s">
        <v>8</v>
      </c>
      <c r="B17074" s="1" t="str">
        <f>"000158120 - RICH FOODS-MAIN ARAMARK"</f>
        <v>000158120 - RICH FOODS-MAIN ARAMARK</v>
      </c>
      <c r="C17074" t="s">
        <v>126</v>
      </c>
      <c r="D17074" s="1" t="str">
        <f t="shared" si="460"/>
        <v>PRG-1045266</v>
      </c>
      <c r="E17074" t="s">
        <v>408</v>
      </c>
      <c r="F17074" t="s">
        <v>4</v>
      </c>
      <c r="G17074" t="str">
        <f>""</f>
        <v/>
      </c>
    </row>
    <row r="17075" spans="1:7" x14ac:dyDescent="0.25">
      <c r="A17075" t="s">
        <v>8</v>
      </c>
      <c r="B17075" s="1" t="str">
        <f>"000160418 - RICH FOODS-MAIN ARAMARK"</f>
        <v>000160418 - RICH FOODS-MAIN ARAMARK</v>
      </c>
      <c r="C17075" t="s">
        <v>126</v>
      </c>
      <c r="D17075" s="1" t="str">
        <f t="shared" si="460"/>
        <v>PRG-1045266</v>
      </c>
      <c r="E17075" t="s">
        <v>408</v>
      </c>
      <c r="F17075" t="s">
        <v>4</v>
      </c>
      <c r="G17075" t="str">
        <f>""</f>
        <v/>
      </c>
    </row>
    <row r="17076" spans="1:7" x14ac:dyDescent="0.25">
      <c r="A17076" t="s">
        <v>8</v>
      </c>
      <c r="B17076" s="1" t="str">
        <f>"000160545 - RICH FOODS-MAIN ARAMARK"</f>
        <v>000160545 - RICH FOODS-MAIN ARAMARK</v>
      </c>
      <c r="C17076" t="s">
        <v>126</v>
      </c>
      <c r="D17076" s="1" t="str">
        <f t="shared" si="460"/>
        <v>PRG-1045266</v>
      </c>
      <c r="E17076" t="s">
        <v>408</v>
      </c>
      <c r="F17076" t="s">
        <v>4</v>
      </c>
      <c r="G17076" t="str">
        <f>""</f>
        <v/>
      </c>
    </row>
    <row r="17077" spans="1:7" x14ac:dyDescent="0.25">
      <c r="A17077" t="s">
        <v>8</v>
      </c>
      <c r="B17077" s="1" t="str">
        <f>"000163464 - RICH FOODS-MAIN ARAMARK"</f>
        <v>000163464 - RICH FOODS-MAIN ARAMARK</v>
      </c>
      <c r="C17077" t="s">
        <v>126</v>
      </c>
      <c r="D17077" s="1" t="str">
        <f t="shared" si="460"/>
        <v>PRG-1045266</v>
      </c>
      <c r="E17077" t="s">
        <v>408</v>
      </c>
      <c r="F17077" t="s">
        <v>4</v>
      </c>
      <c r="G17077" t="str">
        <f>""</f>
        <v/>
      </c>
    </row>
    <row r="17078" spans="1:7" x14ac:dyDescent="0.25">
      <c r="A17078" t="s">
        <v>8</v>
      </c>
      <c r="B17078" s="1" t="str">
        <f>"000173463 - RICH FOODS BAPA-MAIN ARAMARK"</f>
        <v>000173463 - RICH FOODS BAPA-MAIN ARAMARK</v>
      </c>
      <c r="C17078" t="s">
        <v>320</v>
      </c>
      <c r="D17078" s="1" t="str">
        <f t="shared" si="460"/>
        <v>PRG-1045266</v>
      </c>
      <c r="E17078" t="s">
        <v>408</v>
      </c>
      <c r="F17078" t="s">
        <v>4</v>
      </c>
      <c r="G17078" t="str">
        <f>""</f>
        <v/>
      </c>
    </row>
    <row r="17079" spans="1:7" x14ac:dyDescent="0.25">
      <c r="A17079" t="s">
        <v>8</v>
      </c>
      <c r="B17079" s="1" t="str">
        <f>"000176893 - RICH FOODS BAPA-MAIN ARAMARK"</f>
        <v>000176893 - RICH FOODS BAPA-MAIN ARAMARK</v>
      </c>
      <c r="C17079" t="s">
        <v>320</v>
      </c>
      <c r="D17079" s="1" t="str">
        <f t="shared" si="460"/>
        <v>PRG-1045266</v>
      </c>
      <c r="E17079" t="s">
        <v>408</v>
      </c>
      <c r="F17079" t="s">
        <v>4</v>
      </c>
      <c r="G17079" t="str">
        <f>""</f>
        <v/>
      </c>
    </row>
    <row r="17080" spans="1:7" x14ac:dyDescent="0.25">
      <c r="A17080" t="s">
        <v>8</v>
      </c>
      <c r="B17080" s="1" t="str">
        <f>"000179007 - RICH FOODS BAPA-MAIN ARAMARK"</f>
        <v>000179007 - RICH FOODS BAPA-MAIN ARAMARK</v>
      </c>
      <c r="C17080" t="s">
        <v>320</v>
      </c>
      <c r="D17080" s="1" t="str">
        <f t="shared" si="460"/>
        <v>PRG-1045266</v>
      </c>
      <c r="E17080" t="s">
        <v>408</v>
      </c>
      <c r="F17080" t="s">
        <v>4</v>
      </c>
      <c r="G17080" t="str">
        <f>""</f>
        <v/>
      </c>
    </row>
    <row r="17081" spans="1:7" x14ac:dyDescent="0.25">
      <c r="A17081" t="s">
        <v>8</v>
      </c>
      <c r="B17081" s="1" t="str">
        <f>"000180702 - RICH FOODS-SSS ARAMARK"</f>
        <v>000180702 - RICH FOODS-SSS ARAMARK</v>
      </c>
      <c r="C17081" t="s">
        <v>128</v>
      </c>
      <c r="D17081" s="1" t="str">
        <f t="shared" si="460"/>
        <v>PRG-1045266</v>
      </c>
      <c r="E17081" t="s">
        <v>408</v>
      </c>
      <c r="F17081" t="s">
        <v>4</v>
      </c>
      <c r="G17081" t="str">
        <f>""</f>
        <v/>
      </c>
    </row>
    <row r="17082" spans="1:7" x14ac:dyDescent="0.25">
      <c r="A17082" t="s">
        <v>8</v>
      </c>
      <c r="B17082" s="1" t="str">
        <f>"000182847 - RICH FOODS-MAIN ARAMARK"</f>
        <v>000182847 - RICH FOODS-MAIN ARAMARK</v>
      </c>
      <c r="C17082" t="s">
        <v>126</v>
      </c>
      <c r="D17082" s="1" t="str">
        <f t="shared" si="460"/>
        <v>PRG-1045266</v>
      </c>
      <c r="E17082" t="s">
        <v>408</v>
      </c>
      <c r="F17082" t="s">
        <v>4</v>
      </c>
      <c r="G17082" t="str">
        <f>""</f>
        <v/>
      </c>
    </row>
    <row r="17083" spans="1:7" x14ac:dyDescent="0.25">
      <c r="A17083" t="s">
        <v>8</v>
      </c>
      <c r="B17083" s="1" t="str">
        <f>"000186133 - RICH FOODS-MAIN ARAMARK"</f>
        <v>000186133 - RICH FOODS-MAIN ARAMARK</v>
      </c>
      <c r="C17083" t="s">
        <v>126</v>
      </c>
      <c r="D17083" s="1" t="str">
        <f t="shared" si="460"/>
        <v>PRG-1045266</v>
      </c>
      <c r="E17083" t="s">
        <v>408</v>
      </c>
      <c r="F17083" t="s">
        <v>4</v>
      </c>
      <c r="G17083" t="str">
        <f>""</f>
        <v/>
      </c>
    </row>
    <row r="17084" spans="1:7" x14ac:dyDescent="0.25">
      <c r="A17084" t="s">
        <v>8</v>
      </c>
      <c r="B17084" s="1" t="str">
        <f>"000200370 - RICH FOODS BAPA-MAIN ARAMARK"</f>
        <v>000200370 - RICH FOODS BAPA-MAIN ARAMARK</v>
      </c>
      <c r="C17084" t="s">
        <v>320</v>
      </c>
      <c r="D17084" s="1" t="str">
        <f t="shared" si="460"/>
        <v>PRG-1045266</v>
      </c>
      <c r="E17084" t="s">
        <v>408</v>
      </c>
      <c r="F17084" t="s">
        <v>4</v>
      </c>
      <c r="G17084" t="str">
        <f>""</f>
        <v/>
      </c>
    </row>
    <row r="17085" spans="1:7" x14ac:dyDescent="0.25">
      <c r="A17085" t="s">
        <v>8</v>
      </c>
      <c r="B17085" s="1" t="str">
        <f>"000245999 - RICH FOODS BAPA-MAIN ARAMARK"</f>
        <v>000245999 - RICH FOODS BAPA-MAIN ARAMARK</v>
      </c>
      <c r="C17085" t="s">
        <v>320</v>
      </c>
      <c r="D17085" s="1" t="str">
        <f t="shared" si="460"/>
        <v>PRG-1045266</v>
      </c>
      <c r="E17085" t="s">
        <v>408</v>
      </c>
      <c r="F17085" t="s">
        <v>4</v>
      </c>
      <c r="G17085" t="str">
        <f>""</f>
        <v/>
      </c>
    </row>
    <row r="17086" spans="1:7" x14ac:dyDescent="0.25">
      <c r="A17086" t="s">
        <v>8</v>
      </c>
      <c r="B17086" s="1" t="str">
        <f>"000249918 - RICH FOODS-SSS ARAMARK"</f>
        <v>000249918 - RICH FOODS-SSS ARAMARK</v>
      </c>
      <c r="C17086" t="s">
        <v>128</v>
      </c>
      <c r="D17086" s="1" t="str">
        <f t="shared" si="460"/>
        <v>PRG-1045266</v>
      </c>
      <c r="E17086" t="s">
        <v>408</v>
      </c>
      <c r="F17086" t="s">
        <v>4</v>
      </c>
      <c r="G17086" t="str">
        <f>""</f>
        <v/>
      </c>
    </row>
    <row r="17087" spans="1:7" x14ac:dyDescent="0.25">
      <c r="A17087" t="s">
        <v>8</v>
      </c>
      <c r="B17087" s="1" t="str">
        <f>"000251740 - RICH FOODS BAPA-SSS ARAMARK"</f>
        <v>000251740 - RICH FOODS BAPA-SSS ARAMARK</v>
      </c>
      <c r="C17087" t="s">
        <v>373</v>
      </c>
      <c r="D17087" s="1" t="str">
        <f t="shared" si="460"/>
        <v>PRG-1045266</v>
      </c>
      <c r="E17087" t="s">
        <v>408</v>
      </c>
      <c r="F17087" t="s">
        <v>4</v>
      </c>
      <c r="G17087" t="str">
        <f>""</f>
        <v/>
      </c>
    </row>
    <row r="17088" spans="1:7" x14ac:dyDescent="0.25">
      <c r="A17088" t="s">
        <v>8</v>
      </c>
      <c r="B17088" s="1" t="str">
        <f>"000252046 - RICH FOODS-MAIN ARAMARK"</f>
        <v>000252046 - RICH FOODS-MAIN ARAMARK</v>
      </c>
      <c r="C17088" t="s">
        <v>126</v>
      </c>
      <c r="D17088" s="1" t="str">
        <f t="shared" si="460"/>
        <v>PRG-1045266</v>
      </c>
      <c r="E17088" t="s">
        <v>408</v>
      </c>
      <c r="F17088" t="s">
        <v>4</v>
      </c>
      <c r="G17088" t="str">
        <f>""</f>
        <v/>
      </c>
    </row>
    <row r="17089" spans="1:7" x14ac:dyDescent="0.25">
      <c r="A17089" t="s">
        <v>8</v>
      </c>
      <c r="B17089" s="1" t="str">
        <f>"000253441 - RICH FOODS BAPA-MAIN ARAMARK"</f>
        <v>000253441 - RICH FOODS BAPA-MAIN ARAMARK</v>
      </c>
      <c r="C17089" t="s">
        <v>320</v>
      </c>
      <c r="D17089" s="1" t="str">
        <f t="shared" si="460"/>
        <v>PRG-1045266</v>
      </c>
      <c r="E17089" t="s">
        <v>408</v>
      </c>
      <c r="F17089" t="s">
        <v>4</v>
      </c>
      <c r="G17089" t="str">
        <f>""</f>
        <v/>
      </c>
    </row>
    <row r="17090" spans="1:7" x14ac:dyDescent="0.25">
      <c r="A17090" t="s">
        <v>8</v>
      </c>
      <c r="B17090" s="1" t="str">
        <f>"000254267 - RICH FOODS BAPA-MAIN ARAMARK"</f>
        <v>000254267 - RICH FOODS BAPA-MAIN ARAMARK</v>
      </c>
      <c r="C17090" t="s">
        <v>320</v>
      </c>
      <c r="D17090" s="1" t="str">
        <f t="shared" si="460"/>
        <v>PRG-1045266</v>
      </c>
      <c r="E17090" t="s">
        <v>408</v>
      </c>
      <c r="F17090" t="s">
        <v>4</v>
      </c>
      <c r="G17090" t="str">
        <f>""</f>
        <v/>
      </c>
    </row>
    <row r="17091" spans="1:7" x14ac:dyDescent="0.25">
      <c r="A17091" t="s">
        <v>8</v>
      </c>
      <c r="B17091" s="1" t="str">
        <f>"000255140 - RICH FOODS-MAIN ARAMARK"</f>
        <v>000255140 - RICH FOODS-MAIN ARAMARK</v>
      </c>
      <c r="C17091" t="s">
        <v>126</v>
      </c>
      <c r="D17091" s="1" t="str">
        <f t="shared" si="460"/>
        <v>PRG-1045266</v>
      </c>
      <c r="E17091" t="s">
        <v>408</v>
      </c>
      <c r="F17091" t="s">
        <v>4</v>
      </c>
      <c r="G17091" t="str">
        <f>""</f>
        <v/>
      </c>
    </row>
    <row r="17092" spans="1:7" x14ac:dyDescent="0.25">
      <c r="A17092" t="s">
        <v>8</v>
      </c>
      <c r="B17092" s="1" t="str">
        <f>"000255212 - RICH FOODS BAPA-MAIN ARAMARK"</f>
        <v>000255212 - RICH FOODS BAPA-MAIN ARAMARK</v>
      </c>
      <c r="C17092" t="s">
        <v>320</v>
      </c>
      <c r="D17092" s="1" t="str">
        <f t="shared" si="460"/>
        <v>PRG-1045266</v>
      </c>
      <c r="E17092" t="s">
        <v>408</v>
      </c>
      <c r="F17092" t="s">
        <v>4</v>
      </c>
      <c r="G17092" t="str">
        <f>""</f>
        <v/>
      </c>
    </row>
    <row r="17093" spans="1:7" x14ac:dyDescent="0.25">
      <c r="A17093" t="s">
        <v>8</v>
      </c>
      <c r="B17093" s="1" t="str">
        <f>"000255439 - RICH FOODS BAPA-MAIN ARAMARK"</f>
        <v>000255439 - RICH FOODS BAPA-MAIN ARAMARK</v>
      </c>
      <c r="C17093" t="s">
        <v>320</v>
      </c>
      <c r="D17093" s="1" t="str">
        <f t="shared" si="460"/>
        <v>PRG-1045266</v>
      </c>
      <c r="E17093" t="s">
        <v>408</v>
      </c>
      <c r="F17093" t="s">
        <v>4</v>
      </c>
      <c r="G17093" t="str">
        <f>""</f>
        <v/>
      </c>
    </row>
    <row r="17094" spans="1:7" x14ac:dyDescent="0.25">
      <c r="A17094" t="s">
        <v>8</v>
      </c>
      <c r="B17094" s="1" t="str">
        <f>"000257404 - RICH FOODS BAPA-MAIN ARAMARK"</f>
        <v>000257404 - RICH FOODS BAPA-MAIN ARAMARK</v>
      </c>
      <c r="C17094" t="s">
        <v>320</v>
      </c>
      <c r="D17094" s="1" t="str">
        <f t="shared" si="460"/>
        <v>PRG-1045266</v>
      </c>
      <c r="E17094" t="s">
        <v>408</v>
      </c>
      <c r="F17094" t="s">
        <v>4</v>
      </c>
      <c r="G17094" t="str">
        <f>""</f>
        <v/>
      </c>
    </row>
    <row r="17095" spans="1:7" x14ac:dyDescent="0.25">
      <c r="A17095" t="s">
        <v>8</v>
      </c>
      <c r="B17095" s="1" t="str">
        <f>"000259715 - RICH FOODS-MAIN ARAMARK"</f>
        <v>000259715 - RICH FOODS-MAIN ARAMARK</v>
      </c>
      <c r="C17095" t="s">
        <v>126</v>
      </c>
      <c r="D17095" s="1" t="str">
        <f t="shared" si="460"/>
        <v>PRG-1045266</v>
      </c>
      <c r="E17095" t="s">
        <v>408</v>
      </c>
      <c r="F17095" t="s">
        <v>4</v>
      </c>
      <c r="G17095" t="str">
        <f>""</f>
        <v/>
      </c>
    </row>
    <row r="17096" spans="1:7" x14ac:dyDescent="0.25">
      <c r="A17096" t="s">
        <v>8</v>
      </c>
      <c r="B17096" s="1" t="str">
        <f>"000259877 - RICH FOODS-SSS ARAMARK"</f>
        <v>000259877 - RICH FOODS-SSS ARAMARK</v>
      </c>
      <c r="C17096" t="s">
        <v>128</v>
      </c>
      <c r="D17096" s="1" t="str">
        <f t="shared" si="460"/>
        <v>PRG-1045266</v>
      </c>
      <c r="E17096" t="s">
        <v>408</v>
      </c>
      <c r="F17096" t="s">
        <v>4</v>
      </c>
      <c r="G17096" t="str">
        <f>""</f>
        <v/>
      </c>
    </row>
    <row r="17097" spans="1:7" x14ac:dyDescent="0.25">
      <c r="A17097" t="s">
        <v>8</v>
      </c>
      <c r="B17097" s="1" t="str">
        <f>"000260100 - RICH FOODS-MAIN ARAMARK"</f>
        <v>000260100 - RICH FOODS-MAIN ARAMARK</v>
      </c>
      <c r="C17097" t="s">
        <v>126</v>
      </c>
      <c r="D17097" s="1" t="str">
        <f t="shared" si="460"/>
        <v>PRG-1045266</v>
      </c>
      <c r="E17097" t="s">
        <v>408</v>
      </c>
      <c r="F17097" t="s">
        <v>4</v>
      </c>
      <c r="G17097" t="str">
        <f>""</f>
        <v/>
      </c>
    </row>
    <row r="17098" spans="1:7" x14ac:dyDescent="0.25">
      <c r="A17098" t="s">
        <v>8</v>
      </c>
      <c r="B17098" s="1" t="str">
        <f>"000262341 - RICH FOODS-MAIN ARAMARK"</f>
        <v>000262341 - RICH FOODS-MAIN ARAMARK</v>
      </c>
      <c r="C17098" t="s">
        <v>126</v>
      </c>
      <c r="D17098" s="1" t="str">
        <f t="shared" si="460"/>
        <v>PRG-1045266</v>
      </c>
      <c r="E17098" t="s">
        <v>408</v>
      </c>
      <c r="F17098" t="s">
        <v>4</v>
      </c>
      <c r="G17098" t="str">
        <f>""</f>
        <v/>
      </c>
    </row>
    <row r="17099" spans="1:7" x14ac:dyDescent="0.25">
      <c r="A17099" t="s">
        <v>8</v>
      </c>
      <c r="B17099" s="1" t="str">
        <f>"000262548 - RICH FOODS-MAIN ARAMARK"</f>
        <v>000262548 - RICH FOODS-MAIN ARAMARK</v>
      </c>
      <c r="C17099" t="s">
        <v>126</v>
      </c>
      <c r="D17099" s="1" t="str">
        <f t="shared" si="460"/>
        <v>PRG-1045266</v>
      </c>
      <c r="E17099" t="s">
        <v>408</v>
      </c>
      <c r="F17099" t="s">
        <v>4</v>
      </c>
      <c r="G17099" t="str">
        <f>""</f>
        <v/>
      </c>
    </row>
    <row r="17100" spans="1:7" x14ac:dyDescent="0.25">
      <c r="A17100" t="s">
        <v>8</v>
      </c>
      <c r="B17100" s="1" t="str">
        <f>"000263630 - RICH FOODS-MAIN ARAMARK"</f>
        <v>000263630 - RICH FOODS-MAIN ARAMARK</v>
      </c>
      <c r="C17100" t="s">
        <v>126</v>
      </c>
      <c r="D17100" s="1" t="str">
        <f t="shared" ref="D17100:D17131" si="461">"PRG-1045266"</f>
        <v>PRG-1045266</v>
      </c>
      <c r="E17100" t="s">
        <v>408</v>
      </c>
      <c r="F17100" t="s">
        <v>4</v>
      </c>
      <c r="G17100" t="str">
        <f>""</f>
        <v/>
      </c>
    </row>
    <row r="17101" spans="1:7" x14ac:dyDescent="0.25">
      <c r="A17101" t="s">
        <v>8</v>
      </c>
      <c r="B17101" s="1" t="str">
        <f>"000264633 - RICH FOODS BAPA-MAIN ARAMARK"</f>
        <v>000264633 - RICH FOODS BAPA-MAIN ARAMARK</v>
      </c>
      <c r="C17101" t="s">
        <v>320</v>
      </c>
      <c r="D17101" s="1" t="str">
        <f t="shared" si="461"/>
        <v>PRG-1045266</v>
      </c>
      <c r="E17101" t="s">
        <v>408</v>
      </c>
      <c r="F17101" t="s">
        <v>4</v>
      </c>
      <c r="G17101" t="str">
        <f>""</f>
        <v/>
      </c>
    </row>
    <row r="17102" spans="1:7" x14ac:dyDescent="0.25">
      <c r="A17102" t="s">
        <v>8</v>
      </c>
      <c r="B17102" s="1" t="str">
        <f>"000265449 - RICH FOODS-MAIN ARAMARK"</f>
        <v>000265449 - RICH FOODS-MAIN ARAMARK</v>
      </c>
      <c r="C17102" t="s">
        <v>126</v>
      </c>
      <c r="D17102" s="1" t="str">
        <f t="shared" si="461"/>
        <v>PRG-1045266</v>
      </c>
      <c r="E17102" t="s">
        <v>408</v>
      </c>
      <c r="F17102" t="s">
        <v>4</v>
      </c>
      <c r="G17102" t="str">
        <f>""</f>
        <v/>
      </c>
    </row>
    <row r="17103" spans="1:7" x14ac:dyDescent="0.25">
      <c r="A17103" t="s">
        <v>8</v>
      </c>
      <c r="B17103" s="1" t="str">
        <f>"000266854 - RICH FOODS-MAIN ARAMARK"</f>
        <v>000266854 - RICH FOODS-MAIN ARAMARK</v>
      </c>
      <c r="C17103" t="s">
        <v>126</v>
      </c>
      <c r="D17103" s="1" t="str">
        <f t="shared" si="461"/>
        <v>PRG-1045266</v>
      </c>
      <c r="E17103" t="s">
        <v>408</v>
      </c>
      <c r="F17103" t="s">
        <v>4</v>
      </c>
      <c r="G17103" t="str">
        <f>""</f>
        <v/>
      </c>
    </row>
    <row r="17104" spans="1:7" x14ac:dyDescent="0.25">
      <c r="A17104" t="s">
        <v>8</v>
      </c>
      <c r="B17104" s="1" t="str">
        <f>"000268530 - CREATIVE RICHS"</f>
        <v>000268530 - CREATIVE RICHS</v>
      </c>
      <c r="C17104" t="s">
        <v>2437</v>
      </c>
      <c r="D17104" s="1" t="str">
        <f t="shared" si="461"/>
        <v>PRG-1045266</v>
      </c>
      <c r="E17104" t="s">
        <v>408</v>
      </c>
      <c r="F17104" t="s">
        <v>4</v>
      </c>
      <c r="G17104" t="str">
        <f>""</f>
        <v/>
      </c>
    </row>
    <row r="17105" spans="1:7" x14ac:dyDescent="0.25">
      <c r="A17105" t="s">
        <v>8</v>
      </c>
      <c r="B17105" s="1" t="str">
        <f>"000270163 - RICH FOODS-MAIN ARAMARK"</f>
        <v>000270163 - RICH FOODS-MAIN ARAMARK</v>
      </c>
      <c r="C17105" t="s">
        <v>126</v>
      </c>
      <c r="D17105" s="1" t="str">
        <f t="shared" si="461"/>
        <v>PRG-1045266</v>
      </c>
      <c r="E17105" t="s">
        <v>408</v>
      </c>
      <c r="F17105" t="s">
        <v>4</v>
      </c>
      <c r="G17105" t="str">
        <f>""</f>
        <v/>
      </c>
    </row>
    <row r="17106" spans="1:7" x14ac:dyDescent="0.25">
      <c r="A17106" t="s">
        <v>8</v>
      </c>
      <c r="B17106" s="1" t="str">
        <f>"000271364 - RICH FOODS BAPA-MAIN ARAMARK"</f>
        <v>000271364 - RICH FOODS BAPA-MAIN ARAMARK</v>
      </c>
      <c r="C17106" t="s">
        <v>320</v>
      </c>
      <c r="D17106" s="1" t="str">
        <f t="shared" si="461"/>
        <v>PRG-1045266</v>
      </c>
      <c r="E17106" t="s">
        <v>408</v>
      </c>
      <c r="F17106" t="s">
        <v>4</v>
      </c>
      <c r="G17106" t="str">
        <f>""</f>
        <v/>
      </c>
    </row>
    <row r="17107" spans="1:7" x14ac:dyDescent="0.25">
      <c r="A17107" t="s">
        <v>8</v>
      </c>
      <c r="B17107" s="1" t="str">
        <f>"000272588 - RICH FOODS-MAIN ARAMARK"</f>
        <v>000272588 - RICH FOODS-MAIN ARAMARK</v>
      </c>
      <c r="C17107" t="s">
        <v>126</v>
      </c>
      <c r="D17107" s="1" t="str">
        <f t="shared" si="461"/>
        <v>PRG-1045266</v>
      </c>
      <c r="E17107" t="s">
        <v>408</v>
      </c>
      <c r="F17107" t="s">
        <v>4</v>
      </c>
      <c r="G17107" t="str">
        <f>""</f>
        <v/>
      </c>
    </row>
    <row r="17108" spans="1:7" x14ac:dyDescent="0.25">
      <c r="A17108" t="s">
        <v>8</v>
      </c>
      <c r="B17108" s="1" t="str">
        <f>"000275762 - RICH FOODS BAPA-MAIN ARAMARK"</f>
        <v>000275762 - RICH FOODS BAPA-MAIN ARAMARK</v>
      </c>
      <c r="C17108" t="s">
        <v>320</v>
      </c>
      <c r="D17108" s="1" t="str">
        <f t="shared" si="461"/>
        <v>PRG-1045266</v>
      </c>
      <c r="E17108" t="s">
        <v>408</v>
      </c>
      <c r="F17108" t="s">
        <v>4</v>
      </c>
      <c r="G17108" t="str">
        <f>""</f>
        <v/>
      </c>
    </row>
    <row r="17109" spans="1:7" x14ac:dyDescent="0.25">
      <c r="A17109" t="s">
        <v>8</v>
      </c>
      <c r="B17109" s="1" t="str">
        <f>"000276274 - RICH FOODS BAPA-MAIN ARAMARK"</f>
        <v>000276274 - RICH FOODS BAPA-MAIN ARAMARK</v>
      </c>
      <c r="C17109" t="s">
        <v>320</v>
      </c>
      <c r="D17109" s="1" t="str">
        <f t="shared" si="461"/>
        <v>PRG-1045266</v>
      </c>
      <c r="E17109" t="s">
        <v>408</v>
      </c>
      <c r="F17109" t="s">
        <v>4</v>
      </c>
      <c r="G17109" t="str">
        <f>""</f>
        <v/>
      </c>
    </row>
    <row r="17110" spans="1:7" x14ac:dyDescent="0.25">
      <c r="A17110" t="s">
        <v>8</v>
      </c>
      <c r="B17110" s="1" t="str">
        <f>"000277965 - RICH FOODS BAPA-MAIN ARAMARK"</f>
        <v>000277965 - RICH FOODS BAPA-MAIN ARAMARK</v>
      </c>
      <c r="C17110" t="s">
        <v>320</v>
      </c>
      <c r="D17110" s="1" t="str">
        <f t="shared" si="461"/>
        <v>PRG-1045266</v>
      </c>
      <c r="E17110" t="s">
        <v>408</v>
      </c>
      <c r="F17110" t="s">
        <v>4</v>
      </c>
      <c r="G17110" t="str">
        <f>""</f>
        <v/>
      </c>
    </row>
    <row r="17111" spans="1:7" x14ac:dyDescent="0.25">
      <c r="A17111" t="s">
        <v>8</v>
      </c>
      <c r="B17111" s="1" t="str">
        <f>"000277990 - RICH FOODS-MAIN ARAMARK"</f>
        <v>000277990 - RICH FOODS-MAIN ARAMARK</v>
      </c>
      <c r="C17111" t="s">
        <v>126</v>
      </c>
      <c r="D17111" s="1" t="str">
        <f t="shared" si="461"/>
        <v>PRG-1045266</v>
      </c>
      <c r="E17111" t="s">
        <v>408</v>
      </c>
      <c r="F17111" t="s">
        <v>4</v>
      </c>
      <c r="G17111" t="str">
        <f>""</f>
        <v/>
      </c>
    </row>
    <row r="17112" spans="1:7" x14ac:dyDescent="0.25">
      <c r="A17112" t="s">
        <v>8</v>
      </c>
      <c r="B17112" s="1" t="str">
        <f>"000278308 - RICH FOODS BAPA-MAIN ARAMARK"</f>
        <v>000278308 - RICH FOODS BAPA-MAIN ARAMARK</v>
      </c>
      <c r="C17112" t="s">
        <v>320</v>
      </c>
      <c r="D17112" s="1" t="str">
        <f t="shared" si="461"/>
        <v>PRG-1045266</v>
      </c>
      <c r="E17112" t="s">
        <v>408</v>
      </c>
      <c r="F17112" t="s">
        <v>4</v>
      </c>
      <c r="G17112" t="str">
        <f>""</f>
        <v/>
      </c>
    </row>
    <row r="17113" spans="1:7" x14ac:dyDescent="0.25">
      <c r="A17113" t="s">
        <v>8</v>
      </c>
      <c r="B17113" s="1" t="str">
        <f>"000281228 - RICH FOODS-MAIN ARAMARK"</f>
        <v>000281228 - RICH FOODS-MAIN ARAMARK</v>
      </c>
      <c r="C17113" t="s">
        <v>126</v>
      </c>
      <c r="D17113" s="1" t="str">
        <f t="shared" si="461"/>
        <v>PRG-1045266</v>
      </c>
      <c r="E17113" t="s">
        <v>408</v>
      </c>
      <c r="F17113" t="s">
        <v>4</v>
      </c>
      <c r="G17113" t="str">
        <f>""</f>
        <v/>
      </c>
    </row>
    <row r="17114" spans="1:7" x14ac:dyDescent="0.25">
      <c r="A17114" t="s">
        <v>8</v>
      </c>
      <c r="B17114" s="1" t="str">
        <f>"000282606 - RICH FOODS-MAIN ARAMARK"</f>
        <v>000282606 - RICH FOODS-MAIN ARAMARK</v>
      </c>
      <c r="C17114" t="s">
        <v>126</v>
      </c>
      <c r="D17114" s="1" t="str">
        <f t="shared" si="461"/>
        <v>PRG-1045266</v>
      </c>
      <c r="E17114" t="s">
        <v>408</v>
      </c>
      <c r="F17114" t="s">
        <v>4</v>
      </c>
      <c r="G17114" t="str">
        <f>""</f>
        <v/>
      </c>
    </row>
    <row r="17115" spans="1:7" x14ac:dyDescent="0.25">
      <c r="A17115" t="s">
        <v>8</v>
      </c>
      <c r="B17115" s="1" t="str">
        <f>"000282831 - RICH FOODS BAPA-MAIN ARAMARK"</f>
        <v>000282831 - RICH FOODS BAPA-MAIN ARAMARK</v>
      </c>
      <c r="C17115" t="s">
        <v>320</v>
      </c>
      <c r="D17115" s="1" t="str">
        <f t="shared" si="461"/>
        <v>PRG-1045266</v>
      </c>
      <c r="E17115" t="s">
        <v>408</v>
      </c>
      <c r="F17115" t="s">
        <v>4</v>
      </c>
      <c r="G17115" t="str">
        <f>""</f>
        <v/>
      </c>
    </row>
    <row r="17116" spans="1:7" x14ac:dyDescent="0.25">
      <c r="A17116" t="s">
        <v>8</v>
      </c>
      <c r="B17116" s="1" t="str">
        <f>"000282849 - RICH FOODS-SSS ARAMARK"</f>
        <v>000282849 - RICH FOODS-SSS ARAMARK</v>
      </c>
      <c r="C17116" t="s">
        <v>128</v>
      </c>
      <c r="D17116" s="1" t="str">
        <f t="shared" si="461"/>
        <v>PRG-1045266</v>
      </c>
      <c r="E17116" t="s">
        <v>408</v>
      </c>
      <c r="F17116" t="s">
        <v>4</v>
      </c>
      <c r="G17116" t="str">
        <f>""</f>
        <v/>
      </c>
    </row>
    <row r="17117" spans="1:7" x14ac:dyDescent="0.25">
      <c r="A17117" t="s">
        <v>8</v>
      </c>
      <c r="B17117" s="1" t="str">
        <f>"000282928 - RICH FOODS BAPA-MAIN ARAMARK"</f>
        <v>000282928 - RICH FOODS BAPA-MAIN ARAMARK</v>
      </c>
      <c r="C17117" t="s">
        <v>320</v>
      </c>
      <c r="D17117" s="1" t="str">
        <f t="shared" si="461"/>
        <v>PRG-1045266</v>
      </c>
      <c r="E17117" t="s">
        <v>408</v>
      </c>
      <c r="F17117" t="s">
        <v>4</v>
      </c>
      <c r="G17117" t="str">
        <f>""</f>
        <v/>
      </c>
    </row>
    <row r="17118" spans="1:7" x14ac:dyDescent="0.25">
      <c r="A17118" t="s">
        <v>8</v>
      </c>
      <c r="B17118" s="1" t="str">
        <f>"000283095 - RICH FOODS BAPA-MAIN ARAMARK"</f>
        <v>000283095 - RICH FOODS BAPA-MAIN ARAMARK</v>
      </c>
      <c r="C17118" t="s">
        <v>320</v>
      </c>
      <c r="D17118" s="1" t="str">
        <f t="shared" si="461"/>
        <v>PRG-1045266</v>
      </c>
      <c r="E17118" t="s">
        <v>408</v>
      </c>
      <c r="F17118" t="s">
        <v>4</v>
      </c>
      <c r="G17118" t="str">
        <f>""</f>
        <v/>
      </c>
    </row>
    <row r="17119" spans="1:7" x14ac:dyDescent="0.25">
      <c r="A17119" t="s">
        <v>8</v>
      </c>
      <c r="B17119" s="1" t="str">
        <f>"000284007 - RICH FOODS-MAIN ARAMARK"</f>
        <v>000284007 - RICH FOODS-MAIN ARAMARK</v>
      </c>
      <c r="C17119" t="s">
        <v>126</v>
      </c>
      <c r="D17119" s="1" t="str">
        <f t="shared" si="461"/>
        <v>PRG-1045266</v>
      </c>
      <c r="E17119" t="s">
        <v>408</v>
      </c>
      <c r="F17119" t="s">
        <v>4</v>
      </c>
      <c r="G17119" t="str">
        <f>""</f>
        <v/>
      </c>
    </row>
    <row r="17120" spans="1:7" x14ac:dyDescent="0.25">
      <c r="A17120" t="s">
        <v>8</v>
      </c>
      <c r="B17120" s="1" t="str">
        <f>"000284378 - RICH FOODS-MAIN ARAMARK"</f>
        <v>000284378 - RICH FOODS-MAIN ARAMARK</v>
      </c>
      <c r="C17120" t="s">
        <v>126</v>
      </c>
      <c r="D17120" s="1" t="str">
        <f t="shared" si="461"/>
        <v>PRG-1045266</v>
      </c>
      <c r="E17120" t="s">
        <v>408</v>
      </c>
      <c r="F17120" t="s">
        <v>4</v>
      </c>
      <c r="G17120" t="str">
        <f>""</f>
        <v/>
      </c>
    </row>
    <row r="17121" spans="1:7" x14ac:dyDescent="0.25">
      <c r="A17121" t="s">
        <v>8</v>
      </c>
      <c r="B17121" s="1" t="str">
        <f>"000285458 - RICH FOODS-MAIN ARAMARK"</f>
        <v>000285458 - RICH FOODS-MAIN ARAMARK</v>
      </c>
      <c r="C17121" t="s">
        <v>126</v>
      </c>
      <c r="D17121" s="1" t="str">
        <f t="shared" si="461"/>
        <v>PRG-1045266</v>
      </c>
      <c r="E17121" t="s">
        <v>408</v>
      </c>
      <c r="F17121" t="s">
        <v>4</v>
      </c>
      <c r="G17121" t="str">
        <f>""</f>
        <v/>
      </c>
    </row>
    <row r="17122" spans="1:7" x14ac:dyDescent="0.25">
      <c r="A17122" t="s">
        <v>8</v>
      </c>
      <c r="B17122" s="1" t="str">
        <f>"000285771 - RICH FOODS-MAIN ARAMARK"</f>
        <v>000285771 - RICH FOODS-MAIN ARAMARK</v>
      </c>
      <c r="C17122" t="s">
        <v>126</v>
      </c>
      <c r="D17122" s="1" t="str">
        <f t="shared" si="461"/>
        <v>PRG-1045266</v>
      </c>
      <c r="E17122" t="s">
        <v>408</v>
      </c>
      <c r="F17122" t="s">
        <v>4</v>
      </c>
      <c r="G17122" t="str">
        <f>""</f>
        <v/>
      </c>
    </row>
    <row r="17123" spans="1:7" x14ac:dyDescent="0.25">
      <c r="A17123" t="s">
        <v>8</v>
      </c>
      <c r="B17123" s="1" t="str">
        <f>"000286045 - RICH FOODS-BOWLMOR"</f>
        <v>000286045 - RICH FOODS-BOWLMOR</v>
      </c>
      <c r="C17123" t="s">
        <v>577</v>
      </c>
      <c r="D17123" s="1" t="str">
        <f t="shared" si="461"/>
        <v>PRG-1045266</v>
      </c>
      <c r="E17123" t="s">
        <v>408</v>
      </c>
      <c r="F17123" t="s">
        <v>4</v>
      </c>
      <c r="G17123" t="str">
        <f>""</f>
        <v/>
      </c>
    </row>
    <row r="17124" spans="1:7" x14ac:dyDescent="0.25">
      <c r="A17124" t="s">
        <v>8</v>
      </c>
      <c r="B17124" s="1" t="str">
        <f>"000287485 - RICH FOODS-MAIN ARAMARK"</f>
        <v>000287485 - RICH FOODS-MAIN ARAMARK</v>
      </c>
      <c r="C17124" t="s">
        <v>126</v>
      </c>
      <c r="D17124" s="1" t="str">
        <f t="shared" si="461"/>
        <v>PRG-1045266</v>
      </c>
      <c r="E17124" t="s">
        <v>408</v>
      </c>
      <c r="F17124" t="s">
        <v>4</v>
      </c>
      <c r="G17124" t="str">
        <f>""</f>
        <v/>
      </c>
    </row>
    <row r="17125" spans="1:7" x14ac:dyDescent="0.25">
      <c r="A17125" t="s">
        <v>8</v>
      </c>
      <c r="B17125" s="1" t="str">
        <f>"000287912 - RICH FOODS-SSS ARAMARK"</f>
        <v>000287912 - RICH FOODS-SSS ARAMARK</v>
      </c>
      <c r="C17125" t="s">
        <v>128</v>
      </c>
      <c r="D17125" s="1" t="str">
        <f t="shared" si="461"/>
        <v>PRG-1045266</v>
      </c>
      <c r="E17125" t="s">
        <v>408</v>
      </c>
      <c r="F17125" t="s">
        <v>4</v>
      </c>
      <c r="G17125" t="str">
        <f>""</f>
        <v/>
      </c>
    </row>
    <row r="17126" spans="1:7" x14ac:dyDescent="0.25">
      <c r="A17126" t="s">
        <v>8</v>
      </c>
      <c r="B17126" s="1" t="str">
        <f>"000288300 - RICH FOODS-MAIN ARAMARK"</f>
        <v>000288300 - RICH FOODS-MAIN ARAMARK</v>
      </c>
      <c r="C17126" t="s">
        <v>126</v>
      </c>
      <c r="D17126" s="1" t="str">
        <f t="shared" si="461"/>
        <v>PRG-1045266</v>
      </c>
      <c r="E17126" t="s">
        <v>408</v>
      </c>
      <c r="F17126" t="s">
        <v>4</v>
      </c>
      <c r="G17126" t="str">
        <f>""</f>
        <v/>
      </c>
    </row>
    <row r="17127" spans="1:7" x14ac:dyDescent="0.25">
      <c r="A17127" t="s">
        <v>8</v>
      </c>
      <c r="B17127" s="1" t="str">
        <f>"000289343 - RICH FOODS-MAIN ARAMARK"</f>
        <v>000289343 - RICH FOODS-MAIN ARAMARK</v>
      </c>
      <c r="C17127" t="s">
        <v>126</v>
      </c>
      <c r="D17127" s="1" t="str">
        <f t="shared" si="461"/>
        <v>PRG-1045266</v>
      </c>
      <c r="E17127" t="s">
        <v>408</v>
      </c>
      <c r="F17127" t="s">
        <v>4</v>
      </c>
      <c r="G17127" t="str">
        <f>""</f>
        <v/>
      </c>
    </row>
    <row r="17128" spans="1:7" x14ac:dyDescent="0.25">
      <c r="A17128" t="s">
        <v>8</v>
      </c>
      <c r="B17128" s="1" t="str">
        <f>"000290570 - RICH FOODS-MAIN ARAMARK"</f>
        <v>000290570 - RICH FOODS-MAIN ARAMARK</v>
      </c>
      <c r="C17128" t="s">
        <v>126</v>
      </c>
      <c r="D17128" s="1" t="str">
        <f t="shared" si="461"/>
        <v>PRG-1045266</v>
      </c>
      <c r="E17128" t="s">
        <v>408</v>
      </c>
      <c r="F17128" t="s">
        <v>4</v>
      </c>
      <c r="G17128" t="str">
        <f>""</f>
        <v/>
      </c>
    </row>
    <row r="17129" spans="1:7" x14ac:dyDescent="0.25">
      <c r="A17129" t="s">
        <v>8</v>
      </c>
      <c r="B17129" s="1" t="str">
        <f>"000291169 - RICH FOODS-MAIN ARAMARK"</f>
        <v>000291169 - RICH FOODS-MAIN ARAMARK</v>
      </c>
      <c r="C17129" t="s">
        <v>126</v>
      </c>
      <c r="D17129" s="1" t="str">
        <f t="shared" si="461"/>
        <v>PRG-1045266</v>
      </c>
      <c r="E17129" t="s">
        <v>408</v>
      </c>
      <c r="F17129" t="s">
        <v>4</v>
      </c>
      <c r="G17129" t="str">
        <f>""</f>
        <v/>
      </c>
    </row>
    <row r="17130" spans="1:7" x14ac:dyDescent="0.25">
      <c r="A17130" t="s">
        <v>8</v>
      </c>
      <c r="B17130" s="1" t="str">
        <f>"000292527 - RICH FOODS BAPA-MAIN ARAMARK"</f>
        <v>000292527 - RICH FOODS BAPA-MAIN ARAMARK</v>
      </c>
      <c r="C17130" t="s">
        <v>320</v>
      </c>
      <c r="D17130" s="1" t="str">
        <f t="shared" si="461"/>
        <v>PRG-1045266</v>
      </c>
      <c r="E17130" t="s">
        <v>408</v>
      </c>
      <c r="F17130" t="s">
        <v>4</v>
      </c>
      <c r="G17130" t="str">
        <f>""</f>
        <v/>
      </c>
    </row>
    <row r="17131" spans="1:7" x14ac:dyDescent="0.25">
      <c r="A17131" t="s">
        <v>8</v>
      </c>
      <c r="B17131" s="1" t="str">
        <f>"000292757 - RICH FOODS BAPA-MAIN ARAMARK"</f>
        <v>000292757 - RICH FOODS BAPA-MAIN ARAMARK</v>
      </c>
      <c r="C17131" t="s">
        <v>320</v>
      </c>
      <c r="D17131" s="1" t="str">
        <f t="shared" si="461"/>
        <v>PRG-1045266</v>
      </c>
      <c r="E17131" t="s">
        <v>408</v>
      </c>
      <c r="F17131" t="s">
        <v>4</v>
      </c>
      <c r="G17131" t="str">
        <f>""</f>
        <v/>
      </c>
    </row>
    <row r="17132" spans="1:7" x14ac:dyDescent="0.25">
      <c r="A17132" t="s">
        <v>8</v>
      </c>
      <c r="B17132" s="1" t="str">
        <f>"000292866 - RICH FOODS BAPA-MAIN ARAMARK"</f>
        <v>000292866 - RICH FOODS BAPA-MAIN ARAMARK</v>
      </c>
      <c r="C17132" t="s">
        <v>320</v>
      </c>
      <c r="D17132" s="1" t="str">
        <f t="shared" ref="D17132:D17163" si="462">"PRG-1045266"</f>
        <v>PRG-1045266</v>
      </c>
      <c r="E17132" t="s">
        <v>408</v>
      </c>
      <c r="F17132" t="s">
        <v>4</v>
      </c>
      <c r="G17132" t="str">
        <f>""</f>
        <v/>
      </c>
    </row>
    <row r="17133" spans="1:7" x14ac:dyDescent="0.25">
      <c r="A17133" t="s">
        <v>8</v>
      </c>
      <c r="B17133" s="1" t="str">
        <f>"000293999 - RICH FOODS BAPA-MAIN ARAMARK"</f>
        <v>000293999 - RICH FOODS BAPA-MAIN ARAMARK</v>
      </c>
      <c r="C17133" t="s">
        <v>320</v>
      </c>
      <c r="D17133" s="1" t="str">
        <f t="shared" si="462"/>
        <v>PRG-1045266</v>
      </c>
      <c r="E17133" t="s">
        <v>408</v>
      </c>
      <c r="F17133" t="s">
        <v>4</v>
      </c>
      <c r="G17133" t="str">
        <f>""</f>
        <v/>
      </c>
    </row>
    <row r="17134" spans="1:7" x14ac:dyDescent="0.25">
      <c r="A17134" t="s">
        <v>8</v>
      </c>
      <c r="B17134" s="1" t="str">
        <f>"000294392 - RICH FOODS-MAIN ARAMARK"</f>
        <v>000294392 - RICH FOODS-MAIN ARAMARK</v>
      </c>
      <c r="C17134" t="s">
        <v>126</v>
      </c>
      <c r="D17134" s="1" t="str">
        <f t="shared" si="462"/>
        <v>PRG-1045266</v>
      </c>
      <c r="E17134" t="s">
        <v>408</v>
      </c>
      <c r="F17134" t="s">
        <v>4</v>
      </c>
      <c r="G17134" t="str">
        <f>""</f>
        <v/>
      </c>
    </row>
    <row r="17135" spans="1:7" x14ac:dyDescent="0.25">
      <c r="A17135" t="s">
        <v>8</v>
      </c>
      <c r="B17135" s="1" t="str">
        <f>"000296094 - RICH FOODS BAPA-SSS ARAMARK"</f>
        <v>000296094 - RICH FOODS BAPA-SSS ARAMARK</v>
      </c>
      <c r="C17135" t="s">
        <v>373</v>
      </c>
      <c r="D17135" s="1" t="str">
        <f t="shared" si="462"/>
        <v>PRG-1045266</v>
      </c>
      <c r="E17135" t="s">
        <v>408</v>
      </c>
      <c r="F17135" t="s">
        <v>4</v>
      </c>
      <c r="G17135" t="str">
        <f>""</f>
        <v/>
      </c>
    </row>
    <row r="17136" spans="1:7" x14ac:dyDescent="0.25">
      <c r="A17136" t="s">
        <v>8</v>
      </c>
      <c r="B17136" s="1" t="str">
        <f>"000296603 - RICH FOODS-SSS ARAMARK"</f>
        <v>000296603 - RICH FOODS-SSS ARAMARK</v>
      </c>
      <c r="C17136" t="s">
        <v>128</v>
      </c>
      <c r="D17136" s="1" t="str">
        <f t="shared" si="462"/>
        <v>PRG-1045266</v>
      </c>
      <c r="E17136" t="s">
        <v>408</v>
      </c>
      <c r="F17136" t="s">
        <v>4</v>
      </c>
      <c r="G17136" t="str">
        <f>""</f>
        <v/>
      </c>
    </row>
    <row r="17137" spans="1:7" x14ac:dyDescent="0.25">
      <c r="A17137" t="s">
        <v>8</v>
      </c>
      <c r="B17137" s="1" t="str">
        <f>"000297462 - RICH FOODS BAPA-MAIN ARAMARK"</f>
        <v>000297462 - RICH FOODS BAPA-MAIN ARAMARK</v>
      </c>
      <c r="C17137" t="s">
        <v>320</v>
      </c>
      <c r="D17137" s="1" t="str">
        <f t="shared" si="462"/>
        <v>PRG-1045266</v>
      </c>
      <c r="E17137" t="s">
        <v>408</v>
      </c>
      <c r="F17137" t="s">
        <v>4</v>
      </c>
      <c r="G17137" t="str">
        <f>""</f>
        <v/>
      </c>
    </row>
    <row r="17138" spans="1:7" x14ac:dyDescent="0.25">
      <c r="A17138" t="s">
        <v>8</v>
      </c>
      <c r="B17138" s="1" t="str">
        <f>"000298386 - RICH FOODS BAPA-MAIN ARAMARK"</f>
        <v>000298386 - RICH FOODS BAPA-MAIN ARAMARK</v>
      </c>
      <c r="C17138" t="s">
        <v>320</v>
      </c>
      <c r="D17138" s="1" t="str">
        <f t="shared" si="462"/>
        <v>PRG-1045266</v>
      </c>
      <c r="E17138" t="s">
        <v>408</v>
      </c>
      <c r="F17138" t="s">
        <v>4</v>
      </c>
      <c r="G17138" t="str">
        <f>""</f>
        <v/>
      </c>
    </row>
    <row r="17139" spans="1:7" x14ac:dyDescent="0.25">
      <c r="A17139" t="s">
        <v>8</v>
      </c>
      <c r="B17139" s="1" t="str">
        <f>"000298793 - RICH FOODS-MAIN ARAMARK"</f>
        <v>000298793 - RICH FOODS-MAIN ARAMARK</v>
      </c>
      <c r="C17139" t="s">
        <v>126</v>
      </c>
      <c r="D17139" s="1" t="str">
        <f t="shared" si="462"/>
        <v>PRG-1045266</v>
      </c>
      <c r="E17139" t="s">
        <v>408</v>
      </c>
      <c r="F17139" t="s">
        <v>4</v>
      </c>
      <c r="G17139" t="str">
        <f>""</f>
        <v/>
      </c>
    </row>
    <row r="17140" spans="1:7" x14ac:dyDescent="0.25">
      <c r="A17140" t="s">
        <v>8</v>
      </c>
      <c r="B17140" s="1" t="str">
        <f>"000300364 - RICH FOODS-MAIN ARAMARK"</f>
        <v>000300364 - RICH FOODS-MAIN ARAMARK</v>
      </c>
      <c r="C17140" t="s">
        <v>126</v>
      </c>
      <c r="D17140" s="1" t="str">
        <f t="shared" si="462"/>
        <v>PRG-1045266</v>
      </c>
      <c r="E17140" t="s">
        <v>408</v>
      </c>
      <c r="F17140" t="s">
        <v>4</v>
      </c>
      <c r="G17140" t="str">
        <f>""</f>
        <v/>
      </c>
    </row>
    <row r="17141" spans="1:7" x14ac:dyDescent="0.25">
      <c r="A17141" t="s">
        <v>8</v>
      </c>
      <c r="B17141" s="1" t="str">
        <f>"000301588 - RICH FOODS-MAIN ARAMARK"</f>
        <v>000301588 - RICH FOODS-MAIN ARAMARK</v>
      </c>
      <c r="C17141" t="s">
        <v>126</v>
      </c>
      <c r="D17141" s="1" t="str">
        <f t="shared" si="462"/>
        <v>PRG-1045266</v>
      </c>
      <c r="E17141" t="s">
        <v>408</v>
      </c>
      <c r="F17141" t="s">
        <v>4</v>
      </c>
      <c r="G17141" t="str">
        <f>""</f>
        <v/>
      </c>
    </row>
    <row r="17142" spans="1:7" x14ac:dyDescent="0.25">
      <c r="A17142" t="s">
        <v>8</v>
      </c>
      <c r="B17142" s="1" t="str">
        <f>"000302036 - RICH FOODS-MAIN ARAMARK"</f>
        <v>000302036 - RICH FOODS-MAIN ARAMARK</v>
      </c>
      <c r="C17142" t="s">
        <v>126</v>
      </c>
      <c r="D17142" s="1" t="str">
        <f t="shared" si="462"/>
        <v>PRG-1045266</v>
      </c>
      <c r="E17142" t="s">
        <v>408</v>
      </c>
      <c r="F17142" t="s">
        <v>4</v>
      </c>
      <c r="G17142" t="str">
        <f>""</f>
        <v/>
      </c>
    </row>
    <row r="17143" spans="1:7" x14ac:dyDescent="0.25">
      <c r="A17143" t="s">
        <v>8</v>
      </c>
      <c r="B17143" s="1" t="str">
        <f>"000303254 - RICH FOODS-SSS ARAMARK"</f>
        <v>000303254 - RICH FOODS-SSS ARAMARK</v>
      </c>
      <c r="C17143" t="s">
        <v>128</v>
      </c>
      <c r="D17143" s="1" t="str">
        <f t="shared" si="462"/>
        <v>PRG-1045266</v>
      </c>
      <c r="E17143" t="s">
        <v>408</v>
      </c>
      <c r="F17143" t="s">
        <v>4</v>
      </c>
      <c r="G17143" t="str">
        <f>""</f>
        <v/>
      </c>
    </row>
    <row r="17144" spans="1:7" x14ac:dyDescent="0.25">
      <c r="A17144" t="s">
        <v>8</v>
      </c>
      <c r="B17144" s="1" t="str">
        <f>"000303266 - RICH FOODS-MAIN ARAMARK"</f>
        <v>000303266 - RICH FOODS-MAIN ARAMARK</v>
      </c>
      <c r="C17144" t="s">
        <v>126</v>
      </c>
      <c r="D17144" s="1" t="str">
        <f t="shared" si="462"/>
        <v>PRG-1045266</v>
      </c>
      <c r="E17144" t="s">
        <v>408</v>
      </c>
      <c r="F17144" t="s">
        <v>4</v>
      </c>
      <c r="G17144" t="str">
        <f>""</f>
        <v/>
      </c>
    </row>
    <row r="17145" spans="1:7" x14ac:dyDescent="0.25">
      <c r="A17145" t="s">
        <v>8</v>
      </c>
      <c r="B17145" s="1" t="str">
        <f>"000303316 - RICH FOODS BAPA-MAIN ARAMARK"</f>
        <v>000303316 - RICH FOODS BAPA-MAIN ARAMARK</v>
      </c>
      <c r="C17145" t="s">
        <v>320</v>
      </c>
      <c r="D17145" s="1" t="str">
        <f t="shared" si="462"/>
        <v>PRG-1045266</v>
      </c>
      <c r="E17145" t="s">
        <v>408</v>
      </c>
      <c r="F17145" t="s">
        <v>4</v>
      </c>
      <c r="G17145" t="str">
        <f>""</f>
        <v/>
      </c>
    </row>
    <row r="17146" spans="1:7" x14ac:dyDescent="0.25">
      <c r="A17146" t="s">
        <v>8</v>
      </c>
      <c r="B17146" s="1" t="str">
        <f>"000303705 - RICH FOODS BAPA-MAIN ARAMARK"</f>
        <v>000303705 - RICH FOODS BAPA-MAIN ARAMARK</v>
      </c>
      <c r="C17146" t="s">
        <v>320</v>
      </c>
      <c r="D17146" s="1" t="str">
        <f t="shared" si="462"/>
        <v>PRG-1045266</v>
      </c>
      <c r="E17146" t="s">
        <v>408</v>
      </c>
      <c r="F17146" t="s">
        <v>4</v>
      </c>
      <c r="G17146" t="str">
        <f>""</f>
        <v/>
      </c>
    </row>
    <row r="17147" spans="1:7" x14ac:dyDescent="0.25">
      <c r="A17147" t="s">
        <v>8</v>
      </c>
      <c r="B17147" s="1" t="str">
        <f>"000303760 - RICH FOODS BAPA-MAIN ARAMARK"</f>
        <v>000303760 - RICH FOODS BAPA-MAIN ARAMARK</v>
      </c>
      <c r="C17147" t="s">
        <v>320</v>
      </c>
      <c r="D17147" s="1" t="str">
        <f t="shared" si="462"/>
        <v>PRG-1045266</v>
      </c>
      <c r="E17147" t="s">
        <v>408</v>
      </c>
      <c r="F17147" t="s">
        <v>4</v>
      </c>
      <c r="G17147" t="str">
        <f>""</f>
        <v/>
      </c>
    </row>
    <row r="17148" spans="1:7" x14ac:dyDescent="0.25">
      <c r="A17148" t="s">
        <v>8</v>
      </c>
      <c r="B17148" s="1" t="str">
        <f>"000303982 - RICH FOODS BAPA-MAIN ARAMARK"</f>
        <v>000303982 - RICH FOODS BAPA-MAIN ARAMARK</v>
      </c>
      <c r="C17148" t="s">
        <v>320</v>
      </c>
      <c r="D17148" s="1" t="str">
        <f t="shared" si="462"/>
        <v>PRG-1045266</v>
      </c>
      <c r="E17148" t="s">
        <v>408</v>
      </c>
      <c r="F17148" t="s">
        <v>4</v>
      </c>
      <c r="G17148" t="str">
        <f>""</f>
        <v/>
      </c>
    </row>
    <row r="17149" spans="1:7" x14ac:dyDescent="0.25">
      <c r="A17149" t="s">
        <v>8</v>
      </c>
      <c r="B17149" s="1" t="str">
        <f>"000304680 - RICH FOODS BAPA-MAIN ARAMARK"</f>
        <v>000304680 - RICH FOODS BAPA-MAIN ARAMARK</v>
      </c>
      <c r="C17149" t="s">
        <v>320</v>
      </c>
      <c r="D17149" s="1" t="str">
        <f t="shared" si="462"/>
        <v>PRG-1045266</v>
      </c>
      <c r="E17149" t="s">
        <v>408</v>
      </c>
      <c r="F17149" t="s">
        <v>4</v>
      </c>
      <c r="G17149" t="str">
        <f>""</f>
        <v/>
      </c>
    </row>
    <row r="17150" spans="1:7" x14ac:dyDescent="0.25">
      <c r="A17150" t="s">
        <v>8</v>
      </c>
      <c r="B17150" s="1" t="str">
        <f>"000304798 - RICH FOODS-SSS ARAMARK"</f>
        <v>000304798 - RICH FOODS-SSS ARAMARK</v>
      </c>
      <c r="C17150" t="s">
        <v>128</v>
      </c>
      <c r="D17150" s="1" t="str">
        <f t="shared" si="462"/>
        <v>PRG-1045266</v>
      </c>
      <c r="E17150" t="s">
        <v>408</v>
      </c>
      <c r="F17150" t="s">
        <v>4</v>
      </c>
      <c r="G17150" t="str">
        <f>""</f>
        <v/>
      </c>
    </row>
    <row r="17151" spans="1:7" x14ac:dyDescent="0.25">
      <c r="A17151" t="s">
        <v>8</v>
      </c>
      <c r="B17151" s="1" t="str">
        <f>"000305903 - RICH FOODS-MAIN ARAMARK"</f>
        <v>000305903 - RICH FOODS-MAIN ARAMARK</v>
      </c>
      <c r="C17151" t="s">
        <v>126</v>
      </c>
      <c r="D17151" s="1" t="str">
        <f t="shared" si="462"/>
        <v>PRG-1045266</v>
      </c>
      <c r="E17151" t="s">
        <v>408</v>
      </c>
      <c r="F17151" t="s">
        <v>4</v>
      </c>
      <c r="G17151" t="str">
        <f>""</f>
        <v/>
      </c>
    </row>
    <row r="17152" spans="1:7" x14ac:dyDescent="0.25">
      <c r="A17152" t="s">
        <v>8</v>
      </c>
      <c r="B17152" s="1" t="str">
        <f>"000306365 - RICH FOODS-MAIN ARAMARK"</f>
        <v>000306365 - RICH FOODS-MAIN ARAMARK</v>
      </c>
      <c r="C17152" t="s">
        <v>126</v>
      </c>
      <c r="D17152" s="1" t="str">
        <f t="shared" si="462"/>
        <v>PRG-1045266</v>
      </c>
      <c r="E17152" t="s">
        <v>408</v>
      </c>
      <c r="F17152" t="s">
        <v>4</v>
      </c>
      <c r="G17152" t="str">
        <f>""</f>
        <v/>
      </c>
    </row>
    <row r="17153" spans="1:7" x14ac:dyDescent="0.25">
      <c r="A17153" t="s">
        <v>8</v>
      </c>
      <c r="B17153" s="1" t="str">
        <f>"000306607 - RICH FOODS BAPA-MAIN ARAMARK"</f>
        <v>000306607 - RICH FOODS BAPA-MAIN ARAMARK</v>
      </c>
      <c r="C17153" t="s">
        <v>320</v>
      </c>
      <c r="D17153" s="1" t="str">
        <f t="shared" si="462"/>
        <v>PRG-1045266</v>
      </c>
      <c r="E17153" t="s">
        <v>408</v>
      </c>
      <c r="F17153" t="s">
        <v>4</v>
      </c>
      <c r="G17153" t="str">
        <f>""</f>
        <v/>
      </c>
    </row>
    <row r="17154" spans="1:7" x14ac:dyDescent="0.25">
      <c r="A17154" t="s">
        <v>8</v>
      </c>
      <c r="B17154" s="1" t="str">
        <f>"000307250 - RICH FOODS-MAIN ARAMARK"</f>
        <v>000307250 - RICH FOODS-MAIN ARAMARK</v>
      </c>
      <c r="C17154" t="s">
        <v>126</v>
      </c>
      <c r="D17154" s="1" t="str">
        <f t="shared" si="462"/>
        <v>PRG-1045266</v>
      </c>
      <c r="E17154" t="s">
        <v>408</v>
      </c>
      <c r="F17154" t="s">
        <v>4</v>
      </c>
      <c r="G17154" t="str">
        <f>""</f>
        <v/>
      </c>
    </row>
    <row r="17155" spans="1:7" x14ac:dyDescent="0.25">
      <c r="A17155" t="s">
        <v>8</v>
      </c>
      <c r="B17155" s="1" t="str">
        <f>"000307850 - RICH FOODS BAPA-MAIN ARAMARK"</f>
        <v>000307850 - RICH FOODS BAPA-MAIN ARAMARK</v>
      </c>
      <c r="C17155" t="s">
        <v>320</v>
      </c>
      <c r="D17155" s="1" t="str">
        <f t="shared" si="462"/>
        <v>PRG-1045266</v>
      </c>
      <c r="E17155" t="s">
        <v>408</v>
      </c>
      <c r="F17155" t="s">
        <v>4</v>
      </c>
      <c r="G17155" t="str">
        <f>""</f>
        <v/>
      </c>
    </row>
    <row r="17156" spans="1:7" x14ac:dyDescent="0.25">
      <c r="A17156" t="s">
        <v>8</v>
      </c>
      <c r="B17156" s="1" t="str">
        <f>"000307999 - RICH FOODS BAPA-MAIN ARAMARK"</f>
        <v>000307999 - RICH FOODS BAPA-MAIN ARAMARK</v>
      </c>
      <c r="C17156" t="s">
        <v>320</v>
      </c>
      <c r="D17156" s="1" t="str">
        <f t="shared" si="462"/>
        <v>PRG-1045266</v>
      </c>
      <c r="E17156" t="s">
        <v>408</v>
      </c>
      <c r="F17156" t="s">
        <v>4</v>
      </c>
      <c r="G17156" t="str">
        <f>""</f>
        <v/>
      </c>
    </row>
    <row r="17157" spans="1:7" x14ac:dyDescent="0.25">
      <c r="A17157" t="s">
        <v>8</v>
      </c>
      <c r="B17157" s="1" t="str">
        <f>"000308201 - RICH FOODS-SSS ARAMARK"</f>
        <v>000308201 - RICH FOODS-SSS ARAMARK</v>
      </c>
      <c r="C17157" t="s">
        <v>128</v>
      </c>
      <c r="D17157" s="1" t="str">
        <f t="shared" si="462"/>
        <v>PRG-1045266</v>
      </c>
      <c r="E17157" t="s">
        <v>408</v>
      </c>
      <c r="F17157" t="s">
        <v>4</v>
      </c>
      <c r="G17157" t="str">
        <f>""</f>
        <v/>
      </c>
    </row>
    <row r="17158" spans="1:7" x14ac:dyDescent="0.25">
      <c r="A17158" t="s">
        <v>8</v>
      </c>
      <c r="B17158" s="1" t="str">
        <f>"000308903 - RICH FOODS-SSS ARAMARK"</f>
        <v>000308903 - RICH FOODS-SSS ARAMARK</v>
      </c>
      <c r="C17158" t="s">
        <v>128</v>
      </c>
      <c r="D17158" s="1" t="str">
        <f t="shared" si="462"/>
        <v>PRG-1045266</v>
      </c>
      <c r="E17158" t="s">
        <v>408</v>
      </c>
      <c r="F17158" t="s">
        <v>4</v>
      </c>
      <c r="G17158" t="str">
        <f>""</f>
        <v/>
      </c>
    </row>
    <row r="17159" spans="1:7" x14ac:dyDescent="0.25">
      <c r="A17159" t="s">
        <v>8</v>
      </c>
      <c r="B17159" s="1" t="str">
        <f>"000309332 - RICH FOODS-SSS ARAMARK"</f>
        <v>000309332 - RICH FOODS-SSS ARAMARK</v>
      </c>
      <c r="C17159" t="s">
        <v>128</v>
      </c>
      <c r="D17159" s="1" t="str">
        <f t="shared" si="462"/>
        <v>PRG-1045266</v>
      </c>
      <c r="E17159" t="s">
        <v>408</v>
      </c>
      <c r="F17159" t="s">
        <v>4</v>
      </c>
      <c r="G17159" t="str">
        <f>""</f>
        <v/>
      </c>
    </row>
    <row r="17160" spans="1:7" x14ac:dyDescent="0.25">
      <c r="A17160" t="s">
        <v>8</v>
      </c>
      <c r="B17160" s="1" t="str">
        <f>"000309677 - RICH FOODS-MAIN ARAMARK"</f>
        <v>000309677 - RICH FOODS-MAIN ARAMARK</v>
      </c>
      <c r="C17160" t="s">
        <v>126</v>
      </c>
      <c r="D17160" s="1" t="str">
        <f t="shared" si="462"/>
        <v>PRG-1045266</v>
      </c>
      <c r="E17160" t="s">
        <v>408</v>
      </c>
      <c r="F17160" t="s">
        <v>4</v>
      </c>
      <c r="G17160" t="str">
        <f>""</f>
        <v/>
      </c>
    </row>
    <row r="17161" spans="1:7" x14ac:dyDescent="0.25">
      <c r="A17161" t="s">
        <v>8</v>
      </c>
      <c r="B17161" s="1" t="str">
        <f>"000309729 - RICH FOODS-MAIN ARAMARK"</f>
        <v>000309729 - RICH FOODS-MAIN ARAMARK</v>
      </c>
      <c r="C17161" t="s">
        <v>126</v>
      </c>
      <c r="D17161" s="1" t="str">
        <f t="shared" si="462"/>
        <v>PRG-1045266</v>
      </c>
      <c r="E17161" t="s">
        <v>408</v>
      </c>
      <c r="F17161" t="s">
        <v>4</v>
      </c>
      <c r="G17161" t="str">
        <f>""</f>
        <v/>
      </c>
    </row>
    <row r="17162" spans="1:7" x14ac:dyDescent="0.25">
      <c r="A17162" t="s">
        <v>8</v>
      </c>
      <c r="B17162" s="1" t="str">
        <f>"000309773 - RICH FOODS BAPA-MAIN ARAMARK"</f>
        <v>000309773 - RICH FOODS BAPA-MAIN ARAMARK</v>
      </c>
      <c r="C17162" t="s">
        <v>320</v>
      </c>
      <c r="D17162" s="1" t="str">
        <f t="shared" si="462"/>
        <v>PRG-1045266</v>
      </c>
      <c r="E17162" t="s">
        <v>408</v>
      </c>
      <c r="F17162" t="s">
        <v>4</v>
      </c>
      <c r="G17162" t="str">
        <f>""</f>
        <v/>
      </c>
    </row>
    <row r="17163" spans="1:7" x14ac:dyDescent="0.25">
      <c r="A17163" t="s">
        <v>8</v>
      </c>
      <c r="B17163" s="1" t="str">
        <f>"000310217 - RICH FOODS-MAIN ARAMARK"</f>
        <v>000310217 - RICH FOODS-MAIN ARAMARK</v>
      </c>
      <c r="C17163" t="s">
        <v>126</v>
      </c>
      <c r="D17163" s="1" t="str">
        <f t="shared" si="462"/>
        <v>PRG-1045266</v>
      </c>
      <c r="E17163" t="s">
        <v>408</v>
      </c>
      <c r="F17163" t="s">
        <v>4</v>
      </c>
      <c r="G17163" t="str">
        <f>""</f>
        <v/>
      </c>
    </row>
    <row r="17164" spans="1:7" x14ac:dyDescent="0.25">
      <c r="A17164" t="s">
        <v>8</v>
      </c>
      <c r="B17164" s="1" t="str">
        <f>"000310488 - RICH FOODS-MAIN ARAMARK"</f>
        <v>000310488 - RICH FOODS-MAIN ARAMARK</v>
      </c>
      <c r="C17164" t="s">
        <v>126</v>
      </c>
      <c r="D17164" s="1" t="str">
        <f t="shared" ref="D17164:D17195" si="463">"PRG-1045266"</f>
        <v>PRG-1045266</v>
      </c>
      <c r="E17164" t="s">
        <v>408</v>
      </c>
      <c r="F17164" t="s">
        <v>4</v>
      </c>
      <c r="G17164" t="str">
        <f>""</f>
        <v/>
      </c>
    </row>
    <row r="17165" spans="1:7" x14ac:dyDescent="0.25">
      <c r="A17165" t="s">
        <v>8</v>
      </c>
      <c r="B17165" s="1" t="str">
        <f>"000311259 - RICH FOODS-MAIN ARAMARK"</f>
        <v>000311259 - RICH FOODS-MAIN ARAMARK</v>
      </c>
      <c r="C17165" t="s">
        <v>126</v>
      </c>
      <c r="D17165" s="1" t="str">
        <f t="shared" si="463"/>
        <v>PRG-1045266</v>
      </c>
      <c r="E17165" t="s">
        <v>408</v>
      </c>
      <c r="F17165" t="s">
        <v>4</v>
      </c>
      <c r="G17165" t="str">
        <f>""</f>
        <v/>
      </c>
    </row>
    <row r="17166" spans="1:7" x14ac:dyDescent="0.25">
      <c r="A17166" t="s">
        <v>8</v>
      </c>
      <c r="B17166" s="1" t="str">
        <f>"000312080 - RICH FOODS-MAIN ARAMARK"</f>
        <v>000312080 - RICH FOODS-MAIN ARAMARK</v>
      </c>
      <c r="C17166" t="s">
        <v>126</v>
      </c>
      <c r="D17166" s="1" t="str">
        <f t="shared" si="463"/>
        <v>PRG-1045266</v>
      </c>
      <c r="E17166" t="s">
        <v>408</v>
      </c>
      <c r="F17166" t="s">
        <v>4</v>
      </c>
      <c r="G17166" t="str">
        <f>""</f>
        <v/>
      </c>
    </row>
    <row r="17167" spans="1:7" x14ac:dyDescent="0.25">
      <c r="A17167" t="s">
        <v>8</v>
      </c>
      <c r="B17167" s="1" t="str">
        <f>"000312713 - RICH FOODS-MAIN ARAMARK"</f>
        <v>000312713 - RICH FOODS-MAIN ARAMARK</v>
      </c>
      <c r="C17167" t="s">
        <v>126</v>
      </c>
      <c r="D17167" s="1" t="str">
        <f t="shared" si="463"/>
        <v>PRG-1045266</v>
      </c>
      <c r="E17167" t="s">
        <v>408</v>
      </c>
      <c r="F17167" t="s">
        <v>4</v>
      </c>
      <c r="G17167" t="str">
        <f>""</f>
        <v/>
      </c>
    </row>
    <row r="17168" spans="1:7" x14ac:dyDescent="0.25">
      <c r="A17168" t="s">
        <v>8</v>
      </c>
      <c r="B17168" s="1" t="str">
        <f>"000314037 - RICH FOODS-MAIN ARAMARK"</f>
        <v>000314037 - RICH FOODS-MAIN ARAMARK</v>
      </c>
      <c r="C17168" t="s">
        <v>126</v>
      </c>
      <c r="D17168" s="1" t="str">
        <f t="shared" si="463"/>
        <v>PRG-1045266</v>
      </c>
      <c r="E17168" t="s">
        <v>408</v>
      </c>
      <c r="F17168" t="s">
        <v>4</v>
      </c>
      <c r="G17168" t="str">
        <f>""</f>
        <v/>
      </c>
    </row>
    <row r="17169" spans="1:7" x14ac:dyDescent="0.25">
      <c r="A17169" t="s">
        <v>8</v>
      </c>
      <c r="B17169" s="1" t="str">
        <f>"000314340 - RICH FOODS-MAIN ARAMARK"</f>
        <v>000314340 - RICH FOODS-MAIN ARAMARK</v>
      </c>
      <c r="C17169" t="s">
        <v>126</v>
      </c>
      <c r="D17169" s="1" t="str">
        <f t="shared" si="463"/>
        <v>PRG-1045266</v>
      </c>
      <c r="E17169" t="s">
        <v>408</v>
      </c>
      <c r="F17169" t="s">
        <v>4</v>
      </c>
      <c r="G17169" t="str">
        <f>""</f>
        <v/>
      </c>
    </row>
    <row r="17170" spans="1:7" x14ac:dyDescent="0.25">
      <c r="A17170" t="s">
        <v>8</v>
      </c>
      <c r="B17170" s="1" t="str">
        <f>"000314401 - RICH FOODS-MAIN ARAMARK"</f>
        <v>000314401 - RICH FOODS-MAIN ARAMARK</v>
      </c>
      <c r="C17170" t="s">
        <v>126</v>
      </c>
      <c r="D17170" s="1" t="str">
        <f t="shared" si="463"/>
        <v>PRG-1045266</v>
      </c>
      <c r="E17170" t="s">
        <v>408</v>
      </c>
      <c r="F17170" t="s">
        <v>4</v>
      </c>
      <c r="G17170" t="str">
        <f>""</f>
        <v/>
      </c>
    </row>
    <row r="17171" spans="1:7" x14ac:dyDescent="0.25">
      <c r="A17171" t="s">
        <v>8</v>
      </c>
      <c r="B17171" s="1" t="str">
        <f>"000314472 - RICH FOODS-MAIN ARAMARK"</f>
        <v>000314472 - RICH FOODS-MAIN ARAMARK</v>
      </c>
      <c r="C17171" t="s">
        <v>126</v>
      </c>
      <c r="D17171" s="1" t="str">
        <f t="shared" si="463"/>
        <v>PRG-1045266</v>
      </c>
      <c r="E17171" t="s">
        <v>408</v>
      </c>
      <c r="F17171" t="s">
        <v>4</v>
      </c>
      <c r="G17171" t="str">
        <f>""</f>
        <v/>
      </c>
    </row>
    <row r="17172" spans="1:7" x14ac:dyDescent="0.25">
      <c r="A17172" t="s">
        <v>8</v>
      </c>
      <c r="B17172" s="1" t="str">
        <f>"000315180 - RICH FOODS-MAIN ARAMARK"</f>
        <v>000315180 - RICH FOODS-MAIN ARAMARK</v>
      </c>
      <c r="C17172" t="s">
        <v>126</v>
      </c>
      <c r="D17172" s="1" t="str">
        <f t="shared" si="463"/>
        <v>PRG-1045266</v>
      </c>
      <c r="E17172" t="s">
        <v>408</v>
      </c>
      <c r="F17172" t="s">
        <v>4</v>
      </c>
      <c r="G17172" t="str">
        <f>""</f>
        <v/>
      </c>
    </row>
    <row r="17173" spans="1:7" x14ac:dyDescent="0.25">
      <c r="A17173" t="s">
        <v>8</v>
      </c>
      <c r="B17173" s="1" t="str">
        <f>"000316049 - RICH FOODS-MAIN ARAMARK"</f>
        <v>000316049 - RICH FOODS-MAIN ARAMARK</v>
      </c>
      <c r="C17173" t="s">
        <v>126</v>
      </c>
      <c r="D17173" s="1" t="str">
        <f t="shared" si="463"/>
        <v>PRG-1045266</v>
      </c>
      <c r="E17173" t="s">
        <v>408</v>
      </c>
      <c r="F17173" t="s">
        <v>4</v>
      </c>
      <c r="G17173" t="str">
        <f>""</f>
        <v/>
      </c>
    </row>
    <row r="17174" spans="1:7" x14ac:dyDescent="0.25">
      <c r="A17174" t="s">
        <v>8</v>
      </c>
      <c r="B17174" s="1" t="str">
        <f>"000316245 - RICH FOODS-MAIN ARAMARK"</f>
        <v>000316245 - RICH FOODS-MAIN ARAMARK</v>
      </c>
      <c r="C17174" t="s">
        <v>126</v>
      </c>
      <c r="D17174" s="1" t="str">
        <f t="shared" si="463"/>
        <v>PRG-1045266</v>
      </c>
      <c r="E17174" t="s">
        <v>408</v>
      </c>
      <c r="F17174" t="s">
        <v>4</v>
      </c>
      <c r="G17174" t="str">
        <f>""</f>
        <v/>
      </c>
    </row>
    <row r="17175" spans="1:7" x14ac:dyDescent="0.25">
      <c r="A17175" t="s">
        <v>8</v>
      </c>
      <c r="B17175" s="1" t="str">
        <f>"000318769 - RICH FOODS-MAIN ARAMARK"</f>
        <v>000318769 - RICH FOODS-MAIN ARAMARK</v>
      </c>
      <c r="C17175" t="s">
        <v>126</v>
      </c>
      <c r="D17175" s="1" t="str">
        <f t="shared" si="463"/>
        <v>PRG-1045266</v>
      </c>
      <c r="E17175" t="s">
        <v>408</v>
      </c>
      <c r="F17175" t="s">
        <v>4</v>
      </c>
      <c r="G17175" t="str">
        <f>""</f>
        <v/>
      </c>
    </row>
    <row r="17176" spans="1:7" x14ac:dyDescent="0.25">
      <c r="A17176" t="s">
        <v>8</v>
      </c>
      <c r="B17176" s="1" t="str">
        <f>"000322174 - RICHS (BB) CORE-AFNAF"</f>
        <v>000322174 - RICHS (BB) CORE-AFNAF</v>
      </c>
      <c r="C17176" t="s">
        <v>674</v>
      </c>
      <c r="D17176" s="1" t="str">
        <f t="shared" si="463"/>
        <v>PRG-1045266</v>
      </c>
      <c r="E17176" t="s">
        <v>408</v>
      </c>
      <c r="F17176" t="s">
        <v>4</v>
      </c>
      <c r="G17176" t="str">
        <f>""</f>
        <v/>
      </c>
    </row>
    <row r="17177" spans="1:7" x14ac:dyDescent="0.25">
      <c r="A17177" t="s">
        <v>8</v>
      </c>
      <c r="B17177" s="1" t="str">
        <f>"000323423 - RICH FOODS BAPA-MAIN ARAMARK"</f>
        <v>000323423 - RICH FOODS BAPA-MAIN ARAMARK</v>
      </c>
      <c r="C17177" t="s">
        <v>320</v>
      </c>
      <c r="D17177" s="1" t="str">
        <f t="shared" si="463"/>
        <v>PRG-1045266</v>
      </c>
      <c r="E17177" t="s">
        <v>408</v>
      </c>
      <c r="F17177" t="s">
        <v>4</v>
      </c>
      <c r="G17177" t="str">
        <f>""</f>
        <v/>
      </c>
    </row>
    <row r="17178" spans="1:7" x14ac:dyDescent="0.25">
      <c r="A17178" t="s">
        <v>8</v>
      </c>
      <c r="B17178" s="1" t="str">
        <f>"000330077 - RICH FOODS-MAIN ARAMARK"</f>
        <v>000330077 - RICH FOODS-MAIN ARAMARK</v>
      </c>
      <c r="C17178" t="s">
        <v>126</v>
      </c>
      <c r="D17178" s="1" t="str">
        <f t="shared" si="463"/>
        <v>PRG-1045266</v>
      </c>
      <c r="E17178" t="s">
        <v>408</v>
      </c>
      <c r="F17178" t="s">
        <v>4</v>
      </c>
      <c r="G17178" t="str">
        <f>""</f>
        <v/>
      </c>
    </row>
    <row r="17179" spans="1:7" x14ac:dyDescent="0.25">
      <c r="A17179" t="s">
        <v>8</v>
      </c>
      <c r="B17179" s="1" t="str">
        <f>"000332036 - RICH FOODS BAPA-MAIN ARAMARK"</f>
        <v>000332036 - RICH FOODS BAPA-MAIN ARAMARK</v>
      </c>
      <c r="C17179" t="s">
        <v>320</v>
      </c>
      <c r="D17179" s="1" t="str">
        <f t="shared" si="463"/>
        <v>PRG-1045266</v>
      </c>
      <c r="E17179" t="s">
        <v>408</v>
      </c>
      <c r="F17179" t="s">
        <v>4</v>
      </c>
      <c r="G17179" t="str">
        <f>""</f>
        <v/>
      </c>
    </row>
    <row r="17180" spans="1:7" x14ac:dyDescent="0.25">
      <c r="A17180" t="s">
        <v>8</v>
      </c>
      <c r="B17180" s="1" t="str">
        <f>"000338422 - RICH FOODS-MAIN ARAMARK"</f>
        <v>000338422 - RICH FOODS-MAIN ARAMARK</v>
      </c>
      <c r="C17180" t="s">
        <v>126</v>
      </c>
      <c r="D17180" s="1" t="str">
        <f t="shared" si="463"/>
        <v>PRG-1045266</v>
      </c>
      <c r="E17180" t="s">
        <v>408</v>
      </c>
      <c r="F17180" t="s">
        <v>4</v>
      </c>
      <c r="G17180" t="str">
        <f>""</f>
        <v/>
      </c>
    </row>
    <row r="17181" spans="1:7" x14ac:dyDescent="0.25">
      <c r="A17181" t="s">
        <v>8</v>
      </c>
      <c r="B17181" s="1" t="str">
        <f>"000340213 - RICH FOODS BAPA-MAIN ARAMARK"</f>
        <v>000340213 - RICH FOODS BAPA-MAIN ARAMARK</v>
      </c>
      <c r="C17181" t="s">
        <v>320</v>
      </c>
      <c r="D17181" s="1" t="str">
        <f t="shared" si="463"/>
        <v>PRG-1045266</v>
      </c>
      <c r="E17181" t="s">
        <v>408</v>
      </c>
      <c r="F17181" t="s">
        <v>4</v>
      </c>
      <c r="G17181" t="str">
        <f>""</f>
        <v/>
      </c>
    </row>
    <row r="17182" spans="1:7" x14ac:dyDescent="0.25">
      <c r="A17182" t="s">
        <v>8</v>
      </c>
      <c r="B17182" s="1" t="str">
        <f>"000340270 - RICH FOODS BAPA-MAIN ARAMARK"</f>
        <v>000340270 - RICH FOODS BAPA-MAIN ARAMARK</v>
      </c>
      <c r="C17182" t="s">
        <v>320</v>
      </c>
      <c r="D17182" s="1" t="str">
        <f t="shared" si="463"/>
        <v>PRG-1045266</v>
      </c>
      <c r="E17182" t="s">
        <v>408</v>
      </c>
      <c r="F17182" t="s">
        <v>4</v>
      </c>
      <c r="G17182" t="str">
        <f>""</f>
        <v/>
      </c>
    </row>
    <row r="17183" spans="1:7" x14ac:dyDescent="0.25">
      <c r="A17183" t="s">
        <v>8</v>
      </c>
      <c r="B17183" s="1" t="str">
        <f>"000341009 - RICH FOODS BAPA-MAIN ARAMARK"</f>
        <v>000341009 - RICH FOODS BAPA-MAIN ARAMARK</v>
      </c>
      <c r="C17183" t="s">
        <v>320</v>
      </c>
      <c r="D17183" s="1" t="str">
        <f t="shared" si="463"/>
        <v>PRG-1045266</v>
      </c>
      <c r="E17183" t="s">
        <v>408</v>
      </c>
      <c r="F17183" t="s">
        <v>4</v>
      </c>
      <c r="G17183" t="str">
        <f>""</f>
        <v/>
      </c>
    </row>
    <row r="17184" spans="1:7" x14ac:dyDescent="0.25">
      <c r="A17184" t="s">
        <v>8</v>
      </c>
      <c r="B17184" s="1" t="str">
        <f>"000341835 - RICH FOODS-MAIN ARAMARK"</f>
        <v>000341835 - RICH FOODS-MAIN ARAMARK</v>
      </c>
      <c r="C17184" t="s">
        <v>126</v>
      </c>
      <c r="D17184" s="1" t="str">
        <f t="shared" si="463"/>
        <v>PRG-1045266</v>
      </c>
      <c r="E17184" t="s">
        <v>408</v>
      </c>
      <c r="F17184" t="s">
        <v>4</v>
      </c>
      <c r="G17184" t="str">
        <f>""</f>
        <v/>
      </c>
    </row>
    <row r="17185" spans="1:7" x14ac:dyDescent="0.25">
      <c r="A17185" t="s">
        <v>8</v>
      </c>
      <c r="B17185" s="1" t="str">
        <f>"000343769 - RICH FOODS-SSS ARAMARK"</f>
        <v>000343769 - RICH FOODS-SSS ARAMARK</v>
      </c>
      <c r="C17185" t="s">
        <v>128</v>
      </c>
      <c r="D17185" s="1" t="str">
        <f t="shared" si="463"/>
        <v>PRG-1045266</v>
      </c>
      <c r="E17185" t="s">
        <v>408</v>
      </c>
      <c r="F17185" t="s">
        <v>4</v>
      </c>
      <c r="G17185" t="str">
        <f>""</f>
        <v/>
      </c>
    </row>
    <row r="17186" spans="1:7" x14ac:dyDescent="0.25">
      <c r="A17186" t="s">
        <v>8</v>
      </c>
      <c r="B17186" s="1" t="str">
        <f>"000346007 - RICH FOODS-MAIN ARAMARK"</f>
        <v>000346007 - RICH FOODS-MAIN ARAMARK</v>
      </c>
      <c r="C17186" t="s">
        <v>126</v>
      </c>
      <c r="D17186" s="1" t="str">
        <f t="shared" si="463"/>
        <v>PRG-1045266</v>
      </c>
      <c r="E17186" t="s">
        <v>408</v>
      </c>
      <c r="F17186" t="s">
        <v>4</v>
      </c>
      <c r="G17186" t="str">
        <f>""</f>
        <v/>
      </c>
    </row>
    <row r="17187" spans="1:7" x14ac:dyDescent="0.25">
      <c r="A17187" t="s">
        <v>8</v>
      </c>
      <c r="B17187" s="1" t="str">
        <f>"000346033 - RICH FOODS-MAIN ARAMARK"</f>
        <v>000346033 - RICH FOODS-MAIN ARAMARK</v>
      </c>
      <c r="C17187" t="s">
        <v>126</v>
      </c>
      <c r="D17187" s="1" t="str">
        <f t="shared" si="463"/>
        <v>PRG-1045266</v>
      </c>
      <c r="E17187" t="s">
        <v>408</v>
      </c>
      <c r="F17187" t="s">
        <v>4</v>
      </c>
      <c r="G17187" t="str">
        <f>""</f>
        <v/>
      </c>
    </row>
    <row r="17188" spans="1:7" x14ac:dyDescent="0.25">
      <c r="A17188" t="s">
        <v>8</v>
      </c>
      <c r="B17188" s="1" t="str">
        <f>"000348735 - RICH FOODS-MAIN ARAMARK"</f>
        <v>000348735 - RICH FOODS-MAIN ARAMARK</v>
      </c>
      <c r="C17188" t="s">
        <v>126</v>
      </c>
      <c r="D17188" s="1" t="str">
        <f t="shared" si="463"/>
        <v>PRG-1045266</v>
      </c>
      <c r="E17188" t="s">
        <v>408</v>
      </c>
      <c r="F17188" t="s">
        <v>4</v>
      </c>
      <c r="G17188" t="str">
        <f>""</f>
        <v/>
      </c>
    </row>
    <row r="17189" spans="1:7" x14ac:dyDescent="0.25">
      <c r="A17189" t="s">
        <v>8</v>
      </c>
      <c r="B17189" s="1" t="str">
        <f>"000354008 - RICH FOODS BAPA-MAIN ARAMARK"</f>
        <v>000354008 - RICH FOODS BAPA-MAIN ARAMARK</v>
      </c>
      <c r="C17189" t="s">
        <v>320</v>
      </c>
      <c r="D17189" s="1" t="str">
        <f t="shared" si="463"/>
        <v>PRG-1045266</v>
      </c>
      <c r="E17189" t="s">
        <v>408</v>
      </c>
      <c r="F17189" t="s">
        <v>4</v>
      </c>
      <c r="G17189" t="str">
        <f>""</f>
        <v/>
      </c>
    </row>
    <row r="17190" spans="1:7" x14ac:dyDescent="0.25">
      <c r="A17190" t="s">
        <v>8</v>
      </c>
      <c r="B17190" s="1" t="str">
        <f>"000361154 - RICH FOODS-MAIN ARAMARK"</f>
        <v>000361154 - RICH FOODS-MAIN ARAMARK</v>
      </c>
      <c r="C17190" t="s">
        <v>126</v>
      </c>
      <c r="D17190" s="1" t="str">
        <f t="shared" si="463"/>
        <v>PRG-1045266</v>
      </c>
      <c r="E17190" t="s">
        <v>408</v>
      </c>
      <c r="F17190" t="s">
        <v>4</v>
      </c>
      <c r="G17190" t="str">
        <f>""</f>
        <v/>
      </c>
    </row>
    <row r="17191" spans="1:7" x14ac:dyDescent="0.25">
      <c r="A17191" t="s">
        <v>8</v>
      </c>
      <c r="B17191" s="1" t="str">
        <f>"000368418 - RICH FOODS BAPA-MAIN ARAMARK"</f>
        <v>000368418 - RICH FOODS BAPA-MAIN ARAMARK</v>
      </c>
      <c r="C17191" t="s">
        <v>320</v>
      </c>
      <c r="D17191" s="1" t="str">
        <f t="shared" si="463"/>
        <v>PRG-1045266</v>
      </c>
      <c r="E17191" t="s">
        <v>408</v>
      </c>
      <c r="F17191" t="s">
        <v>4</v>
      </c>
      <c r="G17191" t="str">
        <f>""</f>
        <v/>
      </c>
    </row>
    <row r="17192" spans="1:7" x14ac:dyDescent="0.25">
      <c r="A17192" t="s">
        <v>8</v>
      </c>
      <c r="B17192" s="1" t="str">
        <f>"000370006 - RICH FOODS BAPA-MAIN ARAMARK"</f>
        <v>000370006 - RICH FOODS BAPA-MAIN ARAMARK</v>
      </c>
      <c r="C17192" t="s">
        <v>320</v>
      </c>
      <c r="D17192" s="1" t="str">
        <f t="shared" si="463"/>
        <v>PRG-1045266</v>
      </c>
      <c r="E17192" t="s">
        <v>408</v>
      </c>
      <c r="F17192" t="s">
        <v>4</v>
      </c>
      <c r="G17192" t="str">
        <f>""</f>
        <v/>
      </c>
    </row>
    <row r="17193" spans="1:7" x14ac:dyDescent="0.25">
      <c r="A17193" t="s">
        <v>8</v>
      </c>
      <c r="B17193" s="1" t="str">
        <f>"000374388 - RICH FOODS BAPA-MAIN ARAMARK"</f>
        <v>000374388 - RICH FOODS BAPA-MAIN ARAMARK</v>
      </c>
      <c r="C17193" t="s">
        <v>320</v>
      </c>
      <c r="D17193" s="1" t="str">
        <f t="shared" si="463"/>
        <v>PRG-1045266</v>
      </c>
      <c r="E17193" t="s">
        <v>408</v>
      </c>
      <c r="F17193" t="s">
        <v>4</v>
      </c>
      <c r="G17193" t="str">
        <f>""</f>
        <v/>
      </c>
    </row>
    <row r="17194" spans="1:7" x14ac:dyDescent="0.25">
      <c r="A17194" t="s">
        <v>8</v>
      </c>
      <c r="B17194" s="1" t="str">
        <f>"000374573 - RICH FOODS-SSS ARAMARK"</f>
        <v>000374573 - RICH FOODS-SSS ARAMARK</v>
      </c>
      <c r="C17194" t="s">
        <v>128</v>
      </c>
      <c r="D17194" s="1" t="str">
        <f t="shared" si="463"/>
        <v>PRG-1045266</v>
      </c>
      <c r="E17194" t="s">
        <v>408</v>
      </c>
      <c r="F17194" t="s">
        <v>4</v>
      </c>
      <c r="G17194" t="str">
        <f>""</f>
        <v/>
      </c>
    </row>
    <row r="17195" spans="1:7" x14ac:dyDescent="0.25">
      <c r="A17195" t="s">
        <v>8</v>
      </c>
      <c r="B17195" s="1" t="str">
        <f>"000375362 - RICH FOODS-SSS ARAMARK"</f>
        <v>000375362 - RICH FOODS-SSS ARAMARK</v>
      </c>
      <c r="C17195" t="s">
        <v>128</v>
      </c>
      <c r="D17195" s="1" t="str">
        <f t="shared" si="463"/>
        <v>PRG-1045266</v>
      </c>
      <c r="E17195" t="s">
        <v>408</v>
      </c>
      <c r="F17195" t="s">
        <v>4</v>
      </c>
      <c r="G17195" t="str">
        <f>""</f>
        <v/>
      </c>
    </row>
    <row r="17196" spans="1:7" x14ac:dyDescent="0.25">
      <c r="A17196" t="s">
        <v>8</v>
      </c>
      <c r="B17196" s="1" t="str">
        <f>"000377734 - PIZZA BOLIS  RICHS"</f>
        <v>000377734 - PIZZA BOLIS  RICHS</v>
      </c>
      <c r="C17196" t="s">
        <v>3647</v>
      </c>
      <c r="D17196" s="1" t="str">
        <f t="shared" ref="D17196:D17225" si="464">"PRG-1045266"</f>
        <v>PRG-1045266</v>
      </c>
      <c r="E17196" t="s">
        <v>408</v>
      </c>
      <c r="F17196" t="s">
        <v>4</v>
      </c>
      <c r="G17196" t="str">
        <f>""</f>
        <v/>
      </c>
    </row>
    <row r="17197" spans="1:7" x14ac:dyDescent="0.25">
      <c r="A17197" t="s">
        <v>8</v>
      </c>
      <c r="B17197" s="1" t="str">
        <f>"000377990 - RICH FOODS-MAIN ARAMARK"</f>
        <v>000377990 - RICH FOODS-MAIN ARAMARK</v>
      </c>
      <c r="C17197" t="s">
        <v>126</v>
      </c>
      <c r="D17197" s="1" t="str">
        <f t="shared" si="464"/>
        <v>PRG-1045266</v>
      </c>
      <c r="E17197" t="s">
        <v>408</v>
      </c>
      <c r="F17197" t="s">
        <v>4</v>
      </c>
      <c r="G17197" t="str">
        <f>""</f>
        <v/>
      </c>
    </row>
    <row r="17198" spans="1:7" x14ac:dyDescent="0.25">
      <c r="A17198" t="s">
        <v>8</v>
      </c>
      <c r="B17198" s="1" t="str">
        <f>"000378041 - RICH FOODS BAPA-MAIN ARAMARK"</f>
        <v>000378041 - RICH FOODS BAPA-MAIN ARAMARK</v>
      </c>
      <c r="C17198" t="s">
        <v>320</v>
      </c>
      <c r="D17198" s="1" t="str">
        <f t="shared" si="464"/>
        <v>PRG-1045266</v>
      </c>
      <c r="E17198" t="s">
        <v>408</v>
      </c>
      <c r="F17198" t="s">
        <v>4</v>
      </c>
      <c r="G17198" t="str">
        <f>""</f>
        <v/>
      </c>
    </row>
    <row r="17199" spans="1:7" x14ac:dyDescent="0.25">
      <c r="A17199" t="s">
        <v>8</v>
      </c>
      <c r="B17199" s="1" t="str">
        <f>"000378264 - RICH FOODS-MAIN ARAMARK"</f>
        <v>000378264 - RICH FOODS-MAIN ARAMARK</v>
      </c>
      <c r="C17199" t="s">
        <v>126</v>
      </c>
      <c r="D17199" s="1" t="str">
        <f t="shared" si="464"/>
        <v>PRG-1045266</v>
      </c>
      <c r="E17199" t="s">
        <v>408</v>
      </c>
      <c r="F17199" t="s">
        <v>4</v>
      </c>
      <c r="G17199" t="str">
        <f>""</f>
        <v/>
      </c>
    </row>
    <row r="17200" spans="1:7" x14ac:dyDescent="0.25">
      <c r="A17200" t="s">
        <v>8</v>
      </c>
      <c r="B17200" s="1" t="str">
        <f>"000379858 - RICH FOODS BAPA-MAIN ARAMARK"</f>
        <v>000379858 - RICH FOODS BAPA-MAIN ARAMARK</v>
      </c>
      <c r="C17200" t="s">
        <v>320</v>
      </c>
      <c r="D17200" s="1" t="str">
        <f t="shared" si="464"/>
        <v>PRG-1045266</v>
      </c>
      <c r="E17200" t="s">
        <v>408</v>
      </c>
      <c r="F17200" t="s">
        <v>4</v>
      </c>
      <c r="G17200" t="str">
        <f>""</f>
        <v/>
      </c>
    </row>
    <row r="17201" spans="1:7" x14ac:dyDescent="0.25">
      <c r="A17201" t="s">
        <v>8</v>
      </c>
      <c r="B17201" s="1" t="str">
        <f>"000381352 - RICH FOODS-MAIN ARAMARK"</f>
        <v>000381352 - RICH FOODS-MAIN ARAMARK</v>
      </c>
      <c r="C17201" t="s">
        <v>126</v>
      </c>
      <c r="D17201" s="1" t="str">
        <f t="shared" si="464"/>
        <v>PRG-1045266</v>
      </c>
      <c r="E17201" t="s">
        <v>408</v>
      </c>
      <c r="F17201" t="s">
        <v>4</v>
      </c>
      <c r="G17201" t="str">
        <f>""</f>
        <v/>
      </c>
    </row>
    <row r="17202" spans="1:7" x14ac:dyDescent="0.25">
      <c r="A17202" t="s">
        <v>8</v>
      </c>
      <c r="B17202" s="1" t="str">
        <f>"000383090 - RICH FOODS-MAIN ARAMARK"</f>
        <v>000383090 - RICH FOODS-MAIN ARAMARK</v>
      </c>
      <c r="C17202" t="s">
        <v>126</v>
      </c>
      <c r="D17202" s="1" t="str">
        <f t="shared" si="464"/>
        <v>PRG-1045266</v>
      </c>
      <c r="E17202" t="s">
        <v>408</v>
      </c>
      <c r="F17202" t="s">
        <v>4</v>
      </c>
      <c r="G17202" t="str">
        <f>""</f>
        <v/>
      </c>
    </row>
    <row r="17203" spans="1:7" x14ac:dyDescent="0.25">
      <c r="A17203" t="s">
        <v>8</v>
      </c>
      <c r="B17203" s="1" t="str">
        <f>"000384219 - RICH FOODS BAPA-MAIN ARAMARK"</f>
        <v>000384219 - RICH FOODS BAPA-MAIN ARAMARK</v>
      </c>
      <c r="C17203" t="s">
        <v>320</v>
      </c>
      <c r="D17203" s="1" t="str">
        <f t="shared" si="464"/>
        <v>PRG-1045266</v>
      </c>
      <c r="E17203" t="s">
        <v>408</v>
      </c>
      <c r="F17203" t="s">
        <v>4</v>
      </c>
      <c r="G17203" t="str">
        <f>""</f>
        <v/>
      </c>
    </row>
    <row r="17204" spans="1:7" x14ac:dyDescent="0.25">
      <c r="A17204" t="s">
        <v>8</v>
      </c>
      <c r="B17204" s="1" t="str">
        <f>"000384902 - RICH FOODS-MAIN ARAMARK"</f>
        <v>000384902 - RICH FOODS-MAIN ARAMARK</v>
      </c>
      <c r="C17204" t="s">
        <v>126</v>
      </c>
      <c r="D17204" s="1" t="str">
        <f t="shared" si="464"/>
        <v>PRG-1045266</v>
      </c>
      <c r="E17204" t="s">
        <v>408</v>
      </c>
      <c r="F17204" t="s">
        <v>4</v>
      </c>
      <c r="G17204" t="str">
        <f>""</f>
        <v/>
      </c>
    </row>
    <row r="17205" spans="1:7" x14ac:dyDescent="0.25">
      <c r="A17205" t="s">
        <v>8</v>
      </c>
      <c r="B17205" s="1" t="str">
        <f>"000385445 - RICH FOODS BAPA-MAIN ARAMARK"</f>
        <v>000385445 - RICH FOODS BAPA-MAIN ARAMARK</v>
      </c>
      <c r="C17205" t="s">
        <v>320</v>
      </c>
      <c r="D17205" s="1" t="str">
        <f t="shared" si="464"/>
        <v>PRG-1045266</v>
      </c>
      <c r="E17205" t="s">
        <v>408</v>
      </c>
      <c r="F17205" t="s">
        <v>4</v>
      </c>
      <c r="G17205" t="str">
        <f>""</f>
        <v/>
      </c>
    </row>
    <row r="17206" spans="1:7" x14ac:dyDescent="0.25">
      <c r="A17206" t="s">
        <v>8</v>
      </c>
      <c r="B17206" s="1" t="str">
        <f>"000386088 - RICH FOODS-SSS ARAMARK"</f>
        <v>000386088 - RICH FOODS-SSS ARAMARK</v>
      </c>
      <c r="C17206" t="s">
        <v>128</v>
      </c>
      <c r="D17206" s="1" t="str">
        <f t="shared" si="464"/>
        <v>PRG-1045266</v>
      </c>
      <c r="E17206" t="s">
        <v>408</v>
      </c>
      <c r="F17206" t="s">
        <v>4</v>
      </c>
      <c r="G17206" t="str">
        <f>""</f>
        <v/>
      </c>
    </row>
    <row r="17207" spans="1:7" x14ac:dyDescent="0.25">
      <c r="A17207" t="s">
        <v>8</v>
      </c>
      <c r="B17207" s="1" t="str">
        <f>"000386151 - RICH FOODS-MAIN ARAMARK"</f>
        <v>000386151 - RICH FOODS-MAIN ARAMARK</v>
      </c>
      <c r="C17207" t="s">
        <v>126</v>
      </c>
      <c r="D17207" s="1" t="str">
        <f t="shared" si="464"/>
        <v>PRG-1045266</v>
      </c>
      <c r="E17207" t="s">
        <v>408</v>
      </c>
      <c r="F17207" t="s">
        <v>4</v>
      </c>
      <c r="G17207" t="str">
        <f>""</f>
        <v/>
      </c>
    </row>
    <row r="17208" spans="1:7" x14ac:dyDescent="0.25">
      <c r="A17208" t="s">
        <v>8</v>
      </c>
      <c r="B17208" s="1" t="str">
        <f>"000387122 - RICH FOODS BAPA-MAIN ARAMARK"</f>
        <v>000387122 - RICH FOODS BAPA-MAIN ARAMARK</v>
      </c>
      <c r="C17208" t="s">
        <v>320</v>
      </c>
      <c r="D17208" s="1" t="str">
        <f t="shared" si="464"/>
        <v>PRG-1045266</v>
      </c>
      <c r="E17208" t="s">
        <v>408</v>
      </c>
      <c r="F17208" t="s">
        <v>4</v>
      </c>
      <c r="G17208" t="str">
        <f>""</f>
        <v/>
      </c>
    </row>
    <row r="17209" spans="1:7" x14ac:dyDescent="0.25">
      <c r="A17209" t="s">
        <v>8</v>
      </c>
      <c r="B17209" s="1" t="str">
        <f>"000389180 - RICH FOODS-MAIN ARAMARK"</f>
        <v>000389180 - RICH FOODS-MAIN ARAMARK</v>
      </c>
      <c r="C17209" t="s">
        <v>126</v>
      </c>
      <c r="D17209" s="1" t="str">
        <f t="shared" si="464"/>
        <v>PRG-1045266</v>
      </c>
      <c r="E17209" t="s">
        <v>408</v>
      </c>
      <c r="F17209" t="s">
        <v>4</v>
      </c>
      <c r="G17209" t="str">
        <f>""</f>
        <v/>
      </c>
    </row>
    <row r="17210" spans="1:7" x14ac:dyDescent="0.25">
      <c r="A17210" t="s">
        <v>8</v>
      </c>
      <c r="B17210" s="1" t="str">
        <f>"000391768 - RCH 110244"</f>
        <v>000391768 - RCH 110244</v>
      </c>
      <c r="C17210" t="s">
        <v>420</v>
      </c>
      <c r="D17210" s="1" t="str">
        <f t="shared" si="464"/>
        <v>PRG-1045266</v>
      </c>
      <c r="E17210" t="s">
        <v>408</v>
      </c>
      <c r="F17210" t="s">
        <v>4</v>
      </c>
      <c r="G17210" t="str">
        <f>""</f>
        <v/>
      </c>
    </row>
    <row r="17211" spans="1:7" x14ac:dyDescent="0.25">
      <c r="A17211" t="s">
        <v>8</v>
      </c>
      <c r="B17211" s="1" t="str">
        <f>"000392822 - RICH FOODS-MAIN ARAMARK"</f>
        <v>000392822 - RICH FOODS-MAIN ARAMARK</v>
      </c>
      <c r="C17211" t="s">
        <v>126</v>
      </c>
      <c r="D17211" s="1" t="str">
        <f t="shared" si="464"/>
        <v>PRG-1045266</v>
      </c>
      <c r="E17211" t="s">
        <v>408</v>
      </c>
      <c r="F17211" t="s">
        <v>4</v>
      </c>
      <c r="G17211" t="str">
        <f>""</f>
        <v/>
      </c>
    </row>
    <row r="17212" spans="1:7" x14ac:dyDescent="0.25">
      <c r="A17212" t="s">
        <v>8</v>
      </c>
      <c r="B17212" s="1" t="str">
        <f>"000393795 - RICH FOODS-MAIN ARAMARK"</f>
        <v>000393795 - RICH FOODS-MAIN ARAMARK</v>
      </c>
      <c r="C17212" t="s">
        <v>126</v>
      </c>
      <c r="D17212" s="1" t="str">
        <f t="shared" si="464"/>
        <v>PRG-1045266</v>
      </c>
      <c r="E17212" t="s">
        <v>408</v>
      </c>
      <c r="F17212" t="s">
        <v>4</v>
      </c>
      <c r="G17212" t="str">
        <f>""</f>
        <v/>
      </c>
    </row>
    <row r="17213" spans="1:7" x14ac:dyDescent="0.25">
      <c r="A17213" t="s">
        <v>8</v>
      </c>
      <c r="B17213" s="1" t="str">
        <f>"000393917 - RICH FOODS BAPA-MAIN ARAMARK"</f>
        <v>000393917 - RICH FOODS BAPA-MAIN ARAMARK</v>
      </c>
      <c r="C17213" t="s">
        <v>320</v>
      </c>
      <c r="D17213" s="1" t="str">
        <f t="shared" si="464"/>
        <v>PRG-1045266</v>
      </c>
      <c r="E17213" t="s">
        <v>408</v>
      </c>
      <c r="F17213" t="s">
        <v>4</v>
      </c>
      <c r="G17213" t="str">
        <f>""</f>
        <v/>
      </c>
    </row>
    <row r="17214" spans="1:7" x14ac:dyDescent="0.25">
      <c r="A17214" t="s">
        <v>8</v>
      </c>
      <c r="B17214" s="1" t="str">
        <f>"000394367 - RICH FOODS-MAIN ARAMARK"</f>
        <v>000394367 - RICH FOODS-MAIN ARAMARK</v>
      </c>
      <c r="C17214" t="s">
        <v>126</v>
      </c>
      <c r="D17214" s="1" t="str">
        <f t="shared" si="464"/>
        <v>PRG-1045266</v>
      </c>
      <c r="E17214" t="s">
        <v>408</v>
      </c>
      <c r="F17214" t="s">
        <v>4</v>
      </c>
      <c r="G17214" t="str">
        <f>""</f>
        <v/>
      </c>
    </row>
    <row r="17215" spans="1:7" x14ac:dyDescent="0.25">
      <c r="A17215" t="s">
        <v>8</v>
      </c>
      <c r="B17215" s="1" t="str">
        <f>"000395051 - RICH FOODS BAPA-MAIN ARAMARK"</f>
        <v>000395051 - RICH FOODS BAPA-MAIN ARAMARK</v>
      </c>
      <c r="C17215" t="s">
        <v>320</v>
      </c>
      <c r="D17215" s="1" t="str">
        <f t="shared" si="464"/>
        <v>PRG-1045266</v>
      </c>
      <c r="E17215" t="s">
        <v>408</v>
      </c>
      <c r="F17215" t="s">
        <v>4</v>
      </c>
      <c r="G17215" t="str">
        <f>""</f>
        <v/>
      </c>
    </row>
    <row r="17216" spans="1:7" x14ac:dyDescent="0.25">
      <c r="A17216" t="s">
        <v>8</v>
      </c>
      <c r="B17216" s="1" t="str">
        <f>"000397953 - RICH FOODS-MAIN ARAMARK"</f>
        <v>000397953 - RICH FOODS-MAIN ARAMARK</v>
      </c>
      <c r="C17216" t="s">
        <v>126</v>
      </c>
      <c r="D17216" s="1" t="str">
        <f t="shared" si="464"/>
        <v>PRG-1045266</v>
      </c>
      <c r="E17216" t="s">
        <v>408</v>
      </c>
      <c r="F17216" t="s">
        <v>4</v>
      </c>
      <c r="G17216" t="str">
        <f>""</f>
        <v/>
      </c>
    </row>
    <row r="17217" spans="1:7" x14ac:dyDescent="0.25">
      <c r="A17217" t="s">
        <v>8</v>
      </c>
      <c r="B17217" s="1" t="str">
        <f>"000399795 - RICH FOODS-SSS ARAMARK"</f>
        <v>000399795 - RICH FOODS-SSS ARAMARK</v>
      </c>
      <c r="C17217" t="s">
        <v>128</v>
      </c>
      <c r="D17217" s="1" t="str">
        <f t="shared" si="464"/>
        <v>PRG-1045266</v>
      </c>
      <c r="E17217" t="s">
        <v>408</v>
      </c>
      <c r="F17217" t="s">
        <v>4</v>
      </c>
      <c r="G17217" t="str">
        <f>""</f>
        <v/>
      </c>
    </row>
    <row r="17218" spans="1:7" x14ac:dyDescent="0.25">
      <c r="A17218" t="s">
        <v>8</v>
      </c>
      <c r="B17218" s="1" t="str">
        <f>"000401131 - RICH FOODS-SSS ARAMARK"</f>
        <v>000401131 - RICH FOODS-SSS ARAMARK</v>
      </c>
      <c r="C17218" t="s">
        <v>128</v>
      </c>
      <c r="D17218" s="1" t="str">
        <f t="shared" si="464"/>
        <v>PRG-1045266</v>
      </c>
      <c r="E17218" t="s">
        <v>408</v>
      </c>
      <c r="F17218" t="s">
        <v>4</v>
      </c>
      <c r="G17218" t="str">
        <f>""</f>
        <v/>
      </c>
    </row>
    <row r="17219" spans="1:7" x14ac:dyDescent="0.25">
      <c r="A17219" t="s">
        <v>8</v>
      </c>
      <c r="B17219" s="1" t="str">
        <f>"000402966 - RICH FOODS-MAIN ARAMARK"</f>
        <v>000402966 - RICH FOODS-MAIN ARAMARK</v>
      </c>
      <c r="C17219" t="s">
        <v>126</v>
      </c>
      <c r="D17219" s="1" t="str">
        <f t="shared" si="464"/>
        <v>PRG-1045266</v>
      </c>
      <c r="E17219" t="s">
        <v>408</v>
      </c>
      <c r="F17219" t="s">
        <v>4</v>
      </c>
      <c r="G17219" t="str">
        <f>""</f>
        <v/>
      </c>
    </row>
    <row r="17220" spans="1:7" x14ac:dyDescent="0.25">
      <c r="A17220" t="s">
        <v>8</v>
      </c>
      <c r="B17220" s="1" t="str">
        <f>"000403260 - RICH FOODS BAPA-MAIN ARAMARK"</f>
        <v>000403260 - RICH FOODS BAPA-MAIN ARAMARK</v>
      </c>
      <c r="C17220" t="s">
        <v>320</v>
      </c>
      <c r="D17220" s="1" t="str">
        <f t="shared" si="464"/>
        <v>PRG-1045266</v>
      </c>
      <c r="E17220" t="s">
        <v>408</v>
      </c>
      <c r="F17220" t="s">
        <v>4</v>
      </c>
      <c r="G17220" t="str">
        <f>""</f>
        <v/>
      </c>
    </row>
    <row r="17221" spans="1:7" x14ac:dyDescent="0.25">
      <c r="A17221" t="s">
        <v>8</v>
      </c>
      <c r="B17221" s="1" t="str">
        <f>"000404198 - RICH FOODS-MAIN ARAMARK"</f>
        <v>000404198 - RICH FOODS-MAIN ARAMARK</v>
      </c>
      <c r="C17221" t="s">
        <v>126</v>
      </c>
      <c r="D17221" s="1" t="str">
        <f t="shared" si="464"/>
        <v>PRG-1045266</v>
      </c>
      <c r="E17221" t="s">
        <v>408</v>
      </c>
      <c r="F17221" t="s">
        <v>4</v>
      </c>
      <c r="G17221" t="str">
        <f>""</f>
        <v/>
      </c>
    </row>
    <row r="17222" spans="1:7" x14ac:dyDescent="0.25">
      <c r="A17222" t="s">
        <v>8</v>
      </c>
      <c r="B17222" s="1" t="str">
        <f>"000404813 - RICH FOODS BAPA-MAIN ARAMARK"</f>
        <v>000404813 - RICH FOODS BAPA-MAIN ARAMARK</v>
      </c>
      <c r="C17222" t="s">
        <v>320</v>
      </c>
      <c r="D17222" s="1" t="str">
        <f t="shared" si="464"/>
        <v>PRG-1045266</v>
      </c>
      <c r="E17222" t="s">
        <v>408</v>
      </c>
      <c r="F17222" t="s">
        <v>4</v>
      </c>
      <c r="G17222" t="str">
        <f>""</f>
        <v/>
      </c>
    </row>
    <row r="17223" spans="1:7" x14ac:dyDescent="0.25">
      <c r="A17223" t="s">
        <v>8</v>
      </c>
      <c r="B17223" s="1" t="str">
        <f>"000407841 - RICH FOODS-MAIN ARAMARK"</f>
        <v>000407841 - RICH FOODS-MAIN ARAMARK</v>
      </c>
      <c r="C17223" t="s">
        <v>126</v>
      </c>
      <c r="D17223" s="1" t="str">
        <f t="shared" si="464"/>
        <v>PRG-1045266</v>
      </c>
      <c r="E17223" t="s">
        <v>408</v>
      </c>
      <c r="F17223" t="s">
        <v>4</v>
      </c>
      <c r="G17223" t="str">
        <f>""</f>
        <v/>
      </c>
    </row>
    <row r="17224" spans="1:7" x14ac:dyDescent="0.25">
      <c r="A17224" t="s">
        <v>8</v>
      </c>
      <c r="B17224" s="1" t="str">
        <f>"000409119 - RICH FOODS-MAIN ARAMARK"</f>
        <v>000409119 - RICH FOODS-MAIN ARAMARK</v>
      </c>
      <c r="C17224" t="s">
        <v>126</v>
      </c>
      <c r="D17224" s="1" t="str">
        <f t="shared" si="464"/>
        <v>PRG-1045266</v>
      </c>
      <c r="E17224" t="s">
        <v>408</v>
      </c>
      <c r="F17224" t="s">
        <v>4</v>
      </c>
      <c r="G17224" t="str">
        <f>""</f>
        <v/>
      </c>
    </row>
    <row r="17225" spans="1:7" x14ac:dyDescent="0.25">
      <c r="A17225" t="s">
        <v>8</v>
      </c>
      <c r="B17225" s="1" t="str">
        <f>"000412569 - RICH FOODS-MAIN ARAMARK"</f>
        <v>000412569 - RICH FOODS-MAIN ARAMARK</v>
      </c>
      <c r="C17225" t="s">
        <v>126</v>
      </c>
      <c r="D17225" s="1" t="str">
        <f t="shared" si="464"/>
        <v>PRG-1045266</v>
      </c>
      <c r="E17225" t="s">
        <v>408</v>
      </c>
      <c r="F17225" t="s">
        <v>4</v>
      </c>
      <c r="G17225" t="str">
        <f>""</f>
        <v/>
      </c>
    </row>
    <row r="17226" spans="1:7" x14ac:dyDescent="0.25">
      <c r="A17226" t="s">
        <v>8</v>
      </c>
      <c r="B17226" s="1" t="str">
        <f>"000384488 - RICHS FOODS BIG HORN BBQ SNVA"</f>
        <v>000384488 - RICHS FOODS BIG HORN BBQ SNVA</v>
      </c>
      <c r="C17226" t="s">
        <v>3660</v>
      </c>
      <c r="D17226" s="1" t="str">
        <f>"PRG-1045362"</f>
        <v>PRG-1045362</v>
      </c>
      <c r="E17226" t="s">
        <v>3661</v>
      </c>
      <c r="F17226" t="s">
        <v>4</v>
      </c>
      <c r="G17226" t="str">
        <f>""</f>
        <v/>
      </c>
    </row>
    <row r="17227" spans="1:7" x14ac:dyDescent="0.25">
      <c r="A17227" t="s">
        <v>8</v>
      </c>
      <c r="B17227" s="1" t="str">
        <f>"000398072 - RICHS FOODS BIG HORN BBQ SNVA"</f>
        <v>000398072 - RICHS FOODS BIG HORN BBQ SNVA</v>
      </c>
      <c r="C17227" t="s">
        <v>3660</v>
      </c>
      <c r="D17227" s="1" t="str">
        <f>"PRG-1045362"</f>
        <v>PRG-1045362</v>
      </c>
      <c r="E17227" t="s">
        <v>3661</v>
      </c>
      <c r="F17227" t="s">
        <v>4</v>
      </c>
      <c r="G17227" t="str">
        <f>""</f>
        <v/>
      </c>
    </row>
    <row r="17228" spans="1:7" x14ac:dyDescent="0.25">
      <c r="A17228" t="s">
        <v>8</v>
      </c>
      <c r="B17228" s="1" t="str">
        <f>"000023706 - BETTERCREME-RICH FDS COLDSTONE"</f>
        <v>000023706 - BETTERCREME-RICH FDS COLDSTONE</v>
      </c>
      <c r="C17228" t="s">
        <v>364</v>
      </c>
      <c r="D17228" s="1" t="str">
        <f t="shared" ref="D17228:D17249" si="465">"PRG-1045383"</f>
        <v>PRG-1045383</v>
      </c>
      <c r="E17228" t="s">
        <v>132</v>
      </c>
      <c r="F17228" t="s">
        <v>4</v>
      </c>
      <c r="G17228" t="str">
        <f>""</f>
        <v/>
      </c>
    </row>
    <row r="17229" spans="1:7" x14ac:dyDescent="0.25">
      <c r="A17229" t="s">
        <v>8</v>
      </c>
      <c r="B17229" s="1" t="str">
        <f>"000042132 - RICH FOOD BETERCREME-COLDSTONE"</f>
        <v>000042132 - RICH FOOD BETERCREME-COLDSTONE</v>
      </c>
      <c r="C17229" t="s">
        <v>591</v>
      </c>
      <c r="D17229" s="1" t="str">
        <f t="shared" si="465"/>
        <v>PRG-1045383</v>
      </c>
      <c r="E17229" t="s">
        <v>132</v>
      </c>
      <c r="F17229" t="s">
        <v>4</v>
      </c>
      <c r="G17229" t="str">
        <f>""</f>
        <v/>
      </c>
    </row>
    <row r="17230" spans="1:7" x14ac:dyDescent="0.25">
      <c r="A17230" t="s">
        <v>8</v>
      </c>
      <c r="B17230" s="1" t="str">
        <f>"000051432 - RICH FOOD BETERCREME-COLDSTONE"</f>
        <v>000051432 - RICH FOOD BETERCREME-COLDSTONE</v>
      </c>
      <c r="C17230" t="s">
        <v>591</v>
      </c>
      <c r="D17230" s="1" t="str">
        <f t="shared" si="465"/>
        <v>PRG-1045383</v>
      </c>
      <c r="E17230" t="s">
        <v>132</v>
      </c>
      <c r="F17230" t="s">
        <v>4</v>
      </c>
      <c r="G17230" t="str">
        <f>""</f>
        <v/>
      </c>
    </row>
    <row r="17231" spans="1:7" x14ac:dyDescent="0.25">
      <c r="A17231" t="s">
        <v>8</v>
      </c>
      <c r="B17231" s="1" t="str">
        <f>"000054524 - RICH FOOD BETERCREME-COLDSTONE"</f>
        <v>000054524 - RICH FOOD BETERCREME-COLDSTONE</v>
      </c>
      <c r="C17231" t="s">
        <v>591</v>
      </c>
      <c r="D17231" s="1" t="str">
        <f t="shared" si="465"/>
        <v>PRG-1045383</v>
      </c>
      <c r="E17231" t="s">
        <v>132</v>
      </c>
      <c r="F17231" t="s">
        <v>4</v>
      </c>
      <c r="G17231" t="str">
        <f>""</f>
        <v/>
      </c>
    </row>
    <row r="17232" spans="1:7" x14ac:dyDescent="0.25">
      <c r="A17232" t="s">
        <v>8</v>
      </c>
      <c r="B17232" s="1" t="str">
        <f>"000055990 - RICH FOOD BETERCREME-COLDSTONE"</f>
        <v>000055990 - RICH FOOD BETERCREME-COLDSTONE</v>
      </c>
      <c r="C17232" t="s">
        <v>591</v>
      </c>
      <c r="D17232" s="1" t="str">
        <f t="shared" si="465"/>
        <v>PRG-1045383</v>
      </c>
      <c r="E17232" t="s">
        <v>132</v>
      </c>
      <c r="F17232" t="s">
        <v>4</v>
      </c>
      <c r="G17232" t="str">
        <f>""</f>
        <v/>
      </c>
    </row>
    <row r="17233" spans="1:7" x14ac:dyDescent="0.25">
      <c r="A17233" t="s">
        <v>8</v>
      </c>
      <c r="B17233" s="1" t="str">
        <f>"000086275 - RICH FOOD BETERCREME-COLDSTONE"</f>
        <v>000086275 - RICH FOOD BETERCREME-COLDSTONE</v>
      </c>
      <c r="C17233" t="s">
        <v>591</v>
      </c>
      <c r="D17233" s="1" t="str">
        <f t="shared" si="465"/>
        <v>PRG-1045383</v>
      </c>
      <c r="E17233" t="s">
        <v>132</v>
      </c>
      <c r="F17233" t="s">
        <v>4</v>
      </c>
      <c r="G17233" t="str">
        <f>""</f>
        <v/>
      </c>
    </row>
    <row r="17234" spans="1:7" x14ac:dyDescent="0.25">
      <c r="A17234" t="s">
        <v>8</v>
      </c>
      <c r="B17234" s="1" t="str">
        <f>"000159199 - RICH FOOD BETERCREME-COLDSTONE"</f>
        <v>000159199 - RICH FOOD BETERCREME-COLDSTONE</v>
      </c>
      <c r="C17234" t="s">
        <v>591</v>
      </c>
      <c r="D17234" s="1" t="str">
        <f t="shared" si="465"/>
        <v>PRG-1045383</v>
      </c>
      <c r="E17234" t="s">
        <v>132</v>
      </c>
      <c r="F17234" t="s">
        <v>4</v>
      </c>
      <c r="G17234" t="str">
        <f>""</f>
        <v/>
      </c>
    </row>
    <row r="17235" spans="1:7" x14ac:dyDescent="0.25">
      <c r="A17235" t="s">
        <v>8</v>
      </c>
      <c r="B17235" s="1" t="str">
        <f>"000208702 - RICH FOODS BB NCORE HILTON"</f>
        <v>000208702 - RICH FOODS BB NCORE HILTON</v>
      </c>
      <c r="C17235" t="s">
        <v>143</v>
      </c>
      <c r="D17235" s="1" t="str">
        <f t="shared" si="465"/>
        <v>PRG-1045383</v>
      </c>
      <c r="E17235" t="s">
        <v>132</v>
      </c>
      <c r="F17235" t="s">
        <v>4</v>
      </c>
      <c r="G17235" t="str">
        <f>""</f>
        <v/>
      </c>
    </row>
    <row r="17236" spans="1:7" x14ac:dyDescent="0.25">
      <c r="A17236" t="s">
        <v>8</v>
      </c>
      <c r="B17236" s="1" t="str">
        <f>"000279054 - RICH FOOD BETERCREME-COLDSTONE"</f>
        <v>000279054 - RICH FOOD BETERCREME-COLDSTONE</v>
      </c>
      <c r="C17236" t="s">
        <v>591</v>
      </c>
      <c r="D17236" s="1" t="str">
        <f t="shared" si="465"/>
        <v>PRG-1045383</v>
      </c>
      <c r="E17236" t="s">
        <v>132</v>
      </c>
      <c r="F17236" t="s">
        <v>4</v>
      </c>
      <c r="G17236" t="str">
        <f>""</f>
        <v/>
      </c>
    </row>
    <row r="17237" spans="1:7" x14ac:dyDescent="0.25">
      <c r="A17237" t="s">
        <v>8</v>
      </c>
      <c r="B17237" s="1" t="str">
        <f>"000279638 - RICH FOOD BETERCREME-COLDSTONE"</f>
        <v>000279638 - RICH FOOD BETERCREME-COLDSTONE</v>
      </c>
      <c r="C17237" t="s">
        <v>591</v>
      </c>
      <c r="D17237" s="1" t="str">
        <f t="shared" si="465"/>
        <v>PRG-1045383</v>
      </c>
      <c r="E17237" t="s">
        <v>132</v>
      </c>
      <c r="F17237" t="s">
        <v>4</v>
      </c>
      <c r="G17237" t="str">
        <f>""</f>
        <v/>
      </c>
    </row>
    <row r="17238" spans="1:7" x14ac:dyDescent="0.25">
      <c r="A17238" t="s">
        <v>8</v>
      </c>
      <c r="B17238" s="1" t="str">
        <f>"000282494 - RICH FOOD BETERCREME-COLDSTONE"</f>
        <v>000282494 - RICH FOOD BETERCREME-COLDSTONE</v>
      </c>
      <c r="C17238" t="s">
        <v>591</v>
      </c>
      <c r="D17238" s="1" t="str">
        <f t="shared" si="465"/>
        <v>PRG-1045383</v>
      </c>
      <c r="E17238" t="s">
        <v>132</v>
      </c>
      <c r="F17238" t="s">
        <v>4</v>
      </c>
      <c r="G17238" t="str">
        <f>""</f>
        <v/>
      </c>
    </row>
    <row r="17239" spans="1:7" x14ac:dyDescent="0.25">
      <c r="A17239" t="s">
        <v>8</v>
      </c>
      <c r="B17239" s="1" t="str">
        <f>"000301770 - RICH FOOD BETERCREME-COLDSTONE"</f>
        <v>000301770 - RICH FOOD BETERCREME-COLDSTONE</v>
      </c>
      <c r="C17239" t="s">
        <v>591</v>
      </c>
      <c r="D17239" s="1" t="str">
        <f t="shared" si="465"/>
        <v>PRG-1045383</v>
      </c>
      <c r="E17239" t="s">
        <v>132</v>
      </c>
      <c r="F17239" t="s">
        <v>4</v>
      </c>
      <c r="G17239" t="str">
        <f>""</f>
        <v/>
      </c>
    </row>
    <row r="17240" spans="1:7" x14ac:dyDescent="0.25">
      <c r="A17240" t="s">
        <v>8</v>
      </c>
      <c r="B17240" s="1" t="str">
        <f>"000304220 - RICH FOOD BETERCREME-COLDSTONE"</f>
        <v>000304220 - RICH FOOD BETERCREME-COLDSTONE</v>
      </c>
      <c r="C17240" t="s">
        <v>591</v>
      </c>
      <c r="D17240" s="1" t="str">
        <f t="shared" si="465"/>
        <v>PRG-1045383</v>
      </c>
      <c r="E17240" t="s">
        <v>132</v>
      </c>
      <c r="F17240" t="s">
        <v>4</v>
      </c>
      <c r="G17240" t="str">
        <f>""</f>
        <v/>
      </c>
    </row>
    <row r="17241" spans="1:7" x14ac:dyDescent="0.25">
      <c r="A17241" t="s">
        <v>8</v>
      </c>
      <c r="B17241" s="1" t="str">
        <f>"000331821 - RICH FOOD BETERCREME-COLDSTONE"</f>
        <v>000331821 - RICH FOOD BETERCREME-COLDSTONE</v>
      </c>
      <c r="C17241" t="s">
        <v>591</v>
      </c>
      <c r="D17241" s="1" t="str">
        <f t="shared" si="465"/>
        <v>PRG-1045383</v>
      </c>
      <c r="E17241" t="s">
        <v>132</v>
      </c>
      <c r="F17241" t="s">
        <v>4</v>
      </c>
      <c r="G17241" t="str">
        <f>""</f>
        <v/>
      </c>
    </row>
    <row r="17242" spans="1:7" x14ac:dyDescent="0.25">
      <c r="A17242" t="s">
        <v>8</v>
      </c>
      <c r="B17242" s="1" t="str">
        <f>"000347396 - RICH FOOD BETERCREME-COLDSTONE"</f>
        <v>000347396 - RICH FOOD BETERCREME-COLDSTONE</v>
      </c>
      <c r="C17242" t="s">
        <v>591</v>
      </c>
      <c r="D17242" s="1" t="str">
        <f t="shared" si="465"/>
        <v>PRG-1045383</v>
      </c>
      <c r="E17242" t="s">
        <v>132</v>
      </c>
      <c r="F17242" t="s">
        <v>4</v>
      </c>
      <c r="G17242" t="str">
        <f>""</f>
        <v/>
      </c>
    </row>
    <row r="17243" spans="1:7" x14ac:dyDescent="0.25">
      <c r="A17243" t="s">
        <v>8</v>
      </c>
      <c r="B17243" s="1" t="str">
        <f>"000362889 - RICH FOOD BETERCREME-COLDSTONE"</f>
        <v>000362889 - RICH FOOD BETERCREME-COLDSTONE</v>
      </c>
      <c r="C17243" t="s">
        <v>591</v>
      </c>
      <c r="D17243" s="1" t="str">
        <f t="shared" si="465"/>
        <v>PRG-1045383</v>
      </c>
      <c r="E17243" t="s">
        <v>132</v>
      </c>
      <c r="F17243" t="s">
        <v>4</v>
      </c>
      <c r="G17243" t="str">
        <f>""</f>
        <v/>
      </c>
    </row>
    <row r="17244" spans="1:7" x14ac:dyDescent="0.25">
      <c r="A17244" t="s">
        <v>8</v>
      </c>
      <c r="B17244" s="1" t="str">
        <f>"000387932 - RICH FOOD BETERCREME-COLDSTONE"</f>
        <v>000387932 - RICH FOOD BETERCREME-COLDSTONE</v>
      </c>
      <c r="C17244" t="s">
        <v>591</v>
      </c>
      <c r="D17244" s="1" t="str">
        <f t="shared" si="465"/>
        <v>PRG-1045383</v>
      </c>
      <c r="E17244" t="s">
        <v>132</v>
      </c>
      <c r="F17244" t="s">
        <v>4</v>
      </c>
      <c r="G17244" t="str">
        <f>""</f>
        <v/>
      </c>
    </row>
    <row r="17245" spans="1:7" x14ac:dyDescent="0.25">
      <c r="A17245" t="s">
        <v>8</v>
      </c>
      <c r="B17245" s="1" t="str">
        <f>"000391281 - RICH FOOD BETERCREME-COLDSTONE"</f>
        <v>000391281 - RICH FOOD BETERCREME-COLDSTONE</v>
      </c>
      <c r="C17245" t="s">
        <v>591</v>
      </c>
      <c r="D17245" s="1" t="str">
        <f t="shared" si="465"/>
        <v>PRG-1045383</v>
      </c>
      <c r="E17245" t="s">
        <v>132</v>
      </c>
      <c r="F17245" t="s">
        <v>4</v>
      </c>
      <c r="G17245" t="str">
        <f>""</f>
        <v/>
      </c>
    </row>
    <row r="17246" spans="1:7" x14ac:dyDescent="0.25">
      <c r="A17246" t="s">
        <v>8</v>
      </c>
      <c r="B17246" s="1" t="str">
        <f>"000396145 - RICH FOOD BETERCREME-COLDSTONE"</f>
        <v>000396145 - RICH FOOD BETERCREME-COLDSTONE</v>
      </c>
      <c r="C17246" t="s">
        <v>591</v>
      </c>
      <c r="D17246" s="1" t="str">
        <f t="shared" si="465"/>
        <v>PRG-1045383</v>
      </c>
      <c r="E17246" t="s">
        <v>132</v>
      </c>
      <c r="F17246" t="s">
        <v>4</v>
      </c>
      <c r="G17246" t="str">
        <f>""</f>
        <v/>
      </c>
    </row>
    <row r="17247" spans="1:7" x14ac:dyDescent="0.25">
      <c r="A17247" t="s">
        <v>8</v>
      </c>
      <c r="B17247" s="1" t="str">
        <f>"000414269 - RICH FOOD BETERCREME-COLDSTONE"</f>
        <v>000414269 - RICH FOOD BETERCREME-COLDSTONE</v>
      </c>
      <c r="C17247" t="s">
        <v>591</v>
      </c>
      <c r="D17247" s="1" t="str">
        <f t="shared" si="465"/>
        <v>PRG-1045383</v>
      </c>
      <c r="E17247" t="s">
        <v>132</v>
      </c>
      <c r="F17247" t="s">
        <v>4</v>
      </c>
      <c r="G17247" t="str">
        <f>""</f>
        <v/>
      </c>
    </row>
    <row r="17248" spans="1:7" x14ac:dyDescent="0.25">
      <c r="A17248" t="s">
        <v>8</v>
      </c>
      <c r="B17248" s="1" t="str">
        <f>"000417350 - RICH FOOD BETERCREME-COLDSTONE"</f>
        <v>000417350 - RICH FOOD BETERCREME-COLDSTONE</v>
      </c>
      <c r="C17248" t="s">
        <v>591</v>
      </c>
      <c r="D17248" s="1" t="str">
        <f t="shared" si="465"/>
        <v>PRG-1045383</v>
      </c>
      <c r="E17248" t="s">
        <v>132</v>
      </c>
      <c r="F17248" t="s">
        <v>4</v>
      </c>
      <c r="G17248" t="str">
        <f>""</f>
        <v/>
      </c>
    </row>
    <row r="17249" spans="1:7" x14ac:dyDescent="0.25">
      <c r="A17249" t="s">
        <v>8</v>
      </c>
      <c r="B17249" s="1" t="str">
        <f>"000428335 - RICH FOOD BETERCREME-COLDSTONE"</f>
        <v>000428335 - RICH FOOD BETERCREME-COLDSTONE</v>
      </c>
      <c r="C17249" t="s">
        <v>591</v>
      </c>
      <c r="D17249" s="1" t="str">
        <f t="shared" si="465"/>
        <v>PRG-1045383</v>
      </c>
      <c r="E17249" t="s">
        <v>132</v>
      </c>
      <c r="F17249" t="s">
        <v>4</v>
      </c>
      <c r="G17249" t="str">
        <f>""</f>
        <v/>
      </c>
    </row>
    <row r="17250" spans="1:7" x14ac:dyDescent="0.25">
      <c r="A17250" t="s">
        <v>8</v>
      </c>
      <c r="B17250" s="1" t="str">
        <f>"000046158 - RICH FOODS BAPA-KELLY GRP"</f>
        <v>000046158 - RICH FOODS BAPA-KELLY GRP</v>
      </c>
      <c r="C17250" t="s">
        <v>621</v>
      </c>
      <c r="D17250" s="1" t="str">
        <f t="shared" ref="D17250:D17257" si="466">"PRG-1045408"</f>
        <v>PRG-1045408</v>
      </c>
      <c r="E17250" t="s">
        <v>622</v>
      </c>
      <c r="F17250" t="s">
        <v>4</v>
      </c>
      <c r="G17250" t="str">
        <f>""</f>
        <v/>
      </c>
    </row>
    <row r="17251" spans="1:7" x14ac:dyDescent="0.25">
      <c r="A17251" t="s">
        <v>8</v>
      </c>
      <c r="B17251" s="1" t="str">
        <f>"000050647 - RICH FOODS BAPA-KELLY GRP"</f>
        <v>000050647 - RICH FOODS BAPA-KELLY GRP</v>
      </c>
      <c r="C17251" t="s">
        <v>621</v>
      </c>
      <c r="D17251" s="1" t="str">
        <f t="shared" si="466"/>
        <v>PRG-1045408</v>
      </c>
      <c r="E17251" t="s">
        <v>622</v>
      </c>
      <c r="F17251" t="s">
        <v>4</v>
      </c>
      <c r="G17251" t="str">
        <f>""</f>
        <v/>
      </c>
    </row>
    <row r="17252" spans="1:7" x14ac:dyDescent="0.25">
      <c r="A17252" t="s">
        <v>8</v>
      </c>
      <c r="B17252" s="1" t="str">
        <f>"000301327 - RICH FOODS BAPA-KELLY GRP"</f>
        <v>000301327 - RICH FOODS BAPA-KELLY GRP</v>
      </c>
      <c r="C17252" t="s">
        <v>621</v>
      </c>
      <c r="D17252" s="1" t="str">
        <f t="shared" si="466"/>
        <v>PRG-1045408</v>
      </c>
      <c r="E17252" t="s">
        <v>622</v>
      </c>
      <c r="F17252" t="s">
        <v>4</v>
      </c>
      <c r="G17252" t="str">
        <f>""</f>
        <v/>
      </c>
    </row>
    <row r="17253" spans="1:7" x14ac:dyDescent="0.25">
      <c r="A17253" t="s">
        <v>8</v>
      </c>
      <c r="B17253" s="1" t="str">
        <f>"000307275 - RICH FOODS BAPA-KELLY GRP"</f>
        <v>000307275 - RICH FOODS BAPA-KELLY GRP</v>
      </c>
      <c r="C17253" t="s">
        <v>621</v>
      </c>
      <c r="D17253" s="1" t="str">
        <f t="shared" si="466"/>
        <v>PRG-1045408</v>
      </c>
      <c r="E17253" t="s">
        <v>622</v>
      </c>
      <c r="F17253" t="s">
        <v>4</v>
      </c>
      <c r="G17253" t="str">
        <f>""</f>
        <v/>
      </c>
    </row>
    <row r="17254" spans="1:7" x14ac:dyDescent="0.25">
      <c r="A17254" t="s">
        <v>8</v>
      </c>
      <c r="B17254" s="1" t="str">
        <f>"000372104 - RICH FOODS BAPA-KELLY GRP"</f>
        <v>000372104 - RICH FOODS BAPA-KELLY GRP</v>
      </c>
      <c r="C17254" t="s">
        <v>621</v>
      </c>
      <c r="D17254" s="1" t="str">
        <f t="shared" si="466"/>
        <v>PRG-1045408</v>
      </c>
      <c r="E17254" t="s">
        <v>622</v>
      </c>
      <c r="F17254" t="s">
        <v>4</v>
      </c>
      <c r="G17254" t="str">
        <f>""</f>
        <v/>
      </c>
    </row>
    <row r="17255" spans="1:7" x14ac:dyDescent="0.25">
      <c r="A17255" t="s">
        <v>8</v>
      </c>
      <c r="B17255" s="1" t="str">
        <f>"000373189 - RICH FOODS BAPA-KELLY GRP"</f>
        <v>000373189 - RICH FOODS BAPA-KELLY GRP</v>
      </c>
      <c r="C17255" t="s">
        <v>621</v>
      </c>
      <c r="D17255" s="1" t="str">
        <f t="shared" si="466"/>
        <v>PRG-1045408</v>
      </c>
      <c r="E17255" t="s">
        <v>622</v>
      </c>
      <c r="F17255" t="s">
        <v>4</v>
      </c>
      <c r="G17255" t="str">
        <f>""</f>
        <v/>
      </c>
    </row>
    <row r="17256" spans="1:7" x14ac:dyDescent="0.25">
      <c r="A17256" t="s">
        <v>8</v>
      </c>
      <c r="B17256" s="1" t="str">
        <f>"000397433 - RICH FOODS BAPA-KELLY GRP"</f>
        <v>000397433 - RICH FOODS BAPA-KELLY GRP</v>
      </c>
      <c r="C17256" t="s">
        <v>621</v>
      </c>
      <c r="D17256" s="1" t="str">
        <f t="shared" si="466"/>
        <v>PRG-1045408</v>
      </c>
      <c r="E17256" t="s">
        <v>622</v>
      </c>
      <c r="F17256" t="s">
        <v>4</v>
      </c>
      <c r="G17256" t="str">
        <f>""</f>
        <v/>
      </c>
    </row>
    <row r="17257" spans="1:7" x14ac:dyDescent="0.25">
      <c r="A17257" t="s">
        <v>8</v>
      </c>
      <c r="B17257" s="1" t="str">
        <f>"000404310 - RICH FOODS BAPA-KELLY GRP"</f>
        <v>000404310 - RICH FOODS BAPA-KELLY GRP</v>
      </c>
      <c r="C17257" t="s">
        <v>621</v>
      </c>
      <c r="D17257" s="1" t="str">
        <f t="shared" si="466"/>
        <v>PRG-1045408</v>
      </c>
      <c r="E17257" t="s">
        <v>622</v>
      </c>
      <c r="F17257" t="s">
        <v>4</v>
      </c>
      <c r="G17257" t="str">
        <f>""</f>
        <v/>
      </c>
    </row>
    <row r="17258" spans="1:7" x14ac:dyDescent="0.25">
      <c r="A17258" t="s">
        <v>8</v>
      </c>
      <c r="B17258" s="1" t="str">
        <f>"000308764 - RICH GEISSLERS SUPER MARKETS"</f>
        <v>000308764 - RICH GEISSLERS SUPER MARKETS</v>
      </c>
      <c r="C17258" t="s">
        <v>3089</v>
      </c>
      <c r="D17258" s="1" t="str">
        <f>"PRG-1045410"</f>
        <v>PRG-1045410</v>
      </c>
      <c r="E17258" t="s">
        <v>3090</v>
      </c>
      <c r="F17258" t="s">
        <v>4</v>
      </c>
      <c r="G17258" t="str">
        <f>""</f>
        <v/>
      </c>
    </row>
    <row r="17259" spans="1:7" x14ac:dyDescent="0.25">
      <c r="A17259" t="s">
        <v>8</v>
      </c>
      <c r="B17259" s="1" t="str">
        <f>"000020685 - RICH FOODS TAHER"</f>
        <v>000020685 - RICH FOODS TAHER</v>
      </c>
      <c r="C17259" t="s">
        <v>403</v>
      </c>
      <c r="D17259" s="1" t="str">
        <f t="shared" ref="D17259:D17267" si="467">"PRG-1045431"</f>
        <v>PRG-1045431</v>
      </c>
      <c r="E17259" t="s">
        <v>115</v>
      </c>
      <c r="F17259" t="s">
        <v>4</v>
      </c>
      <c r="G17259" t="str">
        <f>""</f>
        <v/>
      </c>
    </row>
    <row r="17260" spans="1:7" x14ac:dyDescent="0.25">
      <c r="A17260" t="s">
        <v>8</v>
      </c>
      <c r="B17260" s="1" t="str">
        <f>"000055821 - RICH FOODS-TAHER"</f>
        <v>000055821 - RICH FOODS-TAHER</v>
      </c>
      <c r="C17260" t="s">
        <v>114</v>
      </c>
      <c r="D17260" s="1" t="str">
        <f t="shared" si="467"/>
        <v>PRG-1045431</v>
      </c>
      <c r="E17260" t="s">
        <v>115</v>
      </c>
      <c r="F17260" t="s">
        <v>4</v>
      </c>
      <c r="G17260" t="str">
        <f>""</f>
        <v/>
      </c>
    </row>
    <row r="17261" spans="1:7" x14ac:dyDescent="0.25">
      <c r="A17261" t="s">
        <v>8</v>
      </c>
      <c r="B17261" s="1" t="str">
        <f>"000226963 - RICH TAHER"</f>
        <v>000226963 - RICH TAHER</v>
      </c>
      <c r="C17261" t="s">
        <v>1701</v>
      </c>
      <c r="D17261" s="1" t="str">
        <f t="shared" si="467"/>
        <v>PRG-1045431</v>
      </c>
      <c r="E17261" t="s">
        <v>115</v>
      </c>
      <c r="F17261" t="s">
        <v>4</v>
      </c>
      <c r="G17261" t="str">
        <f>""</f>
        <v/>
      </c>
    </row>
    <row r="17262" spans="1:7" x14ac:dyDescent="0.25">
      <c r="A17262" t="s">
        <v>8</v>
      </c>
      <c r="B17262" s="1" t="str">
        <f>"000259125 - END! RICH TAHER  1038503 001"</f>
        <v>000259125 - END! RICH TAHER  1038503 001</v>
      </c>
      <c r="C17262" t="s">
        <v>2229</v>
      </c>
      <c r="D17262" s="1" t="str">
        <f t="shared" si="467"/>
        <v>PRG-1045431</v>
      </c>
      <c r="E17262" t="s">
        <v>115</v>
      </c>
      <c r="F17262" t="s">
        <v>4</v>
      </c>
      <c r="G17262" t="str">
        <f>""</f>
        <v/>
      </c>
    </row>
    <row r="17263" spans="1:7" x14ac:dyDescent="0.25">
      <c r="A17263" t="s">
        <v>8</v>
      </c>
      <c r="B17263" s="1" t="str">
        <f>"000269446 - RICH FOODS TAHER"</f>
        <v>000269446 - RICH FOODS TAHER</v>
      </c>
      <c r="C17263" t="s">
        <v>403</v>
      </c>
      <c r="D17263" s="1" t="str">
        <f t="shared" si="467"/>
        <v>PRG-1045431</v>
      </c>
      <c r="E17263" t="s">
        <v>115</v>
      </c>
      <c r="F17263" t="s">
        <v>4</v>
      </c>
      <c r="G17263" t="str">
        <f>""</f>
        <v/>
      </c>
    </row>
    <row r="17264" spans="1:7" x14ac:dyDescent="0.25">
      <c r="A17264" t="s">
        <v>8</v>
      </c>
      <c r="B17264" s="1" t="str">
        <f>"000346228 - RICHS-TAHER"</f>
        <v>000346228 - RICHS-TAHER</v>
      </c>
      <c r="C17264" t="s">
        <v>3371</v>
      </c>
      <c r="D17264" s="1" t="str">
        <f t="shared" si="467"/>
        <v>PRG-1045431</v>
      </c>
      <c r="E17264" t="s">
        <v>115</v>
      </c>
      <c r="F17264" t="s">
        <v>4</v>
      </c>
      <c r="G17264" t="str">
        <f>""</f>
        <v/>
      </c>
    </row>
    <row r="17265" spans="1:7" x14ac:dyDescent="0.25">
      <c r="A17265" t="s">
        <v>8</v>
      </c>
      <c r="B17265" s="1" t="str">
        <f>"000381658 - RICH PROD TAHER"</f>
        <v>000381658 - RICH PROD TAHER</v>
      </c>
      <c r="C17265" t="s">
        <v>3656</v>
      </c>
      <c r="D17265" s="1" t="str">
        <f t="shared" si="467"/>
        <v>PRG-1045431</v>
      </c>
      <c r="E17265" t="s">
        <v>115</v>
      </c>
      <c r="F17265" t="s">
        <v>4</v>
      </c>
      <c r="G17265" t="str">
        <f>""</f>
        <v/>
      </c>
    </row>
    <row r="17266" spans="1:7" x14ac:dyDescent="0.25">
      <c r="A17266" t="s">
        <v>8</v>
      </c>
      <c r="B17266" s="1" t="str">
        <f>"000417716 - RICH PRODUCTS TAHER"</f>
        <v>000417716 - RICH PRODUCTS TAHER</v>
      </c>
      <c r="C17266" t="s">
        <v>3500</v>
      </c>
      <c r="D17266" s="1" t="str">
        <f t="shared" si="467"/>
        <v>PRG-1045431</v>
      </c>
      <c r="E17266" t="s">
        <v>115</v>
      </c>
      <c r="F17266" t="s">
        <v>4</v>
      </c>
      <c r="G17266" t="str">
        <f>""</f>
        <v/>
      </c>
    </row>
    <row r="17267" spans="1:7" x14ac:dyDescent="0.25">
      <c r="A17267" t="s">
        <v>8</v>
      </c>
      <c r="B17267" s="1" t="str">
        <f>"S3F01YF0"</f>
        <v>S3F01YF0</v>
      </c>
      <c r="C17267" t="s">
        <v>5608</v>
      </c>
      <c r="D17267" s="1" t="str">
        <f t="shared" si="467"/>
        <v>PRG-1045431</v>
      </c>
      <c r="E17267" t="s">
        <v>115</v>
      </c>
      <c r="F17267" t="s">
        <v>5</v>
      </c>
      <c r="G17267" t="str">
        <f>""</f>
        <v/>
      </c>
    </row>
    <row r="17268" spans="1:7" x14ac:dyDescent="0.25">
      <c r="A17268" t="s">
        <v>8</v>
      </c>
      <c r="B17268" s="1" t="str">
        <f>"000392769 - RICH'S TAHER"</f>
        <v>000392769 - RICH'S TAHER</v>
      </c>
      <c r="C17268" t="s">
        <v>3686</v>
      </c>
      <c r="D17268" s="1" t="str">
        <f>"PRG-1045441"</f>
        <v>PRG-1045441</v>
      </c>
      <c r="E17268" t="s">
        <v>3687</v>
      </c>
      <c r="F17268" t="s">
        <v>4</v>
      </c>
      <c r="G17268" t="str">
        <f>""</f>
        <v/>
      </c>
    </row>
    <row r="17269" spans="1:7" x14ac:dyDescent="0.25">
      <c r="A17269" t="s">
        <v>8</v>
      </c>
      <c r="B17269" s="1" t="str">
        <f>"000297713 - RICH'S-GREENE TURTLE"</f>
        <v>000297713 - RICH'S-GREENE TURTLE</v>
      </c>
      <c r="C17269" t="s">
        <v>2310</v>
      </c>
      <c r="D17269" s="1" t="str">
        <f>"PRG-1045447"</f>
        <v>PRG-1045447</v>
      </c>
      <c r="E17269" t="s">
        <v>2243</v>
      </c>
      <c r="F17269" t="s">
        <v>4</v>
      </c>
      <c r="G17269" t="str">
        <f>""</f>
        <v/>
      </c>
    </row>
    <row r="17270" spans="1:7" x14ac:dyDescent="0.25">
      <c r="A17270" t="s">
        <v>8</v>
      </c>
      <c r="B17270" s="1" t="str">
        <f>"000281740 - RICH FOODS BAPA-MAIN ARAMARK"</f>
        <v>000281740 - RICH FOODS BAPA-MAIN ARAMARK</v>
      </c>
      <c r="C17270" t="s">
        <v>320</v>
      </c>
      <c r="D17270" s="1" t="str">
        <f>"PRG-1045448"</f>
        <v>PRG-1045448</v>
      </c>
      <c r="E17270" t="s">
        <v>841</v>
      </c>
      <c r="F17270" t="s">
        <v>4</v>
      </c>
      <c r="G17270" t="str">
        <f>""</f>
        <v/>
      </c>
    </row>
    <row r="17271" spans="1:7" x14ac:dyDescent="0.25">
      <c r="A17271" t="s">
        <v>8</v>
      </c>
      <c r="B17271" s="1" t="str">
        <f>"S1Z0VI30"</f>
        <v>S1Z0VI30</v>
      </c>
      <c r="C17271" t="s">
        <v>5448</v>
      </c>
      <c r="D17271" s="1" t="str">
        <f>"PRG-1045466"</f>
        <v>PRG-1045466</v>
      </c>
      <c r="E17271" t="s">
        <v>4530</v>
      </c>
      <c r="F17271" t="s">
        <v>5</v>
      </c>
      <c r="G17271" t="str">
        <f>""</f>
        <v/>
      </c>
    </row>
    <row r="17272" spans="1:7" x14ac:dyDescent="0.25">
      <c r="A17272" t="s">
        <v>8</v>
      </c>
      <c r="B17272" s="1" t="str">
        <f>"000305995 - VITOS - RICH PRODUCTS"</f>
        <v>000305995 - VITOS - RICH PRODUCTS</v>
      </c>
      <c r="C17272" t="s">
        <v>2323</v>
      </c>
      <c r="D17272" s="1" t="str">
        <f>"PRG-1045467"</f>
        <v>PRG-1045467</v>
      </c>
      <c r="E17272" t="s">
        <v>1127</v>
      </c>
      <c r="F17272" t="s">
        <v>4</v>
      </c>
      <c r="G17272" t="str">
        <f>""</f>
        <v/>
      </c>
    </row>
    <row r="17273" spans="1:7" x14ac:dyDescent="0.25">
      <c r="A17273" t="s">
        <v>8</v>
      </c>
      <c r="B17273" s="1" t="str">
        <f>"000071135 - RICH FOODS-SOUTHERN FOODSERVIC"</f>
        <v>000071135 - RICH FOODS-SOUTHERN FOODSERVIC</v>
      </c>
      <c r="C17273" t="s">
        <v>269</v>
      </c>
      <c r="D17273" s="1" t="str">
        <f t="shared" ref="D17273:D17281" si="468">"PRG-1045474"</f>
        <v>PRG-1045474</v>
      </c>
      <c r="E17273" t="s">
        <v>270</v>
      </c>
      <c r="F17273" t="s">
        <v>4</v>
      </c>
      <c r="G17273" t="str">
        <f>""</f>
        <v/>
      </c>
    </row>
    <row r="17274" spans="1:7" x14ac:dyDescent="0.25">
      <c r="A17274" t="s">
        <v>8</v>
      </c>
      <c r="B17274" s="1" t="str">
        <f>"000219759 - RICH FOODS-SOUTHERN FOODSERVIC"</f>
        <v>000219759 - RICH FOODS-SOUTHERN FOODSERVIC</v>
      </c>
      <c r="C17274" t="s">
        <v>269</v>
      </c>
      <c r="D17274" s="1" t="str">
        <f t="shared" si="468"/>
        <v>PRG-1045474</v>
      </c>
      <c r="E17274" t="s">
        <v>270</v>
      </c>
      <c r="F17274" t="s">
        <v>4</v>
      </c>
      <c r="G17274" t="str">
        <f>""</f>
        <v/>
      </c>
    </row>
    <row r="17275" spans="1:7" x14ac:dyDescent="0.25">
      <c r="A17275" t="s">
        <v>8</v>
      </c>
      <c r="B17275" s="1" t="str">
        <f>"000303535 - RICH FOODS-SOUTHERN FOODSERVIC"</f>
        <v>000303535 - RICH FOODS-SOUTHERN FOODSERVIC</v>
      </c>
      <c r="C17275" t="s">
        <v>269</v>
      </c>
      <c r="D17275" s="1" t="str">
        <f t="shared" si="468"/>
        <v>PRG-1045474</v>
      </c>
      <c r="E17275" t="s">
        <v>270</v>
      </c>
      <c r="F17275" t="s">
        <v>4</v>
      </c>
      <c r="G17275" t="str">
        <f>""</f>
        <v/>
      </c>
    </row>
    <row r="17276" spans="1:7" x14ac:dyDescent="0.25">
      <c r="A17276" t="s">
        <v>8</v>
      </c>
      <c r="B17276" s="1" t="str">
        <f>"000326544 - RICH FOODS-SOUTHERN FOODSERVIC"</f>
        <v>000326544 - RICH FOODS-SOUTHERN FOODSERVIC</v>
      </c>
      <c r="C17276" t="s">
        <v>269</v>
      </c>
      <c r="D17276" s="1" t="str">
        <f t="shared" si="468"/>
        <v>PRG-1045474</v>
      </c>
      <c r="E17276" t="s">
        <v>270</v>
      </c>
      <c r="F17276" t="s">
        <v>4</v>
      </c>
      <c r="G17276" t="str">
        <f>""</f>
        <v/>
      </c>
    </row>
    <row r="17277" spans="1:7" x14ac:dyDescent="0.25">
      <c r="A17277" t="s">
        <v>8</v>
      </c>
      <c r="B17277" s="1" t="str">
        <f>"000364794 - RICH FOODS-SOUTHERN FOODSERVIC"</f>
        <v>000364794 - RICH FOODS-SOUTHERN FOODSERVIC</v>
      </c>
      <c r="C17277" t="s">
        <v>269</v>
      </c>
      <c r="D17277" s="1" t="str">
        <f t="shared" si="468"/>
        <v>PRG-1045474</v>
      </c>
      <c r="E17277" t="s">
        <v>270</v>
      </c>
      <c r="F17277" t="s">
        <v>4</v>
      </c>
      <c r="G17277" t="str">
        <f>""</f>
        <v/>
      </c>
    </row>
    <row r="17278" spans="1:7" x14ac:dyDescent="0.25">
      <c r="A17278" t="s">
        <v>8</v>
      </c>
      <c r="B17278" s="1" t="str">
        <f>"000374167 - RICH FOODS-SOUTHERN FOODSERVIC"</f>
        <v>000374167 - RICH FOODS-SOUTHERN FOODSERVIC</v>
      </c>
      <c r="C17278" t="s">
        <v>269</v>
      </c>
      <c r="D17278" s="1" t="str">
        <f t="shared" si="468"/>
        <v>PRG-1045474</v>
      </c>
      <c r="E17278" t="s">
        <v>270</v>
      </c>
      <c r="F17278" t="s">
        <v>4</v>
      </c>
      <c r="G17278" t="str">
        <f>""</f>
        <v/>
      </c>
    </row>
    <row r="17279" spans="1:7" x14ac:dyDescent="0.25">
      <c r="A17279" t="s">
        <v>8</v>
      </c>
      <c r="B17279" s="1" t="str">
        <f>"000410533 - RICH FOODS-SOUTHERN FOODSERVIC"</f>
        <v>000410533 - RICH FOODS-SOUTHERN FOODSERVIC</v>
      </c>
      <c r="C17279" t="s">
        <v>269</v>
      </c>
      <c r="D17279" s="1" t="str">
        <f t="shared" si="468"/>
        <v>PRG-1045474</v>
      </c>
      <c r="E17279" t="s">
        <v>270</v>
      </c>
      <c r="F17279" t="s">
        <v>4</v>
      </c>
      <c r="G17279" t="str">
        <f>""</f>
        <v/>
      </c>
    </row>
    <row r="17280" spans="1:7" x14ac:dyDescent="0.25">
      <c r="A17280" t="s">
        <v>8</v>
      </c>
      <c r="B17280" s="1" t="str">
        <f>"000420944 - RICH FOODS-SOUTHERN FOODSERVIC"</f>
        <v>000420944 - RICH FOODS-SOUTHERN FOODSERVIC</v>
      </c>
      <c r="C17280" t="s">
        <v>269</v>
      </c>
      <c r="D17280" s="1" t="str">
        <f t="shared" si="468"/>
        <v>PRG-1045474</v>
      </c>
      <c r="E17280" t="s">
        <v>270</v>
      </c>
      <c r="F17280" t="s">
        <v>4</v>
      </c>
      <c r="G17280" t="str">
        <f>""</f>
        <v/>
      </c>
    </row>
    <row r="17281" spans="1:7" x14ac:dyDescent="0.25">
      <c r="A17281" t="s">
        <v>8</v>
      </c>
      <c r="B17281" s="1" t="str">
        <f>"2000380568 - RICH PRODUCTS-SOUTHERN FOODSERVICES"</f>
        <v>2000380568 - RICH PRODUCTS-SOUTHERN FOODSERVICES</v>
      </c>
      <c r="C17281" t="s">
        <v>3900</v>
      </c>
      <c r="D17281" s="1" t="str">
        <f t="shared" si="468"/>
        <v>PRG-1045474</v>
      </c>
      <c r="E17281" t="s">
        <v>270</v>
      </c>
      <c r="F17281" t="s">
        <v>4</v>
      </c>
      <c r="G17281" t="str">
        <f>""</f>
        <v/>
      </c>
    </row>
    <row r="17282" spans="1:7" x14ac:dyDescent="0.25">
      <c r="A17282" t="s">
        <v>8</v>
      </c>
      <c r="B17282" s="1" t="str">
        <f>"000249347 - RICH-SEAWORLD"</f>
        <v>000249347 - RICH-SEAWORLD</v>
      </c>
      <c r="C17282" t="s">
        <v>2066</v>
      </c>
      <c r="D17282" s="1" t="str">
        <f>"PRG-1045477"</f>
        <v>PRG-1045477</v>
      </c>
      <c r="E17282" t="s">
        <v>2067</v>
      </c>
      <c r="F17282" t="s">
        <v>4</v>
      </c>
      <c r="G17282" t="str">
        <f>""</f>
        <v/>
      </c>
    </row>
    <row r="17283" spans="1:7" x14ac:dyDescent="0.25">
      <c r="A17283" t="s">
        <v>8</v>
      </c>
      <c r="B17283" s="1" t="str">
        <f>"000400200 - RICH-SEAWORLD"</f>
        <v>000400200 - RICH-SEAWORLD</v>
      </c>
      <c r="C17283" t="s">
        <v>2066</v>
      </c>
      <c r="D17283" s="1" t="str">
        <f>"PRG-1045477"</f>
        <v>PRG-1045477</v>
      </c>
      <c r="E17283" t="s">
        <v>2067</v>
      </c>
      <c r="F17283" t="s">
        <v>4</v>
      </c>
      <c r="G17283" t="str">
        <f>""</f>
        <v/>
      </c>
    </row>
    <row r="17284" spans="1:7" x14ac:dyDescent="0.25">
      <c r="A17284" t="s">
        <v>8</v>
      </c>
      <c r="B17284" s="1" t="str">
        <f>"000312750 - RICH-RICHMOND"</f>
        <v>000312750 - RICH-RICHMOND</v>
      </c>
      <c r="C17284" t="s">
        <v>3127</v>
      </c>
      <c r="D17284" s="1" t="str">
        <f>"PRG-1045480"</f>
        <v>PRG-1045480</v>
      </c>
      <c r="E17284" t="s">
        <v>3130</v>
      </c>
      <c r="F17284" t="s">
        <v>4</v>
      </c>
      <c r="G17284" t="str">
        <f>""</f>
        <v/>
      </c>
    </row>
    <row r="17285" spans="1:7" x14ac:dyDescent="0.25">
      <c r="A17285" t="s">
        <v>8</v>
      </c>
      <c r="B17285" s="1" t="str">
        <f>"000036768 - APS - RICH'S"</f>
        <v>000036768 - APS - RICH'S</v>
      </c>
      <c r="C17285" t="s">
        <v>546</v>
      </c>
      <c r="D17285" s="1" t="str">
        <f>"PRG-1045481"</f>
        <v>PRG-1045481</v>
      </c>
      <c r="E17285" t="s">
        <v>547</v>
      </c>
      <c r="F17285" t="s">
        <v>4</v>
      </c>
      <c r="G17285" t="str">
        <f>""</f>
        <v/>
      </c>
    </row>
    <row r="17286" spans="1:7" x14ac:dyDescent="0.25">
      <c r="A17286" t="s">
        <v>8</v>
      </c>
      <c r="B17286" s="1" t="str">
        <f>"000034793 - RICH PRODUCTS-OLD SPAG FACTORY"</f>
        <v>000034793 - RICH PRODUCTS-OLD SPAG FACTORY</v>
      </c>
      <c r="C17286" t="s">
        <v>280</v>
      </c>
      <c r="D17286" s="1" t="str">
        <f t="shared" ref="D17286:D17293" si="469">"PRG-1045489"</f>
        <v>PRG-1045489</v>
      </c>
      <c r="E17286" t="s">
        <v>227</v>
      </c>
      <c r="F17286" t="s">
        <v>4</v>
      </c>
      <c r="G17286" t="str">
        <f>""</f>
        <v/>
      </c>
    </row>
    <row r="17287" spans="1:7" x14ac:dyDescent="0.25">
      <c r="A17287" t="s">
        <v>8</v>
      </c>
      <c r="B17287" s="1" t="str">
        <f>"000037279 - RICH PRODUCTS-OLD SPAG FACTORY"</f>
        <v>000037279 - RICH PRODUCTS-OLD SPAG FACTORY</v>
      </c>
      <c r="C17287" t="s">
        <v>280</v>
      </c>
      <c r="D17287" s="1" t="str">
        <f t="shared" si="469"/>
        <v>PRG-1045489</v>
      </c>
      <c r="E17287" t="s">
        <v>227</v>
      </c>
      <c r="F17287" t="s">
        <v>4</v>
      </c>
      <c r="G17287" t="str">
        <f>""</f>
        <v/>
      </c>
    </row>
    <row r="17288" spans="1:7" x14ac:dyDescent="0.25">
      <c r="A17288" t="s">
        <v>8</v>
      </c>
      <c r="B17288" s="1" t="str">
        <f>"000176094 - RICH PRODUCTS-OLD SPAG FACTORY"</f>
        <v>000176094 - RICH PRODUCTS-OLD SPAG FACTORY</v>
      </c>
      <c r="C17288" t="s">
        <v>280</v>
      </c>
      <c r="D17288" s="1" t="str">
        <f t="shared" si="469"/>
        <v>PRG-1045489</v>
      </c>
      <c r="E17288" t="s">
        <v>227</v>
      </c>
      <c r="F17288" t="s">
        <v>4</v>
      </c>
      <c r="G17288" t="str">
        <f>""</f>
        <v/>
      </c>
    </row>
    <row r="17289" spans="1:7" x14ac:dyDescent="0.25">
      <c r="A17289" t="s">
        <v>8</v>
      </c>
      <c r="B17289" s="1" t="str">
        <f>"000266250 - RICH PRODUCTS-OLD SPAG FACTORY"</f>
        <v>000266250 - RICH PRODUCTS-OLD SPAG FACTORY</v>
      </c>
      <c r="C17289" t="s">
        <v>280</v>
      </c>
      <c r="D17289" s="1" t="str">
        <f t="shared" si="469"/>
        <v>PRG-1045489</v>
      </c>
      <c r="E17289" t="s">
        <v>227</v>
      </c>
      <c r="F17289" t="s">
        <v>4</v>
      </c>
      <c r="G17289" t="str">
        <f>""</f>
        <v/>
      </c>
    </row>
    <row r="17290" spans="1:7" x14ac:dyDescent="0.25">
      <c r="A17290" t="s">
        <v>8</v>
      </c>
      <c r="B17290" s="1" t="str">
        <f>"000273012 - RICH PRODUCTS-OLD SPAG FACTORY"</f>
        <v>000273012 - RICH PRODUCTS-OLD SPAG FACTORY</v>
      </c>
      <c r="C17290" t="s">
        <v>280</v>
      </c>
      <c r="D17290" s="1" t="str">
        <f t="shared" si="469"/>
        <v>PRG-1045489</v>
      </c>
      <c r="E17290" t="s">
        <v>227</v>
      </c>
      <c r="F17290" t="s">
        <v>4</v>
      </c>
      <c r="G17290" t="str">
        <f>""</f>
        <v/>
      </c>
    </row>
    <row r="17291" spans="1:7" x14ac:dyDescent="0.25">
      <c r="A17291" t="s">
        <v>8</v>
      </c>
      <c r="B17291" s="1" t="str">
        <f>"000285040 - RICH PRODUCTS-OLD SPAG FACTORY"</f>
        <v>000285040 - RICH PRODUCTS-OLD SPAG FACTORY</v>
      </c>
      <c r="C17291" t="s">
        <v>280</v>
      </c>
      <c r="D17291" s="1" t="str">
        <f t="shared" si="469"/>
        <v>PRG-1045489</v>
      </c>
      <c r="E17291" t="s">
        <v>227</v>
      </c>
      <c r="F17291" t="s">
        <v>4</v>
      </c>
      <c r="G17291" t="str">
        <f>""</f>
        <v/>
      </c>
    </row>
    <row r="17292" spans="1:7" x14ac:dyDescent="0.25">
      <c r="A17292" t="s">
        <v>8</v>
      </c>
      <c r="B17292" s="1" t="str">
        <f>"000302894 - RICH PRODUCTS-OLD SPAG FACTORY"</f>
        <v>000302894 - RICH PRODUCTS-OLD SPAG FACTORY</v>
      </c>
      <c r="C17292" t="s">
        <v>280</v>
      </c>
      <c r="D17292" s="1" t="str">
        <f t="shared" si="469"/>
        <v>PRG-1045489</v>
      </c>
      <c r="E17292" t="s">
        <v>227</v>
      </c>
      <c r="F17292" t="s">
        <v>4</v>
      </c>
      <c r="G17292" t="str">
        <f>""</f>
        <v/>
      </c>
    </row>
    <row r="17293" spans="1:7" x14ac:dyDescent="0.25">
      <c r="A17293" t="s">
        <v>8</v>
      </c>
      <c r="B17293" s="1" t="str">
        <f>"000381435 - RICH PRODUCTS-OLD SPAG FACTORY"</f>
        <v>000381435 - RICH PRODUCTS-OLD SPAG FACTORY</v>
      </c>
      <c r="C17293" t="s">
        <v>280</v>
      </c>
      <c r="D17293" s="1" t="str">
        <f t="shared" si="469"/>
        <v>PRG-1045489</v>
      </c>
      <c r="E17293" t="s">
        <v>227</v>
      </c>
      <c r="F17293" t="s">
        <v>4</v>
      </c>
      <c r="G17293" t="str">
        <f>""</f>
        <v/>
      </c>
    </row>
    <row r="17294" spans="1:7" x14ac:dyDescent="0.25">
      <c r="A17294" t="s">
        <v>8</v>
      </c>
      <c r="B17294" s="1" t="str">
        <f>"S3Z00JG0"</f>
        <v>S3Z00JG0</v>
      </c>
      <c r="C17294" t="s">
        <v>5693</v>
      </c>
      <c r="D17294" s="1" t="str">
        <f>"PRG-1045494"</f>
        <v>PRG-1045494</v>
      </c>
      <c r="E17294" t="s">
        <v>5694</v>
      </c>
      <c r="F17294" t="s">
        <v>5</v>
      </c>
      <c r="G17294" t="str">
        <f>""</f>
        <v/>
      </c>
    </row>
    <row r="17295" spans="1:7" x14ac:dyDescent="0.25">
      <c r="A17295" t="s">
        <v>8</v>
      </c>
      <c r="B17295" s="1" t="str">
        <f>"000427173 - RICH FOODS KINGS HAWAIIAN"</f>
        <v>000427173 - RICH FOODS KINGS HAWAIIAN</v>
      </c>
      <c r="C17295" t="s">
        <v>3528</v>
      </c>
      <c r="D17295" s="1" t="str">
        <f>"PRG-1045501"</f>
        <v>PRG-1045501</v>
      </c>
      <c r="E17295" t="s">
        <v>3529</v>
      </c>
      <c r="F17295" t="s">
        <v>4</v>
      </c>
      <c r="G17295" t="str">
        <f>""</f>
        <v/>
      </c>
    </row>
    <row r="17296" spans="1:7" x14ac:dyDescent="0.25">
      <c r="A17296" t="s">
        <v>8</v>
      </c>
      <c r="B17296" s="1" t="str">
        <f>"S5O00FI0"</f>
        <v>S5O00FI0</v>
      </c>
      <c r="C17296" t="s">
        <v>5916</v>
      </c>
      <c r="D17296" s="1" t="str">
        <f>"PRG-1045503"</f>
        <v>PRG-1045503</v>
      </c>
      <c r="E17296" t="s">
        <v>5474</v>
      </c>
      <c r="F17296" t="s">
        <v>5</v>
      </c>
      <c r="G17296" t="str">
        <f>""</f>
        <v/>
      </c>
    </row>
    <row r="17297" spans="1:7" x14ac:dyDescent="0.25">
      <c r="A17297" t="s">
        <v>8</v>
      </c>
      <c r="B17297" s="1" t="str">
        <f>"000219259 - RICH'S  H&amp;H"</f>
        <v>000219259 - RICH'S  H&amp;H</v>
      </c>
      <c r="C17297" t="s">
        <v>1569</v>
      </c>
      <c r="D17297" s="1" t="str">
        <f>"PRG-1045509"</f>
        <v>PRG-1045509</v>
      </c>
      <c r="E17297" t="s">
        <v>1565</v>
      </c>
      <c r="F17297" t="s">
        <v>4</v>
      </c>
      <c r="G17297" t="str">
        <f>""</f>
        <v/>
      </c>
    </row>
    <row r="17298" spans="1:7" x14ac:dyDescent="0.25">
      <c r="A17298" t="s">
        <v>8</v>
      </c>
      <c r="B17298" s="1" t="str">
        <f>"000273785 - RICH PRODUCTS H&amp;HCAMPS"</f>
        <v>000273785 - RICH PRODUCTS H&amp;HCAMPS</v>
      </c>
      <c r="C17298" t="s">
        <v>2531</v>
      </c>
      <c r="D17298" s="1" t="str">
        <f>"PRG-1045509"</f>
        <v>PRG-1045509</v>
      </c>
      <c r="E17298" t="s">
        <v>1565</v>
      </c>
      <c r="F17298" t="s">
        <v>4</v>
      </c>
      <c r="G17298" t="str">
        <f>""</f>
        <v/>
      </c>
    </row>
    <row r="17299" spans="1:7" x14ac:dyDescent="0.25">
      <c r="A17299" t="s">
        <v>8</v>
      </c>
      <c r="B17299" s="1" t="str">
        <f>"000337623 - RICH H&amp;H PURCHASING"</f>
        <v>000337623 - RICH H&amp;H PURCHASING</v>
      </c>
      <c r="C17299" t="s">
        <v>3266</v>
      </c>
      <c r="D17299" s="1" t="str">
        <f>"PRG-1045509"</f>
        <v>PRG-1045509</v>
      </c>
      <c r="E17299" t="s">
        <v>1565</v>
      </c>
      <c r="F17299" t="s">
        <v>4</v>
      </c>
      <c r="G17299" t="str">
        <f>""</f>
        <v/>
      </c>
    </row>
    <row r="17300" spans="1:7" x14ac:dyDescent="0.25">
      <c r="A17300" t="s">
        <v>8</v>
      </c>
      <c r="B17300" s="1" t="str">
        <f>"000000181 - RICHS - VILLAGE TAVERN"</f>
        <v>000000181 - RICHS - VILLAGE TAVERN</v>
      </c>
      <c r="C17300" t="s">
        <v>16</v>
      </c>
      <c r="D17300" s="1" t="str">
        <f>"PRG-1045526"</f>
        <v>PRG-1045526</v>
      </c>
      <c r="E17300" t="s">
        <v>17</v>
      </c>
      <c r="F17300" t="s">
        <v>4</v>
      </c>
      <c r="G17300" t="str">
        <f>""</f>
        <v/>
      </c>
    </row>
    <row r="17301" spans="1:7" x14ac:dyDescent="0.25">
      <c r="A17301" t="s">
        <v>8</v>
      </c>
      <c r="B17301" s="1" t="str">
        <f>"000314967 - VILLAGE INN RICH'S"</f>
        <v>000314967 - VILLAGE INN RICH'S</v>
      </c>
      <c r="C17301" t="s">
        <v>1834</v>
      </c>
      <c r="D17301" s="1" t="str">
        <f>"PRG-1045526"</f>
        <v>PRG-1045526</v>
      </c>
      <c r="E17301" t="s">
        <v>17</v>
      </c>
      <c r="F17301" t="s">
        <v>4</v>
      </c>
      <c r="G17301" t="str">
        <f>""</f>
        <v/>
      </c>
    </row>
    <row r="17302" spans="1:7" x14ac:dyDescent="0.25">
      <c r="A17302" t="s">
        <v>8</v>
      </c>
      <c r="B17302" s="1" t="str">
        <f>"000033906 - VON HANSON RICHS PRODUCTS"</f>
        <v>000033906 - VON HANSON RICHS PRODUCTS</v>
      </c>
      <c r="C17302" t="s">
        <v>411</v>
      </c>
      <c r="D17302" s="1" t="str">
        <f t="shared" ref="D17302:D17329" si="470">"PRG-1045527"</f>
        <v>PRG-1045527</v>
      </c>
      <c r="E17302" t="s">
        <v>93</v>
      </c>
      <c r="F17302" t="s">
        <v>4</v>
      </c>
      <c r="G17302" t="str">
        <f>""</f>
        <v/>
      </c>
    </row>
    <row r="17303" spans="1:7" x14ac:dyDescent="0.25">
      <c r="A17303" t="s">
        <v>8</v>
      </c>
      <c r="B17303" s="1" t="str">
        <f>"000036993 - RICH FOODS-BOB"</f>
        <v>000036993 - RICH FOODS-BOB</v>
      </c>
      <c r="C17303" t="s">
        <v>445</v>
      </c>
      <c r="D17303" s="1" t="str">
        <f t="shared" si="470"/>
        <v>PRG-1045527</v>
      </c>
      <c r="E17303" t="s">
        <v>93</v>
      </c>
      <c r="F17303" t="s">
        <v>4</v>
      </c>
      <c r="G17303" t="str">
        <f>""</f>
        <v/>
      </c>
    </row>
    <row r="17304" spans="1:7" x14ac:dyDescent="0.25">
      <c r="A17304" t="s">
        <v>8</v>
      </c>
      <c r="B17304" s="1" t="str">
        <f>"000050324 - RICH FOODS-BOB"</f>
        <v>000050324 - RICH FOODS-BOB</v>
      </c>
      <c r="C17304" t="s">
        <v>445</v>
      </c>
      <c r="D17304" s="1" t="str">
        <f t="shared" si="470"/>
        <v>PRG-1045527</v>
      </c>
      <c r="E17304" t="s">
        <v>93</v>
      </c>
      <c r="F17304" t="s">
        <v>4</v>
      </c>
      <c r="G17304" t="str">
        <f>""</f>
        <v/>
      </c>
    </row>
    <row r="17305" spans="1:7" x14ac:dyDescent="0.25">
      <c r="A17305" t="s">
        <v>8</v>
      </c>
      <c r="B17305" s="1" t="str">
        <f>"000084125 - RICH FOODS-BOB"</f>
        <v>000084125 - RICH FOODS-BOB</v>
      </c>
      <c r="C17305" t="s">
        <v>445</v>
      </c>
      <c r="D17305" s="1" t="str">
        <f t="shared" si="470"/>
        <v>PRG-1045527</v>
      </c>
      <c r="E17305" t="s">
        <v>93</v>
      </c>
      <c r="F17305" t="s">
        <v>4</v>
      </c>
      <c r="G17305" t="str">
        <f>""</f>
        <v/>
      </c>
    </row>
    <row r="17306" spans="1:7" x14ac:dyDescent="0.25">
      <c r="A17306" t="s">
        <v>8</v>
      </c>
      <c r="B17306" s="1" t="str">
        <f>"000159591 - RICH FOODS-BOB"</f>
        <v>000159591 - RICH FOODS-BOB</v>
      </c>
      <c r="C17306" t="s">
        <v>445</v>
      </c>
      <c r="D17306" s="1" t="str">
        <f t="shared" si="470"/>
        <v>PRG-1045527</v>
      </c>
      <c r="E17306" t="s">
        <v>93</v>
      </c>
      <c r="F17306" t="s">
        <v>4</v>
      </c>
      <c r="G17306" t="str">
        <f>""</f>
        <v/>
      </c>
    </row>
    <row r="17307" spans="1:7" x14ac:dyDescent="0.25">
      <c r="A17307" t="s">
        <v>8</v>
      </c>
      <c r="B17307" s="1" t="str">
        <f>"000188013 - RICH FOODS-BOB"</f>
        <v>000188013 - RICH FOODS-BOB</v>
      </c>
      <c r="C17307" t="s">
        <v>445</v>
      </c>
      <c r="D17307" s="1" t="str">
        <f t="shared" si="470"/>
        <v>PRG-1045527</v>
      </c>
      <c r="E17307" t="s">
        <v>93</v>
      </c>
      <c r="F17307" t="s">
        <v>4</v>
      </c>
      <c r="G17307" t="str">
        <f>""</f>
        <v/>
      </c>
    </row>
    <row r="17308" spans="1:7" x14ac:dyDescent="0.25">
      <c r="A17308" t="s">
        <v>8</v>
      </c>
      <c r="B17308" s="1" t="str">
        <f>"000247896 - RICH PRODUCTS-BOB"</f>
        <v>000247896 - RICH PRODUCTS-BOB</v>
      </c>
      <c r="C17308" t="s">
        <v>327</v>
      </c>
      <c r="D17308" s="1" t="str">
        <f t="shared" si="470"/>
        <v>PRG-1045527</v>
      </c>
      <c r="E17308" t="s">
        <v>93</v>
      </c>
      <c r="F17308" t="s">
        <v>4</v>
      </c>
      <c r="G17308" t="str">
        <f>""</f>
        <v/>
      </c>
    </row>
    <row r="17309" spans="1:7" x14ac:dyDescent="0.25">
      <c r="A17309" t="s">
        <v>8</v>
      </c>
      <c r="B17309" s="1" t="str">
        <f>"000275078 - RICH FOODS-BOB"</f>
        <v>000275078 - RICH FOODS-BOB</v>
      </c>
      <c r="C17309" t="s">
        <v>445</v>
      </c>
      <c r="D17309" s="1" t="str">
        <f t="shared" si="470"/>
        <v>PRG-1045527</v>
      </c>
      <c r="E17309" t="s">
        <v>93</v>
      </c>
      <c r="F17309" t="s">
        <v>4</v>
      </c>
      <c r="G17309" t="str">
        <f>""</f>
        <v/>
      </c>
    </row>
    <row r="17310" spans="1:7" x14ac:dyDescent="0.25">
      <c r="A17310" t="s">
        <v>8</v>
      </c>
      <c r="B17310" s="1" t="str">
        <f>"000276646 - RICH FOODS-BOB"</f>
        <v>000276646 - RICH FOODS-BOB</v>
      </c>
      <c r="C17310" t="s">
        <v>445</v>
      </c>
      <c r="D17310" s="1" t="str">
        <f t="shared" si="470"/>
        <v>PRG-1045527</v>
      </c>
      <c r="E17310" t="s">
        <v>93</v>
      </c>
      <c r="F17310" t="s">
        <v>4</v>
      </c>
      <c r="G17310" t="str">
        <f>""</f>
        <v/>
      </c>
    </row>
    <row r="17311" spans="1:7" x14ac:dyDescent="0.25">
      <c r="A17311" t="s">
        <v>8</v>
      </c>
      <c r="B17311" s="1" t="str">
        <f>"000283272 - RICH FOODS-BOB"</f>
        <v>000283272 - RICH FOODS-BOB</v>
      </c>
      <c r="C17311" t="s">
        <v>445</v>
      </c>
      <c r="D17311" s="1" t="str">
        <f t="shared" si="470"/>
        <v>PRG-1045527</v>
      </c>
      <c r="E17311" t="s">
        <v>93</v>
      </c>
      <c r="F17311" t="s">
        <v>4</v>
      </c>
      <c r="G17311" t="str">
        <f>""</f>
        <v/>
      </c>
    </row>
    <row r="17312" spans="1:7" x14ac:dyDescent="0.25">
      <c r="A17312" t="s">
        <v>8</v>
      </c>
      <c r="B17312" s="1" t="str">
        <f>"000284169 - RICH FOODS-BOB"</f>
        <v>000284169 - RICH FOODS-BOB</v>
      </c>
      <c r="C17312" t="s">
        <v>445</v>
      </c>
      <c r="D17312" s="1" t="str">
        <f t="shared" si="470"/>
        <v>PRG-1045527</v>
      </c>
      <c r="E17312" t="s">
        <v>93</v>
      </c>
      <c r="F17312" t="s">
        <v>4</v>
      </c>
      <c r="G17312" t="str">
        <f>""</f>
        <v/>
      </c>
    </row>
    <row r="17313" spans="1:7" x14ac:dyDescent="0.25">
      <c r="A17313" t="s">
        <v>8</v>
      </c>
      <c r="B17313" s="1" t="str">
        <f>"000295748 - RICH FOODS-BOB"</f>
        <v>000295748 - RICH FOODS-BOB</v>
      </c>
      <c r="C17313" t="s">
        <v>445</v>
      </c>
      <c r="D17313" s="1" t="str">
        <f t="shared" si="470"/>
        <v>PRG-1045527</v>
      </c>
      <c r="E17313" t="s">
        <v>93</v>
      </c>
      <c r="F17313" t="s">
        <v>4</v>
      </c>
      <c r="G17313" t="str">
        <f>""</f>
        <v/>
      </c>
    </row>
    <row r="17314" spans="1:7" x14ac:dyDescent="0.25">
      <c r="A17314" t="s">
        <v>8</v>
      </c>
      <c r="B17314" s="1" t="str">
        <f>"000299270 - RICH FOODS-BOB"</f>
        <v>000299270 - RICH FOODS-BOB</v>
      </c>
      <c r="C17314" t="s">
        <v>445</v>
      </c>
      <c r="D17314" s="1" t="str">
        <f t="shared" si="470"/>
        <v>PRG-1045527</v>
      </c>
      <c r="E17314" t="s">
        <v>93</v>
      </c>
      <c r="F17314" t="s">
        <v>4</v>
      </c>
      <c r="G17314" t="str">
        <f>""</f>
        <v/>
      </c>
    </row>
    <row r="17315" spans="1:7" x14ac:dyDescent="0.25">
      <c r="A17315" t="s">
        <v>8</v>
      </c>
      <c r="B17315" s="1" t="str">
        <f>"000300308 - RICH FOODS-BOB"</f>
        <v>000300308 - RICH FOODS-BOB</v>
      </c>
      <c r="C17315" t="s">
        <v>445</v>
      </c>
      <c r="D17315" s="1" t="str">
        <f t="shared" si="470"/>
        <v>PRG-1045527</v>
      </c>
      <c r="E17315" t="s">
        <v>93</v>
      </c>
      <c r="F17315" t="s">
        <v>4</v>
      </c>
      <c r="G17315" t="str">
        <f>""</f>
        <v/>
      </c>
    </row>
    <row r="17316" spans="1:7" x14ac:dyDescent="0.25">
      <c r="A17316" t="s">
        <v>8</v>
      </c>
      <c r="B17316" s="1" t="str">
        <f>"000304697 - RICH PRODUCTS-BOB"</f>
        <v>000304697 - RICH PRODUCTS-BOB</v>
      </c>
      <c r="C17316" t="s">
        <v>327</v>
      </c>
      <c r="D17316" s="1" t="str">
        <f t="shared" si="470"/>
        <v>PRG-1045527</v>
      </c>
      <c r="E17316" t="s">
        <v>93</v>
      </c>
      <c r="F17316" t="s">
        <v>4</v>
      </c>
      <c r="G17316" t="str">
        <f>""</f>
        <v/>
      </c>
    </row>
    <row r="17317" spans="1:7" x14ac:dyDescent="0.25">
      <c r="A17317" t="s">
        <v>8</v>
      </c>
      <c r="B17317" s="1" t="str">
        <f>"000313804 - RICH FOODS-BOB"</f>
        <v>000313804 - RICH FOODS-BOB</v>
      </c>
      <c r="C17317" t="s">
        <v>445</v>
      </c>
      <c r="D17317" s="1" t="str">
        <f t="shared" si="470"/>
        <v>PRG-1045527</v>
      </c>
      <c r="E17317" t="s">
        <v>93</v>
      </c>
      <c r="F17317" t="s">
        <v>4</v>
      </c>
      <c r="G17317" t="str">
        <f>""</f>
        <v/>
      </c>
    </row>
    <row r="17318" spans="1:7" x14ac:dyDescent="0.25">
      <c r="A17318" t="s">
        <v>8</v>
      </c>
      <c r="B17318" s="1" t="str">
        <f>"000326358 - RICH PRODUCTS-BOB"</f>
        <v>000326358 - RICH PRODUCTS-BOB</v>
      </c>
      <c r="C17318" t="s">
        <v>327</v>
      </c>
      <c r="D17318" s="1" t="str">
        <f t="shared" si="470"/>
        <v>PRG-1045527</v>
      </c>
      <c r="E17318" t="s">
        <v>93</v>
      </c>
      <c r="F17318" t="s">
        <v>4</v>
      </c>
      <c r="G17318" t="str">
        <f>""</f>
        <v/>
      </c>
    </row>
    <row r="17319" spans="1:7" x14ac:dyDescent="0.25">
      <c r="A17319" t="s">
        <v>8</v>
      </c>
      <c r="B17319" s="1" t="str">
        <f>"000335642 - RICH PRODUCTS-BOB"</f>
        <v>000335642 - RICH PRODUCTS-BOB</v>
      </c>
      <c r="C17319" t="s">
        <v>327</v>
      </c>
      <c r="D17319" s="1" t="str">
        <f t="shared" si="470"/>
        <v>PRG-1045527</v>
      </c>
      <c r="E17319" t="s">
        <v>93</v>
      </c>
      <c r="F17319" t="s">
        <v>4</v>
      </c>
      <c r="G17319" t="str">
        <f>""</f>
        <v/>
      </c>
    </row>
    <row r="17320" spans="1:7" x14ac:dyDescent="0.25">
      <c r="A17320" t="s">
        <v>8</v>
      </c>
      <c r="B17320" s="1" t="str">
        <f>"000338303 - RICH PRODUCTS-BOB"</f>
        <v>000338303 - RICH PRODUCTS-BOB</v>
      </c>
      <c r="C17320" t="s">
        <v>327</v>
      </c>
      <c r="D17320" s="1" t="str">
        <f t="shared" si="470"/>
        <v>PRG-1045527</v>
      </c>
      <c r="E17320" t="s">
        <v>93</v>
      </c>
      <c r="F17320" t="s">
        <v>4</v>
      </c>
      <c r="G17320" t="str">
        <f>""</f>
        <v/>
      </c>
    </row>
    <row r="17321" spans="1:7" x14ac:dyDescent="0.25">
      <c r="A17321" t="s">
        <v>8</v>
      </c>
      <c r="B17321" s="1" t="str">
        <f>"000342541 - RICH PRODUCTS-BOB"</f>
        <v>000342541 - RICH PRODUCTS-BOB</v>
      </c>
      <c r="C17321" t="s">
        <v>327</v>
      </c>
      <c r="D17321" s="1" t="str">
        <f t="shared" si="470"/>
        <v>PRG-1045527</v>
      </c>
      <c r="E17321" t="s">
        <v>93</v>
      </c>
      <c r="F17321" t="s">
        <v>4</v>
      </c>
      <c r="G17321" t="str">
        <f>""</f>
        <v/>
      </c>
    </row>
    <row r="17322" spans="1:7" x14ac:dyDescent="0.25">
      <c r="A17322" t="s">
        <v>8</v>
      </c>
      <c r="B17322" s="1" t="str">
        <f>"000347334 - RICH FOODS-BOB"</f>
        <v>000347334 - RICH FOODS-BOB</v>
      </c>
      <c r="C17322" t="s">
        <v>445</v>
      </c>
      <c r="D17322" s="1" t="str">
        <f t="shared" si="470"/>
        <v>PRG-1045527</v>
      </c>
      <c r="E17322" t="s">
        <v>93</v>
      </c>
      <c r="F17322" t="s">
        <v>4</v>
      </c>
      <c r="G17322" t="str">
        <f>""</f>
        <v/>
      </c>
    </row>
    <row r="17323" spans="1:7" x14ac:dyDescent="0.25">
      <c r="A17323" t="s">
        <v>8</v>
      </c>
      <c r="B17323" s="1" t="str">
        <f>"000376248 - RICH FOODS-BOB"</f>
        <v>000376248 - RICH FOODS-BOB</v>
      </c>
      <c r="C17323" t="s">
        <v>445</v>
      </c>
      <c r="D17323" s="1" t="str">
        <f t="shared" si="470"/>
        <v>PRG-1045527</v>
      </c>
      <c r="E17323" t="s">
        <v>93</v>
      </c>
      <c r="F17323" t="s">
        <v>4</v>
      </c>
      <c r="G17323" t="str">
        <f>""</f>
        <v/>
      </c>
    </row>
    <row r="17324" spans="1:7" x14ac:dyDescent="0.25">
      <c r="A17324" t="s">
        <v>8</v>
      </c>
      <c r="B17324" s="1" t="str">
        <f>"000376455 - RICH FOODS-BOB"</f>
        <v>000376455 - RICH FOODS-BOB</v>
      </c>
      <c r="C17324" t="s">
        <v>445</v>
      </c>
      <c r="D17324" s="1" t="str">
        <f t="shared" si="470"/>
        <v>PRG-1045527</v>
      </c>
      <c r="E17324" t="s">
        <v>93</v>
      </c>
      <c r="F17324" t="s">
        <v>4</v>
      </c>
      <c r="G17324" t="str">
        <f>""</f>
        <v/>
      </c>
    </row>
    <row r="17325" spans="1:7" x14ac:dyDescent="0.25">
      <c r="A17325" t="s">
        <v>8</v>
      </c>
      <c r="B17325" s="1" t="str">
        <f>"000380168 - RICH FOODS-BOB"</f>
        <v>000380168 - RICH FOODS-BOB</v>
      </c>
      <c r="C17325" t="s">
        <v>445</v>
      </c>
      <c r="D17325" s="1" t="str">
        <f t="shared" si="470"/>
        <v>PRG-1045527</v>
      </c>
      <c r="E17325" t="s">
        <v>93</v>
      </c>
      <c r="F17325" t="s">
        <v>4</v>
      </c>
      <c r="G17325" t="str">
        <f>""</f>
        <v/>
      </c>
    </row>
    <row r="17326" spans="1:7" x14ac:dyDescent="0.25">
      <c r="A17326" t="s">
        <v>8</v>
      </c>
      <c r="B17326" s="1" t="str">
        <f>"000387650 - RICH FOODS-BOB"</f>
        <v>000387650 - RICH FOODS-BOB</v>
      </c>
      <c r="C17326" t="s">
        <v>445</v>
      </c>
      <c r="D17326" s="1" t="str">
        <f t="shared" si="470"/>
        <v>PRG-1045527</v>
      </c>
      <c r="E17326" t="s">
        <v>93</v>
      </c>
      <c r="F17326" t="s">
        <v>4</v>
      </c>
      <c r="G17326" t="str">
        <f>""</f>
        <v/>
      </c>
    </row>
    <row r="17327" spans="1:7" x14ac:dyDescent="0.25">
      <c r="A17327" t="s">
        <v>8</v>
      </c>
      <c r="B17327" s="1" t="str">
        <f>"000392317 - RICH FOODS-BOB"</f>
        <v>000392317 - RICH FOODS-BOB</v>
      </c>
      <c r="C17327" t="s">
        <v>445</v>
      </c>
      <c r="D17327" s="1" t="str">
        <f t="shared" si="470"/>
        <v>PRG-1045527</v>
      </c>
      <c r="E17327" t="s">
        <v>93</v>
      </c>
      <c r="F17327" t="s">
        <v>4</v>
      </c>
      <c r="G17327" t="str">
        <f>""</f>
        <v/>
      </c>
    </row>
    <row r="17328" spans="1:7" x14ac:dyDescent="0.25">
      <c r="A17328" t="s">
        <v>8</v>
      </c>
      <c r="B17328" s="1" t="str">
        <f>"000401316 - RICH FOODS-BOB"</f>
        <v>000401316 - RICH FOODS-BOB</v>
      </c>
      <c r="C17328" t="s">
        <v>445</v>
      </c>
      <c r="D17328" s="1" t="str">
        <f t="shared" si="470"/>
        <v>PRG-1045527</v>
      </c>
      <c r="E17328" t="s">
        <v>93</v>
      </c>
      <c r="F17328" t="s">
        <v>4</v>
      </c>
      <c r="G17328" t="str">
        <f>""</f>
        <v/>
      </c>
    </row>
    <row r="17329" spans="1:7" x14ac:dyDescent="0.25">
      <c r="A17329" t="s">
        <v>8</v>
      </c>
      <c r="B17329" s="1" t="str">
        <f>"000411157 - RICH FOODS-BOB"</f>
        <v>000411157 - RICH FOODS-BOB</v>
      </c>
      <c r="C17329" t="s">
        <v>445</v>
      </c>
      <c r="D17329" s="1" t="str">
        <f t="shared" si="470"/>
        <v>PRG-1045527</v>
      </c>
      <c r="E17329" t="s">
        <v>93</v>
      </c>
      <c r="F17329" t="s">
        <v>4</v>
      </c>
      <c r="G17329" t="str">
        <f>""</f>
        <v/>
      </c>
    </row>
    <row r="17330" spans="1:7" x14ac:dyDescent="0.25">
      <c r="A17330" t="s">
        <v>8</v>
      </c>
      <c r="B17330" s="1" t="str">
        <f>"000331524 - CINNABON RICH PRODUCTS"</f>
        <v>000331524 - CINNABON RICH PRODUCTS</v>
      </c>
      <c r="C17330" t="s">
        <v>2033</v>
      </c>
      <c r="D17330" s="1" t="str">
        <f>"PRG-1045530"</f>
        <v>PRG-1045530</v>
      </c>
      <c r="E17330" t="s">
        <v>974</v>
      </c>
      <c r="F17330" t="s">
        <v>4</v>
      </c>
      <c r="G17330" t="str">
        <f>""</f>
        <v/>
      </c>
    </row>
    <row r="17331" spans="1:7" x14ac:dyDescent="0.25">
      <c r="A17331" t="s">
        <v>8</v>
      </c>
      <c r="B17331" s="1" t="str">
        <f>"000346596 - RICH-DEL DUFFY'S"</f>
        <v>000346596 - RICH-DEL DUFFY'S</v>
      </c>
      <c r="C17331" t="s">
        <v>3324</v>
      </c>
      <c r="D17331" s="1" t="str">
        <f>"PRG-1045533"</f>
        <v>PRG-1045533</v>
      </c>
      <c r="E17331" t="s">
        <v>2120</v>
      </c>
      <c r="F17331" t="s">
        <v>4</v>
      </c>
      <c r="G17331" t="str">
        <f>""</f>
        <v/>
      </c>
    </row>
    <row r="17332" spans="1:7" x14ac:dyDescent="0.25">
      <c r="A17332" t="s">
        <v>8</v>
      </c>
      <c r="B17332" s="1" t="str">
        <f>"000295444 - RICH RUTH CHRIS"</f>
        <v>000295444 - RICH RUTH CHRIS</v>
      </c>
      <c r="C17332" t="s">
        <v>2474</v>
      </c>
      <c r="D17332" s="1" t="str">
        <f>"PRG-1045550"</f>
        <v>PRG-1045550</v>
      </c>
      <c r="E17332" t="s">
        <v>2900</v>
      </c>
      <c r="F17332" t="s">
        <v>4</v>
      </c>
      <c r="G17332" t="str">
        <f>""</f>
        <v/>
      </c>
    </row>
    <row r="17333" spans="1:7" x14ac:dyDescent="0.25">
      <c r="A17333" t="s">
        <v>8</v>
      </c>
      <c r="B17333" s="1" t="str">
        <f>"000303713 - RICH RUTH CHRIS"</f>
        <v>000303713 - RICH RUTH CHRIS</v>
      </c>
      <c r="C17333" t="s">
        <v>2474</v>
      </c>
      <c r="D17333" s="1" t="str">
        <f>"PRG-1045550"</f>
        <v>PRG-1045550</v>
      </c>
      <c r="E17333" t="s">
        <v>2900</v>
      </c>
      <c r="F17333" t="s">
        <v>4</v>
      </c>
      <c r="G17333" t="str">
        <f>""</f>
        <v/>
      </c>
    </row>
    <row r="17334" spans="1:7" x14ac:dyDescent="0.25">
      <c r="A17334" t="s">
        <v>8</v>
      </c>
      <c r="B17334" s="1" t="str">
        <f>"000229958 - RICH FOODS-SPAGHETTI WAREHOUSE"</f>
        <v>000229958 - RICH FOODS-SPAGHETTI WAREHOUSE</v>
      </c>
      <c r="C17334" t="s">
        <v>1423</v>
      </c>
      <c r="D17334" s="1" t="str">
        <f>"PRG-1045555"</f>
        <v>PRG-1045555</v>
      </c>
      <c r="E17334" t="s">
        <v>1219</v>
      </c>
      <c r="F17334" t="s">
        <v>4</v>
      </c>
      <c r="G17334" t="str">
        <f>""</f>
        <v/>
      </c>
    </row>
    <row r="17335" spans="1:7" x14ac:dyDescent="0.25">
      <c r="A17335" t="s">
        <v>8</v>
      </c>
      <c r="B17335" s="1" t="str">
        <f>"000286004 - RICH FOODS-SPAGHETTI WAREHOUSE"</f>
        <v>000286004 - RICH FOODS-SPAGHETTI WAREHOUSE</v>
      </c>
      <c r="C17335" t="s">
        <v>1423</v>
      </c>
      <c r="D17335" s="1" t="str">
        <f>"PRG-1045555"</f>
        <v>PRG-1045555</v>
      </c>
      <c r="E17335" t="s">
        <v>1219</v>
      </c>
      <c r="F17335" t="s">
        <v>4</v>
      </c>
      <c r="G17335" t="str">
        <f>""</f>
        <v/>
      </c>
    </row>
    <row r="17336" spans="1:7" x14ac:dyDescent="0.25">
      <c r="A17336" t="s">
        <v>8</v>
      </c>
      <c r="B17336" s="1" t="str">
        <f>"000293393 - RICH FOODS-SPAGHETTI WAREHOUSE"</f>
        <v>000293393 - RICH FOODS-SPAGHETTI WAREHOUSE</v>
      </c>
      <c r="C17336" t="s">
        <v>1423</v>
      </c>
      <c r="D17336" s="1" t="str">
        <f>"PRG-1045555"</f>
        <v>PRG-1045555</v>
      </c>
      <c r="E17336" t="s">
        <v>1219</v>
      </c>
      <c r="F17336" t="s">
        <v>4</v>
      </c>
      <c r="G17336" t="str">
        <f>""</f>
        <v/>
      </c>
    </row>
    <row r="17337" spans="1:7" x14ac:dyDescent="0.25">
      <c r="A17337" t="s">
        <v>8</v>
      </c>
      <c r="B17337" s="1" t="str">
        <f>"000344165 - RICH FOODS-SPAGHETTI WAREHOUSE"</f>
        <v>000344165 - RICH FOODS-SPAGHETTI WAREHOUSE</v>
      </c>
      <c r="C17337" t="s">
        <v>1423</v>
      </c>
      <c r="D17337" s="1" t="str">
        <f>"PRG-1045555"</f>
        <v>PRG-1045555</v>
      </c>
      <c r="E17337" t="s">
        <v>1219</v>
      </c>
      <c r="F17337" t="s">
        <v>4</v>
      </c>
      <c r="G17337" t="str">
        <f>""</f>
        <v/>
      </c>
    </row>
    <row r="17338" spans="1:7" x14ac:dyDescent="0.25">
      <c r="A17338" t="s">
        <v>8</v>
      </c>
      <c r="B17338" s="1" t="str">
        <f>"000403836 - RICH FOODS-SPAGHETTI WAREHOUSE"</f>
        <v>000403836 - RICH FOODS-SPAGHETTI WAREHOUSE</v>
      </c>
      <c r="C17338" t="s">
        <v>1423</v>
      </c>
      <c r="D17338" s="1" t="str">
        <f>"PRG-1045555"</f>
        <v>PRG-1045555</v>
      </c>
      <c r="E17338" t="s">
        <v>1219</v>
      </c>
      <c r="F17338" t="s">
        <v>4</v>
      </c>
      <c r="G17338" t="str">
        <f>""</f>
        <v/>
      </c>
    </row>
    <row r="17339" spans="1:7" x14ac:dyDescent="0.25">
      <c r="A17339" t="s">
        <v>8</v>
      </c>
      <c r="B17339" s="1" t="str">
        <f>"000057638 - RICH FOODS-TONY ROMA'S"</f>
        <v>000057638 - RICH FOODS-TONY ROMA'S</v>
      </c>
      <c r="C17339" t="s">
        <v>689</v>
      </c>
      <c r="D17339" s="1" t="str">
        <f>"PRG-1045558"</f>
        <v>PRG-1045558</v>
      </c>
      <c r="E17339" t="s">
        <v>690</v>
      </c>
      <c r="F17339" t="s">
        <v>4</v>
      </c>
      <c r="G17339" t="str">
        <f>""</f>
        <v/>
      </c>
    </row>
    <row r="17340" spans="1:7" x14ac:dyDescent="0.25">
      <c r="A17340" t="s">
        <v>8</v>
      </c>
      <c r="B17340" s="1" t="str">
        <f>"000335683 - RICH FOODS-TONY ROMA'S"</f>
        <v>000335683 - RICH FOODS-TONY ROMA'S</v>
      </c>
      <c r="C17340" t="s">
        <v>689</v>
      </c>
      <c r="D17340" s="1" t="str">
        <f>"PRG-1045558"</f>
        <v>PRG-1045558</v>
      </c>
      <c r="E17340" t="s">
        <v>690</v>
      </c>
      <c r="F17340" t="s">
        <v>4</v>
      </c>
      <c r="G17340" t="str">
        <f>""</f>
        <v/>
      </c>
    </row>
    <row r="17341" spans="1:7" x14ac:dyDescent="0.25">
      <c r="A17341" t="s">
        <v>8</v>
      </c>
      <c r="B17341" s="1" t="str">
        <f>"000358140 - RICH FOODS-TONY ROMA'S"</f>
        <v>000358140 - RICH FOODS-TONY ROMA'S</v>
      </c>
      <c r="C17341" t="s">
        <v>689</v>
      </c>
      <c r="D17341" s="1" t="str">
        <f>"PRG-1045558"</f>
        <v>PRG-1045558</v>
      </c>
      <c r="E17341" t="s">
        <v>690</v>
      </c>
      <c r="F17341" t="s">
        <v>4</v>
      </c>
      <c r="G17341" t="str">
        <f>""</f>
        <v/>
      </c>
    </row>
    <row r="17342" spans="1:7" x14ac:dyDescent="0.25">
      <c r="A17342" t="s">
        <v>8</v>
      </c>
      <c r="B17342" s="1" t="str">
        <f>"000360899 - RICH FOODS-TONY ROMA'S"</f>
        <v>000360899 - RICH FOODS-TONY ROMA'S</v>
      </c>
      <c r="C17342" t="s">
        <v>689</v>
      </c>
      <c r="D17342" s="1" t="str">
        <f>"PRG-1045558"</f>
        <v>PRG-1045558</v>
      </c>
      <c r="E17342" t="s">
        <v>690</v>
      </c>
      <c r="F17342" t="s">
        <v>4</v>
      </c>
      <c r="G17342" t="str">
        <f>""</f>
        <v/>
      </c>
    </row>
    <row r="17343" spans="1:7" x14ac:dyDescent="0.25">
      <c r="A17343" t="s">
        <v>8</v>
      </c>
      <c r="B17343" s="1" t="str">
        <f>"000287044 - RICH FOODS-WOODYS BBQ"</f>
        <v>000287044 - RICH FOODS-WOODYS BBQ</v>
      </c>
      <c r="C17343" t="s">
        <v>2749</v>
      </c>
      <c r="D17343" s="1" t="str">
        <f>"PRG-1045559"</f>
        <v>PRG-1045559</v>
      </c>
      <c r="E17343" t="s">
        <v>1643</v>
      </c>
      <c r="F17343" t="s">
        <v>4</v>
      </c>
      <c r="G17343" t="str">
        <f>""</f>
        <v/>
      </c>
    </row>
    <row r="17344" spans="1:7" x14ac:dyDescent="0.25">
      <c r="A17344" t="s">
        <v>8</v>
      </c>
      <c r="B17344" s="1" t="str">
        <f>"000288285 - RICH FOODS WOODYS BBQ"</f>
        <v>000288285 - RICH FOODS WOODYS BBQ</v>
      </c>
      <c r="C17344" t="s">
        <v>2194</v>
      </c>
      <c r="D17344" s="1" t="str">
        <f>"PRG-1045559"</f>
        <v>PRG-1045559</v>
      </c>
      <c r="E17344" t="s">
        <v>1643</v>
      </c>
      <c r="F17344" t="s">
        <v>4</v>
      </c>
      <c r="G17344" t="str">
        <f>""</f>
        <v/>
      </c>
    </row>
    <row r="17345" spans="1:7" x14ac:dyDescent="0.25">
      <c r="A17345" t="s">
        <v>8</v>
      </c>
      <c r="B17345" s="1" t="str">
        <f>"000298792 - RICH   WOODYS BBQ"</f>
        <v>000298792 - RICH   WOODYS BBQ</v>
      </c>
      <c r="C17345" t="s">
        <v>2341</v>
      </c>
      <c r="D17345" s="1" t="str">
        <f>"PRG-1045559"</f>
        <v>PRG-1045559</v>
      </c>
      <c r="E17345" t="s">
        <v>1643</v>
      </c>
      <c r="F17345" t="s">
        <v>4</v>
      </c>
      <c r="G17345" t="str">
        <f>""</f>
        <v/>
      </c>
    </row>
    <row r="17346" spans="1:7" x14ac:dyDescent="0.25">
      <c r="A17346" t="s">
        <v>8</v>
      </c>
      <c r="B17346" s="1" t="str">
        <f>"000383423 - RICH FOODS-WOODYS BBQ"</f>
        <v>000383423 - RICH FOODS-WOODYS BBQ</v>
      </c>
      <c r="C17346" t="s">
        <v>2749</v>
      </c>
      <c r="D17346" s="1" t="str">
        <f>"PRG-1045559"</f>
        <v>PRG-1045559</v>
      </c>
      <c r="E17346" t="s">
        <v>1643</v>
      </c>
      <c r="F17346" t="s">
        <v>4</v>
      </c>
      <c r="G17346" t="str">
        <f>""</f>
        <v/>
      </c>
    </row>
    <row r="17347" spans="1:7" x14ac:dyDescent="0.25">
      <c r="A17347" t="s">
        <v>8</v>
      </c>
      <c r="B17347" s="1" t="str">
        <f>"3170H097"</f>
        <v>3170H097</v>
      </c>
      <c r="C17347" t="s">
        <v>4732</v>
      </c>
      <c r="D17347" s="1" t="str">
        <f>"PRG-1045568"</f>
        <v>PRG-1045568</v>
      </c>
      <c r="E17347" t="s">
        <v>4733</v>
      </c>
      <c r="F17347" t="s">
        <v>5</v>
      </c>
      <c r="G17347" t="str">
        <f>""</f>
        <v/>
      </c>
    </row>
    <row r="17348" spans="1:7" x14ac:dyDescent="0.25">
      <c r="A17348" t="s">
        <v>8</v>
      </c>
      <c r="B17348" s="1" t="str">
        <f>"000283109 - JACQUELINES-RTPT 4 RIVERS"</f>
        <v>000283109 - JACQUELINES-RTPT 4 RIVERS</v>
      </c>
      <c r="C17348" t="s">
        <v>2680</v>
      </c>
      <c r="D17348" s="1" t="str">
        <f>"PRG-1045589"</f>
        <v>PRG-1045589</v>
      </c>
      <c r="E17348" t="s">
        <v>2681</v>
      </c>
      <c r="F17348" t="s">
        <v>4</v>
      </c>
      <c r="G17348" t="str">
        <f>""</f>
        <v/>
      </c>
    </row>
    <row r="17349" spans="1:7" x14ac:dyDescent="0.25">
      <c r="A17349" t="s">
        <v>8</v>
      </c>
      <c r="B17349" s="1" t="str">
        <f>"000342295 - RICH FOODS-RTPT 4 RIVERS"</f>
        <v>000342295 - RICH FOODS-RTPT 4 RIVERS</v>
      </c>
      <c r="C17349" t="s">
        <v>2410</v>
      </c>
      <c r="D17349" s="1" t="str">
        <f>"PRG-1045589"</f>
        <v>PRG-1045589</v>
      </c>
      <c r="E17349" t="s">
        <v>2681</v>
      </c>
      <c r="F17349" t="s">
        <v>4</v>
      </c>
      <c r="G17349" t="str">
        <f>""</f>
        <v/>
      </c>
    </row>
    <row r="17350" spans="1:7" x14ac:dyDescent="0.25">
      <c r="A17350" t="s">
        <v>8</v>
      </c>
      <c r="B17350" s="1" t="str">
        <f>"000394472 - JACQUELINES-RTPT 4 RIVERS"</f>
        <v>000394472 - JACQUELINES-RTPT 4 RIVERS</v>
      </c>
      <c r="C17350" t="s">
        <v>2680</v>
      </c>
      <c r="D17350" s="1" t="str">
        <f>"PRG-1045589"</f>
        <v>PRG-1045589</v>
      </c>
      <c r="E17350" t="s">
        <v>2681</v>
      </c>
      <c r="F17350" t="s">
        <v>4</v>
      </c>
      <c r="G17350" t="str">
        <f>""</f>
        <v/>
      </c>
    </row>
    <row r="17351" spans="1:7" x14ac:dyDescent="0.25">
      <c r="A17351" t="s">
        <v>8</v>
      </c>
      <c r="B17351" s="1" t="str">
        <f>"000011306 - RICH'S - DESOTO"</f>
        <v>000011306 - RICH'S - DESOTO</v>
      </c>
      <c r="C17351" t="s">
        <v>321</v>
      </c>
      <c r="D17351" s="1" t="str">
        <f t="shared" ref="D17351:D17382" si="471">"PRG-1045677"</f>
        <v>PRG-1045677</v>
      </c>
      <c r="E17351" t="s">
        <v>322</v>
      </c>
      <c r="F17351" t="s">
        <v>4</v>
      </c>
      <c r="G17351" t="str">
        <f>""</f>
        <v/>
      </c>
    </row>
    <row r="17352" spans="1:7" x14ac:dyDescent="0.25">
      <c r="A17352" t="s">
        <v>8</v>
      </c>
      <c r="B17352" s="1" t="str">
        <f>"000024620 - RICH PRODUCTS SCHL BLNKT"</f>
        <v>000024620 - RICH PRODUCTS SCHL BLNKT</v>
      </c>
      <c r="C17352" t="s">
        <v>438</v>
      </c>
      <c r="D17352" s="1" t="str">
        <f t="shared" si="471"/>
        <v>PRG-1045677</v>
      </c>
      <c r="E17352" t="s">
        <v>322</v>
      </c>
      <c r="F17352" t="s">
        <v>4</v>
      </c>
      <c r="G17352" t="str">
        <f>""</f>
        <v/>
      </c>
    </row>
    <row r="17353" spans="1:7" x14ac:dyDescent="0.25">
      <c r="A17353" t="s">
        <v>8</v>
      </c>
      <c r="B17353" s="1" t="str">
        <f>"000029115 - RICHS DESOTO"</f>
        <v>000029115 - RICHS DESOTO</v>
      </c>
      <c r="C17353" t="s">
        <v>481</v>
      </c>
      <c r="D17353" s="1" t="str">
        <f t="shared" si="471"/>
        <v>PRG-1045677</v>
      </c>
      <c r="E17353" t="s">
        <v>322</v>
      </c>
      <c r="F17353" t="s">
        <v>4</v>
      </c>
      <c r="G17353" t="str">
        <f>""</f>
        <v/>
      </c>
    </row>
    <row r="17354" spans="1:7" x14ac:dyDescent="0.25">
      <c r="A17354" t="s">
        <v>8</v>
      </c>
      <c r="B17354" s="1" t="str">
        <f>"000029177 - RICHS K-12 SCHOOL"</f>
        <v>000029177 - RICHS K-12 SCHOOL</v>
      </c>
      <c r="C17354" t="s">
        <v>482</v>
      </c>
      <c r="D17354" s="1" t="str">
        <f t="shared" si="471"/>
        <v>PRG-1045677</v>
      </c>
      <c r="E17354" t="s">
        <v>322</v>
      </c>
      <c r="F17354" t="s">
        <v>4</v>
      </c>
      <c r="G17354" t="str">
        <f>""</f>
        <v/>
      </c>
    </row>
    <row r="17355" spans="1:7" x14ac:dyDescent="0.25">
      <c r="A17355" t="s">
        <v>8</v>
      </c>
      <c r="B17355" s="1" t="str">
        <f>"000035504 - RICH'S SCHOOL BLANKET 2018 19"</f>
        <v>000035504 - RICH'S SCHOOL BLANKET 2018 19</v>
      </c>
      <c r="C17355" t="s">
        <v>526</v>
      </c>
      <c r="D17355" s="1" t="str">
        <f t="shared" si="471"/>
        <v>PRG-1045677</v>
      </c>
      <c r="E17355" t="s">
        <v>322</v>
      </c>
      <c r="F17355" t="s">
        <v>4</v>
      </c>
      <c r="G17355" t="str">
        <f>""</f>
        <v/>
      </c>
    </row>
    <row r="17356" spans="1:7" x14ac:dyDescent="0.25">
      <c r="A17356" t="s">
        <v>8</v>
      </c>
      <c r="B17356" s="1" t="str">
        <f>"000036610 - DEMING - RICH'S"</f>
        <v>000036610 - DEMING - RICH'S</v>
      </c>
      <c r="C17356" t="s">
        <v>544</v>
      </c>
      <c r="D17356" s="1" t="str">
        <f t="shared" si="471"/>
        <v>PRG-1045677</v>
      </c>
      <c r="E17356" t="s">
        <v>322</v>
      </c>
      <c r="F17356" t="s">
        <v>4</v>
      </c>
      <c r="G17356" t="str">
        <f>""</f>
        <v/>
      </c>
    </row>
    <row r="17357" spans="1:7" x14ac:dyDescent="0.25">
      <c r="A17357" t="s">
        <v>8</v>
      </c>
      <c r="B17357" s="1" t="str">
        <f>"000038753 - 078 - RICHS - SAISD 17-18"</f>
        <v>000038753 - 078 - RICHS - SAISD 17-18</v>
      </c>
      <c r="C17357" t="s">
        <v>557</v>
      </c>
      <c r="D17357" s="1" t="str">
        <f t="shared" si="471"/>
        <v>PRG-1045677</v>
      </c>
      <c r="E17357" t="s">
        <v>322</v>
      </c>
      <c r="F17357" t="s">
        <v>4</v>
      </c>
      <c r="G17357" t="str">
        <f>""</f>
        <v/>
      </c>
    </row>
    <row r="17358" spans="1:7" x14ac:dyDescent="0.25">
      <c r="A17358" t="s">
        <v>8</v>
      </c>
      <c r="B17358" s="1" t="str">
        <f>"000041088 - RICHS-CABOT SCHOOLS"</f>
        <v>000041088 - RICHS-CABOT SCHOOLS</v>
      </c>
      <c r="C17358" t="s">
        <v>587</v>
      </c>
      <c r="D17358" s="1" t="str">
        <f t="shared" si="471"/>
        <v>PRG-1045677</v>
      </c>
      <c r="E17358" t="s">
        <v>322</v>
      </c>
      <c r="F17358" t="s">
        <v>4</v>
      </c>
      <c r="G17358" t="str">
        <f>""</f>
        <v/>
      </c>
    </row>
    <row r="17359" spans="1:7" x14ac:dyDescent="0.25">
      <c r="A17359" t="s">
        <v>8</v>
      </c>
      <c r="B17359" s="1" t="str">
        <f>"000042886 - DOD- RICH PRODUCTS CORP"</f>
        <v>000042886 - DOD- RICH PRODUCTS CORP</v>
      </c>
      <c r="C17359" t="s">
        <v>593</v>
      </c>
      <c r="D17359" s="1" t="str">
        <f t="shared" si="471"/>
        <v>PRG-1045677</v>
      </c>
      <c r="E17359" t="s">
        <v>322</v>
      </c>
      <c r="F17359" t="s">
        <v>4</v>
      </c>
      <c r="G17359" t="str">
        <f>""</f>
        <v/>
      </c>
    </row>
    <row r="17360" spans="1:7" x14ac:dyDescent="0.25">
      <c r="A17360" t="s">
        <v>8</v>
      </c>
      <c r="B17360" s="1" t="str">
        <f>"000043007 - 078 RICHS PRODUCTS SAISD 1819"</f>
        <v>000043007 - 078 RICHS PRODUCTS SAISD 1819</v>
      </c>
      <c r="C17360" t="s">
        <v>595</v>
      </c>
      <c r="D17360" s="1" t="str">
        <f t="shared" si="471"/>
        <v>PRG-1045677</v>
      </c>
      <c r="E17360" t="s">
        <v>322</v>
      </c>
      <c r="F17360" t="s">
        <v>4</v>
      </c>
      <c r="G17360" t="str">
        <f>""</f>
        <v/>
      </c>
    </row>
    <row r="17361" spans="1:7" x14ac:dyDescent="0.25">
      <c r="A17361" t="s">
        <v>8</v>
      </c>
      <c r="B17361" s="1" t="str">
        <f>"000048391 - HOPKINS SCHOOLS RICHS"</f>
        <v>000048391 - HOPKINS SCHOOLS RICHS</v>
      </c>
      <c r="C17361" t="s">
        <v>636</v>
      </c>
      <c r="D17361" s="1" t="str">
        <f t="shared" si="471"/>
        <v>PRG-1045677</v>
      </c>
      <c r="E17361" t="s">
        <v>322</v>
      </c>
      <c r="F17361" t="s">
        <v>4</v>
      </c>
      <c r="G17361" t="str">
        <f>""</f>
        <v/>
      </c>
    </row>
    <row r="17362" spans="1:7" x14ac:dyDescent="0.25">
      <c r="A17362" t="s">
        <v>8</v>
      </c>
      <c r="B17362" s="1" t="str">
        <f>"000049926 - MSFBG SCHOOLS RICHS"</f>
        <v>000049926 - MSFBG SCHOOLS RICHS</v>
      </c>
      <c r="C17362" t="s">
        <v>480</v>
      </c>
      <c r="D17362" s="1" t="str">
        <f t="shared" si="471"/>
        <v>PRG-1045677</v>
      </c>
      <c r="E17362" t="s">
        <v>322</v>
      </c>
      <c r="F17362" t="s">
        <v>4</v>
      </c>
      <c r="G17362" t="str">
        <f>""</f>
        <v/>
      </c>
    </row>
    <row r="17363" spans="1:7" x14ac:dyDescent="0.25">
      <c r="A17363" t="s">
        <v>8</v>
      </c>
      <c r="B17363" s="1" t="str">
        <f>"000050614 - RICH PRODUCTS UCARE"</f>
        <v>000050614 - RICH PRODUCTS UCARE</v>
      </c>
      <c r="C17363" t="s">
        <v>650</v>
      </c>
      <c r="D17363" s="1" t="str">
        <f t="shared" si="471"/>
        <v>PRG-1045677</v>
      </c>
      <c r="E17363" t="s">
        <v>322</v>
      </c>
      <c r="F17363" t="s">
        <v>4</v>
      </c>
      <c r="G17363" t="str">
        <f>""</f>
        <v/>
      </c>
    </row>
    <row r="17364" spans="1:7" x14ac:dyDescent="0.25">
      <c r="A17364" t="s">
        <v>8</v>
      </c>
      <c r="B17364" s="1" t="str">
        <f>"000050721 - BLANKET BID SY18-19 RICHS PROD"</f>
        <v>000050721 - BLANKET BID SY18-19 RICHS PROD</v>
      </c>
      <c r="C17364" t="s">
        <v>654</v>
      </c>
      <c r="D17364" s="1" t="str">
        <f t="shared" si="471"/>
        <v>PRG-1045677</v>
      </c>
      <c r="E17364" t="s">
        <v>322</v>
      </c>
      <c r="F17364" t="s">
        <v>4</v>
      </c>
      <c r="G17364" t="str">
        <f>""</f>
        <v/>
      </c>
    </row>
    <row r="17365" spans="1:7" x14ac:dyDescent="0.25">
      <c r="A17365" t="s">
        <v>8</v>
      </c>
      <c r="B17365" s="1" t="str">
        <f>"000050862 - ANOKA SCHOOLS RICHS"</f>
        <v>000050862 - ANOKA SCHOOLS RICHS</v>
      </c>
      <c r="C17365" t="s">
        <v>655</v>
      </c>
      <c r="D17365" s="1" t="str">
        <f t="shared" si="471"/>
        <v>PRG-1045677</v>
      </c>
      <c r="E17365" t="s">
        <v>322</v>
      </c>
      <c r="F17365" t="s">
        <v>4</v>
      </c>
      <c r="G17365" t="str">
        <f>""</f>
        <v/>
      </c>
    </row>
    <row r="17366" spans="1:7" x14ac:dyDescent="0.25">
      <c r="A17366" t="s">
        <v>8</v>
      </c>
      <c r="B17366" s="1" t="str">
        <f>"000051179 - ST CLOUD SCHOOLS RICHS"</f>
        <v>000051179 - ST CLOUD SCHOOLS RICHS</v>
      </c>
      <c r="C17366" t="s">
        <v>559</v>
      </c>
      <c r="D17366" s="1" t="str">
        <f t="shared" si="471"/>
        <v>PRG-1045677</v>
      </c>
      <c r="E17366" t="s">
        <v>322</v>
      </c>
      <c r="F17366" t="s">
        <v>4</v>
      </c>
      <c r="G17366" t="str">
        <f>""</f>
        <v/>
      </c>
    </row>
    <row r="17367" spans="1:7" x14ac:dyDescent="0.25">
      <c r="A17367" t="s">
        <v>8</v>
      </c>
      <c r="B17367" s="1" t="str">
        <f>"000052358 - WORTHINGTON SCHLS RICHS"</f>
        <v>000052358 - WORTHINGTON SCHLS RICHS</v>
      </c>
      <c r="C17367" t="s">
        <v>668</v>
      </c>
      <c r="D17367" s="1" t="str">
        <f t="shared" si="471"/>
        <v>PRG-1045677</v>
      </c>
      <c r="E17367" t="s">
        <v>322</v>
      </c>
      <c r="F17367" t="s">
        <v>4</v>
      </c>
      <c r="G17367" t="str">
        <f>""</f>
        <v/>
      </c>
    </row>
    <row r="17368" spans="1:7" x14ac:dyDescent="0.25">
      <c r="A17368" t="s">
        <v>8</v>
      </c>
      <c r="B17368" s="1" t="str">
        <f>"000069804 - RICHS-TVC 2017-18"</f>
        <v>000069804 - RICHS-TVC 2017-18</v>
      </c>
      <c r="C17368" t="s">
        <v>728</v>
      </c>
      <c r="D17368" s="1" t="str">
        <f t="shared" si="471"/>
        <v>PRG-1045677</v>
      </c>
      <c r="E17368" t="s">
        <v>322</v>
      </c>
      <c r="F17368" t="s">
        <v>4</v>
      </c>
      <c r="G17368" t="str">
        <f>""</f>
        <v/>
      </c>
    </row>
    <row r="17369" spans="1:7" x14ac:dyDescent="0.25">
      <c r="A17369" t="s">
        <v>8</v>
      </c>
      <c r="B17369" s="1" t="str">
        <f>"000069880 - RICH-COMPASS CHARTER SCH 17-18"</f>
        <v>000069880 - RICH-COMPASS CHARTER SCH 17-18</v>
      </c>
      <c r="C17369" t="s">
        <v>729</v>
      </c>
      <c r="D17369" s="1" t="str">
        <f t="shared" si="471"/>
        <v>PRG-1045677</v>
      </c>
      <c r="E17369" t="s">
        <v>322</v>
      </c>
      <c r="F17369" t="s">
        <v>4</v>
      </c>
      <c r="G17369" t="str">
        <f>""</f>
        <v/>
      </c>
    </row>
    <row r="17370" spans="1:7" x14ac:dyDescent="0.25">
      <c r="A17370" t="s">
        <v>8</v>
      </c>
      <c r="B17370" s="1" t="str">
        <f>"000071979 - RICH - BAKER SCHOOL"</f>
        <v>000071979 - RICH - BAKER SCHOOL</v>
      </c>
      <c r="C17370" t="s">
        <v>735</v>
      </c>
      <c r="D17370" s="1" t="str">
        <f t="shared" si="471"/>
        <v>PRG-1045677</v>
      </c>
      <c r="E17370" t="s">
        <v>322</v>
      </c>
      <c r="F17370" t="s">
        <v>4</v>
      </c>
      <c r="G17370" t="str">
        <f>""</f>
        <v/>
      </c>
    </row>
    <row r="17371" spans="1:7" x14ac:dyDescent="0.25">
      <c r="A17371" t="s">
        <v>8</v>
      </c>
      <c r="B17371" s="1" t="str">
        <f>"000086806 - RICH PRODUCTS -TREASURE VALLEY"</f>
        <v>000086806 - RICH PRODUCTS -TREASURE VALLEY</v>
      </c>
      <c r="C17371" t="s">
        <v>764</v>
      </c>
      <c r="D17371" s="1" t="str">
        <f t="shared" si="471"/>
        <v>PRG-1045677</v>
      </c>
      <c r="E17371" t="s">
        <v>322</v>
      </c>
      <c r="F17371" t="s">
        <v>4</v>
      </c>
      <c r="G17371" t="str">
        <f>""</f>
        <v/>
      </c>
    </row>
    <row r="17372" spans="1:7" x14ac:dyDescent="0.25">
      <c r="A17372" t="s">
        <v>8</v>
      </c>
      <c r="B17372" s="1" t="str">
        <f>"000086814 - RICH - TREASURE VALLEY 2018-19"</f>
        <v>000086814 - RICH - TREASURE VALLEY 2018-19</v>
      </c>
      <c r="C17372" t="s">
        <v>765</v>
      </c>
      <c r="D17372" s="1" t="str">
        <f t="shared" si="471"/>
        <v>PRG-1045677</v>
      </c>
      <c r="E17372" t="s">
        <v>322</v>
      </c>
      <c r="F17372" t="s">
        <v>4</v>
      </c>
      <c r="G17372" t="str">
        <f>""</f>
        <v/>
      </c>
    </row>
    <row r="17373" spans="1:7" x14ac:dyDescent="0.25">
      <c r="A17373" t="s">
        <v>8</v>
      </c>
      <c r="B17373" s="1" t="str">
        <f>"000086826 - RICH -TREASURE VALLEY 2018-19"</f>
        <v>000086826 - RICH -TREASURE VALLEY 2018-19</v>
      </c>
      <c r="C17373" t="s">
        <v>766</v>
      </c>
      <c r="D17373" s="1" t="str">
        <f t="shared" si="471"/>
        <v>PRG-1045677</v>
      </c>
      <c r="E17373" t="s">
        <v>322</v>
      </c>
      <c r="F17373" t="s">
        <v>4</v>
      </c>
      <c r="G17373" t="str">
        <f>""</f>
        <v/>
      </c>
    </row>
    <row r="17374" spans="1:7" x14ac:dyDescent="0.25">
      <c r="A17374" t="s">
        <v>8</v>
      </c>
      <c r="B17374" s="1" t="str">
        <f>"000159848 - BID-RICH PROD KNOX SCHLS"</f>
        <v>000159848 - BID-RICH PROD KNOX SCHLS</v>
      </c>
      <c r="C17374" t="s">
        <v>987</v>
      </c>
      <c r="D17374" s="1" t="str">
        <f t="shared" si="471"/>
        <v>PRG-1045677</v>
      </c>
      <c r="E17374" t="s">
        <v>322</v>
      </c>
      <c r="F17374" t="s">
        <v>4</v>
      </c>
      <c r="G17374" t="str">
        <f>""</f>
        <v/>
      </c>
    </row>
    <row r="17375" spans="1:7" x14ac:dyDescent="0.25">
      <c r="A17375" t="s">
        <v>8</v>
      </c>
      <c r="B17375" s="1" t="str">
        <f>"000162639 - RICH PRODUCTS-BLANKET"</f>
        <v>000162639 - RICH PRODUCTS-BLANKET</v>
      </c>
      <c r="C17375" t="s">
        <v>1044</v>
      </c>
      <c r="D17375" s="1" t="str">
        <f t="shared" si="471"/>
        <v>PRG-1045677</v>
      </c>
      <c r="E17375" t="s">
        <v>322</v>
      </c>
      <c r="F17375" t="s">
        <v>4</v>
      </c>
      <c r="G17375" t="str">
        <f>""</f>
        <v/>
      </c>
    </row>
    <row r="17376" spans="1:7" x14ac:dyDescent="0.25">
      <c r="A17376" t="s">
        <v>8</v>
      </c>
      <c r="B17376" s="1" t="str">
        <f>"000163049 - RICH PRODUCTS SCHOOL BLANKET"</f>
        <v>000163049 - RICH PRODUCTS SCHOOL BLANKET</v>
      </c>
      <c r="C17376" t="s">
        <v>1045</v>
      </c>
      <c r="D17376" s="1" t="str">
        <f t="shared" si="471"/>
        <v>PRG-1045677</v>
      </c>
      <c r="E17376" t="s">
        <v>322</v>
      </c>
      <c r="F17376" t="s">
        <v>4</v>
      </c>
      <c r="G17376" t="str">
        <f>""</f>
        <v/>
      </c>
    </row>
    <row r="17377" spans="1:7" x14ac:dyDescent="0.25">
      <c r="A17377" t="s">
        <v>8</v>
      </c>
      <c r="B17377" s="1" t="str">
        <f>"000164661 - RICHS MANDAN SCHOOLS"</f>
        <v>000164661 - RICHS MANDAN SCHOOLS</v>
      </c>
      <c r="C17377" t="s">
        <v>1005</v>
      </c>
      <c r="D17377" s="1" t="str">
        <f t="shared" si="471"/>
        <v>PRG-1045677</v>
      </c>
      <c r="E17377" t="s">
        <v>322</v>
      </c>
      <c r="F17377" t="s">
        <v>4</v>
      </c>
      <c r="G17377" t="str">
        <f>""</f>
        <v/>
      </c>
    </row>
    <row r="17378" spans="1:7" x14ac:dyDescent="0.25">
      <c r="A17378" t="s">
        <v>8</v>
      </c>
      <c r="B17378" s="1" t="str">
        <f>"000181271 - RICH ALL SCHOOLS BLANKET"</f>
        <v>000181271 - RICH ALL SCHOOLS BLANKET</v>
      </c>
      <c r="C17378" t="s">
        <v>1146</v>
      </c>
      <c r="D17378" s="1" t="str">
        <f t="shared" si="471"/>
        <v>PRG-1045677</v>
      </c>
      <c r="E17378" t="s">
        <v>322</v>
      </c>
      <c r="F17378" t="s">
        <v>4</v>
      </c>
      <c r="G17378" t="str">
        <f>""</f>
        <v/>
      </c>
    </row>
    <row r="17379" spans="1:7" x14ac:dyDescent="0.25">
      <c r="A17379" t="s">
        <v>8</v>
      </c>
      <c r="B17379" s="1" t="str">
        <f>"000187804 - DOD- RICH PRODUCTS CORP"</f>
        <v>000187804 - DOD- RICH PRODUCTS CORP</v>
      </c>
      <c r="C17379" t="s">
        <v>593</v>
      </c>
      <c r="D17379" s="1" t="str">
        <f t="shared" si="471"/>
        <v>PRG-1045677</v>
      </c>
      <c r="E17379" t="s">
        <v>322</v>
      </c>
      <c r="F17379" t="s">
        <v>4</v>
      </c>
      <c r="G17379" t="str">
        <f>""</f>
        <v/>
      </c>
    </row>
    <row r="17380" spans="1:7" x14ac:dyDescent="0.25">
      <c r="A17380" t="s">
        <v>8</v>
      </c>
      <c r="B17380" s="1" t="str">
        <f>"000208054 - RICH'S PINCO"</f>
        <v>000208054 - RICH'S PINCO</v>
      </c>
      <c r="C17380" t="s">
        <v>1387</v>
      </c>
      <c r="D17380" s="1" t="str">
        <f t="shared" si="471"/>
        <v>PRG-1045677</v>
      </c>
      <c r="E17380" t="s">
        <v>322</v>
      </c>
      <c r="F17380" t="s">
        <v>4</v>
      </c>
      <c r="G17380" t="str">
        <f>""</f>
        <v/>
      </c>
    </row>
    <row r="17381" spans="1:7" x14ac:dyDescent="0.25">
      <c r="A17381" t="s">
        <v>8</v>
      </c>
      <c r="B17381" s="1" t="str">
        <f>"000221130 - RICH'S K12 SCHOOLS"</f>
        <v>000221130 - RICH'S K12 SCHOOLS</v>
      </c>
      <c r="C17381" t="s">
        <v>1595</v>
      </c>
      <c r="D17381" s="1" t="str">
        <f t="shared" si="471"/>
        <v>PRG-1045677</v>
      </c>
      <c r="E17381" t="s">
        <v>322</v>
      </c>
      <c r="F17381" t="s">
        <v>4</v>
      </c>
      <c r="G17381" t="str">
        <f>""</f>
        <v/>
      </c>
    </row>
    <row r="17382" spans="1:7" x14ac:dyDescent="0.25">
      <c r="A17382" t="s">
        <v>8</v>
      </c>
      <c r="B17382" s="1" t="str">
        <f>"000221473 - RICHS SMBSD"</f>
        <v>000221473 - RICHS SMBSD</v>
      </c>
      <c r="C17382" t="s">
        <v>1603</v>
      </c>
      <c r="D17382" s="1" t="str">
        <f t="shared" si="471"/>
        <v>PRG-1045677</v>
      </c>
      <c r="E17382" t="s">
        <v>322</v>
      </c>
      <c r="F17382" t="s">
        <v>4</v>
      </c>
      <c r="G17382" t="str">
        <f>""</f>
        <v/>
      </c>
    </row>
    <row r="17383" spans="1:7" x14ac:dyDescent="0.25">
      <c r="A17383" t="s">
        <v>8</v>
      </c>
      <c r="B17383" s="1" t="str">
        <f>"000255203 - 201810168 SCHL--RICHS"</f>
        <v>000255203 - 201810168 SCHL--RICHS</v>
      </c>
      <c r="C17383" t="s">
        <v>2163</v>
      </c>
      <c r="D17383" s="1" t="str">
        <f t="shared" ref="D17383:D17414" si="472">"PRG-1045677"</f>
        <v>PRG-1045677</v>
      </c>
      <c r="E17383" t="s">
        <v>322</v>
      </c>
      <c r="F17383" t="s">
        <v>4</v>
      </c>
      <c r="G17383" t="str">
        <f>""</f>
        <v/>
      </c>
    </row>
    <row r="17384" spans="1:7" x14ac:dyDescent="0.25">
      <c r="A17384" t="s">
        <v>8</v>
      </c>
      <c r="B17384" s="1" t="str">
        <f>"000258762 - RICHS NC SCHOOLS"</f>
        <v>000258762 - RICHS NC SCHOOLS</v>
      </c>
      <c r="C17384" t="s">
        <v>1890</v>
      </c>
      <c r="D17384" s="1" t="str">
        <f t="shared" si="472"/>
        <v>PRG-1045677</v>
      </c>
      <c r="E17384" t="s">
        <v>322</v>
      </c>
      <c r="F17384" t="s">
        <v>4</v>
      </c>
      <c r="G17384" t="str">
        <f>""</f>
        <v/>
      </c>
    </row>
    <row r="17385" spans="1:7" x14ac:dyDescent="0.25">
      <c r="A17385" t="s">
        <v>8</v>
      </c>
      <c r="B17385" s="1" t="str">
        <f>"000259018 - RICHS VANC SCHLS BL201810168"</f>
        <v>000259018 - RICHS VANC SCHLS BL201810168</v>
      </c>
      <c r="C17385" t="s">
        <v>2224</v>
      </c>
      <c r="D17385" s="1" t="str">
        <f t="shared" si="472"/>
        <v>PRG-1045677</v>
      </c>
      <c r="E17385" t="s">
        <v>322</v>
      </c>
      <c r="F17385" t="s">
        <v>4</v>
      </c>
      <c r="G17385" t="str">
        <f>""</f>
        <v/>
      </c>
    </row>
    <row r="17386" spans="1:7" x14ac:dyDescent="0.25">
      <c r="A17386" t="s">
        <v>8</v>
      </c>
      <c r="B17386" s="1" t="str">
        <f>"000259418 - NAT'L BLANKET SCHOOLS RICH"</f>
        <v>000259418 - NAT'L BLANKET SCHOOLS RICH</v>
      </c>
      <c r="C17386" t="s">
        <v>1140</v>
      </c>
      <c r="D17386" s="1" t="str">
        <f t="shared" si="472"/>
        <v>PRG-1045677</v>
      </c>
      <c r="E17386" t="s">
        <v>322</v>
      </c>
      <c r="F17386" t="s">
        <v>4</v>
      </c>
      <c r="G17386" t="str">
        <f>""</f>
        <v/>
      </c>
    </row>
    <row r="17387" spans="1:7" x14ac:dyDescent="0.25">
      <c r="A17387" t="s">
        <v>8</v>
      </c>
      <c r="B17387" s="1" t="str">
        <f>"000262377 - RICHS NC SCHOOLS"</f>
        <v>000262377 - RICHS NC SCHOOLS</v>
      </c>
      <c r="C17387" t="s">
        <v>1890</v>
      </c>
      <c r="D17387" s="1" t="str">
        <f t="shared" si="472"/>
        <v>PRG-1045677</v>
      </c>
      <c r="E17387" t="s">
        <v>322</v>
      </c>
      <c r="F17387" t="s">
        <v>4</v>
      </c>
      <c r="G17387" t="str">
        <f>""</f>
        <v/>
      </c>
    </row>
    <row r="17388" spans="1:7" x14ac:dyDescent="0.25">
      <c r="A17388" t="s">
        <v>8</v>
      </c>
      <c r="B17388" s="1" t="str">
        <f>"000263932 - RICHS VA BEACH SCHL GRP"</f>
        <v>000263932 - RICHS VA BEACH SCHL GRP</v>
      </c>
      <c r="C17388" t="s">
        <v>1715</v>
      </c>
      <c r="D17388" s="1" t="str">
        <f t="shared" si="472"/>
        <v>PRG-1045677</v>
      </c>
      <c r="E17388" t="s">
        <v>322</v>
      </c>
      <c r="F17388" t="s">
        <v>4</v>
      </c>
      <c r="G17388" t="str">
        <f>""</f>
        <v/>
      </c>
    </row>
    <row r="17389" spans="1:7" x14ac:dyDescent="0.25">
      <c r="A17389" t="s">
        <v>8</v>
      </c>
      <c r="B17389" s="1" t="str">
        <f>"000264113 - RICHS GLOUCESTER SCHLS"</f>
        <v>000264113 - RICHS GLOUCESTER SCHLS</v>
      </c>
      <c r="C17389" t="s">
        <v>2000</v>
      </c>
      <c r="D17389" s="1" t="str">
        <f t="shared" si="472"/>
        <v>PRG-1045677</v>
      </c>
      <c r="E17389" t="s">
        <v>322</v>
      </c>
      <c r="F17389" t="s">
        <v>4</v>
      </c>
      <c r="G17389" t="str">
        <f>""</f>
        <v/>
      </c>
    </row>
    <row r="17390" spans="1:7" x14ac:dyDescent="0.25">
      <c r="A17390" t="s">
        <v>8</v>
      </c>
      <c r="B17390" s="1" t="str">
        <f>"000265648 - RICHS SUFFOLK SCHLS 201810910"</f>
        <v>000265648 - RICHS SUFFOLK SCHLS 201810910</v>
      </c>
      <c r="C17390" t="s">
        <v>2388</v>
      </c>
      <c r="D17390" s="1" t="str">
        <f t="shared" si="472"/>
        <v>PRG-1045677</v>
      </c>
      <c r="E17390" t="s">
        <v>322</v>
      </c>
      <c r="F17390" t="s">
        <v>4</v>
      </c>
      <c r="G17390" t="str">
        <f>""</f>
        <v/>
      </c>
    </row>
    <row r="17391" spans="1:7" x14ac:dyDescent="0.25">
      <c r="A17391" t="s">
        <v>8</v>
      </c>
      <c r="B17391" s="1" t="str">
        <f>"000266749 - SPARC RICH PRODUCTS"</f>
        <v>000266749 - SPARC RICH PRODUCTS</v>
      </c>
      <c r="C17391" t="s">
        <v>1916</v>
      </c>
      <c r="D17391" s="1" t="str">
        <f t="shared" si="472"/>
        <v>PRG-1045677</v>
      </c>
      <c r="E17391" t="s">
        <v>322</v>
      </c>
      <c r="F17391" t="s">
        <v>4</v>
      </c>
      <c r="G17391" t="str">
        <f>""</f>
        <v/>
      </c>
    </row>
    <row r="17392" spans="1:7" x14ac:dyDescent="0.25">
      <c r="A17392" t="s">
        <v>8</v>
      </c>
      <c r="B17392" s="1" t="str">
        <f>"000268590 - RICH'S YUMA SCHOOL"</f>
        <v>000268590 - RICH'S YUMA SCHOOL</v>
      </c>
      <c r="C17392" t="s">
        <v>2438</v>
      </c>
      <c r="D17392" s="1" t="str">
        <f t="shared" si="472"/>
        <v>PRG-1045677</v>
      </c>
      <c r="E17392" t="s">
        <v>322</v>
      </c>
      <c r="F17392" t="s">
        <v>4</v>
      </c>
      <c r="G17392" t="str">
        <f>""</f>
        <v/>
      </c>
    </row>
    <row r="17393" spans="1:7" x14ac:dyDescent="0.25">
      <c r="A17393" t="s">
        <v>8</v>
      </c>
      <c r="B17393" s="1" t="str">
        <f>"000269124 - MONROE CITY SCHL RICH PRODS"</f>
        <v>000269124 - MONROE CITY SCHL RICH PRODS</v>
      </c>
      <c r="C17393" t="s">
        <v>1666</v>
      </c>
      <c r="D17393" s="1" t="str">
        <f t="shared" si="472"/>
        <v>PRG-1045677</v>
      </c>
      <c r="E17393" t="s">
        <v>322</v>
      </c>
      <c r="F17393" t="s">
        <v>4</v>
      </c>
      <c r="G17393" t="str">
        <f>""</f>
        <v/>
      </c>
    </row>
    <row r="17394" spans="1:7" x14ac:dyDescent="0.25">
      <c r="A17394" t="s">
        <v>8</v>
      </c>
      <c r="B17394" s="1" t="str">
        <f>"000271422 - JACKSON PUBLIC SCHL RICH'S"</f>
        <v>000271422 - JACKSON PUBLIC SCHL RICH'S</v>
      </c>
      <c r="C17394" t="s">
        <v>1887</v>
      </c>
      <c r="D17394" s="1" t="str">
        <f t="shared" si="472"/>
        <v>PRG-1045677</v>
      </c>
      <c r="E17394" t="s">
        <v>322</v>
      </c>
      <c r="F17394" t="s">
        <v>4</v>
      </c>
      <c r="G17394" t="str">
        <f>""</f>
        <v/>
      </c>
    </row>
    <row r="17395" spans="1:7" x14ac:dyDescent="0.25">
      <c r="A17395" t="s">
        <v>8</v>
      </c>
      <c r="B17395" s="1" t="str">
        <f>"000272296 - RICHS K-12 SCHOOL  2018-2019"</f>
        <v>000272296 - RICHS K-12 SCHOOL  2018-2019</v>
      </c>
      <c r="C17395" t="s">
        <v>2503</v>
      </c>
      <c r="D17395" s="1" t="str">
        <f t="shared" si="472"/>
        <v>PRG-1045677</v>
      </c>
      <c r="E17395" t="s">
        <v>322</v>
      </c>
      <c r="F17395" t="s">
        <v>4</v>
      </c>
      <c r="G17395" t="str">
        <f>""</f>
        <v/>
      </c>
    </row>
    <row r="17396" spans="1:7" x14ac:dyDescent="0.25">
      <c r="A17396" t="s">
        <v>8</v>
      </c>
      <c r="B17396" s="1" t="str">
        <f>"000281875 - RICH-BAPA   APC SCHOOLS"</f>
        <v>000281875 - RICH-BAPA   APC SCHOOLS</v>
      </c>
      <c r="C17396" t="s">
        <v>2185</v>
      </c>
      <c r="D17396" s="1" t="str">
        <f t="shared" si="472"/>
        <v>PRG-1045677</v>
      </c>
      <c r="E17396" t="s">
        <v>322</v>
      </c>
      <c r="F17396" t="s">
        <v>4</v>
      </c>
      <c r="G17396" t="str">
        <f>""</f>
        <v/>
      </c>
    </row>
    <row r="17397" spans="1:7" x14ac:dyDescent="0.25">
      <c r="A17397" t="s">
        <v>8</v>
      </c>
      <c r="B17397" s="1" t="str">
        <f>"000287105 - RICH  JCPS 7565"</f>
        <v>000287105 - RICH  JCPS 7565</v>
      </c>
      <c r="C17397" t="s">
        <v>2751</v>
      </c>
      <c r="D17397" s="1" t="str">
        <f t="shared" si="472"/>
        <v>PRG-1045677</v>
      </c>
      <c r="E17397" t="s">
        <v>322</v>
      </c>
      <c r="F17397" t="s">
        <v>4</v>
      </c>
      <c r="G17397" t="str">
        <f>""</f>
        <v/>
      </c>
    </row>
    <row r="17398" spans="1:7" x14ac:dyDescent="0.25">
      <c r="A17398" t="s">
        <v>8</v>
      </c>
      <c r="B17398" s="1" t="str">
        <f>"000292575 - DOD- RICH PRODUCTS CORP"</f>
        <v>000292575 - DOD- RICH PRODUCTS CORP</v>
      </c>
      <c r="C17398" t="s">
        <v>593</v>
      </c>
      <c r="D17398" s="1" t="str">
        <f t="shared" si="472"/>
        <v>PRG-1045677</v>
      </c>
      <c r="E17398" t="s">
        <v>322</v>
      </c>
      <c r="F17398" t="s">
        <v>4</v>
      </c>
      <c r="G17398" t="str">
        <f>""</f>
        <v/>
      </c>
    </row>
    <row r="17399" spans="1:7" x14ac:dyDescent="0.25">
      <c r="A17399" t="s">
        <v>8</v>
      </c>
      <c r="B17399" s="1" t="str">
        <f>"000295530 - RICH PRODUCTS K-12 BLANKET"</f>
        <v>000295530 - RICH PRODUCTS K-12 BLANKET</v>
      </c>
      <c r="C17399" t="s">
        <v>1712</v>
      </c>
      <c r="D17399" s="1" t="str">
        <f t="shared" si="472"/>
        <v>PRG-1045677</v>
      </c>
      <c r="E17399" t="s">
        <v>322</v>
      </c>
      <c r="F17399" t="s">
        <v>4</v>
      </c>
      <c r="G17399" t="str">
        <f>""</f>
        <v/>
      </c>
    </row>
    <row r="17400" spans="1:7" x14ac:dyDescent="0.25">
      <c r="A17400" t="s">
        <v>8</v>
      </c>
      <c r="B17400" s="1" t="str">
        <f>"000300245 - RICHS WY CHILD NUTRIT"</f>
        <v>000300245 - RICHS WY CHILD NUTRIT</v>
      </c>
      <c r="C17400" t="s">
        <v>2969</v>
      </c>
      <c r="D17400" s="1" t="str">
        <f t="shared" si="472"/>
        <v>PRG-1045677</v>
      </c>
      <c r="E17400" t="s">
        <v>322</v>
      </c>
      <c r="F17400" t="s">
        <v>4</v>
      </c>
      <c r="G17400" t="str">
        <f>""</f>
        <v/>
      </c>
    </row>
    <row r="17401" spans="1:7" x14ac:dyDescent="0.25">
      <c r="A17401" t="s">
        <v>8</v>
      </c>
      <c r="B17401" s="1" t="str">
        <f>"000303639 - RICH PROD NATRONA SCHL"</f>
        <v>000303639 - RICH PROD NATRONA SCHL</v>
      </c>
      <c r="C17401" t="s">
        <v>3009</v>
      </c>
      <c r="D17401" s="1" t="str">
        <f t="shared" si="472"/>
        <v>PRG-1045677</v>
      </c>
      <c r="E17401" t="s">
        <v>322</v>
      </c>
      <c r="F17401" t="s">
        <v>4</v>
      </c>
      <c r="G17401" t="str">
        <f>""</f>
        <v/>
      </c>
    </row>
    <row r="17402" spans="1:7" x14ac:dyDescent="0.25">
      <c r="A17402" t="s">
        <v>8</v>
      </c>
      <c r="B17402" s="1" t="str">
        <f>"000304262 - RICH'S BLANKET DELIVERED"</f>
        <v>000304262 - RICH'S BLANKET DELIVERED</v>
      </c>
      <c r="C17402" t="s">
        <v>2630</v>
      </c>
      <c r="D17402" s="1" t="str">
        <f t="shared" si="472"/>
        <v>PRG-1045677</v>
      </c>
      <c r="E17402" t="s">
        <v>322</v>
      </c>
      <c r="F17402" t="s">
        <v>4</v>
      </c>
      <c r="G17402" t="str">
        <f>""</f>
        <v/>
      </c>
    </row>
    <row r="17403" spans="1:7" x14ac:dyDescent="0.25">
      <c r="A17403" t="s">
        <v>8</v>
      </c>
      <c r="B17403" s="1" t="str">
        <f>"000305409 - RICH HILTON CORE WBB"</f>
        <v>000305409 - RICH HILTON CORE WBB</v>
      </c>
      <c r="C17403" t="s">
        <v>1315</v>
      </c>
      <c r="D17403" s="1" t="str">
        <f t="shared" si="472"/>
        <v>PRG-1045677</v>
      </c>
      <c r="E17403" t="s">
        <v>322</v>
      </c>
      <c r="F17403" t="s">
        <v>4</v>
      </c>
      <c r="G17403" t="str">
        <f>""</f>
        <v/>
      </c>
    </row>
    <row r="17404" spans="1:7" x14ac:dyDescent="0.25">
      <c r="A17404" t="s">
        <v>8</v>
      </c>
      <c r="B17404" s="1" t="str">
        <f>"000307193 - RICH PROD-META"</f>
        <v>000307193 - RICH PROD-META</v>
      </c>
      <c r="C17404" t="s">
        <v>3063</v>
      </c>
      <c r="D17404" s="1" t="str">
        <f t="shared" si="472"/>
        <v>PRG-1045677</v>
      </c>
      <c r="E17404" t="s">
        <v>322</v>
      </c>
      <c r="F17404" t="s">
        <v>4</v>
      </c>
      <c r="G17404" t="str">
        <f>""</f>
        <v/>
      </c>
    </row>
    <row r="17405" spans="1:7" x14ac:dyDescent="0.25">
      <c r="A17405" t="s">
        <v>8</v>
      </c>
      <c r="B17405" s="1" t="str">
        <f>"000310366 - RICH'S-FREDERICK DEL. OVRD"</f>
        <v>000310366 - RICH'S-FREDERICK DEL. OVRD</v>
      </c>
      <c r="C17405" t="s">
        <v>3106</v>
      </c>
      <c r="D17405" s="1" t="str">
        <f t="shared" si="472"/>
        <v>PRG-1045677</v>
      </c>
      <c r="E17405" t="s">
        <v>322</v>
      </c>
      <c r="F17405" t="s">
        <v>4</v>
      </c>
      <c r="G17405" t="str">
        <f>""</f>
        <v/>
      </c>
    </row>
    <row r="17406" spans="1:7" x14ac:dyDescent="0.25">
      <c r="A17406" t="s">
        <v>8</v>
      </c>
      <c r="B17406" s="1" t="str">
        <f>"000310437 - USDA RICH'S CSD MA K-12"</f>
        <v>000310437 - USDA RICH'S CSD MA K-12</v>
      </c>
      <c r="C17406" t="s">
        <v>3107</v>
      </c>
      <c r="D17406" s="1" t="str">
        <f t="shared" si="472"/>
        <v>PRG-1045677</v>
      </c>
      <c r="E17406" t="s">
        <v>322</v>
      </c>
      <c r="F17406" t="s">
        <v>4</v>
      </c>
      <c r="G17406" t="str">
        <f>""</f>
        <v/>
      </c>
    </row>
    <row r="17407" spans="1:7" x14ac:dyDescent="0.25">
      <c r="A17407" t="s">
        <v>8</v>
      </c>
      <c r="B17407" s="1" t="str">
        <f>"000310948 - RICH PRODUCT   BCIU"</f>
        <v>000310948 - RICH PRODUCT   BCIU</v>
      </c>
      <c r="C17407" t="s">
        <v>1741</v>
      </c>
      <c r="D17407" s="1" t="str">
        <f t="shared" si="472"/>
        <v>PRG-1045677</v>
      </c>
      <c r="E17407" t="s">
        <v>322</v>
      </c>
      <c r="F17407" t="s">
        <v>4</v>
      </c>
      <c r="G17407" t="str">
        <f>""</f>
        <v/>
      </c>
    </row>
    <row r="17408" spans="1:7" x14ac:dyDescent="0.25">
      <c r="A17408" t="s">
        <v>8</v>
      </c>
      <c r="B17408" s="1" t="str">
        <f>"000311511 - RICH CORE-AVENDRA"</f>
        <v>000311511 - RICH CORE-AVENDRA</v>
      </c>
      <c r="C17408" t="s">
        <v>1693</v>
      </c>
      <c r="D17408" s="1" t="str">
        <f t="shared" si="472"/>
        <v>PRG-1045677</v>
      </c>
      <c r="E17408" t="s">
        <v>322</v>
      </c>
      <c r="F17408" t="s">
        <v>4</v>
      </c>
      <c r="G17408" t="str">
        <f>""</f>
        <v/>
      </c>
    </row>
    <row r="17409" spans="1:7" x14ac:dyDescent="0.25">
      <c r="A17409" t="s">
        <v>8</v>
      </c>
      <c r="B17409" s="1" t="str">
        <f>"000314331 - RICHS CC-K-12"</f>
        <v>000314331 - RICHS CC-K-12</v>
      </c>
      <c r="C17409" t="s">
        <v>2032</v>
      </c>
      <c r="D17409" s="1" t="str">
        <f t="shared" si="472"/>
        <v>PRG-1045677</v>
      </c>
      <c r="E17409" t="s">
        <v>322</v>
      </c>
      <c r="F17409" t="s">
        <v>4</v>
      </c>
      <c r="G17409" t="str">
        <f>""</f>
        <v/>
      </c>
    </row>
    <row r="17410" spans="1:7" x14ac:dyDescent="0.25">
      <c r="A17410" t="s">
        <v>8</v>
      </c>
      <c r="B17410" s="1" t="str">
        <f>"000315413 - RICHS CC-GREECE SCHOOLS"</f>
        <v>000315413 - RICHS CC-GREECE SCHOOLS</v>
      </c>
      <c r="C17410" t="s">
        <v>2772</v>
      </c>
      <c r="D17410" s="1" t="str">
        <f t="shared" si="472"/>
        <v>PRG-1045677</v>
      </c>
      <c r="E17410" t="s">
        <v>322</v>
      </c>
      <c r="F17410" t="s">
        <v>4</v>
      </c>
      <c r="G17410" t="str">
        <f>""</f>
        <v/>
      </c>
    </row>
    <row r="17411" spans="1:7" x14ac:dyDescent="0.25">
      <c r="A17411" t="s">
        <v>8</v>
      </c>
      <c r="B17411" s="1" t="str">
        <f>"000316404 - RICH MAURY CO. SCHL"</f>
        <v>000316404 - RICH MAURY CO. SCHL</v>
      </c>
      <c r="C17411" t="s">
        <v>1928</v>
      </c>
      <c r="D17411" s="1" t="str">
        <f t="shared" si="472"/>
        <v>PRG-1045677</v>
      </c>
      <c r="E17411" t="s">
        <v>322</v>
      </c>
      <c r="F17411" t="s">
        <v>4</v>
      </c>
      <c r="G17411" t="str">
        <f>""</f>
        <v/>
      </c>
    </row>
    <row r="17412" spans="1:7" x14ac:dyDescent="0.25">
      <c r="A17412" t="s">
        <v>8</v>
      </c>
      <c r="B17412" s="1" t="str">
        <f>"000317302 - RICH CC-OGS"</f>
        <v>000317302 - RICH CC-OGS</v>
      </c>
      <c r="C17412" t="s">
        <v>2026</v>
      </c>
      <c r="D17412" s="1" t="str">
        <f t="shared" si="472"/>
        <v>PRG-1045677</v>
      </c>
      <c r="E17412" t="s">
        <v>322</v>
      </c>
      <c r="F17412" t="s">
        <v>4</v>
      </c>
      <c r="G17412" t="str">
        <f>""</f>
        <v/>
      </c>
    </row>
    <row r="17413" spans="1:7" x14ac:dyDescent="0.25">
      <c r="A17413" t="s">
        <v>8</v>
      </c>
      <c r="B17413" s="1" t="str">
        <f>"000322316 - RICH PROD MARYSVILLE USD"</f>
        <v>000322316 - RICH PROD MARYSVILLE USD</v>
      </c>
      <c r="C17413" t="s">
        <v>3256</v>
      </c>
      <c r="D17413" s="1" t="str">
        <f t="shared" si="472"/>
        <v>PRG-1045677</v>
      </c>
      <c r="E17413" t="s">
        <v>322</v>
      </c>
      <c r="F17413" t="s">
        <v>4</v>
      </c>
      <c r="G17413" t="str">
        <f>""</f>
        <v/>
      </c>
    </row>
    <row r="17414" spans="1:7" x14ac:dyDescent="0.25">
      <c r="A17414" t="s">
        <v>8</v>
      </c>
      <c r="B17414" s="1" t="str">
        <f>"000326456 - RICH HILLSBORO SCHOOL"</f>
        <v>000326456 - RICH HILLSBORO SCHOOL</v>
      </c>
      <c r="C17414" t="s">
        <v>3300</v>
      </c>
      <c r="D17414" s="1" t="str">
        <f t="shared" si="472"/>
        <v>PRG-1045677</v>
      </c>
      <c r="E17414" t="s">
        <v>322</v>
      </c>
      <c r="F17414" t="s">
        <v>4</v>
      </c>
      <c r="G17414" t="str">
        <f>""</f>
        <v/>
      </c>
    </row>
    <row r="17415" spans="1:7" x14ac:dyDescent="0.25">
      <c r="A17415" t="s">
        <v>8</v>
      </c>
      <c r="B17415" s="1" t="str">
        <f>"000326792 - RICH PRODUCTS  CALAVERAS SCHL"</f>
        <v>000326792 - RICH PRODUCTS  CALAVERAS SCHL</v>
      </c>
      <c r="C17415" t="s">
        <v>2312</v>
      </c>
      <c r="D17415" s="1" t="str">
        <f t="shared" ref="D17415:D17446" si="473">"PRG-1045677"</f>
        <v>PRG-1045677</v>
      </c>
      <c r="E17415" t="s">
        <v>322</v>
      </c>
      <c r="F17415" t="s">
        <v>4</v>
      </c>
      <c r="G17415" t="str">
        <f>""</f>
        <v/>
      </c>
    </row>
    <row r="17416" spans="1:7" x14ac:dyDescent="0.25">
      <c r="A17416" t="s">
        <v>8</v>
      </c>
      <c r="B17416" s="1" t="str">
        <f>"000327511 - RICH PRODUCTS  BRET HARTE UNI"</f>
        <v>000327511 - RICH PRODUCTS  BRET HARTE UNI</v>
      </c>
      <c r="C17416" t="s">
        <v>2290</v>
      </c>
      <c r="D17416" s="1" t="str">
        <f t="shared" si="473"/>
        <v>PRG-1045677</v>
      </c>
      <c r="E17416" t="s">
        <v>322</v>
      </c>
      <c r="F17416" t="s">
        <v>4</v>
      </c>
      <c r="G17416" t="str">
        <f>""</f>
        <v/>
      </c>
    </row>
    <row r="17417" spans="1:7" x14ac:dyDescent="0.25">
      <c r="A17417" t="s">
        <v>8</v>
      </c>
      <c r="B17417" s="1" t="str">
        <f>"000328613 - RICH RIVER RIDGE SCHOOL"</f>
        <v>000328613 - RICH RIVER RIDGE SCHOOL</v>
      </c>
      <c r="C17417" t="s">
        <v>3326</v>
      </c>
      <c r="D17417" s="1" t="str">
        <f t="shared" si="473"/>
        <v>PRG-1045677</v>
      </c>
      <c r="E17417" t="s">
        <v>322</v>
      </c>
      <c r="F17417" t="s">
        <v>4</v>
      </c>
      <c r="G17417" t="str">
        <f>""</f>
        <v/>
      </c>
    </row>
    <row r="17418" spans="1:7" x14ac:dyDescent="0.25">
      <c r="A17418" t="s">
        <v>8</v>
      </c>
      <c r="B17418" s="1" t="str">
        <f>"000328742 - RICH PRODUCTS  RIVERBANK FOOD&amp;"</f>
        <v>000328742 - RICH PRODUCTS  RIVERBANK FOOD&amp;</v>
      </c>
      <c r="C17418" t="s">
        <v>3328</v>
      </c>
      <c r="D17418" s="1" t="str">
        <f t="shared" si="473"/>
        <v>PRG-1045677</v>
      </c>
      <c r="E17418" t="s">
        <v>322</v>
      </c>
      <c r="F17418" t="s">
        <v>4</v>
      </c>
      <c r="G17418" t="str">
        <f>""</f>
        <v/>
      </c>
    </row>
    <row r="17419" spans="1:7" x14ac:dyDescent="0.25">
      <c r="A17419" t="s">
        <v>8</v>
      </c>
      <c r="B17419" s="1" t="str">
        <f>"000329116 - RICHS WARREN SCHL"</f>
        <v>000329116 - RICHS WARREN SCHL</v>
      </c>
      <c r="C17419" t="s">
        <v>3330</v>
      </c>
      <c r="D17419" s="1" t="str">
        <f t="shared" si="473"/>
        <v>PRG-1045677</v>
      </c>
      <c r="E17419" t="s">
        <v>322</v>
      </c>
      <c r="F17419" t="s">
        <v>4</v>
      </c>
      <c r="G17419" t="str">
        <f>""</f>
        <v/>
      </c>
    </row>
    <row r="17420" spans="1:7" x14ac:dyDescent="0.25">
      <c r="A17420" t="s">
        <v>8</v>
      </c>
      <c r="B17420" s="1" t="str">
        <f>"000332162 - RICHS  SCHL BLKT"</f>
        <v>000332162 - RICHS  SCHL BLKT</v>
      </c>
      <c r="C17420" t="s">
        <v>3353</v>
      </c>
      <c r="D17420" s="1" t="str">
        <f t="shared" si="473"/>
        <v>PRG-1045677</v>
      </c>
      <c r="E17420" t="s">
        <v>322</v>
      </c>
      <c r="F17420" t="s">
        <v>4</v>
      </c>
      <c r="G17420" t="str">
        <f>""</f>
        <v/>
      </c>
    </row>
    <row r="17421" spans="1:7" x14ac:dyDescent="0.25">
      <c r="A17421" t="s">
        <v>8</v>
      </c>
      <c r="B17421" s="1" t="str">
        <f>"000332978 - RICHS WESTSIDE"</f>
        <v>000332978 - RICHS WESTSIDE</v>
      </c>
      <c r="C17421" t="s">
        <v>3364</v>
      </c>
      <c r="D17421" s="1" t="str">
        <f t="shared" si="473"/>
        <v>PRG-1045677</v>
      </c>
      <c r="E17421" t="s">
        <v>322</v>
      </c>
      <c r="F17421" t="s">
        <v>4</v>
      </c>
      <c r="G17421" t="str">
        <f>""</f>
        <v/>
      </c>
    </row>
    <row r="17422" spans="1:7" x14ac:dyDescent="0.25">
      <c r="A17422" t="s">
        <v>8</v>
      </c>
      <c r="B17422" s="1" t="str">
        <f>"000342478 - RICHS K12 BLANKET"</f>
        <v>000342478 - RICHS K12 BLANKET</v>
      </c>
      <c r="C17422" t="s">
        <v>3249</v>
      </c>
      <c r="D17422" s="1" t="str">
        <f t="shared" si="473"/>
        <v>PRG-1045677</v>
      </c>
      <c r="E17422" t="s">
        <v>322</v>
      </c>
      <c r="F17422" t="s">
        <v>4</v>
      </c>
      <c r="G17422" t="str">
        <f>""</f>
        <v/>
      </c>
    </row>
    <row r="17423" spans="1:7" x14ac:dyDescent="0.25">
      <c r="A17423" t="s">
        <v>8</v>
      </c>
      <c r="B17423" s="1" t="str">
        <f>"000344394 - RICH'S BLANKET 18-19"</f>
        <v>000344394 - RICH'S BLANKET 18-19</v>
      </c>
      <c r="C17423" t="s">
        <v>3451</v>
      </c>
      <c r="D17423" s="1" t="str">
        <f t="shared" si="473"/>
        <v>PRG-1045677</v>
      </c>
      <c r="E17423" t="s">
        <v>322</v>
      </c>
      <c r="F17423" t="s">
        <v>4</v>
      </c>
      <c r="G17423" t="str">
        <f>""</f>
        <v/>
      </c>
    </row>
    <row r="17424" spans="1:7" x14ac:dyDescent="0.25">
      <c r="A17424" t="s">
        <v>8</v>
      </c>
      <c r="B17424" s="1" t="str">
        <f>"000348840 - RICH PRODUCTS  LODI USD"</f>
        <v>000348840 - RICH PRODUCTS  LODI USD</v>
      </c>
      <c r="C17424" t="s">
        <v>2213</v>
      </c>
      <c r="D17424" s="1" t="str">
        <f t="shared" si="473"/>
        <v>PRG-1045677</v>
      </c>
      <c r="E17424" t="s">
        <v>322</v>
      </c>
      <c r="F17424" t="s">
        <v>4</v>
      </c>
      <c r="G17424" t="str">
        <f>""</f>
        <v/>
      </c>
    </row>
    <row r="17425" spans="1:7" x14ac:dyDescent="0.25">
      <c r="A17425" t="s">
        <v>8</v>
      </c>
      <c r="B17425" s="1" t="str">
        <f>"000350253 - RICH PRODUCTS  KINGS CANYON-T"</f>
        <v>000350253 - RICH PRODUCTS  KINGS CANYON-T</v>
      </c>
      <c r="C17425" t="s">
        <v>3505</v>
      </c>
      <c r="D17425" s="1" t="str">
        <f t="shared" si="473"/>
        <v>PRG-1045677</v>
      </c>
      <c r="E17425" t="s">
        <v>322</v>
      </c>
      <c r="F17425" t="s">
        <v>4</v>
      </c>
      <c r="G17425" t="str">
        <f>""</f>
        <v/>
      </c>
    </row>
    <row r="17426" spans="1:7" x14ac:dyDescent="0.25">
      <c r="A17426" t="s">
        <v>8</v>
      </c>
      <c r="B17426" s="1" t="str">
        <f>"000350645 - DOD- RICH PRODUCTS CORP"</f>
        <v>000350645 - DOD- RICH PRODUCTS CORP</v>
      </c>
      <c r="C17426" t="s">
        <v>593</v>
      </c>
      <c r="D17426" s="1" t="str">
        <f t="shared" si="473"/>
        <v>PRG-1045677</v>
      </c>
      <c r="E17426" t="s">
        <v>322</v>
      </c>
      <c r="F17426" t="s">
        <v>4</v>
      </c>
      <c r="G17426" t="str">
        <f>""</f>
        <v/>
      </c>
    </row>
    <row r="17427" spans="1:7" x14ac:dyDescent="0.25">
      <c r="A17427" t="s">
        <v>8</v>
      </c>
      <c r="B17427" s="1" t="str">
        <f>"000352384 - RICH PROD SCHL BLANKET"</f>
        <v>000352384 - RICH PROD SCHL BLANKET</v>
      </c>
      <c r="C17427" t="s">
        <v>3201</v>
      </c>
      <c r="D17427" s="1" t="str">
        <f t="shared" si="473"/>
        <v>PRG-1045677</v>
      </c>
      <c r="E17427" t="s">
        <v>322</v>
      </c>
      <c r="F17427" t="s">
        <v>4</v>
      </c>
      <c r="G17427" t="str">
        <f>""</f>
        <v/>
      </c>
    </row>
    <row r="17428" spans="1:7" x14ac:dyDescent="0.25">
      <c r="A17428" t="s">
        <v>8</v>
      </c>
      <c r="B17428" s="1" t="str">
        <f>"000353151 - RICH FOODS-SAC CITY USD"</f>
        <v>000353151 - RICH FOODS-SAC CITY USD</v>
      </c>
      <c r="C17428" t="s">
        <v>3531</v>
      </c>
      <c r="D17428" s="1" t="str">
        <f t="shared" si="473"/>
        <v>PRG-1045677</v>
      </c>
      <c r="E17428" t="s">
        <v>322</v>
      </c>
      <c r="F17428" t="s">
        <v>4</v>
      </c>
      <c r="G17428" t="str">
        <f>""</f>
        <v/>
      </c>
    </row>
    <row r="17429" spans="1:7" x14ac:dyDescent="0.25">
      <c r="A17429" t="s">
        <v>8</v>
      </c>
      <c r="B17429" s="1" t="str">
        <f>"000353393 - RICH FOODS-PREFERRED CHOICE"</f>
        <v>000353393 - RICH FOODS-PREFERRED CHOICE</v>
      </c>
      <c r="C17429" t="s">
        <v>3532</v>
      </c>
      <c r="D17429" s="1" t="str">
        <f t="shared" si="473"/>
        <v>PRG-1045677</v>
      </c>
      <c r="E17429" t="s">
        <v>322</v>
      </c>
      <c r="F17429" t="s">
        <v>4</v>
      </c>
      <c r="G17429" t="str">
        <f>""</f>
        <v/>
      </c>
    </row>
    <row r="17430" spans="1:7" x14ac:dyDescent="0.25">
      <c r="A17430" t="s">
        <v>8</v>
      </c>
      <c r="B17430" s="1" t="str">
        <f>"000353524 - RICH FOODS-GRASS VALLEY SD"</f>
        <v>000353524 - RICH FOODS-GRASS VALLEY SD</v>
      </c>
      <c r="C17430" t="s">
        <v>3537</v>
      </c>
      <c r="D17430" s="1" t="str">
        <f t="shared" si="473"/>
        <v>PRG-1045677</v>
      </c>
      <c r="E17430" t="s">
        <v>322</v>
      </c>
      <c r="F17430" t="s">
        <v>4</v>
      </c>
      <c r="G17430" t="str">
        <f>""</f>
        <v/>
      </c>
    </row>
    <row r="17431" spans="1:7" x14ac:dyDescent="0.25">
      <c r="A17431" t="s">
        <v>8</v>
      </c>
      <c r="B17431" s="1" t="str">
        <f>"000354139 - RICH FOODS-GALT JUESD"</f>
        <v>000354139 - RICH FOODS-GALT JUESD</v>
      </c>
      <c r="C17431" t="s">
        <v>3542</v>
      </c>
      <c r="D17431" s="1" t="str">
        <f t="shared" si="473"/>
        <v>PRG-1045677</v>
      </c>
      <c r="E17431" t="s">
        <v>322</v>
      </c>
      <c r="F17431" t="s">
        <v>4</v>
      </c>
      <c r="G17431" t="str">
        <f>""</f>
        <v/>
      </c>
    </row>
    <row r="17432" spans="1:7" x14ac:dyDescent="0.25">
      <c r="A17432" t="s">
        <v>8</v>
      </c>
      <c r="B17432" s="1" t="str">
        <f>"000354287 - RICH FOODS-LYON CO SCHL DIST"</f>
        <v>000354287 - RICH FOODS-LYON CO SCHL DIST</v>
      </c>
      <c r="C17432" t="s">
        <v>3544</v>
      </c>
      <c r="D17432" s="1" t="str">
        <f t="shared" si="473"/>
        <v>PRG-1045677</v>
      </c>
      <c r="E17432" t="s">
        <v>322</v>
      </c>
      <c r="F17432" t="s">
        <v>4</v>
      </c>
      <c r="G17432" t="str">
        <f>""</f>
        <v/>
      </c>
    </row>
    <row r="17433" spans="1:7" x14ac:dyDescent="0.25">
      <c r="A17433" t="s">
        <v>8</v>
      </c>
      <c r="B17433" s="1" t="str">
        <f>"000359000 - RICH PROD PBC SCHLS"</f>
        <v>000359000 - RICH PROD PBC SCHLS</v>
      </c>
      <c r="C17433" t="s">
        <v>2509</v>
      </c>
      <c r="D17433" s="1" t="str">
        <f t="shared" si="473"/>
        <v>PRG-1045677</v>
      </c>
      <c r="E17433" t="s">
        <v>322</v>
      </c>
      <c r="F17433" t="s">
        <v>4</v>
      </c>
      <c r="G17433" t="str">
        <f>""</f>
        <v/>
      </c>
    </row>
    <row r="17434" spans="1:7" x14ac:dyDescent="0.25">
      <c r="A17434" t="s">
        <v>8</v>
      </c>
      <c r="B17434" s="1" t="str">
        <f>"000361047 - RICH PRODUCTS BEAVERTON SD"</f>
        <v>000361047 - RICH PRODUCTS BEAVERTON SD</v>
      </c>
      <c r="C17434" t="s">
        <v>2844</v>
      </c>
      <c r="D17434" s="1" t="str">
        <f t="shared" si="473"/>
        <v>PRG-1045677</v>
      </c>
      <c r="E17434" t="s">
        <v>322</v>
      </c>
      <c r="F17434" t="s">
        <v>4</v>
      </c>
      <c r="G17434" t="str">
        <f>""</f>
        <v/>
      </c>
    </row>
    <row r="17435" spans="1:7" x14ac:dyDescent="0.25">
      <c r="A17435" t="s">
        <v>8</v>
      </c>
      <c r="B17435" s="1" t="str">
        <f>"000376584 - RICH-COLLIER CO SCHOOLS"</f>
        <v>000376584 - RICH-COLLIER CO SCHOOLS</v>
      </c>
      <c r="C17435" t="s">
        <v>3511</v>
      </c>
      <c r="D17435" s="1" t="str">
        <f t="shared" si="473"/>
        <v>PRG-1045677</v>
      </c>
      <c r="E17435" t="s">
        <v>322</v>
      </c>
      <c r="F17435" t="s">
        <v>4</v>
      </c>
      <c r="G17435" t="str">
        <f>""</f>
        <v/>
      </c>
    </row>
    <row r="17436" spans="1:7" x14ac:dyDescent="0.25">
      <c r="A17436" t="s">
        <v>8</v>
      </c>
      <c r="B17436" s="1" t="str">
        <f>"000384847 - RICH BLANKET SCHOOL BID"</f>
        <v>000384847 - RICH BLANKET SCHOOL BID</v>
      </c>
      <c r="C17436" t="s">
        <v>3662</v>
      </c>
      <c r="D17436" s="1" t="str">
        <f t="shared" si="473"/>
        <v>PRG-1045677</v>
      </c>
      <c r="E17436" t="s">
        <v>322</v>
      </c>
      <c r="F17436" t="s">
        <v>4</v>
      </c>
      <c r="G17436" t="str">
        <f>""</f>
        <v/>
      </c>
    </row>
    <row r="17437" spans="1:7" x14ac:dyDescent="0.25">
      <c r="A17437" t="s">
        <v>8</v>
      </c>
      <c r="B17437" s="1" t="str">
        <f>"000385085 - DOD- RICH PRODUCTS CORP"</f>
        <v>000385085 - DOD- RICH PRODUCTS CORP</v>
      </c>
      <c r="C17437" t="s">
        <v>593</v>
      </c>
      <c r="D17437" s="1" t="str">
        <f t="shared" si="473"/>
        <v>PRG-1045677</v>
      </c>
      <c r="E17437" t="s">
        <v>322</v>
      </c>
      <c r="F17437" t="s">
        <v>4</v>
      </c>
      <c r="G17437" t="str">
        <f>""</f>
        <v/>
      </c>
    </row>
    <row r="17438" spans="1:7" x14ac:dyDescent="0.25">
      <c r="A17438" t="s">
        <v>8</v>
      </c>
      <c r="B17438" s="1" t="str">
        <f>"000385463 - RICH'S DC PALMAS SRC1"</f>
        <v>000385463 - RICH'S DC PALMAS SRC1</v>
      </c>
      <c r="C17438" t="s">
        <v>3666</v>
      </c>
      <c r="D17438" s="1" t="str">
        <f t="shared" si="473"/>
        <v>PRG-1045677</v>
      </c>
      <c r="E17438" t="s">
        <v>322</v>
      </c>
      <c r="F17438" t="s">
        <v>4</v>
      </c>
      <c r="G17438" t="str">
        <f>""</f>
        <v/>
      </c>
    </row>
    <row r="17439" spans="1:7" x14ac:dyDescent="0.25">
      <c r="A17439" t="s">
        <v>8</v>
      </c>
      <c r="B17439" s="1" t="str">
        <f>"000390614 - RICH SHAWNEE MISSION USD"</f>
        <v>000390614 - RICH SHAWNEE MISSION USD</v>
      </c>
      <c r="C17439" t="s">
        <v>3684</v>
      </c>
      <c r="D17439" s="1" t="str">
        <f t="shared" si="473"/>
        <v>PRG-1045677</v>
      </c>
      <c r="E17439" t="s">
        <v>322</v>
      </c>
      <c r="F17439" t="s">
        <v>4</v>
      </c>
      <c r="G17439" t="str">
        <f>""</f>
        <v/>
      </c>
    </row>
    <row r="17440" spans="1:7" x14ac:dyDescent="0.25">
      <c r="A17440" t="s">
        <v>8</v>
      </c>
      <c r="B17440" s="1" t="str">
        <f>"000393042 - DOD- RICH PRODUCTS CORP"</f>
        <v>000393042 - DOD- RICH PRODUCTS CORP</v>
      </c>
      <c r="C17440" t="s">
        <v>593</v>
      </c>
      <c r="D17440" s="1" t="str">
        <f t="shared" si="473"/>
        <v>PRG-1045677</v>
      </c>
      <c r="E17440" t="s">
        <v>322</v>
      </c>
      <c r="F17440" t="s">
        <v>4</v>
      </c>
      <c r="G17440" t="str">
        <f>""</f>
        <v/>
      </c>
    </row>
    <row r="17441" spans="1:7" x14ac:dyDescent="0.25">
      <c r="A17441" t="s">
        <v>8</v>
      </c>
      <c r="B17441" s="1" t="str">
        <f>"000394928 - RICH PRODUCTS POWAY USD"</f>
        <v>000394928 - RICH PRODUCTS POWAY USD</v>
      </c>
      <c r="C17441" t="s">
        <v>3700</v>
      </c>
      <c r="D17441" s="1" t="str">
        <f t="shared" si="473"/>
        <v>PRG-1045677</v>
      </c>
      <c r="E17441" t="s">
        <v>322</v>
      </c>
      <c r="F17441" t="s">
        <v>4</v>
      </c>
      <c r="G17441" t="str">
        <f>""</f>
        <v/>
      </c>
    </row>
    <row r="17442" spans="1:7" x14ac:dyDescent="0.25">
      <c r="A17442" t="s">
        <v>8</v>
      </c>
      <c r="B17442" s="1" t="str">
        <f>"000396747 - RICH+BLANKET"</f>
        <v>000396747 - RICH+BLANKET</v>
      </c>
      <c r="C17442" t="s">
        <v>3711</v>
      </c>
      <c r="D17442" s="1" t="str">
        <f t="shared" si="473"/>
        <v>PRG-1045677</v>
      </c>
      <c r="E17442" t="s">
        <v>322</v>
      </c>
      <c r="F17442" t="s">
        <v>4</v>
      </c>
      <c r="G17442" t="str">
        <f>""</f>
        <v/>
      </c>
    </row>
    <row r="17443" spans="1:7" x14ac:dyDescent="0.25">
      <c r="A17443" t="s">
        <v>8</v>
      </c>
      <c r="B17443" s="1" t="str">
        <f>"000399668 - DOD- RICH PRODUCTS CORP"</f>
        <v>000399668 - DOD- RICH PRODUCTS CORP</v>
      </c>
      <c r="C17443" t="s">
        <v>593</v>
      </c>
      <c r="D17443" s="1" t="str">
        <f t="shared" si="473"/>
        <v>PRG-1045677</v>
      </c>
      <c r="E17443" t="s">
        <v>322</v>
      </c>
      <c r="F17443" t="s">
        <v>4</v>
      </c>
      <c r="G17443" t="str">
        <f>""</f>
        <v/>
      </c>
    </row>
    <row r="17444" spans="1:7" x14ac:dyDescent="0.25">
      <c r="A17444" t="s">
        <v>8</v>
      </c>
      <c r="B17444" s="1" t="str">
        <f>"000399755 - DOD- RICH PRODUCTS CORP"</f>
        <v>000399755 - DOD- RICH PRODUCTS CORP</v>
      </c>
      <c r="C17444" t="s">
        <v>593</v>
      </c>
      <c r="D17444" s="1" t="str">
        <f t="shared" si="473"/>
        <v>PRG-1045677</v>
      </c>
      <c r="E17444" t="s">
        <v>322</v>
      </c>
      <c r="F17444" t="s">
        <v>4</v>
      </c>
      <c r="G17444" t="str">
        <f>""</f>
        <v/>
      </c>
    </row>
    <row r="17445" spans="1:7" x14ac:dyDescent="0.25">
      <c r="A17445" t="s">
        <v>8</v>
      </c>
      <c r="B17445" s="1" t="str">
        <f>"000402115 - RICH'S K12 SCHL BLNKT"</f>
        <v>000402115 - RICH'S K12 SCHL BLNKT</v>
      </c>
      <c r="C17445" t="s">
        <v>3615</v>
      </c>
      <c r="D17445" s="1" t="str">
        <f t="shared" si="473"/>
        <v>PRG-1045677</v>
      </c>
      <c r="E17445" t="s">
        <v>322</v>
      </c>
      <c r="F17445" t="s">
        <v>4</v>
      </c>
      <c r="G17445" t="str">
        <f>""</f>
        <v/>
      </c>
    </row>
    <row r="17446" spans="1:7" x14ac:dyDescent="0.25">
      <c r="A17446" t="s">
        <v>8</v>
      </c>
      <c r="B17446" s="1" t="str">
        <f>"000403535 - RICH'S PROS PALS 2018-19"</f>
        <v>000403535 - RICH'S PROS PALS 2018-19</v>
      </c>
      <c r="C17446" t="s">
        <v>3723</v>
      </c>
      <c r="D17446" s="1" t="str">
        <f t="shared" si="473"/>
        <v>PRG-1045677</v>
      </c>
      <c r="E17446" t="s">
        <v>322</v>
      </c>
      <c r="F17446" t="s">
        <v>4</v>
      </c>
      <c r="G17446" t="str">
        <f>""</f>
        <v/>
      </c>
    </row>
    <row r="17447" spans="1:7" x14ac:dyDescent="0.25">
      <c r="A17447" t="s">
        <v>8</v>
      </c>
      <c r="B17447" s="1" t="str">
        <f>"000406668 - RICH PRODUCTS ALL SCHOOLS BAPA"</f>
        <v>000406668 - RICH PRODUCTS ALL SCHOOLS BAPA</v>
      </c>
      <c r="C17447" t="s">
        <v>3641</v>
      </c>
      <c r="D17447" s="1" t="str">
        <f t="shared" ref="D17447:D17478" si="474">"PRG-1045677"</f>
        <v>PRG-1045677</v>
      </c>
      <c r="E17447" t="s">
        <v>322</v>
      </c>
      <c r="F17447" t="s">
        <v>4</v>
      </c>
      <c r="G17447" t="str">
        <f>""</f>
        <v/>
      </c>
    </row>
    <row r="17448" spans="1:7" x14ac:dyDescent="0.25">
      <c r="A17448" t="s">
        <v>8</v>
      </c>
      <c r="B17448" s="1" t="str">
        <f>"000412320 - RICH GROSSMONT UNION 2017-18"</f>
        <v>000412320 - RICH GROSSMONT UNION 2017-18</v>
      </c>
      <c r="C17448" t="s">
        <v>3733</v>
      </c>
      <c r="D17448" s="1" t="str">
        <f t="shared" si="474"/>
        <v>PRG-1045677</v>
      </c>
      <c r="E17448" t="s">
        <v>322</v>
      </c>
      <c r="F17448" t="s">
        <v>4</v>
      </c>
      <c r="G17448" t="str">
        <f>""</f>
        <v/>
      </c>
    </row>
    <row r="17449" spans="1:7" x14ac:dyDescent="0.25">
      <c r="A17449" t="s">
        <v>8</v>
      </c>
      <c r="B17449" s="1" t="str">
        <f>"000412321 - RICH DC  GROSSMONT 2017-18"</f>
        <v>000412321 - RICH DC  GROSSMONT 2017-18</v>
      </c>
      <c r="C17449" t="s">
        <v>3734</v>
      </c>
      <c r="D17449" s="1" t="str">
        <f t="shared" si="474"/>
        <v>PRG-1045677</v>
      </c>
      <c r="E17449" t="s">
        <v>322</v>
      </c>
      <c r="F17449" t="s">
        <v>4</v>
      </c>
      <c r="G17449" t="str">
        <f>""</f>
        <v/>
      </c>
    </row>
    <row r="17450" spans="1:7" x14ac:dyDescent="0.25">
      <c r="A17450" t="s">
        <v>8</v>
      </c>
      <c r="B17450" s="1" t="str">
        <f>"000415260 - RICHS SAN MARCOS USD 18-19"</f>
        <v>000415260 - RICHS SAN MARCOS USD 18-19</v>
      </c>
      <c r="C17450" t="s">
        <v>3737</v>
      </c>
      <c r="D17450" s="1" t="str">
        <f t="shared" si="474"/>
        <v>PRG-1045677</v>
      </c>
      <c r="E17450" t="s">
        <v>322</v>
      </c>
      <c r="F17450" t="s">
        <v>4</v>
      </c>
      <c r="G17450" t="str">
        <f>""</f>
        <v/>
      </c>
    </row>
    <row r="17451" spans="1:7" x14ac:dyDescent="0.25">
      <c r="A17451" t="s">
        <v>8</v>
      </c>
      <c r="B17451" s="1" t="str">
        <f>"000415288 - RICH BLANKET CAJON USD 2018-19"</f>
        <v>000415288 - RICH BLANKET CAJON USD 2018-19</v>
      </c>
      <c r="C17451" t="s">
        <v>3738</v>
      </c>
      <c r="D17451" s="1" t="str">
        <f t="shared" si="474"/>
        <v>PRG-1045677</v>
      </c>
      <c r="E17451" t="s">
        <v>322</v>
      </c>
      <c r="F17451" t="s">
        <v>4</v>
      </c>
      <c r="G17451" t="str">
        <f>""</f>
        <v/>
      </c>
    </row>
    <row r="17452" spans="1:7" x14ac:dyDescent="0.25">
      <c r="A17452" t="s">
        <v>8</v>
      </c>
      <c r="B17452" s="1" t="str">
        <f>"000423336 - RICH ESCONDIDO ELE 2018-19"</f>
        <v>000423336 - RICH ESCONDIDO ELE 2018-19</v>
      </c>
      <c r="C17452" t="s">
        <v>3741</v>
      </c>
      <c r="D17452" s="1" t="str">
        <f t="shared" si="474"/>
        <v>PRG-1045677</v>
      </c>
      <c r="E17452" t="s">
        <v>322</v>
      </c>
      <c r="F17452" t="s">
        <v>4</v>
      </c>
      <c r="G17452" t="str">
        <f>""</f>
        <v/>
      </c>
    </row>
    <row r="17453" spans="1:7" x14ac:dyDescent="0.25">
      <c r="A17453" t="s">
        <v>8</v>
      </c>
      <c r="B17453" s="1" t="str">
        <f>"000424395 - RICH CCL HAL 18-050"</f>
        <v>000424395 - RICH CCL HAL 18-050</v>
      </c>
      <c r="C17453" t="s">
        <v>3743</v>
      </c>
      <c r="D17453" s="1" t="str">
        <f t="shared" si="474"/>
        <v>PRG-1045677</v>
      </c>
      <c r="E17453" t="s">
        <v>322</v>
      </c>
      <c r="F17453" t="s">
        <v>4</v>
      </c>
      <c r="G17453" t="str">
        <f>""</f>
        <v/>
      </c>
    </row>
    <row r="17454" spans="1:7" x14ac:dyDescent="0.25">
      <c r="A17454" t="s">
        <v>8</v>
      </c>
      <c r="B17454" s="1" t="str">
        <f>"11961"</f>
        <v>11961</v>
      </c>
      <c r="C17454" t="s">
        <v>3814</v>
      </c>
      <c r="D17454" s="1" t="str">
        <f t="shared" si="474"/>
        <v>PRG-1045677</v>
      </c>
      <c r="E17454" t="s">
        <v>322</v>
      </c>
      <c r="F17454" t="s">
        <v>7</v>
      </c>
      <c r="G17454" t="str">
        <f>""</f>
        <v/>
      </c>
    </row>
    <row r="17455" spans="1:7" x14ac:dyDescent="0.25">
      <c r="A17455" t="s">
        <v>8</v>
      </c>
      <c r="B17455" s="1" t="str">
        <f>"2006"</f>
        <v>2006</v>
      </c>
      <c r="C17455" t="s">
        <v>4081</v>
      </c>
      <c r="D17455" s="1" t="str">
        <f t="shared" si="474"/>
        <v>PRG-1045677</v>
      </c>
      <c r="E17455" t="s">
        <v>322</v>
      </c>
      <c r="F17455" t="s">
        <v>7</v>
      </c>
      <c r="G17455" t="str">
        <f>""</f>
        <v/>
      </c>
    </row>
    <row r="17456" spans="1:7" x14ac:dyDescent="0.25">
      <c r="A17456" t="s">
        <v>8</v>
      </c>
      <c r="B17456" s="1" t="str">
        <f>"2110M697"</f>
        <v>2110M697</v>
      </c>
      <c r="C17456" t="s">
        <v>4130</v>
      </c>
      <c r="D17456" s="1" t="str">
        <f t="shared" si="474"/>
        <v>PRG-1045677</v>
      </c>
      <c r="E17456" t="s">
        <v>322</v>
      </c>
      <c r="F17456" t="s">
        <v>5</v>
      </c>
      <c r="G17456" t="str">
        <f>""</f>
        <v/>
      </c>
    </row>
    <row r="17457" spans="1:7" x14ac:dyDescent="0.25">
      <c r="A17457" t="s">
        <v>8</v>
      </c>
      <c r="B17457" s="1" t="str">
        <f>"2135B320"</f>
        <v>2135B320</v>
      </c>
      <c r="C17457" t="s">
        <v>4147</v>
      </c>
      <c r="D17457" s="1" t="str">
        <f t="shared" si="474"/>
        <v>PRG-1045677</v>
      </c>
      <c r="E17457" t="s">
        <v>322</v>
      </c>
      <c r="F17457" t="s">
        <v>5</v>
      </c>
      <c r="G17457" t="str">
        <f>""</f>
        <v/>
      </c>
    </row>
    <row r="17458" spans="1:7" x14ac:dyDescent="0.25">
      <c r="A17458" t="s">
        <v>8</v>
      </c>
      <c r="B17458" s="1" t="str">
        <f>"22501033"</f>
        <v>22501033</v>
      </c>
      <c r="C17458" t="s">
        <v>4333</v>
      </c>
      <c r="D17458" s="1" t="str">
        <f t="shared" si="474"/>
        <v>PRG-1045677</v>
      </c>
      <c r="E17458" t="s">
        <v>322</v>
      </c>
      <c r="F17458" t="s">
        <v>5</v>
      </c>
      <c r="G17458" t="str">
        <f>""</f>
        <v/>
      </c>
    </row>
    <row r="17459" spans="1:7" x14ac:dyDescent="0.25">
      <c r="A17459" t="s">
        <v>8</v>
      </c>
      <c r="B17459" s="1" t="str">
        <f>"22501404"</f>
        <v>22501404</v>
      </c>
      <c r="C17459" t="s">
        <v>4338</v>
      </c>
      <c r="D17459" s="1" t="str">
        <f t="shared" si="474"/>
        <v>PRG-1045677</v>
      </c>
      <c r="E17459" t="s">
        <v>322</v>
      </c>
      <c r="F17459" t="s">
        <v>5</v>
      </c>
      <c r="G17459" t="str">
        <f>""</f>
        <v/>
      </c>
    </row>
    <row r="17460" spans="1:7" x14ac:dyDescent="0.25">
      <c r="A17460" t="s">
        <v>8</v>
      </c>
      <c r="B17460" s="1" t="str">
        <f>"22605562"</f>
        <v>22605562</v>
      </c>
      <c r="C17460" t="s">
        <v>4425</v>
      </c>
      <c r="D17460" s="1" t="str">
        <f t="shared" si="474"/>
        <v>PRG-1045677</v>
      </c>
      <c r="E17460" t="s">
        <v>322</v>
      </c>
      <c r="F17460" t="s">
        <v>5</v>
      </c>
      <c r="G17460" t="str">
        <f>""</f>
        <v/>
      </c>
    </row>
    <row r="17461" spans="1:7" x14ac:dyDescent="0.25">
      <c r="A17461" t="s">
        <v>8</v>
      </c>
      <c r="B17461" s="1" t="str">
        <f>"22605568"</f>
        <v>22605568</v>
      </c>
      <c r="C17461" t="s">
        <v>4430</v>
      </c>
      <c r="D17461" s="1" t="str">
        <f t="shared" si="474"/>
        <v>PRG-1045677</v>
      </c>
      <c r="E17461" t="s">
        <v>322</v>
      </c>
      <c r="F17461" t="s">
        <v>5</v>
      </c>
      <c r="G17461" t="str">
        <f>""</f>
        <v/>
      </c>
    </row>
    <row r="17462" spans="1:7" x14ac:dyDescent="0.25">
      <c r="A17462" t="s">
        <v>8</v>
      </c>
      <c r="B17462" s="1" t="str">
        <f>"2260C495"</f>
        <v>2260C495</v>
      </c>
      <c r="C17462" t="s">
        <v>4458</v>
      </c>
      <c r="D17462" s="1" t="str">
        <f t="shared" si="474"/>
        <v>PRG-1045677</v>
      </c>
      <c r="E17462" t="s">
        <v>322</v>
      </c>
      <c r="F17462" t="s">
        <v>5</v>
      </c>
      <c r="G17462" t="str">
        <f>""</f>
        <v/>
      </c>
    </row>
    <row r="17463" spans="1:7" x14ac:dyDescent="0.25">
      <c r="A17463" t="s">
        <v>8</v>
      </c>
      <c r="B17463" s="1" t="str">
        <f>"23501945"</f>
        <v>23501945</v>
      </c>
      <c r="C17463" t="s">
        <v>4505</v>
      </c>
      <c r="D17463" s="1" t="str">
        <f t="shared" si="474"/>
        <v>PRG-1045677</v>
      </c>
      <c r="E17463" t="s">
        <v>322</v>
      </c>
      <c r="F17463" t="s">
        <v>5</v>
      </c>
      <c r="G17463" t="str">
        <f>""</f>
        <v/>
      </c>
    </row>
    <row r="17464" spans="1:7" x14ac:dyDescent="0.25">
      <c r="A17464" t="s">
        <v>8</v>
      </c>
      <c r="B17464" s="1" t="str">
        <f>"23509946"</f>
        <v>23509946</v>
      </c>
      <c r="C17464" t="s">
        <v>4518</v>
      </c>
      <c r="D17464" s="1" t="str">
        <f t="shared" si="474"/>
        <v>PRG-1045677</v>
      </c>
      <c r="E17464" t="s">
        <v>322</v>
      </c>
      <c r="F17464" t="s">
        <v>5</v>
      </c>
      <c r="G17464" t="str">
        <f>""</f>
        <v/>
      </c>
    </row>
    <row r="17465" spans="1:7" x14ac:dyDescent="0.25">
      <c r="A17465" t="s">
        <v>8</v>
      </c>
      <c r="B17465" s="1" t="str">
        <f>"23509994"</f>
        <v>23509994</v>
      </c>
      <c r="C17465" t="s">
        <v>4519</v>
      </c>
      <c r="D17465" s="1" t="str">
        <f t="shared" si="474"/>
        <v>PRG-1045677</v>
      </c>
      <c r="E17465" t="s">
        <v>322</v>
      </c>
      <c r="F17465" t="s">
        <v>5</v>
      </c>
      <c r="G17465" t="str">
        <f>""</f>
        <v/>
      </c>
    </row>
    <row r="17466" spans="1:7" x14ac:dyDescent="0.25">
      <c r="A17466" t="s">
        <v>8</v>
      </c>
      <c r="B17466" s="1" t="str">
        <f>"2350G165"</f>
        <v>2350G165</v>
      </c>
      <c r="C17466" t="s">
        <v>4534</v>
      </c>
      <c r="D17466" s="1" t="str">
        <f t="shared" si="474"/>
        <v>PRG-1045677</v>
      </c>
      <c r="E17466" t="s">
        <v>322</v>
      </c>
      <c r="F17466" t="s">
        <v>5</v>
      </c>
      <c r="G17466" t="str">
        <f>""</f>
        <v/>
      </c>
    </row>
    <row r="17467" spans="1:7" x14ac:dyDescent="0.25">
      <c r="A17467" t="s">
        <v>8</v>
      </c>
      <c r="B17467" s="1" t="str">
        <f>"2370B191"</f>
        <v>2370B191</v>
      </c>
      <c r="C17467" t="s">
        <v>4547</v>
      </c>
      <c r="D17467" s="1" t="str">
        <f t="shared" si="474"/>
        <v>PRG-1045677</v>
      </c>
      <c r="E17467" t="s">
        <v>322</v>
      </c>
      <c r="F17467" t="s">
        <v>5</v>
      </c>
      <c r="G17467" t="str">
        <f>""</f>
        <v/>
      </c>
    </row>
    <row r="17468" spans="1:7" x14ac:dyDescent="0.25">
      <c r="A17468" t="s">
        <v>8</v>
      </c>
      <c r="B17468" s="1" t="str">
        <f>"2370C532"</f>
        <v>2370C532</v>
      </c>
      <c r="C17468" t="s">
        <v>4555</v>
      </c>
      <c r="D17468" s="1" t="str">
        <f t="shared" si="474"/>
        <v>PRG-1045677</v>
      </c>
      <c r="E17468" t="s">
        <v>322</v>
      </c>
      <c r="F17468" t="s">
        <v>5</v>
      </c>
      <c r="G17468" t="str">
        <f>""</f>
        <v/>
      </c>
    </row>
    <row r="17469" spans="1:7" x14ac:dyDescent="0.25">
      <c r="A17469" t="s">
        <v>8</v>
      </c>
      <c r="B17469" s="1" t="str">
        <f>"2370D404"</f>
        <v>2370D404</v>
      </c>
      <c r="C17469" t="s">
        <v>4558</v>
      </c>
      <c r="D17469" s="1" t="str">
        <f t="shared" si="474"/>
        <v>PRG-1045677</v>
      </c>
      <c r="E17469" t="s">
        <v>322</v>
      </c>
      <c r="F17469" t="s">
        <v>5</v>
      </c>
      <c r="G17469" t="str">
        <f>""</f>
        <v/>
      </c>
    </row>
    <row r="17470" spans="1:7" x14ac:dyDescent="0.25">
      <c r="A17470" t="s">
        <v>8</v>
      </c>
      <c r="B17470" s="1" t="str">
        <f>"2370G988"</f>
        <v>2370G988</v>
      </c>
      <c r="C17470" t="s">
        <v>4566</v>
      </c>
      <c r="D17470" s="1" t="str">
        <f t="shared" si="474"/>
        <v>PRG-1045677</v>
      </c>
      <c r="E17470" t="s">
        <v>322</v>
      </c>
      <c r="F17470" t="s">
        <v>5</v>
      </c>
      <c r="G17470" t="str">
        <f>""</f>
        <v/>
      </c>
    </row>
    <row r="17471" spans="1:7" x14ac:dyDescent="0.25">
      <c r="A17471" t="s">
        <v>8</v>
      </c>
      <c r="B17471" s="1" t="str">
        <f>"31701187"</f>
        <v>31701187</v>
      </c>
      <c r="C17471" t="s">
        <v>4693</v>
      </c>
      <c r="D17471" s="1" t="str">
        <f t="shared" si="474"/>
        <v>PRG-1045677</v>
      </c>
      <c r="E17471" t="s">
        <v>322</v>
      </c>
      <c r="F17471" t="s">
        <v>5</v>
      </c>
      <c r="G17471" t="str">
        <f>""</f>
        <v/>
      </c>
    </row>
    <row r="17472" spans="1:7" x14ac:dyDescent="0.25">
      <c r="A17472" t="s">
        <v>8</v>
      </c>
      <c r="B17472" s="1" t="str">
        <f>"3170V663"</f>
        <v>3170V663</v>
      </c>
      <c r="C17472" t="s">
        <v>4779</v>
      </c>
      <c r="D17472" s="1" t="str">
        <f t="shared" si="474"/>
        <v>PRG-1045677</v>
      </c>
      <c r="E17472" t="s">
        <v>322</v>
      </c>
      <c r="F17472" t="s">
        <v>5</v>
      </c>
      <c r="G17472" t="str">
        <f>""</f>
        <v/>
      </c>
    </row>
    <row r="17473" spans="1:7" x14ac:dyDescent="0.25">
      <c r="A17473" t="s">
        <v>8</v>
      </c>
      <c r="B17473" s="1" t="str">
        <f>"3210A549"</f>
        <v>3210A549</v>
      </c>
      <c r="C17473" t="s">
        <v>4806</v>
      </c>
      <c r="D17473" s="1" t="str">
        <f t="shared" si="474"/>
        <v>PRG-1045677</v>
      </c>
      <c r="E17473" t="s">
        <v>322</v>
      </c>
      <c r="F17473" t="s">
        <v>5</v>
      </c>
      <c r="G17473" t="str">
        <f>""</f>
        <v/>
      </c>
    </row>
    <row r="17474" spans="1:7" x14ac:dyDescent="0.25">
      <c r="A17474" t="s">
        <v>8</v>
      </c>
      <c r="B17474" s="1" t="str">
        <f>"32302010"</f>
        <v>32302010</v>
      </c>
      <c r="C17474" t="s">
        <v>4843</v>
      </c>
      <c r="D17474" s="1" t="str">
        <f t="shared" si="474"/>
        <v>PRG-1045677</v>
      </c>
      <c r="E17474" t="s">
        <v>322</v>
      </c>
      <c r="F17474" t="s">
        <v>5</v>
      </c>
      <c r="G17474" t="str">
        <f>""</f>
        <v/>
      </c>
    </row>
    <row r="17475" spans="1:7" x14ac:dyDescent="0.25">
      <c r="A17475" t="s">
        <v>8</v>
      </c>
      <c r="B17475" s="1" t="str">
        <f>"32303060"</f>
        <v>32303060</v>
      </c>
      <c r="C17475" t="s">
        <v>4860</v>
      </c>
      <c r="D17475" s="1" t="str">
        <f t="shared" si="474"/>
        <v>PRG-1045677</v>
      </c>
      <c r="E17475" t="s">
        <v>322</v>
      </c>
      <c r="F17475" t="s">
        <v>5</v>
      </c>
      <c r="G17475" t="str">
        <f>""</f>
        <v/>
      </c>
    </row>
    <row r="17476" spans="1:7" x14ac:dyDescent="0.25">
      <c r="A17476" t="s">
        <v>8</v>
      </c>
      <c r="B17476" s="1" t="str">
        <f>"32303536"</f>
        <v>32303536</v>
      </c>
      <c r="C17476" t="s">
        <v>4866</v>
      </c>
      <c r="D17476" s="1" t="str">
        <f t="shared" si="474"/>
        <v>PRG-1045677</v>
      </c>
      <c r="E17476" t="s">
        <v>322</v>
      </c>
      <c r="F17476" t="s">
        <v>5</v>
      </c>
      <c r="G17476" t="str">
        <f>""</f>
        <v/>
      </c>
    </row>
    <row r="17477" spans="1:7" x14ac:dyDescent="0.25">
      <c r="A17477" t="s">
        <v>8</v>
      </c>
      <c r="B17477" s="1" t="str">
        <f>"32303766"</f>
        <v>32303766</v>
      </c>
      <c r="C17477" t="s">
        <v>4868</v>
      </c>
      <c r="D17477" s="1" t="str">
        <f t="shared" si="474"/>
        <v>PRG-1045677</v>
      </c>
      <c r="E17477" t="s">
        <v>322</v>
      </c>
      <c r="F17477" t="s">
        <v>5</v>
      </c>
      <c r="G17477" t="str">
        <f>""</f>
        <v/>
      </c>
    </row>
    <row r="17478" spans="1:7" x14ac:dyDescent="0.25">
      <c r="A17478" t="s">
        <v>8</v>
      </c>
      <c r="B17478" s="1" t="str">
        <f>"37499"</f>
        <v>37499</v>
      </c>
      <c r="C17478" t="s">
        <v>4915</v>
      </c>
      <c r="D17478" s="1" t="str">
        <f t="shared" si="474"/>
        <v>PRG-1045677</v>
      </c>
      <c r="E17478" t="s">
        <v>322</v>
      </c>
      <c r="F17478" t="s">
        <v>7</v>
      </c>
      <c r="G17478" t="str">
        <f>""</f>
        <v/>
      </c>
    </row>
    <row r="17479" spans="1:7" x14ac:dyDescent="0.25">
      <c r="A17479" t="s">
        <v>8</v>
      </c>
      <c r="B17479" s="1" t="str">
        <f>"438"</f>
        <v>438</v>
      </c>
      <c r="C17479" t="s">
        <v>5012</v>
      </c>
      <c r="D17479" s="1" t="str">
        <f t="shared" ref="D17479:D17502" si="475">"PRG-1045677"</f>
        <v>PRG-1045677</v>
      </c>
      <c r="E17479" t="s">
        <v>322</v>
      </c>
      <c r="F17479" t="s">
        <v>7</v>
      </c>
      <c r="G17479" t="str">
        <f>""</f>
        <v/>
      </c>
    </row>
    <row r="17480" spans="1:7" x14ac:dyDescent="0.25">
      <c r="A17480" t="s">
        <v>8</v>
      </c>
      <c r="B17480" s="1" t="str">
        <f>"50500"</f>
        <v>50500</v>
      </c>
      <c r="C17480" t="s">
        <v>5024</v>
      </c>
      <c r="D17480" s="1" t="str">
        <f t="shared" si="475"/>
        <v>PRG-1045677</v>
      </c>
      <c r="E17480" t="s">
        <v>322</v>
      </c>
      <c r="F17480" t="s">
        <v>7</v>
      </c>
      <c r="G17480" t="str">
        <f>""</f>
        <v/>
      </c>
    </row>
    <row r="17481" spans="1:7" x14ac:dyDescent="0.25">
      <c r="A17481" t="s">
        <v>8</v>
      </c>
      <c r="B17481" s="1" t="str">
        <f>"S4V01BG0"</f>
        <v>S4V01BG0</v>
      </c>
      <c r="C17481" t="s">
        <v>5788</v>
      </c>
      <c r="D17481" s="1" t="str">
        <f t="shared" si="475"/>
        <v>PRG-1045677</v>
      </c>
      <c r="E17481" t="s">
        <v>322</v>
      </c>
      <c r="F17481" t="s">
        <v>5</v>
      </c>
      <c r="G17481" t="str">
        <f>""</f>
        <v/>
      </c>
    </row>
    <row r="17482" spans="1:7" x14ac:dyDescent="0.25">
      <c r="A17482" t="s">
        <v>8</v>
      </c>
      <c r="B17482" s="1" t="str">
        <f>"S4V01BM0"</f>
        <v>S4V01BM0</v>
      </c>
      <c r="C17482" t="s">
        <v>5789</v>
      </c>
      <c r="D17482" s="1" t="str">
        <f t="shared" si="475"/>
        <v>PRG-1045677</v>
      </c>
      <c r="E17482" t="s">
        <v>322</v>
      </c>
      <c r="F17482" t="s">
        <v>5</v>
      </c>
      <c r="G17482" t="str">
        <f>""</f>
        <v/>
      </c>
    </row>
    <row r="17483" spans="1:7" x14ac:dyDescent="0.25">
      <c r="A17483" t="s">
        <v>8</v>
      </c>
      <c r="B17483" s="1" t="str">
        <f>"S5D01EP0"</f>
        <v>S5D01EP0</v>
      </c>
      <c r="C17483" t="s">
        <v>5796</v>
      </c>
      <c r="D17483" s="1" t="str">
        <f t="shared" si="475"/>
        <v>PRG-1045677</v>
      </c>
      <c r="E17483" t="s">
        <v>322</v>
      </c>
      <c r="F17483" t="s">
        <v>5</v>
      </c>
      <c r="G17483" t="str">
        <f>""</f>
        <v/>
      </c>
    </row>
    <row r="17484" spans="1:7" x14ac:dyDescent="0.25">
      <c r="A17484" t="s">
        <v>8</v>
      </c>
      <c r="B17484" s="1" t="str">
        <f>"S5D05KO0"</f>
        <v>S5D05KO0</v>
      </c>
      <c r="C17484" t="s">
        <v>5807</v>
      </c>
      <c r="D17484" s="1" t="str">
        <f t="shared" si="475"/>
        <v>PRG-1045677</v>
      </c>
      <c r="E17484" t="s">
        <v>322</v>
      </c>
      <c r="F17484" t="s">
        <v>5</v>
      </c>
      <c r="G17484" t="str">
        <f>""</f>
        <v/>
      </c>
    </row>
    <row r="17485" spans="1:7" x14ac:dyDescent="0.25">
      <c r="A17485" t="s">
        <v>8</v>
      </c>
      <c r="B17485" s="1" t="str">
        <f>"S5D05ST0"</f>
        <v>S5D05ST0</v>
      </c>
      <c r="C17485" t="s">
        <v>5809</v>
      </c>
      <c r="D17485" s="1" t="str">
        <f t="shared" si="475"/>
        <v>PRG-1045677</v>
      </c>
      <c r="E17485" t="s">
        <v>322</v>
      </c>
      <c r="F17485" t="s">
        <v>5</v>
      </c>
      <c r="G17485" t="str">
        <f>""</f>
        <v/>
      </c>
    </row>
    <row r="17486" spans="1:7" x14ac:dyDescent="0.25">
      <c r="A17486" t="s">
        <v>8</v>
      </c>
      <c r="B17486" s="1" t="str">
        <f>"S5D06NE0"</f>
        <v>S5D06NE0</v>
      </c>
      <c r="C17486" t="s">
        <v>5812</v>
      </c>
      <c r="D17486" s="1" t="str">
        <f t="shared" si="475"/>
        <v>PRG-1045677</v>
      </c>
      <c r="E17486" t="s">
        <v>322</v>
      </c>
      <c r="F17486" t="s">
        <v>5</v>
      </c>
      <c r="G17486" t="str">
        <f>""</f>
        <v/>
      </c>
    </row>
    <row r="17487" spans="1:7" x14ac:dyDescent="0.25">
      <c r="A17487" t="s">
        <v>8</v>
      </c>
      <c r="B17487" s="1" t="str">
        <f>"S5D07B80"</f>
        <v>S5D07B80</v>
      </c>
      <c r="C17487" t="s">
        <v>5821</v>
      </c>
      <c r="D17487" s="1" t="str">
        <f t="shared" si="475"/>
        <v>PRG-1045677</v>
      </c>
      <c r="E17487" t="s">
        <v>322</v>
      </c>
      <c r="F17487" t="s">
        <v>5</v>
      </c>
      <c r="G17487" t="str">
        <f>""</f>
        <v/>
      </c>
    </row>
    <row r="17488" spans="1:7" x14ac:dyDescent="0.25">
      <c r="A17488" t="s">
        <v>8</v>
      </c>
      <c r="B17488" s="1" t="str">
        <f>"S5I03HZ0"</f>
        <v>S5I03HZ0</v>
      </c>
      <c r="C17488" t="s">
        <v>5906</v>
      </c>
      <c r="D17488" s="1" t="str">
        <f t="shared" si="475"/>
        <v>PRG-1045677</v>
      </c>
      <c r="E17488" t="s">
        <v>322</v>
      </c>
      <c r="F17488" t="s">
        <v>5</v>
      </c>
      <c r="G17488" t="str">
        <f>""</f>
        <v/>
      </c>
    </row>
    <row r="17489" spans="1:7" x14ac:dyDescent="0.25">
      <c r="A17489" t="s">
        <v>8</v>
      </c>
      <c r="B17489" s="1" t="str">
        <f>"S6B02BH0"</f>
        <v>S6B02BH0</v>
      </c>
      <c r="C17489" t="s">
        <v>5996</v>
      </c>
      <c r="D17489" s="1" t="str">
        <f t="shared" si="475"/>
        <v>PRG-1045677</v>
      </c>
      <c r="E17489" t="s">
        <v>322</v>
      </c>
      <c r="F17489" t="s">
        <v>5</v>
      </c>
      <c r="G17489" t="str">
        <f>""</f>
        <v/>
      </c>
    </row>
    <row r="17490" spans="1:7" x14ac:dyDescent="0.25">
      <c r="A17490" t="s">
        <v>8</v>
      </c>
      <c r="B17490" s="1" t="str">
        <f>"S6B02PP0"</f>
        <v>S6B02PP0</v>
      </c>
      <c r="C17490" t="s">
        <v>5999</v>
      </c>
      <c r="D17490" s="1" t="str">
        <f t="shared" si="475"/>
        <v>PRG-1045677</v>
      </c>
      <c r="E17490" t="s">
        <v>322</v>
      </c>
      <c r="F17490" t="s">
        <v>5</v>
      </c>
      <c r="G17490" t="str">
        <f>""</f>
        <v/>
      </c>
    </row>
    <row r="17491" spans="1:7" x14ac:dyDescent="0.25">
      <c r="A17491" t="s">
        <v>8</v>
      </c>
      <c r="B17491" s="1" t="str">
        <f>"S6G00GR0"</f>
        <v>S6G00GR0</v>
      </c>
      <c r="C17491" t="s">
        <v>6068</v>
      </c>
      <c r="D17491" s="1" t="str">
        <f t="shared" si="475"/>
        <v>PRG-1045677</v>
      </c>
      <c r="E17491" t="s">
        <v>322</v>
      </c>
      <c r="F17491" t="s">
        <v>5</v>
      </c>
      <c r="G17491" t="str">
        <f>""</f>
        <v/>
      </c>
    </row>
    <row r="17492" spans="1:7" x14ac:dyDescent="0.25">
      <c r="A17492" t="s">
        <v>8</v>
      </c>
      <c r="B17492" s="1" t="str">
        <f>"S6I02T40"</f>
        <v>S6I02T40</v>
      </c>
      <c r="C17492" t="s">
        <v>6101</v>
      </c>
      <c r="D17492" s="1" t="str">
        <f t="shared" si="475"/>
        <v>PRG-1045677</v>
      </c>
      <c r="E17492" t="s">
        <v>322</v>
      </c>
      <c r="F17492" t="s">
        <v>5</v>
      </c>
      <c r="G17492" t="str">
        <f>""</f>
        <v/>
      </c>
    </row>
    <row r="17493" spans="1:7" x14ac:dyDescent="0.25">
      <c r="A17493" t="s">
        <v>8</v>
      </c>
      <c r="B17493" s="1" t="str">
        <f>"S6I03LX0"</f>
        <v>S6I03LX0</v>
      </c>
      <c r="C17493" t="s">
        <v>6103</v>
      </c>
      <c r="D17493" s="1" t="str">
        <f t="shared" si="475"/>
        <v>PRG-1045677</v>
      </c>
      <c r="E17493" t="s">
        <v>322</v>
      </c>
      <c r="F17493" t="s">
        <v>5</v>
      </c>
      <c r="G17493" t="str">
        <f>""</f>
        <v/>
      </c>
    </row>
    <row r="17494" spans="1:7" x14ac:dyDescent="0.25">
      <c r="A17494" t="s">
        <v>8</v>
      </c>
      <c r="B17494" s="1" t="str">
        <f>"S6J06XK0"</f>
        <v>S6J06XK0</v>
      </c>
      <c r="C17494" t="s">
        <v>6171</v>
      </c>
      <c r="D17494" s="1" t="str">
        <f t="shared" si="475"/>
        <v>PRG-1045677</v>
      </c>
      <c r="E17494" t="s">
        <v>322</v>
      </c>
      <c r="F17494" t="s">
        <v>5</v>
      </c>
      <c r="G17494" t="str">
        <f>""</f>
        <v/>
      </c>
    </row>
    <row r="17495" spans="1:7" x14ac:dyDescent="0.25">
      <c r="A17495" t="s">
        <v>8</v>
      </c>
      <c r="B17495" s="1" t="str">
        <f>"S6J07CE0"</f>
        <v>S6J07CE0</v>
      </c>
      <c r="C17495" t="s">
        <v>6173</v>
      </c>
      <c r="D17495" s="1" t="str">
        <f t="shared" si="475"/>
        <v>PRG-1045677</v>
      </c>
      <c r="E17495" t="s">
        <v>322</v>
      </c>
      <c r="F17495" t="s">
        <v>5</v>
      </c>
      <c r="G17495" t="str">
        <f>""</f>
        <v/>
      </c>
    </row>
    <row r="17496" spans="1:7" x14ac:dyDescent="0.25">
      <c r="A17496" t="s">
        <v>8</v>
      </c>
      <c r="B17496" s="1" t="str">
        <f>"S6J0A570"</f>
        <v>S6J0A570</v>
      </c>
      <c r="C17496" t="s">
        <v>6183</v>
      </c>
      <c r="D17496" s="1" t="str">
        <f t="shared" si="475"/>
        <v>PRG-1045677</v>
      </c>
      <c r="E17496" t="s">
        <v>322</v>
      </c>
      <c r="F17496" t="s">
        <v>5</v>
      </c>
      <c r="G17496" t="str">
        <f>""</f>
        <v/>
      </c>
    </row>
    <row r="17497" spans="1:7" x14ac:dyDescent="0.25">
      <c r="A17497" t="s">
        <v>8</v>
      </c>
      <c r="B17497" s="1" t="str">
        <f>"S6J0AX50"</f>
        <v>S6J0AX50</v>
      </c>
      <c r="C17497" t="s">
        <v>6185</v>
      </c>
      <c r="D17497" s="1" t="str">
        <f t="shared" si="475"/>
        <v>PRG-1045677</v>
      </c>
      <c r="E17497" t="s">
        <v>322</v>
      </c>
      <c r="F17497" t="s">
        <v>5</v>
      </c>
      <c r="G17497" t="str">
        <f>""</f>
        <v/>
      </c>
    </row>
    <row r="17498" spans="1:7" x14ac:dyDescent="0.25">
      <c r="A17498" t="s">
        <v>8</v>
      </c>
      <c r="B17498" s="1" t="str">
        <f>"S6J0BV80"</f>
        <v>S6J0BV80</v>
      </c>
      <c r="C17498" t="s">
        <v>6186</v>
      </c>
      <c r="D17498" s="1" t="str">
        <f t="shared" si="475"/>
        <v>PRG-1045677</v>
      </c>
      <c r="E17498" t="s">
        <v>322</v>
      </c>
      <c r="F17498" t="s">
        <v>5</v>
      </c>
      <c r="G17498" t="str">
        <f>""</f>
        <v/>
      </c>
    </row>
    <row r="17499" spans="1:7" x14ac:dyDescent="0.25">
      <c r="A17499" t="s">
        <v>8</v>
      </c>
      <c r="B17499" s="1" t="str">
        <f>"S6J0CUD0"</f>
        <v>S6J0CUD0</v>
      </c>
      <c r="C17499" t="s">
        <v>6189</v>
      </c>
      <c r="D17499" s="1" t="str">
        <f t="shared" si="475"/>
        <v>PRG-1045677</v>
      </c>
      <c r="E17499" t="s">
        <v>322</v>
      </c>
      <c r="F17499" t="s">
        <v>5</v>
      </c>
      <c r="G17499" t="str">
        <f>""</f>
        <v/>
      </c>
    </row>
    <row r="17500" spans="1:7" x14ac:dyDescent="0.25">
      <c r="A17500" t="s">
        <v>8</v>
      </c>
      <c r="B17500" s="1" t="str">
        <f>"S6J0EG70"</f>
        <v>S6J0EG70</v>
      </c>
      <c r="C17500" t="s">
        <v>6191</v>
      </c>
      <c r="D17500" s="1" t="str">
        <f t="shared" si="475"/>
        <v>PRG-1045677</v>
      </c>
      <c r="E17500" t="s">
        <v>322</v>
      </c>
      <c r="F17500" t="s">
        <v>5</v>
      </c>
      <c r="G17500" t="str">
        <f>""</f>
        <v/>
      </c>
    </row>
    <row r="17501" spans="1:7" x14ac:dyDescent="0.25">
      <c r="A17501" t="s">
        <v>8</v>
      </c>
      <c r="B17501" s="1" t="str">
        <f>"S6J0EPB0"</f>
        <v>S6J0EPB0</v>
      </c>
      <c r="C17501" t="s">
        <v>6192</v>
      </c>
      <c r="D17501" s="1" t="str">
        <f t="shared" si="475"/>
        <v>PRG-1045677</v>
      </c>
      <c r="E17501" t="s">
        <v>322</v>
      </c>
      <c r="F17501" t="s">
        <v>5</v>
      </c>
      <c r="G17501" t="str">
        <f>""</f>
        <v/>
      </c>
    </row>
    <row r="17502" spans="1:7" x14ac:dyDescent="0.25">
      <c r="A17502" t="s">
        <v>8</v>
      </c>
      <c r="B17502" s="1" t="str">
        <f>"S9D01UQ0"</f>
        <v>S9D01UQ0</v>
      </c>
      <c r="C17502" t="s">
        <v>6368</v>
      </c>
      <c r="D17502" s="1" t="str">
        <f t="shared" si="475"/>
        <v>PRG-1045677</v>
      </c>
      <c r="E17502" t="s">
        <v>322</v>
      </c>
      <c r="F17502" t="s">
        <v>5</v>
      </c>
      <c r="G17502" t="str">
        <f>""</f>
        <v/>
      </c>
    </row>
    <row r="17503" spans="1:7" x14ac:dyDescent="0.25">
      <c r="A17503" t="s">
        <v>8</v>
      </c>
      <c r="B17503" s="1" t="str">
        <f>"000315316 - RICH-$OFF-FATZ CAFE"</f>
        <v>000315316 - RICH-$OFF-FATZ CAFE</v>
      </c>
      <c r="C17503" t="s">
        <v>3169</v>
      </c>
      <c r="D17503" s="1" t="str">
        <f>"PRG-1045683"</f>
        <v>PRG-1045683</v>
      </c>
      <c r="E17503" t="s">
        <v>1073</v>
      </c>
      <c r="F17503" t="s">
        <v>4</v>
      </c>
      <c r="G17503" t="str">
        <f>""</f>
        <v/>
      </c>
    </row>
    <row r="17504" spans="1:7" x14ac:dyDescent="0.25">
      <c r="A17504" t="s">
        <v>8</v>
      </c>
      <c r="B17504" s="1" t="str">
        <f>"000023355 - RICH FOODS-TOP GOLF"</f>
        <v>000023355 - RICH FOODS-TOP GOLF</v>
      </c>
      <c r="C17504" t="s">
        <v>203</v>
      </c>
      <c r="D17504" s="1" t="str">
        <f t="shared" ref="D17504:D17535" si="476">"PRG-1045711"</f>
        <v>PRG-1045711</v>
      </c>
      <c r="E17504" t="s">
        <v>204</v>
      </c>
      <c r="F17504" t="s">
        <v>4</v>
      </c>
      <c r="G17504" t="str">
        <f>""</f>
        <v/>
      </c>
    </row>
    <row r="17505" spans="1:7" x14ac:dyDescent="0.25">
      <c r="A17505" t="s">
        <v>8</v>
      </c>
      <c r="B17505" s="1" t="str">
        <f>"000023895 - RICH FOODS-TOP GOLF"</f>
        <v>000023895 - RICH FOODS-TOP GOLF</v>
      </c>
      <c r="C17505" t="s">
        <v>203</v>
      </c>
      <c r="D17505" s="1" t="str">
        <f t="shared" si="476"/>
        <v>PRG-1045711</v>
      </c>
      <c r="E17505" t="s">
        <v>204</v>
      </c>
      <c r="F17505" t="s">
        <v>4</v>
      </c>
      <c r="G17505" t="str">
        <f>""</f>
        <v/>
      </c>
    </row>
    <row r="17506" spans="1:7" x14ac:dyDescent="0.25">
      <c r="A17506" t="s">
        <v>8</v>
      </c>
      <c r="B17506" s="1" t="str">
        <f>"000030985 - RICH FOODS-TOP GOLF"</f>
        <v>000030985 - RICH FOODS-TOP GOLF</v>
      </c>
      <c r="C17506" t="s">
        <v>203</v>
      </c>
      <c r="D17506" s="1" t="str">
        <f t="shared" si="476"/>
        <v>PRG-1045711</v>
      </c>
      <c r="E17506" t="s">
        <v>204</v>
      </c>
      <c r="F17506" t="s">
        <v>4</v>
      </c>
      <c r="G17506" t="str">
        <f>""</f>
        <v/>
      </c>
    </row>
    <row r="17507" spans="1:7" x14ac:dyDescent="0.25">
      <c r="A17507" t="s">
        <v>8</v>
      </c>
      <c r="B17507" s="1" t="str">
        <f>"000031559 - RICH FOODS-TOP GOLF"</f>
        <v>000031559 - RICH FOODS-TOP GOLF</v>
      </c>
      <c r="C17507" t="s">
        <v>203</v>
      </c>
      <c r="D17507" s="1" t="str">
        <f t="shared" si="476"/>
        <v>PRG-1045711</v>
      </c>
      <c r="E17507" t="s">
        <v>204</v>
      </c>
      <c r="F17507" t="s">
        <v>4</v>
      </c>
      <c r="G17507" t="str">
        <f>""</f>
        <v/>
      </c>
    </row>
    <row r="17508" spans="1:7" x14ac:dyDescent="0.25">
      <c r="A17508" t="s">
        <v>8</v>
      </c>
      <c r="B17508" s="1" t="str">
        <f>"000033121 - RICH FOODS-TOP GOLF"</f>
        <v>000033121 - RICH FOODS-TOP GOLF</v>
      </c>
      <c r="C17508" t="s">
        <v>203</v>
      </c>
      <c r="D17508" s="1" t="str">
        <f t="shared" si="476"/>
        <v>PRG-1045711</v>
      </c>
      <c r="E17508" t="s">
        <v>204</v>
      </c>
      <c r="F17508" t="s">
        <v>4</v>
      </c>
      <c r="G17508" t="str">
        <f>""</f>
        <v/>
      </c>
    </row>
    <row r="17509" spans="1:7" x14ac:dyDescent="0.25">
      <c r="A17509" t="s">
        <v>8</v>
      </c>
      <c r="B17509" s="1" t="str">
        <f>"000038647 - RICH FOODS-TOP GOLF"</f>
        <v>000038647 - RICH FOODS-TOP GOLF</v>
      </c>
      <c r="C17509" t="s">
        <v>203</v>
      </c>
      <c r="D17509" s="1" t="str">
        <f t="shared" si="476"/>
        <v>PRG-1045711</v>
      </c>
      <c r="E17509" t="s">
        <v>204</v>
      </c>
      <c r="F17509" t="s">
        <v>4</v>
      </c>
      <c r="G17509" t="str">
        <f>""</f>
        <v/>
      </c>
    </row>
    <row r="17510" spans="1:7" x14ac:dyDescent="0.25">
      <c r="A17510" t="s">
        <v>8</v>
      </c>
      <c r="B17510" s="1" t="str">
        <f>"000039333 - RICH FOODS-TOP GOLF"</f>
        <v>000039333 - RICH FOODS-TOP GOLF</v>
      </c>
      <c r="C17510" t="s">
        <v>203</v>
      </c>
      <c r="D17510" s="1" t="str">
        <f t="shared" si="476"/>
        <v>PRG-1045711</v>
      </c>
      <c r="E17510" t="s">
        <v>204</v>
      </c>
      <c r="F17510" t="s">
        <v>4</v>
      </c>
      <c r="G17510" t="str">
        <f>""</f>
        <v/>
      </c>
    </row>
    <row r="17511" spans="1:7" x14ac:dyDescent="0.25">
      <c r="A17511" t="s">
        <v>8</v>
      </c>
      <c r="B17511" s="1" t="str">
        <f>"000039805 - RICH FOODS-TOP GOLF"</f>
        <v>000039805 - RICH FOODS-TOP GOLF</v>
      </c>
      <c r="C17511" t="s">
        <v>203</v>
      </c>
      <c r="D17511" s="1" t="str">
        <f t="shared" si="476"/>
        <v>PRG-1045711</v>
      </c>
      <c r="E17511" t="s">
        <v>204</v>
      </c>
      <c r="F17511" t="s">
        <v>4</v>
      </c>
      <c r="G17511" t="str">
        <f>""</f>
        <v/>
      </c>
    </row>
    <row r="17512" spans="1:7" x14ac:dyDescent="0.25">
      <c r="A17512" t="s">
        <v>8</v>
      </c>
      <c r="B17512" s="1" t="str">
        <f>"000041513 - RICH FOODS-TOP GOLF"</f>
        <v>000041513 - RICH FOODS-TOP GOLF</v>
      </c>
      <c r="C17512" t="s">
        <v>203</v>
      </c>
      <c r="D17512" s="1" t="str">
        <f t="shared" si="476"/>
        <v>PRG-1045711</v>
      </c>
      <c r="E17512" t="s">
        <v>204</v>
      </c>
      <c r="F17512" t="s">
        <v>4</v>
      </c>
      <c r="G17512" t="str">
        <f>""</f>
        <v/>
      </c>
    </row>
    <row r="17513" spans="1:7" x14ac:dyDescent="0.25">
      <c r="A17513" t="s">
        <v>8</v>
      </c>
      <c r="B17513" s="1" t="str">
        <f>"000043307 - RICH FOODS-TOP GOLF"</f>
        <v>000043307 - RICH FOODS-TOP GOLF</v>
      </c>
      <c r="C17513" t="s">
        <v>203</v>
      </c>
      <c r="D17513" s="1" t="str">
        <f t="shared" si="476"/>
        <v>PRG-1045711</v>
      </c>
      <c r="E17513" t="s">
        <v>204</v>
      </c>
      <c r="F17513" t="s">
        <v>4</v>
      </c>
      <c r="G17513" t="str">
        <f>""</f>
        <v/>
      </c>
    </row>
    <row r="17514" spans="1:7" x14ac:dyDescent="0.25">
      <c r="A17514" t="s">
        <v>8</v>
      </c>
      <c r="B17514" s="1" t="str">
        <f>"000043868 - RICH FOODS-TOP GOLF"</f>
        <v>000043868 - RICH FOODS-TOP GOLF</v>
      </c>
      <c r="C17514" t="s">
        <v>203</v>
      </c>
      <c r="D17514" s="1" t="str">
        <f t="shared" si="476"/>
        <v>PRG-1045711</v>
      </c>
      <c r="E17514" t="s">
        <v>204</v>
      </c>
      <c r="F17514" t="s">
        <v>4</v>
      </c>
      <c r="G17514" t="str">
        <f>""</f>
        <v/>
      </c>
    </row>
    <row r="17515" spans="1:7" x14ac:dyDescent="0.25">
      <c r="A17515" t="s">
        <v>8</v>
      </c>
      <c r="B17515" s="1" t="str">
        <f>"000050839 - RICH FOODS-TOP GOLF"</f>
        <v>000050839 - RICH FOODS-TOP GOLF</v>
      </c>
      <c r="C17515" t="s">
        <v>203</v>
      </c>
      <c r="D17515" s="1" t="str">
        <f t="shared" si="476"/>
        <v>PRG-1045711</v>
      </c>
      <c r="E17515" t="s">
        <v>204</v>
      </c>
      <c r="F17515" t="s">
        <v>4</v>
      </c>
      <c r="G17515" t="str">
        <f>""</f>
        <v/>
      </c>
    </row>
    <row r="17516" spans="1:7" x14ac:dyDescent="0.25">
      <c r="A17516" t="s">
        <v>8</v>
      </c>
      <c r="B17516" s="1" t="str">
        <f>"000053842 - RICH FOODS-TOP GOLF"</f>
        <v>000053842 - RICH FOODS-TOP GOLF</v>
      </c>
      <c r="C17516" t="s">
        <v>203</v>
      </c>
      <c r="D17516" s="1" t="str">
        <f t="shared" si="476"/>
        <v>PRG-1045711</v>
      </c>
      <c r="E17516" t="s">
        <v>204</v>
      </c>
      <c r="F17516" t="s">
        <v>4</v>
      </c>
      <c r="G17516" t="str">
        <f>""</f>
        <v/>
      </c>
    </row>
    <row r="17517" spans="1:7" x14ac:dyDescent="0.25">
      <c r="A17517" t="s">
        <v>8</v>
      </c>
      <c r="B17517" s="1" t="str">
        <f>"000055411 - RICH FOODS-TOP GOLF"</f>
        <v>000055411 - RICH FOODS-TOP GOLF</v>
      </c>
      <c r="C17517" t="s">
        <v>203</v>
      </c>
      <c r="D17517" s="1" t="str">
        <f t="shared" si="476"/>
        <v>PRG-1045711</v>
      </c>
      <c r="E17517" t="s">
        <v>204</v>
      </c>
      <c r="F17517" t="s">
        <v>4</v>
      </c>
      <c r="G17517" t="str">
        <f>""</f>
        <v/>
      </c>
    </row>
    <row r="17518" spans="1:7" x14ac:dyDescent="0.25">
      <c r="A17518" t="s">
        <v>8</v>
      </c>
      <c r="B17518" s="1" t="str">
        <f>"000255181 - RICH FOODS-TOP GOLF"</f>
        <v>000255181 - RICH FOODS-TOP GOLF</v>
      </c>
      <c r="C17518" t="s">
        <v>203</v>
      </c>
      <c r="D17518" s="1" t="str">
        <f t="shared" si="476"/>
        <v>PRG-1045711</v>
      </c>
      <c r="E17518" t="s">
        <v>204</v>
      </c>
      <c r="F17518" t="s">
        <v>4</v>
      </c>
      <c r="G17518" t="str">
        <f>""</f>
        <v/>
      </c>
    </row>
    <row r="17519" spans="1:7" x14ac:dyDescent="0.25">
      <c r="A17519" t="s">
        <v>8</v>
      </c>
      <c r="B17519" s="1" t="str">
        <f>"000255655 - RICH FOODS-TOP GOLF"</f>
        <v>000255655 - RICH FOODS-TOP GOLF</v>
      </c>
      <c r="C17519" t="s">
        <v>203</v>
      </c>
      <c r="D17519" s="1" t="str">
        <f t="shared" si="476"/>
        <v>PRG-1045711</v>
      </c>
      <c r="E17519" t="s">
        <v>204</v>
      </c>
      <c r="F17519" t="s">
        <v>4</v>
      </c>
      <c r="G17519" t="str">
        <f>""</f>
        <v/>
      </c>
    </row>
    <row r="17520" spans="1:7" x14ac:dyDescent="0.25">
      <c r="A17520" t="s">
        <v>8</v>
      </c>
      <c r="B17520" s="1" t="str">
        <f>"000263337 - RICH FOODS-TOP GOLF"</f>
        <v>000263337 - RICH FOODS-TOP GOLF</v>
      </c>
      <c r="C17520" t="s">
        <v>203</v>
      </c>
      <c r="D17520" s="1" t="str">
        <f t="shared" si="476"/>
        <v>PRG-1045711</v>
      </c>
      <c r="E17520" t="s">
        <v>204</v>
      </c>
      <c r="F17520" t="s">
        <v>4</v>
      </c>
      <c r="G17520" t="str">
        <f>""</f>
        <v/>
      </c>
    </row>
    <row r="17521" spans="1:7" x14ac:dyDescent="0.25">
      <c r="A17521" t="s">
        <v>8</v>
      </c>
      <c r="B17521" s="1" t="str">
        <f>"000266995 - RICH FOODS-TOP GOLF"</f>
        <v>000266995 - RICH FOODS-TOP GOLF</v>
      </c>
      <c r="C17521" t="s">
        <v>203</v>
      </c>
      <c r="D17521" s="1" t="str">
        <f t="shared" si="476"/>
        <v>PRG-1045711</v>
      </c>
      <c r="E17521" t="s">
        <v>204</v>
      </c>
      <c r="F17521" t="s">
        <v>4</v>
      </c>
      <c r="G17521" t="str">
        <f>""</f>
        <v/>
      </c>
    </row>
    <row r="17522" spans="1:7" x14ac:dyDescent="0.25">
      <c r="A17522" t="s">
        <v>8</v>
      </c>
      <c r="B17522" s="1" t="str">
        <f>"000269235 - RICH FOODS-TOP GOLF"</f>
        <v>000269235 - RICH FOODS-TOP GOLF</v>
      </c>
      <c r="C17522" t="s">
        <v>203</v>
      </c>
      <c r="D17522" s="1" t="str">
        <f t="shared" si="476"/>
        <v>PRG-1045711</v>
      </c>
      <c r="E17522" t="s">
        <v>204</v>
      </c>
      <c r="F17522" t="s">
        <v>4</v>
      </c>
      <c r="G17522" t="str">
        <f>""</f>
        <v/>
      </c>
    </row>
    <row r="17523" spans="1:7" x14ac:dyDescent="0.25">
      <c r="A17523" t="s">
        <v>8</v>
      </c>
      <c r="B17523" s="1" t="str">
        <f>"000274777 - RICH FOODS-TOP GOLF"</f>
        <v>000274777 - RICH FOODS-TOP GOLF</v>
      </c>
      <c r="C17523" t="s">
        <v>203</v>
      </c>
      <c r="D17523" s="1" t="str">
        <f t="shared" si="476"/>
        <v>PRG-1045711</v>
      </c>
      <c r="E17523" t="s">
        <v>204</v>
      </c>
      <c r="F17523" t="s">
        <v>4</v>
      </c>
      <c r="G17523" t="str">
        <f>""</f>
        <v/>
      </c>
    </row>
    <row r="17524" spans="1:7" x14ac:dyDescent="0.25">
      <c r="A17524" t="s">
        <v>8</v>
      </c>
      <c r="B17524" s="1" t="str">
        <f>"000275448 - RICH FOODS-TOP GOLF"</f>
        <v>000275448 - RICH FOODS-TOP GOLF</v>
      </c>
      <c r="C17524" t="s">
        <v>203</v>
      </c>
      <c r="D17524" s="1" t="str">
        <f t="shared" si="476"/>
        <v>PRG-1045711</v>
      </c>
      <c r="E17524" t="s">
        <v>204</v>
      </c>
      <c r="F17524" t="s">
        <v>4</v>
      </c>
      <c r="G17524" t="str">
        <f>""</f>
        <v/>
      </c>
    </row>
    <row r="17525" spans="1:7" x14ac:dyDescent="0.25">
      <c r="A17525" t="s">
        <v>8</v>
      </c>
      <c r="B17525" s="1" t="str">
        <f>"000275983 - RICH FOODS-TOP GOLF"</f>
        <v>000275983 - RICH FOODS-TOP GOLF</v>
      </c>
      <c r="C17525" t="s">
        <v>203</v>
      </c>
      <c r="D17525" s="1" t="str">
        <f t="shared" si="476"/>
        <v>PRG-1045711</v>
      </c>
      <c r="E17525" t="s">
        <v>204</v>
      </c>
      <c r="F17525" t="s">
        <v>4</v>
      </c>
      <c r="G17525" t="str">
        <f>""</f>
        <v/>
      </c>
    </row>
    <row r="17526" spans="1:7" x14ac:dyDescent="0.25">
      <c r="A17526" t="s">
        <v>8</v>
      </c>
      <c r="B17526" s="1" t="str">
        <f>"000279141 - RICH FOODS-TOP GOLF"</f>
        <v>000279141 - RICH FOODS-TOP GOLF</v>
      </c>
      <c r="C17526" t="s">
        <v>203</v>
      </c>
      <c r="D17526" s="1" t="str">
        <f t="shared" si="476"/>
        <v>PRG-1045711</v>
      </c>
      <c r="E17526" t="s">
        <v>204</v>
      </c>
      <c r="F17526" t="s">
        <v>4</v>
      </c>
      <c r="G17526" t="str">
        <f>""</f>
        <v/>
      </c>
    </row>
    <row r="17527" spans="1:7" x14ac:dyDescent="0.25">
      <c r="A17527" t="s">
        <v>8</v>
      </c>
      <c r="B17527" s="1" t="str">
        <f>"000280137 - RICH FOODS-TOP GOLF"</f>
        <v>000280137 - RICH FOODS-TOP GOLF</v>
      </c>
      <c r="C17527" t="s">
        <v>203</v>
      </c>
      <c r="D17527" s="1" t="str">
        <f t="shared" si="476"/>
        <v>PRG-1045711</v>
      </c>
      <c r="E17527" t="s">
        <v>204</v>
      </c>
      <c r="F17527" t="s">
        <v>4</v>
      </c>
      <c r="G17527" t="str">
        <f>""</f>
        <v/>
      </c>
    </row>
    <row r="17528" spans="1:7" x14ac:dyDescent="0.25">
      <c r="A17528" t="s">
        <v>8</v>
      </c>
      <c r="B17528" s="1" t="str">
        <f>"000280151 - RICH FOODS-TOP GOLF"</f>
        <v>000280151 - RICH FOODS-TOP GOLF</v>
      </c>
      <c r="C17528" t="s">
        <v>203</v>
      </c>
      <c r="D17528" s="1" t="str">
        <f t="shared" si="476"/>
        <v>PRG-1045711</v>
      </c>
      <c r="E17528" t="s">
        <v>204</v>
      </c>
      <c r="F17528" t="s">
        <v>4</v>
      </c>
      <c r="G17528" t="str">
        <f>""</f>
        <v/>
      </c>
    </row>
    <row r="17529" spans="1:7" x14ac:dyDescent="0.25">
      <c r="A17529" t="s">
        <v>8</v>
      </c>
      <c r="B17529" s="1" t="str">
        <f>"000285405 - RICH FOODS-TOP GOLF"</f>
        <v>000285405 - RICH FOODS-TOP GOLF</v>
      </c>
      <c r="C17529" t="s">
        <v>203</v>
      </c>
      <c r="D17529" s="1" t="str">
        <f t="shared" si="476"/>
        <v>PRG-1045711</v>
      </c>
      <c r="E17529" t="s">
        <v>204</v>
      </c>
      <c r="F17529" t="s">
        <v>4</v>
      </c>
      <c r="G17529" t="str">
        <f>""</f>
        <v/>
      </c>
    </row>
    <row r="17530" spans="1:7" x14ac:dyDescent="0.25">
      <c r="A17530" t="s">
        <v>8</v>
      </c>
      <c r="B17530" s="1" t="str">
        <f>"000285515 - RICH FOODS-TOP GOLF"</f>
        <v>000285515 - RICH FOODS-TOP GOLF</v>
      </c>
      <c r="C17530" t="s">
        <v>203</v>
      </c>
      <c r="D17530" s="1" t="str">
        <f t="shared" si="476"/>
        <v>PRG-1045711</v>
      </c>
      <c r="E17530" t="s">
        <v>204</v>
      </c>
      <c r="F17530" t="s">
        <v>4</v>
      </c>
      <c r="G17530" t="str">
        <f>""</f>
        <v/>
      </c>
    </row>
    <row r="17531" spans="1:7" x14ac:dyDescent="0.25">
      <c r="A17531" t="s">
        <v>8</v>
      </c>
      <c r="B17531" s="1" t="str">
        <f>"000288800 - RICH FOODS-TOP GOLF"</f>
        <v>000288800 - RICH FOODS-TOP GOLF</v>
      </c>
      <c r="C17531" t="s">
        <v>203</v>
      </c>
      <c r="D17531" s="1" t="str">
        <f t="shared" si="476"/>
        <v>PRG-1045711</v>
      </c>
      <c r="E17531" t="s">
        <v>204</v>
      </c>
      <c r="F17531" t="s">
        <v>4</v>
      </c>
      <c r="G17531" t="str">
        <f>""</f>
        <v/>
      </c>
    </row>
    <row r="17532" spans="1:7" x14ac:dyDescent="0.25">
      <c r="A17532" t="s">
        <v>8</v>
      </c>
      <c r="B17532" s="1" t="str">
        <f>"000290430 - RICH FOODS-TOP GOLF"</f>
        <v>000290430 - RICH FOODS-TOP GOLF</v>
      </c>
      <c r="C17532" t="s">
        <v>203</v>
      </c>
      <c r="D17532" s="1" t="str">
        <f t="shared" si="476"/>
        <v>PRG-1045711</v>
      </c>
      <c r="E17532" t="s">
        <v>204</v>
      </c>
      <c r="F17532" t="s">
        <v>4</v>
      </c>
      <c r="G17532" t="str">
        <f>""</f>
        <v/>
      </c>
    </row>
    <row r="17533" spans="1:7" x14ac:dyDescent="0.25">
      <c r="A17533" t="s">
        <v>8</v>
      </c>
      <c r="B17533" s="1" t="str">
        <f>"000291808 - RICH FOODS-TOP GOLF"</f>
        <v>000291808 - RICH FOODS-TOP GOLF</v>
      </c>
      <c r="C17533" t="s">
        <v>203</v>
      </c>
      <c r="D17533" s="1" t="str">
        <f t="shared" si="476"/>
        <v>PRG-1045711</v>
      </c>
      <c r="E17533" t="s">
        <v>204</v>
      </c>
      <c r="F17533" t="s">
        <v>4</v>
      </c>
      <c r="G17533" t="str">
        <f>""</f>
        <v/>
      </c>
    </row>
    <row r="17534" spans="1:7" x14ac:dyDescent="0.25">
      <c r="A17534" t="s">
        <v>8</v>
      </c>
      <c r="B17534" s="1" t="str">
        <f>"000295214 - RICH FOODS-TOP GOLF"</f>
        <v>000295214 - RICH FOODS-TOP GOLF</v>
      </c>
      <c r="C17534" t="s">
        <v>203</v>
      </c>
      <c r="D17534" s="1" t="str">
        <f t="shared" si="476"/>
        <v>PRG-1045711</v>
      </c>
      <c r="E17534" t="s">
        <v>204</v>
      </c>
      <c r="F17534" t="s">
        <v>4</v>
      </c>
      <c r="G17534" t="str">
        <f>""</f>
        <v/>
      </c>
    </row>
    <row r="17535" spans="1:7" x14ac:dyDescent="0.25">
      <c r="A17535" t="s">
        <v>8</v>
      </c>
      <c r="B17535" s="1" t="str">
        <f>"000301145 - RICH FOODS-TOP GOLF"</f>
        <v>000301145 - RICH FOODS-TOP GOLF</v>
      </c>
      <c r="C17535" t="s">
        <v>203</v>
      </c>
      <c r="D17535" s="1" t="str">
        <f t="shared" si="476"/>
        <v>PRG-1045711</v>
      </c>
      <c r="E17535" t="s">
        <v>204</v>
      </c>
      <c r="F17535" t="s">
        <v>4</v>
      </c>
      <c r="G17535" t="str">
        <f>""</f>
        <v/>
      </c>
    </row>
    <row r="17536" spans="1:7" x14ac:dyDescent="0.25">
      <c r="A17536" t="s">
        <v>8</v>
      </c>
      <c r="B17536" s="1" t="str">
        <f>"000303602 - RICH FOODS-TOP GOLF"</f>
        <v>000303602 - RICH FOODS-TOP GOLF</v>
      </c>
      <c r="C17536" t="s">
        <v>203</v>
      </c>
      <c r="D17536" s="1" t="str">
        <f t="shared" ref="D17536:D17567" si="477">"PRG-1045711"</f>
        <v>PRG-1045711</v>
      </c>
      <c r="E17536" t="s">
        <v>204</v>
      </c>
      <c r="F17536" t="s">
        <v>4</v>
      </c>
      <c r="G17536" t="str">
        <f>""</f>
        <v/>
      </c>
    </row>
    <row r="17537" spans="1:7" x14ac:dyDescent="0.25">
      <c r="A17537" t="s">
        <v>8</v>
      </c>
      <c r="B17537" s="1" t="str">
        <f>"000304058 - RICH FOODS-TOP GOLF"</f>
        <v>000304058 - RICH FOODS-TOP GOLF</v>
      </c>
      <c r="C17537" t="s">
        <v>203</v>
      </c>
      <c r="D17537" s="1" t="str">
        <f t="shared" si="477"/>
        <v>PRG-1045711</v>
      </c>
      <c r="E17537" t="s">
        <v>204</v>
      </c>
      <c r="F17537" t="s">
        <v>4</v>
      </c>
      <c r="G17537" t="str">
        <f>""</f>
        <v/>
      </c>
    </row>
    <row r="17538" spans="1:7" x14ac:dyDescent="0.25">
      <c r="A17538" t="s">
        <v>8</v>
      </c>
      <c r="B17538" s="1" t="str">
        <f>"000304319 - RICH FOODS-TOP GOLF"</f>
        <v>000304319 - RICH FOODS-TOP GOLF</v>
      </c>
      <c r="C17538" t="s">
        <v>203</v>
      </c>
      <c r="D17538" s="1" t="str">
        <f t="shared" si="477"/>
        <v>PRG-1045711</v>
      </c>
      <c r="E17538" t="s">
        <v>204</v>
      </c>
      <c r="F17538" t="s">
        <v>4</v>
      </c>
      <c r="G17538" t="str">
        <f>""</f>
        <v/>
      </c>
    </row>
    <row r="17539" spans="1:7" x14ac:dyDescent="0.25">
      <c r="A17539" t="s">
        <v>8</v>
      </c>
      <c r="B17539" s="1" t="str">
        <f>"000305393 - RICH FOODS-TOP GOLF"</f>
        <v>000305393 - RICH FOODS-TOP GOLF</v>
      </c>
      <c r="C17539" t="s">
        <v>203</v>
      </c>
      <c r="D17539" s="1" t="str">
        <f t="shared" si="477"/>
        <v>PRG-1045711</v>
      </c>
      <c r="E17539" t="s">
        <v>204</v>
      </c>
      <c r="F17539" t="s">
        <v>4</v>
      </c>
      <c r="G17539" t="str">
        <f>""</f>
        <v/>
      </c>
    </row>
    <row r="17540" spans="1:7" x14ac:dyDescent="0.25">
      <c r="A17540" t="s">
        <v>8</v>
      </c>
      <c r="B17540" s="1" t="str">
        <f>"000308272 - RICH FOODS-TOP GOLF"</f>
        <v>000308272 - RICH FOODS-TOP GOLF</v>
      </c>
      <c r="C17540" t="s">
        <v>203</v>
      </c>
      <c r="D17540" s="1" t="str">
        <f t="shared" si="477"/>
        <v>PRG-1045711</v>
      </c>
      <c r="E17540" t="s">
        <v>204</v>
      </c>
      <c r="F17540" t="s">
        <v>4</v>
      </c>
      <c r="G17540" t="str">
        <f>""</f>
        <v/>
      </c>
    </row>
    <row r="17541" spans="1:7" x14ac:dyDescent="0.25">
      <c r="A17541" t="s">
        <v>8</v>
      </c>
      <c r="B17541" s="1" t="str">
        <f>"000311337 - RICH-ALVA CITY DINER"</f>
        <v>000311337 - RICH-ALVA CITY DINER</v>
      </c>
      <c r="C17541" t="s">
        <v>2956</v>
      </c>
      <c r="D17541" s="1" t="str">
        <f t="shared" si="477"/>
        <v>PRG-1045711</v>
      </c>
      <c r="E17541" t="s">
        <v>204</v>
      </c>
      <c r="F17541" t="s">
        <v>4</v>
      </c>
      <c r="G17541" t="str">
        <f>""</f>
        <v/>
      </c>
    </row>
    <row r="17542" spans="1:7" x14ac:dyDescent="0.25">
      <c r="A17542" t="s">
        <v>8</v>
      </c>
      <c r="B17542" s="1" t="str">
        <f>"000315446 - RICH FOODS-TOP GOLF"</f>
        <v>000315446 - RICH FOODS-TOP GOLF</v>
      </c>
      <c r="C17542" t="s">
        <v>203</v>
      </c>
      <c r="D17542" s="1" t="str">
        <f t="shared" si="477"/>
        <v>PRG-1045711</v>
      </c>
      <c r="E17542" t="s">
        <v>204</v>
      </c>
      <c r="F17542" t="s">
        <v>4</v>
      </c>
      <c r="G17542" t="str">
        <f>""</f>
        <v/>
      </c>
    </row>
    <row r="17543" spans="1:7" x14ac:dyDescent="0.25">
      <c r="A17543" t="s">
        <v>8</v>
      </c>
      <c r="B17543" s="1" t="str">
        <f>"000316354 - RICH FOODS-TOP GOLF"</f>
        <v>000316354 - RICH FOODS-TOP GOLF</v>
      </c>
      <c r="C17543" t="s">
        <v>203</v>
      </c>
      <c r="D17543" s="1" t="str">
        <f t="shared" si="477"/>
        <v>PRG-1045711</v>
      </c>
      <c r="E17543" t="s">
        <v>204</v>
      </c>
      <c r="F17543" t="s">
        <v>4</v>
      </c>
      <c r="G17543" t="str">
        <f>""</f>
        <v/>
      </c>
    </row>
    <row r="17544" spans="1:7" x14ac:dyDescent="0.25">
      <c r="A17544" t="s">
        <v>8</v>
      </c>
      <c r="B17544" s="1" t="str">
        <f>"000318565 - RICH FOODS-TOP GOLF"</f>
        <v>000318565 - RICH FOODS-TOP GOLF</v>
      </c>
      <c r="C17544" t="s">
        <v>203</v>
      </c>
      <c r="D17544" s="1" t="str">
        <f t="shared" si="477"/>
        <v>PRG-1045711</v>
      </c>
      <c r="E17544" t="s">
        <v>204</v>
      </c>
      <c r="F17544" t="s">
        <v>4</v>
      </c>
      <c r="G17544" t="str">
        <f>""</f>
        <v/>
      </c>
    </row>
    <row r="17545" spans="1:7" x14ac:dyDescent="0.25">
      <c r="A17545" t="s">
        <v>8</v>
      </c>
      <c r="B17545" s="1" t="str">
        <f>"000322702 - RICH FOODS-TOP GOLF"</f>
        <v>000322702 - RICH FOODS-TOP GOLF</v>
      </c>
      <c r="C17545" t="s">
        <v>203</v>
      </c>
      <c r="D17545" s="1" t="str">
        <f t="shared" si="477"/>
        <v>PRG-1045711</v>
      </c>
      <c r="E17545" t="s">
        <v>204</v>
      </c>
      <c r="F17545" t="s">
        <v>4</v>
      </c>
      <c r="G17545" t="str">
        <f>""</f>
        <v/>
      </c>
    </row>
    <row r="17546" spans="1:7" x14ac:dyDescent="0.25">
      <c r="A17546" t="s">
        <v>8</v>
      </c>
      <c r="B17546" s="1" t="str">
        <f>"000324268 - RICH FOODS-TOP GOLF RETRO"</f>
        <v>000324268 - RICH FOODS-TOP GOLF RETRO</v>
      </c>
      <c r="C17546" t="s">
        <v>3282</v>
      </c>
      <c r="D17546" s="1" t="str">
        <f t="shared" si="477"/>
        <v>PRG-1045711</v>
      </c>
      <c r="E17546" t="s">
        <v>204</v>
      </c>
      <c r="F17546" t="s">
        <v>4</v>
      </c>
      <c r="G17546" t="str">
        <f>""</f>
        <v/>
      </c>
    </row>
    <row r="17547" spans="1:7" x14ac:dyDescent="0.25">
      <c r="A17547" t="s">
        <v>8</v>
      </c>
      <c r="B17547" s="1" t="str">
        <f>"000329473 - RICH FOODS-TOP GOLF"</f>
        <v>000329473 - RICH FOODS-TOP GOLF</v>
      </c>
      <c r="C17547" t="s">
        <v>203</v>
      </c>
      <c r="D17547" s="1" t="str">
        <f t="shared" si="477"/>
        <v>PRG-1045711</v>
      </c>
      <c r="E17547" t="s">
        <v>204</v>
      </c>
      <c r="F17547" t="s">
        <v>4</v>
      </c>
      <c r="G17547" t="str">
        <f>""</f>
        <v/>
      </c>
    </row>
    <row r="17548" spans="1:7" x14ac:dyDescent="0.25">
      <c r="A17548" t="s">
        <v>8</v>
      </c>
      <c r="B17548" s="1" t="str">
        <f>"000338633 - RICH FOODS-TOP GOLF"</f>
        <v>000338633 - RICH FOODS-TOP GOLF</v>
      </c>
      <c r="C17548" t="s">
        <v>203</v>
      </c>
      <c r="D17548" s="1" t="str">
        <f t="shared" si="477"/>
        <v>PRG-1045711</v>
      </c>
      <c r="E17548" t="s">
        <v>204</v>
      </c>
      <c r="F17548" t="s">
        <v>4</v>
      </c>
      <c r="G17548" t="str">
        <f>""</f>
        <v/>
      </c>
    </row>
    <row r="17549" spans="1:7" x14ac:dyDescent="0.25">
      <c r="A17549" t="s">
        <v>8</v>
      </c>
      <c r="B17549" s="1" t="str">
        <f>"000339513 - RICH FOODS-TOP GOLF"</f>
        <v>000339513 - RICH FOODS-TOP GOLF</v>
      </c>
      <c r="C17549" t="s">
        <v>203</v>
      </c>
      <c r="D17549" s="1" t="str">
        <f t="shared" si="477"/>
        <v>PRG-1045711</v>
      </c>
      <c r="E17549" t="s">
        <v>204</v>
      </c>
      <c r="F17549" t="s">
        <v>4</v>
      </c>
      <c r="G17549" t="str">
        <f>""</f>
        <v/>
      </c>
    </row>
    <row r="17550" spans="1:7" x14ac:dyDescent="0.25">
      <c r="A17550" t="s">
        <v>8</v>
      </c>
      <c r="B17550" s="1" t="str">
        <f>"000349972 - RICH FOODS-TOP GOLF"</f>
        <v>000349972 - RICH FOODS-TOP GOLF</v>
      </c>
      <c r="C17550" t="s">
        <v>203</v>
      </c>
      <c r="D17550" s="1" t="str">
        <f t="shared" si="477"/>
        <v>PRG-1045711</v>
      </c>
      <c r="E17550" t="s">
        <v>204</v>
      </c>
      <c r="F17550" t="s">
        <v>4</v>
      </c>
      <c r="G17550" t="str">
        <f>""</f>
        <v/>
      </c>
    </row>
    <row r="17551" spans="1:7" x14ac:dyDescent="0.25">
      <c r="A17551" t="s">
        <v>8</v>
      </c>
      <c r="B17551" s="1" t="str">
        <f>"000351108 - RICH FOODS-TOP GOLF"</f>
        <v>000351108 - RICH FOODS-TOP GOLF</v>
      </c>
      <c r="C17551" t="s">
        <v>203</v>
      </c>
      <c r="D17551" s="1" t="str">
        <f t="shared" si="477"/>
        <v>PRG-1045711</v>
      </c>
      <c r="E17551" t="s">
        <v>204</v>
      </c>
      <c r="F17551" t="s">
        <v>4</v>
      </c>
      <c r="G17551" t="str">
        <f>""</f>
        <v/>
      </c>
    </row>
    <row r="17552" spans="1:7" x14ac:dyDescent="0.25">
      <c r="A17552" t="s">
        <v>8</v>
      </c>
      <c r="B17552" s="1" t="str">
        <f>"000351711 - RICH FOODS-TOP GOLF"</f>
        <v>000351711 - RICH FOODS-TOP GOLF</v>
      </c>
      <c r="C17552" t="s">
        <v>203</v>
      </c>
      <c r="D17552" s="1" t="str">
        <f t="shared" si="477"/>
        <v>PRG-1045711</v>
      </c>
      <c r="E17552" t="s">
        <v>204</v>
      </c>
      <c r="F17552" t="s">
        <v>4</v>
      </c>
      <c r="G17552" t="str">
        <f>""</f>
        <v/>
      </c>
    </row>
    <row r="17553" spans="1:7" x14ac:dyDescent="0.25">
      <c r="A17553" t="s">
        <v>8</v>
      </c>
      <c r="B17553" s="1" t="str">
        <f>"000357670 - RICH FOODS-TOP GOLF"</f>
        <v>000357670 - RICH FOODS-TOP GOLF</v>
      </c>
      <c r="C17553" t="s">
        <v>203</v>
      </c>
      <c r="D17553" s="1" t="str">
        <f t="shared" si="477"/>
        <v>PRG-1045711</v>
      </c>
      <c r="E17553" t="s">
        <v>204</v>
      </c>
      <c r="F17553" t="s">
        <v>4</v>
      </c>
      <c r="G17553" t="str">
        <f>""</f>
        <v/>
      </c>
    </row>
    <row r="17554" spans="1:7" x14ac:dyDescent="0.25">
      <c r="A17554" t="s">
        <v>8</v>
      </c>
      <c r="B17554" s="1" t="str">
        <f>"000362350 - RICH FOODS-TOP GOLF"</f>
        <v>000362350 - RICH FOODS-TOP GOLF</v>
      </c>
      <c r="C17554" t="s">
        <v>203</v>
      </c>
      <c r="D17554" s="1" t="str">
        <f t="shared" si="477"/>
        <v>PRG-1045711</v>
      </c>
      <c r="E17554" t="s">
        <v>204</v>
      </c>
      <c r="F17554" t="s">
        <v>4</v>
      </c>
      <c r="G17554" t="str">
        <f>""</f>
        <v/>
      </c>
    </row>
    <row r="17555" spans="1:7" x14ac:dyDescent="0.25">
      <c r="A17555" t="s">
        <v>8</v>
      </c>
      <c r="B17555" s="1" t="str">
        <f>"000364817 - RICH FOODS-TOP GOLF"</f>
        <v>000364817 - RICH FOODS-TOP GOLF</v>
      </c>
      <c r="C17555" t="s">
        <v>203</v>
      </c>
      <c r="D17555" s="1" t="str">
        <f t="shared" si="477"/>
        <v>PRG-1045711</v>
      </c>
      <c r="E17555" t="s">
        <v>204</v>
      </c>
      <c r="F17555" t="s">
        <v>4</v>
      </c>
      <c r="G17555" t="str">
        <f>""</f>
        <v/>
      </c>
    </row>
    <row r="17556" spans="1:7" x14ac:dyDescent="0.25">
      <c r="A17556" t="s">
        <v>8</v>
      </c>
      <c r="B17556" s="1" t="str">
        <f>"000365485 - RICH FOODS-TOP GOLF"</f>
        <v>000365485 - RICH FOODS-TOP GOLF</v>
      </c>
      <c r="C17556" t="s">
        <v>203</v>
      </c>
      <c r="D17556" s="1" t="str">
        <f t="shared" si="477"/>
        <v>PRG-1045711</v>
      </c>
      <c r="E17556" t="s">
        <v>204</v>
      </c>
      <c r="F17556" t="s">
        <v>4</v>
      </c>
      <c r="G17556" t="str">
        <f>""</f>
        <v/>
      </c>
    </row>
    <row r="17557" spans="1:7" x14ac:dyDescent="0.25">
      <c r="A17557" t="s">
        <v>8</v>
      </c>
      <c r="B17557" s="1" t="str">
        <f>"000366672 - RICH FOODS-TOP GOLF"</f>
        <v>000366672 - RICH FOODS-TOP GOLF</v>
      </c>
      <c r="C17557" t="s">
        <v>203</v>
      </c>
      <c r="D17557" s="1" t="str">
        <f t="shared" si="477"/>
        <v>PRG-1045711</v>
      </c>
      <c r="E17557" t="s">
        <v>204</v>
      </c>
      <c r="F17557" t="s">
        <v>4</v>
      </c>
      <c r="G17557" t="str">
        <f>""</f>
        <v/>
      </c>
    </row>
    <row r="17558" spans="1:7" x14ac:dyDescent="0.25">
      <c r="A17558" t="s">
        <v>8</v>
      </c>
      <c r="B17558" s="1" t="str">
        <f>"000367285 - RICH FOODS-TOP GOLF"</f>
        <v>000367285 - RICH FOODS-TOP GOLF</v>
      </c>
      <c r="C17558" t="s">
        <v>203</v>
      </c>
      <c r="D17558" s="1" t="str">
        <f t="shared" si="477"/>
        <v>PRG-1045711</v>
      </c>
      <c r="E17558" t="s">
        <v>204</v>
      </c>
      <c r="F17558" t="s">
        <v>4</v>
      </c>
      <c r="G17558" t="str">
        <f>""</f>
        <v/>
      </c>
    </row>
    <row r="17559" spans="1:7" x14ac:dyDescent="0.25">
      <c r="A17559" t="s">
        <v>8</v>
      </c>
      <c r="B17559" s="1" t="str">
        <f>"000372640 - RICH FOODS-TOP GOLF"</f>
        <v>000372640 - RICH FOODS-TOP GOLF</v>
      </c>
      <c r="C17559" t="s">
        <v>203</v>
      </c>
      <c r="D17559" s="1" t="str">
        <f t="shared" si="477"/>
        <v>PRG-1045711</v>
      </c>
      <c r="E17559" t="s">
        <v>204</v>
      </c>
      <c r="F17559" t="s">
        <v>4</v>
      </c>
      <c r="G17559" t="str">
        <f>""</f>
        <v/>
      </c>
    </row>
    <row r="17560" spans="1:7" x14ac:dyDescent="0.25">
      <c r="A17560" t="s">
        <v>8</v>
      </c>
      <c r="B17560" s="1" t="str">
        <f>"000374936 - RICH FOODS-TOP GOLF"</f>
        <v>000374936 - RICH FOODS-TOP GOLF</v>
      </c>
      <c r="C17560" t="s">
        <v>203</v>
      </c>
      <c r="D17560" s="1" t="str">
        <f t="shared" si="477"/>
        <v>PRG-1045711</v>
      </c>
      <c r="E17560" t="s">
        <v>204</v>
      </c>
      <c r="F17560" t="s">
        <v>4</v>
      </c>
      <c r="G17560" t="str">
        <f>""</f>
        <v/>
      </c>
    </row>
    <row r="17561" spans="1:7" x14ac:dyDescent="0.25">
      <c r="A17561" t="s">
        <v>8</v>
      </c>
      <c r="B17561" s="1" t="str">
        <f>"000375628 - RICH FOODS-TOP GOLF"</f>
        <v>000375628 - RICH FOODS-TOP GOLF</v>
      </c>
      <c r="C17561" t="s">
        <v>203</v>
      </c>
      <c r="D17561" s="1" t="str">
        <f t="shared" si="477"/>
        <v>PRG-1045711</v>
      </c>
      <c r="E17561" t="s">
        <v>204</v>
      </c>
      <c r="F17561" t="s">
        <v>4</v>
      </c>
      <c r="G17561" t="str">
        <f>""</f>
        <v/>
      </c>
    </row>
    <row r="17562" spans="1:7" x14ac:dyDescent="0.25">
      <c r="A17562" t="s">
        <v>8</v>
      </c>
      <c r="B17562" s="1" t="str">
        <f>"000376301 - RICH FOODS-TOP GOLF"</f>
        <v>000376301 - RICH FOODS-TOP GOLF</v>
      </c>
      <c r="C17562" t="s">
        <v>203</v>
      </c>
      <c r="D17562" s="1" t="str">
        <f t="shared" si="477"/>
        <v>PRG-1045711</v>
      </c>
      <c r="E17562" t="s">
        <v>204</v>
      </c>
      <c r="F17562" t="s">
        <v>4</v>
      </c>
      <c r="G17562" t="str">
        <f>""</f>
        <v/>
      </c>
    </row>
    <row r="17563" spans="1:7" x14ac:dyDescent="0.25">
      <c r="A17563" t="s">
        <v>8</v>
      </c>
      <c r="B17563" s="1" t="str">
        <f>"000376992 - RICH FOODS-TOP GOLF"</f>
        <v>000376992 - RICH FOODS-TOP GOLF</v>
      </c>
      <c r="C17563" t="s">
        <v>203</v>
      </c>
      <c r="D17563" s="1" t="str">
        <f t="shared" si="477"/>
        <v>PRG-1045711</v>
      </c>
      <c r="E17563" t="s">
        <v>204</v>
      </c>
      <c r="F17563" t="s">
        <v>4</v>
      </c>
      <c r="G17563" t="str">
        <f>""</f>
        <v/>
      </c>
    </row>
    <row r="17564" spans="1:7" x14ac:dyDescent="0.25">
      <c r="A17564" t="s">
        <v>8</v>
      </c>
      <c r="B17564" s="1" t="str">
        <f>"000379083 - RICH FOODS-TOP GOLF"</f>
        <v>000379083 - RICH FOODS-TOP GOLF</v>
      </c>
      <c r="C17564" t="s">
        <v>203</v>
      </c>
      <c r="D17564" s="1" t="str">
        <f t="shared" si="477"/>
        <v>PRG-1045711</v>
      </c>
      <c r="E17564" t="s">
        <v>204</v>
      </c>
      <c r="F17564" t="s">
        <v>4</v>
      </c>
      <c r="G17564" t="str">
        <f>""</f>
        <v/>
      </c>
    </row>
    <row r="17565" spans="1:7" x14ac:dyDescent="0.25">
      <c r="A17565" t="s">
        <v>8</v>
      </c>
      <c r="B17565" s="1" t="str">
        <f>"000379586 - RICH FOODS-TOP GOLF"</f>
        <v>000379586 - RICH FOODS-TOP GOLF</v>
      </c>
      <c r="C17565" t="s">
        <v>203</v>
      </c>
      <c r="D17565" s="1" t="str">
        <f t="shared" si="477"/>
        <v>PRG-1045711</v>
      </c>
      <c r="E17565" t="s">
        <v>204</v>
      </c>
      <c r="F17565" t="s">
        <v>4</v>
      </c>
      <c r="G17565" t="str">
        <f>""</f>
        <v/>
      </c>
    </row>
    <row r="17566" spans="1:7" x14ac:dyDescent="0.25">
      <c r="A17566" t="s">
        <v>8</v>
      </c>
      <c r="B17566" s="1" t="str">
        <f>"000379633 - RICH FOODS-TOP GOLF"</f>
        <v>000379633 - RICH FOODS-TOP GOLF</v>
      </c>
      <c r="C17566" t="s">
        <v>203</v>
      </c>
      <c r="D17566" s="1" t="str">
        <f t="shared" si="477"/>
        <v>PRG-1045711</v>
      </c>
      <c r="E17566" t="s">
        <v>204</v>
      </c>
      <c r="F17566" t="s">
        <v>4</v>
      </c>
      <c r="G17566" t="str">
        <f>""</f>
        <v/>
      </c>
    </row>
    <row r="17567" spans="1:7" x14ac:dyDescent="0.25">
      <c r="A17567" t="s">
        <v>8</v>
      </c>
      <c r="B17567" s="1" t="str">
        <f>"000387408 - RICH FOODS-TOP GOLF"</f>
        <v>000387408 - RICH FOODS-TOP GOLF</v>
      </c>
      <c r="C17567" t="s">
        <v>203</v>
      </c>
      <c r="D17567" s="1" t="str">
        <f t="shared" si="477"/>
        <v>PRG-1045711</v>
      </c>
      <c r="E17567" t="s">
        <v>204</v>
      </c>
      <c r="F17567" t="s">
        <v>4</v>
      </c>
      <c r="G17567" t="str">
        <f>""</f>
        <v/>
      </c>
    </row>
    <row r="17568" spans="1:7" x14ac:dyDescent="0.25">
      <c r="A17568" t="s">
        <v>8</v>
      </c>
      <c r="B17568" s="1" t="str">
        <f>"000390367 - RICH FOODS-TOP GOLF"</f>
        <v>000390367 - RICH FOODS-TOP GOLF</v>
      </c>
      <c r="C17568" t="s">
        <v>203</v>
      </c>
      <c r="D17568" s="1" t="str">
        <f t="shared" ref="D17568:D17574" si="478">"PRG-1045711"</f>
        <v>PRG-1045711</v>
      </c>
      <c r="E17568" t="s">
        <v>204</v>
      </c>
      <c r="F17568" t="s">
        <v>4</v>
      </c>
      <c r="G17568" t="str">
        <f>""</f>
        <v/>
      </c>
    </row>
    <row r="17569" spans="1:7" x14ac:dyDescent="0.25">
      <c r="A17569" t="s">
        <v>8</v>
      </c>
      <c r="B17569" s="1" t="str">
        <f>"000390644 - RICH FOODS-TOP GOLF"</f>
        <v>000390644 - RICH FOODS-TOP GOLF</v>
      </c>
      <c r="C17569" t="s">
        <v>203</v>
      </c>
      <c r="D17569" s="1" t="str">
        <f t="shared" si="478"/>
        <v>PRG-1045711</v>
      </c>
      <c r="E17569" t="s">
        <v>204</v>
      </c>
      <c r="F17569" t="s">
        <v>4</v>
      </c>
      <c r="G17569" t="str">
        <f>""</f>
        <v/>
      </c>
    </row>
    <row r="17570" spans="1:7" x14ac:dyDescent="0.25">
      <c r="A17570" t="s">
        <v>8</v>
      </c>
      <c r="B17570" s="1" t="str">
        <f>"000391078 - RICH FOODS-TOP GOLF"</f>
        <v>000391078 - RICH FOODS-TOP GOLF</v>
      </c>
      <c r="C17570" t="s">
        <v>203</v>
      </c>
      <c r="D17570" s="1" t="str">
        <f t="shared" si="478"/>
        <v>PRG-1045711</v>
      </c>
      <c r="E17570" t="s">
        <v>204</v>
      </c>
      <c r="F17570" t="s">
        <v>4</v>
      </c>
      <c r="G17570" t="str">
        <f>""</f>
        <v/>
      </c>
    </row>
    <row r="17571" spans="1:7" x14ac:dyDescent="0.25">
      <c r="A17571" t="s">
        <v>8</v>
      </c>
      <c r="B17571" s="1" t="str">
        <f>"000391527 - RICH FOODS-TOP GOLF"</f>
        <v>000391527 - RICH FOODS-TOP GOLF</v>
      </c>
      <c r="C17571" t="s">
        <v>203</v>
      </c>
      <c r="D17571" s="1" t="str">
        <f t="shared" si="478"/>
        <v>PRG-1045711</v>
      </c>
      <c r="E17571" t="s">
        <v>204</v>
      </c>
      <c r="F17571" t="s">
        <v>4</v>
      </c>
      <c r="G17571" t="str">
        <f>""</f>
        <v/>
      </c>
    </row>
    <row r="17572" spans="1:7" x14ac:dyDescent="0.25">
      <c r="A17572" t="s">
        <v>8</v>
      </c>
      <c r="B17572" s="1" t="str">
        <f>"000404635 - RICH FOODS-TOP GOLF"</f>
        <v>000404635 - RICH FOODS-TOP GOLF</v>
      </c>
      <c r="C17572" t="s">
        <v>203</v>
      </c>
      <c r="D17572" s="1" t="str">
        <f t="shared" si="478"/>
        <v>PRG-1045711</v>
      </c>
      <c r="E17572" t="s">
        <v>204</v>
      </c>
      <c r="F17572" t="s">
        <v>4</v>
      </c>
      <c r="G17572" t="str">
        <f>""</f>
        <v/>
      </c>
    </row>
    <row r="17573" spans="1:7" x14ac:dyDescent="0.25">
      <c r="A17573" t="s">
        <v>8</v>
      </c>
      <c r="B17573" s="1" t="str">
        <f>"000405711 - RICH FOODS-TOP GOLF"</f>
        <v>000405711 - RICH FOODS-TOP GOLF</v>
      </c>
      <c r="C17573" t="s">
        <v>203</v>
      </c>
      <c r="D17573" s="1" t="str">
        <f t="shared" si="478"/>
        <v>PRG-1045711</v>
      </c>
      <c r="E17573" t="s">
        <v>204</v>
      </c>
      <c r="F17573" t="s">
        <v>4</v>
      </c>
      <c r="G17573" t="str">
        <f>""</f>
        <v/>
      </c>
    </row>
    <row r="17574" spans="1:7" x14ac:dyDescent="0.25">
      <c r="A17574" t="s">
        <v>8</v>
      </c>
      <c r="B17574" s="1" t="str">
        <f>"000416430 - RICH FOODS-TOP GOLF"</f>
        <v>000416430 - RICH FOODS-TOP GOLF</v>
      </c>
      <c r="C17574" t="s">
        <v>203</v>
      </c>
      <c r="D17574" s="1" t="str">
        <f t="shared" si="478"/>
        <v>PRG-1045711</v>
      </c>
      <c r="E17574" t="s">
        <v>204</v>
      </c>
      <c r="F17574" t="s">
        <v>4</v>
      </c>
      <c r="G17574" t="str">
        <f>""</f>
        <v/>
      </c>
    </row>
    <row r="17575" spans="1:7" x14ac:dyDescent="0.25">
      <c r="A17575" t="s">
        <v>8</v>
      </c>
      <c r="B17575" s="1" t="str">
        <f>"S5Z02FW0"</f>
        <v>S5Z02FW0</v>
      </c>
      <c r="C17575" t="s">
        <v>5980</v>
      </c>
      <c r="D17575" s="1" t="str">
        <f>"PRG-1045737"</f>
        <v>PRG-1045737</v>
      </c>
      <c r="E17575" t="s">
        <v>5981</v>
      </c>
      <c r="F17575" t="s">
        <v>5</v>
      </c>
      <c r="G17575" t="str">
        <f>""</f>
        <v/>
      </c>
    </row>
    <row r="17576" spans="1:7" x14ac:dyDescent="0.25">
      <c r="A17576" t="s">
        <v>8</v>
      </c>
      <c r="B17576" s="1" t="str">
        <f>"000007390 - RICH FOODS-LANDRYS BAPA LOGIC"</f>
        <v>000007390 - RICH FOODS-LANDRYS BAPA LOGIC</v>
      </c>
      <c r="C17576" t="s">
        <v>260</v>
      </c>
      <c r="D17576" s="1" t="str">
        <f t="shared" ref="D17576:D17619" si="479">"PRG-1045740"</f>
        <v>PRG-1045740</v>
      </c>
      <c r="E17576" t="s">
        <v>199</v>
      </c>
      <c r="F17576" t="s">
        <v>4</v>
      </c>
      <c r="G17576" t="str">
        <f>""</f>
        <v/>
      </c>
    </row>
    <row r="17577" spans="1:7" x14ac:dyDescent="0.25">
      <c r="A17577" t="s">
        <v>8</v>
      </c>
      <c r="B17577" s="1" t="str">
        <f>"000035456 - RICH FOODS-LANDRYS BAPA LOGIC"</f>
        <v>000035456 - RICH FOODS-LANDRYS BAPA LOGIC</v>
      </c>
      <c r="C17577" t="s">
        <v>260</v>
      </c>
      <c r="D17577" s="1" t="str">
        <f t="shared" si="479"/>
        <v>PRG-1045740</v>
      </c>
      <c r="E17577" t="s">
        <v>199</v>
      </c>
      <c r="F17577" t="s">
        <v>4</v>
      </c>
      <c r="G17577" t="str">
        <f>""</f>
        <v/>
      </c>
    </row>
    <row r="17578" spans="1:7" x14ac:dyDescent="0.25">
      <c r="A17578" t="s">
        <v>8</v>
      </c>
      <c r="B17578" s="1" t="str">
        <f>"000041839 - RICH FOODS-LANDRYS BAPA LOGIC"</f>
        <v>000041839 - RICH FOODS-LANDRYS BAPA LOGIC</v>
      </c>
      <c r="C17578" t="s">
        <v>260</v>
      </c>
      <c r="D17578" s="1" t="str">
        <f t="shared" si="479"/>
        <v>PRG-1045740</v>
      </c>
      <c r="E17578" t="s">
        <v>199</v>
      </c>
      <c r="F17578" t="s">
        <v>4</v>
      </c>
      <c r="G17578" t="str">
        <f>""</f>
        <v/>
      </c>
    </row>
    <row r="17579" spans="1:7" x14ac:dyDescent="0.25">
      <c r="A17579" t="s">
        <v>8</v>
      </c>
      <c r="B17579" s="1" t="str">
        <f>"000045149 - RICH FOODS-LANDRYS BAPA LOGIC"</f>
        <v>000045149 - RICH FOODS-LANDRYS BAPA LOGIC</v>
      </c>
      <c r="C17579" t="s">
        <v>260</v>
      </c>
      <c r="D17579" s="1" t="str">
        <f t="shared" si="479"/>
        <v>PRG-1045740</v>
      </c>
      <c r="E17579" t="s">
        <v>199</v>
      </c>
      <c r="F17579" t="s">
        <v>4</v>
      </c>
      <c r="G17579" t="str">
        <f>""</f>
        <v/>
      </c>
    </row>
    <row r="17580" spans="1:7" x14ac:dyDescent="0.25">
      <c r="A17580" t="s">
        <v>8</v>
      </c>
      <c r="B17580" s="1" t="str">
        <f>"000054260 - RICH FOODS-LANDRYS BAPA LOGIC"</f>
        <v>000054260 - RICH FOODS-LANDRYS BAPA LOGIC</v>
      </c>
      <c r="C17580" t="s">
        <v>260</v>
      </c>
      <c r="D17580" s="1" t="str">
        <f t="shared" si="479"/>
        <v>PRG-1045740</v>
      </c>
      <c r="E17580" t="s">
        <v>199</v>
      </c>
      <c r="F17580" t="s">
        <v>4</v>
      </c>
      <c r="G17580" t="str">
        <f>""</f>
        <v/>
      </c>
    </row>
    <row r="17581" spans="1:7" x14ac:dyDescent="0.25">
      <c r="A17581" t="s">
        <v>8</v>
      </c>
      <c r="B17581" s="1" t="str">
        <f>"000055791 - RICH FOODS-LANDRYS BAPA LOGIC"</f>
        <v>000055791 - RICH FOODS-LANDRYS BAPA LOGIC</v>
      </c>
      <c r="C17581" t="s">
        <v>260</v>
      </c>
      <c r="D17581" s="1" t="str">
        <f t="shared" si="479"/>
        <v>PRG-1045740</v>
      </c>
      <c r="E17581" t="s">
        <v>199</v>
      </c>
      <c r="F17581" t="s">
        <v>4</v>
      </c>
      <c r="G17581" t="str">
        <f>""</f>
        <v/>
      </c>
    </row>
    <row r="17582" spans="1:7" x14ac:dyDescent="0.25">
      <c r="A17582" t="s">
        <v>8</v>
      </c>
      <c r="B17582" s="1" t="str">
        <f>"000108542 - RICH FOODS-LANDRYS BAPA LOGIC"</f>
        <v>000108542 - RICH FOODS-LANDRYS BAPA LOGIC</v>
      </c>
      <c r="C17582" t="s">
        <v>260</v>
      </c>
      <c r="D17582" s="1" t="str">
        <f t="shared" si="479"/>
        <v>PRG-1045740</v>
      </c>
      <c r="E17582" t="s">
        <v>199</v>
      </c>
      <c r="F17582" t="s">
        <v>4</v>
      </c>
      <c r="G17582" t="str">
        <f>""</f>
        <v/>
      </c>
    </row>
    <row r="17583" spans="1:7" x14ac:dyDescent="0.25">
      <c r="A17583" t="s">
        <v>8</v>
      </c>
      <c r="B17583" s="1" t="str">
        <f>"000161760 - RICH FOODS-LANDRYS BAPA LOGIC"</f>
        <v>000161760 - RICH FOODS-LANDRYS BAPA LOGIC</v>
      </c>
      <c r="C17583" t="s">
        <v>260</v>
      </c>
      <c r="D17583" s="1" t="str">
        <f t="shared" si="479"/>
        <v>PRG-1045740</v>
      </c>
      <c r="E17583" t="s">
        <v>199</v>
      </c>
      <c r="F17583" t="s">
        <v>4</v>
      </c>
      <c r="G17583" t="str">
        <f>""</f>
        <v/>
      </c>
    </row>
    <row r="17584" spans="1:7" x14ac:dyDescent="0.25">
      <c r="A17584" t="s">
        <v>8</v>
      </c>
      <c r="B17584" s="1" t="str">
        <f>"000247715 - RICH FOODS-LANDRYS BAPA LOGIC"</f>
        <v>000247715 - RICH FOODS-LANDRYS BAPA LOGIC</v>
      </c>
      <c r="C17584" t="s">
        <v>260</v>
      </c>
      <c r="D17584" s="1" t="str">
        <f t="shared" si="479"/>
        <v>PRG-1045740</v>
      </c>
      <c r="E17584" t="s">
        <v>199</v>
      </c>
      <c r="F17584" t="s">
        <v>4</v>
      </c>
      <c r="G17584" t="str">
        <f>""</f>
        <v/>
      </c>
    </row>
    <row r="17585" spans="1:7" x14ac:dyDescent="0.25">
      <c r="A17585" t="s">
        <v>8</v>
      </c>
      <c r="B17585" s="1" t="str">
        <f>"000261592 - RICH FOODS-LANDRYS BAPA LOGIC"</f>
        <v>000261592 - RICH FOODS-LANDRYS BAPA LOGIC</v>
      </c>
      <c r="C17585" t="s">
        <v>260</v>
      </c>
      <c r="D17585" s="1" t="str">
        <f t="shared" si="479"/>
        <v>PRG-1045740</v>
      </c>
      <c r="E17585" t="s">
        <v>199</v>
      </c>
      <c r="F17585" t="s">
        <v>4</v>
      </c>
      <c r="G17585" t="str">
        <f>""</f>
        <v/>
      </c>
    </row>
    <row r="17586" spans="1:7" x14ac:dyDescent="0.25">
      <c r="A17586" t="s">
        <v>8</v>
      </c>
      <c r="B17586" s="1" t="str">
        <f>"000264410 - RICH FOODS-LANDRYS BAPA LOGIC"</f>
        <v>000264410 - RICH FOODS-LANDRYS BAPA LOGIC</v>
      </c>
      <c r="C17586" t="s">
        <v>260</v>
      </c>
      <c r="D17586" s="1" t="str">
        <f t="shared" si="479"/>
        <v>PRG-1045740</v>
      </c>
      <c r="E17586" t="s">
        <v>199</v>
      </c>
      <c r="F17586" t="s">
        <v>4</v>
      </c>
      <c r="G17586" t="str">
        <f>""</f>
        <v/>
      </c>
    </row>
    <row r="17587" spans="1:7" x14ac:dyDescent="0.25">
      <c r="A17587" t="s">
        <v>8</v>
      </c>
      <c r="B17587" s="1" t="str">
        <f>"000270939 - RICH FOODS-LANDRYS BAPA LOGIC"</f>
        <v>000270939 - RICH FOODS-LANDRYS BAPA LOGIC</v>
      </c>
      <c r="C17587" t="s">
        <v>260</v>
      </c>
      <c r="D17587" s="1" t="str">
        <f t="shared" si="479"/>
        <v>PRG-1045740</v>
      </c>
      <c r="E17587" t="s">
        <v>199</v>
      </c>
      <c r="F17587" t="s">
        <v>4</v>
      </c>
      <c r="G17587" t="str">
        <f>""</f>
        <v/>
      </c>
    </row>
    <row r="17588" spans="1:7" x14ac:dyDescent="0.25">
      <c r="A17588" t="s">
        <v>8</v>
      </c>
      <c r="B17588" s="1" t="str">
        <f>"000272546 - RICH FOODS-LANDRYS BAPA LOGIC"</f>
        <v>000272546 - RICH FOODS-LANDRYS BAPA LOGIC</v>
      </c>
      <c r="C17588" t="s">
        <v>260</v>
      </c>
      <c r="D17588" s="1" t="str">
        <f t="shared" si="479"/>
        <v>PRG-1045740</v>
      </c>
      <c r="E17588" t="s">
        <v>199</v>
      </c>
      <c r="F17588" t="s">
        <v>4</v>
      </c>
      <c r="G17588" t="str">
        <f>""</f>
        <v/>
      </c>
    </row>
    <row r="17589" spans="1:7" x14ac:dyDescent="0.25">
      <c r="A17589" t="s">
        <v>8</v>
      </c>
      <c r="B17589" s="1" t="str">
        <f>"000272691 - RICH FOODS-LANDRYS BAPA LOGIC"</f>
        <v>000272691 - RICH FOODS-LANDRYS BAPA LOGIC</v>
      </c>
      <c r="C17589" t="s">
        <v>260</v>
      </c>
      <c r="D17589" s="1" t="str">
        <f t="shared" si="479"/>
        <v>PRG-1045740</v>
      </c>
      <c r="E17589" t="s">
        <v>199</v>
      </c>
      <c r="F17589" t="s">
        <v>4</v>
      </c>
      <c r="G17589" t="str">
        <f>""</f>
        <v/>
      </c>
    </row>
    <row r="17590" spans="1:7" x14ac:dyDescent="0.25">
      <c r="A17590" t="s">
        <v>8</v>
      </c>
      <c r="B17590" s="1" t="str">
        <f>"000278866 - RICH FOODS-LANDRYS BAPA LOGIC"</f>
        <v>000278866 - RICH FOODS-LANDRYS BAPA LOGIC</v>
      </c>
      <c r="C17590" t="s">
        <v>260</v>
      </c>
      <c r="D17590" s="1" t="str">
        <f t="shared" si="479"/>
        <v>PRG-1045740</v>
      </c>
      <c r="E17590" t="s">
        <v>199</v>
      </c>
      <c r="F17590" t="s">
        <v>4</v>
      </c>
      <c r="G17590" t="str">
        <f>""</f>
        <v/>
      </c>
    </row>
    <row r="17591" spans="1:7" x14ac:dyDescent="0.25">
      <c r="A17591" t="s">
        <v>8</v>
      </c>
      <c r="B17591" s="1" t="str">
        <f>"000279470 - RICH FOODS-LANDRYS BAPA LOGIC"</f>
        <v>000279470 - RICH FOODS-LANDRYS BAPA LOGIC</v>
      </c>
      <c r="C17591" t="s">
        <v>260</v>
      </c>
      <c r="D17591" s="1" t="str">
        <f t="shared" si="479"/>
        <v>PRG-1045740</v>
      </c>
      <c r="E17591" t="s">
        <v>199</v>
      </c>
      <c r="F17591" t="s">
        <v>4</v>
      </c>
      <c r="G17591" t="str">
        <f>""</f>
        <v/>
      </c>
    </row>
    <row r="17592" spans="1:7" x14ac:dyDescent="0.25">
      <c r="A17592" t="s">
        <v>8</v>
      </c>
      <c r="B17592" s="1" t="str">
        <f>"000281137 - RICH FOODS-LANDRYS BAPA LOGIC"</f>
        <v>000281137 - RICH FOODS-LANDRYS BAPA LOGIC</v>
      </c>
      <c r="C17592" t="s">
        <v>260</v>
      </c>
      <c r="D17592" s="1" t="str">
        <f t="shared" si="479"/>
        <v>PRG-1045740</v>
      </c>
      <c r="E17592" t="s">
        <v>199</v>
      </c>
      <c r="F17592" t="s">
        <v>4</v>
      </c>
      <c r="G17592" t="str">
        <f>""</f>
        <v/>
      </c>
    </row>
    <row r="17593" spans="1:7" x14ac:dyDescent="0.25">
      <c r="A17593" t="s">
        <v>8</v>
      </c>
      <c r="B17593" s="1" t="str">
        <f>"000286925 - RICH FOODS-LANDRYS BAPA LOGIC"</f>
        <v>000286925 - RICH FOODS-LANDRYS BAPA LOGIC</v>
      </c>
      <c r="C17593" t="s">
        <v>260</v>
      </c>
      <c r="D17593" s="1" t="str">
        <f t="shared" si="479"/>
        <v>PRG-1045740</v>
      </c>
      <c r="E17593" t="s">
        <v>199</v>
      </c>
      <c r="F17593" t="s">
        <v>4</v>
      </c>
      <c r="G17593" t="str">
        <f>""</f>
        <v/>
      </c>
    </row>
    <row r="17594" spans="1:7" x14ac:dyDescent="0.25">
      <c r="A17594" t="s">
        <v>8</v>
      </c>
      <c r="B17594" s="1" t="str">
        <f>"000290731 - RICH FOODS-LANDRYS BAPA LOGIC"</f>
        <v>000290731 - RICH FOODS-LANDRYS BAPA LOGIC</v>
      </c>
      <c r="C17594" t="s">
        <v>260</v>
      </c>
      <c r="D17594" s="1" t="str">
        <f t="shared" si="479"/>
        <v>PRG-1045740</v>
      </c>
      <c r="E17594" t="s">
        <v>199</v>
      </c>
      <c r="F17594" t="s">
        <v>4</v>
      </c>
      <c r="G17594" t="str">
        <f>""</f>
        <v/>
      </c>
    </row>
    <row r="17595" spans="1:7" x14ac:dyDescent="0.25">
      <c r="A17595" t="s">
        <v>8</v>
      </c>
      <c r="B17595" s="1" t="str">
        <f>"000292127 - RICH FOODS-LANDRYS BAPA LOGIC"</f>
        <v>000292127 - RICH FOODS-LANDRYS BAPA LOGIC</v>
      </c>
      <c r="C17595" t="s">
        <v>260</v>
      </c>
      <c r="D17595" s="1" t="str">
        <f t="shared" si="479"/>
        <v>PRG-1045740</v>
      </c>
      <c r="E17595" t="s">
        <v>199</v>
      </c>
      <c r="F17595" t="s">
        <v>4</v>
      </c>
      <c r="G17595" t="str">
        <f>""</f>
        <v/>
      </c>
    </row>
    <row r="17596" spans="1:7" x14ac:dyDescent="0.25">
      <c r="A17596" t="s">
        <v>8</v>
      </c>
      <c r="B17596" s="1" t="str">
        <f>"000297234 - RICH FOODS-LANDRYS BAPA LOGIC"</f>
        <v>000297234 - RICH FOODS-LANDRYS BAPA LOGIC</v>
      </c>
      <c r="C17596" t="s">
        <v>260</v>
      </c>
      <c r="D17596" s="1" t="str">
        <f t="shared" si="479"/>
        <v>PRG-1045740</v>
      </c>
      <c r="E17596" t="s">
        <v>199</v>
      </c>
      <c r="F17596" t="s">
        <v>4</v>
      </c>
      <c r="G17596" t="str">
        <f>""</f>
        <v/>
      </c>
    </row>
    <row r="17597" spans="1:7" x14ac:dyDescent="0.25">
      <c r="A17597" t="s">
        <v>8</v>
      </c>
      <c r="B17597" s="1" t="str">
        <f>"000297513 - RICH FOODS-LANDRYS BAPA LOGIC"</f>
        <v>000297513 - RICH FOODS-LANDRYS BAPA LOGIC</v>
      </c>
      <c r="C17597" t="s">
        <v>260</v>
      </c>
      <c r="D17597" s="1" t="str">
        <f t="shared" si="479"/>
        <v>PRG-1045740</v>
      </c>
      <c r="E17597" t="s">
        <v>199</v>
      </c>
      <c r="F17597" t="s">
        <v>4</v>
      </c>
      <c r="G17597" t="str">
        <f>""</f>
        <v/>
      </c>
    </row>
    <row r="17598" spans="1:7" x14ac:dyDescent="0.25">
      <c r="A17598" t="s">
        <v>8</v>
      </c>
      <c r="B17598" s="1" t="str">
        <f>"000299964 - RICH FOODS-LANDRYS BAPA LOGIC"</f>
        <v>000299964 - RICH FOODS-LANDRYS BAPA LOGIC</v>
      </c>
      <c r="C17598" t="s">
        <v>260</v>
      </c>
      <c r="D17598" s="1" t="str">
        <f t="shared" si="479"/>
        <v>PRG-1045740</v>
      </c>
      <c r="E17598" t="s">
        <v>199</v>
      </c>
      <c r="F17598" t="s">
        <v>4</v>
      </c>
      <c r="G17598" t="str">
        <f>""</f>
        <v/>
      </c>
    </row>
    <row r="17599" spans="1:7" x14ac:dyDescent="0.25">
      <c r="A17599" t="s">
        <v>8</v>
      </c>
      <c r="B17599" s="1" t="str">
        <f>"000304377 - RICH FOODS-LANDRYS BAPA LOGIC"</f>
        <v>000304377 - RICH FOODS-LANDRYS BAPA LOGIC</v>
      </c>
      <c r="C17599" t="s">
        <v>260</v>
      </c>
      <c r="D17599" s="1" t="str">
        <f t="shared" si="479"/>
        <v>PRG-1045740</v>
      </c>
      <c r="E17599" t="s">
        <v>199</v>
      </c>
      <c r="F17599" t="s">
        <v>4</v>
      </c>
      <c r="G17599" t="str">
        <f>""</f>
        <v/>
      </c>
    </row>
    <row r="17600" spans="1:7" x14ac:dyDescent="0.25">
      <c r="A17600" t="s">
        <v>8</v>
      </c>
      <c r="B17600" s="1" t="str">
        <f>"000312091 - RICH FOODS-LANDRYS BAPA LOGIC"</f>
        <v>000312091 - RICH FOODS-LANDRYS BAPA LOGIC</v>
      </c>
      <c r="C17600" t="s">
        <v>260</v>
      </c>
      <c r="D17600" s="1" t="str">
        <f t="shared" si="479"/>
        <v>PRG-1045740</v>
      </c>
      <c r="E17600" t="s">
        <v>199</v>
      </c>
      <c r="F17600" t="s">
        <v>4</v>
      </c>
      <c r="G17600" t="str">
        <f>""</f>
        <v/>
      </c>
    </row>
    <row r="17601" spans="1:7" x14ac:dyDescent="0.25">
      <c r="A17601" t="s">
        <v>8</v>
      </c>
      <c r="B17601" s="1" t="str">
        <f>"000313783 - RICH FOODS-LANDRYS BAPA LOGIC"</f>
        <v>000313783 - RICH FOODS-LANDRYS BAPA LOGIC</v>
      </c>
      <c r="C17601" t="s">
        <v>260</v>
      </c>
      <c r="D17601" s="1" t="str">
        <f t="shared" si="479"/>
        <v>PRG-1045740</v>
      </c>
      <c r="E17601" t="s">
        <v>199</v>
      </c>
      <c r="F17601" t="s">
        <v>4</v>
      </c>
      <c r="G17601" t="str">
        <f>""</f>
        <v/>
      </c>
    </row>
    <row r="17602" spans="1:7" x14ac:dyDescent="0.25">
      <c r="A17602" t="s">
        <v>8</v>
      </c>
      <c r="B17602" s="1" t="str">
        <f>"000315729 - RICH FOODS-LANDRYS BAPA LOGIC"</f>
        <v>000315729 - RICH FOODS-LANDRYS BAPA LOGIC</v>
      </c>
      <c r="C17602" t="s">
        <v>260</v>
      </c>
      <c r="D17602" s="1" t="str">
        <f t="shared" si="479"/>
        <v>PRG-1045740</v>
      </c>
      <c r="E17602" t="s">
        <v>199</v>
      </c>
      <c r="F17602" t="s">
        <v>4</v>
      </c>
      <c r="G17602" t="str">
        <f>""</f>
        <v/>
      </c>
    </row>
    <row r="17603" spans="1:7" x14ac:dyDescent="0.25">
      <c r="A17603" t="s">
        <v>8</v>
      </c>
      <c r="B17603" s="1" t="str">
        <f>"000317382 - RICH FOODS-LANDRYS BAPA LOGIC"</f>
        <v>000317382 - RICH FOODS-LANDRYS BAPA LOGIC</v>
      </c>
      <c r="C17603" t="s">
        <v>260</v>
      </c>
      <c r="D17603" s="1" t="str">
        <f t="shared" si="479"/>
        <v>PRG-1045740</v>
      </c>
      <c r="E17603" t="s">
        <v>199</v>
      </c>
      <c r="F17603" t="s">
        <v>4</v>
      </c>
      <c r="G17603" t="str">
        <f>""</f>
        <v/>
      </c>
    </row>
    <row r="17604" spans="1:7" x14ac:dyDescent="0.25">
      <c r="A17604" t="s">
        <v>8</v>
      </c>
      <c r="B17604" s="1" t="str">
        <f>"000326363 - RICH FOODS-LANDRYS BAPA LOGIC"</f>
        <v>000326363 - RICH FOODS-LANDRYS BAPA LOGIC</v>
      </c>
      <c r="C17604" t="s">
        <v>260</v>
      </c>
      <c r="D17604" s="1" t="str">
        <f t="shared" si="479"/>
        <v>PRG-1045740</v>
      </c>
      <c r="E17604" t="s">
        <v>199</v>
      </c>
      <c r="F17604" t="s">
        <v>4</v>
      </c>
      <c r="G17604" t="str">
        <f>""</f>
        <v/>
      </c>
    </row>
    <row r="17605" spans="1:7" x14ac:dyDescent="0.25">
      <c r="A17605" t="s">
        <v>8</v>
      </c>
      <c r="B17605" s="1" t="str">
        <f>"000339785 - RICH PRODUCTS-BEEF O BRADY"</f>
        <v>000339785 - RICH PRODUCTS-BEEF O BRADY</v>
      </c>
      <c r="C17605" t="s">
        <v>219</v>
      </c>
      <c r="D17605" s="1" t="str">
        <f t="shared" si="479"/>
        <v>PRG-1045740</v>
      </c>
      <c r="E17605" t="s">
        <v>199</v>
      </c>
      <c r="F17605" t="s">
        <v>4</v>
      </c>
      <c r="G17605" t="str">
        <f>""</f>
        <v/>
      </c>
    </row>
    <row r="17606" spans="1:7" x14ac:dyDescent="0.25">
      <c r="A17606" t="s">
        <v>8</v>
      </c>
      <c r="B17606" s="1" t="str">
        <f>"000350341 - RICH FOODS-LANDRYS BAPA LOGIC"</f>
        <v>000350341 - RICH FOODS-LANDRYS BAPA LOGIC</v>
      </c>
      <c r="C17606" t="s">
        <v>260</v>
      </c>
      <c r="D17606" s="1" t="str">
        <f t="shared" si="479"/>
        <v>PRG-1045740</v>
      </c>
      <c r="E17606" t="s">
        <v>199</v>
      </c>
      <c r="F17606" t="s">
        <v>4</v>
      </c>
      <c r="G17606" t="str">
        <f>""</f>
        <v/>
      </c>
    </row>
    <row r="17607" spans="1:7" x14ac:dyDescent="0.25">
      <c r="A17607" t="s">
        <v>8</v>
      </c>
      <c r="B17607" s="1" t="str">
        <f>"000355256 - RICH FOODS-LANDRYS BAPA LOGIC"</f>
        <v>000355256 - RICH FOODS-LANDRYS BAPA LOGIC</v>
      </c>
      <c r="C17607" t="s">
        <v>260</v>
      </c>
      <c r="D17607" s="1" t="str">
        <f t="shared" si="479"/>
        <v>PRG-1045740</v>
      </c>
      <c r="E17607" t="s">
        <v>199</v>
      </c>
      <c r="F17607" t="s">
        <v>4</v>
      </c>
      <c r="G17607" t="str">
        <f>""</f>
        <v/>
      </c>
    </row>
    <row r="17608" spans="1:7" x14ac:dyDescent="0.25">
      <c r="A17608" t="s">
        <v>8</v>
      </c>
      <c r="B17608" s="1" t="str">
        <f>"000362714 - RICH FOODS-LANDRYS BAPA LOGIC"</f>
        <v>000362714 - RICH FOODS-LANDRYS BAPA LOGIC</v>
      </c>
      <c r="C17608" t="s">
        <v>260</v>
      </c>
      <c r="D17608" s="1" t="str">
        <f t="shared" si="479"/>
        <v>PRG-1045740</v>
      </c>
      <c r="E17608" t="s">
        <v>199</v>
      </c>
      <c r="F17608" t="s">
        <v>4</v>
      </c>
      <c r="G17608" t="str">
        <f>""</f>
        <v/>
      </c>
    </row>
    <row r="17609" spans="1:7" x14ac:dyDescent="0.25">
      <c r="A17609" t="s">
        <v>8</v>
      </c>
      <c r="B17609" s="1" t="str">
        <f>"000366071 - RICH FOODS-LANDRYS BAPA LOGIC"</f>
        <v>000366071 - RICH FOODS-LANDRYS BAPA LOGIC</v>
      </c>
      <c r="C17609" t="s">
        <v>260</v>
      </c>
      <c r="D17609" s="1" t="str">
        <f t="shared" si="479"/>
        <v>PRG-1045740</v>
      </c>
      <c r="E17609" t="s">
        <v>199</v>
      </c>
      <c r="F17609" t="s">
        <v>4</v>
      </c>
      <c r="G17609" t="str">
        <f>""</f>
        <v/>
      </c>
    </row>
    <row r="17610" spans="1:7" x14ac:dyDescent="0.25">
      <c r="A17610" t="s">
        <v>8</v>
      </c>
      <c r="B17610" s="1" t="str">
        <f>"000379941 - RICH FOODS-LANDRYS BAPA LOGIC"</f>
        <v>000379941 - RICH FOODS-LANDRYS BAPA LOGIC</v>
      </c>
      <c r="C17610" t="s">
        <v>260</v>
      </c>
      <c r="D17610" s="1" t="str">
        <f t="shared" si="479"/>
        <v>PRG-1045740</v>
      </c>
      <c r="E17610" t="s">
        <v>199</v>
      </c>
      <c r="F17610" t="s">
        <v>4</v>
      </c>
      <c r="G17610" t="str">
        <f>""</f>
        <v/>
      </c>
    </row>
    <row r="17611" spans="1:7" x14ac:dyDescent="0.25">
      <c r="A17611" t="s">
        <v>8</v>
      </c>
      <c r="B17611" s="1" t="str">
        <f>"000380072 - RICH FOODS-LANDRYS BAPA LOGIC"</f>
        <v>000380072 - RICH FOODS-LANDRYS BAPA LOGIC</v>
      </c>
      <c r="C17611" t="s">
        <v>260</v>
      </c>
      <c r="D17611" s="1" t="str">
        <f t="shared" si="479"/>
        <v>PRG-1045740</v>
      </c>
      <c r="E17611" t="s">
        <v>199</v>
      </c>
      <c r="F17611" t="s">
        <v>4</v>
      </c>
      <c r="G17611" t="str">
        <f>""</f>
        <v/>
      </c>
    </row>
    <row r="17612" spans="1:7" x14ac:dyDescent="0.25">
      <c r="A17612" t="s">
        <v>8</v>
      </c>
      <c r="B17612" s="1" t="str">
        <f>"000382941 - RICH FOODS-LANDRYS BAPA LOGIC"</f>
        <v>000382941 - RICH FOODS-LANDRYS BAPA LOGIC</v>
      </c>
      <c r="C17612" t="s">
        <v>260</v>
      </c>
      <c r="D17612" s="1" t="str">
        <f t="shared" si="479"/>
        <v>PRG-1045740</v>
      </c>
      <c r="E17612" t="s">
        <v>199</v>
      </c>
      <c r="F17612" t="s">
        <v>4</v>
      </c>
      <c r="G17612" t="str">
        <f>""</f>
        <v/>
      </c>
    </row>
    <row r="17613" spans="1:7" x14ac:dyDescent="0.25">
      <c r="A17613" t="s">
        <v>8</v>
      </c>
      <c r="B17613" s="1" t="str">
        <f>"000387727 - RICH FOODS-LANDRYS BAPA LOGIC"</f>
        <v>000387727 - RICH FOODS-LANDRYS BAPA LOGIC</v>
      </c>
      <c r="C17613" t="s">
        <v>260</v>
      </c>
      <c r="D17613" s="1" t="str">
        <f t="shared" si="479"/>
        <v>PRG-1045740</v>
      </c>
      <c r="E17613" t="s">
        <v>199</v>
      </c>
      <c r="F17613" t="s">
        <v>4</v>
      </c>
      <c r="G17613" t="str">
        <f>""</f>
        <v/>
      </c>
    </row>
    <row r="17614" spans="1:7" x14ac:dyDescent="0.25">
      <c r="A17614" t="s">
        <v>8</v>
      </c>
      <c r="B17614" s="1" t="str">
        <f>"000391025 - RICH FOODS-LANDRYS BAPA LOGIC"</f>
        <v>000391025 - RICH FOODS-LANDRYS BAPA LOGIC</v>
      </c>
      <c r="C17614" t="s">
        <v>260</v>
      </c>
      <c r="D17614" s="1" t="str">
        <f t="shared" si="479"/>
        <v>PRG-1045740</v>
      </c>
      <c r="E17614" t="s">
        <v>199</v>
      </c>
      <c r="F17614" t="s">
        <v>4</v>
      </c>
      <c r="G17614" t="str">
        <f>""</f>
        <v/>
      </c>
    </row>
    <row r="17615" spans="1:7" x14ac:dyDescent="0.25">
      <c r="A17615" t="s">
        <v>8</v>
      </c>
      <c r="B17615" s="1" t="str">
        <f>"000394381 - RICH FOODS-LANDRYS BAPA LOGIC"</f>
        <v>000394381 - RICH FOODS-LANDRYS BAPA LOGIC</v>
      </c>
      <c r="C17615" t="s">
        <v>260</v>
      </c>
      <c r="D17615" s="1" t="str">
        <f t="shared" si="479"/>
        <v>PRG-1045740</v>
      </c>
      <c r="E17615" t="s">
        <v>199</v>
      </c>
      <c r="F17615" t="s">
        <v>4</v>
      </c>
      <c r="G17615" t="str">
        <f>""</f>
        <v/>
      </c>
    </row>
    <row r="17616" spans="1:7" x14ac:dyDescent="0.25">
      <c r="A17616" t="s">
        <v>8</v>
      </c>
      <c r="B17616" s="1" t="str">
        <f>"000395530 - RICH FOODS-LANDRYS BAPA LOGIC"</f>
        <v>000395530 - RICH FOODS-LANDRYS BAPA LOGIC</v>
      </c>
      <c r="C17616" t="s">
        <v>260</v>
      </c>
      <c r="D17616" s="1" t="str">
        <f t="shared" si="479"/>
        <v>PRG-1045740</v>
      </c>
      <c r="E17616" t="s">
        <v>199</v>
      </c>
      <c r="F17616" t="s">
        <v>4</v>
      </c>
      <c r="G17616" t="str">
        <f>""</f>
        <v/>
      </c>
    </row>
    <row r="17617" spans="1:7" x14ac:dyDescent="0.25">
      <c r="A17617" t="s">
        <v>8</v>
      </c>
      <c r="B17617" s="1" t="str">
        <f>"000405121 - RICH FOODS-LANDRYS BAPA LOGIC"</f>
        <v>000405121 - RICH FOODS-LANDRYS BAPA LOGIC</v>
      </c>
      <c r="C17617" t="s">
        <v>260</v>
      </c>
      <c r="D17617" s="1" t="str">
        <f t="shared" si="479"/>
        <v>PRG-1045740</v>
      </c>
      <c r="E17617" t="s">
        <v>199</v>
      </c>
      <c r="F17617" t="s">
        <v>4</v>
      </c>
      <c r="G17617" t="str">
        <f>""</f>
        <v/>
      </c>
    </row>
    <row r="17618" spans="1:7" x14ac:dyDescent="0.25">
      <c r="A17618" t="s">
        <v>8</v>
      </c>
      <c r="B17618" s="1" t="str">
        <f>"000414057 - RICH FOODS-LANDRYS BAPA LOGIC"</f>
        <v>000414057 - RICH FOODS-LANDRYS BAPA LOGIC</v>
      </c>
      <c r="C17618" t="s">
        <v>260</v>
      </c>
      <c r="D17618" s="1" t="str">
        <f t="shared" si="479"/>
        <v>PRG-1045740</v>
      </c>
      <c r="E17618" t="s">
        <v>199</v>
      </c>
      <c r="F17618" t="s">
        <v>4</v>
      </c>
      <c r="G17618" t="str">
        <f>""</f>
        <v/>
      </c>
    </row>
    <row r="17619" spans="1:7" x14ac:dyDescent="0.25">
      <c r="A17619" t="s">
        <v>8</v>
      </c>
      <c r="B17619" s="1" t="str">
        <f>"000417192 - RICH FOODS-LANDRYS BAPA LOGIC"</f>
        <v>000417192 - RICH FOODS-LANDRYS BAPA LOGIC</v>
      </c>
      <c r="C17619" t="s">
        <v>260</v>
      </c>
      <c r="D17619" s="1" t="str">
        <f t="shared" si="479"/>
        <v>PRG-1045740</v>
      </c>
      <c r="E17619" t="s">
        <v>199</v>
      </c>
      <c r="F17619" t="s">
        <v>4</v>
      </c>
      <c r="G17619" t="str">
        <f>""</f>
        <v/>
      </c>
    </row>
    <row r="17620" spans="1:7" x14ac:dyDescent="0.25">
      <c r="A17620" t="s">
        <v>8</v>
      </c>
      <c r="B17620" s="1" t="str">
        <f>"000005509 - RCH 100912"</f>
        <v>000005509 - RCH 100912</v>
      </c>
      <c r="C17620" t="s">
        <v>224</v>
      </c>
      <c r="D17620" s="1" t="str">
        <f t="shared" ref="D17620:D17683" si="480">"PRG-1045742"</f>
        <v>PRG-1045742</v>
      </c>
      <c r="E17620" t="s">
        <v>225</v>
      </c>
      <c r="F17620" t="s">
        <v>4</v>
      </c>
      <c r="G17620" t="str">
        <f>""</f>
        <v/>
      </c>
    </row>
    <row r="17621" spans="1:7" x14ac:dyDescent="0.25">
      <c r="A17621" t="s">
        <v>8</v>
      </c>
      <c r="B17621" s="1" t="str">
        <f>"000020229 - RCH 100912"</f>
        <v>000020229 - RCH 100912</v>
      </c>
      <c r="C17621" t="s">
        <v>224</v>
      </c>
      <c r="D17621" s="1" t="str">
        <f t="shared" si="480"/>
        <v>PRG-1045742</v>
      </c>
      <c r="E17621" t="s">
        <v>225</v>
      </c>
      <c r="F17621" t="s">
        <v>4</v>
      </c>
      <c r="G17621" t="str">
        <f>""</f>
        <v/>
      </c>
    </row>
    <row r="17622" spans="1:7" x14ac:dyDescent="0.25">
      <c r="A17622" t="s">
        <v>8</v>
      </c>
      <c r="B17622" s="1" t="str">
        <f>"000020759 - RCH 100912"</f>
        <v>000020759 - RCH 100912</v>
      </c>
      <c r="C17622" t="s">
        <v>224</v>
      </c>
      <c r="D17622" s="1" t="str">
        <f t="shared" si="480"/>
        <v>PRG-1045742</v>
      </c>
      <c r="E17622" t="s">
        <v>225</v>
      </c>
      <c r="F17622" t="s">
        <v>4</v>
      </c>
      <c r="G17622" t="str">
        <f>""</f>
        <v/>
      </c>
    </row>
    <row r="17623" spans="1:7" x14ac:dyDescent="0.25">
      <c r="A17623" t="s">
        <v>8</v>
      </c>
      <c r="B17623" s="1" t="str">
        <f>"000020859 - RCH 100912"</f>
        <v>000020859 - RCH 100912</v>
      </c>
      <c r="C17623" t="s">
        <v>224</v>
      </c>
      <c r="D17623" s="1" t="str">
        <f t="shared" si="480"/>
        <v>PRG-1045742</v>
      </c>
      <c r="E17623" t="s">
        <v>225</v>
      </c>
      <c r="F17623" t="s">
        <v>4</v>
      </c>
      <c r="G17623" t="str">
        <f>""</f>
        <v/>
      </c>
    </row>
    <row r="17624" spans="1:7" x14ac:dyDescent="0.25">
      <c r="A17624" t="s">
        <v>8</v>
      </c>
      <c r="B17624" s="1" t="str">
        <f>"000020987 - RCH 100912"</f>
        <v>000020987 - RCH 100912</v>
      </c>
      <c r="C17624" t="s">
        <v>224</v>
      </c>
      <c r="D17624" s="1" t="str">
        <f t="shared" si="480"/>
        <v>PRG-1045742</v>
      </c>
      <c r="E17624" t="s">
        <v>225</v>
      </c>
      <c r="F17624" t="s">
        <v>4</v>
      </c>
      <c r="G17624" t="str">
        <f>""</f>
        <v/>
      </c>
    </row>
    <row r="17625" spans="1:7" x14ac:dyDescent="0.25">
      <c r="A17625" t="s">
        <v>8</v>
      </c>
      <c r="B17625" s="1" t="str">
        <f>"000021417 - RCH 100912"</f>
        <v>000021417 - RCH 100912</v>
      </c>
      <c r="C17625" t="s">
        <v>224</v>
      </c>
      <c r="D17625" s="1" t="str">
        <f t="shared" si="480"/>
        <v>PRG-1045742</v>
      </c>
      <c r="E17625" t="s">
        <v>225</v>
      </c>
      <c r="F17625" t="s">
        <v>4</v>
      </c>
      <c r="G17625" t="str">
        <f>""</f>
        <v/>
      </c>
    </row>
    <row r="17626" spans="1:7" x14ac:dyDescent="0.25">
      <c r="A17626" t="s">
        <v>8</v>
      </c>
      <c r="B17626" s="1" t="str">
        <f>"000022137 - RCH 100912"</f>
        <v>000022137 - RCH 100912</v>
      </c>
      <c r="C17626" t="s">
        <v>224</v>
      </c>
      <c r="D17626" s="1" t="str">
        <f t="shared" si="480"/>
        <v>PRG-1045742</v>
      </c>
      <c r="E17626" t="s">
        <v>225</v>
      </c>
      <c r="F17626" t="s">
        <v>4</v>
      </c>
      <c r="G17626" t="str">
        <f>""</f>
        <v/>
      </c>
    </row>
    <row r="17627" spans="1:7" x14ac:dyDescent="0.25">
      <c r="A17627" t="s">
        <v>8</v>
      </c>
      <c r="B17627" s="1" t="str">
        <f>"000022713 - RCH 110244"</f>
        <v>000022713 - RCH 110244</v>
      </c>
      <c r="C17627" t="s">
        <v>420</v>
      </c>
      <c r="D17627" s="1" t="str">
        <f t="shared" si="480"/>
        <v>PRG-1045742</v>
      </c>
      <c r="E17627" t="s">
        <v>225</v>
      </c>
      <c r="F17627" t="s">
        <v>4</v>
      </c>
      <c r="G17627" t="str">
        <f>""</f>
        <v/>
      </c>
    </row>
    <row r="17628" spans="1:7" x14ac:dyDescent="0.25">
      <c r="A17628" t="s">
        <v>8</v>
      </c>
      <c r="B17628" s="1" t="str">
        <f>"000026656 - RICH 100912"</f>
        <v>000026656 - RICH 100912</v>
      </c>
      <c r="C17628" t="s">
        <v>451</v>
      </c>
      <c r="D17628" s="1" t="str">
        <f t="shared" si="480"/>
        <v>PRG-1045742</v>
      </c>
      <c r="E17628" t="s">
        <v>225</v>
      </c>
      <c r="F17628" t="s">
        <v>4</v>
      </c>
      <c r="G17628" t="str">
        <f>""</f>
        <v/>
      </c>
    </row>
    <row r="17629" spans="1:7" x14ac:dyDescent="0.25">
      <c r="A17629" t="s">
        <v>8</v>
      </c>
      <c r="B17629" s="1" t="str">
        <f>"000031593 - RCH 100912"</f>
        <v>000031593 - RCH 100912</v>
      </c>
      <c r="C17629" t="s">
        <v>224</v>
      </c>
      <c r="D17629" s="1" t="str">
        <f t="shared" si="480"/>
        <v>PRG-1045742</v>
      </c>
      <c r="E17629" t="s">
        <v>225</v>
      </c>
      <c r="F17629" t="s">
        <v>4</v>
      </c>
      <c r="G17629" t="str">
        <f>""</f>
        <v/>
      </c>
    </row>
    <row r="17630" spans="1:7" x14ac:dyDescent="0.25">
      <c r="A17630" t="s">
        <v>8</v>
      </c>
      <c r="B17630" s="1" t="str">
        <f>"000033536 - RCH 100912"</f>
        <v>000033536 - RCH 100912</v>
      </c>
      <c r="C17630" t="s">
        <v>224</v>
      </c>
      <c r="D17630" s="1" t="str">
        <f t="shared" si="480"/>
        <v>PRG-1045742</v>
      </c>
      <c r="E17630" t="s">
        <v>225</v>
      </c>
      <c r="F17630" t="s">
        <v>4</v>
      </c>
      <c r="G17630" t="str">
        <f>""</f>
        <v/>
      </c>
    </row>
    <row r="17631" spans="1:7" x14ac:dyDescent="0.25">
      <c r="A17631" t="s">
        <v>8</v>
      </c>
      <c r="B17631" s="1" t="str">
        <f>"000039513 - RCH 100912"</f>
        <v>000039513 - RCH 100912</v>
      </c>
      <c r="C17631" t="s">
        <v>224</v>
      </c>
      <c r="D17631" s="1" t="str">
        <f t="shared" si="480"/>
        <v>PRG-1045742</v>
      </c>
      <c r="E17631" t="s">
        <v>225</v>
      </c>
      <c r="F17631" t="s">
        <v>4</v>
      </c>
      <c r="G17631" t="str">
        <f>""</f>
        <v/>
      </c>
    </row>
    <row r="17632" spans="1:7" x14ac:dyDescent="0.25">
      <c r="A17632" t="s">
        <v>8</v>
      </c>
      <c r="B17632" s="1" t="str">
        <f>"000039516 - RCH 110244"</f>
        <v>000039516 - RCH 110244</v>
      </c>
      <c r="C17632" t="s">
        <v>420</v>
      </c>
      <c r="D17632" s="1" t="str">
        <f t="shared" si="480"/>
        <v>PRG-1045742</v>
      </c>
      <c r="E17632" t="s">
        <v>225</v>
      </c>
      <c r="F17632" t="s">
        <v>4</v>
      </c>
      <c r="G17632" t="str">
        <f>""</f>
        <v/>
      </c>
    </row>
    <row r="17633" spans="1:7" x14ac:dyDescent="0.25">
      <c r="A17633" t="s">
        <v>8</v>
      </c>
      <c r="B17633" s="1" t="str">
        <f>"000042285 - RCH 100912"</f>
        <v>000042285 - RCH 100912</v>
      </c>
      <c r="C17633" t="s">
        <v>224</v>
      </c>
      <c r="D17633" s="1" t="str">
        <f t="shared" si="480"/>
        <v>PRG-1045742</v>
      </c>
      <c r="E17633" t="s">
        <v>225</v>
      </c>
      <c r="F17633" t="s">
        <v>4</v>
      </c>
      <c r="G17633" t="str">
        <f>""</f>
        <v/>
      </c>
    </row>
    <row r="17634" spans="1:7" x14ac:dyDescent="0.25">
      <c r="A17634" t="s">
        <v>8</v>
      </c>
      <c r="B17634" s="1" t="str">
        <f>"000042766 - RCH 100912"</f>
        <v>000042766 - RCH 100912</v>
      </c>
      <c r="C17634" t="s">
        <v>224</v>
      </c>
      <c r="D17634" s="1" t="str">
        <f t="shared" si="480"/>
        <v>PRG-1045742</v>
      </c>
      <c r="E17634" t="s">
        <v>225</v>
      </c>
      <c r="F17634" t="s">
        <v>4</v>
      </c>
      <c r="G17634" t="str">
        <f>""</f>
        <v/>
      </c>
    </row>
    <row r="17635" spans="1:7" x14ac:dyDescent="0.25">
      <c r="A17635" t="s">
        <v>8</v>
      </c>
      <c r="B17635" s="1" t="str">
        <f>"000043299 - RCH 100912"</f>
        <v>000043299 - RCH 100912</v>
      </c>
      <c r="C17635" t="s">
        <v>224</v>
      </c>
      <c r="D17635" s="1" t="str">
        <f t="shared" si="480"/>
        <v>PRG-1045742</v>
      </c>
      <c r="E17635" t="s">
        <v>225</v>
      </c>
      <c r="F17635" t="s">
        <v>4</v>
      </c>
      <c r="G17635" t="str">
        <f>""</f>
        <v/>
      </c>
    </row>
    <row r="17636" spans="1:7" x14ac:dyDescent="0.25">
      <c r="A17636" t="s">
        <v>8</v>
      </c>
      <c r="B17636" s="1" t="str">
        <f>"000043355 - RCH 100912"</f>
        <v>000043355 - RCH 100912</v>
      </c>
      <c r="C17636" t="s">
        <v>224</v>
      </c>
      <c r="D17636" s="1" t="str">
        <f t="shared" si="480"/>
        <v>PRG-1045742</v>
      </c>
      <c r="E17636" t="s">
        <v>225</v>
      </c>
      <c r="F17636" t="s">
        <v>4</v>
      </c>
      <c r="G17636" t="str">
        <f>""</f>
        <v/>
      </c>
    </row>
    <row r="17637" spans="1:7" x14ac:dyDescent="0.25">
      <c r="A17637" t="s">
        <v>8</v>
      </c>
      <c r="B17637" s="1" t="str">
        <f>"000043357 - RCH 110244"</f>
        <v>000043357 - RCH 110244</v>
      </c>
      <c r="C17637" t="s">
        <v>420</v>
      </c>
      <c r="D17637" s="1" t="str">
        <f t="shared" si="480"/>
        <v>PRG-1045742</v>
      </c>
      <c r="E17637" t="s">
        <v>225</v>
      </c>
      <c r="F17637" t="s">
        <v>4</v>
      </c>
      <c r="G17637" t="str">
        <f>""</f>
        <v/>
      </c>
    </row>
    <row r="17638" spans="1:7" x14ac:dyDescent="0.25">
      <c r="A17638" t="s">
        <v>8</v>
      </c>
      <c r="B17638" s="1" t="str">
        <f>"000044005 - RCH 100912"</f>
        <v>000044005 - RCH 100912</v>
      </c>
      <c r="C17638" t="s">
        <v>224</v>
      </c>
      <c r="D17638" s="1" t="str">
        <f t="shared" si="480"/>
        <v>PRG-1045742</v>
      </c>
      <c r="E17638" t="s">
        <v>225</v>
      </c>
      <c r="F17638" t="s">
        <v>4</v>
      </c>
      <c r="G17638" t="str">
        <f>""</f>
        <v/>
      </c>
    </row>
    <row r="17639" spans="1:7" x14ac:dyDescent="0.25">
      <c r="A17639" t="s">
        <v>8</v>
      </c>
      <c r="B17639" s="1" t="str">
        <f>"000045237 - RCH 100912"</f>
        <v>000045237 - RCH 100912</v>
      </c>
      <c r="C17639" t="s">
        <v>224</v>
      </c>
      <c r="D17639" s="1" t="str">
        <f t="shared" si="480"/>
        <v>PRG-1045742</v>
      </c>
      <c r="E17639" t="s">
        <v>225</v>
      </c>
      <c r="F17639" t="s">
        <v>4</v>
      </c>
      <c r="G17639" t="str">
        <f>""</f>
        <v/>
      </c>
    </row>
    <row r="17640" spans="1:7" x14ac:dyDescent="0.25">
      <c r="A17640" t="s">
        <v>8</v>
      </c>
      <c r="B17640" s="1" t="str">
        <f>"000047317 - RCH 100912"</f>
        <v>000047317 - RCH 100912</v>
      </c>
      <c r="C17640" t="s">
        <v>224</v>
      </c>
      <c r="D17640" s="1" t="str">
        <f t="shared" si="480"/>
        <v>PRG-1045742</v>
      </c>
      <c r="E17640" t="s">
        <v>225</v>
      </c>
      <c r="F17640" t="s">
        <v>4</v>
      </c>
      <c r="G17640" t="str">
        <f>""</f>
        <v/>
      </c>
    </row>
    <row r="17641" spans="1:7" x14ac:dyDescent="0.25">
      <c r="A17641" t="s">
        <v>8</v>
      </c>
      <c r="B17641" s="1" t="str">
        <f>"000048081 - RCH 100912"</f>
        <v>000048081 - RCH 100912</v>
      </c>
      <c r="C17641" t="s">
        <v>224</v>
      </c>
      <c r="D17641" s="1" t="str">
        <f t="shared" si="480"/>
        <v>PRG-1045742</v>
      </c>
      <c r="E17641" t="s">
        <v>225</v>
      </c>
      <c r="F17641" t="s">
        <v>4</v>
      </c>
      <c r="G17641" t="str">
        <f>""</f>
        <v/>
      </c>
    </row>
    <row r="17642" spans="1:7" x14ac:dyDescent="0.25">
      <c r="A17642" t="s">
        <v>8</v>
      </c>
      <c r="B17642" s="1" t="str">
        <f>"000052527 - RCH 100912"</f>
        <v>000052527 - RCH 100912</v>
      </c>
      <c r="C17642" t="s">
        <v>224</v>
      </c>
      <c r="D17642" s="1" t="str">
        <f t="shared" si="480"/>
        <v>PRG-1045742</v>
      </c>
      <c r="E17642" t="s">
        <v>225</v>
      </c>
      <c r="F17642" t="s">
        <v>4</v>
      </c>
      <c r="G17642" t="str">
        <f>""</f>
        <v/>
      </c>
    </row>
    <row r="17643" spans="1:7" x14ac:dyDescent="0.25">
      <c r="A17643" t="s">
        <v>8</v>
      </c>
      <c r="B17643" s="1" t="str">
        <f>"000053263 - RCH 100912"</f>
        <v>000053263 - RCH 100912</v>
      </c>
      <c r="C17643" t="s">
        <v>224</v>
      </c>
      <c r="D17643" s="1" t="str">
        <f t="shared" si="480"/>
        <v>PRG-1045742</v>
      </c>
      <c r="E17643" t="s">
        <v>225</v>
      </c>
      <c r="F17643" t="s">
        <v>4</v>
      </c>
      <c r="G17643" t="str">
        <f>""</f>
        <v/>
      </c>
    </row>
    <row r="17644" spans="1:7" x14ac:dyDescent="0.25">
      <c r="A17644" t="s">
        <v>8</v>
      </c>
      <c r="B17644" s="1" t="str">
        <f>"000053351 - RCH 100912"</f>
        <v>000053351 - RCH 100912</v>
      </c>
      <c r="C17644" t="s">
        <v>224</v>
      </c>
      <c r="D17644" s="1" t="str">
        <f t="shared" si="480"/>
        <v>PRG-1045742</v>
      </c>
      <c r="E17644" t="s">
        <v>225</v>
      </c>
      <c r="F17644" t="s">
        <v>4</v>
      </c>
      <c r="G17644" t="str">
        <f>""</f>
        <v/>
      </c>
    </row>
    <row r="17645" spans="1:7" x14ac:dyDescent="0.25">
      <c r="A17645" t="s">
        <v>8</v>
      </c>
      <c r="B17645" s="1" t="str">
        <f>"000053892 - USDA NOI RICH'S PRODUCT 100912"</f>
        <v>000053892 - USDA NOI RICH'S PRODUCT 100912</v>
      </c>
      <c r="C17645" t="s">
        <v>672</v>
      </c>
      <c r="D17645" s="1" t="str">
        <f t="shared" si="480"/>
        <v>PRG-1045742</v>
      </c>
      <c r="E17645" t="s">
        <v>225</v>
      </c>
      <c r="F17645" t="s">
        <v>4</v>
      </c>
      <c r="G17645" t="str">
        <f>""</f>
        <v/>
      </c>
    </row>
    <row r="17646" spans="1:7" x14ac:dyDescent="0.25">
      <c r="A17646" t="s">
        <v>8</v>
      </c>
      <c r="B17646" s="1" t="str">
        <f>"000054910 - RCH 100912"</f>
        <v>000054910 - RCH 100912</v>
      </c>
      <c r="C17646" t="s">
        <v>224</v>
      </c>
      <c r="D17646" s="1" t="str">
        <f t="shared" si="480"/>
        <v>PRG-1045742</v>
      </c>
      <c r="E17646" t="s">
        <v>225</v>
      </c>
      <c r="F17646" t="s">
        <v>4</v>
      </c>
      <c r="G17646" t="str">
        <f>""</f>
        <v/>
      </c>
    </row>
    <row r="17647" spans="1:7" x14ac:dyDescent="0.25">
      <c r="A17647" t="s">
        <v>8</v>
      </c>
      <c r="B17647" s="1" t="str">
        <f>"000055277 - RCH 100912"</f>
        <v>000055277 - RCH 100912</v>
      </c>
      <c r="C17647" t="s">
        <v>224</v>
      </c>
      <c r="D17647" s="1" t="str">
        <f t="shared" si="480"/>
        <v>PRG-1045742</v>
      </c>
      <c r="E17647" t="s">
        <v>225</v>
      </c>
      <c r="F17647" t="s">
        <v>4</v>
      </c>
      <c r="G17647" t="str">
        <f>""</f>
        <v/>
      </c>
    </row>
    <row r="17648" spans="1:7" x14ac:dyDescent="0.25">
      <c r="A17648" t="s">
        <v>8</v>
      </c>
      <c r="B17648" s="1" t="str">
        <f>"000055982 - RCH 100912"</f>
        <v>000055982 - RCH 100912</v>
      </c>
      <c r="C17648" t="s">
        <v>224</v>
      </c>
      <c r="D17648" s="1" t="str">
        <f t="shared" si="480"/>
        <v>PRG-1045742</v>
      </c>
      <c r="E17648" t="s">
        <v>225</v>
      </c>
      <c r="F17648" t="s">
        <v>4</v>
      </c>
      <c r="G17648" t="str">
        <f>""</f>
        <v/>
      </c>
    </row>
    <row r="17649" spans="1:7" x14ac:dyDescent="0.25">
      <c r="A17649" t="s">
        <v>8</v>
      </c>
      <c r="B17649" s="1" t="str">
        <f>"000057692 - RCH 100912"</f>
        <v>000057692 - RCH 100912</v>
      </c>
      <c r="C17649" t="s">
        <v>224</v>
      </c>
      <c r="D17649" s="1" t="str">
        <f t="shared" si="480"/>
        <v>PRG-1045742</v>
      </c>
      <c r="E17649" t="s">
        <v>225</v>
      </c>
      <c r="F17649" t="s">
        <v>4</v>
      </c>
      <c r="G17649" t="str">
        <f>""</f>
        <v/>
      </c>
    </row>
    <row r="17650" spans="1:7" x14ac:dyDescent="0.25">
      <c r="A17650" t="s">
        <v>8</v>
      </c>
      <c r="B17650" s="1" t="str">
        <f>"000062468 - RCH 100912"</f>
        <v>000062468 - RCH 100912</v>
      </c>
      <c r="C17650" t="s">
        <v>224</v>
      </c>
      <c r="D17650" s="1" t="str">
        <f t="shared" si="480"/>
        <v>PRG-1045742</v>
      </c>
      <c r="E17650" t="s">
        <v>225</v>
      </c>
      <c r="F17650" t="s">
        <v>4</v>
      </c>
      <c r="G17650" t="str">
        <f>""</f>
        <v/>
      </c>
    </row>
    <row r="17651" spans="1:7" x14ac:dyDescent="0.25">
      <c r="A17651" t="s">
        <v>8</v>
      </c>
      <c r="B17651" s="1" t="str">
        <f>"000075321 - RICHES 110244 CHEESE"</f>
        <v>000075321 - RICHES 110244 CHEESE</v>
      </c>
      <c r="C17651" t="s">
        <v>737</v>
      </c>
      <c r="D17651" s="1" t="str">
        <f t="shared" si="480"/>
        <v>PRG-1045742</v>
      </c>
      <c r="E17651" t="s">
        <v>225</v>
      </c>
      <c r="F17651" t="s">
        <v>4</v>
      </c>
      <c r="G17651" t="str">
        <f>""</f>
        <v/>
      </c>
    </row>
    <row r="17652" spans="1:7" x14ac:dyDescent="0.25">
      <c r="A17652" t="s">
        <v>8</v>
      </c>
      <c r="B17652" s="1" t="str">
        <f>"000076023 - RICHES 110244 CHEESE"</f>
        <v>000076023 - RICHES 110244 CHEESE</v>
      </c>
      <c r="C17652" t="s">
        <v>737</v>
      </c>
      <c r="D17652" s="1" t="str">
        <f t="shared" si="480"/>
        <v>PRG-1045742</v>
      </c>
      <c r="E17652" t="s">
        <v>225</v>
      </c>
      <c r="F17652" t="s">
        <v>4</v>
      </c>
      <c r="G17652" t="str">
        <f>""</f>
        <v/>
      </c>
    </row>
    <row r="17653" spans="1:7" x14ac:dyDescent="0.25">
      <c r="A17653" t="s">
        <v>8</v>
      </c>
      <c r="B17653" s="1" t="str">
        <f>"000079991 - RICHES 100912 DOUGH"</f>
        <v>000079991 - RICHES 100912 DOUGH</v>
      </c>
      <c r="C17653" t="s">
        <v>736</v>
      </c>
      <c r="D17653" s="1" t="str">
        <f t="shared" si="480"/>
        <v>PRG-1045742</v>
      </c>
      <c r="E17653" t="s">
        <v>225</v>
      </c>
      <c r="F17653" t="s">
        <v>4</v>
      </c>
      <c r="G17653" t="str">
        <f>""</f>
        <v/>
      </c>
    </row>
    <row r="17654" spans="1:7" x14ac:dyDescent="0.25">
      <c r="A17654" t="s">
        <v>8</v>
      </c>
      <c r="B17654" s="1" t="str">
        <f>"000083648 - RICHES 110244 CHEESE"</f>
        <v>000083648 - RICHES 110244 CHEESE</v>
      </c>
      <c r="C17654" t="s">
        <v>737</v>
      </c>
      <c r="D17654" s="1" t="str">
        <f t="shared" si="480"/>
        <v>PRG-1045742</v>
      </c>
      <c r="E17654" t="s">
        <v>225</v>
      </c>
      <c r="F17654" t="s">
        <v>4</v>
      </c>
      <c r="G17654" t="str">
        <f>""</f>
        <v/>
      </c>
    </row>
    <row r="17655" spans="1:7" x14ac:dyDescent="0.25">
      <c r="A17655" t="s">
        <v>8</v>
      </c>
      <c r="B17655" s="1" t="str">
        <f>"000083649 - RICHES 100912 DOUGH"</f>
        <v>000083649 - RICHES 100912 DOUGH</v>
      </c>
      <c r="C17655" t="s">
        <v>736</v>
      </c>
      <c r="D17655" s="1" t="str">
        <f t="shared" si="480"/>
        <v>PRG-1045742</v>
      </c>
      <c r="E17655" t="s">
        <v>225</v>
      </c>
      <c r="F17655" t="s">
        <v>4</v>
      </c>
      <c r="G17655" t="str">
        <f>""</f>
        <v/>
      </c>
    </row>
    <row r="17656" spans="1:7" x14ac:dyDescent="0.25">
      <c r="A17656" t="s">
        <v>8</v>
      </c>
      <c r="B17656" s="1" t="str">
        <f>"000085057 - RICH PRODUCTS - WEST ADA"</f>
        <v>000085057 - RICH PRODUCTS - WEST ADA</v>
      </c>
      <c r="C17656" t="s">
        <v>760</v>
      </c>
      <c r="D17656" s="1" t="str">
        <f t="shared" si="480"/>
        <v>PRG-1045742</v>
      </c>
      <c r="E17656" t="s">
        <v>225</v>
      </c>
      <c r="F17656" t="s">
        <v>4</v>
      </c>
      <c r="G17656" t="str">
        <f>""</f>
        <v/>
      </c>
    </row>
    <row r="17657" spans="1:7" x14ac:dyDescent="0.25">
      <c r="A17657" t="s">
        <v>8</v>
      </c>
      <c r="B17657" s="1" t="str">
        <f>"000085242 - RICHES 100912 DOUGH"</f>
        <v>000085242 - RICHES 100912 DOUGH</v>
      </c>
      <c r="C17657" t="s">
        <v>736</v>
      </c>
      <c r="D17657" s="1" t="str">
        <f t="shared" si="480"/>
        <v>PRG-1045742</v>
      </c>
      <c r="E17657" t="s">
        <v>225</v>
      </c>
      <c r="F17657" t="s">
        <v>4</v>
      </c>
      <c r="G17657" t="str">
        <f>""</f>
        <v/>
      </c>
    </row>
    <row r="17658" spans="1:7" x14ac:dyDescent="0.25">
      <c r="A17658" t="s">
        <v>8</v>
      </c>
      <c r="B17658" s="1" t="str">
        <f>"000093454 - RICHES 100912 DOUGH"</f>
        <v>000093454 - RICHES 100912 DOUGH</v>
      </c>
      <c r="C17658" t="s">
        <v>736</v>
      </c>
      <c r="D17658" s="1" t="str">
        <f t="shared" si="480"/>
        <v>PRG-1045742</v>
      </c>
      <c r="E17658" t="s">
        <v>225</v>
      </c>
      <c r="F17658" t="s">
        <v>4</v>
      </c>
      <c r="G17658" t="str">
        <f>""</f>
        <v/>
      </c>
    </row>
    <row r="17659" spans="1:7" x14ac:dyDescent="0.25">
      <c r="A17659" t="s">
        <v>8</v>
      </c>
      <c r="B17659" s="1" t="str">
        <f>"000093455 - RICHES 110244 CHEESE"</f>
        <v>000093455 - RICHES 110244 CHEESE</v>
      </c>
      <c r="C17659" t="s">
        <v>737</v>
      </c>
      <c r="D17659" s="1" t="str">
        <f t="shared" si="480"/>
        <v>PRG-1045742</v>
      </c>
      <c r="E17659" t="s">
        <v>225</v>
      </c>
      <c r="F17659" t="s">
        <v>4</v>
      </c>
      <c r="G17659" t="str">
        <f>""</f>
        <v/>
      </c>
    </row>
    <row r="17660" spans="1:7" x14ac:dyDescent="0.25">
      <c r="A17660" t="s">
        <v>8</v>
      </c>
      <c r="B17660" s="1" t="str">
        <f>"000094305 - RICHES 100912 DOUGH"</f>
        <v>000094305 - RICHES 100912 DOUGH</v>
      </c>
      <c r="C17660" t="s">
        <v>736</v>
      </c>
      <c r="D17660" s="1" t="str">
        <f t="shared" si="480"/>
        <v>PRG-1045742</v>
      </c>
      <c r="E17660" t="s">
        <v>225</v>
      </c>
      <c r="F17660" t="s">
        <v>4</v>
      </c>
      <c r="G17660" t="str">
        <f>""</f>
        <v/>
      </c>
    </row>
    <row r="17661" spans="1:7" x14ac:dyDescent="0.25">
      <c r="A17661" t="s">
        <v>8</v>
      </c>
      <c r="B17661" s="1" t="str">
        <f>"000094316 - RICHES 110244 CHEESE"</f>
        <v>000094316 - RICHES 110244 CHEESE</v>
      </c>
      <c r="C17661" t="s">
        <v>737</v>
      </c>
      <c r="D17661" s="1" t="str">
        <f t="shared" si="480"/>
        <v>PRG-1045742</v>
      </c>
      <c r="E17661" t="s">
        <v>225</v>
      </c>
      <c r="F17661" t="s">
        <v>4</v>
      </c>
      <c r="G17661" t="str">
        <f>""</f>
        <v/>
      </c>
    </row>
    <row r="17662" spans="1:7" x14ac:dyDescent="0.25">
      <c r="A17662" t="s">
        <v>8</v>
      </c>
      <c r="B17662" s="1" t="str">
        <f>"000096179 - RICHES 110244 CHEESE"</f>
        <v>000096179 - RICHES 110244 CHEESE</v>
      </c>
      <c r="C17662" t="s">
        <v>737</v>
      </c>
      <c r="D17662" s="1" t="str">
        <f t="shared" si="480"/>
        <v>PRG-1045742</v>
      </c>
      <c r="E17662" t="s">
        <v>225</v>
      </c>
      <c r="F17662" t="s">
        <v>4</v>
      </c>
      <c r="G17662" t="str">
        <f>""</f>
        <v/>
      </c>
    </row>
    <row r="17663" spans="1:7" x14ac:dyDescent="0.25">
      <c r="A17663" t="s">
        <v>8</v>
      </c>
      <c r="B17663" s="1" t="str">
        <f>"000096181 - RICHES 100912 CHEESE"</f>
        <v>000096181 - RICHES 100912 CHEESE</v>
      </c>
      <c r="C17663" t="s">
        <v>784</v>
      </c>
      <c r="D17663" s="1" t="str">
        <f t="shared" si="480"/>
        <v>PRG-1045742</v>
      </c>
      <c r="E17663" t="s">
        <v>225</v>
      </c>
      <c r="F17663" t="s">
        <v>4</v>
      </c>
      <c r="G17663" t="str">
        <f>""</f>
        <v/>
      </c>
    </row>
    <row r="17664" spans="1:7" x14ac:dyDescent="0.25">
      <c r="A17664" t="s">
        <v>8</v>
      </c>
      <c r="B17664" s="1" t="str">
        <f>"000096813 - RICHES 110244 CHEESE"</f>
        <v>000096813 - RICHES 110244 CHEESE</v>
      </c>
      <c r="C17664" t="s">
        <v>737</v>
      </c>
      <c r="D17664" s="1" t="str">
        <f t="shared" si="480"/>
        <v>PRG-1045742</v>
      </c>
      <c r="E17664" t="s">
        <v>225</v>
      </c>
      <c r="F17664" t="s">
        <v>4</v>
      </c>
      <c r="G17664" t="str">
        <f>""</f>
        <v/>
      </c>
    </row>
    <row r="17665" spans="1:7" x14ac:dyDescent="0.25">
      <c r="A17665" t="s">
        <v>8</v>
      </c>
      <c r="B17665" s="1" t="str">
        <f>"000096814 - RICHES 100912 CHEESE"</f>
        <v>000096814 - RICHES 100912 CHEESE</v>
      </c>
      <c r="C17665" t="s">
        <v>784</v>
      </c>
      <c r="D17665" s="1" t="str">
        <f t="shared" si="480"/>
        <v>PRG-1045742</v>
      </c>
      <c r="E17665" t="s">
        <v>225</v>
      </c>
      <c r="F17665" t="s">
        <v>4</v>
      </c>
      <c r="G17665" t="str">
        <f>""</f>
        <v/>
      </c>
    </row>
    <row r="17666" spans="1:7" x14ac:dyDescent="0.25">
      <c r="A17666" t="s">
        <v>8</v>
      </c>
      <c r="B17666" s="1" t="str">
        <f>"000097610 - RICHES 110244 CHEESE"</f>
        <v>000097610 - RICHES 110244 CHEESE</v>
      </c>
      <c r="C17666" t="s">
        <v>737</v>
      </c>
      <c r="D17666" s="1" t="str">
        <f t="shared" si="480"/>
        <v>PRG-1045742</v>
      </c>
      <c r="E17666" t="s">
        <v>225</v>
      </c>
      <c r="F17666" t="s">
        <v>4</v>
      </c>
      <c r="G17666" t="str">
        <f>""</f>
        <v/>
      </c>
    </row>
    <row r="17667" spans="1:7" x14ac:dyDescent="0.25">
      <c r="A17667" t="s">
        <v>8</v>
      </c>
      <c r="B17667" s="1" t="str">
        <f>"000097611 - RICHES 100912 CHEESE"</f>
        <v>000097611 - RICHES 100912 CHEESE</v>
      </c>
      <c r="C17667" t="s">
        <v>784</v>
      </c>
      <c r="D17667" s="1" t="str">
        <f t="shared" si="480"/>
        <v>PRG-1045742</v>
      </c>
      <c r="E17667" t="s">
        <v>225</v>
      </c>
      <c r="F17667" t="s">
        <v>4</v>
      </c>
      <c r="G17667" t="str">
        <f>""</f>
        <v/>
      </c>
    </row>
    <row r="17668" spans="1:7" x14ac:dyDescent="0.25">
      <c r="A17668" t="s">
        <v>8</v>
      </c>
      <c r="B17668" s="1" t="str">
        <f>"000098045 - RICHES 110244 CHEESE"</f>
        <v>000098045 - RICHES 110244 CHEESE</v>
      </c>
      <c r="C17668" t="s">
        <v>737</v>
      </c>
      <c r="D17668" s="1" t="str">
        <f t="shared" si="480"/>
        <v>PRG-1045742</v>
      </c>
      <c r="E17668" t="s">
        <v>225</v>
      </c>
      <c r="F17668" t="s">
        <v>4</v>
      </c>
      <c r="G17668" t="str">
        <f>""</f>
        <v/>
      </c>
    </row>
    <row r="17669" spans="1:7" x14ac:dyDescent="0.25">
      <c r="A17669" t="s">
        <v>8</v>
      </c>
      <c r="B17669" s="1" t="str">
        <f>"000098048 - RICHES 100912 CHEESE"</f>
        <v>000098048 - RICHES 100912 CHEESE</v>
      </c>
      <c r="C17669" t="s">
        <v>784</v>
      </c>
      <c r="D17669" s="1" t="str">
        <f t="shared" si="480"/>
        <v>PRG-1045742</v>
      </c>
      <c r="E17669" t="s">
        <v>225</v>
      </c>
      <c r="F17669" t="s">
        <v>4</v>
      </c>
      <c r="G17669" t="str">
        <f>""</f>
        <v/>
      </c>
    </row>
    <row r="17670" spans="1:7" x14ac:dyDescent="0.25">
      <c r="A17670" t="s">
        <v>8</v>
      </c>
      <c r="B17670" s="1" t="str">
        <f>"000098293 - RICHES 110244 CHEESE"</f>
        <v>000098293 - RICHES 110244 CHEESE</v>
      </c>
      <c r="C17670" t="s">
        <v>737</v>
      </c>
      <c r="D17670" s="1" t="str">
        <f t="shared" si="480"/>
        <v>PRG-1045742</v>
      </c>
      <c r="E17670" t="s">
        <v>225</v>
      </c>
      <c r="F17670" t="s">
        <v>4</v>
      </c>
      <c r="G17670" t="str">
        <f>""</f>
        <v/>
      </c>
    </row>
    <row r="17671" spans="1:7" x14ac:dyDescent="0.25">
      <c r="A17671" t="s">
        <v>8</v>
      </c>
      <c r="B17671" s="1" t="str">
        <f>"000098294 - RICHES 100912 CHEESE"</f>
        <v>000098294 - RICHES 100912 CHEESE</v>
      </c>
      <c r="C17671" t="s">
        <v>784</v>
      </c>
      <c r="D17671" s="1" t="str">
        <f t="shared" si="480"/>
        <v>PRG-1045742</v>
      </c>
      <c r="E17671" t="s">
        <v>225</v>
      </c>
      <c r="F17671" t="s">
        <v>4</v>
      </c>
      <c r="G17671" t="str">
        <f>""</f>
        <v/>
      </c>
    </row>
    <row r="17672" spans="1:7" x14ac:dyDescent="0.25">
      <c r="A17672" t="s">
        <v>8</v>
      </c>
      <c r="B17672" s="1" t="str">
        <f>"000098572 - RICHES 110244 CHEESE"</f>
        <v>000098572 - RICHES 110244 CHEESE</v>
      </c>
      <c r="C17672" t="s">
        <v>737</v>
      </c>
      <c r="D17672" s="1" t="str">
        <f t="shared" si="480"/>
        <v>PRG-1045742</v>
      </c>
      <c r="E17672" t="s">
        <v>225</v>
      </c>
      <c r="F17672" t="s">
        <v>4</v>
      </c>
      <c r="G17672" t="str">
        <f>""</f>
        <v/>
      </c>
    </row>
    <row r="17673" spans="1:7" x14ac:dyDescent="0.25">
      <c r="A17673" t="s">
        <v>8</v>
      </c>
      <c r="B17673" s="1" t="str">
        <f>"000098576 - RICHES 100912 CHEESE"</f>
        <v>000098576 - RICHES 100912 CHEESE</v>
      </c>
      <c r="C17673" t="s">
        <v>784</v>
      </c>
      <c r="D17673" s="1" t="str">
        <f t="shared" si="480"/>
        <v>PRG-1045742</v>
      </c>
      <c r="E17673" t="s">
        <v>225</v>
      </c>
      <c r="F17673" t="s">
        <v>4</v>
      </c>
      <c r="G17673" t="str">
        <f>""</f>
        <v/>
      </c>
    </row>
    <row r="17674" spans="1:7" x14ac:dyDescent="0.25">
      <c r="A17674" t="s">
        <v>8</v>
      </c>
      <c r="B17674" s="1" t="str">
        <f>"000098880 - RICHES 110244 CHEESE"</f>
        <v>000098880 - RICHES 110244 CHEESE</v>
      </c>
      <c r="C17674" t="s">
        <v>737</v>
      </c>
      <c r="D17674" s="1" t="str">
        <f t="shared" si="480"/>
        <v>PRG-1045742</v>
      </c>
      <c r="E17674" t="s">
        <v>225</v>
      </c>
      <c r="F17674" t="s">
        <v>4</v>
      </c>
      <c r="G17674" t="str">
        <f>""</f>
        <v/>
      </c>
    </row>
    <row r="17675" spans="1:7" x14ac:dyDescent="0.25">
      <c r="A17675" t="s">
        <v>8</v>
      </c>
      <c r="B17675" s="1" t="str">
        <f>"000099482 - RICHES 100912 CHEESE"</f>
        <v>000099482 - RICHES 100912 CHEESE</v>
      </c>
      <c r="C17675" t="s">
        <v>784</v>
      </c>
      <c r="D17675" s="1" t="str">
        <f t="shared" si="480"/>
        <v>PRG-1045742</v>
      </c>
      <c r="E17675" t="s">
        <v>225</v>
      </c>
      <c r="F17675" t="s">
        <v>4</v>
      </c>
      <c r="G17675" t="str">
        <f>""</f>
        <v/>
      </c>
    </row>
    <row r="17676" spans="1:7" x14ac:dyDescent="0.25">
      <c r="A17676" t="s">
        <v>8</v>
      </c>
      <c r="B17676" s="1" t="str">
        <f>"000099483 - RICHES 110244 CHEESE"</f>
        <v>000099483 - RICHES 110244 CHEESE</v>
      </c>
      <c r="C17676" t="s">
        <v>737</v>
      </c>
      <c r="D17676" s="1" t="str">
        <f t="shared" si="480"/>
        <v>PRG-1045742</v>
      </c>
      <c r="E17676" t="s">
        <v>225</v>
      </c>
      <c r="F17676" t="s">
        <v>4</v>
      </c>
      <c r="G17676" t="str">
        <f>""</f>
        <v/>
      </c>
    </row>
    <row r="17677" spans="1:7" x14ac:dyDescent="0.25">
      <c r="A17677" t="s">
        <v>8</v>
      </c>
      <c r="B17677" s="1" t="str">
        <f>"000099807 - RICHES 100912 CHEESE"</f>
        <v>000099807 - RICHES 100912 CHEESE</v>
      </c>
      <c r="C17677" t="s">
        <v>784</v>
      </c>
      <c r="D17677" s="1" t="str">
        <f t="shared" si="480"/>
        <v>PRG-1045742</v>
      </c>
      <c r="E17677" t="s">
        <v>225</v>
      </c>
      <c r="F17677" t="s">
        <v>4</v>
      </c>
      <c r="G17677" t="str">
        <f>""</f>
        <v/>
      </c>
    </row>
    <row r="17678" spans="1:7" x14ac:dyDescent="0.25">
      <c r="A17678" t="s">
        <v>8</v>
      </c>
      <c r="B17678" s="1" t="str">
        <f>"000099808 - RICHES 110244 CHEESE"</f>
        <v>000099808 - RICHES 110244 CHEESE</v>
      </c>
      <c r="C17678" t="s">
        <v>737</v>
      </c>
      <c r="D17678" s="1" t="str">
        <f t="shared" si="480"/>
        <v>PRG-1045742</v>
      </c>
      <c r="E17678" t="s">
        <v>225</v>
      </c>
      <c r="F17678" t="s">
        <v>4</v>
      </c>
      <c r="G17678" t="str">
        <f>""</f>
        <v/>
      </c>
    </row>
    <row r="17679" spans="1:7" x14ac:dyDescent="0.25">
      <c r="A17679" t="s">
        <v>8</v>
      </c>
      <c r="B17679" s="1" t="str">
        <f>"000100334 - RICHES 100912 CHEESE"</f>
        <v>000100334 - RICHES 100912 CHEESE</v>
      </c>
      <c r="C17679" t="s">
        <v>784</v>
      </c>
      <c r="D17679" s="1" t="str">
        <f t="shared" si="480"/>
        <v>PRG-1045742</v>
      </c>
      <c r="E17679" t="s">
        <v>225</v>
      </c>
      <c r="F17679" t="s">
        <v>4</v>
      </c>
      <c r="G17679" t="str">
        <f>""</f>
        <v/>
      </c>
    </row>
    <row r="17680" spans="1:7" x14ac:dyDescent="0.25">
      <c r="A17680" t="s">
        <v>8</v>
      </c>
      <c r="B17680" s="1" t="str">
        <f>"000100336 - RICHES 110244 CHEESE"</f>
        <v>000100336 - RICHES 110244 CHEESE</v>
      </c>
      <c r="C17680" t="s">
        <v>737</v>
      </c>
      <c r="D17680" s="1" t="str">
        <f t="shared" si="480"/>
        <v>PRG-1045742</v>
      </c>
      <c r="E17680" t="s">
        <v>225</v>
      </c>
      <c r="F17680" t="s">
        <v>4</v>
      </c>
      <c r="G17680" t="str">
        <f>""</f>
        <v/>
      </c>
    </row>
    <row r="17681" spans="1:7" x14ac:dyDescent="0.25">
      <c r="A17681" t="s">
        <v>8</v>
      </c>
      <c r="B17681" s="1" t="str">
        <f>"000101207 - RICHES 110244 CHEESE"</f>
        <v>000101207 - RICHES 110244 CHEESE</v>
      </c>
      <c r="C17681" t="s">
        <v>737</v>
      </c>
      <c r="D17681" s="1" t="str">
        <f t="shared" si="480"/>
        <v>PRG-1045742</v>
      </c>
      <c r="E17681" t="s">
        <v>225</v>
      </c>
      <c r="F17681" t="s">
        <v>4</v>
      </c>
      <c r="G17681" t="str">
        <f>""</f>
        <v/>
      </c>
    </row>
    <row r="17682" spans="1:7" x14ac:dyDescent="0.25">
      <c r="A17682" t="s">
        <v>8</v>
      </c>
      <c r="B17682" s="1" t="str">
        <f>"000101208 - RICHES 100912  CHEESE"</f>
        <v>000101208 - RICHES 100912  CHEESE</v>
      </c>
      <c r="C17682" t="s">
        <v>801</v>
      </c>
      <c r="D17682" s="1" t="str">
        <f t="shared" si="480"/>
        <v>PRG-1045742</v>
      </c>
      <c r="E17682" t="s">
        <v>225</v>
      </c>
      <c r="F17682" t="s">
        <v>4</v>
      </c>
      <c r="G17682" t="str">
        <f>""</f>
        <v/>
      </c>
    </row>
    <row r="17683" spans="1:7" x14ac:dyDescent="0.25">
      <c r="A17683" t="s">
        <v>8</v>
      </c>
      <c r="B17683" s="1" t="str">
        <f>"000101812 - RICHES 100912 CHEESE"</f>
        <v>000101812 - RICHES 100912 CHEESE</v>
      </c>
      <c r="C17683" t="s">
        <v>784</v>
      </c>
      <c r="D17683" s="1" t="str">
        <f t="shared" si="480"/>
        <v>PRG-1045742</v>
      </c>
      <c r="E17683" t="s">
        <v>225</v>
      </c>
      <c r="F17683" t="s">
        <v>4</v>
      </c>
      <c r="G17683" t="str">
        <f>""</f>
        <v/>
      </c>
    </row>
    <row r="17684" spans="1:7" x14ac:dyDescent="0.25">
      <c r="A17684" t="s">
        <v>8</v>
      </c>
      <c r="B17684" s="1" t="str">
        <f>"000102191 - RICHES 110244 CHEESE"</f>
        <v>000102191 - RICHES 110244 CHEESE</v>
      </c>
      <c r="C17684" t="s">
        <v>737</v>
      </c>
      <c r="D17684" s="1" t="str">
        <f t="shared" ref="D17684:D17747" si="481">"PRG-1045742"</f>
        <v>PRG-1045742</v>
      </c>
      <c r="E17684" t="s">
        <v>225</v>
      </c>
      <c r="F17684" t="s">
        <v>4</v>
      </c>
      <c r="G17684" t="str">
        <f>""</f>
        <v/>
      </c>
    </row>
    <row r="17685" spans="1:7" x14ac:dyDescent="0.25">
      <c r="A17685" t="s">
        <v>8</v>
      </c>
      <c r="B17685" s="1" t="str">
        <f>"000102427 - RICHES 100912 DOUGH"</f>
        <v>000102427 - RICHES 100912 DOUGH</v>
      </c>
      <c r="C17685" t="s">
        <v>736</v>
      </c>
      <c r="D17685" s="1" t="str">
        <f t="shared" si="481"/>
        <v>PRG-1045742</v>
      </c>
      <c r="E17685" t="s">
        <v>225</v>
      </c>
      <c r="F17685" t="s">
        <v>4</v>
      </c>
      <c r="G17685" t="str">
        <f>""</f>
        <v/>
      </c>
    </row>
    <row r="17686" spans="1:7" x14ac:dyDescent="0.25">
      <c r="A17686" t="s">
        <v>8</v>
      </c>
      <c r="B17686" s="1" t="str">
        <f>"000102484 - RICHES 100912 DOUGH"</f>
        <v>000102484 - RICHES 100912 DOUGH</v>
      </c>
      <c r="C17686" t="s">
        <v>736</v>
      </c>
      <c r="D17686" s="1" t="str">
        <f t="shared" si="481"/>
        <v>PRG-1045742</v>
      </c>
      <c r="E17686" t="s">
        <v>225</v>
      </c>
      <c r="F17686" t="s">
        <v>4</v>
      </c>
      <c r="G17686" t="str">
        <f>""</f>
        <v/>
      </c>
    </row>
    <row r="17687" spans="1:7" x14ac:dyDescent="0.25">
      <c r="A17687" t="s">
        <v>8</v>
      </c>
      <c r="B17687" s="1" t="str">
        <f>"000102485 - RICHES 110244 CHEESE"</f>
        <v>000102485 - RICHES 110244 CHEESE</v>
      </c>
      <c r="C17687" t="s">
        <v>737</v>
      </c>
      <c r="D17687" s="1" t="str">
        <f t="shared" si="481"/>
        <v>PRG-1045742</v>
      </c>
      <c r="E17687" t="s">
        <v>225</v>
      </c>
      <c r="F17687" t="s">
        <v>4</v>
      </c>
      <c r="G17687" t="str">
        <f>""</f>
        <v/>
      </c>
    </row>
    <row r="17688" spans="1:7" x14ac:dyDescent="0.25">
      <c r="A17688" t="s">
        <v>8</v>
      </c>
      <c r="B17688" s="1" t="str">
        <f>"000102699 - RICHES 100912 DOUGH"</f>
        <v>000102699 - RICHES 100912 DOUGH</v>
      </c>
      <c r="C17688" t="s">
        <v>736</v>
      </c>
      <c r="D17688" s="1" t="str">
        <f t="shared" si="481"/>
        <v>PRG-1045742</v>
      </c>
      <c r="E17688" t="s">
        <v>225</v>
      </c>
      <c r="F17688" t="s">
        <v>4</v>
      </c>
      <c r="G17688" t="str">
        <f>""</f>
        <v/>
      </c>
    </row>
    <row r="17689" spans="1:7" x14ac:dyDescent="0.25">
      <c r="A17689" t="s">
        <v>8</v>
      </c>
      <c r="B17689" s="1" t="str">
        <f>"000102752 - RICHES 100912 DOUGH"</f>
        <v>000102752 - RICHES 100912 DOUGH</v>
      </c>
      <c r="C17689" t="s">
        <v>736</v>
      </c>
      <c r="D17689" s="1" t="str">
        <f t="shared" si="481"/>
        <v>PRG-1045742</v>
      </c>
      <c r="E17689" t="s">
        <v>225</v>
      </c>
      <c r="F17689" t="s">
        <v>4</v>
      </c>
      <c r="G17689" t="str">
        <f>""</f>
        <v/>
      </c>
    </row>
    <row r="17690" spans="1:7" x14ac:dyDescent="0.25">
      <c r="A17690" t="s">
        <v>8</v>
      </c>
      <c r="B17690" s="1" t="str">
        <f>"000102753 - RICHES 110244 CHEESE"</f>
        <v>000102753 - RICHES 110244 CHEESE</v>
      </c>
      <c r="C17690" t="s">
        <v>737</v>
      </c>
      <c r="D17690" s="1" t="str">
        <f t="shared" si="481"/>
        <v>PRG-1045742</v>
      </c>
      <c r="E17690" t="s">
        <v>225</v>
      </c>
      <c r="F17690" t="s">
        <v>4</v>
      </c>
      <c r="G17690" t="str">
        <f>""</f>
        <v/>
      </c>
    </row>
    <row r="17691" spans="1:7" x14ac:dyDescent="0.25">
      <c r="A17691" t="s">
        <v>8</v>
      </c>
      <c r="B17691" s="1" t="str">
        <f>"000103203 - RICHES 100912 DOUGH"</f>
        <v>000103203 - RICHES 100912 DOUGH</v>
      </c>
      <c r="C17691" t="s">
        <v>736</v>
      </c>
      <c r="D17691" s="1" t="str">
        <f t="shared" si="481"/>
        <v>PRG-1045742</v>
      </c>
      <c r="E17691" t="s">
        <v>225</v>
      </c>
      <c r="F17691" t="s">
        <v>4</v>
      </c>
      <c r="G17691" t="str">
        <f>""</f>
        <v/>
      </c>
    </row>
    <row r="17692" spans="1:7" x14ac:dyDescent="0.25">
      <c r="A17692" t="s">
        <v>8</v>
      </c>
      <c r="B17692" s="1" t="str">
        <f>"000103208 - RICHES 110244 CHEESE"</f>
        <v>000103208 - RICHES 110244 CHEESE</v>
      </c>
      <c r="C17692" t="s">
        <v>737</v>
      </c>
      <c r="D17692" s="1" t="str">
        <f t="shared" si="481"/>
        <v>PRG-1045742</v>
      </c>
      <c r="E17692" t="s">
        <v>225</v>
      </c>
      <c r="F17692" t="s">
        <v>4</v>
      </c>
      <c r="G17692" t="str">
        <f>""</f>
        <v/>
      </c>
    </row>
    <row r="17693" spans="1:7" x14ac:dyDescent="0.25">
      <c r="A17693" t="s">
        <v>8</v>
      </c>
      <c r="B17693" s="1" t="str">
        <f>"000103628 - RICHES 100912 DOUGH"</f>
        <v>000103628 - RICHES 100912 DOUGH</v>
      </c>
      <c r="C17693" t="s">
        <v>736</v>
      </c>
      <c r="D17693" s="1" t="str">
        <f t="shared" si="481"/>
        <v>PRG-1045742</v>
      </c>
      <c r="E17693" t="s">
        <v>225</v>
      </c>
      <c r="F17693" t="s">
        <v>4</v>
      </c>
      <c r="G17693" t="str">
        <f>""</f>
        <v/>
      </c>
    </row>
    <row r="17694" spans="1:7" x14ac:dyDescent="0.25">
      <c r="A17694" t="s">
        <v>8</v>
      </c>
      <c r="B17694" s="1" t="str">
        <f>"000103629 - RICHES 110244 CHEESE"</f>
        <v>000103629 - RICHES 110244 CHEESE</v>
      </c>
      <c r="C17694" t="s">
        <v>737</v>
      </c>
      <c r="D17694" s="1" t="str">
        <f t="shared" si="481"/>
        <v>PRG-1045742</v>
      </c>
      <c r="E17694" t="s">
        <v>225</v>
      </c>
      <c r="F17694" t="s">
        <v>4</v>
      </c>
      <c r="G17694" t="str">
        <f>""</f>
        <v/>
      </c>
    </row>
    <row r="17695" spans="1:7" x14ac:dyDescent="0.25">
      <c r="A17695" t="s">
        <v>8</v>
      </c>
      <c r="B17695" s="1" t="str">
        <f>"000104134 - RICHES 100912 DOUGH"</f>
        <v>000104134 - RICHES 100912 DOUGH</v>
      </c>
      <c r="C17695" t="s">
        <v>736</v>
      </c>
      <c r="D17695" s="1" t="str">
        <f t="shared" si="481"/>
        <v>PRG-1045742</v>
      </c>
      <c r="E17695" t="s">
        <v>225</v>
      </c>
      <c r="F17695" t="s">
        <v>4</v>
      </c>
      <c r="G17695" t="str">
        <f>""</f>
        <v/>
      </c>
    </row>
    <row r="17696" spans="1:7" x14ac:dyDescent="0.25">
      <c r="A17696" t="s">
        <v>8</v>
      </c>
      <c r="B17696" s="1" t="str">
        <f>"000104135 - RICHES 110244 CHEESE"</f>
        <v>000104135 - RICHES 110244 CHEESE</v>
      </c>
      <c r="C17696" t="s">
        <v>737</v>
      </c>
      <c r="D17696" s="1" t="str">
        <f t="shared" si="481"/>
        <v>PRG-1045742</v>
      </c>
      <c r="E17696" t="s">
        <v>225</v>
      </c>
      <c r="F17696" t="s">
        <v>4</v>
      </c>
      <c r="G17696" t="str">
        <f>""</f>
        <v/>
      </c>
    </row>
    <row r="17697" spans="1:7" x14ac:dyDescent="0.25">
      <c r="A17697" t="s">
        <v>8</v>
      </c>
      <c r="B17697" s="1" t="str">
        <f>"000104374 - RICHES 100912 DOUGH"</f>
        <v>000104374 - RICHES 100912 DOUGH</v>
      </c>
      <c r="C17697" t="s">
        <v>736</v>
      </c>
      <c r="D17697" s="1" t="str">
        <f t="shared" si="481"/>
        <v>PRG-1045742</v>
      </c>
      <c r="E17697" t="s">
        <v>225</v>
      </c>
      <c r="F17697" t="s">
        <v>4</v>
      </c>
      <c r="G17697" t="str">
        <f>""</f>
        <v/>
      </c>
    </row>
    <row r="17698" spans="1:7" x14ac:dyDescent="0.25">
      <c r="A17698" t="s">
        <v>8</v>
      </c>
      <c r="B17698" s="1" t="str">
        <f>"000104375 - RICHES 110244 CHEESE"</f>
        <v>000104375 - RICHES 110244 CHEESE</v>
      </c>
      <c r="C17698" t="s">
        <v>737</v>
      </c>
      <c r="D17698" s="1" t="str">
        <f t="shared" si="481"/>
        <v>PRG-1045742</v>
      </c>
      <c r="E17698" t="s">
        <v>225</v>
      </c>
      <c r="F17698" t="s">
        <v>4</v>
      </c>
      <c r="G17698" t="str">
        <f>""</f>
        <v/>
      </c>
    </row>
    <row r="17699" spans="1:7" x14ac:dyDescent="0.25">
      <c r="A17699" t="s">
        <v>8</v>
      </c>
      <c r="B17699" s="1" t="str">
        <f>"000104732 - RICHES 100912 DOUGH"</f>
        <v>000104732 - RICHES 100912 DOUGH</v>
      </c>
      <c r="C17699" t="s">
        <v>736</v>
      </c>
      <c r="D17699" s="1" t="str">
        <f t="shared" si="481"/>
        <v>PRG-1045742</v>
      </c>
      <c r="E17699" t="s">
        <v>225</v>
      </c>
      <c r="F17699" t="s">
        <v>4</v>
      </c>
      <c r="G17699" t="str">
        <f>""</f>
        <v/>
      </c>
    </row>
    <row r="17700" spans="1:7" x14ac:dyDescent="0.25">
      <c r="A17700" t="s">
        <v>8</v>
      </c>
      <c r="B17700" s="1" t="str">
        <f>"000104733 - RICHES 110244 CHEESE"</f>
        <v>000104733 - RICHES 110244 CHEESE</v>
      </c>
      <c r="C17700" t="s">
        <v>737</v>
      </c>
      <c r="D17700" s="1" t="str">
        <f t="shared" si="481"/>
        <v>PRG-1045742</v>
      </c>
      <c r="E17700" t="s">
        <v>225</v>
      </c>
      <c r="F17700" t="s">
        <v>4</v>
      </c>
      <c r="G17700" t="str">
        <f>""</f>
        <v/>
      </c>
    </row>
    <row r="17701" spans="1:7" x14ac:dyDescent="0.25">
      <c r="A17701" t="s">
        <v>8</v>
      </c>
      <c r="B17701" s="1" t="str">
        <f>"000105419 - RICHES 110244 CHEESE"</f>
        <v>000105419 - RICHES 110244 CHEESE</v>
      </c>
      <c r="C17701" t="s">
        <v>737</v>
      </c>
      <c r="D17701" s="1" t="str">
        <f t="shared" si="481"/>
        <v>PRG-1045742</v>
      </c>
      <c r="E17701" t="s">
        <v>225</v>
      </c>
      <c r="F17701" t="s">
        <v>4</v>
      </c>
      <c r="G17701" t="str">
        <f>""</f>
        <v/>
      </c>
    </row>
    <row r="17702" spans="1:7" x14ac:dyDescent="0.25">
      <c r="A17702" t="s">
        <v>8</v>
      </c>
      <c r="B17702" s="1" t="str">
        <f>"000105426 - RICHES 100912 DOUGH"</f>
        <v>000105426 - RICHES 100912 DOUGH</v>
      </c>
      <c r="C17702" t="s">
        <v>736</v>
      </c>
      <c r="D17702" s="1" t="str">
        <f t="shared" si="481"/>
        <v>PRG-1045742</v>
      </c>
      <c r="E17702" t="s">
        <v>225</v>
      </c>
      <c r="F17702" t="s">
        <v>4</v>
      </c>
      <c r="G17702" t="str">
        <f>""</f>
        <v/>
      </c>
    </row>
    <row r="17703" spans="1:7" x14ac:dyDescent="0.25">
      <c r="A17703" t="s">
        <v>8</v>
      </c>
      <c r="B17703" s="1" t="str">
        <f>"000105734 - RICHES 110244 CHEESE"</f>
        <v>000105734 - RICHES 110244 CHEESE</v>
      </c>
      <c r="C17703" t="s">
        <v>737</v>
      </c>
      <c r="D17703" s="1" t="str">
        <f t="shared" si="481"/>
        <v>PRG-1045742</v>
      </c>
      <c r="E17703" t="s">
        <v>225</v>
      </c>
      <c r="F17703" t="s">
        <v>4</v>
      </c>
      <c r="G17703" t="str">
        <f>""</f>
        <v/>
      </c>
    </row>
    <row r="17704" spans="1:7" x14ac:dyDescent="0.25">
      <c r="A17704" t="s">
        <v>8</v>
      </c>
      <c r="B17704" s="1" t="str">
        <f>"000106465 - RICHES 100912 DOUGH"</f>
        <v>000106465 - RICHES 100912 DOUGH</v>
      </c>
      <c r="C17704" t="s">
        <v>736</v>
      </c>
      <c r="D17704" s="1" t="str">
        <f t="shared" si="481"/>
        <v>PRG-1045742</v>
      </c>
      <c r="E17704" t="s">
        <v>225</v>
      </c>
      <c r="F17704" t="s">
        <v>4</v>
      </c>
      <c r="G17704" t="str">
        <f>""</f>
        <v/>
      </c>
    </row>
    <row r="17705" spans="1:7" x14ac:dyDescent="0.25">
      <c r="A17705" t="s">
        <v>8</v>
      </c>
      <c r="B17705" s="1" t="str">
        <f>"000106468 - RICHES 110244 CHEESE"</f>
        <v>000106468 - RICHES 110244 CHEESE</v>
      </c>
      <c r="C17705" t="s">
        <v>737</v>
      </c>
      <c r="D17705" s="1" t="str">
        <f t="shared" si="481"/>
        <v>PRG-1045742</v>
      </c>
      <c r="E17705" t="s">
        <v>225</v>
      </c>
      <c r="F17705" t="s">
        <v>4</v>
      </c>
      <c r="G17705" t="str">
        <f>""</f>
        <v/>
      </c>
    </row>
    <row r="17706" spans="1:7" x14ac:dyDescent="0.25">
      <c r="A17706" t="s">
        <v>8</v>
      </c>
      <c r="B17706" s="1" t="str">
        <f>"000107173 - RICHES 100912 DOUGH"</f>
        <v>000107173 - RICHES 100912 DOUGH</v>
      </c>
      <c r="C17706" t="s">
        <v>736</v>
      </c>
      <c r="D17706" s="1" t="str">
        <f t="shared" si="481"/>
        <v>PRG-1045742</v>
      </c>
      <c r="E17706" t="s">
        <v>225</v>
      </c>
      <c r="F17706" t="s">
        <v>4</v>
      </c>
      <c r="G17706" t="str">
        <f>""</f>
        <v/>
      </c>
    </row>
    <row r="17707" spans="1:7" x14ac:dyDescent="0.25">
      <c r="A17707" t="s">
        <v>8</v>
      </c>
      <c r="B17707" s="1" t="str">
        <f>"000107175 - RICHES 110244 CHEESE"</f>
        <v>000107175 - RICHES 110244 CHEESE</v>
      </c>
      <c r="C17707" t="s">
        <v>737</v>
      </c>
      <c r="D17707" s="1" t="str">
        <f t="shared" si="481"/>
        <v>PRG-1045742</v>
      </c>
      <c r="E17707" t="s">
        <v>225</v>
      </c>
      <c r="F17707" t="s">
        <v>4</v>
      </c>
      <c r="G17707" t="str">
        <f>""</f>
        <v/>
      </c>
    </row>
    <row r="17708" spans="1:7" x14ac:dyDescent="0.25">
      <c r="A17708" t="s">
        <v>8</v>
      </c>
      <c r="B17708" s="1" t="str">
        <f>"000108387 - RICH SBCUSD FRZN"</f>
        <v>000108387 - RICH SBCUSD FRZN</v>
      </c>
      <c r="C17708" t="s">
        <v>708</v>
      </c>
      <c r="D17708" s="1" t="str">
        <f t="shared" si="481"/>
        <v>PRG-1045742</v>
      </c>
      <c r="E17708" t="s">
        <v>225</v>
      </c>
      <c r="F17708" t="s">
        <v>4</v>
      </c>
      <c r="G17708" t="str">
        <f>""</f>
        <v/>
      </c>
    </row>
    <row r="17709" spans="1:7" x14ac:dyDescent="0.25">
      <c r="A17709" t="s">
        <v>8</v>
      </c>
      <c r="B17709" s="1" t="str">
        <f>"000160520 - USDA RICH 100912"</f>
        <v>000160520 - USDA RICH 100912</v>
      </c>
      <c r="C17709" t="s">
        <v>1041</v>
      </c>
      <c r="D17709" s="1" t="str">
        <f t="shared" si="481"/>
        <v>PRG-1045742</v>
      </c>
      <c r="E17709" t="s">
        <v>225</v>
      </c>
      <c r="F17709" t="s">
        <v>4</v>
      </c>
      <c r="G17709" t="str">
        <f>""</f>
        <v/>
      </c>
    </row>
    <row r="17710" spans="1:7" x14ac:dyDescent="0.25">
      <c r="A17710" t="s">
        <v>8</v>
      </c>
      <c r="B17710" s="1" t="str">
        <f>"000166419 - RICH'S B077 USDA P1  14 15"</f>
        <v>000166419 - RICH'S B077 USDA P1  14 15</v>
      </c>
      <c r="C17710" t="s">
        <v>1076</v>
      </c>
      <c r="D17710" s="1" t="str">
        <f t="shared" si="481"/>
        <v>PRG-1045742</v>
      </c>
      <c r="E17710" t="s">
        <v>225</v>
      </c>
      <c r="F17710" t="s">
        <v>4</v>
      </c>
      <c r="G17710" t="str">
        <f>""</f>
        <v/>
      </c>
    </row>
    <row r="17711" spans="1:7" x14ac:dyDescent="0.25">
      <c r="A17711" t="s">
        <v>8</v>
      </c>
      <c r="B17711" s="1" t="str">
        <f>"000179388 - RICH'S B077 USDA NOI 15 16"</f>
        <v>000179388 - RICH'S B077 USDA NOI 15 16</v>
      </c>
      <c r="C17711" t="s">
        <v>1132</v>
      </c>
      <c r="D17711" s="1" t="str">
        <f t="shared" si="481"/>
        <v>PRG-1045742</v>
      </c>
      <c r="E17711" t="s">
        <v>225</v>
      </c>
      <c r="F17711" t="s">
        <v>4</v>
      </c>
      <c r="G17711" t="str">
        <f>""</f>
        <v/>
      </c>
    </row>
    <row r="17712" spans="1:7" x14ac:dyDescent="0.25">
      <c r="A17712" t="s">
        <v>8</v>
      </c>
      <c r="B17712" s="1" t="str">
        <f>"000186245 - RICHS-PENDER 100912"</f>
        <v>000186245 - RICHS-PENDER 100912</v>
      </c>
      <c r="C17712" t="s">
        <v>1176</v>
      </c>
      <c r="D17712" s="1" t="str">
        <f t="shared" si="481"/>
        <v>PRG-1045742</v>
      </c>
      <c r="E17712" t="s">
        <v>225</v>
      </c>
      <c r="F17712" t="s">
        <v>4</v>
      </c>
      <c r="G17712" t="str">
        <f>""</f>
        <v/>
      </c>
    </row>
    <row r="17713" spans="1:7" x14ac:dyDescent="0.25">
      <c r="A17713" t="s">
        <v>8</v>
      </c>
      <c r="B17713" s="1" t="str">
        <f>"000186246 - RICHS-WAKE 110244"</f>
        <v>000186246 - RICHS-WAKE 110244</v>
      </c>
      <c r="C17713" t="s">
        <v>1177</v>
      </c>
      <c r="D17713" s="1" t="str">
        <f t="shared" si="481"/>
        <v>PRG-1045742</v>
      </c>
      <c r="E17713" t="s">
        <v>225</v>
      </c>
      <c r="F17713" t="s">
        <v>4</v>
      </c>
      <c r="G17713" t="str">
        <f>""</f>
        <v/>
      </c>
    </row>
    <row r="17714" spans="1:7" x14ac:dyDescent="0.25">
      <c r="A17714" t="s">
        <v>8</v>
      </c>
      <c r="B17714" s="1" t="str">
        <f>"000186247 - RICHS-CUMBELAND 110244"</f>
        <v>000186247 - RICHS-CUMBELAND 110244</v>
      </c>
      <c r="C17714" t="s">
        <v>1178</v>
      </c>
      <c r="D17714" s="1" t="str">
        <f t="shared" si="481"/>
        <v>PRG-1045742</v>
      </c>
      <c r="E17714" t="s">
        <v>225</v>
      </c>
      <c r="F17714" t="s">
        <v>4</v>
      </c>
      <c r="G17714" t="str">
        <f>""</f>
        <v/>
      </c>
    </row>
    <row r="17715" spans="1:7" x14ac:dyDescent="0.25">
      <c r="A17715" t="s">
        <v>8</v>
      </c>
      <c r="B17715" s="1" t="str">
        <f>"000214681 - USDA-RICH ARA RI SCHOOLS"</f>
        <v>000214681 - USDA-RICH ARA RI SCHOOLS</v>
      </c>
      <c r="C17715" t="s">
        <v>1510</v>
      </c>
      <c r="D17715" s="1" t="str">
        <f t="shared" si="481"/>
        <v>PRG-1045742</v>
      </c>
      <c r="E17715" t="s">
        <v>225</v>
      </c>
      <c r="F17715" t="s">
        <v>4</v>
      </c>
      <c r="G17715" t="str">
        <f>""</f>
        <v/>
      </c>
    </row>
    <row r="17716" spans="1:7" x14ac:dyDescent="0.25">
      <c r="A17716" t="s">
        <v>8</v>
      </c>
      <c r="B17716" s="1" t="str">
        <f>"000216691 - USDA RICH PEMBROKE&amp;GILFORD NH"</f>
        <v>000216691 - USDA RICH PEMBROKE&amp;GILFORD NH</v>
      </c>
      <c r="C17716" t="s">
        <v>1535</v>
      </c>
      <c r="D17716" s="1" t="str">
        <f t="shared" si="481"/>
        <v>PRG-1045742</v>
      </c>
      <c r="E17716" t="s">
        <v>225</v>
      </c>
      <c r="F17716" t="s">
        <v>4</v>
      </c>
      <c r="G17716" t="str">
        <f>""</f>
        <v/>
      </c>
    </row>
    <row r="17717" spans="1:7" x14ac:dyDescent="0.25">
      <c r="A17717" t="s">
        <v>8</v>
      </c>
      <c r="B17717" s="1" t="str">
        <f>"000226433 - RICH'S B198 NOI 2018 2019"</f>
        <v>000226433 - RICH'S B198 NOI 2018 2019</v>
      </c>
      <c r="C17717" t="s">
        <v>1694</v>
      </c>
      <c r="D17717" s="1" t="str">
        <f t="shared" si="481"/>
        <v>PRG-1045742</v>
      </c>
      <c r="E17717" t="s">
        <v>225</v>
      </c>
      <c r="F17717" t="s">
        <v>4</v>
      </c>
      <c r="G17717" t="str">
        <f>""</f>
        <v/>
      </c>
    </row>
    <row r="17718" spans="1:7" x14ac:dyDescent="0.25">
      <c r="A17718" t="s">
        <v>8</v>
      </c>
      <c r="B17718" s="1" t="str">
        <f>"000226483 - RICH'S B198 NOI 2  2018 2019"</f>
        <v>000226483 - RICH'S B198 NOI 2  2018 2019</v>
      </c>
      <c r="C17718" t="s">
        <v>1695</v>
      </c>
      <c r="D17718" s="1" t="str">
        <f t="shared" si="481"/>
        <v>PRG-1045742</v>
      </c>
      <c r="E17718" t="s">
        <v>225</v>
      </c>
      <c r="F17718" t="s">
        <v>4</v>
      </c>
      <c r="G17718" t="str">
        <f>""</f>
        <v/>
      </c>
    </row>
    <row r="17719" spans="1:7" x14ac:dyDescent="0.25">
      <c r="A17719" t="s">
        <v>8</v>
      </c>
      <c r="B17719" s="1" t="str">
        <f>"000228611 - RICH-110244-B077-RICHMOND"</f>
        <v>000228611 - RICH-110244-B077-RICHMOND</v>
      </c>
      <c r="C17719" t="s">
        <v>1631</v>
      </c>
      <c r="D17719" s="1" t="str">
        <f t="shared" si="481"/>
        <v>PRG-1045742</v>
      </c>
      <c r="E17719" t="s">
        <v>225</v>
      </c>
      <c r="F17719" t="s">
        <v>4</v>
      </c>
      <c r="G17719" t="str">
        <f>""</f>
        <v/>
      </c>
    </row>
    <row r="17720" spans="1:7" x14ac:dyDescent="0.25">
      <c r="A17720" t="s">
        <v>8</v>
      </c>
      <c r="B17720" s="1" t="str">
        <f>"000248663 - USDA RICH PEMBROKE 04 19 XFER"</f>
        <v>000248663 - USDA RICH PEMBROKE 04 19 XFER</v>
      </c>
      <c r="C17720" t="s">
        <v>2049</v>
      </c>
      <c r="D17720" s="1" t="str">
        <f t="shared" si="481"/>
        <v>PRG-1045742</v>
      </c>
      <c r="E17720" t="s">
        <v>225</v>
      </c>
      <c r="F17720" t="s">
        <v>4</v>
      </c>
      <c r="G17720" t="str">
        <f>""</f>
        <v/>
      </c>
    </row>
    <row r="17721" spans="1:7" x14ac:dyDescent="0.25">
      <c r="A17721" t="s">
        <v>8</v>
      </c>
      <c r="B17721" s="1" t="str">
        <f>"000249592 - USDA-RICHS ARA CNTRL FLS100912"</f>
        <v>000249592 - USDA-RICHS ARA CNTRL FLS100912</v>
      </c>
      <c r="C17721" t="s">
        <v>2073</v>
      </c>
      <c r="D17721" s="1" t="str">
        <f t="shared" si="481"/>
        <v>PRG-1045742</v>
      </c>
      <c r="E17721" t="s">
        <v>225</v>
      </c>
      <c r="F17721" t="s">
        <v>4</v>
      </c>
      <c r="G17721" t="str">
        <f>""</f>
        <v/>
      </c>
    </row>
    <row r="17722" spans="1:7" x14ac:dyDescent="0.25">
      <c r="A17722" t="s">
        <v>8</v>
      </c>
      <c r="B17722" s="1" t="str">
        <f>"000249595 - USDA-RICHS ARA LINCOLN 100912"</f>
        <v>000249595 - USDA-RICHS ARA LINCOLN 100912</v>
      </c>
      <c r="C17722" t="s">
        <v>2074</v>
      </c>
      <c r="D17722" s="1" t="str">
        <f t="shared" si="481"/>
        <v>PRG-1045742</v>
      </c>
      <c r="E17722" t="s">
        <v>225</v>
      </c>
      <c r="F17722" t="s">
        <v>4</v>
      </c>
      <c r="G17722" t="str">
        <f>""</f>
        <v/>
      </c>
    </row>
    <row r="17723" spans="1:7" x14ac:dyDescent="0.25">
      <c r="A17723" t="s">
        <v>8</v>
      </c>
      <c r="B17723" s="1" t="str">
        <f>"000254954 - RICHS 100912 FLOUR"</f>
        <v>000254954 - RICHS 100912 FLOUR</v>
      </c>
      <c r="C17723" t="s">
        <v>2155</v>
      </c>
      <c r="D17723" s="1" t="str">
        <f t="shared" si="481"/>
        <v>PRG-1045742</v>
      </c>
      <c r="E17723" t="s">
        <v>225</v>
      </c>
      <c r="F17723" t="s">
        <v>4</v>
      </c>
      <c r="G17723" t="str">
        <f>""</f>
        <v/>
      </c>
    </row>
    <row r="17724" spans="1:7" x14ac:dyDescent="0.25">
      <c r="A17724" t="s">
        <v>8</v>
      </c>
      <c r="B17724" s="1" t="str">
        <f>"000254956 - RICHS 100912 FLOUR"</f>
        <v>000254956 - RICHS 100912 FLOUR</v>
      </c>
      <c r="C17724" t="s">
        <v>2155</v>
      </c>
      <c r="D17724" s="1" t="str">
        <f t="shared" si="481"/>
        <v>PRG-1045742</v>
      </c>
      <c r="E17724" t="s">
        <v>225</v>
      </c>
      <c r="F17724" t="s">
        <v>4</v>
      </c>
      <c r="G17724" t="str">
        <f>""</f>
        <v/>
      </c>
    </row>
    <row r="17725" spans="1:7" x14ac:dyDescent="0.25">
      <c r="A17725" t="s">
        <v>8</v>
      </c>
      <c r="B17725" s="1" t="str">
        <f>"000254957 - RICHS 100912 FLOUR"</f>
        <v>000254957 - RICHS 100912 FLOUR</v>
      </c>
      <c r="C17725" t="s">
        <v>2155</v>
      </c>
      <c r="D17725" s="1" t="str">
        <f t="shared" si="481"/>
        <v>PRG-1045742</v>
      </c>
      <c r="E17725" t="s">
        <v>225</v>
      </c>
      <c r="F17725" t="s">
        <v>4</v>
      </c>
      <c r="G17725" t="str">
        <f>""</f>
        <v/>
      </c>
    </row>
    <row r="17726" spans="1:7" x14ac:dyDescent="0.25">
      <c r="A17726" t="s">
        <v>8</v>
      </c>
      <c r="B17726" s="1" t="str">
        <f>"000254958 - RICHS 100912 FLOUR"</f>
        <v>000254958 - RICHS 100912 FLOUR</v>
      </c>
      <c r="C17726" t="s">
        <v>2155</v>
      </c>
      <c r="D17726" s="1" t="str">
        <f t="shared" si="481"/>
        <v>PRG-1045742</v>
      </c>
      <c r="E17726" t="s">
        <v>225</v>
      </c>
      <c r="F17726" t="s">
        <v>4</v>
      </c>
      <c r="G17726" t="str">
        <f>""</f>
        <v/>
      </c>
    </row>
    <row r="17727" spans="1:7" x14ac:dyDescent="0.25">
      <c r="A17727" t="s">
        <v>8</v>
      </c>
      <c r="B17727" s="1" t="str">
        <f>"000254959 - RICHS 100912 FLOUR"</f>
        <v>000254959 - RICHS 100912 FLOUR</v>
      </c>
      <c r="C17727" t="s">
        <v>2155</v>
      </c>
      <c r="D17727" s="1" t="str">
        <f t="shared" si="481"/>
        <v>PRG-1045742</v>
      </c>
      <c r="E17727" t="s">
        <v>225</v>
      </c>
      <c r="F17727" t="s">
        <v>4</v>
      </c>
      <c r="G17727" t="str">
        <f>""</f>
        <v/>
      </c>
    </row>
    <row r="17728" spans="1:7" x14ac:dyDescent="0.25">
      <c r="A17728" t="s">
        <v>8</v>
      </c>
      <c r="B17728" s="1" t="str">
        <f>"000257289 - USDA RICH'S B198 100912 ALL"</f>
        <v>000257289 - USDA RICH'S B198 100912 ALL</v>
      </c>
      <c r="C17728" t="s">
        <v>2122</v>
      </c>
      <c r="D17728" s="1" t="str">
        <f t="shared" si="481"/>
        <v>PRG-1045742</v>
      </c>
      <c r="E17728" t="s">
        <v>225</v>
      </c>
      <c r="F17728" t="s">
        <v>4</v>
      </c>
      <c r="G17728" t="str">
        <f>""</f>
        <v/>
      </c>
    </row>
    <row r="17729" spans="1:7" x14ac:dyDescent="0.25">
      <c r="A17729" t="s">
        <v>8</v>
      </c>
      <c r="B17729" s="1" t="str">
        <f>"000258318 - USDA RICH'S B198 100912 ALL"</f>
        <v>000258318 - USDA RICH'S B198 100912 ALL</v>
      </c>
      <c r="C17729" t="s">
        <v>2122</v>
      </c>
      <c r="D17729" s="1" t="str">
        <f t="shared" si="481"/>
        <v>PRG-1045742</v>
      </c>
      <c r="E17729" t="s">
        <v>225</v>
      </c>
      <c r="F17729" t="s">
        <v>4</v>
      </c>
      <c r="G17729" t="str">
        <f>""</f>
        <v/>
      </c>
    </row>
    <row r="17730" spans="1:7" x14ac:dyDescent="0.25">
      <c r="A17730" t="s">
        <v>8</v>
      </c>
      <c r="B17730" s="1" t="str">
        <f>"000262125 - USDA-B198R RICH FOODS FLOUR"</f>
        <v>000262125 - USDA-B198R RICH FOODS FLOUR</v>
      </c>
      <c r="C17730" t="s">
        <v>2309</v>
      </c>
      <c r="D17730" s="1" t="str">
        <f t="shared" si="481"/>
        <v>PRG-1045742</v>
      </c>
      <c r="E17730" t="s">
        <v>225</v>
      </c>
      <c r="F17730" t="s">
        <v>4</v>
      </c>
      <c r="G17730" t="str">
        <f>""</f>
        <v/>
      </c>
    </row>
    <row r="17731" spans="1:7" x14ac:dyDescent="0.25">
      <c r="A17731" t="s">
        <v>8</v>
      </c>
      <c r="B17731" s="1" t="str">
        <f>"000266328 - RICH NOI QUEEN ANNE (100912)"</f>
        <v>000266328 - RICH NOI QUEEN ANNE (100912)</v>
      </c>
      <c r="C17731" t="s">
        <v>2400</v>
      </c>
      <c r="D17731" s="1" t="str">
        <f t="shared" si="481"/>
        <v>PRG-1045742</v>
      </c>
      <c r="E17731" t="s">
        <v>225</v>
      </c>
      <c r="F17731" t="s">
        <v>4</v>
      </c>
      <c r="G17731" t="str">
        <f>""</f>
        <v/>
      </c>
    </row>
    <row r="17732" spans="1:7" x14ac:dyDescent="0.25">
      <c r="A17732" t="s">
        <v>8</v>
      </c>
      <c r="B17732" s="1" t="str">
        <f>"000266329 - RICH NOI TALBOT (100912)"</f>
        <v>000266329 - RICH NOI TALBOT (100912)</v>
      </c>
      <c r="C17732" t="s">
        <v>2401</v>
      </c>
      <c r="D17732" s="1" t="str">
        <f t="shared" si="481"/>
        <v>PRG-1045742</v>
      </c>
      <c r="E17732" t="s">
        <v>225</v>
      </c>
      <c r="F17732" t="s">
        <v>4</v>
      </c>
      <c r="G17732" t="str">
        <f>""</f>
        <v/>
      </c>
    </row>
    <row r="17733" spans="1:7" x14ac:dyDescent="0.25">
      <c r="A17733" t="s">
        <v>8</v>
      </c>
      <c r="B17733" s="1" t="str">
        <f>"000266330 - RICH NOI CAROLINE (110244)"</f>
        <v>000266330 - RICH NOI CAROLINE (110244)</v>
      </c>
      <c r="C17733" t="s">
        <v>2402</v>
      </c>
      <c r="D17733" s="1" t="str">
        <f t="shared" si="481"/>
        <v>PRG-1045742</v>
      </c>
      <c r="E17733" t="s">
        <v>225</v>
      </c>
      <c r="F17733" t="s">
        <v>4</v>
      </c>
      <c r="G17733" t="str">
        <f>""</f>
        <v/>
      </c>
    </row>
    <row r="17734" spans="1:7" x14ac:dyDescent="0.25">
      <c r="A17734" t="s">
        <v>8</v>
      </c>
      <c r="B17734" s="1" t="str">
        <f>"000266619 - RICHS FLOUR B198R"</f>
        <v>000266619 - RICHS FLOUR B198R</v>
      </c>
      <c r="C17734" t="s">
        <v>1161</v>
      </c>
      <c r="D17734" s="1" t="str">
        <f t="shared" si="481"/>
        <v>PRG-1045742</v>
      </c>
      <c r="E17734" t="s">
        <v>225</v>
      </c>
      <c r="F17734" t="s">
        <v>4</v>
      </c>
      <c r="G17734" t="str">
        <f>""</f>
        <v/>
      </c>
    </row>
    <row r="17735" spans="1:7" x14ac:dyDescent="0.25">
      <c r="A17735" t="s">
        <v>8</v>
      </c>
      <c r="B17735" s="1" t="str">
        <f>"000268096 - USDA RICHS ARA NY - 110244"</f>
        <v>000268096 - USDA RICHS ARA NY - 110244</v>
      </c>
      <c r="C17735" t="s">
        <v>2433</v>
      </c>
      <c r="D17735" s="1" t="str">
        <f t="shared" si="481"/>
        <v>PRG-1045742</v>
      </c>
      <c r="E17735" t="s">
        <v>225</v>
      </c>
      <c r="F17735" t="s">
        <v>4</v>
      </c>
      <c r="G17735" t="str">
        <f>""</f>
        <v/>
      </c>
    </row>
    <row r="17736" spans="1:7" x14ac:dyDescent="0.25">
      <c r="A17736" t="s">
        <v>8</v>
      </c>
      <c r="B17736" s="1" t="str">
        <f>"000271725 - RICHS PBC USDA 110244"</f>
        <v>000271725 - RICHS PBC USDA 110244</v>
      </c>
      <c r="C17736" t="s">
        <v>2493</v>
      </c>
      <c r="D17736" s="1" t="str">
        <f t="shared" si="481"/>
        <v>PRG-1045742</v>
      </c>
      <c r="E17736" t="s">
        <v>225</v>
      </c>
      <c r="F17736" t="s">
        <v>4</v>
      </c>
      <c r="G17736" t="str">
        <f>""</f>
        <v/>
      </c>
    </row>
    <row r="17737" spans="1:7" x14ac:dyDescent="0.25">
      <c r="A17737" t="s">
        <v>8</v>
      </c>
      <c r="B17737" s="1" t="str">
        <f>"000275854 - RICHS 100912 USDA-RETRO"</f>
        <v>000275854 - RICHS 100912 USDA-RETRO</v>
      </c>
      <c r="C17737" t="s">
        <v>2563</v>
      </c>
      <c r="D17737" s="1" t="str">
        <f t="shared" si="481"/>
        <v>PRG-1045742</v>
      </c>
      <c r="E17737" t="s">
        <v>225</v>
      </c>
      <c r="F17737" t="s">
        <v>4</v>
      </c>
      <c r="G17737" t="str">
        <f>""</f>
        <v/>
      </c>
    </row>
    <row r="17738" spans="1:7" x14ac:dyDescent="0.25">
      <c r="A17738" t="s">
        <v>8</v>
      </c>
      <c r="B17738" s="1" t="str">
        <f>"000279863 - RCH 100912"</f>
        <v>000279863 - RCH 100912</v>
      </c>
      <c r="C17738" t="s">
        <v>224</v>
      </c>
      <c r="D17738" s="1" t="str">
        <f t="shared" si="481"/>
        <v>PRG-1045742</v>
      </c>
      <c r="E17738" t="s">
        <v>225</v>
      </c>
      <c r="F17738" t="s">
        <v>4</v>
      </c>
      <c r="G17738" t="str">
        <f>""</f>
        <v/>
      </c>
    </row>
    <row r="17739" spans="1:7" x14ac:dyDescent="0.25">
      <c r="A17739" t="s">
        <v>8</v>
      </c>
      <c r="B17739" s="1" t="str">
        <f>"000279938 - USDA RICH'S B077 J067"</f>
        <v>000279938 - USDA RICH'S B077 J067</v>
      </c>
      <c r="C17739" t="s">
        <v>2635</v>
      </c>
      <c r="D17739" s="1" t="str">
        <f t="shared" si="481"/>
        <v>PRG-1045742</v>
      </c>
      <c r="E17739" t="s">
        <v>225</v>
      </c>
      <c r="F17739" t="s">
        <v>4</v>
      </c>
      <c r="G17739" t="str">
        <f>""</f>
        <v/>
      </c>
    </row>
    <row r="17740" spans="1:7" x14ac:dyDescent="0.25">
      <c r="A17740" t="s">
        <v>8</v>
      </c>
      <c r="B17740" s="1" t="str">
        <f>"000280943 - USDA 100912 RICH PRODUCTS - IL"</f>
        <v>000280943 - USDA 100912 RICH PRODUCTS - IL</v>
      </c>
      <c r="C17740" t="s">
        <v>1213</v>
      </c>
      <c r="D17740" s="1" t="str">
        <f t="shared" si="481"/>
        <v>PRG-1045742</v>
      </c>
      <c r="E17740" t="s">
        <v>225</v>
      </c>
      <c r="F17740" t="s">
        <v>4</v>
      </c>
      <c r="G17740" t="str">
        <f>""</f>
        <v/>
      </c>
    </row>
    <row r="17741" spans="1:7" x14ac:dyDescent="0.25">
      <c r="A17741" t="s">
        <v>8</v>
      </c>
      <c r="B17741" s="1" t="str">
        <f>"000280944 - USDA 110244 RICH PRODUCTS - IL"</f>
        <v>000280944 - USDA 110244 RICH PRODUCTS - IL</v>
      </c>
      <c r="C17741" t="s">
        <v>2644</v>
      </c>
      <c r="D17741" s="1" t="str">
        <f t="shared" si="481"/>
        <v>PRG-1045742</v>
      </c>
      <c r="E17741" t="s">
        <v>225</v>
      </c>
      <c r="F17741" t="s">
        <v>4</v>
      </c>
      <c r="G17741" t="str">
        <f>""</f>
        <v/>
      </c>
    </row>
    <row r="17742" spans="1:7" x14ac:dyDescent="0.25">
      <c r="A17742" t="s">
        <v>8</v>
      </c>
      <c r="B17742" s="1" t="str">
        <f>"000283475 - USDA-RICH ARA STONEHAM"</f>
        <v>000283475 - USDA-RICH ARA STONEHAM</v>
      </c>
      <c r="C17742" t="s">
        <v>2688</v>
      </c>
      <c r="D17742" s="1" t="str">
        <f t="shared" si="481"/>
        <v>PRG-1045742</v>
      </c>
      <c r="E17742" t="s">
        <v>225</v>
      </c>
      <c r="F17742" t="s">
        <v>4</v>
      </c>
      <c r="G17742" t="str">
        <f>""</f>
        <v/>
      </c>
    </row>
    <row r="17743" spans="1:7" x14ac:dyDescent="0.25">
      <c r="A17743" t="s">
        <v>8</v>
      </c>
      <c r="B17743" s="1" t="str">
        <f>"000283637 - USDA-RICH ARA WOBURN"</f>
        <v>000283637 - USDA-RICH ARA WOBURN</v>
      </c>
      <c r="C17743" t="s">
        <v>2692</v>
      </c>
      <c r="D17743" s="1" t="str">
        <f t="shared" si="481"/>
        <v>PRG-1045742</v>
      </c>
      <c r="E17743" t="s">
        <v>225</v>
      </c>
      <c r="F17743" t="s">
        <v>4</v>
      </c>
      <c r="G17743" t="str">
        <f>""</f>
        <v/>
      </c>
    </row>
    <row r="17744" spans="1:7" x14ac:dyDescent="0.25">
      <c r="A17744" t="s">
        <v>8</v>
      </c>
      <c r="B17744" s="1" t="str">
        <f>"000284131 - RICH CORPORATION NOI FY15"</f>
        <v>000284131 - RICH CORPORATION NOI FY15</v>
      </c>
      <c r="C17744" t="s">
        <v>2529</v>
      </c>
      <c r="D17744" s="1" t="str">
        <f t="shared" si="481"/>
        <v>PRG-1045742</v>
      </c>
      <c r="E17744" t="s">
        <v>225</v>
      </c>
      <c r="F17744" t="s">
        <v>4</v>
      </c>
      <c r="G17744" t="str">
        <f>""</f>
        <v/>
      </c>
    </row>
    <row r="17745" spans="1:7" x14ac:dyDescent="0.25">
      <c r="A17745" t="s">
        <v>8</v>
      </c>
      <c r="B17745" s="1" t="str">
        <f>"000284487 - RICH NOI SDX TALBOT 100912"</f>
        <v>000284487 - RICH NOI SDX TALBOT 100912</v>
      </c>
      <c r="C17745" t="s">
        <v>2705</v>
      </c>
      <c r="D17745" s="1" t="str">
        <f t="shared" si="481"/>
        <v>PRG-1045742</v>
      </c>
      <c r="E17745" t="s">
        <v>225</v>
      </c>
      <c r="F17745" t="s">
        <v>4</v>
      </c>
      <c r="G17745" t="str">
        <f>""</f>
        <v/>
      </c>
    </row>
    <row r="17746" spans="1:7" x14ac:dyDescent="0.25">
      <c r="A17746" t="s">
        <v>8</v>
      </c>
      <c r="B17746" s="1" t="str">
        <f>"000285000 - RICH CORPORATION NOI FY15"</f>
        <v>000285000 - RICH CORPORATION NOI FY15</v>
      </c>
      <c r="C17746" t="s">
        <v>2529</v>
      </c>
      <c r="D17746" s="1" t="str">
        <f t="shared" si="481"/>
        <v>PRG-1045742</v>
      </c>
      <c r="E17746" t="s">
        <v>225</v>
      </c>
      <c r="F17746" t="s">
        <v>4</v>
      </c>
      <c r="G17746" t="str">
        <f>""</f>
        <v/>
      </c>
    </row>
    <row r="17747" spans="1:7" x14ac:dyDescent="0.25">
      <c r="A17747" t="s">
        <v>8</v>
      </c>
      <c r="B17747" s="1" t="str">
        <f>"000285259 - RICH CORPORATION NOI FY15"</f>
        <v>000285259 - RICH CORPORATION NOI FY15</v>
      </c>
      <c r="C17747" t="s">
        <v>2529</v>
      </c>
      <c r="D17747" s="1" t="str">
        <f t="shared" si="481"/>
        <v>PRG-1045742</v>
      </c>
      <c r="E17747" t="s">
        <v>225</v>
      </c>
      <c r="F17747" t="s">
        <v>4</v>
      </c>
      <c r="G17747" t="str">
        <f>""</f>
        <v/>
      </c>
    </row>
    <row r="17748" spans="1:7" x14ac:dyDescent="0.25">
      <c r="A17748" t="s">
        <v>8</v>
      </c>
      <c r="B17748" s="1" t="str">
        <f>"000286070 - USDA 100912 RICH PRODUCTS"</f>
        <v>000286070 - USDA 100912 RICH PRODUCTS</v>
      </c>
      <c r="C17748" t="s">
        <v>1660</v>
      </c>
      <c r="D17748" s="1" t="str">
        <f t="shared" ref="D17748:D17811" si="482">"PRG-1045742"</f>
        <v>PRG-1045742</v>
      </c>
      <c r="E17748" t="s">
        <v>225</v>
      </c>
      <c r="F17748" t="s">
        <v>4</v>
      </c>
      <c r="G17748" t="str">
        <f>""</f>
        <v/>
      </c>
    </row>
    <row r="17749" spans="1:7" x14ac:dyDescent="0.25">
      <c r="A17749" t="s">
        <v>8</v>
      </c>
      <c r="B17749" s="1" t="str">
        <f>"000287126 - RICH CORPORATION NOI FY15"</f>
        <v>000287126 - RICH CORPORATION NOI FY15</v>
      </c>
      <c r="C17749" t="s">
        <v>2529</v>
      </c>
      <c r="D17749" s="1" t="str">
        <f t="shared" si="482"/>
        <v>PRG-1045742</v>
      </c>
      <c r="E17749" t="s">
        <v>225</v>
      </c>
      <c r="F17749" t="s">
        <v>4</v>
      </c>
      <c r="G17749" t="str">
        <f>""</f>
        <v/>
      </c>
    </row>
    <row r="17750" spans="1:7" x14ac:dyDescent="0.25">
      <c r="A17750" t="s">
        <v>8</v>
      </c>
      <c r="B17750" s="1" t="str">
        <f>"000287773 - RICHS PBC USDA 110244"</f>
        <v>000287773 - RICHS PBC USDA 110244</v>
      </c>
      <c r="C17750" t="s">
        <v>2493</v>
      </c>
      <c r="D17750" s="1" t="str">
        <f t="shared" si="482"/>
        <v>PRG-1045742</v>
      </c>
      <c r="E17750" t="s">
        <v>225</v>
      </c>
      <c r="F17750" t="s">
        <v>4</v>
      </c>
      <c r="G17750" t="str">
        <f>""</f>
        <v/>
      </c>
    </row>
    <row r="17751" spans="1:7" x14ac:dyDescent="0.25">
      <c r="A17751" t="s">
        <v>8</v>
      </c>
      <c r="B17751" s="1" t="str">
        <f>"000288463 - RICHS SWEET DOUGH-SODEXO"</f>
        <v>000288463 - RICHS SWEET DOUGH-SODEXO</v>
      </c>
      <c r="C17751" t="s">
        <v>137</v>
      </c>
      <c r="D17751" s="1" t="str">
        <f t="shared" si="482"/>
        <v>PRG-1045742</v>
      </c>
      <c r="E17751" t="s">
        <v>225</v>
      </c>
      <c r="F17751" t="s">
        <v>4</v>
      </c>
      <c r="G17751" t="str">
        <f>""</f>
        <v/>
      </c>
    </row>
    <row r="17752" spans="1:7" x14ac:dyDescent="0.25">
      <c r="A17752" t="s">
        <v>8</v>
      </c>
      <c r="B17752" s="1" t="str">
        <f>"000288517 - USDA-RICH PROD 100912 NOI"</f>
        <v>000288517 - USDA-RICH PROD 100912 NOI</v>
      </c>
      <c r="C17752" t="s">
        <v>2781</v>
      </c>
      <c r="D17752" s="1" t="str">
        <f t="shared" si="482"/>
        <v>PRG-1045742</v>
      </c>
      <c r="E17752" t="s">
        <v>225</v>
      </c>
      <c r="F17752" t="s">
        <v>4</v>
      </c>
      <c r="G17752" t="str">
        <f>""</f>
        <v/>
      </c>
    </row>
    <row r="17753" spans="1:7" x14ac:dyDescent="0.25">
      <c r="A17753" t="s">
        <v>8</v>
      </c>
      <c r="B17753" s="1" t="str">
        <f>"000288622 - USDA RICH PRD MFS   B198"</f>
        <v>000288622 - USDA RICH PRD MFS   B198</v>
      </c>
      <c r="C17753" t="s">
        <v>2782</v>
      </c>
      <c r="D17753" s="1" t="str">
        <f t="shared" si="482"/>
        <v>PRG-1045742</v>
      </c>
      <c r="E17753" t="s">
        <v>225</v>
      </c>
      <c r="F17753" t="s">
        <v>4</v>
      </c>
      <c r="G17753" t="str">
        <f>""</f>
        <v/>
      </c>
    </row>
    <row r="17754" spans="1:7" x14ac:dyDescent="0.25">
      <c r="A17754" t="s">
        <v>8</v>
      </c>
      <c r="B17754" s="1" t="str">
        <f>"000289801 - RICH PRODUCTS-BAPA B198"</f>
        <v>000289801 - RICH PRODUCTS-BAPA B198</v>
      </c>
      <c r="C17754" t="s">
        <v>2158</v>
      </c>
      <c r="D17754" s="1" t="str">
        <f t="shared" si="482"/>
        <v>PRG-1045742</v>
      </c>
      <c r="E17754" t="s">
        <v>225</v>
      </c>
      <c r="F17754" t="s">
        <v>4</v>
      </c>
      <c r="G17754" t="str">
        <f>""</f>
        <v/>
      </c>
    </row>
    <row r="17755" spans="1:7" x14ac:dyDescent="0.25">
      <c r="A17755" t="s">
        <v>8</v>
      </c>
      <c r="B17755" s="1" t="str">
        <f>"000289802 - RICH PRODUCTS-BAPA B198"</f>
        <v>000289802 - RICH PRODUCTS-BAPA B198</v>
      </c>
      <c r="C17755" t="s">
        <v>2158</v>
      </c>
      <c r="D17755" s="1" t="str">
        <f t="shared" si="482"/>
        <v>PRG-1045742</v>
      </c>
      <c r="E17755" t="s">
        <v>225</v>
      </c>
      <c r="F17755" t="s">
        <v>4</v>
      </c>
      <c r="G17755" t="str">
        <f>""</f>
        <v/>
      </c>
    </row>
    <row r="17756" spans="1:7" x14ac:dyDescent="0.25">
      <c r="A17756" t="s">
        <v>8</v>
      </c>
      <c r="B17756" s="1" t="str">
        <f>"000289803 - RICH PRODUCTS-BAPA B198"</f>
        <v>000289803 - RICH PRODUCTS-BAPA B198</v>
      </c>
      <c r="C17756" t="s">
        <v>2158</v>
      </c>
      <c r="D17756" s="1" t="str">
        <f t="shared" si="482"/>
        <v>PRG-1045742</v>
      </c>
      <c r="E17756" t="s">
        <v>225</v>
      </c>
      <c r="F17756" t="s">
        <v>4</v>
      </c>
      <c r="G17756" t="str">
        <f>""</f>
        <v/>
      </c>
    </row>
    <row r="17757" spans="1:7" x14ac:dyDescent="0.25">
      <c r="A17757" t="s">
        <v>8</v>
      </c>
      <c r="B17757" s="1" t="str">
        <f>"000290260 - RICH WORCESTER 110244"</f>
        <v>000290260 - RICH WORCESTER 110244</v>
      </c>
      <c r="C17757" t="s">
        <v>2821</v>
      </c>
      <c r="D17757" s="1" t="str">
        <f t="shared" si="482"/>
        <v>PRG-1045742</v>
      </c>
      <c r="E17757" t="s">
        <v>225</v>
      </c>
      <c r="F17757" t="s">
        <v>4</v>
      </c>
      <c r="G17757" t="str">
        <f>""</f>
        <v/>
      </c>
    </row>
    <row r="17758" spans="1:7" x14ac:dyDescent="0.25">
      <c r="A17758" t="s">
        <v>8</v>
      </c>
      <c r="B17758" s="1" t="str">
        <f>"000290264 - RICH CAROLINE 110244"</f>
        <v>000290264 - RICH CAROLINE 110244</v>
      </c>
      <c r="C17758" t="s">
        <v>2824</v>
      </c>
      <c r="D17758" s="1" t="str">
        <f t="shared" si="482"/>
        <v>PRG-1045742</v>
      </c>
      <c r="E17758" t="s">
        <v>225</v>
      </c>
      <c r="F17758" t="s">
        <v>4</v>
      </c>
      <c r="G17758" t="str">
        <f>""</f>
        <v/>
      </c>
    </row>
    <row r="17759" spans="1:7" x14ac:dyDescent="0.25">
      <c r="A17759" t="s">
        <v>8</v>
      </c>
      <c r="B17759" s="1" t="str">
        <f>"000290567 - RICH PRODUCTS-BAPA B198"</f>
        <v>000290567 - RICH PRODUCTS-BAPA B198</v>
      </c>
      <c r="C17759" t="s">
        <v>2158</v>
      </c>
      <c r="D17759" s="1" t="str">
        <f t="shared" si="482"/>
        <v>PRG-1045742</v>
      </c>
      <c r="E17759" t="s">
        <v>225</v>
      </c>
      <c r="F17759" t="s">
        <v>4</v>
      </c>
      <c r="G17759" t="str">
        <f>""</f>
        <v/>
      </c>
    </row>
    <row r="17760" spans="1:7" x14ac:dyDescent="0.25">
      <c r="A17760" t="s">
        <v>8</v>
      </c>
      <c r="B17760" s="1" t="str">
        <f>"000291069 - RICH 100912"</f>
        <v>000291069 - RICH 100912</v>
      </c>
      <c r="C17760" t="s">
        <v>451</v>
      </c>
      <c r="D17760" s="1" t="str">
        <f t="shared" si="482"/>
        <v>PRG-1045742</v>
      </c>
      <c r="E17760" t="s">
        <v>225</v>
      </c>
      <c r="F17760" t="s">
        <v>4</v>
      </c>
      <c r="G17760" t="str">
        <f>""</f>
        <v/>
      </c>
    </row>
    <row r="17761" spans="1:7" x14ac:dyDescent="0.25">
      <c r="A17761" t="s">
        <v>8</v>
      </c>
      <c r="B17761" s="1" t="str">
        <f>"000294074 - USDA-RICH-ARANY-100912-FY19"</f>
        <v>000294074 - USDA-RICH-ARANY-100912-FY19</v>
      </c>
      <c r="C17761" t="s">
        <v>2886</v>
      </c>
      <c r="D17761" s="1" t="str">
        <f t="shared" si="482"/>
        <v>PRG-1045742</v>
      </c>
      <c r="E17761" t="s">
        <v>225</v>
      </c>
      <c r="F17761" t="s">
        <v>4</v>
      </c>
      <c r="G17761" t="str">
        <f>""</f>
        <v/>
      </c>
    </row>
    <row r="17762" spans="1:7" x14ac:dyDescent="0.25">
      <c r="A17762" t="s">
        <v>8</v>
      </c>
      <c r="B17762" s="1" t="str">
        <f>"000294689 - RICH'S   110244 MOZZARELLA"</f>
        <v>000294689 - RICH'S   110244 MOZZARELLA</v>
      </c>
      <c r="C17762" t="s">
        <v>2745</v>
      </c>
      <c r="D17762" s="1" t="str">
        <f t="shared" si="482"/>
        <v>PRG-1045742</v>
      </c>
      <c r="E17762" t="s">
        <v>225</v>
      </c>
      <c r="F17762" t="s">
        <v>4</v>
      </c>
      <c r="G17762" t="str">
        <f>""</f>
        <v/>
      </c>
    </row>
    <row r="17763" spans="1:7" x14ac:dyDescent="0.25">
      <c r="A17763" t="s">
        <v>8</v>
      </c>
      <c r="B17763" s="1" t="str">
        <f>"000294766 - RICH'S   100912 FLOUR BREAD"</f>
        <v>000294766 - RICH'S   100912 FLOUR BREAD</v>
      </c>
      <c r="C17763" t="s">
        <v>2744</v>
      </c>
      <c r="D17763" s="1" t="str">
        <f t="shared" si="482"/>
        <v>PRG-1045742</v>
      </c>
      <c r="E17763" t="s">
        <v>225</v>
      </c>
      <c r="F17763" t="s">
        <v>4</v>
      </c>
      <c r="G17763" t="str">
        <f>""</f>
        <v/>
      </c>
    </row>
    <row r="17764" spans="1:7" x14ac:dyDescent="0.25">
      <c r="A17764" t="s">
        <v>8</v>
      </c>
      <c r="B17764" s="1" t="str">
        <f>"000295054 - RICH'S   100912 FLOUR BREAD"</f>
        <v>000295054 - RICH'S   100912 FLOUR BREAD</v>
      </c>
      <c r="C17764" t="s">
        <v>2744</v>
      </c>
      <c r="D17764" s="1" t="str">
        <f t="shared" si="482"/>
        <v>PRG-1045742</v>
      </c>
      <c r="E17764" t="s">
        <v>225</v>
      </c>
      <c r="F17764" t="s">
        <v>4</v>
      </c>
      <c r="G17764" t="str">
        <f>""</f>
        <v/>
      </c>
    </row>
    <row r="17765" spans="1:7" x14ac:dyDescent="0.25">
      <c r="A17765" t="s">
        <v>8</v>
      </c>
      <c r="B17765" s="1" t="str">
        <f>"000295055 - RICH'S   110244 MOZZARELLA"</f>
        <v>000295055 - RICH'S   110244 MOZZARELLA</v>
      </c>
      <c r="C17765" t="s">
        <v>2745</v>
      </c>
      <c r="D17765" s="1" t="str">
        <f t="shared" si="482"/>
        <v>PRG-1045742</v>
      </c>
      <c r="E17765" t="s">
        <v>225</v>
      </c>
      <c r="F17765" t="s">
        <v>4</v>
      </c>
      <c r="G17765" t="str">
        <f>""</f>
        <v/>
      </c>
    </row>
    <row r="17766" spans="1:7" x14ac:dyDescent="0.25">
      <c r="A17766" t="s">
        <v>8</v>
      </c>
      <c r="B17766" s="1" t="str">
        <f>"000298077 - RICHS PBC USDA 110244"</f>
        <v>000298077 - RICHS PBC USDA 110244</v>
      </c>
      <c r="C17766" t="s">
        <v>2493</v>
      </c>
      <c r="D17766" s="1" t="str">
        <f t="shared" si="482"/>
        <v>PRG-1045742</v>
      </c>
      <c r="E17766" t="s">
        <v>225</v>
      </c>
      <c r="F17766" t="s">
        <v>4</v>
      </c>
      <c r="G17766" t="str">
        <f>""</f>
        <v/>
      </c>
    </row>
    <row r="17767" spans="1:7" x14ac:dyDescent="0.25">
      <c r="A17767" t="s">
        <v>8</v>
      </c>
      <c r="B17767" s="1" t="str">
        <f>"000298100 - RICHS PBC USDA 110244 RETRO"</f>
        <v>000298100 - RICHS PBC USDA 110244 RETRO</v>
      </c>
      <c r="C17767" t="s">
        <v>2931</v>
      </c>
      <c r="D17767" s="1" t="str">
        <f t="shared" si="482"/>
        <v>PRG-1045742</v>
      </c>
      <c r="E17767" t="s">
        <v>225</v>
      </c>
      <c r="F17767" t="s">
        <v>4</v>
      </c>
      <c r="G17767" t="str">
        <f>""</f>
        <v/>
      </c>
    </row>
    <row r="17768" spans="1:7" x14ac:dyDescent="0.25">
      <c r="A17768" t="s">
        <v>8</v>
      </c>
      <c r="B17768" s="1" t="str">
        <f>"000298247 - RICH'S   100912 FLOUR BREAD"</f>
        <v>000298247 - RICH'S   100912 FLOUR BREAD</v>
      </c>
      <c r="C17768" t="s">
        <v>2744</v>
      </c>
      <c r="D17768" s="1" t="str">
        <f t="shared" si="482"/>
        <v>PRG-1045742</v>
      </c>
      <c r="E17768" t="s">
        <v>225</v>
      </c>
      <c r="F17768" t="s">
        <v>4</v>
      </c>
      <c r="G17768" t="str">
        <f>""</f>
        <v/>
      </c>
    </row>
    <row r="17769" spans="1:7" x14ac:dyDescent="0.25">
      <c r="A17769" t="s">
        <v>8</v>
      </c>
      <c r="B17769" s="1" t="str">
        <f>"000298248 - RICH'S   110244 MOZZARELLA"</f>
        <v>000298248 - RICH'S   110244 MOZZARELLA</v>
      </c>
      <c r="C17769" t="s">
        <v>2745</v>
      </c>
      <c r="D17769" s="1" t="str">
        <f t="shared" si="482"/>
        <v>PRG-1045742</v>
      </c>
      <c r="E17769" t="s">
        <v>225</v>
      </c>
      <c r="F17769" t="s">
        <v>4</v>
      </c>
      <c r="G17769" t="str">
        <f>""</f>
        <v/>
      </c>
    </row>
    <row r="17770" spans="1:7" x14ac:dyDescent="0.25">
      <c r="A17770" t="s">
        <v>8</v>
      </c>
      <c r="B17770" s="1" t="str">
        <f>"000298327 - USDA-RICH-ARANJ-100912-FY19"</f>
        <v>000298327 - USDA-RICH-ARANJ-100912-FY19</v>
      </c>
      <c r="C17770" t="s">
        <v>2934</v>
      </c>
      <c r="D17770" s="1" t="str">
        <f t="shared" si="482"/>
        <v>PRG-1045742</v>
      </c>
      <c r="E17770" t="s">
        <v>225</v>
      </c>
      <c r="F17770" t="s">
        <v>4</v>
      </c>
      <c r="G17770" t="str">
        <f>""</f>
        <v/>
      </c>
    </row>
    <row r="17771" spans="1:7" x14ac:dyDescent="0.25">
      <c r="A17771" t="s">
        <v>8</v>
      </c>
      <c r="B17771" s="1" t="str">
        <f>"000300719 - RICH'S   100912 FLOUR BREAD"</f>
        <v>000300719 - RICH'S   100912 FLOUR BREAD</v>
      </c>
      <c r="C17771" t="s">
        <v>2744</v>
      </c>
      <c r="D17771" s="1" t="str">
        <f t="shared" si="482"/>
        <v>PRG-1045742</v>
      </c>
      <c r="E17771" t="s">
        <v>225</v>
      </c>
      <c r="F17771" t="s">
        <v>4</v>
      </c>
      <c r="G17771" t="str">
        <f>""</f>
        <v/>
      </c>
    </row>
    <row r="17772" spans="1:7" x14ac:dyDescent="0.25">
      <c r="A17772" t="s">
        <v>8</v>
      </c>
      <c r="B17772" s="1" t="str">
        <f>"000302510 - USDA RICH'S 100912"</f>
        <v>000302510 - USDA RICH'S 100912</v>
      </c>
      <c r="C17772" t="s">
        <v>2995</v>
      </c>
      <c r="D17772" s="1" t="str">
        <f t="shared" si="482"/>
        <v>PRG-1045742</v>
      </c>
      <c r="E17772" t="s">
        <v>225</v>
      </c>
      <c r="F17772" t="s">
        <v>4</v>
      </c>
      <c r="G17772" t="str">
        <f>""</f>
        <v/>
      </c>
    </row>
    <row r="17773" spans="1:7" x14ac:dyDescent="0.25">
      <c r="A17773" t="s">
        <v>8</v>
      </c>
      <c r="B17773" s="1" t="str">
        <f>"000302513 - USDA RICH'S 110244"</f>
        <v>000302513 - USDA RICH'S 110244</v>
      </c>
      <c r="C17773" t="s">
        <v>2996</v>
      </c>
      <c r="D17773" s="1" t="str">
        <f t="shared" si="482"/>
        <v>PRG-1045742</v>
      </c>
      <c r="E17773" t="s">
        <v>225</v>
      </c>
      <c r="F17773" t="s">
        <v>4</v>
      </c>
      <c r="G17773" t="str">
        <f>""</f>
        <v/>
      </c>
    </row>
    <row r="17774" spans="1:7" x14ac:dyDescent="0.25">
      <c r="A17774" t="s">
        <v>8</v>
      </c>
      <c r="B17774" s="1" t="str">
        <f>"000303138 - USDA RICH'S 100912"</f>
        <v>000303138 - USDA RICH'S 100912</v>
      </c>
      <c r="C17774" t="s">
        <v>2995</v>
      </c>
      <c r="D17774" s="1" t="str">
        <f t="shared" si="482"/>
        <v>PRG-1045742</v>
      </c>
      <c r="E17774" t="s">
        <v>225</v>
      </c>
      <c r="F17774" t="s">
        <v>4</v>
      </c>
      <c r="G17774" t="str">
        <f>""</f>
        <v/>
      </c>
    </row>
    <row r="17775" spans="1:7" x14ac:dyDescent="0.25">
      <c r="A17775" t="s">
        <v>8</v>
      </c>
      <c r="B17775" s="1" t="str">
        <f>"000303445 - USDA RICH'S 100912"</f>
        <v>000303445 - USDA RICH'S 100912</v>
      </c>
      <c r="C17775" t="s">
        <v>2995</v>
      </c>
      <c r="D17775" s="1" t="str">
        <f t="shared" si="482"/>
        <v>PRG-1045742</v>
      </c>
      <c r="E17775" t="s">
        <v>225</v>
      </c>
      <c r="F17775" t="s">
        <v>4</v>
      </c>
      <c r="G17775" t="str">
        <f>""</f>
        <v/>
      </c>
    </row>
    <row r="17776" spans="1:7" x14ac:dyDescent="0.25">
      <c r="A17776" t="s">
        <v>8</v>
      </c>
      <c r="B17776" s="1" t="str">
        <f>"000303446 - USDA RICH'S 110244"</f>
        <v>000303446 - USDA RICH'S 110244</v>
      </c>
      <c r="C17776" t="s">
        <v>2996</v>
      </c>
      <c r="D17776" s="1" t="str">
        <f t="shared" si="482"/>
        <v>PRG-1045742</v>
      </c>
      <c r="E17776" t="s">
        <v>225</v>
      </c>
      <c r="F17776" t="s">
        <v>4</v>
      </c>
      <c r="G17776" t="str">
        <f>""</f>
        <v/>
      </c>
    </row>
    <row r="17777" spans="1:7" x14ac:dyDescent="0.25">
      <c r="A17777" t="s">
        <v>8</v>
      </c>
      <c r="B17777" s="1" t="str">
        <f>"000304006 - USDA RICH'S 100912"</f>
        <v>000304006 - USDA RICH'S 100912</v>
      </c>
      <c r="C17777" t="s">
        <v>2995</v>
      </c>
      <c r="D17777" s="1" t="str">
        <f t="shared" si="482"/>
        <v>PRG-1045742</v>
      </c>
      <c r="E17777" t="s">
        <v>225</v>
      </c>
      <c r="F17777" t="s">
        <v>4</v>
      </c>
      <c r="G17777" t="str">
        <f>""</f>
        <v/>
      </c>
    </row>
    <row r="17778" spans="1:7" x14ac:dyDescent="0.25">
      <c r="A17778" t="s">
        <v>8</v>
      </c>
      <c r="B17778" s="1" t="str">
        <f>"000304008 - USDA RICH'S 110244"</f>
        <v>000304008 - USDA RICH'S 110244</v>
      </c>
      <c r="C17778" t="s">
        <v>2996</v>
      </c>
      <c r="D17778" s="1" t="str">
        <f t="shared" si="482"/>
        <v>PRG-1045742</v>
      </c>
      <c r="E17778" t="s">
        <v>225</v>
      </c>
      <c r="F17778" t="s">
        <v>4</v>
      </c>
      <c r="G17778" t="str">
        <f>""</f>
        <v/>
      </c>
    </row>
    <row r="17779" spans="1:7" x14ac:dyDescent="0.25">
      <c r="A17779" t="s">
        <v>8</v>
      </c>
      <c r="B17779" s="1" t="str">
        <f>"000304506 - RCH 100912"</f>
        <v>000304506 - RCH 100912</v>
      </c>
      <c r="C17779" t="s">
        <v>224</v>
      </c>
      <c r="D17779" s="1" t="str">
        <f t="shared" si="482"/>
        <v>PRG-1045742</v>
      </c>
      <c r="E17779" t="s">
        <v>225</v>
      </c>
      <c r="F17779" t="s">
        <v>4</v>
      </c>
      <c r="G17779" t="str">
        <f>""</f>
        <v/>
      </c>
    </row>
    <row r="17780" spans="1:7" x14ac:dyDescent="0.25">
      <c r="A17780" t="s">
        <v>8</v>
      </c>
      <c r="B17780" s="1" t="str">
        <f>"000304824 - USDA RICH'S 100912"</f>
        <v>000304824 - USDA RICH'S 100912</v>
      </c>
      <c r="C17780" t="s">
        <v>2995</v>
      </c>
      <c r="D17780" s="1" t="str">
        <f t="shared" si="482"/>
        <v>PRG-1045742</v>
      </c>
      <c r="E17780" t="s">
        <v>225</v>
      </c>
      <c r="F17780" t="s">
        <v>4</v>
      </c>
      <c r="G17780" t="str">
        <f>""</f>
        <v/>
      </c>
    </row>
    <row r="17781" spans="1:7" x14ac:dyDescent="0.25">
      <c r="A17781" t="s">
        <v>8</v>
      </c>
      <c r="B17781" s="1" t="str">
        <f>"000304825 - USDA RICH'S 110244"</f>
        <v>000304825 - USDA RICH'S 110244</v>
      </c>
      <c r="C17781" t="s">
        <v>2996</v>
      </c>
      <c r="D17781" s="1" t="str">
        <f t="shared" si="482"/>
        <v>PRG-1045742</v>
      </c>
      <c r="E17781" t="s">
        <v>225</v>
      </c>
      <c r="F17781" t="s">
        <v>4</v>
      </c>
      <c r="G17781" t="str">
        <f>""</f>
        <v/>
      </c>
    </row>
    <row r="17782" spans="1:7" x14ac:dyDescent="0.25">
      <c r="A17782" t="s">
        <v>8</v>
      </c>
      <c r="B17782" s="1" t="str">
        <f>"000305076 - USDA RICH'S 100912"</f>
        <v>000305076 - USDA RICH'S 100912</v>
      </c>
      <c r="C17782" t="s">
        <v>2995</v>
      </c>
      <c r="D17782" s="1" t="str">
        <f t="shared" si="482"/>
        <v>PRG-1045742</v>
      </c>
      <c r="E17782" t="s">
        <v>225</v>
      </c>
      <c r="F17782" t="s">
        <v>4</v>
      </c>
      <c r="G17782" t="str">
        <f>""</f>
        <v/>
      </c>
    </row>
    <row r="17783" spans="1:7" x14ac:dyDescent="0.25">
      <c r="A17783" t="s">
        <v>8</v>
      </c>
      <c r="B17783" s="1" t="str">
        <f>"000305077 - USDA RICH'S 110244"</f>
        <v>000305077 - USDA RICH'S 110244</v>
      </c>
      <c r="C17783" t="s">
        <v>2996</v>
      </c>
      <c r="D17783" s="1" t="str">
        <f t="shared" si="482"/>
        <v>PRG-1045742</v>
      </c>
      <c r="E17783" t="s">
        <v>225</v>
      </c>
      <c r="F17783" t="s">
        <v>4</v>
      </c>
      <c r="G17783" t="str">
        <f>""</f>
        <v/>
      </c>
    </row>
    <row r="17784" spans="1:7" x14ac:dyDescent="0.25">
      <c r="A17784" t="s">
        <v>8</v>
      </c>
      <c r="B17784" s="1" t="str">
        <f>"000305539 - USDA RICH'S 100912"</f>
        <v>000305539 - USDA RICH'S 100912</v>
      </c>
      <c r="C17784" t="s">
        <v>2995</v>
      </c>
      <c r="D17784" s="1" t="str">
        <f t="shared" si="482"/>
        <v>PRG-1045742</v>
      </c>
      <c r="E17784" t="s">
        <v>225</v>
      </c>
      <c r="F17784" t="s">
        <v>4</v>
      </c>
      <c r="G17784" t="str">
        <f>""</f>
        <v/>
      </c>
    </row>
    <row r="17785" spans="1:7" x14ac:dyDescent="0.25">
      <c r="A17785" t="s">
        <v>8</v>
      </c>
      <c r="B17785" s="1" t="str">
        <f>"000305540 - USDA RICH'S 110244"</f>
        <v>000305540 - USDA RICH'S 110244</v>
      </c>
      <c r="C17785" t="s">
        <v>2996</v>
      </c>
      <c r="D17785" s="1" t="str">
        <f t="shared" si="482"/>
        <v>PRG-1045742</v>
      </c>
      <c r="E17785" t="s">
        <v>225</v>
      </c>
      <c r="F17785" t="s">
        <v>4</v>
      </c>
      <c r="G17785" t="str">
        <f>""</f>
        <v/>
      </c>
    </row>
    <row r="17786" spans="1:7" x14ac:dyDescent="0.25">
      <c r="A17786" t="s">
        <v>8</v>
      </c>
      <c r="B17786" s="1" t="str">
        <f>"000305824 - USDA RICH'S 100912"</f>
        <v>000305824 - USDA RICH'S 100912</v>
      </c>
      <c r="C17786" t="s">
        <v>2995</v>
      </c>
      <c r="D17786" s="1" t="str">
        <f t="shared" si="482"/>
        <v>PRG-1045742</v>
      </c>
      <c r="E17786" t="s">
        <v>225</v>
      </c>
      <c r="F17786" t="s">
        <v>4</v>
      </c>
      <c r="G17786" t="str">
        <f>""</f>
        <v/>
      </c>
    </row>
    <row r="17787" spans="1:7" x14ac:dyDescent="0.25">
      <c r="A17787" t="s">
        <v>8</v>
      </c>
      <c r="B17787" s="1" t="str">
        <f>"000305898 - RICH WORCESTER NOI 110244"</f>
        <v>000305898 - RICH WORCESTER NOI 110244</v>
      </c>
      <c r="C17787" t="s">
        <v>3035</v>
      </c>
      <c r="D17787" s="1" t="str">
        <f t="shared" si="482"/>
        <v>PRG-1045742</v>
      </c>
      <c r="E17787" t="s">
        <v>225</v>
      </c>
      <c r="F17787" t="s">
        <v>4</v>
      </c>
      <c r="G17787" t="str">
        <f>""</f>
        <v/>
      </c>
    </row>
    <row r="17788" spans="1:7" x14ac:dyDescent="0.25">
      <c r="A17788" t="s">
        <v>8</v>
      </c>
      <c r="B17788" s="1" t="str">
        <f>"000305967 - RICH WORCESTER NOI 100912"</f>
        <v>000305967 - RICH WORCESTER NOI 100912</v>
      </c>
      <c r="C17788" t="s">
        <v>2778</v>
      </c>
      <c r="D17788" s="1" t="str">
        <f t="shared" si="482"/>
        <v>PRG-1045742</v>
      </c>
      <c r="E17788" t="s">
        <v>225</v>
      </c>
      <c r="F17788" t="s">
        <v>4</v>
      </c>
      <c r="G17788" t="str">
        <f>""</f>
        <v/>
      </c>
    </row>
    <row r="17789" spans="1:7" x14ac:dyDescent="0.25">
      <c r="A17789" t="s">
        <v>8</v>
      </c>
      <c r="B17789" s="1" t="str">
        <f>"000306226 - RICH CORPORATION NOI FY16"</f>
        <v>000306226 - RICH CORPORATION NOI FY16</v>
      </c>
      <c r="C17789" t="s">
        <v>3043</v>
      </c>
      <c r="D17789" s="1" t="str">
        <f t="shared" si="482"/>
        <v>PRG-1045742</v>
      </c>
      <c r="E17789" t="s">
        <v>225</v>
      </c>
      <c r="F17789" t="s">
        <v>4</v>
      </c>
      <c r="G17789" t="str">
        <f>""</f>
        <v/>
      </c>
    </row>
    <row r="17790" spans="1:7" x14ac:dyDescent="0.25">
      <c r="A17790" t="s">
        <v>8</v>
      </c>
      <c r="B17790" s="1" t="str">
        <f>"000306317 - USDA RICH'S 100912"</f>
        <v>000306317 - USDA RICH'S 100912</v>
      </c>
      <c r="C17790" t="s">
        <v>2995</v>
      </c>
      <c r="D17790" s="1" t="str">
        <f t="shared" si="482"/>
        <v>PRG-1045742</v>
      </c>
      <c r="E17790" t="s">
        <v>225</v>
      </c>
      <c r="F17790" t="s">
        <v>4</v>
      </c>
      <c r="G17790" t="str">
        <f>""</f>
        <v/>
      </c>
    </row>
    <row r="17791" spans="1:7" x14ac:dyDescent="0.25">
      <c r="A17791" t="s">
        <v>8</v>
      </c>
      <c r="B17791" s="1" t="str">
        <f>"000306790 - USDA RICH'S 100912"</f>
        <v>000306790 - USDA RICH'S 100912</v>
      </c>
      <c r="C17791" t="s">
        <v>2995</v>
      </c>
      <c r="D17791" s="1" t="str">
        <f t="shared" si="482"/>
        <v>PRG-1045742</v>
      </c>
      <c r="E17791" t="s">
        <v>225</v>
      </c>
      <c r="F17791" t="s">
        <v>4</v>
      </c>
      <c r="G17791" t="str">
        <f>""</f>
        <v/>
      </c>
    </row>
    <row r="17792" spans="1:7" x14ac:dyDescent="0.25">
      <c r="A17792" t="s">
        <v>8</v>
      </c>
      <c r="B17792" s="1" t="str">
        <f>"000306792 - USDA RICH'S 110244"</f>
        <v>000306792 - USDA RICH'S 110244</v>
      </c>
      <c r="C17792" t="s">
        <v>2996</v>
      </c>
      <c r="D17792" s="1" t="str">
        <f t="shared" si="482"/>
        <v>PRG-1045742</v>
      </c>
      <c r="E17792" t="s">
        <v>225</v>
      </c>
      <c r="F17792" t="s">
        <v>4</v>
      </c>
      <c r="G17792" t="str">
        <f>""</f>
        <v/>
      </c>
    </row>
    <row r="17793" spans="1:7" x14ac:dyDescent="0.25">
      <c r="A17793" t="s">
        <v>8</v>
      </c>
      <c r="B17793" s="1" t="str">
        <f>"000306936 - RICH'S SDX QACPS NOI 100912"</f>
        <v>000306936 - RICH'S SDX QACPS NOI 100912</v>
      </c>
      <c r="C17793" t="s">
        <v>3056</v>
      </c>
      <c r="D17793" s="1" t="str">
        <f t="shared" si="482"/>
        <v>PRG-1045742</v>
      </c>
      <c r="E17793" t="s">
        <v>225</v>
      </c>
      <c r="F17793" t="s">
        <v>4</v>
      </c>
      <c r="G17793" t="str">
        <f>""</f>
        <v/>
      </c>
    </row>
    <row r="17794" spans="1:7" x14ac:dyDescent="0.25">
      <c r="A17794" t="s">
        <v>8</v>
      </c>
      <c r="B17794" s="1" t="str">
        <f>"000307000 - RICHS SDX TALBOT NOI 100912"</f>
        <v>000307000 - RICHS SDX TALBOT NOI 100912</v>
      </c>
      <c r="C17794" t="s">
        <v>3060</v>
      </c>
      <c r="D17794" s="1" t="str">
        <f t="shared" si="482"/>
        <v>PRG-1045742</v>
      </c>
      <c r="E17794" t="s">
        <v>225</v>
      </c>
      <c r="F17794" t="s">
        <v>4</v>
      </c>
      <c r="G17794" t="str">
        <f>""</f>
        <v/>
      </c>
    </row>
    <row r="17795" spans="1:7" x14ac:dyDescent="0.25">
      <c r="A17795" t="s">
        <v>8</v>
      </c>
      <c r="B17795" s="1" t="str">
        <f>"000307018 - USDA RICH'S 100912"</f>
        <v>000307018 - USDA RICH'S 100912</v>
      </c>
      <c r="C17795" t="s">
        <v>2995</v>
      </c>
      <c r="D17795" s="1" t="str">
        <f t="shared" si="482"/>
        <v>PRG-1045742</v>
      </c>
      <c r="E17795" t="s">
        <v>225</v>
      </c>
      <c r="F17795" t="s">
        <v>4</v>
      </c>
      <c r="G17795" t="str">
        <f>""</f>
        <v/>
      </c>
    </row>
    <row r="17796" spans="1:7" x14ac:dyDescent="0.25">
      <c r="A17796" t="s">
        <v>8</v>
      </c>
      <c r="B17796" s="1" t="str">
        <f>"000307021 - USDA RICH'S 110244"</f>
        <v>000307021 - USDA RICH'S 110244</v>
      </c>
      <c r="C17796" t="s">
        <v>2996</v>
      </c>
      <c r="D17796" s="1" t="str">
        <f t="shared" si="482"/>
        <v>PRG-1045742</v>
      </c>
      <c r="E17796" t="s">
        <v>225</v>
      </c>
      <c r="F17796" t="s">
        <v>4</v>
      </c>
      <c r="G17796" t="str">
        <f>""</f>
        <v/>
      </c>
    </row>
    <row r="17797" spans="1:7" x14ac:dyDescent="0.25">
      <c r="A17797" t="s">
        <v>8</v>
      </c>
      <c r="B17797" s="1" t="str">
        <f>"000307153 - RICH CAROLINE NOI 100912"</f>
        <v>000307153 - RICH CAROLINE NOI 100912</v>
      </c>
      <c r="C17797" t="s">
        <v>3062</v>
      </c>
      <c r="D17797" s="1" t="str">
        <f t="shared" si="482"/>
        <v>PRG-1045742</v>
      </c>
      <c r="E17797" t="s">
        <v>225</v>
      </c>
      <c r="F17797" t="s">
        <v>4</v>
      </c>
      <c r="G17797" t="str">
        <f>""</f>
        <v/>
      </c>
    </row>
    <row r="17798" spans="1:7" x14ac:dyDescent="0.25">
      <c r="A17798" t="s">
        <v>8</v>
      </c>
      <c r="B17798" s="1" t="str">
        <f>"000307212 - RICHS CAROLINE NOI 110244"</f>
        <v>000307212 - RICHS CAROLINE NOI 110244</v>
      </c>
      <c r="C17798" t="s">
        <v>3064</v>
      </c>
      <c r="D17798" s="1" t="str">
        <f t="shared" si="482"/>
        <v>PRG-1045742</v>
      </c>
      <c r="E17798" t="s">
        <v>225</v>
      </c>
      <c r="F17798" t="s">
        <v>4</v>
      </c>
      <c r="G17798" t="str">
        <f>""</f>
        <v/>
      </c>
    </row>
    <row r="17799" spans="1:7" x14ac:dyDescent="0.25">
      <c r="A17799" t="s">
        <v>8</v>
      </c>
      <c r="B17799" s="1" t="str">
        <f>"000307361 - USDA RICH'S 100912"</f>
        <v>000307361 - USDA RICH'S 100912</v>
      </c>
      <c r="C17799" t="s">
        <v>2995</v>
      </c>
      <c r="D17799" s="1" t="str">
        <f t="shared" si="482"/>
        <v>PRG-1045742</v>
      </c>
      <c r="E17799" t="s">
        <v>225</v>
      </c>
      <c r="F17799" t="s">
        <v>4</v>
      </c>
      <c r="G17799" t="str">
        <f>""</f>
        <v/>
      </c>
    </row>
    <row r="17800" spans="1:7" x14ac:dyDescent="0.25">
      <c r="A17800" t="s">
        <v>8</v>
      </c>
      <c r="B17800" s="1" t="str">
        <f>"000307362 - USDA RICH'S 110244"</f>
        <v>000307362 - USDA RICH'S 110244</v>
      </c>
      <c r="C17800" t="s">
        <v>2996</v>
      </c>
      <c r="D17800" s="1" t="str">
        <f t="shared" si="482"/>
        <v>PRG-1045742</v>
      </c>
      <c r="E17800" t="s">
        <v>225</v>
      </c>
      <c r="F17800" t="s">
        <v>4</v>
      </c>
      <c r="G17800" t="str">
        <f>""</f>
        <v/>
      </c>
    </row>
    <row r="17801" spans="1:7" x14ac:dyDescent="0.25">
      <c r="A17801" t="s">
        <v>8</v>
      </c>
      <c r="B17801" s="1" t="str">
        <f>"000308214 - USDA RICH'S 100912"</f>
        <v>000308214 - USDA RICH'S 100912</v>
      </c>
      <c r="C17801" t="s">
        <v>2995</v>
      </c>
      <c r="D17801" s="1" t="str">
        <f t="shared" si="482"/>
        <v>PRG-1045742</v>
      </c>
      <c r="E17801" t="s">
        <v>225</v>
      </c>
      <c r="F17801" t="s">
        <v>4</v>
      </c>
      <c r="G17801" t="str">
        <f>""</f>
        <v/>
      </c>
    </row>
    <row r="17802" spans="1:7" x14ac:dyDescent="0.25">
      <c r="A17802" t="s">
        <v>8</v>
      </c>
      <c r="B17802" s="1" t="str">
        <f>"000308216 - USDA RICH'S 110244"</f>
        <v>000308216 - USDA RICH'S 110244</v>
      </c>
      <c r="C17802" t="s">
        <v>2996</v>
      </c>
      <c r="D17802" s="1" t="str">
        <f t="shared" si="482"/>
        <v>PRG-1045742</v>
      </c>
      <c r="E17802" t="s">
        <v>225</v>
      </c>
      <c r="F17802" t="s">
        <v>4</v>
      </c>
      <c r="G17802" t="str">
        <f>""</f>
        <v/>
      </c>
    </row>
    <row r="17803" spans="1:7" x14ac:dyDescent="0.25">
      <c r="A17803" t="s">
        <v>8</v>
      </c>
      <c r="B17803" s="1" t="str">
        <f>"000308308 - USDA-RICH-ARANY-100912-FY19"</f>
        <v>000308308 - USDA-RICH-ARANY-100912-FY19</v>
      </c>
      <c r="C17803" t="s">
        <v>2886</v>
      </c>
      <c r="D17803" s="1" t="str">
        <f t="shared" si="482"/>
        <v>PRG-1045742</v>
      </c>
      <c r="E17803" t="s">
        <v>225</v>
      </c>
      <c r="F17803" t="s">
        <v>4</v>
      </c>
      <c r="G17803" t="str">
        <f>""</f>
        <v/>
      </c>
    </row>
    <row r="17804" spans="1:7" x14ac:dyDescent="0.25">
      <c r="A17804" t="s">
        <v>8</v>
      </c>
      <c r="B17804" s="1" t="str">
        <f>"000308312 - USDA-RICH-ARANJ-100912-FY19"</f>
        <v>000308312 - USDA-RICH-ARANJ-100912-FY19</v>
      </c>
      <c r="C17804" t="s">
        <v>2934</v>
      </c>
      <c r="D17804" s="1" t="str">
        <f t="shared" si="482"/>
        <v>PRG-1045742</v>
      </c>
      <c r="E17804" t="s">
        <v>225</v>
      </c>
      <c r="F17804" t="s">
        <v>4</v>
      </c>
      <c r="G17804" t="str">
        <f>""</f>
        <v/>
      </c>
    </row>
    <row r="17805" spans="1:7" x14ac:dyDescent="0.25">
      <c r="A17805" t="s">
        <v>8</v>
      </c>
      <c r="B17805" s="1" t="str">
        <f>"000308524 - USDA RICH'S 100912"</f>
        <v>000308524 - USDA RICH'S 100912</v>
      </c>
      <c r="C17805" t="s">
        <v>2995</v>
      </c>
      <c r="D17805" s="1" t="str">
        <f t="shared" si="482"/>
        <v>PRG-1045742</v>
      </c>
      <c r="E17805" t="s">
        <v>225</v>
      </c>
      <c r="F17805" t="s">
        <v>4</v>
      </c>
      <c r="G17805" t="str">
        <f>""</f>
        <v/>
      </c>
    </row>
    <row r="17806" spans="1:7" x14ac:dyDescent="0.25">
      <c r="A17806" t="s">
        <v>8</v>
      </c>
      <c r="B17806" s="1" t="str">
        <f>"000308527 - USDA RICH'S 110244"</f>
        <v>000308527 - USDA RICH'S 110244</v>
      </c>
      <c r="C17806" t="s">
        <v>2996</v>
      </c>
      <c r="D17806" s="1" t="str">
        <f t="shared" si="482"/>
        <v>PRG-1045742</v>
      </c>
      <c r="E17806" t="s">
        <v>225</v>
      </c>
      <c r="F17806" t="s">
        <v>4</v>
      </c>
      <c r="G17806" t="str">
        <f>""</f>
        <v/>
      </c>
    </row>
    <row r="17807" spans="1:7" x14ac:dyDescent="0.25">
      <c r="A17807" t="s">
        <v>8</v>
      </c>
      <c r="B17807" s="1" t="str">
        <f>"000308673 - RICH CORPORATION NOI FY16A"</f>
        <v>000308673 - RICH CORPORATION NOI FY16A</v>
      </c>
      <c r="C17807" t="s">
        <v>3085</v>
      </c>
      <c r="D17807" s="1" t="str">
        <f t="shared" si="482"/>
        <v>PRG-1045742</v>
      </c>
      <c r="E17807" t="s">
        <v>225</v>
      </c>
      <c r="F17807" t="s">
        <v>4</v>
      </c>
      <c r="G17807" t="str">
        <f>""</f>
        <v/>
      </c>
    </row>
    <row r="17808" spans="1:7" x14ac:dyDescent="0.25">
      <c r="A17808" t="s">
        <v>8</v>
      </c>
      <c r="B17808" s="1" t="str">
        <f>"000309386 - USDA RICH'S 100912"</f>
        <v>000309386 - USDA RICH'S 100912</v>
      </c>
      <c r="C17808" t="s">
        <v>2995</v>
      </c>
      <c r="D17808" s="1" t="str">
        <f t="shared" si="482"/>
        <v>PRG-1045742</v>
      </c>
      <c r="E17808" t="s">
        <v>225</v>
      </c>
      <c r="F17808" t="s">
        <v>4</v>
      </c>
      <c r="G17808" t="str">
        <f>""</f>
        <v/>
      </c>
    </row>
    <row r="17809" spans="1:7" x14ac:dyDescent="0.25">
      <c r="A17809" t="s">
        <v>8</v>
      </c>
      <c r="B17809" s="1" t="str">
        <f>"000310038 - USDA-RICH-ARANJ-100912-FY19"</f>
        <v>000310038 - USDA-RICH-ARANJ-100912-FY19</v>
      </c>
      <c r="C17809" t="s">
        <v>2934</v>
      </c>
      <c r="D17809" s="1" t="str">
        <f t="shared" si="482"/>
        <v>PRG-1045742</v>
      </c>
      <c r="E17809" t="s">
        <v>225</v>
      </c>
      <c r="F17809" t="s">
        <v>4</v>
      </c>
      <c r="G17809" t="str">
        <f>""</f>
        <v/>
      </c>
    </row>
    <row r="17810" spans="1:7" x14ac:dyDescent="0.25">
      <c r="A17810" t="s">
        <v>8</v>
      </c>
      <c r="B17810" s="1" t="str">
        <f>"000310776 - USDA-RICH'S ARA LOWELL PUBLIC"</f>
        <v>000310776 - USDA-RICH'S ARA LOWELL PUBLIC</v>
      </c>
      <c r="C17810" t="s">
        <v>3112</v>
      </c>
      <c r="D17810" s="1" t="str">
        <f t="shared" si="482"/>
        <v>PRG-1045742</v>
      </c>
      <c r="E17810" t="s">
        <v>225</v>
      </c>
      <c r="F17810" t="s">
        <v>4</v>
      </c>
      <c r="G17810" t="str">
        <f>""</f>
        <v/>
      </c>
    </row>
    <row r="17811" spans="1:7" x14ac:dyDescent="0.25">
      <c r="A17811" t="s">
        <v>8</v>
      </c>
      <c r="B17811" s="1" t="str">
        <f>"000310794 - USDA RICH'S 100912"</f>
        <v>000310794 - USDA RICH'S 100912</v>
      </c>
      <c r="C17811" t="s">
        <v>2995</v>
      </c>
      <c r="D17811" s="1" t="str">
        <f t="shared" si="482"/>
        <v>PRG-1045742</v>
      </c>
      <c r="E17811" t="s">
        <v>225</v>
      </c>
      <c r="F17811" t="s">
        <v>4</v>
      </c>
      <c r="G17811" t="str">
        <f>""</f>
        <v/>
      </c>
    </row>
    <row r="17812" spans="1:7" x14ac:dyDescent="0.25">
      <c r="A17812" t="s">
        <v>8</v>
      </c>
      <c r="B17812" s="1" t="str">
        <f>"000310800 - USDA RICH'S 110244"</f>
        <v>000310800 - USDA RICH'S 110244</v>
      </c>
      <c r="C17812" t="s">
        <v>2996</v>
      </c>
      <c r="D17812" s="1" t="str">
        <f t="shared" ref="D17812:D17875" si="483">"PRG-1045742"</f>
        <v>PRG-1045742</v>
      </c>
      <c r="E17812" t="s">
        <v>225</v>
      </c>
      <c r="F17812" t="s">
        <v>4</v>
      </c>
      <c r="G17812" t="str">
        <f>""</f>
        <v/>
      </c>
    </row>
    <row r="17813" spans="1:7" x14ac:dyDescent="0.25">
      <c r="A17813" t="s">
        <v>8</v>
      </c>
      <c r="B17813" s="1" t="str">
        <f>"000311307 - RICH PRODUCTS 100912 USDA"</f>
        <v>000311307 - RICH PRODUCTS 100912 USDA</v>
      </c>
      <c r="C17813" t="s">
        <v>3116</v>
      </c>
      <c r="D17813" s="1" t="str">
        <f t="shared" si="483"/>
        <v>PRG-1045742</v>
      </c>
      <c r="E17813" t="s">
        <v>225</v>
      </c>
      <c r="F17813" t="s">
        <v>4</v>
      </c>
      <c r="G17813" t="str">
        <f>""</f>
        <v/>
      </c>
    </row>
    <row r="17814" spans="1:7" x14ac:dyDescent="0.25">
      <c r="A17814" t="s">
        <v>8</v>
      </c>
      <c r="B17814" s="1" t="str">
        <f>"000311327 - USDA RICH'S 100912"</f>
        <v>000311327 - USDA RICH'S 100912</v>
      </c>
      <c r="C17814" t="s">
        <v>2995</v>
      </c>
      <c r="D17814" s="1" t="str">
        <f t="shared" si="483"/>
        <v>PRG-1045742</v>
      </c>
      <c r="E17814" t="s">
        <v>225</v>
      </c>
      <c r="F17814" t="s">
        <v>4</v>
      </c>
      <c r="G17814" t="str">
        <f>""</f>
        <v/>
      </c>
    </row>
    <row r="17815" spans="1:7" x14ac:dyDescent="0.25">
      <c r="A17815" t="s">
        <v>8</v>
      </c>
      <c r="B17815" s="1" t="str">
        <f>"000311328 - USDA RICH'S 110244"</f>
        <v>000311328 - USDA RICH'S 110244</v>
      </c>
      <c r="C17815" t="s">
        <v>2996</v>
      </c>
      <c r="D17815" s="1" t="str">
        <f t="shared" si="483"/>
        <v>PRG-1045742</v>
      </c>
      <c r="E17815" t="s">
        <v>225</v>
      </c>
      <c r="F17815" t="s">
        <v>4</v>
      </c>
      <c r="G17815" t="str">
        <f>""</f>
        <v/>
      </c>
    </row>
    <row r="17816" spans="1:7" x14ac:dyDescent="0.25">
      <c r="A17816" t="s">
        <v>8</v>
      </c>
      <c r="B17816" s="1" t="str">
        <f>"000311794 - USDA RICH'S 100912"</f>
        <v>000311794 - USDA RICH'S 100912</v>
      </c>
      <c r="C17816" t="s">
        <v>2995</v>
      </c>
      <c r="D17816" s="1" t="str">
        <f t="shared" si="483"/>
        <v>PRG-1045742</v>
      </c>
      <c r="E17816" t="s">
        <v>225</v>
      </c>
      <c r="F17816" t="s">
        <v>4</v>
      </c>
      <c r="G17816" t="str">
        <f>""</f>
        <v/>
      </c>
    </row>
    <row r="17817" spans="1:7" x14ac:dyDescent="0.25">
      <c r="A17817" t="s">
        <v>8</v>
      </c>
      <c r="B17817" s="1" t="str">
        <f>"000312158 - RICH PRODUCTS 100912 USDA"</f>
        <v>000312158 - RICH PRODUCTS 100912 USDA</v>
      </c>
      <c r="C17817" t="s">
        <v>3116</v>
      </c>
      <c r="D17817" s="1" t="str">
        <f t="shared" si="483"/>
        <v>PRG-1045742</v>
      </c>
      <c r="E17817" t="s">
        <v>225</v>
      </c>
      <c r="F17817" t="s">
        <v>4</v>
      </c>
      <c r="G17817" t="str">
        <f>""</f>
        <v/>
      </c>
    </row>
    <row r="17818" spans="1:7" x14ac:dyDescent="0.25">
      <c r="A17818" t="s">
        <v>8</v>
      </c>
      <c r="B17818" s="1" t="str">
        <f>"000312329 - USDA RICH'S 100912"</f>
        <v>000312329 - USDA RICH'S 100912</v>
      </c>
      <c r="C17818" t="s">
        <v>2995</v>
      </c>
      <c r="D17818" s="1" t="str">
        <f t="shared" si="483"/>
        <v>PRG-1045742</v>
      </c>
      <c r="E17818" t="s">
        <v>225</v>
      </c>
      <c r="F17818" t="s">
        <v>4</v>
      </c>
      <c r="G17818" t="str">
        <f>""</f>
        <v/>
      </c>
    </row>
    <row r="17819" spans="1:7" x14ac:dyDescent="0.25">
      <c r="A17819" t="s">
        <v>8</v>
      </c>
      <c r="B17819" s="1" t="str">
        <f>"000312330 - USDA RICH'S 110244"</f>
        <v>000312330 - USDA RICH'S 110244</v>
      </c>
      <c r="C17819" t="s">
        <v>2996</v>
      </c>
      <c r="D17819" s="1" t="str">
        <f t="shared" si="483"/>
        <v>PRG-1045742</v>
      </c>
      <c r="E17819" t="s">
        <v>225</v>
      </c>
      <c r="F17819" t="s">
        <v>4</v>
      </c>
      <c r="G17819" t="str">
        <f>""</f>
        <v/>
      </c>
    </row>
    <row r="17820" spans="1:7" x14ac:dyDescent="0.25">
      <c r="A17820" t="s">
        <v>8</v>
      </c>
      <c r="B17820" s="1" t="str">
        <f>"000312452 - RCH-100912-NOI"</f>
        <v>000312452 - RCH-100912-NOI</v>
      </c>
      <c r="C17820" t="s">
        <v>1918</v>
      </c>
      <c r="D17820" s="1" t="str">
        <f t="shared" si="483"/>
        <v>PRG-1045742</v>
      </c>
      <c r="E17820" t="s">
        <v>225</v>
      </c>
      <c r="F17820" t="s">
        <v>4</v>
      </c>
      <c r="G17820" t="str">
        <f>""</f>
        <v/>
      </c>
    </row>
    <row r="17821" spans="1:7" x14ac:dyDescent="0.25">
      <c r="A17821" t="s">
        <v>8</v>
      </c>
      <c r="B17821" s="1" t="str">
        <f>"000312693 - CPS    RICHS-100912"</f>
        <v>000312693 - CPS    RICHS-100912</v>
      </c>
      <c r="C17821" t="s">
        <v>2929</v>
      </c>
      <c r="D17821" s="1" t="str">
        <f t="shared" si="483"/>
        <v>PRG-1045742</v>
      </c>
      <c r="E17821" t="s">
        <v>225</v>
      </c>
      <c r="F17821" t="s">
        <v>4</v>
      </c>
      <c r="G17821" t="str">
        <f>""</f>
        <v/>
      </c>
    </row>
    <row r="17822" spans="1:7" x14ac:dyDescent="0.25">
      <c r="A17822" t="s">
        <v>8</v>
      </c>
      <c r="B17822" s="1" t="str">
        <f>"000312845 - RICH 110244 NOI"</f>
        <v>000312845 - RICH 110244 NOI</v>
      </c>
      <c r="C17822" t="s">
        <v>3131</v>
      </c>
      <c r="D17822" s="1" t="str">
        <f t="shared" si="483"/>
        <v>PRG-1045742</v>
      </c>
      <c r="E17822" t="s">
        <v>225</v>
      </c>
      <c r="F17822" t="s">
        <v>4</v>
      </c>
      <c r="G17822" t="str">
        <f>""</f>
        <v/>
      </c>
    </row>
    <row r="17823" spans="1:7" x14ac:dyDescent="0.25">
      <c r="A17823" t="s">
        <v>8</v>
      </c>
      <c r="B17823" s="1" t="str">
        <f>"000312851 - RICH 100912 NOI"</f>
        <v>000312851 - RICH 100912 NOI</v>
      </c>
      <c r="C17823" t="s">
        <v>3132</v>
      </c>
      <c r="D17823" s="1" t="str">
        <f t="shared" si="483"/>
        <v>PRG-1045742</v>
      </c>
      <c r="E17823" t="s">
        <v>225</v>
      </c>
      <c r="F17823" t="s">
        <v>4</v>
      </c>
      <c r="G17823" t="str">
        <f>""</f>
        <v/>
      </c>
    </row>
    <row r="17824" spans="1:7" x14ac:dyDescent="0.25">
      <c r="A17824" t="s">
        <v>8</v>
      </c>
      <c r="B17824" s="1" t="str">
        <f>"000312963 - USDA RICH'S 100912"</f>
        <v>000312963 - USDA RICH'S 100912</v>
      </c>
      <c r="C17824" t="s">
        <v>2995</v>
      </c>
      <c r="D17824" s="1" t="str">
        <f t="shared" si="483"/>
        <v>PRG-1045742</v>
      </c>
      <c r="E17824" t="s">
        <v>225</v>
      </c>
      <c r="F17824" t="s">
        <v>4</v>
      </c>
      <c r="G17824" t="str">
        <f>""</f>
        <v/>
      </c>
    </row>
    <row r="17825" spans="1:7" x14ac:dyDescent="0.25">
      <c r="A17825" t="s">
        <v>8</v>
      </c>
      <c r="B17825" s="1" t="str">
        <f>"000312964 - USDA RICH'S 110244"</f>
        <v>000312964 - USDA RICH'S 110244</v>
      </c>
      <c r="C17825" t="s">
        <v>2996</v>
      </c>
      <c r="D17825" s="1" t="str">
        <f t="shared" si="483"/>
        <v>PRG-1045742</v>
      </c>
      <c r="E17825" t="s">
        <v>225</v>
      </c>
      <c r="F17825" t="s">
        <v>4</v>
      </c>
      <c r="G17825" t="str">
        <f>""</f>
        <v/>
      </c>
    </row>
    <row r="17826" spans="1:7" x14ac:dyDescent="0.25">
      <c r="A17826" t="s">
        <v>8</v>
      </c>
      <c r="B17826" s="1" t="str">
        <f>"000313120 - RICH PROD-UPC"</f>
        <v>000313120 - RICH PROD-UPC</v>
      </c>
      <c r="C17826" t="s">
        <v>2338</v>
      </c>
      <c r="D17826" s="1" t="str">
        <f t="shared" si="483"/>
        <v>PRG-1045742</v>
      </c>
      <c r="E17826" t="s">
        <v>225</v>
      </c>
      <c r="F17826" t="s">
        <v>4</v>
      </c>
      <c r="G17826" t="str">
        <f>""</f>
        <v/>
      </c>
    </row>
    <row r="17827" spans="1:7" x14ac:dyDescent="0.25">
      <c r="A17827" t="s">
        <v>8</v>
      </c>
      <c r="B17827" s="1" t="str">
        <f>"000313292 - USDA RICH'S 100912"</f>
        <v>000313292 - USDA RICH'S 100912</v>
      </c>
      <c r="C17827" t="s">
        <v>2995</v>
      </c>
      <c r="D17827" s="1" t="str">
        <f t="shared" si="483"/>
        <v>PRG-1045742</v>
      </c>
      <c r="E17827" t="s">
        <v>225</v>
      </c>
      <c r="F17827" t="s">
        <v>4</v>
      </c>
      <c r="G17827" t="str">
        <f>""</f>
        <v/>
      </c>
    </row>
    <row r="17828" spans="1:7" x14ac:dyDescent="0.25">
      <c r="A17828" t="s">
        <v>8</v>
      </c>
      <c r="B17828" s="1" t="str">
        <f>"000313293 - USDA RICH'S 110244"</f>
        <v>000313293 - USDA RICH'S 110244</v>
      </c>
      <c r="C17828" t="s">
        <v>2996</v>
      </c>
      <c r="D17828" s="1" t="str">
        <f t="shared" si="483"/>
        <v>PRG-1045742</v>
      </c>
      <c r="E17828" t="s">
        <v>225</v>
      </c>
      <c r="F17828" t="s">
        <v>4</v>
      </c>
      <c r="G17828" t="str">
        <f>""</f>
        <v/>
      </c>
    </row>
    <row r="17829" spans="1:7" x14ac:dyDescent="0.25">
      <c r="A17829" t="s">
        <v>8</v>
      </c>
      <c r="B17829" s="1" t="str">
        <f>"000313637 - USDA RICH'S CSD HUDSON K-12"</f>
        <v>000313637 - USDA RICH'S CSD HUDSON K-12</v>
      </c>
      <c r="C17829" t="s">
        <v>3146</v>
      </c>
      <c r="D17829" s="1" t="str">
        <f t="shared" si="483"/>
        <v>PRG-1045742</v>
      </c>
      <c r="E17829" t="s">
        <v>225</v>
      </c>
      <c r="F17829" t="s">
        <v>4</v>
      </c>
      <c r="G17829" t="str">
        <f>""</f>
        <v/>
      </c>
    </row>
    <row r="17830" spans="1:7" x14ac:dyDescent="0.25">
      <c r="A17830" t="s">
        <v>8</v>
      </c>
      <c r="B17830" s="1" t="str">
        <f>"000314136 - RICH'S   100912"</f>
        <v>000314136 - RICH'S   100912</v>
      </c>
      <c r="C17830" t="s">
        <v>3153</v>
      </c>
      <c r="D17830" s="1" t="str">
        <f t="shared" si="483"/>
        <v>PRG-1045742</v>
      </c>
      <c r="E17830" t="s">
        <v>225</v>
      </c>
      <c r="F17830" t="s">
        <v>4</v>
      </c>
      <c r="G17830" t="str">
        <f>""</f>
        <v/>
      </c>
    </row>
    <row r="17831" spans="1:7" x14ac:dyDescent="0.25">
      <c r="A17831" t="s">
        <v>8</v>
      </c>
      <c r="B17831" s="1" t="str">
        <f>"000314138 - RICH'S   110244"</f>
        <v>000314138 - RICH'S   110244</v>
      </c>
      <c r="C17831" t="s">
        <v>3154</v>
      </c>
      <c r="D17831" s="1" t="str">
        <f t="shared" si="483"/>
        <v>PRG-1045742</v>
      </c>
      <c r="E17831" t="s">
        <v>225</v>
      </c>
      <c r="F17831" t="s">
        <v>4</v>
      </c>
      <c r="G17831" t="str">
        <f>""</f>
        <v/>
      </c>
    </row>
    <row r="17832" spans="1:7" x14ac:dyDescent="0.25">
      <c r="A17832" t="s">
        <v>8</v>
      </c>
      <c r="B17832" s="1" t="str">
        <f>"000314215 - USDA RICH'S CSD ROCKLAND"</f>
        <v>000314215 - USDA RICH'S CSD ROCKLAND</v>
      </c>
      <c r="C17832" t="s">
        <v>3155</v>
      </c>
      <c r="D17832" s="1" t="str">
        <f t="shared" si="483"/>
        <v>PRG-1045742</v>
      </c>
      <c r="E17832" t="s">
        <v>225</v>
      </c>
      <c r="F17832" t="s">
        <v>4</v>
      </c>
      <c r="G17832" t="str">
        <f>""</f>
        <v/>
      </c>
    </row>
    <row r="17833" spans="1:7" x14ac:dyDescent="0.25">
      <c r="A17833" t="s">
        <v>8</v>
      </c>
      <c r="B17833" s="1" t="str">
        <f>"000314421 - USDA RICH'S 110244"</f>
        <v>000314421 - USDA RICH'S 110244</v>
      </c>
      <c r="C17833" t="s">
        <v>2996</v>
      </c>
      <c r="D17833" s="1" t="str">
        <f t="shared" si="483"/>
        <v>PRG-1045742</v>
      </c>
      <c r="E17833" t="s">
        <v>225</v>
      </c>
      <c r="F17833" t="s">
        <v>4</v>
      </c>
      <c r="G17833" t="str">
        <f>""</f>
        <v/>
      </c>
    </row>
    <row r="17834" spans="1:7" x14ac:dyDescent="0.25">
      <c r="A17834" t="s">
        <v>8</v>
      </c>
      <c r="B17834" s="1" t="str">
        <f>"000314532 - RICH PRODUCTS 100912 USDA"</f>
        <v>000314532 - RICH PRODUCTS 100912 USDA</v>
      </c>
      <c r="C17834" t="s">
        <v>3116</v>
      </c>
      <c r="D17834" s="1" t="str">
        <f t="shared" si="483"/>
        <v>PRG-1045742</v>
      </c>
      <c r="E17834" t="s">
        <v>225</v>
      </c>
      <c r="F17834" t="s">
        <v>4</v>
      </c>
      <c r="G17834" t="str">
        <f>""</f>
        <v/>
      </c>
    </row>
    <row r="17835" spans="1:7" x14ac:dyDescent="0.25">
      <c r="A17835" t="s">
        <v>8</v>
      </c>
      <c r="B17835" s="1" t="str">
        <f>"000314696 - USDA RICH FOODS MOZZ 110244"</f>
        <v>000314696 - USDA RICH FOODS MOZZ 110244</v>
      </c>
      <c r="C17835" t="s">
        <v>3164</v>
      </c>
      <c r="D17835" s="1" t="str">
        <f t="shared" si="483"/>
        <v>PRG-1045742</v>
      </c>
      <c r="E17835" t="s">
        <v>225</v>
      </c>
      <c r="F17835" t="s">
        <v>4</v>
      </c>
      <c r="G17835" t="str">
        <f>""</f>
        <v/>
      </c>
    </row>
    <row r="17836" spans="1:7" x14ac:dyDescent="0.25">
      <c r="A17836" t="s">
        <v>8</v>
      </c>
      <c r="B17836" s="1" t="str">
        <f>"000315221 - RICH'S   100912"</f>
        <v>000315221 - RICH'S   100912</v>
      </c>
      <c r="C17836" t="s">
        <v>3153</v>
      </c>
      <c r="D17836" s="1" t="str">
        <f t="shared" si="483"/>
        <v>PRG-1045742</v>
      </c>
      <c r="E17836" t="s">
        <v>225</v>
      </c>
      <c r="F17836" t="s">
        <v>4</v>
      </c>
      <c r="G17836" t="str">
        <f>""</f>
        <v/>
      </c>
    </row>
    <row r="17837" spans="1:7" x14ac:dyDescent="0.25">
      <c r="A17837" t="s">
        <v>8</v>
      </c>
      <c r="B17837" s="1" t="str">
        <f>"000315223 - RICH'S   110244"</f>
        <v>000315223 - RICH'S   110244</v>
      </c>
      <c r="C17837" t="s">
        <v>3154</v>
      </c>
      <c r="D17837" s="1" t="str">
        <f t="shared" si="483"/>
        <v>PRG-1045742</v>
      </c>
      <c r="E17837" t="s">
        <v>225</v>
      </c>
      <c r="F17837" t="s">
        <v>4</v>
      </c>
      <c r="G17837" t="str">
        <f>""</f>
        <v/>
      </c>
    </row>
    <row r="17838" spans="1:7" x14ac:dyDescent="0.25">
      <c r="A17838" t="s">
        <v>8</v>
      </c>
      <c r="B17838" s="1" t="str">
        <f>"000315811 - RICH'S   100912"</f>
        <v>000315811 - RICH'S   100912</v>
      </c>
      <c r="C17838" t="s">
        <v>3153</v>
      </c>
      <c r="D17838" s="1" t="str">
        <f t="shared" si="483"/>
        <v>PRG-1045742</v>
      </c>
      <c r="E17838" t="s">
        <v>225</v>
      </c>
      <c r="F17838" t="s">
        <v>4</v>
      </c>
      <c r="G17838" t="str">
        <f>""</f>
        <v/>
      </c>
    </row>
    <row r="17839" spans="1:7" x14ac:dyDescent="0.25">
      <c r="A17839" t="s">
        <v>8</v>
      </c>
      <c r="B17839" s="1" t="str">
        <f>"000315812 - RICH'S   110244"</f>
        <v>000315812 - RICH'S   110244</v>
      </c>
      <c r="C17839" t="s">
        <v>3154</v>
      </c>
      <c r="D17839" s="1" t="str">
        <f t="shared" si="483"/>
        <v>PRG-1045742</v>
      </c>
      <c r="E17839" t="s">
        <v>225</v>
      </c>
      <c r="F17839" t="s">
        <v>4</v>
      </c>
      <c r="G17839" t="str">
        <f>""</f>
        <v/>
      </c>
    </row>
    <row r="17840" spans="1:7" x14ac:dyDescent="0.25">
      <c r="A17840" t="s">
        <v>8</v>
      </c>
      <c r="B17840" s="1" t="str">
        <f>"000316177 - RICH'S   100912"</f>
        <v>000316177 - RICH'S   100912</v>
      </c>
      <c r="C17840" t="s">
        <v>3153</v>
      </c>
      <c r="D17840" s="1" t="str">
        <f t="shared" si="483"/>
        <v>PRG-1045742</v>
      </c>
      <c r="E17840" t="s">
        <v>225</v>
      </c>
      <c r="F17840" t="s">
        <v>4</v>
      </c>
      <c r="G17840" t="str">
        <f>""</f>
        <v/>
      </c>
    </row>
    <row r="17841" spans="1:7" x14ac:dyDescent="0.25">
      <c r="A17841" t="s">
        <v>8</v>
      </c>
      <c r="B17841" s="1" t="str">
        <f>"000316178 - RICH'S   110244"</f>
        <v>000316178 - RICH'S   110244</v>
      </c>
      <c r="C17841" t="s">
        <v>3154</v>
      </c>
      <c r="D17841" s="1" t="str">
        <f t="shared" si="483"/>
        <v>PRG-1045742</v>
      </c>
      <c r="E17841" t="s">
        <v>225</v>
      </c>
      <c r="F17841" t="s">
        <v>4</v>
      </c>
      <c r="G17841" t="str">
        <f>""</f>
        <v/>
      </c>
    </row>
    <row r="17842" spans="1:7" x14ac:dyDescent="0.25">
      <c r="A17842" t="s">
        <v>8</v>
      </c>
      <c r="B17842" s="1" t="str">
        <f>"000316368 - RICH PRODUCTS 100912 USDA"</f>
        <v>000316368 - RICH PRODUCTS 100912 USDA</v>
      </c>
      <c r="C17842" t="s">
        <v>3116</v>
      </c>
      <c r="D17842" s="1" t="str">
        <f t="shared" si="483"/>
        <v>PRG-1045742</v>
      </c>
      <c r="E17842" t="s">
        <v>225</v>
      </c>
      <c r="F17842" t="s">
        <v>4</v>
      </c>
      <c r="G17842" t="str">
        <f>""</f>
        <v/>
      </c>
    </row>
    <row r="17843" spans="1:7" x14ac:dyDescent="0.25">
      <c r="A17843" t="s">
        <v>8</v>
      </c>
      <c r="B17843" s="1" t="str">
        <f>"000317585 - CPS    RICHS-100912"</f>
        <v>000317585 - CPS    RICHS-100912</v>
      </c>
      <c r="C17843" t="s">
        <v>2929</v>
      </c>
      <c r="D17843" s="1" t="str">
        <f t="shared" si="483"/>
        <v>PRG-1045742</v>
      </c>
      <c r="E17843" t="s">
        <v>225</v>
      </c>
      <c r="F17843" t="s">
        <v>4</v>
      </c>
      <c r="G17843" t="str">
        <f>""</f>
        <v/>
      </c>
    </row>
    <row r="17844" spans="1:7" x14ac:dyDescent="0.25">
      <c r="A17844" t="s">
        <v>8</v>
      </c>
      <c r="B17844" s="1" t="str">
        <f>"000317629 - RICHS PBC USDA 110244"</f>
        <v>000317629 - RICHS PBC USDA 110244</v>
      </c>
      <c r="C17844" t="s">
        <v>2493</v>
      </c>
      <c r="D17844" s="1" t="str">
        <f t="shared" si="483"/>
        <v>PRG-1045742</v>
      </c>
      <c r="E17844" t="s">
        <v>225</v>
      </c>
      <c r="F17844" t="s">
        <v>4</v>
      </c>
      <c r="G17844" t="str">
        <f>""</f>
        <v/>
      </c>
    </row>
    <row r="17845" spans="1:7" x14ac:dyDescent="0.25">
      <c r="A17845" t="s">
        <v>8</v>
      </c>
      <c r="B17845" s="1" t="str">
        <f>"000317630 - RICHS PBC USDA 110244 RETRO"</f>
        <v>000317630 - RICHS PBC USDA 110244 RETRO</v>
      </c>
      <c r="C17845" t="s">
        <v>2931</v>
      </c>
      <c r="D17845" s="1" t="str">
        <f t="shared" si="483"/>
        <v>PRG-1045742</v>
      </c>
      <c r="E17845" t="s">
        <v>225</v>
      </c>
      <c r="F17845" t="s">
        <v>4</v>
      </c>
      <c r="G17845" t="str">
        <f>""</f>
        <v/>
      </c>
    </row>
    <row r="17846" spans="1:7" x14ac:dyDescent="0.25">
      <c r="A17846" t="s">
        <v>8</v>
      </c>
      <c r="B17846" s="1" t="str">
        <f>"000317751 - RCH-100912-NOI"</f>
        <v>000317751 - RCH-100912-NOI</v>
      </c>
      <c r="C17846" t="s">
        <v>1918</v>
      </c>
      <c r="D17846" s="1" t="str">
        <f t="shared" si="483"/>
        <v>PRG-1045742</v>
      </c>
      <c r="E17846" t="s">
        <v>225</v>
      </c>
      <c r="F17846" t="s">
        <v>4</v>
      </c>
      <c r="G17846" t="str">
        <f>""</f>
        <v/>
      </c>
    </row>
    <row r="17847" spans="1:7" x14ac:dyDescent="0.25">
      <c r="A17847" t="s">
        <v>8</v>
      </c>
      <c r="B17847" s="1" t="str">
        <f>"000317930 - RICH'S   100912"</f>
        <v>000317930 - RICH'S   100912</v>
      </c>
      <c r="C17847" t="s">
        <v>3153</v>
      </c>
      <c r="D17847" s="1" t="str">
        <f t="shared" si="483"/>
        <v>PRG-1045742</v>
      </c>
      <c r="E17847" t="s">
        <v>225</v>
      </c>
      <c r="F17847" t="s">
        <v>4</v>
      </c>
      <c r="G17847" t="str">
        <f>""</f>
        <v/>
      </c>
    </row>
    <row r="17848" spans="1:7" x14ac:dyDescent="0.25">
      <c r="A17848" t="s">
        <v>8</v>
      </c>
      <c r="B17848" s="1" t="str">
        <f>"000317931 - RICH'S   110244"</f>
        <v>000317931 - RICH'S   110244</v>
      </c>
      <c r="C17848" t="s">
        <v>3154</v>
      </c>
      <c r="D17848" s="1" t="str">
        <f t="shared" si="483"/>
        <v>PRG-1045742</v>
      </c>
      <c r="E17848" t="s">
        <v>225</v>
      </c>
      <c r="F17848" t="s">
        <v>4</v>
      </c>
      <c r="G17848" t="str">
        <f>""</f>
        <v/>
      </c>
    </row>
    <row r="17849" spans="1:7" x14ac:dyDescent="0.25">
      <c r="A17849" t="s">
        <v>8</v>
      </c>
      <c r="B17849" s="1" t="str">
        <f>"000318136 - CPS    RICHS-100912"</f>
        <v>000318136 - CPS    RICHS-100912</v>
      </c>
      <c r="C17849" t="s">
        <v>2929</v>
      </c>
      <c r="D17849" s="1" t="str">
        <f t="shared" si="483"/>
        <v>PRG-1045742</v>
      </c>
      <c r="E17849" t="s">
        <v>225</v>
      </c>
      <c r="F17849" t="s">
        <v>4</v>
      </c>
      <c r="G17849" t="str">
        <f>""</f>
        <v/>
      </c>
    </row>
    <row r="17850" spans="1:7" x14ac:dyDescent="0.25">
      <c r="A17850" t="s">
        <v>8</v>
      </c>
      <c r="B17850" s="1" t="str">
        <f>"000318609 - RICH'S   100912"</f>
        <v>000318609 - RICH'S   100912</v>
      </c>
      <c r="C17850" t="s">
        <v>3153</v>
      </c>
      <c r="D17850" s="1" t="str">
        <f t="shared" si="483"/>
        <v>PRG-1045742</v>
      </c>
      <c r="E17850" t="s">
        <v>225</v>
      </c>
      <c r="F17850" t="s">
        <v>4</v>
      </c>
      <c r="G17850" t="str">
        <f>""</f>
        <v/>
      </c>
    </row>
    <row r="17851" spans="1:7" x14ac:dyDescent="0.25">
      <c r="A17851" t="s">
        <v>8</v>
      </c>
      <c r="B17851" s="1" t="str">
        <f>"000318611 - RICH'S   110244"</f>
        <v>000318611 - RICH'S   110244</v>
      </c>
      <c r="C17851" t="s">
        <v>3154</v>
      </c>
      <c r="D17851" s="1" t="str">
        <f t="shared" si="483"/>
        <v>PRG-1045742</v>
      </c>
      <c r="E17851" t="s">
        <v>225</v>
      </c>
      <c r="F17851" t="s">
        <v>4</v>
      </c>
      <c r="G17851" t="str">
        <f>""</f>
        <v/>
      </c>
    </row>
    <row r="17852" spans="1:7" x14ac:dyDescent="0.25">
      <c r="A17852" t="s">
        <v>8</v>
      </c>
      <c r="B17852" s="1" t="str">
        <f>"000318651 - USDA RICH PROD 110244 NOI"</f>
        <v>000318651 - USDA RICH PROD 110244 NOI</v>
      </c>
      <c r="C17852" t="s">
        <v>2924</v>
      </c>
      <c r="D17852" s="1" t="str">
        <f t="shared" si="483"/>
        <v>PRG-1045742</v>
      </c>
      <c r="E17852" t="s">
        <v>225</v>
      </c>
      <c r="F17852" t="s">
        <v>4</v>
      </c>
      <c r="G17852" t="str">
        <f>""</f>
        <v/>
      </c>
    </row>
    <row r="17853" spans="1:7" x14ac:dyDescent="0.25">
      <c r="A17853" t="s">
        <v>8</v>
      </c>
      <c r="B17853" s="1" t="str">
        <f>"000318652 - USDA RICH PROD 100912 NOI"</f>
        <v>000318652 - USDA RICH PROD 100912 NOI</v>
      </c>
      <c r="C17853" t="s">
        <v>2923</v>
      </c>
      <c r="D17853" s="1" t="str">
        <f t="shared" si="483"/>
        <v>PRG-1045742</v>
      </c>
      <c r="E17853" t="s">
        <v>225</v>
      </c>
      <c r="F17853" t="s">
        <v>4</v>
      </c>
      <c r="G17853" t="str">
        <f>""</f>
        <v/>
      </c>
    </row>
    <row r="17854" spans="1:7" x14ac:dyDescent="0.25">
      <c r="A17854" t="s">
        <v>8</v>
      </c>
      <c r="B17854" s="1" t="str">
        <f>"000319163 - RICH'S   100912"</f>
        <v>000319163 - RICH'S   100912</v>
      </c>
      <c r="C17854" t="s">
        <v>3153</v>
      </c>
      <c r="D17854" s="1" t="str">
        <f t="shared" si="483"/>
        <v>PRG-1045742</v>
      </c>
      <c r="E17854" t="s">
        <v>225</v>
      </c>
      <c r="F17854" t="s">
        <v>4</v>
      </c>
      <c r="G17854" t="str">
        <f>""</f>
        <v/>
      </c>
    </row>
    <row r="17855" spans="1:7" x14ac:dyDescent="0.25">
      <c r="A17855" t="s">
        <v>8</v>
      </c>
      <c r="B17855" s="1" t="str">
        <f>"000319164 - RICH'S   110244"</f>
        <v>000319164 - RICH'S   110244</v>
      </c>
      <c r="C17855" t="s">
        <v>3154</v>
      </c>
      <c r="D17855" s="1" t="str">
        <f t="shared" si="483"/>
        <v>PRG-1045742</v>
      </c>
      <c r="E17855" t="s">
        <v>225</v>
      </c>
      <c r="F17855" t="s">
        <v>4</v>
      </c>
      <c r="G17855" t="str">
        <f>""</f>
        <v/>
      </c>
    </row>
    <row r="17856" spans="1:7" x14ac:dyDescent="0.25">
      <c r="A17856" t="s">
        <v>8</v>
      </c>
      <c r="B17856" s="1" t="str">
        <f>"000319738 - RICH'S   100912"</f>
        <v>000319738 - RICH'S   100912</v>
      </c>
      <c r="C17856" t="s">
        <v>3153</v>
      </c>
      <c r="D17856" s="1" t="str">
        <f t="shared" si="483"/>
        <v>PRG-1045742</v>
      </c>
      <c r="E17856" t="s">
        <v>225</v>
      </c>
      <c r="F17856" t="s">
        <v>4</v>
      </c>
      <c r="G17856" t="str">
        <f>""</f>
        <v/>
      </c>
    </row>
    <row r="17857" spans="1:7" x14ac:dyDescent="0.25">
      <c r="A17857" t="s">
        <v>8</v>
      </c>
      <c r="B17857" s="1" t="str">
        <f>"000319739 - RICH'S   110244"</f>
        <v>000319739 - RICH'S   110244</v>
      </c>
      <c r="C17857" t="s">
        <v>3154</v>
      </c>
      <c r="D17857" s="1" t="str">
        <f t="shared" si="483"/>
        <v>PRG-1045742</v>
      </c>
      <c r="E17857" t="s">
        <v>225</v>
      </c>
      <c r="F17857" t="s">
        <v>4</v>
      </c>
      <c r="G17857" t="str">
        <f>""</f>
        <v/>
      </c>
    </row>
    <row r="17858" spans="1:7" x14ac:dyDescent="0.25">
      <c r="A17858" t="s">
        <v>8</v>
      </c>
      <c r="B17858" s="1" t="str">
        <f>"000319995 - CPS    RICHS-100912"</f>
        <v>000319995 - CPS    RICHS-100912</v>
      </c>
      <c r="C17858" t="s">
        <v>2929</v>
      </c>
      <c r="D17858" s="1" t="str">
        <f t="shared" si="483"/>
        <v>PRG-1045742</v>
      </c>
      <c r="E17858" t="s">
        <v>225</v>
      </c>
      <c r="F17858" t="s">
        <v>4</v>
      </c>
      <c r="G17858" t="str">
        <f>""</f>
        <v/>
      </c>
    </row>
    <row r="17859" spans="1:7" x14ac:dyDescent="0.25">
      <c r="A17859" t="s">
        <v>8</v>
      </c>
      <c r="B17859" s="1" t="str">
        <f>"000319999 - RCH-100912-NOI"</f>
        <v>000319999 - RCH-100912-NOI</v>
      </c>
      <c r="C17859" t="s">
        <v>1918</v>
      </c>
      <c r="D17859" s="1" t="str">
        <f t="shared" si="483"/>
        <v>PRG-1045742</v>
      </c>
      <c r="E17859" t="s">
        <v>225</v>
      </c>
      <c r="F17859" t="s">
        <v>4</v>
      </c>
      <c r="G17859" t="str">
        <f>""</f>
        <v/>
      </c>
    </row>
    <row r="17860" spans="1:7" x14ac:dyDescent="0.25">
      <c r="A17860" t="s">
        <v>8</v>
      </c>
      <c r="B17860" s="1" t="str">
        <f>"000320486 - RICHS - 100912 FLOUR"</f>
        <v>000320486 - RICHS - 100912 FLOUR</v>
      </c>
      <c r="C17860" t="s">
        <v>2568</v>
      </c>
      <c r="D17860" s="1" t="str">
        <f t="shared" si="483"/>
        <v>PRG-1045742</v>
      </c>
      <c r="E17860" t="s">
        <v>225</v>
      </c>
      <c r="F17860" t="s">
        <v>4</v>
      </c>
      <c r="G17860" t="str">
        <f>""</f>
        <v/>
      </c>
    </row>
    <row r="17861" spans="1:7" x14ac:dyDescent="0.25">
      <c r="A17861" t="s">
        <v>8</v>
      </c>
      <c r="B17861" s="1" t="str">
        <f>"000320525 - RICH'S   100912"</f>
        <v>000320525 - RICH'S   100912</v>
      </c>
      <c r="C17861" t="s">
        <v>3153</v>
      </c>
      <c r="D17861" s="1" t="str">
        <f t="shared" si="483"/>
        <v>PRG-1045742</v>
      </c>
      <c r="E17861" t="s">
        <v>225</v>
      </c>
      <c r="F17861" t="s">
        <v>4</v>
      </c>
      <c r="G17861" t="str">
        <f>""</f>
        <v/>
      </c>
    </row>
    <row r="17862" spans="1:7" x14ac:dyDescent="0.25">
      <c r="A17862" t="s">
        <v>8</v>
      </c>
      <c r="B17862" s="1" t="str">
        <f>"000321041 - USDA RICH FLOUR 100912"</f>
        <v>000321041 - USDA RICH FLOUR 100912</v>
      </c>
      <c r="C17862" t="s">
        <v>3242</v>
      </c>
      <c r="D17862" s="1" t="str">
        <f t="shared" si="483"/>
        <v>PRG-1045742</v>
      </c>
      <c r="E17862" t="s">
        <v>225</v>
      </c>
      <c r="F17862" t="s">
        <v>4</v>
      </c>
      <c r="G17862" t="str">
        <f>""</f>
        <v/>
      </c>
    </row>
    <row r="17863" spans="1:7" x14ac:dyDescent="0.25">
      <c r="A17863" t="s">
        <v>8</v>
      </c>
      <c r="B17863" s="1" t="str">
        <f>"000322023 - USDA RICH PROD 110244 NOI"</f>
        <v>000322023 - USDA RICH PROD 110244 NOI</v>
      </c>
      <c r="C17863" t="s">
        <v>2924</v>
      </c>
      <c r="D17863" s="1" t="str">
        <f t="shared" si="483"/>
        <v>PRG-1045742</v>
      </c>
      <c r="E17863" t="s">
        <v>225</v>
      </c>
      <c r="F17863" t="s">
        <v>4</v>
      </c>
      <c r="G17863" t="str">
        <f>""</f>
        <v/>
      </c>
    </row>
    <row r="17864" spans="1:7" x14ac:dyDescent="0.25">
      <c r="A17864" t="s">
        <v>8</v>
      </c>
      <c r="B17864" s="1" t="str">
        <f>"000322452 - USDA RICH'S CSD SWANSEA K-12"</f>
        <v>000322452 - USDA RICH'S CSD SWANSEA K-12</v>
      </c>
      <c r="C17864" t="s">
        <v>3257</v>
      </c>
      <c r="D17864" s="1" t="str">
        <f t="shared" si="483"/>
        <v>PRG-1045742</v>
      </c>
      <c r="E17864" t="s">
        <v>225</v>
      </c>
      <c r="F17864" t="s">
        <v>4</v>
      </c>
      <c r="G17864" t="str">
        <f>""</f>
        <v/>
      </c>
    </row>
    <row r="17865" spans="1:7" x14ac:dyDescent="0.25">
      <c r="A17865" t="s">
        <v>8</v>
      </c>
      <c r="B17865" s="1" t="str">
        <f>"000322977 - RICH PRODUCTS 100912 USDA"</f>
        <v>000322977 - RICH PRODUCTS 100912 USDA</v>
      </c>
      <c r="C17865" t="s">
        <v>3116</v>
      </c>
      <c r="D17865" s="1" t="str">
        <f t="shared" si="483"/>
        <v>PRG-1045742</v>
      </c>
      <c r="E17865" t="s">
        <v>225</v>
      </c>
      <c r="F17865" t="s">
        <v>4</v>
      </c>
      <c r="G17865" t="str">
        <f>""</f>
        <v/>
      </c>
    </row>
    <row r="17866" spans="1:7" x14ac:dyDescent="0.25">
      <c r="A17866" t="s">
        <v>8</v>
      </c>
      <c r="B17866" s="1" t="str">
        <f>"000323573 - RICHS - 100912 FLOUR"</f>
        <v>000323573 - RICHS - 100912 FLOUR</v>
      </c>
      <c r="C17866" t="s">
        <v>2568</v>
      </c>
      <c r="D17866" s="1" t="str">
        <f t="shared" si="483"/>
        <v>PRG-1045742</v>
      </c>
      <c r="E17866" t="s">
        <v>225</v>
      </c>
      <c r="F17866" t="s">
        <v>4</v>
      </c>
      <c r="G17866" t="str">
        <f>""</f>
        <v/>
      </c>
    </row>
    <row r="17867" spans="1:7" x14ac:dyDescent="0.25">
      <c r="A17867" t="s">
        <v>8</v>
      </c>
      <c r="B17867" s="1" t="str">
        <f>"000323584 - RICH'S   110244"</f>
        <v>000323584 - RICH'S   110244</v>
      </c>
      <c r="C17867" t="s">
        <v>3154</v>
      </c>
      <c r="D17867" s="1" t="str">
        <f t="shared" si="483"/>
        <v>PRG-1045742</v>
      </c>
      <c r="E17867" t="s">
        <v>225</v>
      </c>
      <c r="F17867" t="s">
        <v>4</v>
      </c>
      <c r="G17867" t="str">
        <f>""</f>
        <v/>
      </c>
    </row>
    <row r="17868" spans="1:7" x14ac:dyDescent="0.25">
      <c r="A17868" t="s">
        <v>8</v>
      </c>
      <c r="B17868" s="1" t="str">
        <f>"000324485 - RICH'S   100912"</f>
        <v>000324485 - RICH'S   100912</v>
      </c>
      <c r="C17868" t="s">
        <v>3153</v>
      </c>
      <c r="D17868" s="1" t="str">
        <f t="shared" si="483"/>
        <v>PRG-1045742</v>
      </c>
      <c r="E17868" t="s">
        <v>225</v>
      </c>
      <c r="F17868" t="s">
        <v>4</v>
      </c>
      <c r="G17868" t="str">
        <f>""</f>
        <v/>
      </c>
    </row>
    <row r="17869" spans="1:7" x14ac:dyDescent="0.25">
      <c r="A17869" t="s">
        <v>8</v>
      </c>
      <c r="B17869" s="1" t="str">
        <f>"000324486 - RICH'S   110244"</f>
        <v>000324486 - RICH'S   110244</v>
      </c>
      <c r="C17869" t="s">
        <v>3154</v>
      </c>
      <c r="D17869" s="1" t="str">
        <f t="shared" si="483"/>
        <v>PRG-1045742</v>
      </c>
      <c r="E17869" t="s">
        <v>225</v>
      </c>
      <c r="F17869" t="s">
        <v>4</v>
      </c>
      <c r="G17869" t="str">
        <f>""</f>
        <v/>
      </c>
    </row>
    <row r="17870" spans="1:7" x14ac:dyDescent="0.25">
      <c r="A17870" t="s">
        <v>8</v>
      </c>
      <c r="B17870" s="1" t="str">
        <f>"000324733 - USDA RICH FLOUR 100912"</f>
        <v>000324733 - USDA RICH FLOUR 100912</v>
      </c>
      <c r="C17870" t="s">
        <v>3242</v>
      </c>
      <c r="D17870" s="1" t="str">
        <f t="shared" si="483"/>
        <v>PRG-1045742</v>
      </c>
      <c r="E17870" t="s">
        <v>225</v>
      </c>
      <c r="F17870" t="s">
        <v>4</v>
      </c>
      <c r="G17870" t="str">
        <f>""</f>
        <v/>
      </c>
    </row>
    <row r="17871" spans="1:7" x14ac:dyDescent="0.25">
      <c r="A17871" t="s">
        <v>8</v>
      </c>
      <c r="B17871" s="1" t="str">
        <f>"000325761 - RICHS - 100912 FLOUR"</f>
        <v>000325761 - RICHS - 100912 FLOUR</v>
      </c>
      <c r="C17871" t="s">
        <v>2568</v>
      </c>
      <c r="D17871" s="1" t="str">
        <f t="shared" si="483"/>
        <v>PRG-1045742</v>
      </c>
      <c r="E17871" t="s">
        <v>225</v>
      </c>
      <c r="F17871" t="s">
        <v>4</v>
      </c>
      <c r="G17871" t="str">
        <f>""</f>
        <v/>
      </c>
    </row>
    <row r="17872" spans="1:7" x14ac:dyDescent="0.25">
      <c r="A17872" t="s">
        <v>8</v>
      </c>
      <c r="B17872" s="1" t="str">
        <f>"000326171 - RICHS-100912"</f>
        <v>000326171 - RICHS-100912</v>
      </c>
      <c r="C17872" t="s">
        <v>3296</v>
      </c>
      <c r="D17872" s="1" t="str">
        <f t="shared" si="483"/>
        <v>PRG-1045742</v>
      </c>
      <c r="E17872" t="s">
        <v>225</v>
      </c>
      <c r="F17872" t="s">
        <v>4</v>
      </c>
      <c r="G17872" t="str">
        <f>""</f>
        <v/>
      </c>
    </row>
    <row r="17873" spans="1:7" x14ac:dyDescent="0.25">
      <c r="A17873" t="s">
        <v>8</v>
      </c>
      <c r="B17873" s="1" t="str">
        <f>"000326343 - RICH'S   100912"</f>
        <v>000326343 - RICH'S   100912</v>
      </c>
      <c r="C17873" t="s">
        <v>3153</v>
      </c>
      <c r="D17873" s="1" t="str">
        <f t="shared" si="483"/>
        <v>PRG-1045742</v>
      </c>
      <c r="E17873" t="s">
        <v>225</v>
      </c>
      <c r="F17873" t="s">
        <v>4</v>
      </c>
      <c r="G17873" t="str">
        <f>""</f>
        <v/>
      </c>
    </row>
    <row r="17874" spans="1:7" x14ac:dyDescent="0.25">
      <c r="A17874" t="s">
        <v>8</v>
      </c>
      <c r="B17874" s="1" t="str">
        <f>"000326344 - RICH'S   110244"</f>
        <v>000326344 - RICH'S   110244</v>
      </c>
      <c r="C17874" t="s">
        <v>3154</v>
      </c>
      <c r="D17874" s="1" t="str">
        <f t="shared" si="483"/>
        <v>PRG-1045742</v>
      </c>
      <c r="E17874" t="s">
        <v>225</v>
      </c>
      <c r="F17874" t="s">
        <v>4</v>
      </c>
      <c r="G17874" t="str">
        <f>""</f>
        <v/>
      </c>
    </row>
    <row r="17875" spans="1:7" x14ac:dyDescent="0.25">
      <c r="A17875" t="s">
        <v>8</v>
      </c>
      <c r="B17875" s="1" t="str">
        <f>"000327296 - RICH PRODUCTS  HUGHSON USD"</f>
        <v>000327296 - RICH PRODUCTS  HUGHSON USD</v>
      </c>
      <c r="C17875" t="s">
        <v>3306</v>
      </c>
      <c r="D17875" s="1" t="str">
        <f t="shared" si="483"/>
        <v>PRG-1045742</v>
      </c>
      <c r="E17875" t="s">
        <v>225</v>
      </c>
      <c r="F17875" t="s">
        <v>4</v>
      </c>
      <c r="G17875" t="str">
        <f>""</f>
        <v/>
      </c>
    </row>
    <row r="17876" spans="1:7" x14ac:dyDescent="0.25">
      <c r="A17876" t="s">
        <v>8</v>
      </c>
      <c r="B17876" s="1" t="str">
        <f>"000327397 - RICH'S   100912"</f>
        <v>000327397 - RICH'S   100912</v>
      </c>
      <c r="C17876" t="s">
        <v>3153</v>
      </c>
      <c r="D17876" s="1" t="str">
        <f t="shared" ref="D17876:D17939" si="484">"PRG-1045742"</f>
        <v>PRG-1045742</v>
      </c>
      <c r="E17876" t="s">
        <v>225</v>
      </c>
      <c r="F17876" t="s">
        <v>4</v>
      </c>
      <c r="G17876" t="str">
        <f>""</f>
        <v/>
      </c>
    </row>
    <row r="17877" spans="1:7" x14ac:dyDescent="0.25">
      <c r="A17877" t="s">
        <v>8</v>
      </c>
      <c r="B17877" s="1" t="str">
        <f>"000327398 - RICH'S   110244"</f>
        <v>000327398 - RICH'S   110244</v>
      </c>
      <c r="C17877" t="s">
        <v>3154</v>
      </c>
      <c r="D17877" s="1" t="str">
        <f t="shared" si="484"/>
        <v>PRG-1045742</v>
      </c>
      <c r="E17877" t="s">
        <v>225</v>
      </c>
      <c r="F17877" t="s">
        <v>4</v>
      </c>
      <c r="G17877" t="str">
        <f>""</f>
        <v/>
      </c>
    </row>
    <row r="17878" spans="1:7" x14ac:dyDescent="0.25">
      <c r="A17878" t="s">
        <v>8</v>
      </c>
      <c r="B17878" s="1" t="str">
        <f>"000331880 - USDA RICH FOODS MOZZ 110244"</f>
        <v>000331880 - USDA RICH FOODS MOZZ 110244</v>
      </c>
      <c r="C17878" t="s">
        <v>3164</v>
      </c>
      <c r="D17878" s="1" t="str">
        <f t="shared" si="484"/>
        <v>PRG-1045742</v>
      </c>
      <c r="E17878" t="s">
        <v>225</v>
      </c>
      <c r="F17878" t="s">
        <v>4</v>
      </c>
      <c r="G17878" t="str">
        <f>""</f>
        <v/>
      </c>
    </row>
    <row r="17879" spans="1:7" x14ac:dyDescent="0.25">
      <c r="A17879" t="s">
        <v>8</v>
      </c>
      <c r="B17879" s="1" t="str">
        <f>"000331882 - USDA RICH FLOUR 100912"</f>
        <v>000331882 - USDA RICH FLOUR 100912</v>
      </c>
      <c r="C17879" t="s">
        <v>3242</v>
      </c>
      <c r="D17879" s="1" t="str">
        <f t="shared" si="484"/>
        <v>PRG-1045742</v>
      </c>
      <c r="E17879" t="s">
        <v>225</v>
      </c>
      <c r="F17879" t="s">
        <v>4</v>
      </c>
      <c r="G17879" t="str">
        <f>""</f>
        <v/>
      </c>
    </row>
    <row r="17880" spans="1:7" x14ac:dyDescent="0.25">
      <c r="A17880" t="s">
        <v>8</v>
      </c>
      <c r="B17880" s="1" t="str">
        <f>"000332221 - USDA RICH FLOUR 100912"</f>
        <v>000332221 - USDA RICH FLOUR 100912</v>
      </c>
      <c r="C17880" t="s">
        <v>3242</v>
      </c>
      <c r="D17880" s="1" t="str">
        <f t="shared" si="484"/>
        <v>PRG-1045742</v>
      </c>
      <c r="E17880" t="s">
        <v>225</v>
      </c>
      <c r="F17880" t="s">
        <v>4</v>
      </c>
      <c r="G17880" t="str">
        <f>""</f>
        <v/>
      </c>
    </row>
    <row r="17881" spans="1:7" x14ac:dyDescent="0.25">
      <c r="A17881" t="s">
        <v>8</v>
      </c>
      <c r="B17881" s="1" t="str">
        <f>"000332224 - USDA RICH FLOUR 110244"</f>
        <v>000332224 - USDA RICH FLOUR 110244</v>
      </c>
      <c r="C17881" t="s">
        <v>3355</v>
      </c>
      <c r="D17881" s="1" t="str">
        <f t="shared" si="484"/>
        <v>PRG-1045742</v>
      </c>
      <c r="E17881" t="s">
        <v>225</v>
      </c>
      <c r="F17881" t="s">
        <v>4</v>
      </c>
      <c r="G17881" t="str">
        <f>""</f>
        <v/>
      </c>
    </row>
    <row r="17882" spans="1:7" x14ac:dyDescent="0.25">
      <c r="A17882" t="s">
        <v>8</v>
      </c>
      <c r="B17882" s="1" t="str">
        <f>"000335234 - USDA RICH CHEESE 110224"</f>
        <v>000335234 - USDA RICH CHEESE 110224</v>
      </c>
      <c r="C17882" t="s">
        <v>3394</v>
      </c>
      <c r="D17882" s="1" t="str">
        <f t="shared" si="484"/>
        <v>PRG-1045742</v>
      </c>
      <c r="E17882" t="s">
        <v>225</v>
      </c>
      <c r="F17882" t="s">
        <v>4</v>
      </c>
      <c r="G17882" t="str">
        <f>""</f>
        <v/>
      </c>
    </row>
    <row r="17883" spans="1:7" x14ac:dyDescent="0.25">
      <c r="A17883" t="s">
        <v>8</v>
      </c>
      <c r="B17883" s="1" t="str">
        <f>"000335235 - USDA RICH FLOUR 110224"</f>
        <v>000335235 - USDA RICH FLOUR 110224</v>
      </c>
      <c r="C17883" t="s">
        <v>3395</v>
      </c>
      <c r="D17883" s="1" t="str">
        <f t="shared" si="484"/>
        <v>PRG-1045742</v>
      </c>
      <c r="E17883" t="s">
        <v>225</v>
      </c>
      <c r="F17883" t="s">
        <v>4</v>
      </c>
      <c r="G17883" t="str">
        <f>""</f>
        <v/>
      </c>
    </row>
    <row r="17884" spans="1:7" x14ac:dyDescent="0.25">
      <c r="A17884" t="s">
        <v>8</v>
      </c>
      <c r="B17884" s="1" t="str">
        <f>"000338450 - RICHS PBC USDA 110244"</f>
        <v>000338450 - RICHS PBC USDA 110244</v>
      </c>
      <c r="C17884" t="s">
        <v>2493</v>
      </c>
      <c r="D17884" s="1" t="str">
        <f t="shared" si="484"/>
        <v>PRG-1045742</v>
      </c>
      <c r="E17884" t="s">
        <v>225</v>
      </c>
      <c r="F17884" t="s">
        <v>4</v>
      </c>
      <c r="G17884" t="str">
        <f>""</f>
        <v/>
      </c>
    </row>
    <row r="17885" spans="1:7" x14ac:dyDescent="0.25">
      <c r="A17885" t="s">
        <v>8</v>
      </c>
      <c r="B17885" s="1" t="str">
        <f>"000339013 - RICHS PBC USDA 110244"</f>
        <v>000339013 - RICHS PBC USDA 110244</v>
      </c>
      <c r="C17885" t="s">
        <v>2493</v>
      </c>
      <c r="D17885" s="1" t="str">
        <f t="shared" si="484"/>
        <v>PRG-1045742</v>
      </c>
      <c r="E17885" t="s">
        <v>225</v>
      </c>
      <c r="F17885" t="s">
        <v>4</v>
      </c>
      <c r="G17885" t="str">
        <f>""</f>
        <v/>
      </c>
    </row>
    <row r="17886" spans="1:7" x14ac:dyDescent="0.25">
      <c r="A17886" t="s">
        <v>8</v>
      </c>
      <c r="B17886" s="1" t="str">
        <f>"000343527 - CPS  RICHS-100912"</f>
        <v>000343527 - CPS  RICHS-100912</v>
      </c>
      <c r="C17886" t="s">
        <v>3356</v>
      </c>
      <c r="D17886" s="1" t="str">
        <f t="shared" si="484"/>
        <v>PRG-1045742</v>
      </c>
      <c r="E17886" t="s">
        <v>225</v>
      </c>
      <c r="F17886" t="s">
        <v>4</v>
      </c>
      <c r="G17886" t="str">
        <f>""</f>
        <v/>
      </c>
    </row>
    <row r="17887" spans="1:7" x14ac:dyDescent="0.25">
      <c r="A17887" t="s">
        <v>8</v>
      </c>
      <c r="B17887" s="1" t="str">
        <f>"000344545 - CPS  RICHS-100912"</f>
        <v>000344545 - CPS  RICHS-100912</v>
      </c>
      <c r="C17887" t="s">
        <v>3356</v>
      </c>
      <c r="D17887" s="1" t="str">
        <f t="shared" si="484"/>
        <v>PRG-1045742</v>
      </c>
      <c r="E17887" t="s">
        <v>225</v>
      </c>
      <c r="F17887" t="s">
        <v>4</v>
      </c>
      <c r="G17887" t="str">
        <f>""</f>
        <v/>
      </c>
    </row>
    <row r="17888" spans="1:7" x14ac:dyDescent="0.25">
      <c r="A17888" t="s">
        <v>8</v>
      </c>
      <c r="B17888" s="1" t="str">
        <f>"000349182 - RICH PRODUCTS PATTERSON USD"</f>
        <v>000349182 - RICH PRODUCTS PATTERSON USD</v>
      </c>
      <c r="C17888" t="s">
        <v>3487</v>
      </c>
      <c r="D17888" s="1" t="str">
        <f t="shared" si="484"/>
        <v>PRG-1045742</v>
      </c>
      <c r="E17888" t="s">
        <v>225</v>
      </c>
      <c r="F17888" t="s">
        <v>4</v>
      </c>
      <c r="G17888" t="str">
        <f>""</f>
        <v/>
      </c>
    </row>
    <row r="17889" spans="1:7" x14ac:dyDescent="0.25">
      <c r="A17889" t="s">
        <v>8</v>
      </c>
      <c r="B17889" s="1" t="str">
        <f>"000349270 - RICHS 100912 WATERFORD"</f>
        <v>000349270 - RICHS 100912 WATERFORD</v>
      </c>
      <c r="C17889" t="s">
        <v>3336</v>
      </c>
      <c r="D17889" s="1" t="str">
        <f t="shared" si="484"/>
        <v>PRG-1045742</v>
      </c>
      <c r="E17889" t="s">
        <v>225</v>
      </c>
      <c r="F17889" t="s">
        <v>4</v>
      </c>
      <c r="G17889" t="str">
        <f>""</f>
        <v/>
      </c>
    </row>
    <row r="17890" spans="1:7" x14ac:dyDescent="0.25">
      <c r="A17890" t="s">
        <v>8</v>
      </c>
      <c r="B17890" s="1" t="str">
        <f>"000349271 - RICHS 100912 REEDSBURG"</f>
        <v>000349271 - RICHS 100912 REEDSBURG</v>
      </c>
      <c r="C17890" t="s">
        <v>3493</v>
      </c>
      <c r="D17890" s="1" t="str">
        <f t="shared" si="484"/>
        <v>PRG-1045742</v>
      </c>
      <c r="E17890" t="s">
        <v>225</v>
      </c>
      <c r="F17890" t="s">
        <v>4</v>
      </c>
      <c r="G17890" t="str">
        <f>""</f>
        <v/>
      </c>
    </row>
    <row r="17891" spans="1:7" x14ac:dyDescent="0.25">
      <c r="A17891" t="s">
        <v>8</v>
      </c>
      <c r="B17891" s="1" t="str">
        <f>"000349272 - RICHS 100912 N FOND DU LAC"</f>
        <v>000349272 - RICHS 100912 N FOND DU LAC</v>
      </c>
      <c r="C17891" t="s">
        <v>3494</v>
      </c>
      <c r="D17891" s="1" t="str">
        <f t="shared" si="484"/>
        <v>PRG-1045742</v>
      </c>
      <c r="E17891" t="s">
        <v>225</v>
      </c>
      <c r="F17891" t="s">
        <v>4</v>
      </c>
      <c r="G17891" t="str">
        <f>""</f>
        <v/>
      </c>
    </row>
    <row r="17892" spans="1:7" x14ac:dyDescent="0.25">
      <c r="A17892" t="s">
        <v>8</v>
      </c>
      <c r="B17892" s="1" t="str">
        <f>"000349273 - RICHS 100912 MEQUON"</f>
        <v>000349273 - RICHS 100912 MEQUON</v>
      </c>
      <c r="C17892" t="s">
        <v>3495</v>
      </c>
      <c r="D17892" s="1" t="str">
        <f t="shared" si="484"/>
        <v>PRG-1045742</v>
      </c>
      <c r="E17892" t="s">
        <v>225</v>
      </c>
      <c r="F17892" t="s">
        <v>4</v>
      </c>
      <c r="G17892" t="str">
        <f>""</f>
        <v/>
      </c>
    </row>
    <row r="17893" spans="1:7" x14ac:dyDescent="0.25">
      <c r="A17893" t="s">
        <v>8</v>
      </c>
      <c r="B17893" s="1" t="str">
        <f>"000349275 - RICHS 100912 CEDARBURG"</f>
        <v>000349275 - RICHS 100912 CEDARBURG</v>
      </c>
      <c r="C17893" t="s">
        <v>3496</v>
      </c>
      <c r="D17893" s="1" t="str">
        <f t="shared" si="484"/>
        <v>PRG-1045742</v>
      </c>
      <c r="E17893" t="s">
        <v>225</v>
      </c>
      <c r="F17893" t="s">
        <v>4</v>
      </c>
      <c r="G17893" t="str">
        <f>""</f>
        <v/>
      </c>
    </row>
    <row r="17894" spans="1:7" x14ac:dyDescent="0.25">
      <c r="A17894" t="s">
        <v>8</v>
      </c>
      <c r="B17894" s="1" t="str">
        <f>"000349276 - RICHS 100912 BURLINGTON"</f>
        <v>000349276 - RICHS 100912 BURLINGTON</v>
      </c>
      <c r="C17894" t="s">
        <v>3497</v>
      </c>
      <c r="D17894" s="1" t="str">
        <f t="shared" si="484"/>
        <v>PRG-1045742</v>
      </c>
      <c r="E17894" t="s">
        <v>225</v>
      </c>
      <c r="F17894" t="s">
        <v>4</v>
      </c>
      <c r="G17894" t="str">
        <f>""</f>
        <v/>
      </c>
    </row>
    <row r="17895" spans="1:7" x14ac:dyDescent="0.25">
      <c r="A17895" t="s">
        <v>8</v>
      </c>
      <c r="B17895" s="1" t="str">
        <f>"000349277 - RICHS 100912 BELOIT"</f>
        <v>000349277 - RICHS 100912 BELOIT</v>
      </c>
      <c r="C17895" t="s">
        <v>3498</v>
      </c>
      <c r="D17895" s="1" t="str">
        <f t="shared" si="484"/>
        <v>PRG-1045742</v>
      </c>
      <c r="E17895" t="s">
        <v>225</v>
      </c>
      <c r="F17895" t="s">
        <v>4</v>
      </c>
      <c r="G17895" t="str">
        <f>""</f>
        <v/>
      </c>
    </row>
    <row r="17896" spans="1:7" x14ac:dyDescent="0.25">
      <c r="A17896" t="s">
        <v>8</v>
      </c>
      <c r="B17896" s="1" t="str">
        <f>"000349278 - RICHS 100912 WAUKESHA"</f>
        <v>000349278 - RICHS 100912 WAUKESHA</v>
      </c>
      <c r="C17896" t="s">
        <v>3329</v>
      </c>
      <c r="D17896" s="1" t="str">
        <f t="shared" si="484"/>
        <v>PRG-1045742</v>
      </c>
      <c r="E17896" t="s">
        <v>225</v>
      </c>
      <c r="F17896" t="s">
        <v>4</v>
      </c>
      <c r="G17896" t="str">
        <f>""</f>
        <v/>
      </c>
    </row>
    <row r="17897" spans="1:7" x14ac:dyDescent="0.25">
      <c r="A17897" t="s">
        <v>8</v>
      </c>
      <c r="B17897" s="1" t="str">
        <f>"000349279 - RICHS 100912 STERLING IL"</f>
        <v>000349279 - RICHS 100912 STERLING IL</v>
      </c>
      <c r="C17897" t="s">
        <v>3499</v>
      </c>
      <c r="D17897" s="1" t="str">
        <f t="shared" si="484"/>
        <v>PRG-1045742</v>
      </c>
      <c r="E17897" t="s">
        <v>225</v>
      </c>
      <c r="F17897" t="s">
        <v>4</v>
      </c>
      <c r="G17897" t="str">
        <f>""</f>
        <v/>
      </c>
    </row>
    <row r="17898" spans="1:7" x14ac:dyDescent="0.25">
      <c r="A17898" t="s">
        <v>8</v>
      </c>
      <c r="B17898" s="1" t="str">
        <f>"000351582 - RICHS 100912 MEQUON"</f>
        <v>000351582 - RICHS 100912 MEQUON</v>
      </c>
      <c r="C17898" t="s">
        <v>3495</v>
      </c>
      <c r="D17898" s="1" t="str">
        <f t="shared" si="484"/>
        <v>PRG-1045742</v>
      </c>
      <c r="E17898" t="s">
        <v>225</v>
      </c>
      <c r="F17898" t="s">
        <v>4</v>
      </c>
      <c r="G17898" t="str">
        <f>""</f>
        <v/>
      </c>
    </row>
    <row r="17899" spans="1:7" x14ac:dyDescent="0.25">
      <c r="A17899" t="s">
        <v>8</v>
      </c>
      <c r="B17899" s="1" t="str">
        <f>"000351583 - RICHS 100912 CEDARBURG"</f>
        <v>000351583 - RICHS 100912 CEDARBURG</v>
      </c>
      <c r="C17899" t="s">
        <v>3496</v>
      </c>
      <c r="D17899" s="1" t="str">
        <f t="shared" si="484"/>
        <v>PRG-1045742</v>
      </c>
      <c r="E17899" t="s">
        <v>225</v>
      </c>
      <c r="F17899" t="s">
        <v>4</v>
      </c>
      <c r="G17899" t="str">
        <f>""</f>
        <v/>
      </c>
    </row>
    <row r="17900" spans="1:7" x14ac:dyDescent="0.25">
      <c r="A17900" t="s">
        <v>8</v>
      </c>
      <c r="B17900" s="1" t="str">
        <f>"000352475 - RICHS 100912 APPLETON SCHOOLS"</f>
        <v>000352475 - RICHS 100912 APPLETON SCHOOLS</v>
      </c>
      <c r="C17900" t="s">
        <v>3522</v>
      </c>
      <c r="D17900" s="1" t="str">
        <f t="shared" si="484"/>
        <v>PRG-1045742</v>
      </c>
      <c r="E17900" t="s">
        <v>225</v>
      </c>
      <c r="F17900" t="s">
        <v>4</v>
      </c>
      <c r="G17900" t="str">
        <f>""</f>
        <v/>
      </c>
    </row>
    <row r="17901" spans="1:7" x14ac:dyDescent="0.25">
      <c r="A17901" t="s">
        <v>8</v>
      </c>
      <c r="B17901" s="1" t="str">
        <f>"000352796 - RICH PRODUCTS RIVERBANK USD"</f>
        <v>000352796 - RICH PRODUCTS RIVERBANK USD</v>
      </c>
      <c r="C17901" t="s">
        <v>3525</v>
      </c>
      <c r="D17901" s="1" t="str">
        <f t="shared" si="484"/>
        <v>PRG-1045742</v>
      </c>
      <c r="E17901" t="s">
        <v>225</v>
      </c>
      <c r="F17901" t="s">
        <v>4</v>
      </c>
      <c r="G17901" t="str">
        <f>""</f>
        <v/>
      </c>
    </row>
    <row r="17902" spans="1:7" x14ac:dyDescent="0.25">
      <c r="A17902" t="s">
        <v>8</v>
      </c>
      <c r="B17902" s="1" t="str">
        <f>"000353000 - RICHS HOWARDS GROVE 100912"</f>
        <v>000353000 - RICHS HOWARDS GROVE 100912</v>
      </c>
      <c r="C17902" t="s">
        <v>3526</v>
      </c>
      <c r="D17902" s="1" t="str">
        <f t="shared" si="484"/>
        <v>PRG-1045742</v>
      </c>
      <c r="E17902" t="s">
        <v>225</v>
      </c>
      <c r="F17902" t="s">
        <v>4</v>
      </c>
      <c r="G17902" t="str">
        <f>""</f>
        <v/>
      </c>
    </row>
    <row r="17903" spans="1:7" x14ac:dyDescent="0.25">
      <c r="A17903" t="s">
        <v>8</v>
      </c>
      <c r="B17903" s="1" t="str">
        <f>"000354057 - RICH FOODS-WOODLAND USD"</f>
        <v>000354057 - RICH FOODS-WOODLAND USD</v>
      </c>
      <c r="C17903" t="s">
        <v>3539</v>
      </c>
      <c r="D17903" s="1" t="str">
        <f t="shared" si="484"/>
        <v>PRG-1045742</v>
      </c>
      <c r="E17903" t="s">
        <v>225</v>
      </c>
      <c r="F17903" t="s">
        <v>4</v>
      </c>
      <c r="G17903" t="str">
        <f>""</f>
        <v/>
      </c>
    </row>
    <row r="17904" spans="1:7" x14ac:dyDescent="0.25">
      <c r="A17904" t="s">
        <v>8</v>
      </c>
      <c r="B17904" s="1" t="str">
        <f>"000354376 - RICH FOODS-TAHOE TRUCKEE USD"</f>
        <v>000354376 - RICH FOODS-TAHOE TRUCKEE USD</v>
      </c>
      <c r="C17904" t="s">
        <v>3545</v>
      </c>
      <c r="D17904" s="1" t="str">
        <f t="shared" si="484"/>
        <v>PRG-1045742</v>
      </c>
      <c r="E17904" t="s">
        <v>225</v>
      </c>
      <c r="F17904" t="s">
        <v>4</v>
      </c>
      <c r="G17904" t="str">
        <f>""</f>
        <v/>
      </c>
    </row>
    <row r="17905" spans="1:7" x14ac:dyDescent="0.25">
      <c r="A17905" t="s">
        <v>8</v>
      </c>
      <c r="B17905" s="1" t="str">
        <f>"000354818 - RICHS 100912 FOND DU LAC"</f>
        <v>000354818 - RICHS 100912 FOND DU LAC</v>
      </c>
      <c r="C17905" t="s">
        <v>3548</v>
      </c>
      <c r="D17905" s="1" t="str">
        <f t="shared" si="484"/>
        <v>PRG-1045742</v>
      </c>
      <c r="E17905" t="s">
        <v>225</v>
      </c>
      <c r="F17905" t="s">
        <v>4</v>
      </c>
      <c r="G17905" t="str">
        <f>""</f>
        <v/>
      </c>
    </row>
    <row r="17906" spans="1:7" x14ac:dyDescent="0.25">
      <c r="A17906" t="s">
        <v>8</v>
      </c>
      <c r="B17906" s="1" t="str">
        <f>"000354827 - RICHS 100912 BELOIT"</f>
        <v>000354827 - RICHS 100912 BELOIT</v>
      </c>
      <c r="C17906" t="s">
        <v>3498</v>
      </c>
      <c r="D17906" s="1" t="str">
        <f t="shared" si="484"/>
        <v>PRG-1045742</v>
      </c>
      <c r="E17906" t="s">
        <v>225</v>
      </c>
      <c r="F17906" t="s">
        <v>4</v>
      </c>
      <c r="G17906" t="str">
        <f>""</f>
        <v/>
      </c>
    </row>
    <row r="17907" spans="1:7" x14ac:dyDescent="0.25">
      <c r="A17907" t="s">
        <v>8</v>
      </c>
      <c r="B17907" s="1" t="str">
        <f>"000357896 - RICHS 100912 WAUKESHA"</f>
        <v>000357896 - RICHS 100912 WAUKESHA</v>
      </c>
      <c r="C17907" t="s">
        <v>3329</v>
      </c>
      <c r="D17907" s="1" t="str">
        <f t="shared" si="484"/>
        <v>PRG-1045742</v>
      </c>
      <c r="E17907" t="s">
        <v>225</v>
      </c>
      <c r="F17907" t="s">
        <v>4</v>
      </c>
      <c r="G17907" t="str">
        <f>""</f>
        <v/>
      </c>
    </row>
    <row r="17908" spans="1:7" x14ac:dyDescent="0.25">
      <c r="A17908" t="s">
        <v>8</v>
      </c>
      <c r="B17908" s="1" t="str">
        <f>"000359693 - RICHS 110244 PBCS USDA"</f>
        <v>000359693 - RICHS 110244 PBCS USDA</v>
      </c>
      <c r="C17908" t="s">
        <v>3579</v>
      </c>
      <c r="D17908" s="1" t="str">
        <f t="shared" si="484"/>
        <v>PRG-1045742</v>
      </c>
      <c r="E17908" t="s">
        <v>225</v>
      </c>
      <c r="F17908" t="s">
        <v>4</v>
      </c>
      <c r="G17908" t="str">
        <f>""</f>
        <v/>
      </c>
    </row>
    <row r="17909" spans="1:7" x14ac:dyDescent="0.25">
      <c r="A17909" t="s">
        <v>8</v>
      </c>
      <c r="B17909" s="1" t="str">
        <f>"000359696 - RICHS 110244 PBCS RETRO"</f>
        <v>000359696 - RICHS 110244 PBCS RETRO</v>
      </c>
      <c r="C17909" t="s">
        <v>3580</v>
      </c>
      <c r="D17909" s="1" t="str">
        <f t="shared" si="484"/>
        <v>PRG-1045742</v>
      </c>
      <c r="E17909" t="s">
        <v>225</v>
      </c>
      <c r="F17909" t="s">
        <v>4</v>
      </c>
      <c r="G17909" t="str">
        <f>""</f>
        <v/>
      </c>
    </row>
    <row r="17910" spans="1:7" x14ac:dyDescent="0.25">
      <c r="A17910" t="s">
        <v>8</v>
      </c>
      <c r="B17910" s="1" t="str">
        <f>"000364673 - RICH CORPORATION NOI FY19"</f>
        <v>000364673 - RICH CORPORATION NOI FY19</v>
      </c>
      <c r="C17910" t="s">
        <v>3599</v>
      </c>
      <c r="D17910" s="1" t="str">
        <f t="shared" si="484"/>
        <v>PRG-1045742</v>
      </c>
      <c r="E17910" t="s">
        <v>225</v>
      </c>
      <c r="F17910" t="s">
        <v>4</v>
      </c>
      <c r="G17910" t="str">
        <f>""</f>
        <v/>
      </c>
    </row>
    <row r="17911" spans="1:7" x14ac:dyDescent="0.25">
      <c r="A17911" t="s">
        <v>8</v>
      </c>
      <c r="B17911" s="1" t="str">
        <f>"000366344 - RICHS 110244 PBCS USDA"</f>
        <v>000366344 - RICHS 110244 PBCS USDA</v>
      </c>
      <c r="C17911" t="s">
        <v>3579</v>
      </c>
      <c r="D17911" s="1" t="str">
        <f t="shared" si="484"/>
        <v>PRG-1045742</v>
      </c>
      <c r="E17911" t="s">
        <v>225</v>
      </c>
      <c r="F17911" t="s">
        <v>4</v>
      </c>
      <c r="G17911" t="str">
        <f>""</f>
        <v/>
      </c>
    </row>
    <row r="17912" spans="1:7" x14ac:dyDescent="0.25">
      <c r="A17912" t="s">
        <v>8</v>
      </c>
      <c r="B17912" s="1" t="str">
        <f>"000366559 - CPS  RICHS-100912 FLOUR"</f>
        <v>000366559 - CPS  RICHS-100912 FLOUR</v>
      </c>
      <c r="C17912" t="s">
        <v>3595</v>
      </c>
      <c r="D17912" s="1" t="str">
        <f t="shared" si="484"/>
        <v>PRG-1045742</v>
      </c>
      <c r="E17912" t="s">
        <v>225</v>
      </c>
      <c r="F17912" t="s">
        <v>4</v>
      </c>
      <c r="G17912" t="str">
        <f>""</f>
        <v/>
      </c>
    </row>
    <row r="17913" spans="1:7" x14ac:dyDescent="0.25">
      <c r="A17913" t="s">
        <v>8</v>
      </c>
      <c r="B17913" s="1" t="str">
        <f>"000368411 - RICHS - 100912 FLOUR"</f>
        <v>000368411 - RICHS - 100912 FLOUR</v>
      </c>
      <c r="C17913" t="s">
        <v>2568</v>
      </c>
      <c r="D17913" s="1" t="str">
        <f t="shared" si="484"/>
        <v>PRG-1045742</v>
      </c>
      <c r="E17913" t="s">
        <v>225</v>
      </c>
      <c r="F17913" t="s">
        <v>4</v>
      </c>
      <c r="G17913" t="str">
        <f>""</f>
        <v/>
      </c>
    </row>
    <row r="17914" spans="1:7" x14ac:dyDescent="0.25">
      <c r="A17914" t="s">
        <v>8</v>
      </c>
      <c r="B17914" s="1" t="str">
        <f>"000368596 - CPS  RICHS-100912 FLOUR"</f>
        <v>000368596 - CPS  RICHS-100912 FLOUR</v>
      </c>
      <c r="C17914" t="s">
        <v>3595</v>
      </c>
      <c r="D17914" s="1" t="str">
        <f t="shared" si="484"/>
        <v>PRG-1045742</v>
      </c>
      <c r="E17914" t="s">
        <v>225</v>
      </c>
      <c r="F17914" t="s">
        <v>4</v>
      </c>
      <c r="G17914" t="str">
        <f>""</f>
        <v/>
      </c>
    </row>
    <row r="17915" spans="1:7" x14ac:dyDescent="0.25">
      <c r="A17915" t="s">
        <v>8</v>
      </c>
      <c r="B17915" s="1" t="str">
        <f>"000368896 - RICHS - 100912 FLOUR"</f>
        <v>000368896 - RICHS - 100912 FLOUR</v>
      </c>
      <c r="C17915" t="s">
        <v>2568</v>
      </c>
      <c r="D17915" s="1" t="str">
        <f t="shared" si="484"/>
        <v>PRG-1045742</v>
      </c>
      <c r="E17915" t="s">
        <v>225</v>
      </c>
      <c r="F17915" t="s">
        <v>4</v>
      </c>
      <c r="G17915" t="str">
        <f>""</f>
        <v/>
      </c>
    </row>
    <row r="17916" spans="1:7" x14ac:dyDescent="0.25">
      <c r="A17916" t="s">
        <v>8</v>
      </c>
      <c r="B17916" s="1" t="str">
        <f>"000369369 - CPS  RICHS-100912 FLOUR"</f>
        <v>000369369 - CPS  RICHS-100912 FLOUR</v>
      </c>
      <c r="C17916" t="s">
        <v>3595</v>
      </c>
      <c r="D17916" s="1" t="str">
        <f t="shared" si="484"/>
        <v>PRG-1045742</v>
      </c>
      <c r="E17916" t="s">
        <v>225</v>
      </c>
      <c r="F17916" t="s">
        <v>4</v>
      </c>
      <c r="G17916" t="str">
        <f>""</f>
        <v/>
      </c>
    </row>
    <row r="17917" spans="1:7" x14ac:dyDescent="0.25">
      <c r="A17917" t="s">
        <v>8</v>
      </c>
      <c r="B17917" s="1" t="str">
        <f>"000374307 - RICHS 110244 PBCS USDA"</f>
        <v>000374307 - RICHS 110244 PBCS USDA</v>
      </c>
      <c r="C17917" t="s">
        <v>3579</v>
      </c>
      <c r="D17917" s="1" t="str">
        <f t="shared" si="484"/>
        <v>PRG-1045742</v>
      </c>
      <c r="E17917" t="s">
        <v>225</v>
      </c>
      <c r="F17917" t="s">
        <v>4</v>
      </c>
      <c r="G17917" t="str">
        <f>""</f>
        <v/>
      </c>
    </row>
    <row r="17918" spans="1:7" x14ac:dyDescent="0.25">
      <c r="A17918" t="s">
        <v>8</v>
      </c>
      <c r="B17918" s="1" t="str">
        <f>"000374308 - RICHS 110244 PBCS USDA"</f>
        <v>000374308 - RICHS 110244 PBCS USDA</v>
      </c>
      <c r="C17918" t="s">
        <v>3579</v>
      </c>
      <c r="D17918" s="1" t="str">
        <f t="shared" si="484"/>
        <v>PRG-1045742</v>
      </c>
      <c r="E17918" t="s">
        <v>225</v>
      </c>
      <c r="F17918" t="s">
        <v>4</v>
      </c>
      <c r="G17918" t="str">
        <f>""</f>
        <v/>
      </c>
    </row>
    <row r="17919" spans="1:7" x14ac:dyDescent="0.25">
      <c r="A17919" t="s">
        <v>8</v>
      </c>
      <c r="B17919" s="1" t="str">
        <f>"000374406 - RCH 100912"</f>
        <v>000374406 - RCH 100912</v>
      </c>
      <c r="C17919" t="s">
        <v>224</v>
      </c>
      <c r="D17919" s="1" t="str">
        <f t="shared" si="484"/>
        <v>PRG-1045742</v>
      </c>
      <c r="E17919" t="s">
        <v>225</v>
      </c>
      <c r="F17919" t="s">
        <v>4</v>
      </c>
      <c r="G17919" t="str">
        <f>""</f>
        <v/>
      </c>
    </row>
    <row r="17920" spans="1:7" x14ac:dyDescent="0.25">
      <c r="A17920" t="s">
        <v>8</v>
      </c>
      <c r="B17920" s="1" t="str">
        <f>"000375111 - RCH 100912"</f>
        <v>000375111 - RCH 100912</v>
      </c>
      <c r="C17920" t="s">
        <v>224</v>
      </c>
      <c r="D17920" s="1" t="str">
        <f t="shared" si="484"/>
        <v>PRG-1045742</v>
      </c>
      <c r="E17920" t="s">
        <v>225</v>
      </c>
      <c r="F17920" t="s">
        <v>4</v>
      </c>
      <c r="G17920" t="str">
        <f>""</f>
        <v/>
      </c>
    </row>
    <row r="17921" spans="1:7" x14ac:dyDescent="0.25">
      <c r="A17921" t="s">
        <v>8</v>
      </c>
      <c r="B17921" s="1" t="str">
        <f>"000376512 - RCH 100912"</f>
        <v>000376512 - RCH 100912</v>
      </c>
      <c r="C17921" t="s">
        <v>224</v>
      </c>
      <c r="D17921" s="1" t="str">
        <f t="shared" si="484"/>
        <v>PRG-1045742</v>
      </c>
      <c r="E17921" t="s">
        <v>225</v>
      </c>
      <c r="F17921" t="s">
        <v>4</v>
      </c>
      <c r="G17921" t="str">
        <f>""</f>
        <v/>
      </c>
    </row>
    <row r="17922" spans="1:7" x14ac:dyDescent="0.25">
      <c r="A17922" t="s">
        <v>8</v>
      </c>
      <c r="B17922" s="1" t="str">
        <f>"000377240 - RCH 100912"</f>
        <v>000377240 - RCH 100912</v>
      </c>
      <c r="C17922" t="s">
        <v>224</v>
      </c>
      <c r="D17922" s="1" t="str">
        <f t="shared" si="484"/>
        <v>PRG-1045742</v>
      </c>
      <c r="E17922" t="s">
        <v>225</v>
      </c>
      <c r="F17922" t="s">
        <v>4</v>
      </c>
      <c r="G17922" t="str">
        <f>""</f>
        <v/>
      </c>
    </row>
    <row r="17923" spans="1:7" x14ac:dyDescent="0.25">
      <c r="A17923" t="s">
        <v>8</v>
      </c>
      <c r="B17923" s="1" t="str">
        <f>"000377439 - RCH 100912"</f>
        <v>000377439 - RCH 100912</v>
      </c>
      <c r="C17923" t="s">
        <v>224</v>
      </c>
      <c r="D17923" s="1" t="str">
        <f t="shared" si="484"/>
        <v>PRG-1045742</v>
      </c>
      <c r="E17923" t="s">
        <v>225</v>
      </c>
      <c r="F17923" t="s">
        <v>4</v>
      </c>
      <c r="G17923" t="str">
        <f>""</f>
        <v/>
      </c>
    </row>
    <row r="17924" spans="1:7" x14ac:dyDescent="0.25">
      <c r="A17924" t="s">
        <v>8</v>
      </c>
      <c r="B17924" s="1" t="str">
        <f>"000377440 - RCH 110244"</f>
        <v>000377440 - RCH 110244</v>
      </c>
      <c r="C17924" t="s">
        <v>420</v>
      </c>
      <c r="D17924" s="1" t="str">
        <f t="shared" si="484"/>
        <v>PRG-1045742</v>
      </c>
      <c r="E17924" t="s">
        <v>225</v>
      </c>
      <c r="F17924" t="s">
        <v>4</v>
      </c>
      <c r="G17924" t="str">
        <f>""</f>
        <v/>
      </c>
    </row>
    <row r="17925" spans="1:7" x14ac:dyDescent="0.25">
      <c r="A17925" t="s">
        <v>8</v>
      </c>
      <c r="B17925" s="1" t="str">
        <f>"000378338 - CPS  RICHS-100912 FLOUR"</f>
        <v>000378338 - CPS  RICHS-100912 FLOUR</v>
      </c>
      <c r="C17925" t="s">
        <v>3628</v>
      </c>
      <c r="D17925" s="1" t="str">
        <f t="shared" si="484"/>
        <v>PRG-1045742</v>
      </c>
      <c r="E17925" t="s">
        <v>225</v>
      </c>
      <c r="F17925" t="s">
        <v>4</v>
      </c>
      <c r="G17925" t="str">
        <f>""</f>
        <v/>
      </c>
    </row>
    <row r="17926" spans="1:7" x14ac:dyDescent="0.25">
      <c r="A17926" t="s">
        <v>8</v>
      </c>
      <c r="B17926" s="1" t="str">
        <f>"000379441 - CPS  RICHS-100912 FLOUR"</f>
        <v>000379441 - CPS  RICHS-100912 FLOUR</v>
      </c>
      <c r="C17926" t="s">
        <v>3628</v>
      </c>
      <c r="D17926" s="1" t="str">
        <f t="shared" si="484"/>
        <v>PRG-1045742</v>
      </c>
      <c r="E17926" t="s">
        <v>225</v>
      </c>
      <c r="F17926" t="s">
        <v>4</v>
      </c>
      <c r="G17926" t="str">
        <f>""</f>
        <v/>
      </c>
    </row>
    <row r="17927" spans="1:7" x14ac:dyDescent="0.25">
      <c r="A17927" t="s">
        <v>8</v>
      </c>
      <c r="B17927" s="1" t="str">
        <f>"000380400 - RCH 100912"</f>
        <v>000380400 - RCH 100912</v>
      </c>
      <c r="C17927" t="s">
        <v>224</v>
      </c>
      <c r="D17927" s="1" t="str">
        <f t="shared" si="484"/>
        <v>PRG-1045742</v>
      </c>
      <c r="E17927" t="s">
        <v>225</v>
      </c>
      <c r="F17927" t="s">
        <v>4</v>
      </c>
      <c r="G17927" t="str">
        <f>""</f>
        <v/>
      </c>
    </row>
    <row r="17928" spans="1:7" x14ac:dyDescent="0.25">
      <c r="A17928" t="s">
        <v>8</v>
      </c>
      <c r="B17928" s="1" t="str">
        <f>"000381748 - USDA   RICHS 100912"</f>
        <v>000381748 - USDA   RICHS 100912</v>
      </c>
      <c r="C17928" t="s">
        <v>3509</v>
      </c>
      <c r="D17928" s="1" t="str">
        <f t="shared" si="484"/>
        <v>PRG-1045742</v>
      </c>
      <c r="E17928" t="s">
        <v>225</v>
      </c>
      <c r="F17928" t="s">
        <v>4</v>
      </c>
      <c r="G17928" t="str">
        <f>""</f>
        <v/>
      </c>
    </row>
    <row r="17929" spans="1:7" x14ac:dyDescent="0.25">
      <c r="A17929" t="s">
        <v>8</v>
      </c>
      <c r="B17929" s="1" t="str">
        <f>"000383061 - RCH 100912"</f>
        <v>000383061 - RCH 100912</v>
      </c>
      <c r="C17929" t="s">
        <v>224</v>
      </c>
      <c r="D17929" s="1" t="str">
        <f t="shared" si="484"/>
        <v>PRG-1045742</v>
      </c>
      <c r="E17929" t="s">
        <v>225</v>
      </c>
      <c r="F17929" t="s">
        <v>4</v>
      </c>
      <c r="G17929" t="str">
        <f>""</f>
        <v/>
      </c>
    </row>
    <row r="17930" spans="1:7" x14ac:dyDescent="0.25">
      <c r="A17930" t="s">
        <v>8</v>
      </c>
      <c r="B17930" s="1" t="str">
        <f>"000384310 - RCH 100912"</f>
        <v>000384310 - RCH 100912</v>
      </c>
      <c r="C17930" t="s">
        <v>224</v>
      </c>
      <c r="D17930" s="1" t="str">
        <f t="shared" si="484"/>
        <v>PRG-1045742</v>
      </c>
      <c r="E17930" t="s">
        <v>225</v>
      </c>
      <c r="F17930" t="s">
        <v>4</v>
      </c>
      <c r="G17930" t="str">
        <f>""</f>
        <v/>
      </c>
    </row>
    <row r="17931" spans="1:7" x14ac:dyDescent="0.25">
      <c r="A17931" t="s">
        <v>8</v>
      </c>
      <c r="B17931" s="1" t="str">
        <f>"000387783 - RICHS-100912 FLOUR"</f>
        <v>000387783 - RICHS-100912 FLOUR</v>
      </c>
      <c r="C17931" t="s">
        <v>3621</v>
      </c>
      <c r="D17931" s="1" t="str">
        <f t="shared" si="484"/>
        <v>PRG-1045742</v>
      </c>
      <c r="E17931" t="s">
        <v>225</v>
      </c>
      <c r="F17931" t="s">
        <v>4</v>
      </c>
      <c r="G17931" t="str">
        <f>""</f>
        <v/>
      </c>
    </row>
    <row r="17932" spans="1:7" x14ac:dyDescent="0.25">
      <c r="A17932" t="s">
        <v>8</v>
      </c>
      <c r="B17932" s="1" t="str">
        <f>"000389711 - RICH SPRING HILL USD"</f>
        <v>000389711 - RICH SPRING HILL USD</v>
      </c>
      <c r="C17932" t="s">
        <v>3676</v>
      </c>
      <c r="D17932" s="1" t="str">
        <f t="shared" si="484"/>
        <v>PRG-1045742</v>
      </c>
      <c r="E17932" t="s">
        <v>225</v>
      </c>
      <c r="F17932" t="s">
        <v>4</v>
      </c>
      <c r="G17932" t="str">
        <f>""</f>
        <v/>
      </c>
    </row>
    <row r="17933" spans="1:7" x14ac:dyDescent="0.25">
      <c r="A17933" t="s">
        <v>8</v>
      </c>
      <c r="B17933" s="1" t="str">
        <f>"000389979 - RICHS AUBURN WASHBURN USD"</f>
        <v>000389979 - RICHS AUBURN WASHBURN USD</v>
      </c>
      <c r="C17933" t="s">
        <v>3677</v>
      </c>
      <c r="D17933" s="1" t="str">
        <f t="shared" si="484"/>
        <v>PRG-1045742</v>
      </c>
      <c r="E17933" t="s">
        <v>225</v>
      </c>
      <c r="F17933" t="s">
        <v>4</v>
      </c>
      <c r="G17933" t="str">
        <f>""</f>
        <v/>
      </c>
    </row>
    <row r="17934" spans="1:7" x14ac:dyDescent="0.25">
      <c r="A17934" t="s">
        <v>8</v>
      </c>
      <c r="B17934" s="1" t="str">
        <f>"000390113 - RICH KCK USD"</f>
        <v>000390113 - RICH KCK USD</v>
      </c>
      <c r="C17934" t="s">
        <v>3680</v>
      </c>
      <c r="D17934" s="1" t="str">
        <f t="shared" si="484"/>
        <v>PRG-1045742</v>
      </c>
      <c r="E17934" t="s">
        <v>225</v>
      </c>
      <c r="F17934" t="s">
        <v>4</v>
      </c>
      <c r="G17934" t="str">
        <f>""</f>
        <v/>
      </c>
    </row>
    <row r="17935" spans="1:7" x14ac:dyDescent="0.25">
      <c r="A17935" t="s">
        <v>8</v>
      </c>
      <c r="B17935" s="1" t="str">
        <f>"000390322 - RICH GARDNER-EDG USD"</f>
        <v>000390322 - RICH GARDNER-EDG USD</v>
      </c>
      <c r="C17935" t="s">
        <v>3683</v>
      </c>
      <c r="D17935" s="1" t="str">
        <f t="shared" si="484"/>
        <v>PRG-1045742</v>
      </c>
      <c r="E17935" t="s">
        <v>225</v>
      </c>
      <c r="F17935" t="s">
        <v>4</v>
      </c>
      <c r="G17935" t="str">
        <f>""</f>
        <v/>
      </c>
    </row>
    <row r="17936" spans="1:7" x14ac:dyDescent="0.25">
      <c r="A17936" t="s">
        <v>8</v>
      </c>
      <c r="B17936" s="1" t="str">
        <f>"000391908 - RICHS - 110244"</f>
        <v>000391908 - RICHS - 110244</v>
      </c>
      <c r="C17936" t="s">
        <v>3585</v>
      </c>
      <c r="D17936" s="1" t="str">
        <f t="shared" si="484"/>
        <v>PRG-1045742</v>
      </c>
      <c r="E17936" t="s">
        <v>225</v>
      </c>
      <c r="F17936" t="s">
        <v>4</v>
      </c>
      <c r="G17936" t="str">
        <f>""</f>
        <v/>
      </c>
    </row>
    <row r="17937" spans="1:7" x14ac:dyDescent="0.25">
      <c r="A17937" t="s">
        <v>8</v>
      </c>
      <c r="B17937" s="1" t="str">
        <f>"000391911 - CPS  RICHS-100912 FLOUR"</f>
        <v>000391911 - CPS  RICHS-100912 FLOUR</v>
      </c>
      <c r="C17937" t="s">
        <v>3595</v>
      </c>
      <c r="D17937" s="1" t="str">
        <f t="shared" si="484"/>
        <v>PRG-1045742</v>
      </c>
      <c r="E17937" t="s">
        <v>225</v>
      </c>
      <c r="F17937" t="s">
        <v>4</v>
      </c>
      <c r="G17937" t="str">
        <f>""</f>
        <v/>
      </c>
    </row>
    <row r="17938" spans="1:7" x14ac:dyDescent="0.25">
      <c r="A17938" t="s">
        <v>8</v>
      </c>
      <c r="B17938" s="1" t="str">
        <f>"000391914 - RICHS-100912 FLOUR"</f>
        <v>000391914 - RICHS-100912 FLOUR</v>
      </c>
      <c r="C17938" t="s">
        <v>3621</v>
      </c>
      <c r="D17938" s="1" t="str">
        <f t="shared" si="484"/>
        <v>PRG-1045742</v>
      </c>
      <c r="E17938" t="s">
        <v>225</v>
      </c>
      <c r="F17938" t="s">
        <v>4</v>
      </c>
      <c r="G17938" t="str">
        <f>""</f>
        <v/>
      </c>
    </row>
    <row r="17939" spans="1:7" x14ac:dyDescent="0.25">
      <c r="A17939" t="s">
        <v>8</v>
      </c>
      <c r="B17939" s="1" t="str">
        <f>"000393494 - RCH 100912"</f>
        <v>000393494 - RCH 100912</v>
      </c>
      <c r="C17939" t="s">
        <v>224</v>
      </c>
      <c r="D17939" s="1" t="str">
        <f t="shared" si="484"/>
        <v>PRG-1045742</v>
      </c>
      <c r="E17939" t="s">
        <v>225</v>
      </c>
      <c r="F17939" t="s">
        <v>4</v>
      </c>
      <c r="G17939" t="str">
        <f>""</f>
        <v/>
      </c>
    </row>
    <row r="17940" spans="1:7" x14ac:dyDescent="0.25">
      <c r="A17940" t="s">
        <v>8</v>
      </c>
      <c r="B17940" s="1" t="str">
        <f>"000394280 - RICHS-100912 FLOUR"</f>
        <v>000394280 - RICHS-100912 FLOUR</v>
      </c>
      <c r="C17940" t="s">
        <v>3621</v>
      </c>
      <c r="D17940" s="1" t="str">
        <f t="shared" ref="D17940:D18003" si="485">"PRG-1045742"</f>
        <v>PRG-1045742</v>
      </c>
      <c r="E17940" t="s">
        <v>225</v>
      </c>
      <c r="F17940" t="s">
        <v>4</v>
      </c>
      <c r="G17940" t="str">
        <f>""</f>
        <v/>
      </c>
    </row>
    <row r="17941" spans="1:7" x14ac:dyDescent="0.25">
      <c r="A17941" t="s">
        <v>8</v>
      </c>
      <c r="B17941" s="1" t="str">
        <f>"000395983 - RICH MANHATTAN-OGDEN USD"</f>
        <v>000395983 - RICH MANHATTAN-OGDEN USD</v>
      </c>
      <c r="C17941" t="s">
        <v>3709</v>
      </c>
      <c r="D17941" s="1" t="str">
        <f t="shared" si="485"/>
        <v>PRG-1045742</v>
      </c>
      <c r="E17941" t="s">
        <v>225</v>
      </c>
      <c r="F17941" t="s">
        <v>4</v>
      </c>
      <c r="G17941" t="str">
        <f>""</f>
        <v/>
      </c>
    </row>
    <row r="17942" spans="1:7" x14ac:dyDescent="0.25">
      <c r="A17942" t="s">
        <v>8</v>
      </c>
      <c r="B17942" s="1" t="str">
        <f>"000399008 - RICHS-100912 FLOUR"</f>
        <v>000399008 - RICHS-100912 FLOUR</v>
      </c>
      <c r="C17942" t="s">
        <v>3621</v>
      </c>
      <c r="D17942" s="1" t="str">
        <f t="shared" si="485"/>
        <v>PRG-1045742</v>
      </c>
      <c r="E17942" t="s">
        <v>225</v>
      </c>
      <c r="F17942" t="s">
        <v>4</v>
      </c>
      <c r="G17942" t="str">
        <f>""</f>
        <v/>
      </c>
    </row>
    <row r="17943" spans="1:7" x14ac:dyDescent="0.25">
      <c r="A17943" t="s">
        <v>8</v>
      </c>
      <c r="B17943" s="1" t="str">
        <f>"000399221 - RICHS-100912 FLOUR"</f>
        <v>000399221 - RICHS-100912 FLOUR</v>
      </c>
      <c r="C17943" t="s">
        <v>3621</v>
      </c>
      <c r="D17943" s="1" t="str">
        <f t="shared" si="485"/>
        <v>PRG-1045742</v>
      </c>
      <c r="E17943" t="s">
        <v>225</v>
      </c>
      <c r="F17943" t="s">
        <v>4</v>
      </c>
      <c r="G17943" t="str">
        <f>""</f>
        <v/>
      </c>
    </row>
    <row r="17944" spans="1:7" x14ac:dyDescent="0.25">
      <c r="A17944" t="s">
        <v>8</v>
      </c>
      <c r="B17944" s="1" t="str">
        <f>"000400089 - CPS  RICHS-100912 FLOUR"</f>
        <v>000400089 - CPS  RICHS-100912 FLOUR</v>
      </c>
      <c r="C17944" t="s">
        <v>3595</v>
      </c>
      <c r="D17944" s="1" t="str">
        <f t="shared" si="485"/>
        <v>PRG-1045742</v>
      </c>
      <c r="E17944" t="s">
        <v>225</v>
      </c>
      <c r="F17944" t="s">
        <v>4</v>
      </c>
      <c r="G17944" t="str">
        <f>""</f>
        <v/>
      </c>
    </row>
    <row r="17945" spans="1:7" x14ac:dyDescent="0.25">
      <c r="A17945" t="s">
        <v>8</v>
      </c>
      <c r="B17945" s="1" t="str">
        <f>"000402375 - CPS  RICHS-100912 FLOUR"</f>
        <v>000402375 - CPS  RICHS-100912 FLOUR</v>
      </c>
      <c r="C17945" t="s">
        <v>3595</v>
      </c>
      <c r="D17945" s="1" t="str">
        <f t="shared" si="485"/>
        <v>PRG-1045742</v>
      </c>
      <c r="E17945" t="s">
        <v>225</v>
      </c>
      <c r="F17945" t="s">
        <v>4</v>
      </c>
      <c r="G17945" t="str">
        <f>""</f>
        <v/>
      </c>
    </row>
    <row r="17946" spans="1:7" x14ac:dyDescent="0.25">
      <c r="A17946" t="s">
        <v>8</v>
      </c>
      <c r="B17946" s="1" t="str">
        <f>"000403095 - RICHS-100912 FLOUR"</f>
        <v>000403095 - RICHS-100912 FLOUR</v>
      </c>
      <c r="C17946" t="s">
        <v>3621</v>
      </c>
      <c r="D17946" s="1" t="str">
        <f t="shared" si="485"/>
        <v>PRG-1045742</v>
      </c>
      <c r="E17946" t="s">
        <v>225</v>
      </c>
      <c r="F17946" t="s">
        <v>4</v>
      </c>
      <c r="G17946" t="str">
        <f>""</f>
        <v/>
      </c>
    </row>
    <row r="17947" spans="1:7" x14ac:dyDescent="0.25">
      <c r="A17947" t="s">
        <v>8</v>
      </c>
      <c r="B17947" s="1" t="str">
        <f>"000404320 - RCH 100912"</f>
        <v>000404320 - RCH 100912</v>
      </c>
      <c r="C17947" t="s">
        <v>224</v>
      </c>
      <c r="D17947" s="1" t="str">
        <f t="shared" si="485"/>
        <v>PRG-1045742</v>
      </c>
      <c r="E17947" t="s">
        <v>225</v>
      </c>
      <c r="F17947" t="s">
        <v>4</v>
      </c>
      <c r="G17947" t="str">
        <f>""</f>
        <v/>
      </c>
    </row>
    <row r="17948" spans="1:7" x14ac:dyDescent="0.25">
      <c r="A17948" t="s">
        <v>8</v>
      </c>
      <c r="B17948" s="1" t="str">
        <f>"000404325 - RCH 110244"</f>
        <v>000404325 - RCH 110244</v>
      </c>
      <c r="C17948" t="s">
        <v>420</v>
      </c>
      <c r="D17948" s="1" t="str">
        <f t="shared" si="485"/>
        <v>PRG-1045742</v>
      </c>
      <c r="E17948" t="s">
        <v>225</v>
      </c>
      <c r="F17948" t="s">
        <v>4</v>
      </c>
      <c r="G17948" t="str">
        <f>""</f>
        <v/>
      </c>
    </row>
    <row r="17949" spans="1:7" x14ac:dyDescent="0.25">
      <c r="A17949" t="s">
        <v>8</v>
      </c>
      <c r="B17949" s="1" t="str">
        <f>"000406233 - CPS  RICHS-100912 FLOUR"</f>
        <v>000406233 - CPS  RICHS-100912 FLOUR</v>
      </c>
      <c r="C17949" t="s">
        <v>3595</v>
      </c>
      <c r="D17949" s="1" t="str">
        <f t="shared" si="485"/>
        <v>PRG-1045742</v>
      </c>
      <c r="E17949" t="s">
        <v>225</v>
      </c>
      <c r="F17949" t="s">
        <v>4</v>
      </c>
      <c r="G17949" t="str">
        <f>""</f>
        <v/>
      </c>
    </row>
    <row r="17950" spans="1:7" x14ac:dyDescent="0.25">
      <c r="A17950" t="s">
        <v>8</v>
      </c>
      <c r="B17950" s="1" t="str">
        <f>"000408836 - CPS  RICHS-100912 FLOUR"</f>
        <v>000408836 - CPS  RICHS-100912 FLOUR</v>
      </c>
      <c r="C17950" t="s">
        <v>3595</v>
      </c>
      <c r="D17950" s="1" t="str">
        <f t="shared" si="485"/>
        <v>PRG-1045742</v>
      </c>
      <c r="E17950" t="s">
        <v>225</v>
      </c>
      <c r="F17950" t="s">
        <v>4</v>
      </c>
      <c r="G17950" t="str">
        <f>""</f>
        <v/>
      </c>
    </row>
    <row r="17951" spans="1:7" x14ac:dyDescent="0.25">
      <c r="A17951" t="s">
        <v>8</v>
      </c>
      <c r="B17951" s="1" t="str">
        <f>"000408856 - RICHS-100912 FLOUR"</f>
        <v>000408856 - RICHS-100912 FLOUR</v>
      </c>
      <c r="C17951" t="s">
        <v>3621</v>
      </c>
      <c r="D17951" s="1" t="str">
        <f t="shared" si="485"/>
        <v>PRG-1045742</v>
      </c>
      <c r="E17951" t="s">
        <v>225</v>
      </c>
      <c r="F17951" t="s">
        <v>4</v>
      </c>
      <c r="G17951" t="str">
        <f>""</f>
        <v/>
      </c>
    </row>
    <row r="17952" spans="1:7" x14ac:dyDescent="0.25">
      <c r="A17952" t="s">
        <v>8</v>
      </c>
      <c r="B17952" s="1" t="str">
        <f>"000409635 - RCH 100912"</f>
        <v>000409635 - RCH 100912</v>
      </c>
      <c r="C17952" t="s">
        <v>224</v>
      </c>
      <c r="D17952" s="1" t="str">
        <f t="shared" si="485"/>
        <v>PRG-1045742</v>
      </c>
      <c r="E17952" t="s">
        <v>225</v>
      </c>
      <c r="F17952" t="s">
        <v>4</v>
      </c>
      <c r="G17952" t="str">
        <f>""</f>
        <v/>
      </c>
    </row>
    <row r="17953" spans="1:7" x14ac:dyDescent="0.25">
      <c r="A17953" t="s">
        <v>8</v>
      </c>
      <c r="B17953" s="1" t="str">
        <f>"000411500 - CPS  RICHS-100912 FLOUR"</f>
        <v>000411500 - CPS  RICHS-100912 FLOUR</v>
      </c>
      <c r="C17953" t="s">
        <v>3595</v>
      </c>
      <c r="D17953" s="1" t="str">
        <f t="shared" si="485"/>
        <v>PRG-1045742</v>
      </c>
      <c r="E17953" t="s">
        <v>225</v>
      </c>
      <c r="F17953" t="s">
        <v>4</v>
      </c>
      <c r="G17953" t="str">
        <f>""</f>
        <v/>
      </c>
    </row>
    <row r="17954" spans="1:7" x14ac:dyDescent="0.25">
      <c r="A17954" t="s">
        <v>8</v>
      </c>
      <c r="B17954" s="1" t="str">
        <f>"000414637 - RCH 100912"</f>
        <v>000414637 - RCH 100912</v>
      </c>
      <c r="C17954" t="s">
        <v>224</v>
      </c>
      <c r="D17954" s="1" t="str">
        <f t="shared" si="485"/>
        <v>PRG-1045742</v>
      </c>
      <c r="E17954" t="s">
        <v>225</v>
      </c>
      <c r="F17954" t="s">
        <v>4</v>
      </c>
      <c r="G17954" t="str">
        <f>""</f>
        <v/>
      </c>
    </row>
    <row r="17955" spans="1:7" x14ac:dyDescent="0.25">
      <c r="A17955" t="s">
        <v>8</v>
      </c>
      <c r="B17955" s="1" t="str">
        <f>"000414854 - RCH 100912"</f>
        <v>000414854 - RCH 100912</v>
      </c>
      <c r="C17955" t="s">
        <v>224</v>
      </c>
      <c r="D17955" s="1" t="str">
        <f t="shared" si="485"/>
        <v>PRG-1045742</v>
      </c>
      <c r="E17955" t="s">
        <v>225</v>
      </c>
      <c r="F17955" t="s">
        <v>4</v>
      </c>
      <c r="G17955" t="str">
        <f>""</f>
        <v/>
      </c>
    </row>
    <row r="17956" spans="1:7" x14ac:dyDescent="0.25">
      <c r="A17956" t="s">
        <v>8</v>
      </c>
      <c r="B17956" s="1" t="str">
        <f>"000414993 - RICH SDUSD 2018-19"</f>
        <v>000414993 - RICH SDUSD 2018-19</v>
      </c>
      <c r="C17956" t="s">
        <v>3736</v>
      </c>
      <c r="D17956" s="1" t="str">
        <f t="shared" si="485"/>
        <v>PRG-1045742</v>
      </c>
      <c r="E17956" t="s">
        <v>225</v>
      </c>
      <c r="F17956" t="s">
        <v>4</v>
      </c>
      <c r="G17956" t="str">
        <f>""</f>
        <v/>
      </c>
    </row>
    <row r="17957" spans="1:7" x14ac:dyDescent="0.25">
      <c r="A17957" t="s">
        <v>8</v>
      </c>
      <c r="B17957" s="1" t="str">
        <f>"000417729 - RCH 100912"</f>
        <v>000417729 - RCH 100912</v>
      </c>
      <c r="C17957" t="s">
        <v>224</v>
      </c>
      <c r="D17957" s="1" t="str">
        <f t="shared" si="485"/>
        <v>PRG-1045742</v>
      </c>
      <c r="E17957" t="s">
        <v>225</v>
      </c>
      <c r="F17957" t="s">
        <v>4</v>
      </c>
      <c r="G17957" t="str">
        <f>""</f>
        <v/>
      </c>
    </row>
    <row r="17958" spans="1:7" x14ac:dyDescent="0.25">
      <c r="A17958" t="s">
        <v>8</v>
      </c>
      <c r="B17958" s="1" t="str">
        <f>"000424577 - RCH 100912"</f>
        <v>000424577 - RCH 100912</v>
      </c>
      <c r="C17958" t="s">
        <v>224</v>
      </c>
      <c r="D17958" s="1" t="str">
        <f t="shared" si="485"/>
        <v>PRG-1045742</v>
      </c>
      <c r="E17958" t="s">
        <v>225</v>
      </c>
      <c r="F17958" t="s">
        <v>4</v>
      </c>
      <c r="G17958" t="str">
        <f>""</f>
        <v/>
      </c>
    </row>
    <row r="17959" spans="1:7" x14ac:dyDescent="0.25">
      <c r="A17959" t="s">
        <v>8</v>
      </c>
      <c r="B17959" s="1" t="str">
        <f>"000424579 - RCH 110244"</f>
        <v>000424579 - RCH 110244</v>
      </c>
      <c r="C17959" t="s">
        <v>420</v>
      </c>
      <c r="D17959" s="1" t="str">
        <f t="shared" si="485"/>
        <v>PRG-1045742</v>
      </c>
      <c r="E17959" t="s">
        <v>225</v>
      </c>
      <c r="F17959" t="s">
        <v>4</v>
      </c>
      <c r="G17959" t="str">
        <f>""</f>
        <v/>
      </c>
    </row>
    <row r="17960" spans="1:7" x14ac:dyDescent="0.25">
      <c r="A17960" t="s">
        <v>8</v>
      </c>
      <c r="B17960" s="1" t="str">
        <f>"000425692 - RCH 100912"</f>
        <v>000425692 - RCH 100912</v>
      </c>
      <c r="C17960" t="s">
        <v>224</v>
      </c>
      <c r="D17960" s="1" t="str">
        <f t="shared" si="485"/>
        <v>PRG-1045742</v>
      </c>
      <c r="E17960" t="s">
        <v>225</v>
      </c>
      <c r="F17960" t="s">
        <v>4</v>
      </c>
      <c r="G17960" t="str">
        <f>""</f>
        <v/>
      </c>
    </row>
    <row r="17961" spans="1:7" x14ac:dyDescent="0.25">
      <c r="A17961" t="s">
        <v>8</v>
      </c>
      <c r="B17961" s="1" t="str">
        <f>"000426800 - RCH 100912"</f>
        <v>000426800 - RCH 100912</v>
      </c>
      <c r="C17961" t="s">
        <v>224</v>
      </c>
      <c r="D17961" s="1" t="str">
        <f t="shared" si="485"/>
        <v>PRG-1045742</v>
      </c>
      <c r="E17961" t="s">
        <v>225</v>
      </c>
      <c r="F17961" t="s">
        <v>4</v>
      </c>
      <c r="G17961" t="str">
        <f>""</f>
        <v/>
      </c>
    </row>
    <row r="17962" spans="1:7" x14ac:dyDescent="0.25">
      <c r="A17962" t="s">
        <v>8</v>
      </c>
      <c r="B17962" s="1" t="str">
        <f>"000427110 - RICH'S UCSD"</f>
        <v>000427110 - RICH'S UCSD</v>
      </c>
      <c r="C17962" t="s">
        <v>3744</v>
      </c>
      <c r="D17962" s="1" t="str">
        <f t="shared" si="485"/>
        <v>PRG-1045742</v>
      </c>
      <c r="E17962" t="s">
        <v>225</v>
      </c>
      <c r="F17962" t="s">
        <v>4</v>
      </c>
      <c r="G17962" t="str">
        <f>""</f>
        <v/>
      </c>
    </row>
    <row r="17963" spans="1:7" x14ac:dyDescent="0.25">
      <c r="A17963" t="s">
        <v>8</v>
      </c>
      <c r="B17963" s="1" t="str">
        <f>"000427425 - RCH 100912"</f>
        <v>000427425 - RCH 100912</v>
      </c>
      <c r="C17963" t="s">
        <v>224</v>
      </c>
      <c r="D17963" s="1" t="str">
        <f t="shared" si="485"/>
        <v>PRG-1045742</v>
      </c>
      <c r="E17963" t="s">
        <v>225</v>
      </c>
      <c r="F17963" t="s">
        <v>4</v>
      </c>
      <c r="G17963" t="str">
        <f>""</f>
        <v/>
      </c>
    </row>
    <row r="17964" spans="1:7" x14ac:dyDescent="0.25">
      <c r="A17964" t="s">
        <v>8</v>
      </c>
      <c r="B17964" s="1" t="str">
        <f>"2000281818 - RICH NTX NOI"</f>
        <v>2000281818 - RICH NTX NOI</v>
      </c>
      <c r="C17964" t="s">
        <v>3897</v>
      </c>
      <c r="D17964" s="1" t="str">
        <f t="shared" si="485"/>
        <v>PRG-1045742</v>
      </c>
      <c r="E17964" t="s">
        <v>225</v>
      </c>
      <c r="F17964" t="s">
        <v>4</v>
      </c>
      <c r="G17964" t="str">
        <f>""</f>
        <v/>
      </c>
    </row>
    <row r="17965" spans="1:7" x14ac:dyDescent="0.25">
      <c r="A17965" t="s">
        <v>8</v>
      </c>
      <c r="B17965" s="1" t="str">
        <f>"2000387997 - RICH AR NOI"</f>
        <v>2000387997 - RICH AR NOI</v>
      </c>
      <c r="C17965" t="s">
        <v>4066</v>
      </c>
      <c r="D17965" s="1" t="str">
        <f t="shared" si="485"/>
        <v>PRG-1045742</v>
      </c>
      <c r="E17965" t="s">
        <v>225</v>
      </c>
      <c r="F17965" t="s">
        <v>4</v>
      </c>
      <c r="G17965" t="str">
        <f>""</f>
        <v/>
      </c>
    </row>
    <row r="17966" spans="1:7" x14ac:dyDescent="0.25">
      <c r="A17966" t="s">
        <v>8</v>
      </c>
      <c r="B17966" s="1" t="str">
        <f>"2000392899 - RICH NTX NOI"</f>
        <v>2000392899 - RICH NTX NOI</v>
      </c>
      <c r="C17966" t="s">
        <v>3897</v>
      </c>
      <c r="D17966" s="1" t="str">
        <f t="shared" si="485"/>
        <v>PRG-1045742</v>
      </c>
      <c r="E17966" t="s">
        <v>225</v>
      </c>
      <c r="F17966" t="s">
        <v>4</v>
      </c>
      <c r="G17966" t="str">
        <f>""</f>
        <v/>
      </c>
    </row>
    <row r="17967" spans="1:7" x14ac:dyDescent="0.25">
      <c r="A17967" t="s">
        <v>8</v>
      </c>
      <c r="B17967" s="1" t="str">
        <f>"2000397213 - RICH AR NOI"</f>
        <v>2000397213 - RICH AR NOI</v>
      </c>
      <c r="C17967" t="s">
        <v>4066</v>
      </c>
      <c r="D17967" s="1" t="str">
        <f t="shared" si="485"/>
        <v>PRG-1045742</v>
      </c>
      <c r="E17967" t="s">
        <v>225</v>
      </c>
      <c r="F17967" t="s">
        <v>4</v>
      </c>
      <c r="G17967" t="str">
        <f>""</f>
        <v/>
      </c>
    </row>
    <row r="17968" spans="1:7" x14ac:dyDescent="0.25">
      <c r="A17968" t="s">
        <v>8</v>
      </c>
      <c r="B17968" s="1" t="str">
        <f>"3103PI81"</f>
        <v>3103PI81</v>
      </c>
      <c r="C17968" t="s">
        <v>4614</v>
      </c>
      <c r="D17968" s="1" t="str">
        <f t="shared" si="485"/>
        <v>PRG-1045742</v>
      </c>
      <c r="E17968" t="s">
        <v>225</v>
      </c>
      <c r="F17968" t="s">
        <v>5</v>
      </c>
      <c r="G17968" t="str">
        <f>""</f>
        <v/>
      </c>
    </row>
    <row r="17969" spans="1:7" x14ac:dyDescent="0.25">
      <c r="A17969" t="s">
        <v>8</v>
      </c>
      <c r="B17969" s="1" t="str">
        <f>"S2H00KQ9"</f>
        <v>S2H00KQ9</v>
      </c>
      <c r="C17969" t="s">
        <v>5497</v>
      </c>
      <c r="D17969" s="1" t="str">
        <f t="shared" si="485"/>
        <v>PRG-1045742</v>
      </c>
      <c r="E17969" t="s">
        <v>225</v>
      </c>
      <c r="F17969" t="s">
        <v>5</v>
      </c>
      <c r="G17969" t="str">
        <f>""</f>
        <v/>
      </c>
    </row>
    <row r="17970" spans="1:7" x14ac:dyDescent="0.25">
      <c r="A17970" t="s">
        <v>8</v>
      </c>
      <c r="B17970" s="1" t="str">
        <f>"S2H00KQD"</f>
        <v>S2H00KQD</v>
      </c>
      <c r="C17970" t="s">
        <v>5500</v>
      </c>
      <c r="D17970" s="1" t="str">
        <f t="shared" si="485"/>
        <v>PRG-1045742</v>
      </c>
      <c r="E17970" t="s">
        <v>225</v>
      </c>
      <c r="F17970" t="s">
        <v>5</v>
      </c>
      <c r="G17970" t="str">
        <f>""</f>
        <v/>
      </c>
    </row>
    <row r="17971" spans="1:7" x14ac:dyDescent="0.25">
      <c r="A17971" t="s">
        <v>8</v>
      </c>
      <c r="B17971" s="1" t="str">
        <f>"S2H00KQO"</f>
        <v>S2H00KQO</v>
      </c>
      <c r="C17971" t="s">
        <v>5509</v>
      </c>
      <c r="D17971" s="1" t="str">
        <f t="shared" si="485"/>
        <v>PRG-1045742</v>
      </c>
      <c r="E17971" t="s">
        <v>225</v>
      </c>
      <c r="F17971" t="s">
        <v>5</v>
      </c>
      <c r="G17971" t="str">
        <f>""</f>
        <v/>
      </c>
    </row>
    <row r="17972" spans="1:7" x14ac:dyDescent="0.25">
      <c r="A17972" t="s">
        <v>8</v>
      </c>
      <c r="B17972" s="1" t="str">
        <f>"S2J01KO2"</f>
        <v>S2J01KO2</v>
      </c>
      <c r="C17972" t="s">
        <v>5552</v>
      </c>
      <c r="D17972" s="1" t="str">
        <f t="shared" si="485"/>
        <v>PRG-1045742</v>
      </c>
      <c r="E17972" t="s">
        <v>225</v>
      </c>
      <c r="F17972" t="s">
        <v>5</v>
      </c>
      <c r="G17972" t="str">
        <f>""</f>
        <v/>
      </c>
    </row>
    <row r="17973" spans="1:7" x14ac:dyDescent="0.25">
      <c r="A17973" t="s">
        <v>8</v>
      </c>
      <c r="B17973" s="1" t="str">
        <f>"S2J01KO3"</f>
        <v>S2J01KO3</v>
      </c>
      <c r="C17973" t="s">
        <v>5553</v>
      </c>
      <c r="D17973" s="1" t="str">
        <f t="shared" si="485"/>
        <v>PRG-1045742</v>
      </c>
      <c r="E17973" t="s">
        <v>225</v>
      </c>
      <c r="F17973" t="s">
        <v>5</v>
      </c>
      <c r="G17973" t="str">
        <f>""</f>
        <v/>
      </c>
    </row>
    <row r="17974" spans="1:7" x14ac:dyDescent="0.25">
      <c r="A17974" t="s">
        <v>8</v>
      </c>
      <c r="B17974" s="1" t="str">
        <f>"S2J01KOA"</f>
        <v>S2J01KOA</v>
      </c>
      <c r="C17974" t="s">
        <v>5559</v>
      </c>
      <c r="D17974" s="1" t="str">
        <f t="shared" si="485"/>
        <v>PRG-1045742</v>
      </c>
      <c r="E17974" t="s">
        <v>225</v>
      </c>
      <c r="F17974" t="s">
        <v>5</v>
      </c>
      <c r="G17974" t="str">
        <f>""</f>
        <v/>
      </c>
    </row>
    <row r="17975" spans="1:7" x14ac:dyDescent="0.25">
      <c r="A17975" t="s">
        <v>8</v>
      </c>
      <c r="B17975" s="1" t="str">
        <f>"S2J01KOD"</f>
        <v>S2J01KOD</v>
      </c>
      <c r="C17975" t="s">
        <v>5561</v>
      </c>
      <c r="D17975" s="1" t="str">
        <f t="shared" si="485"/>
        <v>PRG-1045742</v>
      </c>
      <c r="E17975" t="s">
        <v>225</v>
      </c>
      <c r="F17975" t="s">
        <v>5</v>
      </c>
      <c r="G17975" t="str">
        <f>""</f>
        <v/>
      </c>
    </row>
    <row r="17976" spans="1:7" x14ac:dyDescent="0.25">
      <c r="A17976" t="s">
        <v>8</v>
      </c>
      <c r="B17976" s="1" t="str">
        <f>"S2J01KON"</f>
        <v>S2J01KON</v>
      </c>
      <c r="C17976" t="s">
        <v>5569</v>
      </c>
      <c r="D17976" s="1" t="str">
        <f t="shared" si="485"/>
        <v>PRG-1045742</v>
      </c>
      <c r="E17976" t="s">
        <v>225</v>
      </c>
      <c r="F17976" t="s">
        <v>5</v>
      </c>
      <c r="G17976" t="str">
        <f>""</f>
        <v/>
      </c>
    </row>
    <row r="17977" spans="1:7" x14ac:dyDescent="0.25">
      <c r="A17977" t="s">
        <v>8</v>
      </c>
      <c r="B17977" s="1" t="str">
        <f>"S3V00FR0"</f>
        <v>S3V00FR0</v>
      </c>
      <c r="C17977" t="s">
        <v>5643</v>
      </c>
      <c r="D17977" s="1" t="str">
        <f t="shared" si="485"/>
        <v>PRG-1045742</v>
      </c>
      <c r="E17977" t="s">
        <v>225</v>
      </c>
      <c r="F17977" t="s">
        <v>5</v>
      </c>
      <c r="G17977" t="str">
        <f>""</f>
        <v/>
      </c>
    </row>
    <row r="17978" spans="1:7" x14ac:dyDescent="0.25">
      <c r="A17978" t="s">
        <v>8</v>
      </c>
      <c r="B17978" s="1" t="str">
        <f>"S3V00HG0"</f>
        <v>S3V00HG0</v>
      </c>
      <c r="C17978" t="s">
        <v>5645</v>
      </c>
      <c r="D17978" s="1" t="str">
        <f t="shared" si="485"/>
        <v>PRG-1045742</v>
      </c>
      <c r="E17978" t="s">
        <v>225</v>
      </c>
      <c r="F17978" t="s">
        <v>5</v>
      </c>
      <c r="G17978" t="str">
        <f>""</f>
        <v/>
      </c>
    </row>
    <row r="17979" spans="1:7" x14ac:dyDescent="0.25">
      <c r="A17979" t="s">
        <v>8</v>
      </c>
      <c r="B17979" s="1" t="str">
        <f>"S3V00JW3"</f>
        <v>S3V00JW3</v>
      </c>
      <c r="C17979" t="s">
        <v>5649</v>
      </c>
      <c r="D17979" s="1" t="str">
        <f t="shared" si="485"/>
        <v>PRG-1045742</v>
      </c>
      <c r="E17979" t="s">
        <v>225</v>
      </c>
      <c r="F17979" t="s">
        <v>5</v>
      </c>
      <c r="G17979" t="str">
        <f>""</f>
        <v/>
      </c>
    </row>
    <row r="17980" spans="1:7" x14ac:dyDescent="0.25">
      <c r="A17980" t="s">
        <v>8</v>
      </c>
      <c r="B17980" s="1" t="str">
        <f>"S3V00JWV"</f>
        <v>S3V00JWV</v>
      </c>
      <c r="C17980" t="s">
        <v>5672</v>
      </c>
      <c r="D17980" s="1" t="str">
        <f t="shared" si="485"/>
        <v>PRG-1045742</v>
      </c>
      <c r="E17980" t="s">
        <v>225</v>
      </c>
      <c r="F17980" t="s">
        <v>5</v>
      </c>
      <c r="G17980" t="str">
        <f>""</f>
        <v/>
      </c>
    </row>
    <row r="17981" spans="1:7" x14ac:dyDescent="0.25">
      <c r="A17981" t="s">
        <v>8</v>
      </c>
      <c r="B17981" s="1" t="str">
        <f>"S3V010R0"</f>
        <v>S3V010R0</v>
      </c>
      <c r="C17981" t="s">
        <v>5681</v>
      </c>
      <c r="D17981" s="1" t="str">
        <f t="shared" si="485"/>
        <v>PRG-1045742</v>
      </c>
      <c r="E17981" t="s">
        <v>225</v>
      </c>
      <c r="F17981" t="s">
        <v>5</v>
      </c>
      <c r="G17981" t="str">
        <f>""</f>
        <v/>
      </c>
    </row>
    <row r="17982" spans="1:7" x14ac:dyDescent="0.25">
      <c r="A17982" t="s">
        <v>8</v>
      </c>
      <c r="B17982" s="1" t="str">
        <f>"S4V00LI0"</f>
        <v>S4V00LI0</v>
      </c>
      <c r="C17982" t="s">
        <v>5758</v>
      </c>
      <c r="D17982" s="1" t="str">
        <f t="shared" si="485"/>
        <v>PRG-1045742</v>
      </c>
      <c r="E17982" t="s">
        <v>225</v>
      </c>
      <c r="F17982" t="s">
        <v>5</v>
      </c>
      <c r="G17982" t="str">
        <f>""</f>
        <v/>
      </c>
    </row>
    <row r="17983" spans="1:7" x14ac:dyDescent="0.25">
      <c r="A17983" t="s">
        <v>8</v>
      </c>
      <c r="B17983" s="1" t="str">
        <f>"S4V00LI1"</f>
        <v>S4V00LI1</v>
      </c>
      <c r="C17983" t="s">
        <v>5558</v>
      </c>
      <c r="D17983" s="1" t="str">
        <f t="shared" si="485"/>
        <v>PRG-1045742</v>
      </c>
      <c r="E17983" t="s">
        <v>225</v>
      </c>
      <c r="F17983" t="s">
        <v>5</v>
      </c>
      <c r="G17983" t="str">
        <f>""</f>
        <v/>
      </c>
    </row>
    <row r="17984" spans="1:7" x14ac:dyDescent="0.25">
      <c r="A17984" t="s">
        <v>8</v>
      </c>
      <c r="B17984" s="1" t="str">
        <f>"S4V00LI5"</f>
        <v>S4V00LI5</v>
      </c>
      <c r="C17984" t="s">
        <v>5760</v>
      </c>
      <c r="D17984" s="1" t="str">
        <f t="shared" si="485"/>
        <v>PRG-1045742</v>
      </c>
      <c r="E17984" t="s">
        <v>225</v>
      </c>
      <c r="F17984" t="s">
        <v>5</v>
      </c>
      <c r="G17984" t="str">
        <f>""</f>
        <v/>
      </c>
    </row>
    <row r="17985" spans="1:7" x14ac:dyDescent="0.25">
      <c r="A17985" t="s">
        <v>8</v>
      </c>
      <c r="B17985" s="1" t="str">
        <f>"S4V00LI6"</f>
        <v>S4V00LI6</v>
      </c>
      <c r="C17985" t="s">
        <v>5761</v>
      </c>
      <c r="D17985" s="1" t="str">
        <f t="shared" si="485"/>
        <v>PRG-1045742</v>
      </c>
      <c r="E17985" t="s">
        <v>225</v>
      </c>
      <c r="F17985" t="s">
        <v>5</v>
      </c>
      <c r="G17985" t="str">
        <f>""</f>
        <v/>
      </c>
    </row>
    <row r="17986" spans="1:7" x14ac:dyDescent="0.25">
      <c r="A17986" t="s">
        <v>8</v>
      </c>
      <c r="B17986" s="1" t="str">
        <f>"S4V00LI8"</f>
        <v>S4V00LI8</v>
      </c>
      <c r="C17986" t="s">
        <v>5561</v>
      </c>
      <c r="D17986" s="1" t="str">
        <f t="shared" si="485"/>
        <v>PRG-1045742</v>
      </c>
      <c r="E17986" t="s">
        <v>225</v>
      </c>
      <c r="F17986" t="s">
        <v>5</v>
      </c>
      <c r="G17986" t="str">
        <f>""</f>
        <v/>
      </c>
    </row>
    <row r="17987" spans="1:7" x14ac:dyDescent="0.25">
      <c r="A17987" t="s">
        <v>8</v>
      </c>
      <c r="B17987" s="1" t="str">
        <f>"S4V00LI9"</f>
        <v>S4V00LI9</v>
      </c>
      <c r="C17987" t="s">
        <v>5763</v>
      </c>
      <c r="D17987" s="1" t="str">
        <f t="shared" si="485"/>
        <v>PRG-1045742</v>
      </c>
      <c r="E17987" t="s">
        <v>225</v>
      </c>
      <c r="F17987" t="s">
        <v>5</v>
      </c>
      <c r="G17987" t="str">
        <f>""</f>
        <v/>
      </c>
    </row>
    <row r="17988" spans="1:7" x14ac:dyDescent="0.25">
      <c r="A17988" t="s">
        <v>8</v>
      </c>
      <c r="B17988" s="1" t="str">
        <f>"S4V00LII"</f>
        <v>S4V00LII</v>
      </c>
      <c r="C17988" t="s">
        <v>5769</v>
      </c>
      <c r="D17988" s="1" t="str">
        <f t="shared" si="485"/>
        <v>PRG-1045742</v>
      </c>
      <c r="E17988" t="s">
        <v>225</v>
      </c>
      <c r="F17988" t="s">
        <v>5</v>
      </c>
      <c r="G17988" t="str">
        <f>""</f>
        <v/>
      </c>
    </row>
    <row r="17989" spans="1:7" x14ac:dyDescent="0.25">
      <c r="A17989" t="s">
        <v>8</v>
      </c>
      <c r="B17989" s="1" t="str">
        <f>"S4V00LIJ"</f>
        <v>S4V00LIJ</v>
      </c>
      <c r="C17989" t="s">
        <v>5770</v>
      </c>
      <c r="D17989" s="1" t="str">
        <f t="shared" si="485"/>
        <v>PRG-1045742</v>
      </c>
      <c r="E17989" t="s">
        <v>225</v>
      </c>
      <c r="F17989" t="s">
        <v>5</v>
      </c>
      <c r="G17989" t="str">
        <f>""</f>
        <v/>
      </c>
    </row>
    <row r="17990" spans="1:7" x14ac:dyDescent="0.25">
      <c r="A17990" t="s">
        <v>8</v>
      </c>
      <c r="B17990" s="1" t="str">
        <f>"S4V00LIM"</f>
        <v>S4V00LIM</v>
      </c>
      <c r="C17990" t="s">
        <v>5772</v>
      </c>
      <c r="D17990" s="1" t="str">
        <f t="shared" si="485"/>
        <v>PRG-1045742</v>
      </c>
      <c r="E17990" t="s">
        <v>225</v>
      </c>
      <c r="F17990" t="s">
        <v>5</v>
      </c>
      <c r="G17990" t="str">
        <f>""</f>
        <v/>
      </c>
    </row>
    <row r="17991" spans="1:7" x14ac:dyDescent="0.25">
      <c r="A17991" t="s">
        <v>8</v>
      </c>
      <c r="B17991" s="1" t="str">
        <f>"S4V00LIP"</f>
        <v>S4V00LIP</v>
      </c>
      <c r="C17991" t="s">
        <v>5773</v>
      </c>
      <c r="D17991" s="1" t="str">
        <f t="shared" si="485"/>
        <v>PRG-1045742</v>
      </c>
      <c r="E17991" t="s">
        <v>225</v>
      </c>
      <c r="F17991" t="s">
        <v>5</v>
      </c>
      <c r="G17991" t="str">
        <f>""</f>
        <v/>
      </c>
    </row>
    <row r="17992" spans="1:7" x14ac:dyDescent="0.25">
      <c r="A17992" t="s">
        <v>8</v>
      </c>
      <c r="B17992" s="1" t="str">
        <f>"S4V00LIQ"</f>
        <v>S4V00LIQ</v>
      </c>
      <c r="C17992" t="s">
        <v>5774</v>
      </c>
      <c r="D17992" s="1" t="str">
        <f t="shared" si="485"/>
        <v>PRG-1045742</v>
      </c>
      <c r="E17992" t="s">
        <v>225</v>
      </c>
      <c r="F17992" t="s">
        <v>5</v>
      </c>
      <c r="G17992" t="str">
        <f>""</f>
        <v/>
      </c>
    </row>
    <row r="17993" spans="1:7" x14ac:dyDescent="0.25">
      <c r="A17993" t="s">
        <v>8</v>
      </c>
      <c r="B17993" s="1" t="str">
        <f>"S4V00LIR"</f>
        <v>S4V00LIR</v>
      </c>
      <c r="C17993" t="s">
        <v>5775</v>
      </c>
      <c r="D17993" s="1" t="str">
        <f t="shared" si="485"/>
        <v>PRG-1045742</v>
      </c>
      <c r="E17993" t="s">
        <v>225</v>
      </c>
      <c r="F17993" t="s">
        <v>5</v>
      </c>
      <c r="G17993" t="str">
        <f>""</f>
        <v/>
      </c>
    </row>
    <row r="17994" spans="1:7" x14ac:dyDescent="0.25">
      <c r="A17994" t="s">
        <v>8</v>
      </c>
      <c r="B17994" s="1" t="str">
        <f>"S4V00LIS"</f>
        <v>S4V00LIS</v>
      </c>
      <c r="C17994" t="s">
        <v>5776</v>
      </c>
      <c r="D17994" s="1" t="str">
        <f t="shared" si="485"/>
        <v>PRG-1045742</v>
      </c>
      <c r="E17994" t="s">
        <v>225</v>
      </c>
      <c r="F17994" t="s">
        <v>5</v>
      </c>
      <c r="G17994" t="str">
        <f>""</f>
        <v/>
      </c>
    </row>
    <row r="17995" spans="1:7" x14ac:dyDescent="0.25">
      <c r="A17995" t="s">
        <v>8</v>
      </c>
      <c r="B17995" s="1" t="str">
        <f>"S4V00LIV"</f>
        <v>S4V00LIV</v>
      </c>
      <c r="C17995" t="s">
        <v>5779</v>
      </c>
      <c r="D17995" s="1" t="str">
        <f t="shared" si="485"/>
        <v>PRG-1045742</v>
      </c>
      <c r="E17995" t="s">
        <v>225</v>
      </c>
      <c r="F17995" t="s">
        <v>5</v>
      </c>
      <c r="G17995" t="str">
        <f>""</f>
        <v/>
      </c>
    </row>
    <row r="17996" spans="1:7" x14ac:dyDescent="0.25">
      <c r="A17996" t="s">
        <v>8</v>
      </c>
      <c r="B17996" s="1" t="str">
        <f>"S4V00LIW"</f>
        <v>S4V00LIW</v>
      </c>
      <c r="C17996" t="s">
        <v>5780</v>
      </c>
      <c r="D17996" s="1" t="str">
        <f t="shared" si="485"/>
        <v>PRG-1045742</v>
      </c>
      <c r="E17996" t="s">
        <v>225</v>
      </c>
      <c r="F17996" t="s">
        <v>5</v>
      </c>
      <c r="G17996" t="str">
        <f>""</f>
        <v/>
      </c>
    </row>
    <row r="17997" spans="1:7" x14ac:dyDescent="0.25">
      <c r="A17997" t="s">
        <v>8</v>
      </c>
      <c r="B17997" s="1" t="str">
        <f>"S4V00LIX"</f>
        <v>S4V00LIX</v>
      </c>
      <c r="C17997" t="s">
        <v>5781</v>
      </c>
      <c r="D17997" s="1" t="str">
        <f t="shared" si="485"/>
        <v>PRG-1045742</v>
      </c>
      <c r="E17997" t="s">
        <v>225</v>
      </c>
      <c r="F17997" t="s">
        <v>5</v>
      </c>
      <c r="G17997" t="str">
        <f>""</f>
        <v/>
      </c>
    </row>
    <row r="17998" spans="1:7" x14ac:dyDescent="0.25">
      <c r="A17998" t="s">
        <v>8</v>
      </c>
      <c r="B17998" s="1" t="str">
        <f>"S5I036Q0"</f>
        <v>S5I036Q0</v>
      </c>
      <c r="C17998" t="s">
        <v>5884</v>
      </c>
      <c r="D17998" s="1" t="str">
        <f t="shared" si="485"/>
        <v>PRG-1045742</v>
      </c>
      <c r="E17998" t="s">
        <v>225</v>
      </c>
      <c r="F17998" t="s">
        <v>5</v>
      </c>
      <c r="G17998" t="str">
        <f>""</f>
        <v/>
      </c>
    </row>
    <row r="17999" spans="1:7" x14ac:dyDescent="0.25">
      <c r="A17999" t="s">
        <v>8</v>
      </c>
      <c r="B17999" s="1" t="str">
        <f>"S5I036Q5"</f>
        <v>S5I036Q5</v>
      </c>
      <c r="C17999" t="s">
        <v>5889</v>
      </c>
      <c r="D17999" s="1" t="str">
        <f t="shared" si="485"/>
        <v>PRG-1045742</v>
      </c>
      <c r="E17999" t="s">
        <v>225</v>
      </c>
      <c r="F17999" t="s">
        <v>5</v>
      </c>
      <c r="G17999" t="str">
        <f>""</f>
        <v/>
      </c>
    </row>
    <row r="18000" spans="1:7" x14ac:dyDescent="0.25">
      <c r="A18000" t="s">
        <v>8</v>
      </c>
      <c r="B18000" s="1" t="str">
        <f>"S5I036Q8"</f>
        <v>S5I036Q8</v>
      </c>
      <c r="C18000" t="s">
        <v>5892</v>
      </c>
      <c r="D18000" s="1" t="str">
        <f t="shared" si="485"/>
        <v>PRG-1045742</v>
      </c>
      <c r="E18000" t="s">
        <v>225</v>
      </c>
      <c r="F18000" t="s">
        <v>5</v>
      </c>
      <c r="G18000" t="str">
        <f>""</f>
        <v/>
      </c>
    </row>
    <row r="18001" spans="1:7" x14ac:dyDescent="0.25">
      <c r="A18001" t="s">
        <v>8</v>
      </c>
      <c r="B18001" s="1" t="str">
        <f>"S5I036QD"</f>
        <v>S5I036QD</v>
      </c>
      <c r="C18001" t="s">
        <v>5896</v>
      </c>
      <c r="D18001" s="1" t="str">
        <f t="shared" si="485"/>
        <v>PRG-1045742</v>
      </c>
      <c r="E18001" t="s">
        <v>225</v>
      </c>
      <c r="F18001" t="s">
        <v>5</v>
      </c>
      <c r="G18001" t="str">
        <f>""</f>
        <v/>
      </c>
    </row>
    <row r="18002" spans="1:7" x14ac:dyDescent="0.25">
      <c r="A18002" t="s">
        <v>8</v>
      </c>
      <c r="B18002" s="1" t="str">
        <f>"S5I036QF"</f>
        <v>S5I036QF</v>
      </c>
      <c r="C18002" t="s">
        <v>5898</v>
      </c>
      <c r="D18002" s="1" t="str">
        <f t="shared" si="485"/>
        <v>PRG-1045742</v>
      </c>
      <c r="E18002" t="s">
        <v>225</v>
      </c>
      <c r="F18002" t="s">
        <v>5</v>
      </c>
      <c r="G18002" t="str">
        <f>""</f>
        <v/>
      </c>
    </row>
    <row r="18003" spans="1:7" x14ac:dyDescent="0.25">
      <c r="A18003" t="s">
        <v>8</v>
      </c>
      <c r="B18003" s="1" t="str">
        <f>"S5I036QG"</f>
        <v>S5I036QG</v>
      </c>
      <c r="C18003" t="s">
        <v>5899</v>
      </c>
      <c r="D18003" s="1" t="str">
        <f t="shared" si="485"/>
        <v>PRG-1045742</v>
      </c>
      <c r="E18003" t="s">
        <v>225</v>
      </c>
      <c r="F18003" t="s">
        <v>5</v>
      </c>
      <c r="G18003" t="str">
        <f>""</f>
        <v/>
      </c>
    </row>
    <row r="18004" spans="1:7" x14ac:dyDescent="0.25">
      <c r="A18004" t="s">
        <v>8</v>
      </c>
      <c r="B18004" s="1" t="str">
        <f>"S5I036QI"</f>
        <v>S5I036QI</v>
      </c>
      <c r="C18004" t="s">
        <v>5901</v>
      </c>
      <c r="D18004" s="1" t="str">
        <f t="shared" ref="D18004:D18067" si="486">"PRG-1045742"</f>
        <v>PRG-1045742</v>
      </c>
      <c r="E18004" t="s">
        <v>225</v>
      </c>
      <c r="F18004" t="s">
        <v>5</v>
      </c>
      <c r="G18004" t="str">
        <f>""</f>
        <v/>
      </c>
    </row>
    <row r="18005" spans="1:7" x14ac:dyDescent="0.25">
      <c r="A18005" t="s">
        <v>8</v>
      </c>
      <c r="B18005" s="1" t="str">
        <f>"S5Z01D10"</f>
        <v>S5Z01D10</v>
      </c>
      <c r="C18005" t="s">
        <v>5960</v>
      </c>
      <c r="D18005" s="1" t="str">
        <f t="shared" si="486"/>
        <v>PRG-1045742</v>
      </c>
      <c r="E18005" t="s">
        <v>225</v>
      </c>
      <c r="F18005" t="s">
        <v>5</v>
      </c>
      <c r="G18005" t="str">
        <f>""</f>
        <v/>
      </c>
    </row>
    <row r="18006" spans="1:7" x14ac:dyDescent="0.25">
      <c r="A18006" t="s">
        <v>8</v>
      </c>
      <c r="B18006" s="1" t="str">
        <f>"S5Z01NN3"</f>
        <v>S5Z01NN3</v>
      </c>
      <c r="C18006" t="s">
        <v>5970</v>
      </c>
      <c r="D18006" s="1" t="str">
        <f t="shared" si="486"/>
        <v>PRG-1045742</v>
      </c>
      <c r="E18006" t="s">
        <v>225</v>
      </c>
      <c r="F18006" t="s">
        <v>5</v>
      </c>
      <c r="G18006" t="str">
        <f>""</f>
        <v/>
      </c>
    </row>
    <row r="18007" spans="1:7" x14ac:dyDescent="0.25">
      <c r="A18007" t="s">
        <v>8</v>
      </c>
      <c r="B18007" s="1" t="str">
        <f>"S6B03VW1"</f>
        <v>S6B03VW1</v>
      </c>
      <c r="C18007" t="s">
        <v>6008</v>
      </c>
      <c r="D18007" s="1" t="str">
        <f t="shared" si="486"/>
        <v>PRG-1045742</v>
      </c>
      <c r="E18007" t="s">
        <v>225</v>
      </c>
      <c r="F18007" t="s">
        <v>5</v>
      </c>
      <c r="G18007" t="str">
        <f>""</f>
        <v/>
      </c>
    </row>
    <row r="18008" spans="1:7" x14ac:dyDescent="0.25">
      <c r="A18008" t="s">
        <v>8</v>
      </c>
      <c r="B18008" s="1" t="str">
        <f>"S6B03VW2"</f>
        <v>S6B03VW2</v>
      </c>
      <c r="C18008" t="s">
        <v>6009</v>
      </c>
      <c r="D18008" s="1" t="str">
        <f t="shared" si="486"/>
        <v>PRG-1045742</v>
      </c>
      <c r="E18008" t="s">
        <v>225</v>
      </c>
      <c r="F18008" t="s">
        <v>5</v>
      </c>
      <c r="G18008" t="str">
        <f>""</f>
        <v/>
      </c>
    </row>
    <row r="18009" spans="1:7" x14ac:dyDescent="0.25">
      <c r="A18009" t="s">
        <v>8</v>
      </c>
      <c r="B18009" s="1" t="str">
        <f>"S6B03VW4"</f>
        <v>S6B03VW4</v>
      </c>
      <c r="C18009" t="s">
        <v>6011</v>
      </c>
      <c r="D18009" s="1" t="str">
        <f t="shared" si="486"/>
        <v>PRG-1045742</v>
      </c>
      <c r="E18009" t="s">
        <v>225</v>
      </c>
      <c r="F18009" t="s">
        <v>5</v>
      </c>
      <c r="G18009" t="str">
        <f>""</f>
        <v/>
      </c>
    </row>
    <row r="18010" spans="1:7" x14ac:dyDescent="0.25">
      <c r="A18010" t="s">
        <v>8</v>
      </c>
      <c r="B18010" s="1" t="str">
        <f>"S6B03VW5"</f>
        <v>S6B03VW5</v>
      </c>
      <c r="C18010" t="s">
        <v>6012</v>
      </c>
      <c r="D18010" s="1" t="str">
        <f t="shared" si="486"/>
        <v>PRG-1045742</v>
      </c>
      <c r="E18010" t="s">
        <v>225</v>
      </c>
      <c r="F18010" t="s">
        <v>5</v>
      </c>
      <c r="G18010" t="str">
        <f>""</f>
        <v/>
      </c>
    </row>
    <row r="18011" spans="1:7" x14ac:dyDescent="0.25">
      <c r="A18011" t="s">
        <v>8</v>
      </c>
      <c r="B18011" s="1" t="str">
        <f>"S6B03VW7"</f>
        <v>S6B03VW7</v>
      </c>
      <c r="C18011" t="s">
        <v>6014</v>
      </c>
      <c r="D18011" s="1" t="str">
        <f t="shared" si="486"/>
        <v>PRG-1045742</v>
      </c>
      <c r="E18011" t="s">
        <v>225</v>
      </c>
      <c r="F18011" t="s">
        <v>5</v>
      </c>
      <c r="G18011" t="str">
        <f>""</f>
        <v/>
      </c>
    </row>
    <row r="18012" spans="1:7" x14ac:dyDescent="0.25">
      <c r="A18012" t="s">
        <v>8</v>
      </c>
      <c r="B18012" s="1" t="str">
        <f>"S6F00DP1"</f>
        <v>S6F00DP1</v>
      </c>
      <c r="C18012" t="s">
        <v>6042</v>
      </c>
      <c r="D18012" s="1" t="str">
        <f t="shared" si="486"/>
        <v>PRG-1045742</v>
      </c>
      <c r="E18012" t="s">
        <v>225</v>
      </c>
      <c r="F18012" t="s">
        <v>5</v>
      </c>
      <c r="G18012" t="str">
        <f>""</f>
        <v/>
      </c>
    </row>
    <row r="18013" spans="1:7" x14ac:dyDescent="0.25">
      <c r="A18013" t="s">
        <v>8</v>
      </c>
      <c r="B18013" s="1" t="str">
        <f>"S6F00DPA"</f>
        <v>S6F00DPA</v>
      </c>
      <c r="C18013" t="s">
        <v>6049</v>
      </c>
      <c r="D18013" s="1" t="str">
        <f t="shared" si="486"/>
        <v>PRG-1045742</v>
      </c>
      <c r="E18013" t="s">
        <v>225</v>
      </c>
      <c r="F18013" t="s">
        <v>5</v>
      </c>
      <c r="G18013" t="str">
        <f>""</f>
        <v/>
      </c>
    </row>
    <row r="18014" spans="1:7" x14ac:dyDescent="0.25">
      <c r="A18014" t="s">
        <v>8</v>
      </c>
      <c r="B18014" s="1" t="str">
        <f>"S6F00DPB"</f>
        <v>S6F00DPB</v>
      </c>
      <c r="C18014" t="s">
        <v>6050</v>
      </c>
      <c r="D18014" s="1" t="str">
        <f t="shared" si="486"/>
        <v>PRG-1045742</v>
      </c>
      <c r="E18014" t="s">
        <v>225</v>
      </c>
      <c r="F18014" t="s">
        <v>5</v>
      </c>
      <c r="G18014" t="str">
        <f>""</f>
        <v/>
      </c>
    </row>
    <row r="18015" spans="1:7" x14ac:dyDescent="0.25">
      <c r="A18015" t="s">
        <v>8</v>
      </c>
      <c r="B18015" s="1" t="str">
        <f>"S6F00DPC"</f>
        <v>S6F00DPC</v>
      </c>
      <c r="C18015" t="s">
        <v>6051</v>
      </c>
      <c r="D18015" s="1" t="str">
        <f t="shared" si="486"/>
        <v>PRG-1045742</v>
      </c>
      <c r="E18015" t="s">
        <v>225</v>
      </c>
      <c r="F18015" t="s">
        <v>5</v>
      </c>
      <c r="G18015" t="str">
        <f>""</f>
        <v/>
      </c>
    </row>
    <row r="18016" spans="1:7" x14ac:dyDescent="0.25">
      <c r="A18016" t="s">
        <v>8</v>
      </c>
      <c r="B18016" s="1" t="str">
        <f>"S6F00DPD"</f>
        <v>S6F00DPD</v>
      </c>
      <c r="C18016" t="s">
        <v>6052</v>
      </c>
      <c r="D18016" s="1" t="str">
        <f t="shared" si="486"/>
        <v>PRG-1045742</v>
      </c>
      <c r="E18016" t="s">
        <v>225</v>
      </c>
      <c r="F18016" t="s">
        <v>5</v>
      </c>
      <c r="G18016" t="str">
        <f>""</f>
        <v/>
      </c>
    </row>
    <row r="18017" spans="1:7" x14ac:dyDescent="0.25">
      <c r="A18017" t="s">
        <v>8</v>
      </c>
      <c r="B18017" s="1" t="str">
        <f>"S6F00DPF"</f>
        <v>S6F00DPF</v>
      </c>
      <c r="C18017" t="s">
        <v>6053</v>
      </c>
      <c r="D18017" s="1" t="str">
        <f t="shared" si="486"/>
        <v>PRG-1045742</v>
      </c>
      <c r="E18017" t="s">
        <v>225</v>
      </c>
      <c r="F18017" t="s">
        <v>5</v>
      </c>
      <c r="G18017" t="str">
        <f>""</f>
        <v/>
      </c>
    </row>
    <row r="18018" spans="1:7" x14ac:dyDescent="0.25">
      <c r="A18018" t="s">
        <v>8</v>
      </c>
      <c r="B18018" s="1" t="str">
        <f>"S6F00DPG"</f>
        <v>S6F00DPG</v>
      </c>
      <c r="C18018" t="s">
        <v>6054</v>
      </c>
      <c r="D18018" s="1" t="str">
        <f t="shared" si="486"/>
        <v>PRG-1045742</v>
      </c>
      <c r="E18018" t="s">
        <v>225</v>
      </c>
      <c r="F18018" t="s">
        <v>5</v>
      </c>
      <c r="G18018" t="str">
        <f>""</f>
        <v/>
      </c>
    </row>
    <row r="18019" spans="1:7" x14ac:dyDescent="0.25">
      <c r="A18019" t="s">
        <v>8</v>
      </c>
      <c r="B18019" s="1" t="str">
        <f>"S6F00DPH"</f>
        <v>S6F00DPH</v>
      </c>
      <c r="C18019" t="s">
        <v>6055</v>
      </c>
      <c r="D18019" s="1" t="str">
        <f t="shared" si="486"/>
        <v>PRG-1045742</v>
      </c>
      <c r="E18019" t="s">
        <v>225</v>
      </c>
      <c r="F18019" t="s">
        <v>5</v>
      </c>
      <c r="G18019" t="str">
        <f>""</f>
        <v/>
      </c>
    </row>
    <row r="18020" spans="1:7" x14ac:dyDescent="0.25">
      <c r="A18020" t="s">
        <v>8</v>
      </c>
      <c r="B18020" s="1" t="str">
        <f>"S6F00DPI"</f>
        <v>S6F00DPI</v>
      </c>
      <c r="C18020" t="s">
        <v>6056</v>
      </c>
      <c r="D18020" s="1" t="str">
        <f t="shared" si="486"/>
        <v>PRG-1045742</v>
      </c>
      <c r="E18020" t="s">
        <v>225</v>
      </c>
      <c r="F18020" t="s">
        <v>5</v>
      </c>
      <c r="G18020" t="str">
        <f>""</f>
        <v/>
      </c>
    </row>
    <row r="18021" spans="1:7" x14ac:dyDescent="0.25">
      <c r="A18021" t="s">
        <v>8</v>
      </c>
      <c r="B18021" s="1" t="str">
        <f>"S6J04AJ0"</f>
        <v>S6J04AJ0</v>
      </c>
      <c r="C18021" t="s">
        <v>6127</v>
      </c>
      <c r="D18021" s="1" t="str">
        <f t="shared" si="486"/>
        <v>PRG-1045742</v>
      </c>
      <c r="E18021" t="s">
        <v>225</v>
      </c>
      <c r="F18021" t="s">
        <v>5</v>
      </c>
      <c r="G18021" t="str">
        <f>""</f>
        <v/>
      </c>
    </row>
    <row r="18022" spans="1:7" x14ac:dyDescent="0.25">
      <c r="A18022" t="s">
        <v>8</v>
      </c>
      <c r="B18022" s="1" t="str">
        <f>"S6J04AJ2"</f>
        <v>S6J04AJ2</v>
      </c>
      <c r="C18022" t="s">
        <v>6129</v>
      </c>
      <c r="D18022" s="1" t="str">
        <f t="shared" si="486"/>
        <v>PRG-1045742</v>
      </c>
      <c r="E18022" t="s">
        <v>225</v>
      </c>
      <c r="F18022" t="s">
        <v>5</v>
      </c>
      <c r="G18022" t="str">
        <f>""</f>
        <v/>
      </c>
    </row>
    <row r="18023" spans="1:7" x14ac:dyDescent="0.25">
      <c r="A18023" t="s">
        <v>8</v>
      </c>
      <c r="B18023" s="1" t="str">
        <f>"S6J04AJ6"</f>
        <v>S6J04AJ6</v>
      </c>
      <c r="C18023" t="s">
        <v>6133</v>
      </c>
      <c r="D18023" s="1" t="str">
        <f t="shared" si="486"/>
        <v>PRG-1045742</v>
      </c>
      <c r="E18023" t="s">
        <v>225</v>
      </c>
      <c r="F18023" t="s">
        <v>5</v>
      </c>
      <c r="G18023" t="str">
        <f>""</f>
        <v/>
      </c>
    </row>
    <row r="18024" spans="1:7" x14ac:dyDescent="0.25">
      <c r="A18024" t="s">
        <v>8</v>
      </c>
      <c r="B18024" s="1" t="str">
        <f>"S6J04AJF"</f>
        <v>S6J04AJF</v>
      </c>
      <c r="C18024" t="s">
        <v>6142</v>
      </c>
      <c r="D18024" s="1" t="str">
        <f t="shared" si="486"/>
        <v>PRG-1045742</v>
      </c>
      <c r="E18024" t="s">
        <v>225</v>
      </c>
      <c r="F18024" t="s">
        <v>5</v>
      </c>
      <c r="G18024" t="str">
        <f>""</f>
        <v/>
      </c>
    </row>
    <row r="18025" spans="1:7" x14ac:dyDescent="0.25">
      <c r="A18025" t="s">
        <v>8</v>
      </c>
      <c r="B18025" s="1" t="str">
        <f>"S8E00R01"</f>
        <v>S8E00R01</v>
      </c>
      <c r="C18025" t="s">
        <v>6222</v>
      </c>
      <c r="D18025" s="1" t="str">
        <f t="shared" si="486"/>
        <v>PRG-1045742</v>
      </c>
      <c r="E18025" t="s">
        <v>225</v>
      </c>
      <c r="F18025" t="s">
        <v>5</v>
      </c>
      <c r="G18025" t="str">
        <f>""</f>
        <v/>
      </c>
    </row>
    <row r="18026" spans="1:7" x14ac:dyDescent="0.25">
      <c r="A18026" t="s">
        <v>8</v>
      </c>
      <c r="B18026" s="1" t="str">
        <f>"S8E00R03"</f>
        <v>S8E00R03</v>
      </c>
      <c r="C18026" t="s">
        <v>6224</v>
      </c>
      <c r="D18026" s="1" t="str">
        <f t="shared" si="486"/>
        <v>PRG-1045742</v>
      </c>
      <c r="E18026" t="s">
        <v>225</v>
      </c>
      <c r="F18026" t="s">
        <v>5</v>
      </c>
      <c r="G18026" t="str">
        <f>""</f>
        <v/>
      </c>
    </row>
    <row r="18027" spans="1:7" x14ac:dyDescent="0.25">
      <c r="A18027" t="s">
        <v>8</v>
      </c>
      <c r="B18027" s="1" t="str">
        <f>"S8E00R06"</f>
        <v>S8E00R06</v>
      </c>
      <c r="C18027" t="s">
        <v>6227</v>
      </c>
      <c r="D18027" s="1" t="str">
        <f t="shared" si="486"/>
        <v>PRG-1045742</v>
      </c>
      <c r="E18027" t="s">
        <v>225</v>
      </c>
      <c r="F18027" t="s">
        <v>5</v>
      </c>
      <c r="G18027" t="str">
        <f>""</f>
        <v/>
      </c>
    </row>
    <row r="18028" spans="1:7" x14ac:dyDescent="0.25">
      <c r="A18028" t="s">
        <v>8</v>
      </c>
      <c r="B18028" s="1" t="str">
        <f>"S8E00R07"</f>
        <v>S8E00R07</v>
      </c>
      <c r="C18028" t="s">
        <v>6228</v>
      </c>
      <c r="D18028" s="1" t="str">
        <f t="shared" si="486"/>
        <v>PRG-1045742</v>
      </c>
      <c r="E18028" t="s">
        <v>225</v>
      </c>
      <c r="F18028" t="s">
        <v>5</v>
      </c>
      <c r="G18028" t="str">
        <f>""</f>
        <v/>
      </c>
    </row>
    <row r="18029" spans="1:7" x14ac:dyDescent="0.25">
      <c r="A18029" t="s">
        <v>8</v>
      </c>
      <c r="B18029" s="1" t="str">
        <f>"S8E00R0A"</f>
        <v>S8E00R0A</v>
      </c>
      <c r="C18029" t="s">
        <v>6231</v>
      </c>
      <c r="D18029" s="1" t="str">
        <f t="shared" si="486"/>
        <v>PRG-1045742</v>
      </c>
      <c r="E18029" t="s">
        <v>225</v>
      </c>
      <c r="F18029" t="s">
        <v>5</v>
      </c>
      <c r="G18029" t="str">
        <f>""</f>
        <v/>
      </c>
    </row>
    <row r="18030" spans="1:7" x14ac:dyDescent="0.25">
      <c r="A18030" t="s">
        <v>8</v>
      </c>
      <c r="B18030" s="1" t="str">
        <f>"S8E00R0F"</f>
        <v>S8E00R0F</v>
      </c>
      <c r="C18030" t="s">
        <v>6235</v>
      </c>
      <c r="D18030" s="1" t="str">
        <f t="shared" si="486"/>
        <v>PRG-1045742</v>
      </c>
      <c r="E18030" t="s">
        <v>225</v>
      </c>
      <c r="F18030" t="s">
        <v>5</v>
      </c>
      <c r="G18030" t="str">
        <f>""</f>
        <v/>
      </c>
    </row>
    <row r="18031" spans="1:7" x14ac:dyDescent="0.25">
      <c r="A18031" t="s">
        <v>8</v>
      </c>
      <c r="B18031" s="1" t="str">
        <f>"S8E00R0H"</f>
        <v>S8E00R0H</v>
      </c>
      <c r="C18031" t="s">
        <v>6237</v>
      </c>
      <c r="D18031" s="1" t="str">
        <f t="shared" si="486"/>
        <v>PRG-1045742</v>
      </c>
      <c r="E18031" t="s">
        <v>225</v>
      </c>
      <c r="F18031" t="s">
        <v>5</v>
      </c>
      <c r="G18031" t="str">
        <f>""</f>
        <v/>
      </c>
    </row>
    <row r="18032" spans="1:7" x14ac:dyDescent="0.25">
      <c r="A18032" t="s">
        <v>8</v>
      </c>
      <c r="B18032" s="1" t="str">
        <f>"S8N011J0"</f>
        <v>S8N011J0</v>
      </c>
      <c r="C18032" t="s">
        <v>6262</v>
      </c>
      <c r="D18032" s="1" t="str">
        <f t="shared" si="486"/>
        <v>PRG-1045742</v>
      </c>
      <c r="E18032" t="s">
        <v>225</v>
      </c>
      <c r="F18032" t="s">
        <v>5</v>
      </c>
      <c r="G18032" t="str">
        <f>""</f>
        <v/>
      </c>
    </row>
    <row r="18033" spans="1:7" x14ac:dyDescent="0.25">
      <c r="A18033" t="s">
        <v>8</v>
      </c>
      <c r="B18033" s="1" t="str">
        <f>"S9B00WN1"</f>
        <v>S9B00WN1</v>
      </c>
      <c r="C18033" t="s">
        <v>6302</v>
      </c>
      <c r="D18033" s="1" t="str">
        <f t="shared" si="486"/>
        <v>PRG-1045742</v>
      </c>
      <c r="E18033" t="s">
        <v>225</v>
      </c>
      <c r="F18033" t="s">
        <v>5</v>
      </c>
      <c r="G18033" t="str">
        <f>""</f>
        <v/>
      </c>
    </row>
    <row r="18034" spans="1:7" x14ac:dyDescent="0.25">
      <c r="A18034" t="s">
        <v>8</v>
      </c>
      <c r="B18034" s="1" t="str">
        <f>"S9B00WN9"</f>
        <v>S9B00WN9</v>
      </c>
      <c r="C18034" t="s">
        <v>6307</v>
      </c>
      <c r="D18034" s="1" t="str">
        <f t="shared" si="486"/>
        <v>PRG-1045742</v>
      </c>
      <c r="E18034" t="s">
        <v>225</v>
      </c>
      <c r="F18034" t="s">
        <v>5</v>
      </c>
      <c r="G18034" t="str">
        <f>""</f>
        <v/>
      </c>
    </row>
    <row r="18035" spans="1:7" x14ac:dyDescent="0.25">
      <c r="A18035" t="s">
        <v>8</v>
      </c>
      <c r="B18035" s="1" t="str">
        <f>"S9D01460"</f>
        <v>S9D01460</v>
      </c>
      <c r="C18035" t="s">
        <v>6352</v>
      </c>
      <c r="D18035" s="1" t="str">
        <f t="shared" si="486"/>
        <v>PRG-1045742</v>
      </c>
      <c r="E18035" t="s">
        <v>225</v>
      </c>
      <c r="F18035" t="s">
        <v>5</v>
      </c>
      <c r="G18035" t="str">
        <f>""</f>
        <v/>
      </c>
    </row>
    <row r="18036" spans="1:7" x14ac:dyDescent="0.25">
      <c r="A18036" t="s">
        <v>8</v>
      </c>
      <c r="B18036" s="1" t="str">
        <f>"S9D01461"</f>
        <v>S9D01461</v>
      </c>
      <c r="C18036" t="s">
        <v>6353</v>
      </c>
      <c r="D18036" s="1" t="str">
        <f t="shared" si="486"/>
        <v>PRG-1045742</v>
      </c>
      <c r="E18036" t="s">
        <v>225</v>
      </c>
      <c r="F18036" t="s">
        <v>5</v>
      </c>
      <c r="G18036" t="str">
        <f>""</f>
        <v/>
      </c>
    </row>
    <row r="18037" spans="1:7" x14ac:dyDescent="0.25">
      <c r="A18037" t="s">
        <v>8</v>
      </c>
      <c r="B18037" s="1" t="str">
        <f>"S9D01464"</f>
        <v>S9D01464</v>
      </c>
      <c r="C18037" t="s">
        <v>6356</v>
      </c>
      <c r="D18037" s="1" t="str">
        <f t="shared" si="486"/>
        <v>PRG-1045742</v>
      </c>
      <c r="E18037" t="s">
        <v>225</v>
      </c>
      <c r="F18037" t="s">
        <v>5</v>
      </c>
      <c r="G18037" t="str">
        <f>""</f>
        <v/>
      </c>
    </row>
    <row r="18038" spans="1:7" x14ac:dyDescent="0.25">
      <c r="A18038" t="s">
        <v>8</v>
      </c>
      <c r="B18038" s="1" t="str">
        <f>"T3V000IX"</f>
        <v>T3V000IX</v>
      </c>
      <c r="C18038" t="s">
        <v>6412</v>
      </c>
      <c r="D18038" s="1" t="str">
        <f t="shared" si="486"/>
        <v>PRG-1045742</v>
      </c>
      <c r="E18038" t="s">
        <v>225</v>
      </c>
      <c r="F18038" t="s">
        <v>5</v>
      </c>
      <c r="G18038" t="str">
        <f>""</f>
        <v/>
      </c>
    </row>
    <row r="18039" spans="1:7" x14ac:dyDescent="0.25">
      <c r="A18039" t="s">
        <v>8</v>
      </c>
      <c r="B18039" s="1" t="str">
        <f>"T3V000QC"</f>
        <v>T3V000QC</v>
      </c>
      <c r="C18039" t="s">
        <v>6415</v>
      </c>
      <c r="D18039" s="1" t="str">
        <f t="shared" si="486"/>
        <v>PRG-1045742</v>
      </c>
      <c r="E18039" t="s">
        <v>225</v>
      </c>
      <c r="F18039" t="s">
        <v>5</v>
      </c>
      <c r="G18039" t="str">
        <f>""</f>
        <v/>
      </c>
    </row>
    <row r="18040" spans="1:7" x14ac:dyDescent="0.25">
      <c r="A18040" t="s">
        <v>8</v>
      </c>
      <c r="B18040" s="1" t="str">
        <f>"T3V000XK"</f>
        <v>T3V000XK</v>
      </c>
      <c r="C18040" t="s">
        <v>6420</v>
      </c>
      <c r="D18040" s="1" t="str">
        <f t="shared" si="486"/>
        <v>PRG-1045742</v>
      </c>
      <c r="E18040" t="s">
        <v>225</v>
      </c>
      <c r="F18040" t="s">
        <v>5</v>
      </c>
      <c r="G18040" t="str">
        <f>""</f>
        <v/>
      </c>
    </row>
    <row r="18041" spans="1:7" x14ac:dyDescent="0.25">
      <c r="A18041" t="s">
        <v>8</v>
      </c>
      <c r="B18041" s="1" t="str">
        <f>"T4V000YM"</f>
        <v>T4V000YM</v>
      </c>
      <c r="C18041" t="s">
        <v>6434</v>
      </c>
      <c r="D18041" s="1" t="str">
        <f t="shared" si="486"/>
        <v>PRG-1045742</v>
      </c>
      <c r="E18041" t="s">
        <v>225</v>
      </c>
      <c r="F18041" t="s">
        <v>5</v>
      </c>
      <c r="G18041" t="str">
        <f>""</f>
        <v/>
      </c>
    </row>
    <row r="18042" spans="1:7" x14ac:dyDescent="0.25">
      <c r="A18042" t="s">
        <v>8</v>
      </c>
      <c r="B18042" s="1" t="str">
        <f>"T4V00144"</f>
        <v>T4V00144</v>
      </c>
      <c r="C18042" t="s">
        <v>6437</v>
      </c>
      <c r="D18042" s="1" t="str">
        <f t="shared" si="486"/>
        <v>PRG-1045742</v>
      </c>
      <c r="E18042" t="s">
        <v>225</v>
      </c>
      <c r="F18042" t="s">
        <v>5</v>
      </c>
      <c r="G18042" t="str">
        <f>""</f>
        <v/>
      </c>
    </row>
    <row r="18043" spans="1:7" x14ac:dyDescent="0.25">
      <c r="A18043" t="s">
        <v>8</v>
      </c>
      <c r="B18043" s="1" t="str">
        <f>"T4V0014Y"</f>
        <v>T4V0014Y</v>
      </c>
      <c r="C18043" t="s">
        <v>6439</v>
      </c>
      <c r="D18043" s="1" t="str">
        <f t="shared" si="486"/>
        <v>PRG-1045742</v>
      </c>
      <c r="E18043" t="s">
        <v>225</v>
      </c>
      <c r="F18043" t="s">
        <v>5</v>
      </c>
      <c r="G18043" t="str">
        <f>""</f>
        <v/>
      </c>
    </row>
    <row r="18044" spans="1:7" x14ac:dyDescent="0.25">
      <c r="A18044" t="s">
        <v>8</v>
      </c>
      <c r="B18044" s="1" t="str">
        <f>"T4V0014Z"</f>
        <v>T4V0014Z</v>
      </c>
      <c r="C18044" t="s">
        <v>6440</v>
      </c>
      <c r="D18044" s="1" t="str">
        <f t="shared" si="486"/>
        <v>PRG-1045742</v>
      </c>
      <c r="E18044" t="s">
        <v>225</v>
      </c>
      <c r="F18044" t="s">
        <v>5</v>
      </c>
      <c r="G18044" t="str">
        <f>""</f>
        <v/>
      </c>
    </row>
    <row r="18045" spans="1:7" x14ac:dyDescent="0.25">
      <c r="A18045" t="s">
        <v>8</v>
      </c>
      <c r="B18045" s="1" t="str">
        <f>"T4V00150"</f>
        <v>T4V00150</v>
      </c>
      <c r="C18045" t="s">
        <v>6441</v>
      </c>
      <c r="D18045" s="1" t="str">
        <f t="shared" si="486"/>
        <v>PRG-1045742</v>
      </c>
      <c r="E18045" t="s">
        <v>225</v>
      </c>
      <c r="F18045" t="s">
        <v>5</v>
      </c>
      <c r="G18045" t="str">
        <f>""</f>
        <v/>
      </c>
    </row>
    <row r="18046" spans="1:7" x14ac:dyDescent="0.25">
      <c r="A18046" t="s">
        <v>8</v>
      </c>
      <c r="B18046" s="1" t="str">
        <f>"T4V00151"</f>
        <v>T4V00151</v>
      </c>
      <c r="C18046" t="s">
        <v>6442</v>
      </c>
      <c r="D18046" s="1" t="str">
        <f t="shared" si="486"/>
        <v>PRG-1045742</v>
      </c>
      <c r="E18046" t="s">
        <v>225</v>
      </c>
      <c r="F18046" t="s">
        <v>5</v>
      </c>
      <c r="G18046" t="str">
        <f>""</f>
        <v/>
      </c>
    </row>
    <row r="18047" spans="1:7" x14ac:dyDescent="0.25">
      <c r="A18047" t="s">
        <v>8</v>
      </c>
      <c r="B18047" s="1" t="str">
        <f>"T4V00157"</f>
        <v>T4V00157</v>
      </c>
      <c r="C18047" t="s">
        <v>6443</v>
      </c>
      <c r="D18047" s="1" t="str">
        <f t="shared" si="486"/>
        <v>PRG-1045742</v>
      </c>
      <c r="E18047" t="s">
        <v>225</v>
      </c>
      <c r="F18047" t="s">
        <v>5</v>
      </c>
      <c r="G18047" t="str">
        <f>""</f>
        <v/>
      </c>
    </row>
    <row r="18048" spans="1:7" x14ac:dyDescent="0.25">
      <c r="A18048" t="s">
        <v>8</v>
      </c>
      <c r="B18048" s="1" t="str">
        <f>"T4V0015I"</f>
        <v>T4V0015I</v>
      </c>
      <c r="C18048" t="s">
        <v>6444</v>
      </c>
      <c r="D18048" s="1" t="str">
        <f t="shared" si="486"/>
        <v>PRG-1045742</v>
      </c>
      <c r="E18048" t="s">
        <v>225</v>
      </c>
      <c r="F18048" t="s">
        <v>5</v>
      </c>
      <c r="G18048" t="str">
        <f>""</f>
        <v/>
      </c>
    </row>
    <row r="18049" spans="1:7" x14ac:dyDescent="0.25">
      <c r="A18049" t="s">
        <v>8</v>
      </c>
      <c r="B18049" s="1" t="str">
        <f>"T4V0015Z"</f>
        <v>T4V0015Z</v>
      </c>
      <c r="C18049" t="s">
        <v>6445</v>
      </c>
      <c r="D18049" s="1" t="str">
        <f t="shared" si="486"/>
        <v>PRG-1045742</v>
      </c>
      <c r="E18049" t="s">
        <v>225</v>
      </c>
      <c r="F18049" t="s">
        <v>5</v>
      </c>
      <c r="G18049" t="str">
        <f>""</f>
        <v/>
      </c>
    </row>
    <row r="18050" spans="1:7" x14ac:dyDescent="0.25">
      <c r="A18050" t="s">
        <v>8</v>
      </c>
      <c r="B18050" s="1" t="str">
        <f>"T4V0016P"</f>
        <v>T4V0016P</v>
      </c>
      <c r="C18050" t="s">
        <v>6448</v>
      </c>
      <c r="D18050" s="1" t="str">
        <f t="shared" si="486"/>
        <v>PRG-1045742</v>
      </c>
      <c r="E18050" t="s">
        <v>225</v>
      </c>
      <c r="F18050" t="s">
        <v>5</v>
      </c>
      <c r="G18050" t="str">
        <f>""</f>
        <v/>
      </c>
    </row>
    <row r="18051" spans="1:7" x14ac:dyDescent="0.25">
      <c r="A18051" t="s">
        <v>8</v>
      </c>
      <c r="B18051" s="1" t="str">
        <f>"T4V00181"</f>
        <v>T4V00181</v>
      </c>
      <c r="C18051" t="s">
        <v>6449</v>
      </c>
      <c r="D18051" s="1" t="str">
        <f t="shared" si="486"/>
        <v>PRG-1045742</v>
      </c>
      <c r="E18051" t="s">
        <v>225</v>
      </c>
      <c r="F18051" t="s">
        <v>5</v>
      </c>
      <c r="G18051" t="str">
        <f>""</f>
        <v/>
      </c>
    </row>
    <row r="18052" spans="1:7" x14ac:dyDescent="0.25">
      <c r="A18052" t="s">
        <v>8</v>
      </c>
      <c r="B18052" s="1" t="str">
        <f>"T4V001CS"</f>
        <v>T4V001CS</v>
      </c>
      <c r="C18052" t="s">
        <v>6450</v>
      </c>
      <c r="D18052" s="1" t="str">
        <f t="shared" si="486"/>
        <v>PRG-1045742</v>
      </c>
      <c r="E18052" t="s">
        <v>225</v>
      </c>
      <c r="F18052" t="s">
        <v>5</v>
      </c>
      <c r="G18052" t="str">
        <f>""</f>
        <v/>
      </c>
    </row>
    <row r="18053" spans="1:7" x14ac:dyDescent="0.25">
      <c r="A18053" t="s">
        <v>8</v>
      </c>
      <c r="B18053" s="1" t="str">
        <f>"T4V001D4"</f>
        <v>T4V001D4</v>
      </c>
      <c r="C18053" t="s">
        <v>6451</v>
      </c>
      <c r="D18053" s="1" t="str">
        <f t="shared" si="486"/>
        <v>PRG-1045742</v>
      </c>
      <c r="E18053" t="s">
        <v>225</v>
      </c>
      <c r="F18053" t="s">
        <v>5</v>
      </c>
      <c r="G18053" t="str">
        <f>""</f>
        <v/>
      </c>
    </row>
    <row r="18054" spans="1:7" x14ac:dyDescent="0.25">
      <c r="A18054" t="s">
        <v>8</v>
      </c>
      <c r="B18054" s="1" t="str">
        <f>"T4V001D5"</f>
        <v>T4V001D5</v>
      </c>
      <c r="C18054" t="s">
        <v>6452</v>
      </c>
      <c r="D18054" s="1" t="str">
        <f t="shared" si="486"/>
        <v>PRG-1045742</v>
      </c>
      <c r="E18054" t="s">
        <v>225</v>
      </c>
      <c r="F18054" t="s">
        <v>5</v>
      </c>
      <c r="G18054" t="str">
        <f>""</f>
        <v/>
      </c>
    </row>
    <row r="18055" spans="1:7" x14ac:dyDescent="0.25">
      <c r="A18055" t="s">
        <v>8</v>
      </c>
      <c r="B18055" s="1" t="str">
        <f>"T4V001D6"</f>
        <v>T4V001D6</v>
      </c>
      <c r="C18055" t="s">
        <v>6453</v>
      </c>
      <c r="D18055" s="1" t="str">
        <f t="shared" si="486"/>
        <v>PRG-1045742</v>
      </c>
      <c r="E18055" t="s">
        <v>225</v>
      </c>
      <c r="F18055" t="s">
        <v>5</v>
      </c>
      <c r="G18055" t="str">
        <f>""</f>
        <v/>
      </c>
    </row>
    <row r="18056" spans="1:7" x14ac:dyDescent="0.25">
      <c r="A18056" t="s">
        <v>8</v>
      </c>
      <c r="B18056" s="1" t="str">
        <f>"T4V001D7"</f>
        <v>T4V001D7</v>
      </c>
      <c r="C18056" t="s">
        <v>6454</v>
      </c>
      <c r="D18056" s="1" t="str">
        <f t="shared" si="486"/>
        <v>PRG-1045742</v>
      </c>
      <c r="E18056" t="s">
        <v>225</v>
      </c>
      <c r="F18056" t="s">
        <v>5</v>
      </c>
      <c r="G18056" t="str">
        <f>""</f>
        <v/>
      </c>
    </row>
    <row r="18057" spans="1:7" x14ac:dyDescent="0.25">
      <c r="A18057" t="s">
        <v>8</v>
      </c>
      <c r="B18057" s="1" t="str">
        <f>"T4V001DK"</f>
        <v>T4V001DK</v>
      </c>
      <c r="C18057" t="s">
        <v>6455</v>
      </c>
      <c r="D18057" s="1" t="str">
        <f t="shared" si="486"/>
        <v>PRG-1045742</v>
      </c>
      <c r="E18057" t="s">
        <v>225</v>
      </c>
      <c r="F18057" t="s">
        <v>5</v>
      </c>
      <c r="G18057" t="str">
        <f>""</f>
        <v/>
      </c>
    </row>
    <row r="18058" spans="1:7" x14ac:dyDescent="0.25">
      <c r="A18058" t="s">
        <v>8</v>
      </c>
      <c r="B18058" s="1" t="str">
        <f>"T4V001DP"</f>
        <v>T4V001DP</v>
      </c>
      <c r="C18058" t="s">
        <v>6456</v>
      </c>
      <c r="D18058" s="1" t="str">
        <f t="shared" si="486"/>
        <v>PRG-1045742</v>
      </c>
      <c r="E18058" t="s">
        <v>225</v>
      </c>
      <c r="F18058" t="s">
        <v>5</v>
      </c>
      <c r="G18058" t="str">
        <f>""</f>
        <v/>
      </c>
    </row>
    <row r="18059" spans="1:7" x14ac:dyDescent="0.25">
      <c r="A18059" t="s">
        <v>8</v>
      </c>
      <c r="B18059" s="1" t="str">
        <f>"T4V001DQ"</f>
        <v>T4V001DQ</v>
      </c>
      <c r="C18059" t="s">
        <v>6457</v>
      </c>
      <c r="D18059" s="1" t="str">
        <f t="shared" si="486"/>
        <v>PRG-1045742</v>
      </c>
      <c r="E18059" t="s">
        <v>225</v>
      </c>
      <c r="F18059" t="s">
        <v>5</v>
      </c>
      <c r="G18059" t="str">
        <f>""</f>
        <v/>
      </c>
    </row>
    <row r="18060" spans="1:7" x14ac:dyDescent="0.25">
      <c r="A18060" t="s">
        <v>8</v>
      </c>
      <c r="B18060" s="1" t="str">
        <f>"T4V001H8"</f>
        <v>T4V001H8</v>
      </c>
      <c r="C18060" t="s">
        <v>6460</v>
      </c>
      <c r="D18060" s="1" t="str">
        <f t="shared" si="486"/>
        <v>PRG-1045742</v>
      </c>
      <c r="E18060" t="s">
        <v>225</v>
      </c>
      <c r="F18060" t="s">
        <v>5</v>
      </c>
      <c r="G18060" t="str">
        <f>""</f>
        <v/>
      </c>
    </row>
    <row r="18061" spans="1:7" x14ac:dyDescent="0.25">
      <c r="A18061" t="s">
        <v>8</v>
      </c>
      <c r="B18061" s="1" t="str">
        <f>"T4V001IZ"</f>
        <v>T4V001IZ</v>
      </c>
      <c r="C18061" t="s">
        <v>6461</v>
      </c>
      <c r="D18061" s="1" t="str">
        <f t="shared" si="486"/>
        <v>PRG-1045742</v>
      </c>
      <c r="E18061" t="s">
        <v>225</v>
      </c>
      <c r="F18061" t="s">
        <v>5</v>
      </c>
      <c r="G18061" t="str">
        <f>""</f>
        <v/>
      </c>
    </row>
    <row r="18062" spans="1:7" x14ac:dyDescent="0.25">
      <c r="A18062" t="s">
        <v>8</v>
      </c>
      <c r="B18062" s="1" t="str">
        <f>"T4V001LD"</f>
        <v>T4V001LD</v>
      </c>
      <c r="C18062" t="s">
        <v>6462</v>
      </c>
      <c r="D18062" s="1" t="str">
        <f t="shared" si="486"/>
        <v>PRG-1045742</v>
      </c>
      <c r="E18062" t="s">
        <v>225</v>
      </c>
      <c r="F18062" t="s">
        <v>5</v>
      </c>
      <c r="G18062" t="str">
        <f>""</f>
        <v/>
      </c>
    </row>
    <row r="18063" spans="1:7" x14ac:dyDescent="0.25">
      <c r="A18063" t="s">
        <v>8</v>
      </c>
      <c r="B18063" s="1" t="str">
        <f>"T4V001LE"</f>
        <v>T4V001LE</v>
      </c>
      <c r="C18063" t="s">
        <v>6463</v>
      </c>
      <c r="D18063" s="1" t="str">
        <f t="shared" si="486"/>
        <v>PRG-1045742</v>
      </c>
      <c r="E18063" t="s">
        <v>225</v>
      </c>
      <c r="F18063" t="s">
        <v>5</v>
      </c>
      <c r="G18063" t="str">
        <f>""</f>
        <v/>
      </c>
    </row>
    <row r="18064" spans="1:7" x14ac:dyDescent="0.25">
      <c r="A18064" t="s">
        <v>8</v>
      </c>
      <c r="B18064" s="1" t="str">
        <f>"T4V001LJ"</f>
        <v>T4V001LJ</v>
      </c>
      <c r="C18064" t="s">
        <v>6464</v>
      </c>
      <c r="D18064" s="1" t="str">
        <f t="shared" si="486"/>
        <v>PRG-1045742</v>
      </c>
      <c r="E18064" t="s">
        <v>225</v>
      </c>
      <c r="F18064" t="s">
        <v>5</v>
      </c>
      <c r="G18064" t="str">
        <f>""</f>
        <v/>
      </c>
    </row>
    <row r="18065" spans="1:7" x14ac:dyDescent="0.25">
      <c r="A18065" t="s">
        <v>8</v>
      </c>
      <c r="B18065" s="1" t="str">
        <f>"T4V001MA"</f>
        <v>T4V001MA</v>
      </c>
      <c r="C18065" t="s">
        <v>6465</v>
      </c>
      <c r="D18065" s="1" t="str">
        <f t="shared" si="486"/>
        <v>PRG-1045742</v>
      </c>
      <c r="E18065" t="s">
        <v>225</v>
      </c>
      <c r="F18065" t="s">
        <v>5</v>
      </c>
      <c r="G18065" t="str">
        <f>""</f>
        <v/>
      </c>
    </row>
    <row r="18066" spans="1:7" x14ac:dyDescent="0.25">
      <c r="A18066" t="s">
        <v>8</v>
      </c>
      <c r="B18066" s="1" t="str">
        <f>"T4V001ME"</f>
        <v>T4V001ME</v>
      </c>
      <c r="C18066" t="s">
        <v>6466</v>
      </c>
      <c r="D18066" s="1" t="str">
        <f t="shared" si="486"/>
        <v>PRG-1045742</v>
      </c>
      <c r="E18066" t="s">
        <v>225</v>
      </c>
      <c r="F18066" t="s">
        <v>5</v>
      </c>
      <c r="G18066" t="str">
        <f>""</f>
        <v/>
      </c>
    </row>
    <row r="18067" spans="1:7" x14ac:dyDescent="0.25">
      <c r="A18067" t="s">
        <v>8</v>
      </c>
      <c r="B18067" s="1" t="str">
        <f>"T4V001O9"</f>
        <v>T4V001O9</v>
      </c>
      <c r="C18067" t="s">
        <v>6467</v>
      </c>
      <c r="D18067" s="1" t="str">
        <f t="shared" si="486"/>
        <v>PRG-1045742</v>
      </c>
      <c r="E18067" t="s">
        <v>225</v>
      </c>
      <c r="F18067" t="s">
        <v>5</v>
      </c>
      <c r="G18067" t="str">
        <f>""</f>
        <v/>
      </c>
    </row>
    <row r="18068" spans="1:7" x14ac:dyDescent="0.25">
      <c r="A18068" t="s">
        <v>8</v>
      </c>
      <c r="B18068" s="1" t="str">
        <f>"000395756 - RICH GIORGIOS GREEK CAFE"</f>
        <v>000395756 - RICH GIORGIOS GREEK CAFE</v>
      </c>
      <c r="C18068" t="s">
        <v>3705</v>
      </c>
      <c r="D18068" s="1" t="str">
        <f>"PRG-1045779"</f>
        <v>PRG-1045779</v>
      </c>
      <c r="E18068" t="s">
        <v>3706</v>
      </c>
      <c r="F18068" t="s">
        <v>4</v>
      </c>
      <c r="G18068" t="str">
        <f>""</f>
        <v/>
      </c>
    </row>
    <row r="18069" spans="1:7" x14ac:dyDescent="0.25">
      <c r="A18069" t="s">
        <v>8</v>
      </c>
      <c r="B18069" s="1" t="str">
        <f>"S6Y00DV0"</f>
        <v>S6Y00DV0</v>
      </c>
      <c r="C18069" t="s">
        <v>5705</v>
      </c>
      <c r="D18069" s="1" t="str">
        <f>"PRG-1045781"</f>
        <v>PRG-1045781</v>
      </c>
      <c r="E18069" t="s">
        <v>6207</v>
      </c>
      <c r="F18069" t="s">
        <v>5</v>
      </c>
      <c r="G18069" t="str">
        <f>""</f>
        <v/>
      </c>
    </row>
    <row r="18070" spans="1:7" x14ac:dyDescent="0.25">
      <c r="A18070" t="s">
        <v>8</v>
      </c>
      <c r="B18070" s="1" t="str">
        <f>"000026234 - RICHS CASA DI BERTACCHI-SODEXO"</f>
        <v>000026234 - RICHS CASA DI BERTACCHI-SODEXO</v>
      </c>
      <c r="C18070" t="s">
        <v>121</v>
      </c>
      <c r="D18070" s="1" t="str">
        <f t="shared" ref="D18070:D18111" si="487">"PRG-1045783"</f>
        <v>PRG-1045783</v>
      </c>
      <c r="E18070" t="s">
        <v>160</v>
      </c>
      <c r="F18070" t="s">
        <v>4</v>
      </c>
      <c r="G18070" t="str">
        <f>""</f>
        <v/>
      </c>
    </row>
    <row r="18071" spans="1:7" x14ac:dyDescent="0.25">
      <c r="A18071" t="s">
        <v>8</v>
      </c>
      <c r="B18071" s="1" t="str">
        <f>"000032712 - RICHS CASA DI BERTACCHI-SODEXO"</f>
        <v>000032712 - RICHS CASA DI BERTACCHI-SODEXO</v>
      </c>
      <c r="C18071" t="s">
        <v>121</v>
      </c>
      <c r="D18071" s="1" t="str">
        <f t="shared" si="487"/>
        <v>PRG-1045783</v>
      </c>
      <c r="E18071" t="s">
        <v>160</v>
      </c>
      <c r="F18071" t="s">
        <v>4</v>
      </c>
      <c r="G18071" t="str">
        <f>""</f>
        <v/>
      </c>
    </row>
    <row r="18072" spans="1:7" x14ac:dyDescent="0.25">
      <c r="A18072" t="s">
        <v>8</v>
      </c>
      <c r="B18072" s="1" t="str">
        <f>"000034098 - RICHS CASA DI BERTACCHI-SODEXO"</f>
        <v>000034098 - RICHS CASA DI BERTACCHI-SODEXO</v>
      </c>
      <c r="C18072" t="s">
        <v>121</v>
      </c>
      <c r="D18072" s="1" t="str">
        <f t="shared" si="487"/>
        <v>PRG-1045783</v>
      </c>
      <c r="E18072" t="s">
        <v>160</v>
      </c>
      <c r="F18072" t="s">
        <v>4</v>
      </c>
      <c r="G18072" t="str">
        <f>""</f>
        <v/>
      </c>
    </row>
    <row r="18073" spans="1:7" x14ac:dyDescent="0.25">
      <c r="A18073" t="s">
        <v>8</v>
      </c>
      <c r="B18073" s="1" t="str">
        <f>"000037641 - RICHS CASA DI BERTACCHI-SODEXO"</f>
        <v>000037641 - RICHS CASA DI BERTACCHI-SODEXO</v>
      </c>
      <c r="C18073" t="s">
        <v>121</v>
      </c>
      <c r="D18073" s="1" t="str">
        <f t="shared" si="487"/>
        <v>PRG-1045783</v>
      </c>
      <c r="E18073" t="s">
        <v>160</v>
      </c>
      <c r="F18073" t="s">
        <v>4</v>
      </c>
      <c r="G18073" t="str">
        <f>""</f>
        <v/>
      </c>
    </row>
    <row r="18074" spans="1:7" x14ac:dyDescent="0.25">
      <c r="A18074" t="s">
        <v>8</v>
      </c>
      <c r="B18074" s="1" t="str">
        <f>"000040994 - RICHS CASA DI BERTACCHI-SODEXO"</f>
        <v>000040994 - RICHS CASA DI BERTACCHI-SODEXO</v>
      </c>
      <c r="C18074" t="s">
        <v>121</v>
      </c>
      <c r="D18074" s="1" t="str">
        <f t="shared" si="487"/>
        <v>PRG-1045783</v>
      </c>
      <c r="E18074" t="s">
        <v>160</v>
      </c>
      <c r="F18074" t="s">
        <v>4</v>
      </c>
      <c r="G18074" t="str">
        <f>""</f>
        <v/>
      </c>
    </row>
    <row r="18075" spans="1:7" x14ac:dyDescent="0.25">
      <c r="A18075" t="s">
        <v>8</v>
      </c>
      <c r="B18075" s="1" t="str">
        <f>"000043090 - RICHS CASA DI BERTACCHI-SODEXO"</f>
        <v>000043090 - RICHS CASA DI BERTACCHI-SODEXO</v>
      </c>
      <c r="C18075" t="s">
        <v>121</v>
      </c>
      <c r="D18075" s="1" t="str">
        <f t="shared" si="487"/>
        <v>PRG-1045783</v>
      </c>
      <c r="E18075" t="s">
        <v>160</v>
      </c>
      <c r="F18075" t="s">
        <v>4</v>
      </c>
      <c r="G18075" t="str">
        <f>""</f>
        <v/>
      </c>
    </row>
    <row r="18076" spans="1:7" x14ac:dyDescent="0.25">
      <c r="A18076" t="s">
        <v>8</v>
      </c>
      <c r="B18076" s="1" t="str">
        <f>"000043107 - RICHS CASA DI BERTACCHI-SODEXO"</f>
        <v>000043107 - RICHS CASA DI BERTACCHI-SODEXO</v>
      </c>
      <c r="C18076" t="s">
        <v>121</v>
      </c>
      <c r="D18076" s="1" t="str">
        <f t="shared" si="487"/>
        <v>PRG-1045783</v>
      </c>
      <c r="E18076" t="s">
        <v>160</v>
      </c>
      <c r="F18076" t="s">
        <v>4</v>
      </c>
      <c r="G18076" t="str">
        <f>""</f>
        <v/>
      </c>
    </row>
    <row r="18077" spans="1:7" x14ac:dyDescent="0.25">
      <c r="A18077" t="s">
        <v>8</v>
      </c>
      <c r="B18077" s="1" t="str">
        <f>"000084485 - RICHS CASA DI BERTACCHI-SODEXO"</f>
        <v>000084485 - RICHS CASA DI BERTACCHI-SODEXO</v>
      </c>
      <c r="C18077" t="s">
        <v>121</v>
      </c>
      <c r="D18077" s="1" t="str">
        <f t="shared" si="487"/>
        <v>PRG-1045783</v>
      </c>
      <c r="E18077" t="s">
        <v>160</v>
      </c>
      <c r="F18077" t="s">
        <v>4</v>
      </c>
      <c r="G18077" t="str">
        <f>""</f>
        <v/>
      </c>
    </row>
    <row r="18078" spans="1:7" x14ac:dyDescent="0.25">
      <c r="A18078" t="s">
        <v>8</v>
      </c>
      <c r="B18078" s="1" t="str">
        <f>"000177334 - RICHS CASA DI BERTACCHI-SODEXO"</f>
        <v>000177334 - RICHS CASA DI BERTACCHI-SODEXO</v>
      </c>
      <c r="C18078" t="s">
        <v>121</v>
      </c>
      <c r="D18078" s="1" t="str">
        <f t="shared" si="487"/>
        <v>PRG-1045783</v>
      </c>
      <c r="E18078" t="s">
        <v>160</v>
      </c>
      <c r="F18078" t="s">
        <v>4</v>
      </c>
      <c r="G18078" t="str">
        <f>""</f>
        <v/>
      </c>
    </row>
    <row r="18079" spans="1:7" x14ac:dyDescent="0.25">
      <c r="A18079" t="s">
        <v>8</v>
      </c>
      <c r="B18079" s="1" t="str">
        <f>"000183724 - RICHS CASA DI BERTACCHI-SODEXO"</f>
        <v>000183724 - RICHS CASA DI BERTACCHI-SODEXO</v>
      </c>
      <c r="C18079" t="s">
        <v>121</v>
      </c>
      <c r="D18079" s="1" t="str">
        <f t="shared" si="487"/>
        <v>PRG-1045783</v>
      </c>
      <c r="E18079" t="s">
        <v>160</v>
      </c>
      <c r="F18079" t="s">
        <v>4</v>
      </c>
      <c r="G18079" t="str">
        <f>""</f>
        <v/>
      </c>
    </row>
    <row r="18080" spans="1:7" x14ac:dyDescent="0.25">
      <c r="A18080" t="s">
        <v>8</v>
      </c>
      <c r="B18080" s="1" t="str">
        <f>"000201904 - RICHS CASA DI BERTACCHI-SODEXO"</f>
        <v>000201904 - RICHS CASA DI BERTACCHI-SODEXO</v>
      </c>
      <c r="C18080" t="s">
        <v>121</v>
      </c>
      <c r="D18080" s="1" t="str">
        <f t="shared" si="487"/>
        <v>PRG-1045783</v>
      </c>
      <c r="E18080" t="s">
        <v>160</v>
      </c>
      <c r="F18080" t="s">
        <v>4</v>
      </c>
      <c r="G18080" t="str">
        <f>""</f>
        <v/>
      </c>
    </row>
    <row r="18081" spans="1:7" x14ac:dyDescent="0.25">
      <c r="A18081" t="s">
        <v>8</v>
      </c>
      <c r="B18081" s="1" t="str">
        <f>"000246463 - RICHS CASA DI BERTACCHI-SODEXO"</f>
        <v>000246463 - RICHS CASA DI BERTACCHI-SODEXO</v>
      </c>
      <c r="C18081" t="s">
        <v>121</v>
      </c>
      <c r="D18081" s="1" t="str">
        <f t="shared" si="487"/>
        <v>PRG-1045783</v>
      </c>
      <c r="E18081" t="s">
        <v>160</v>
      </c>
      <c r="F18081" t="s">
        <v>4</v>
      </c>
      <c r="G18081" t="str">
        <f>""</f>
        <v/>
      </c>
    </row>
    <row r="18082" spans="1:7" x14ac:dyDescent="0.25">
      <c r="A18082" t="s">
        <v>8</v>
      </c>
      <c r="B18082" s="1" t="str">
        <f>"000253895 - RICHS CASA DI BERTACCHI-SODEXO"</f>
        <v>000253895 - RICHS CASA DI BERTACCHI-SODEXO</v>
      </c>
      <c r="C18082" t="s">
        <v>121</v>
      </c>
      <c r="D18082" s="1" t="str">
        <f t="shared" si="487"/>
        <v>PRG-1045783</v>
      </c>
      <c r="E18082" t="s">
        <v>160</v>
      </c>
      <c r="F18082" t="s">
        <v>4</v>
      </c>
      <c r="G18082" t="str">
        <f>""</f>
        <v/>
      </c>
    </row>
    <row r="18083" spans="1:7" x14ac:dyDescent="0.25">
      <c r="A18083" t="s">
        <v>8</v>
      </c>
      <c r="B18083" s="1" t="str">
        <f>"000271836 - RICHS CASA DI BERTACCHI-SODEXO"</f>
        <v>000271836 - RICHS CASA DI BERTACCHI-SODEXO</v>
      </c>
      <c r="C18083" t="s">
        <v>121</v>
      </c>
      <c r="D18083" s="1" t="str">
        <f t="shared" si="487"/>
        <v>PRG-1045783</v>
      </c>
      <c r="E18083" t="s">
        <v>160</v>
      </c>
      <c r="F18083" t="s">
        <v>4</v>
      </c>
      <c r="G18083" t="str">
        <f>""</f>
        <v/>
      </c>
    </row>
    <row r="18084" spans="1:7" x14ac:dyDescent="0.25">
      <c r="A18084" t="s">
        <v>8</v>
      </c>
      <c r="B18084" s="1" t="str">
        <f>"000276183 - RICHS CASA DI BERTACCHI-SODEXO"</f>
        <v>000276183 - RICHS CASA DI BERTACCHI-SODEXO</v>
      </c>
      <c r="C18084" t="s">
        <v>121</v>
      </c>
      <c r="D18084" s="1" t="str">
        <f t="shared" si="487"/>
        <v>PRG-1045783</v>
      </c>
      <c r="E18084" t="s">
        <v>160</v>
      </c>
      <c r="F18084" t="s">
        <v>4</v>
      </c>
      <c r="G18084" t="str">
        <f>""</f>
        <v/>
      </c>
    </row>
    <row r="18085" spans="1:7" x14ac:dyDescent="0.25">
      <c r="A18085" t="s">
        <v>8</v>
      </c>
      <c r="B18085" s="1" t="str">
        <f>"000276735 - RICHS CASA DI BERTACCHI-SODEXO"</f>
        <v>000276735 - RICHS CASA DI BERTACCHI-SODEXO</v>
      </c>
      <c r="C18085" t="s">
        <v>121</v>
      </c>
      <c r="D18085" s="1" t="str">
        <f t="shared" si="487"/>
        <v>PRG-1045783</v>
      </c>
      <c r="E18085" t="s">
        <v>160</v>
      </c>
      <c r="F18085" t="s">
        <v>4</v>
      </c>
      <c r="G18085" t="str">
        <f>""</f>
        <v/>
      </c>
    </row>
    <row r="18086" spans="1:7" x14ac:dyDescent="0.25">
      <c r="A18086" t="s">
        <v>8</v>
      </c>
      <c r="B18086" s="1" t="str">
        <f>"000283343 - RICHS CASA DI BERTACCHI-SODEXO"</f>
        <v>000283343 - RICHS CASA DI BERTACCHI-SODEXO</v>
      </c>
      <c r="C18086" t="s">
        <v>121</v>
      </c>
      <c r="D18086" s="1" t="str">
        <f t="shared" si="487"/>
        <v>PRG-1045783</v>
      </c>
      <c r="E18086" t="s">
        <v>160</v>
      </c>
      <c r="F18086" t="s">
        <v>4</v>
      </c>
      <c r="G18086" t="str">
        <f>""</f>
        <v/>
      </c>
    </row>
    <row r="18087" spans="1:7" x14ac:dyDescent="0.25">
      <c r="A18087" t="s">
        <v>8</v>
      </c>
      <c r="B18087" s="1" t="str">
        <f>"000283592 - RICHS CASA DI BERTACCHI-SODEXO"</f>
        <v>000283592 - RICHS CASA DI BERTACCHI-SODEXO</v>
      </c>
      <c r="C18087" t="s">
        <v>121</v>
      </c>
      <c r="D18087" s="1" t="str">
        <f t="shared" si="487"/>
        <v>PRG-1045783</v>
      </c>
      <c r="E18087" t="s">
        <v>160</v>
      </c>
      <c r="F18087" t="s">
        <v>4</v>
      </c>
      <c r="G18087" t="str">
        <f>""</f>
        <v/>
      </c>
    </row>
    <row r="18088" spans="1:7" x14ac:dyDescent="0.25">
      <c r="A18088" t="s">
        <v>8</v>
      </c>
      <c r="B18088" s="1" t="str">
        <f>"000293140 - RICHS CASA DI BERTACCHI-SODEXO"</f>
        <v>000293140 - RICHS CASA DI BERTACCHI-SODEXO</v>
      </c>
      <c r="C18088" t="s">
        <v>121</v>
      </c>
      <c r="D18088" s="1" t="str">
        <f t="shared" si="487"/>
        <v>PRG-1045783</v>
      </c>
      <c r="E18088" t="s">
        <v>160</v>
      </c>
      <c r="F18088" t="s">
        <v>4</v>
      </c>
      <c r="G18088" t="str">
        <f>""</f>
        <v/>
      </c>
    </row>
    <row r="18089" spans="1:7" x14ac:dyDescent="0.25">
      <c r="A18089" t="s">
        <v>8</v>
      </c>
      <c r="B18089" s="1" t="str">
        <f>"000293238 - RICHS CASA DI BERTACCHI-SODEXO"</f>
        <v>000293238 - RICHS CASA DI BERTACCHI-SODEXO</v>
      </c>
      <c r="C18089" t="s">
        <v>121</v>
      </c>
      <c r="D18089" s="1" t="str">
        <f t="shared" si="487"/>
        <v>PRG-1045783</v>
      </c>
      <c r="E18089" t="s">
        <v>160</v>
      </c>
      <c r="F18089" t="s">
        <v>4</v>
      </c>
      <c r="G18089" t="str">
        <f>""</f>
        <v/>
      </c>
    </row>
    <row r="18090" spans="1:7" x14ac:dyDescent="0.25">
      <c r="A18090" t="s">
        <v>8</v>
      </c>
      <c r="B18090" s="1" t="str">
        <f>"000297842 - RICHS CASA DI BERTACCHI-SODEXO"</f>
        <v>000297842 - RICHS CASA DI BERTACCHI-SODEXO</v>
      </c>
      <c r="C18090" t="s">
        <v>121</v>
      </c>
      <c r="D18090" s="1" t="str">
        <f t="shared" si="487"/>
        <v>PRG-1045783</v>
      </c>
      <c r="E18090" t="s">
        <v>160</v>
      </c>
      <c r="F18090" t="s">
        <v>4</v>
      </c>
      <c r="G18090" t="str">
        <f>""</f>
        <v/>
      </c>
    </row>
    <row r="18091" spans="1:7" x14ac:dyDescent="0.25">
      <c r="A18091" t="s">
        <v>8</v>
      </c>
      <c r="B18091" s="1" t="str">
        <f>"000298902 - RICHS CASA DI BERTACCHI-SODEXO"</f>
        <v>000298902 - RICHS CASA DI BERTACCHI-SODEXO</v>
      </c>
      <c r="C18091" t="s">
        <v>121</v>
      </c>
      <c r="D18091" s="1" t="str">
        <f t="shared" si="487"/>
        <v>PRG-1045783</v>
      </c>
      <c r="E18091" t="s">
        <v>160</v>
      </c>
      <c r="F18091" t="s">
        <v>4</v>
      </c>
      <c r="G18091" t="str">
        <f>""</f>
        <v/>
      </c>
    </row>
    <row r="18092" spans="1:7" x14ac:dyDescent="0.25">
      <c r="A18092" t="s">
        <v>8</v>
      </c>
      <c r="B18092" s="1" t="str">
        <f>"000304183 - RICHS CASA DI BERTACCHI-SODEXO"</f>
        <v>000304183 - RICHS CASA DI BERTACCHI-SODEXO</v>
      </c>
      <c r="C18092" t="s">
        <v>121</v>
      </c>
      <c r="D18092" s="1" t="str">
        <f t="shared" si="487"/>
        <v>PRG-1045783</v>
      </c>
      <c r="E18092" t="s">
        <v>160</v>
      </c>
      <c r="F18092" t="s">
        <v>4</v>
      </c>
      <c r="G18092" t="str">
        <f>""</f>
        <v/>
      </c>
    </row>
    <row r="18093" spans="1:7" x14ac:dyDescent="0.25">
      <c r="A18093" t="s">
        <v>8</v>
      </c>
      <c r="B18093" s="1" t="str">
        <f>"000304608 - RICHS CASA DI BERTACCHI-SODEXO"</f>
        <v>000304608 - RICHS CASA DI BERTACCHI-SODEXO</v>
      </c>
      <c r="C18093" t="s">
        <v>121</v>
      </c>
      <c r="D18093" s="1" t="str">
        <f t="shared" si="487"/>
        <v>PRG-1045783</v>
      </c>
      <c r="E18093" t="s">
        <v>160</v>
      </c>
      <c r="F18093" t="s">
        <v>4</v>
      </c>
      <c r="G18093" t="str">
        <f>""</f>
        <v/>
      </c>
    </row>
    <row r="18094" spans="1:7" x14ac:dyDescent="0.25">
      <c r="A18094" t="s">
        <v>8</v>
      </c>
      <c r="B18094" s="1" t="str">
        <f>"000305170 - RICHS CASA DI BERTACCHI-SODEXO"</f>
        <v>000305170 - RICHS CASA DI BERTACCHI-SODEXO</v>
      </c>
      <c r="C18094" t="s">
        <v>121</v>
      </c>
      <c r="D18094" s="1" t="str">
        <f t="shared" si="487"/>
        <v>PRG-1045783</v>
      </c>
      <c r="E18094" t="s">
        <v>160</v>
      </c>
      <c r="F18094" t="s">
        <v>4</v>
      </c>
      <c r="G18094" t="str">
        <f>""</f>
        <v/>
      </c>
    </row>
    <row r="18095" spans="1:7" x14ac:dyDescent="0.25">
      <c r="A18095" t="s">
        <v>8</v>
      </c>
      <c r="B18095" s="1" t="str">
        <f>"000308274 - RICHS CASA DI BERTACCHI-SODEXO"</f>
        <v>000308274 - RICHS CASA DI BERTACCHI-SODEXO</v>
      </c>
      <c r="C18095" t="s">
        <v>121</v>
      </c>
      <c r="D18095" s="1" t="str">
        <f t="shared" si="487"/>
        <v>PRG-1045783</v>
      </c>
      <c r="E18095" t="s">
        <v>160</v>
      </c>
      <c r="F18095" t="s">
        <v>4</v>
      </c>
      <c r="G18095" t="str">
        <f>""</f>
        <v/>
      </c>
    </row>
    <row r="18096" spans="1:7" x14ac:dyDescent="0.25">
      <c r="A18096" t="s">
        <v>8</v>
      </c>
      <c r="B18096" s="1" t="str">
        <f>"000308506 - RICHS CASA DI BERTACCHI-SODEXO"</f>
        <v>000308506 - RICHS CASA DI BERTACCHI-SODEXO</v>
      </c>
      <c r="C18096" t="s">
        <v>121</v>
      </c>
      <c r="D18096" s="1" t="str">
        <f t="shared" si="487"/>
        <v>PRG-1045783</v>
      </c>
      <c r="E18096" t="s">
        <v>160</v>
      </c>
      <c r="F18096" t="s">
        <v>4</v>
      </c>
      <c r="G18096" t="str">
        <f>""</f>
        <v/>
      </c>
    </row>
    <row r="18097" spans="1:7" x14ac:dyDescent="0.25">
      <c r="A18097" t="s">
        <v>8</v>
      </c>
      <c r="B18097" s="1" t="str">
        <f>"000310228 - RICHS CASA DI BERTACCHI-SODEXO"</f>
        <v>000310228 - RICHS CASA DI BERTACCHI-SODEXO</v>
      </c>
      <c r="C18097" t="s">
        <v>121</v>
      </c>
      <c r="D18097" s="1" t="str">
        <f t="shared" si="487"/>
        <v>PRG-1045783</v>
      </c>
      <c r="E18097" t="s">
        <v>160</v>
      </c>
      <c r="F18097" t="s">
        <v>4</v>
      </c>
      <c r="G18097" t="str">
        <f>""</f>
        <v/>
      </c>
    </row>
    <row r="18098" spans="1:7" x14ac:dyDescent="0.25">
      <c r="A18098" t="s">
        <v>8</v>
      </c>
      <c r="B18098" s="1" t="str">
        <f>"000332491 - RICHS CASA DI BERTACCHI-SODEXO"</f>
        <v>000332491 - RICHS CASA DI BERTACCHI-SODEXO</v>
      </c>
      <c r="C18098" t="s">
        <v>121</v>
      </c>
      <c r="D18098" s="1" t="str">
        <f t="shared" si="487"/>
        <v>PRG-1045783</v>
      </c>
      <c r="E18098" t="s">
        <v>160</v>
      </c>
      <c r="F18098" t="s">
        <v>4</v>
      </c>
      <c r="G18098" t="str">
        <f>""</f>
        <v/>
      </c>
    </row>
    <row r="18099" spans="1:7" x14ac:dyDescent="0.25">
      <c r="A18099" t="s">
        <v>8</v>
      </c>
      <c r="B18099" s="1" t="str">
        <f>"000352099 - RICHS CASA DI BERTACCHI-SODEXO"</f>
        <v>000352099 - RICHS CASA DI BERTACCHI-SODEXO</v>
      </c>
      <c r="C18099" t="s">
        <v>121</v>
      </c>
      <c r="D18099" s="1" t="str">
        <f t="shared" si="487"/>
        <v>PRG-1045783</v>
      </c>
      <c r="E18099" t="s">
        <v>160</v>
      </c>
      <c r="F18099" t="s">
        <v>4</v>
      </c>
      <c r="G18099" t="str">
        <f>""</f>
        <v/>
      </c>
    </row>
    <row r="18100" spans="1:7" x14ac:dyDescent="0.25">
      <c r="A18100" t="s">
        <v>8</v>
      </c>
      <c r="B18100" s="1" t="str">
        <f>"000369013 - RICHS CASA DI BERTACCHI-SODEXO"</f>
        <v>000369013 - RICHS CASA DI BERTACCHI-SODEXO</v>
      </c>
      <c r="C18100" t="s">
        <v>121</v>
      </c>
      <c r="D18100" s="1" t="str">
        <f t="shared" si="487"/>
        <v>PRG-1045783</v>
      </c>
      <c r="E18100" t="s">
        <v>160</v>
      </c>
      <c r="F18100" t="s">
        <v>4</v>
      </c>
      <c r="G18100" t="str">
        <f>""</f>
        <v/>
      </c>
    </row>
    <row r="18101" spans="1:7" x14ac:dyDescent="0.25">
      <c r="A18101" t="s">
        <v>8</v>
      </c>
      <c r="B18101" s="1" t="str">
        <f>"000370449 - RICHS CASA DI BERTACCHI-SODEXO"</f>
        <v>000370449 - RICHS CASA DI BERTACCHI-SODEXO</v>
      </c>
      <c r="C18101" t="s">
        <v>121</v>
      </c>
      <c r="D18101" s="1" t="str">
        <f t="shared" si="487"/>
        <v>PRG-1045783</v>
      </c>
      <c r="E18101" t="s">
        <v>160</v>
      </c>
      <c r="F18101" t="s">
        <v>4</v>
      </c>
      <c r="G18101" t="str">
        <f>""</f>
        <v/>
      </c>
    </row>
    <row r="18102" spans="1:7" x14ac:dyDescent="0.25">
      <c r="A18102" t="s">
        <v>8</v>
      </c>
      <c r="B18102" s="1" t="str">
        <f>"000370674 - RICHS CASA DI BERTACCHI-SODEXO"</f>
        <v>000370674 - RICHS CASA DI BERTACCHI-SODEXO</v>
      </c>
      <c r="C18102" t="s">
        <v>121</v>
      </c>
      <c r="D18102" s="1" t="str">
        <f t="shared" si="487"/>
        <v>PRG-1045783</v>
      </c>
      <c r="E18102" t="s">
        <v>160</v>
      </c>
      <c r="F18102" t="s">
        <v>4</v>
      </c>
      <c r="G18102" t="str">
        <f>""</f>
        <v/>
      </c>
    </row>
    <row r="18103" spans="1:7" x14ac:dyDescent="0.25">
      <c r="A18103" t="s">
        <v>8</v>
      </c>
      <c r="B18103" s="1" t="str">
        <f>"000374860 - RICHS CASA DI BERTACCHI-SODEXO"</f>
        <v>000374860 - RICHS CASA DI BERTACCHI-SODEXO</v>
      </c>
      <c r="C18103" t="s">
        <v>121</v>
      </c>
      <c r="D18103" s="1" t="str">
        <f t="shared" si="487"/>
        <v>PRG-1045783</v>
      </c>
      <c r="E18103" t="s">
        <v>160</v>
      </c>
      <c r="F18103" t="s">
        <v>4</v>
      </c>
      <c r="G18103" t="str">
        <f>""</f>
        <v/>
      </c>
    </row>
    <row r="18104" spans="1:7" x14ac:dyDescent="0.25">
      <c r="A18104" t="s">
        <v>8</v>
      </c>
      <c r="B18104" s="1" t="str">
        <f>"000378662 - RICHS CASA DI BERTACCHI-SODEXO"</f>
        <v>000378662 - RICHS CASA DI BERTACCHI-SODEXO</v>
      </c>
      <c r="C18104" t="s">
        <v>121</v>
      </c>
      <c r="D18104" s="1" t="str">
        <f t="shared" si="487"/>
        <v>PRG-1045783</v>
      </c>
      <c r="E18104" t="s">
        <v>160</v>
      </c>
      <c r="F18104" t="s">
        <v>4</v>
      </c>
      <c r="G18104" t="str">
        <f>""</f>
        <v/>
      </c>
    </row>
    <row r="18105" spans="1:7" x14ac:dyDescent="0.25">
      <c r="A18105" t="s">
        <v>8</v>
      </c>
      <c r="B18105" s="1" t="str">
        <f>"000386064 - RICHS CASA DI BERTACCHI-SODEXO"</f>
        <v>000386064 - RICHS CASA DI BERTACCHI-SODEXO</v>
      </c>
      <c r="C18105" t="s">
        <v>121</v>
      </c>
      <c r="D18105" s="1" t="str">
        <f t="shared" si="487"/>
        <v>PRG-1045783</v>
      </c>
      <c r="E18105" t="s">
        <v>160</v>
      </c>
      <c r="F18105" t="s">
        <v>4</v>
      </c>
      <c r="G18105" t="str">
        <f>""</f>
        <v/>
      </c>
    </row>
    <row r="18106" spans="1:7" x14ac:dyDescent="0.25">
      <c r="A18106" t="s">
        <v>8</v>
      </c>
      <c r="B18106" s="1" t="str">
        <f>"000387656 - RICHS CASA DI BERTACCHI-SODEXO"</f>
        <v>000387656 - RICHS CASA DI BERTACCHI-SODEXO</v>
      </c>
      <c r="C18106" t="s">
        <v>121</v>
      </c>
      <c r="D18106" s="1" t="str">
        <f t="shared" si="487"/>
        <v>PRG-1045783</v>
      </c>
      <c r="E18106" t="s">
        <v>160</v>
      </c>
      <c r="F18106" t="s">
        <v>4</v>
      </c>
      <c r="G18106" t="str">
        <f>""</f>
        <v/>
      </c>
    </row>
    <row r="18107" spans="1:7" x14ac:dyDescent="0.25">
      <c r="A18107" t="s">
        <v>8</v>
      </c>
      <c r="B18107" s="1" t="str">
        <f>"000394589 - RICHS CASA DI BERTACCHI-SODEXO"</f>
        <v>000394589 - RICHS CASA DI BERTACCHI-SODEXO</v>
      </c>
      <c r="C18107" t="s">
        <v>121</v>
      </c>
      <c r="D18107" s="1" t="str">
        <f t="shared" si="487"/>
        <v>PRG-1045783</v>
      </c>
      <c r="E18107" t="s">
        <v>160</v>
      </c>
      <c r="F18107" t="s">
        <v>4</v>
      </c>
      <c r="G18107" t="str">
        <f>""</f>
        <v/>
      </c>
    </row>
    <row r="18108" spans="1:7" x14ac:dyDescent="0.25">
      <c r="A18108" t="s">
        <v>8</v>
      </c>
      <c r="B18108" s="1" t="str">
        <f>"000395691 - RICHS CASA DI BERTACCHI-SODEXO"</f>
        <v>000395691 - RICHS CASA DI BERTACCHI-SODEXO</v>
      </c>
      <c r="C18108" t="s">
        <v>121</v>
      </c>
      <c r="D18108" s="1" t="str">
        <f t="shared" si="487"/>
        <v>PRG-1045783</v>
      </c>
      <c r="E18108" t="s">
        <v>160</v>
      </c>
      <c r="F18108" t="s">
        <v>4</v>
      </c>
      <c r="G18108" t="str">
        <f>""</f>
        <v/>
      </c>
    </row>
    <row r="18109" spans="1:7" x14ac:dyDescent="0.25">
      <c r="A18109" t="s">
        <v>8</v>
      </c>
      <c r="B18109" s="1" t="str">
        <f>"000405318 - RICHS CASA DI BERTACCHI-SODEXO"</f>
        <v>000405318 - RICHS CASA DI BERTACCHI-SODEXO</v>
      </c>
      <c r="C18109" t="s">
        <v>121</v>
      </c>
      <c r="D18109" s="1" t="str">
        <f t="shared" si="487"/>
        <v>PRG-1045783</v>
      </c>
      <c r="E18109" t="s">
        <v>160</v>
      </c>
      <c r="F18109" t="s">
        <v>4</v>
      </c>
      <c r="G18109" t="str">
        <f>""</f>
        <v/>
      </c>
    </row>
    <row r="18110" spans="1:7" x14ac:dyDescent="0.25">
      <c r="A18110" t="s">
        <v>8</v>
      </c>
      <c r="B18110" s="1" t="str">
        <f>"000410256 - RICHS CASA DI BERTACCHI-SODEXO"</f>
        <v>000410256 - RICHS CASA DI BERTACCHI-SODEXO</v>
      </c>
      <c r="C18110" t="s">
        <v>121</v>
      </c>
      <c r="D18110" s="1" t="str">
        <f t="shared" si="487"/>
        <v>PRG-1045783</v>
      </c>
      <c r="E18110" t="s">
        <v>160</v>
      </c>
      <c r="F18110" t="s">
        <v>4</v>
      </c>
      <c r="G18110" t="str">
        <f>""</f>
        <v/>
      </c>
    </row>
    <row r="18111" spans="1:7" x14ac:dyDescent="0.25">
      <c r="A18111" t="s">
        <v>8</v>
      </c>
      <c r="B18111" s="1" t="str">
        <f>"000419098 - RICHS CASA DI BERTACCHI-SODEXO"</f>
        <v>000419098 - RICHS CASA DI BERTACCHI-SODEXO</v>
      </c>
      <c r="C18111" t="s">
        <v>121</v>
      </c>
      <c r="D18111" s="1" t="str">
        <f t="shared" si="487"/>
        <v>PRG-1045783</v>
      </c>
      <c r="E18111" t="s">
        <v>160</v>
      </c>
      <c r="F18111" t="s">
        <v>4</v>
      </c>
      <c r="G18111" t="str">
        <f>""</f>
        <v/>
      </c>
    </row>
    <row r="18112" spans="1:7" x14ac:dyDescent="0.25">
      <c r="A18112" t="s">
        <v>8</v>
      </c>
      <c r="B18112" s="1" t="str">
        <f>"000283330 - RICH FOODS-SKY ZONE"</f>
        <v>000283330 - RICH FOODS-SKY ZONE</v>
      </c>
      <c r="C18112" t="s">
        <v>630</v>
      </c>
      <c r="D18112" s="1" t="str">
        <f>"PRG-1045788"</f>
        <v>PRG-1045788</v>
      </c>
      <c r="E18112" t="s">
        <v>631</v>
      </c>
      <c r="F18112" t="s">
        <v>4</v>
      </c>
      <c r="G18112" t="str">
        <f>""</f>
        <v/>
      </c>
    </row>
    <row r="18113" spans="1:7" x14ac:dyDescent="0.25">
      <c r="A18113" t="s">
        <v>8</v>
      </c>
      <c r="B18113" s="1" t="str">
        <f>"000283355 - RICH FOODS-SKY ZONE"</f>
        <v>000283355 - RICH FOODS-SKY ZONE</v>
      </c>
      <c r="C18113" t="s">
        <v>630</v>
      </c>
      <c r="D18113" s="1" t="str">
        <f>"PRG-1045788"</f>
        <v>PRG-1045788</v>
      </c>
      <c r="E18113" t="s">
        <v>631</v>
      </c>
      <c r="F18113" t="s">
        <v>4</v>
      </c>
      <c r="G18113" t="str">
        <f>""</f>
        <v/>
      </c>
    </row>
    <row r="18114" spans="1:7" x14ac:dyDescent="0.25">
      <c r="A18114" t="s">
        <v>8</v>
      </c>
      <c r="B18114" s="1" t="str">
        <f>"000305619 - RICH FOODS-SKY ZONE"</f>
        <v>000305619 - RICH FOODS-SKY ZONE</v>
      </c>
      <c r="C18114" t="s">
        <v>630</v>
      </c>
      <c r="D18114" s="1" t="str">
        <f>"PRG-1045788"</f>
        <v>PRG-1045788</v>
      </c>
      <c r="E18114" t="s">
        <v>631</v>
      </c>
      <c r="F18114" t="s">
        <v>4</v>
      </c>
      <c r="G18114" t="str">
        <f>""</f>
        <v/>
      </c>
    </row>
    <row r="18115" spans="1:7" x14ac:dyDescent="0.25">
      <c r="A18115" t="s">
        <v>8</v>
      </c>
      <c r="B18115" s="1" t="str">
        <f>"000392554 - RICH FOODS-SKY ZONE"</f>
        <v>000392554 - RICH FOODS-SKY ZONE</v>
      </c>
      <c r="C18115" t="s">
        <v>630</v>
      </c>
      <c r="D18115" s="1" t="str">
        <f>"PRG-1045788"</f>
        <v>PRG-1045788</v>
      </c>
      <c r="E18115" t="s">
        <v>631</v>
      </c>
      <c r="F18115" t="s">
        <v>4</v>
      </c>
      <c r="G18115" t="str">
        <f>""</f>
        <v/>
      </c>
    </row>
    <row r="18116" spans="1:7" x14ac:dyDescent="0.25">
      <c r="A18116" t="s">
        <v>8</v>
      </c>
      <c r="B18116" s="1" t="str">
        <f>"000185464 - RICH FOODS-SKY ZONE"</f>
        <v>000185464 - RICH FOODS-SKY ZONE</v>
      </c>
      <c r="C18116" t="s">
        <v>630</v>
      </c>
      <c r="D18116" s="1" t="str">
        <f t="shared" ref="D18116:D18151" si="488">"PRG-1045792"</f>
        <v>PRG-1045792</v>
      </c>
      <c r="E18116" t="s">
        <v>631</v>
      </c>
      <c r="F18116" t="s">
        <v>4</v>
      </c>
      <c r="G18116" t="str">
        <f>""</f>
        <v/>
      </c>
    </row>
    <row r="18117" spans="1:7" x14ac:dyDescent="0.25">
      <c r="A18117" t="s">
        <v>8</v>
      </c>
      <c r="B18117" s="1" t="str">
        <f>"000189744 - RICH FOODS-SKY ZONE"</f>
        <v>000189744 - RICH FOODS-SKY ZONE</v>
      </c>
      <c r="C18117" t="s">
        <v>630</v>
      </c>
      <c r="D18117" s="1" t="str">
        <f t="shared" si="488"/>
        <v>PRG-1045792</v>
      </c>
      <c r="E18117" t="s">
        <v>631</v>
      </c>
      <c r="F18117" t="s">
        <v>4</v>
      </c>
      <c r="G18117" t="str">
        <f>""</f>
        <v/>
      </c>
    </row>
    <row r="18118" spans="1:7" x14ac:dyDescent="0.25">
      <c r="A18118" t="s">
        <v>8</v>
      </c>
      <c r="B18118" s="1" t="str">
        <f>"000191315 - RICH FOODS-SKY ZONE"</f>
        <v>000191315 - RICH FOODS-SKY ZONE</v>
      </c>
      <c r="C18118" t="s">
        <v>630</v>
      </c>
      <c r="D18118" s="1" t="str">
        <f t="shared" si="488"/>
        <v>PRG-1045792</v>
      </c>
      <c r="E18118" t="s">
        <v>631</v>
      </c>
      <c r="F18118" t="s">
        <v>4</v>
      </c>
      <c r="G18118" t="str">
        <f>""</f>
        <v/>
      </c>
    </row>
    <row r="18119" spans="1:7" x14ac:dyDescent="0.25">
      <c r="A18119" t="s">
        <v>8</v>
      </c>
      <c r="B18119" s="1" t="str">
        <f>"000263135 - RICH FOODS-SKY ZONE"</f>
        <v>000263135 - RICH FOODS-SKY ZONE</v>
      </c>
      <c r="C18119" t="s">
        <v>630</v>
      </c>
      <c r="D18119" s="1" t="str">
        <f t="shared" si="488"/>
        <v>PRG-1045792</v>
      </c>
      <c r="E18119" t="s">
        <v>631</v>
      </c>
      <c r="F18119" t="s">
        <v>4</v>
      </c>
      <c r="G18119" t="str">
        <f>""</f>
        <v/>
      </c>
    </row>
    <row r="18120" spans="1:7" x14ac:dyDescent="0.25">
      <c r="A18120" t="s">
        <v>8</v>
      </c>
      <c r="B18120" s="1" t="str">
        <f>"000273888 - RICH FOODS-SKY ZONE"</f>
        <v>000273888 - RICH FOODS-SKY ZONE</v>
      </c>
      <c r="C18120" t="s">
        <v>630</v>
      </c>
      <c r="D18120" s="1" t="str">
        <f t="shared" si="488"/>
        <v>PRG-1045792</v>
      </c>
      <c r="E18120" t="s">
        <v>631</v>
      </c>
      <c r="F18120" t="s">
        <v>4</v>
      </c>
      <c r="G18120" t="str">
        <f>""</f>
        <v/>
      </c>
    </row>
    <row r="18121" spans="1:7" x14ac:dyDescent="0.25">
      <c r="A18121" t="s">
        <v>8</v>
      </c>
      <c r="B18121" s="1" t="str">
        <f>"000273943 - RICH FOODS-SKY ZONE"</f>
        <v>000273943 - RICH FOODS-SKY ZONE</v>
      </c>
      <c r="C18121" t="s">
        <v>630</v>
      </c>
      <c r="D18121" s="1" t="str">
        <f t="shared" si="488"/>
        <v>PRG-1045792</v>
      </c>
      <c r="E18121" t="s">
        <v>631</v>
      </c>
      <c r="F18121" t="s">
        <v>4</v>
      </c>
      <c r="G18121" t="str">
        <f>""</f>
        <v/>
      </c>
    </row>
    <row r="18122" spans="1:7" x14ac:dyDescent="0.25">
      <c r="A18122" t="s">
        <v>8</v>
      </c>
      <c r="B18122" s="1" t="str">
        <f>"000278377 - RICH FOODS-SKY ZONE"</f>
        <v>000278377 - RICH FOODS-SKY ZONE</v>
      </c>
      <c r="C18122" t="s">
        <v>630</v>
      </c>
      <c r="D18122" s="1" t="str">
        <f t="shared" si="488"/>
        <v>PRG-1045792</v>
      </c>
      <c r="E18122" t="s">
        <v>631</v>
      </c>
      <c r="F18122" t="s">
        <v>4</v>
      </c>
      <c r="G18122" t="str">
        <f>""</f>
        <v/>
      </c>
    </row>
    <row r="18123" spans="1:7" x14ac:dyDescent="0.25">
      <c r="A18123" t="s">
        <v>8</v>
      </c>
      <c r="B18123" s="1" t="str">
        <f>"000278640 - RICH FOODS-SKY ZONE"</f>
        <v>000278640 - RICH FOODS-SKY ZONE</v>
      </c>
      <c r="C18123" t="s">
        <v>630</v>
      </c>
      <c r="D18123" s="1" t="str">
        <f t="shared" si="488"/>
        <v>PRG-1045792</v>
      </c>
      <c r="E18123" t="s">
        <v>631</v>
      </c>
      <c r="F18123" t="s">
        <v>4</v>
      </c>
      <c r="G18123" t="str">
        <f>""</f>
        <v/>
      </c>
    </row>
    <row r="18124" spans="1:7" x14ac:dyDescent="0.25">
      <c r="A18124" t="s">
        <v>8</v>
      </c>
      <c r="B18124" s="1" t="str">
        <f>"000278832 - RICH FOODS-SKY ZONE"</f>
        <v>000278832 - RICH FOODS-SKY ZONE</v>
      </c>
      <c r="C18124" t="s">
        <v>630</v>
      </c>
      <c r="D18124" s="1" t="str">
        <f t="shared" si="488"/>
        <v>PRG-1045792</v>
      </c>
      <c r="E18124" t="s">
        <v>631</v>
      </c>
      <c r="F18124" t="s">
        <v>4</v>
      </c>
      <c r="G18124" t="str">
        <f>""</f>
        <v/>
      </c>
    </row>
    <row r="18125" spans="1:7" x14ac:dyDescent="0.25">
      <c r="A18125" t="s">
        <v>8</v>
      </c>
      <c r="B18125" s="1" t="str">
        <f>"000279894 - RICH FOODS-SKY ZONE"</f>
        <v>000279894 - RICH FOODS-SKY ZONE</v>
      </c>
      <c r="C18125" t="s">
        <v>630</v>
      </c>
      <c r="D18125" s="1" t="str">
        <f t="shared" si="488"/>
        <v>PRG-1045792</v>
      </c>
      <c r="E18125" t="s">
        <v>631</v>
      </c>
      <c r="F18125" t="s">
        <v>4</v>
      </c>
      <c r="G18125" t="str">
        <f>""</f>
        <v/>
      </c>
    </row>
    <row r="18126" spans="1:7" x14ac:dyDescent="0.25">
      <c r="A18126" t="s">
        <v>8</v>
      </c>
      <c r="B18126" s="1" t="str">
        <f>"000280642 - RICH FOODS-SKY ZONE"</f>
        <v>000280642 - RICH FOODS-SKY ZONE</v>
      </c>
      <c r="C18126" t="s">
        <v>630</v>
      </c>
      <c r="D18126" s="1" t="str">
        <f t="shared" si="488"/>
        <v>PRG-1045792</v>
      </c>
      <c r="E18126" t="s">
        <v>631</v>
      </c>
      <c r="F18126" t="s">
        <v>4</v>
      </c>
      <c r="G18126" t="str">
        <f>""</f>
        <v/>
      </c>
    </row>
    <row r="18127" spans="1:7" x14ac:dyDescent="0.25">
      <c r="A18127" t="s">
        <v>8</v>
      </c>
      <c r="B18127" s="1" t="str">
        <f>"000284991 - RICH FOODS-SKY ZONE"</f>
        <v>000284991 - RICH FOODS-SKY ZONE</v>
      </c>
      <c r="C18127" t="s">
        <v>630</v>
      </c>
      <c r="D18127" s="1" t="str">
        <f t="shared" si="488"/>
        <v>PRG-1045792</v>
      </c>
      <c r="E18127" t="s">
        <v>631</v>
      </c>
      <c r="F18127" t="s">
        <v>4</v>
      </c>
      <c r="G18127" t="str">
        <f>""</f>
        <v/>
      </c>
    </row>
    <row r="18128" spans="1:7" x14ac:dyDescent="0.25">
      <c r="A18128" t="s">
        <v>8</v>
      </c>
      <c r="B18128" s="1" t="str">
        <f>"000285102 - RICH FOODS-SKY ZONE"</f>
        <v>000285102 - RICH FOODS-SKY ZONE</v>
      </c>
      <c r="C18128" t="s">
        <v>630</v>
      </c>
      <c r="D18128" s="1" t="str">
        <f t="shared" si="488"/>
        <v>PRG-1045792</v>
      </c>
      <c r="E18128" t="s">
        <v>631</v>
      </c>
      <c r="F18128" t="s">
        <v>4</v>
      </c>
      <c r="G18128" t="str">
        <f>""</f>
        <v/>
      </c>
    </row>
    <row r="18129" spans="1:7" x14ac:dyDescent="0.25">
      <c r="A18129" t="s">
        <v>8</v>
      </c>
      <c r="B18129" s="1" t="str">
        <f>"000286781 - RICH FOODS-SKY ZONE"</f>
        <v>000286781 - RICH FOODS-SKY ZONE</v>
      </c>
      <c r="C18129" t="s">
        <v>630</v>
      </c>
      <c r="D18129" s="1" t="str">
        <f t="shared" si="488"/>
        <v>PRG-1045792</v>
      </c>
      <c r="E18129" t="s">
        <v>631</v>
      </c>
      <c r="F18129" t="s">
        <v>4</v>
      </c>
      <c r="G18129" t="str">
        <f>""</f>
        <v/>
      </c>
    </row>
    <row r="18130" spans="1:7" x14ac:dyDescent="0.25">
      <c r="A18130" t="s">
        <v>8</v>
      </c>
      <c r="B18130" s="1" t="str">
        <f>"000287657 - RICH FOODS-SKY ZONE"</f>
        <v>000287657 - RICH FOODS-SKY ZONE</v>
      </c>
      <c r="C18130" t="s">
        <v>630</v>
      </c>
      <c r="D18130" s="1" t="str">
        <f t="shared" si="488"/>
        <v>PRG-1045792</v>
      </c>
      <c r="E18130" t="s">
        <v>631</v>
      </c>
      <c r="F18130" t="s">
        <v>4</v>
      </c>
      <c r="G18130" t="str">
        <f>""</f>
        <v/>
      </c>
    </row>
    <row r="18131" spans="1:7" x14ac:dyDescent="0.25">
      <c r="A18131" t="s">
        <v>8</v>
      </c>
      <c r="B18131" s="1" t="str">
        <f>"000291435 - RICH FOODS-SKY ZONE"</f>
        <v>000291435 - RICH FOODS-SKY ZONE</v>
      </c>
      <c r="C18131" t="s">
        <v>630</v>
      </c>
      <c r="D18131" s="1" t="str">
        <f t="shared" si="488"/>
        <v>PRG-1045792</v>
      </c>
      <c r="E18131" t="s">
        <v>631</v>
      </c>
      <c r="F18131" t="s">
        <v>4</v>
      </c>
      <c r="G18131" t="str">
        <f>""</f>
        <v/>
      </c>
    </row>
    <row r="18132" spans="1:7" x14ac:dyDescent="0.25">
      <c r="A18132" t="s">
        <v>8</v>
      </c>
      <c r="B18132" s="1" t="str">
        <f>"000293472 - RICH FOODS-SKY ZONE"</f>
        <v>000293472 - RICH FOODS-SKY ZONE</v>
      </c>
      <c r="C18132" t="s">
        <v>630</v>
      </c>
      <c r="D18132" s="1" t="str">
        <f t="shared" si="488"/>
        <v>PRG-1045792</v>
      </c>
      <c r="E18132" t="s">
        <v>631</v>
      </c>
      <c r="F18132" t="s">
        <v>4</v>
      </c>
      <c r="G18132" t="str">
        <f>""</f>
        <v/>
      </c>
    </row>
    <row r="18133" spans="1:7" x14ac:dyDescent="0.25">
      <c r="A18133" t="s">
        <v>8</v>
      </c>
      <c r="B18133" s="1" t="str">
        <f>"000299444 - RICH-ALVA CITY DINER"</f>
        <v>000299444 - RICH-ALVA CITY DINER</v>
      </c>
      <c r="C18133" t="s">
        <v>2956</v>
      </c>
      <c r="D18133" s="1" t="str">
        <f t="shared" si="488"/>
        <v>PRG-1045792</v>
      </c>
      <c r="E18133" t="s">
        <v>631</v>
      </c>
      <c r="F18133" t="s">
        <v>4</v>
      </c>
      <c r="G18133" t="str">
        <f>""</f>
        <v/>
      </c>
    </row>
    <row r="18134" spans="1:7" x14ac:dyDescent="0.25">
      <c r="A18134" t="s">
        <v>8</v>
      </c>
      <c r="B18134" s="1" t="str">
        <f>"000300892 - RICH FOODS-SKY ZONE"</f>
        <v>000300892 - RICH FOODS-SKY ZONE</v>
      </c>
      <c r="C18134" t="s">
        <v>630</v>
      </c>
      <c r="D18134" s="1" t="str">
        <f t="shared" si="488"/>
        <v>PRG-1045792</v>
      </c>
      <c r="E18134" t="s">
        <v>631</v>
      </c>
      <c r="F18134" t="s">
        <v>4</v>
      </c>
      <c r="G18134" t="str">
        <f>""</f>
        <v/>
      </c>
    </row>
    <row r="18135" spans="1:7" x14ac:dyDescent="0.25">
      <c r="A18135" t="s">
        <v>8</v>
      </c>
      <c r="B18135" s="1" t="str">
        <f>"000304014 - RICH FOODS-SKY ZONE"</f>
        <v>000304014 - RICH FOODS-SKY ZONE</v>
      </c>
      <c r="C18135" t="s">
        <v>630</v>
      </c>
      <c r="D18135" s="1" t="str">
        <f t="shared" si="488"/>
        <v>PRG-1045792</v>
      </c>
      <c r="E18135" t="s">
        <v>631</v>
      </c>
      <c r="F18135" t="s">
        <v>4</v>
      </c>
      <c r="G18135" t="str">
        <f>""</f>
        <v/>
      </c>
    </row>
    <row r="18136" spans="1:7" x14ac:dyDescent="0.25">
      <c r="A18136" t="s">
        <v>8</v>
      </c>
      <c r="B18136" s="1" t="str">
        <f>"000306509 - RICH FOODS-SKY ZONE"</f>
        <v>000306509 - RICH FOODS-SKY ZONE</v>
      </c>
      <c r="C18136" t="s">
        <v>630</v>
      </c>
      <c r="D18136" s="1" t="str">
        <f t="shared" si="488"/>
        <v>PRG-1045792</v>
      </c>
      <c r="E18136" t="s">
        <v>631</v>
      </c>
      <c r="F18136" t="s">
        <v>4</v>
      </c>
      <c r="G18136" t="str">
        <f>""</f>
        <v/>
      </c>
    </row>
    <row r="18137" spans="1:7" x14ac:dyDescent="0.25">
      <c r="A18137" t="s">
        <v>8</v>
      </c>
      <c r="B18137" s="1" t="str">
        <f>"000307200 - RICH FOODS-SKY ZONE"</f>
        <v>000307200 - RICH FOODS-SKY ZONE</v>
      </c>
      <c r="C18137" t="s">
        <v>630</v>
      </c>
      <c r="D18137" s="1" t="str">
        <f t="shared" si="488"/>
        <v>PRG-1045792</v>
      </c>
      <c r="E18137" t="s">
        <v>631</v>
      </c>
      <c r="F18137" t="s">
        <v>4</v>
      </c>
      <c r="G18137" t="str">
        <f>""</f>
        <v/>
      </c>
    </row>
    <row r="18138" spans="1:7" x14ac:dyDescent="0.25">
      <c r="A18138" t="s">
        <v>8</v>
      </c>
      <c r="B18138" s="1" t="str">
        <f>"000311001 - RICH FOODS-SKY ZONE"</f>
        <v>000311001 - RICH FOODS-SKY ZONE</v>
      </c>
      <c r="C18138" t="s">
        <v>630</v>
      </c>
      <c r="D18138" s="1" t="str">
        <f t="shared" si="488"/>
        <v>PRG-1045792</v>
      </c>
      <c r="E18138" t="s">
        <v>631</v>
      </c>
      <c r="F18138" t="s">
        <v>4</v>
      </c>
      <c r="G18138" t="str">
        <f>""</f>
        <v/>
      </c>
    </row>
    <row r="18139" spans="1:7" x14ac:dyDescent="0.25">
      <c r="A18139" t="s">
        <v>8</v>
      </c>
      <c r="B18139" s="1" t="str">
        <f>"000311971 - RICH FOODS-SKY ZONE"</f>
        <v>000311971 - RICH FOODS-SKY ZONE</v>
      </c>
      <c r="C18139" t="s">
        <v>630</v>
      </c>
      <c r="D18139" s="1" t="str">
        <f t="shared" si="488"/>
        <v>PRG-1045792</v>
      </c>
      <c r="E18139" t="s">
        <v>631</v>
      </c>
      <c r="F18139" t="s">
        <v>4</v>
      </c>
      <c r="G18139" t="str">
        <f>""</f>
        <v/>
      </c>
    </row>
    <row r="18140" spans="1:7" x14ac:dyDescent="0.25">
      <c r="A18140" t="s">
        <v>8</v>
      </c>
      <c r="B18140" s="1" t="str">
        <f>"000313160 - RICH FOODS-SKY ZONE"</f>
        <v>000313160 - RICH FOODS-SKY ZONE</v>
      </c>
      <c r="C18140" t="s">
        <v>630</v>
      </c>
      <c r="D18140" s="1" t="str">
        <f t="shared" si="488"/>
        <v>PRG-1045792</v>
      </c>
      <c r="E18140" t="s">
        <v>631</v>
      </c>
      <c r="F18140" t="s">
        <v>4</v>
      </c>
      <c r="G18140" t="str">
        <f>""</f>
        <v/>
      </c>
    </row>
    <row r="18141" spans="1:7" x14ac:dyDescent="0.25">
      <c r="A18141" t="s">
        <v>8</v>
      </c>
      <c r="B18141" s="1" t="str">
        <f>"000313666 - RICH FOODS-SKY ZONE"</f>
        <v>000313666 - RICH FOODS-SKY ZONE</v>
      </c>
      <c r="C18141" t="s">
        <v>630</v>
      </c>
      <c r="D18141" s="1" t="str">
        <f t="shared" si="488"/>
        <v>PRG-1045792</v>
      </c>
      <c r="E18141" t="s">
        <v>631</v>
      </c>
      <c r="F18141" t="s">
        <v>4</v>
      </c>
      <c r="G18141" t="str">
        <f>""</f>
        <v/>
      </c>
    </row>
    <row r="18142" spans="1:7" x14ac:dyDescent="0.25">
      <c r="A18142" t="s">
        <v>8</v>
      </c>
      <c r="B18142" s="1" t="str">
        <f>"000314270 - RICH FOODS-SKY ZONE"</f>
        <v>000314270 - RICH FOODS-SKY ZONE</v>
      </c>
      <c r="C18142" t="s">
        <v>630</v>
      </c>
      <c r="D18142" s="1" t="str">
        <f t="shared" si="488"/>
        <v>PRG-1045792</v>
      </c>
      <c r="E18142" t="s">
        <v>631</v>
      </c>
      <c r="F18142" t="s">
        <v>4</v>
      </c>
      <c r="G18142" t="str">
        <f>""</f>
        <v/>
      </c>
    </row>
    <row r="18143" spans="1:7" x14ac:dyDescent="0.25">
      <c r="A18143" t="s">
        <v>8</v>
      </c>
      <c r="B18143" s="1" t="str">
        <f>"000342084 - RICH FOODS-SKY ZONE"</f>
        <v>000342084 - RICH FOODS-SKY ZONE</v>
      </c>
      <c r="C18143" t="s">
        <v>630</v>
      </c>
      <c r="D18143" s="1" t="str">
        <f t="shared" si="488"/>
        <v>PRG-1045792</v>
      </c>
      <c r="E18143" t="s">
        <v>631</v>
      </c>
      <c r="F18143" t="s">
        <v>4</v>
      </c>
      <c r="G18143" t="str">
        <f>""</f>
        <v/>
      </c>
    </row>
    <row r="18144" spans="1:7" x14ac:dyDescent="0.25">
      <c r="A18144" t="s">
        <v>8</v>
      </c>
      <c r="B18144" s="1" t="str">
        <f>"000346717 - RICH FOODS-SKY ZONE"</f>
        <v>000346717 - RICH FOODS-SKY ZONE</v>
      </c>
      <c r="C18144" t="s">
        <v>630</v>
      </c>
      <c r="D18144" s="1" t="str">
        <f t="shared" si="488"/>
        <v>PRG-1045792</v>
      </c>
      <c r="E18144" t="s">
        <v>631</v>
      </c>
      <c r="F18144" t="s">
        <v>4</v>
      </c>
      <c r="G18144" t="str">
        <f>""</f>
        <v/>
      </c>
    </row>
    <row r="18145" spans="1:7" x14ac:dyDescent="0.25">
      <c r="A18145" t="s">
        <v>8</v>
      </c>
      <c r="B18145" s="1" t="str">
        <f>"000378732 - RICH FOODS-SKY ZONE"</f>
        <v>000378732 - RICH FOODS-SKY ZONE</v>
      </c>
      <c r="C18145" t="s">
        <v>630</v>
      </c>
      <c r="D18145" s="1" t="str">
        <f t="shared" si="488"/>
        <v>PRG-1045792</v>
      </c>
      <c r="E18145" t="s">
        <v>631</v>
      </c>
      <c r="F18145" t="s">
        <v>4</v>
      </c>
      <c r="G18145" t="str">
        <f>""</f>
        <v/>
      </c>
    </row>
    <row r="18146" spans="1:7" x14ac:dyDescent="0.25">
      <c r="A18146" t="s">
        <v>8</v>
      </c>
      <c r="B18146" s="1" t="str">
        <f>"000380785 - RICH FOODS-SKY ZONE"</f>
        <v>000380785 - RICH FOODS-SKY ZONE</v>
      </c>
      <c r="C18146" t="s">
        <v>630</v>
      </c>
      <c r="D18146" s="1" t="str">
        <f t="shared" si="488"/>
        <v>PRG-1045792</v>
      </c>
      <c r="E18146" t="s">
        <v>631</v>
      </c>
      <c r="F18146" t="s">
        <v>4</v>
      </c>
      <c r="G18146" t="str">
        <f>""</f>
        <v/>
      </c>
    </row>
    <row r="18147" spans="1:7" x14ac:dyDescent="0.25">
      <c r="A18147" t="s">
        <v>8</v>
      </c>
      <c r="B18147" s="1" t="str">
        <f>"000390189 - RICH FOODS-SKY ZONE"</f>
        <v>000390189 - RICH FOODS-SKY ZONE</v>
      </c>
      <c r="C18147" t="s">
        <v>630</v>
      </c>
      <c r="D18147" s="1" t="str">
        <f t="shared" si="488"/>
        <v>PRG-1045792</v>
      </c>
      <c r="E18147" t="s">
        <v>631</v>
      </c>
      <c r="F18147" t="s">
        <v>4</v>
      </c>
      <c r="G18147" t="str">
        <f>""</f>
        <v/>
      </c>
    </row>
    <row r="18148" spans="1:7" x14ac:dyDescent="0.25">
      <c r="A18148" t="s">
        <v>8</v>
      </c>
      <c r="B18148" s="1" t="str">
        <f>"000393922 - RICH FOODS-SKY ZONE"</f>
        <v>000393922 - RICH FOODS-SKY ZONE</v>
      </c>
      <c r="C18148" t="s">
        <v>630</v>
      </c>
      <c r="D18148" s="1" t="str">
        <f t="shared" si="488"/>
        <v>PRG-1045792</v>
      </c>
      <c r="E18148" t="s">
        <v>631</v>
      </c>
      <c r="F18148" t="s">
        <v>4</v>
      </c>
      <c r="G18148" t="str">
        <f>""</f>
        <v/>
      </c>
    </row>
    <row r="18149" spans="1:7" x14ac:dyDescent="0.25">
      <c r="A18149" t="s">
        <v>8</v>
      </c>
      <c r="B18149" s="1" t="str">
        <f>"000427305 - RICH FOODS-SKY ZONE"</f>
        <v>000427305 - RICH FOODS-SKY ZONE</v>
      </c>
      <c r="C18149" t="s">
        <v>630</v>
      </c>
      <c r="D18149" s="1" t="str">
        <f t="shared" si="488"/>
        <v>PRG-1045792</v>
      </c>
      <c r="E18149" t="s">
        <v>631</v>
      </c>
      <c r="F18149" t="s">
        <v>4</v>
      </c>
      <c r="G18149" t="str">
        <f>""</f>
        <v/>
      </c>
    </row>
    <row r="18150" spans="1:7" x14ac:dyDescent="0.25">
      <c r="A18150" t="s">
        <v>8</v>
      </c>
      <c r="B18150" s="1" t="str">
        <f>"000429654 - RICH FOODS-SKY ZONE"</f>
        <v>000429654 - RICH FOODS-SKY ZONE</v>
      </c>
      <c r="C18150" t="s">
        <v>630</v>
      </c>
      <c r="D18150" s="1" t="str">
        <f t="shared" si="488"/>
        <v>PRG-1045792</v>
      </c>
      <c r="E18150" t="s">
        <v>631</v>
      </c>
      <c r="F18150" t="s">
        <v>4</v>
      </c>
      <c r="G18150" t="str">
        <f>""</f>
        <v/>
      </c>
    </row>
    <row r="18151" spans="1:7" x14ac:dyDescent="0.25">
      <c r="A18151" t="s">
        <v>8</v>
      </c>
      <c r="B18151" s="1" t="str">
        <f>"000430874 - RICH FOODS-SKY ZONE"</f>
        <v>000430874 - RICH FOODS-SKY ZONE</v>
      </c>
      <c r="C18151" t="s">
        <v>630</v>
      </c>
      <c r="D18151" s="1" t="str">
        <f t="shared" si="488"/>
        <v>PRG-1045792</v>
      </c>
      <c r="E18151" t="s">
        <v>631</v>
      </c>
      <c r="F18151" t="s">
        <v>4</v>
      </c>
      <c r="G18151" t="str">
        <f>""</f>
        <v/>
      </c>
    </row>
    <row r="18152" spans="1:7" x14ac:dyDescent="0.25">
      <c r="A18152" t="s">
        <v>8</v>
      </c>
      <c r="B18152" s="1" t="str">
        <f>"000428073 - RICH PRODUCTS GOODNESS FOOD"</f>
        <v>000428073 - RICH PRODUCTS GOODNESS FOOD</v>
      </c>
      <c r="C18152" t="s">
        <v>3747</v>
      </c>
      <c r="D18152" s="1" t="str">
        <f>"PRG-1045802"</f>
        <v>PRG-1045802</v>
      </c>
      <c r="E18152" t="s">
        <v>3748</v>
      </c>
      <c r="F18152" t="s">
        <v>4</v>
      </c>
      <c r="G18152" t="str">
        <f>""</f>
        <v/>
      </c>
    </row>
    <row r="18153" spans="1:7" x14ac:dyDescent="0.25">
      <c r="A18153" t="s">
        <v>8</v>
      </c>
      <c r="B18153" s="1" t="str">
        <f>"000251149 - RICH FOODS-ELIOR"</f>
        <v>000251149 - RICH FOODS-ELIOR</v>
      </c>
      <c r="C18153" t="s">
        <v>659</v>
      </c>
      <c r="D18153" s="1" t="str">
        <f t="shared" ref="D18153:D18160" si="489">"PRG-1045807"</f>
        <v>PRG-1045807</v>
      </c>
      <c r="E18153" t="s">
        <v>2109</v>
      </c>
      <c r="F18153" t="s">
        <v>4</v>
      </c>
      <c r="G18153" t="str">
        <f>""</f>
        <v/>
      </c>
    </row>
    <row r="18154" spans="1:7" x14ac:dyDescent="0.25">
      <c r="A18154" t="s">
        <v>8</v>
      </c>
      <c r="B18154" s="1" t="str">
        <f>"000260134 - RICH FOODS-ELIOR"</f>
        <v>000260134 - RICH FOODS-ELIOR</v>
      </c>
      <c r="C18154" t="s">
        <v>659</v>
      </c>
      <c r="D18154" s="1" t="str">
        <f t="shared" si="489"/>
        <v>PRG-1045807</v>
      </c>
      <c r="E18154" t="s">
        <v>2109</v>
      </c>
      <c r="F18154" t="s">
        <v>4</v>
      </c>
      <c r="G18154" t="str">
        <f>""</f>
        <v/>
      </c>
    </row>
    <row r="18155" spans="1:7" x14ac:dyDescent="0.25">
      <c r="A18155" t="s">
        <v>8</v>
      </c>
      <c r="B18155" s="1" t="str">
        <f>"000289380 - RICH FOODS-ELIOR"</f>
        <v>000289380 - RICH FOODS-ELIOR</v>
      </c>
      <c r="C18155" t="s">
        <v>659</v>
      </c>
      <c r="D18155" s="1" t="str">
        <f t="shared" si="489"/>
        <v>PRG-1045807</v>
      </c>
      <c r="E18155" t="s">
        <v>2109</v>
      </c>
      <c r="F18155" t="s">
        <v>4</v>
      </c>
      <c r="G18155" t="str">
        <f>""</f>
        <v/>
      </c>
    </row>
    <row r="18156" spans="1:7" x14ac:dyDescent="0.25">
      <c r="A18156" t="s">
        <v>8</v>
      </c>
      <c r="B18156" s="1" t="str">
        <f>"000305940 - RICH FOODS-ELIOR"</f>
        <v>000305940 - RICH FOODS-ELIOR</v>
      </c>
      <c r="C18156" t="s">
        <v>659</v>
      </c>
      <c r="D18156" s="1" t="str">
        <f t="shared" si="489"/>
        <v>PRG-1045807</v>
      </c>
      <c r="E18156" t="s">
        <v>2109</v>
      </c>
      <c r="F18156" t="s">
        <v>4</v>
      </c>
      <c r="G18156" t="str">
        <f>""</f>
        <v/>
      </c>
    </row>
    <row r="18157" spans="1:7" x14ac:dyDescent="0.25">
      <c r="A18157" t="s">
        <v>8</v>
      </c>
      <c r="B18157" s="1" t="str">
        <f>"000320344 - RICH PRODUCTS-ELIOR"</f>
        <v>000320344 - RICH PRODUCTS-ELIOR</v>
      </c>
      <c r="C18157" t="s">
        <v>1806</v>
      </c>
      <c r="D18157" s="1" t="str">
        <f t="shared" si="489"/>
        <v>PRG-1045807</v>
      </c>
      <c r="E18157" t="s">
        <v>2109</v>
      </c>
      <c r="F18157" t="s">
        <v>4</v>
      </c>
      <c r="G18157" t="str">
        <f>""</f>
        <v/>
      </c>
    </row>
    <row r="18158" spans="1:7" x14ac:dyDescent="0.25">
      <c r="A18158" t="s">
        <v>8</v>
      </c>
      <c r="B18158" s="1" t="str">
        <f>"000381397 - RICH FOODS-ELIOR"</f>
        <v>000381397 - RICH FOODS-ELIOR</v>
      </c>
      <c r="C18158" t="s">
        <v>659</v>
      </c>
      <c r="D18158" s="1" t="str">
        <f t="shared" si="489"/>
        <v>PRG-1045807</v>
      </c>
      <c r="E18158" t="s">
        <v>2109</v>
      </c>
      <c r="F18158" t="s">
        <v>4</v>
      </c>
      <c r="G18158" t="str">
        <f>""</f>
        <v/>
      </c>
    </row>
    <row r="18159" spans="1:7" x14ac:dyDescent="0.25">
      <c r="A18159" t="s">
        <v>8</v>
      </c>
      <c r="B18159" s="1" t="str">
        <f>"000395046 - RICH PRODUCTS-ELIOR"</f>
        <v>000395046 - RICH PRODUCTS-ELIOR</v>
      </c>
      <c r="C18159" t="s">
        <v>1806</v>
      </c>
      <c r="D18159" s="1" t="str">
        <f t="shared" si="489"/>
        <v>PRG-1045807</v>
      </c>
      <c r="E18159" t="s">
        <v>2109</v>
      </c>
      <c r="F18159" t="s">
        <v>4</v>
      </c>
      <c r="G18159" t="str">
        <f>""</f>
        <v/>
      </c>
    </row>
    <row r="18160" spans="1:7" x14ac:dyDescent="0.25">
      <c r="A18160" t="s">
        <v>8</v>
      </c>
      <c r="B18160" s="1" t="str">
        <f>"000404252 - RICH FOODS-ELIOR"</f>
        <v>000404252 - RICH FOODS-ELIOR</v>
      </c>
      <c r="C18160" t="s">
        <v>659</v>
      </c>
      <c r="D18160" s="1" t="str">
        <f t="shared" si="489"/>
        <v>PRG-1045807</v>
      </c>
      <c r="E18160" t="s">
        <v>2109</v>
      </c>
      <c r="F18160" t="s">
        <v>4</v>
      </c>
      <c r="G18160" t="str">
        <f>""</f>
        <v/>
      </c>
    </row>
    <row r="18161" spans="1:7" x14ac:dyDescent="0.25">
      <c r="A18161" t="s">
        <v>8</v>
      </c>
      <c r="B18161" s="1" t="str">
        <f>"000004524 - RICH FOODS-HILTON"</f>
        <v>000004524 - RICH FOODS-HILTON</v>
      </c>
      <c r="C18161" t="s">
        <v>183</v>
      </c>
      <c r="D18161" s="1" t="str">
        <f t="shared" ref="D18161:D18192" si="490">"PRG-1045809"</f>
        <v>PRG-1045809</v>
      </c>
      <c r="E18161" t="s">
        <v>125</v>
      </c>
      <c r="F18161" t="s">
        <v>4</v>
      </c>
      <c r="G18161" t="str">
        <f>""</f>
        <v/>
      </c>
    </row>
    <row r="18162" spans="1:7" x14ac:dyDescent="0.25">
      <c r="A18162" t="s">
        <v>8</v>
      </c>
      <c r="B18162" s="1" t="str">
        <f>"000011412 - RICH FOODS-HILTON"</f>
        <v>000011412 - RICH FOODS-HILTON</v>
      </c>
      <c r="C18162" t="s">
        <v>183</v>
      </c>
      <c r="D18162" s="1" t="str">
        <f t="shared" si="490"/>
        <v>PRG-1045809</v>
      </c>
      <c r="E18162" t="s">
        <v>125</v>
      </c>
      <c r="F18162" t="s">
        <v>4</v>
      </c>
      <c r="G18162" t="str">
        <f>""</f>
        <v/>
      </c>
    </row>
    <row r="18163" spans="1:7" x14ac:dyDescent="0.25">
      <c r="A18163" t="s">
        <v>8</v>
      </c>
      <c r="B18163" s="1" t="str">
        <f>"000017912 - RICH FOODS-HILTON"</f>
        <v>000017912 - RICH FOODS-HILTON</v>
      </c>
      <c r="C18163" t="s">
        <v>183</v>
      </c>
      <c r="D18163" s="1" t="str">
        <f t="shared" si="490"/>
        <v>PRG-1045809</v>
      </c>
      <c r="E18163" t="s">
        <v>125</v>
      </c>
      <c r="F18163" t="s">
        <v>4</v>
      </c>
      <c r="G18163" t="str">
        <f>""</f>
        <v/>
      </c>
    </row>
    <row r="18164" spans="1:7" x14ac:dyDescent="0.25">
      <c r="A18164" t="s">
        <v>8</v>
      </c>
      <c r="B18164" s="1" t="str">
        <f>"000027944 - RICH FOODS-HILTON"</f>
        <v>000027944 - RICH FOODS-HILTON</v>
      </c>
      <c r="C18164" t="s">
        <v>183</v>
      </c>
      <c r="D18164" s="1" t="str">
        <f t="shared" si="490"/>
        <v>PRG-1045809</v>
      </c>
      <c r="E18164" t="s">
        <v>125</v>
      </c>
      <c r="F18164" t="s">
        <v>4</v>
      </c>
      <c r="G18164" t="str">
        <f>""</f>
        <v/>
      </c>
    </row>
    <row r="18165" spans="1:7" x14ac:dyDescent="0.25">
      <c r="A18165" t="s">
        <v>8</v>
      </c>
      <c r="B18165" s="1" t="str">
        <f>"000036743 - RICH FOODS-HILTON"</f>
        <v>000036743 - RICH FOODS-HILTON</v>
      </c>
      <c r="C18165" t="s">
        <v>183</v>
      </c>
      <c r="D18165" s="1" t="str">
        <f t="shared" si="490"/>
        <v>PRG-1045809</v>
      </c>
      <c r="E18165" t="s">
        <v>125</v>
      </c>
      <c r="F18165" t="s">
        <v>4</v>
      </c>
      <c r="G18165" t="str">
        <f>""</f>
        <v/>
      </c>
    </row>
    <row r="18166" spans="1:7" x14ac:dyDescent="0.25">
      <c r="A18166" t="s">
        <v>8</v>
      </c>
      <c r="B18166" s="1" t="str">
        <f>"000078808 - RICH FOODS-HILTON"</f>
        <v>000078808 - RICH FOODS-HILTON</v>
      </c>
      <c r="C18166" t="s">
        <v>183</v>
      </c>
      <c r="D18166" s="1" t="str">
        <f t="shared" si="490"/>
        <v>PRG-1045809</v>
      </c>
      <c r="E18166" t="s">
        <v>125</v>
      </c>
      <c r="F18166" t="s">
        <v>4</v>
      </c>
      <c r="G18166" t="str">
        <f>""</f>
        <v/>
      </c>
    </row>
    <row r="18167" spans="1:7" x14ac:dyDescent="0.25">
      <c r="A18167" t="s">
        <v>8</v>
      </c>
      <c r="B18167" s="1" t="str">
        <f>"000149699 - RICH FOODS-HILTON"</f>
        <v>000149699 - RICH FOODS-HILTON</v>
      </c>
      <c r="C18167" t="s">
        <v>183</v>
      </c>
      <c r="D18167" s="1" t="str">
        <f t="shared" si="490"/>
        <v>PRG-1045809</v>
      </c>
      <c r="E18167" t="s">
        <v>125</v>
      </c>
      <c r="F18167" t="s">
        <v>4</v>
      </c>
      <c r="G18167" t="str">
        <f>""</f>
        <v/>
      </c>
    </row>
    <row r="18168" spans="1:7" x14ac:dyDescent="0.25">
      <c r="A18168" t="s">
        <v>8</v>
      </c>
      <c r="B18168" s="1" t="str">
        <f>"000175762 - RICH FOODS-HILTON"</f>
        <v>000175762 - RICH FOODS-HILTON</v>
      </c>
      <c r="C18168" t="s">
        <v>183</v>
      </c>
      <c r="D18168" s="1" t="str">
        <f t="shared" si="490"/>
        <v>PRG-1045809</v>
      </c>
      <c r="E18168" t="s">
        <v>125</v>
      </c>
      <c r="F18168" t="s">
        <v>4</v>
      </c>
      <c r="G18168" t="str">
        <f>""</f>
        <v/>
      </c>
    </row>
    <row r="18169" spans="1:7" x14ac:dyDescent="0.25">
      <c r="A18169" t="s">
        <v>8</v>
      </c>
      <c r="B18169" s="1" t="str">
        <f>"000178391 - RICH FOODS-HILTON"</f>
        <v>000178391 - RICH FOODS-HILTON</v>
      </c>
      <c r="C18169" t="s">
        <v>183</v>
      </c>
      <c r="D18169" s="1" t="str">
        <f t="shared" si="490"/>
        <v>PRG-1045809</v>
      </c>
      <c r="E18169" t="s">
        <v>125</v>
      </c>
      <c r="F18169" t="s">
        <v>4</v>
      </c>
      <c r="G18169" t="str">
        <f>""</f>
        <v/>
      </c>
    </row>
    <row r="18170" spans="1:7" x14ac:dyDescent="0.25">
      <c r="A18170" t="s">
        <v>8</v>
      </c>
      <c r="B18170" s="1" t="str">
        <f>"000181913 - RICH FOODS-HILTON"</f>
        <v>000181913 - RICH FOODS-HILTON</v>
      </c>
      <c r="C18170" t="s">
        <v>183</v>
      </c>
      <c r="D18170" s="1" t="str">
        <f t="shared" si="490"/>
        <v>PRG-1045809</v>
      </c>
      <c r="E18170" t="s">
        <v>125</v>
      </c>
      <c r="F18170" t="s">
        <v>4</v>
      </c>
      <c r="G18170" t="str">
        <f>""</f>
        <v/>
      </c>
    </row>
    <row r="18171" spans="1:7" x14ac:dyDescent="0.25">
      <c r="A18171" t="s">
        <v>8</v>
      </c>
      <c r="B18171" s="1" t="str">
        <f>"000249603 - RICH FOODS-HILTON"</f>
        <v>000249603 - RICH FOODS-HILTON</v>
      </c>
      <c r="C18171" t="s">
        <v>183</v>
      </c>
      <c r="D18171" s="1" t="str">
        <f t="shared" si="490"/>
        <v>PRG-1045809</v>
      </c>
      <c r="E18171" t="s">
        <v>125</v>
      </c>
      <c r="F18171" t="s">
        <v>4</v>
      </c>
      <c r="G18171" t="str">
        <f>""</f>
        <v/>
      </c>
    </row>
    <row r="18172" spans="1:7" x14ac:dyDescent="0.25">
      <c r="A18172" t="s">
        <v>8</v>
      </c>
      <c r="B18172" s="1" t="str">
        <f>"000253019 - RICH FOODS-HILTON"</f>
        <v>000253019 - RICH FOODS-HILTON</v>
      </c>
      <c r="C18172" t="s">
        <v>183</v>
      </c>
      <c r="D18172" s="1" t="str">
        <f t="shared" si="490"/>
        <v>PRG-1045809</v>
      </c>
      <c r="E18172" t="s">
        <v>125</v>
      </c>
      <c r="F18172" t="s">
        <v>4</v>
      </c>
      <c r="G18172" t="str">
        <f>""</f>
        <v/>
      </c>
    </row>
    <row r="18173" spans="1:7" x14ac:dyDescent="0.25">
      <c r="A18173" t="s">
        <v>8</v>
      </c>
      <c r="B18173" s="1" t="str">
        <f>"000260641 - RICH FOODS-HILTON"</f>
        <v>000260641 - RICH FOODS-HILTON</v>
      </c>
      <c r="C18173" t="s">
        <v>183</v>
      </c>
      <c r="D18173" s="1" t="str">
        <f t="shared" si="490"/>
        <v>PRG-1045809</v>
      </c>
      <c r="E18173" t="s">
        <v>125</v>
      </c>
      <c r="F18173" t="s">
        <v>4</v>
      </c>
      <c r="G18173" t="str">
        <f>""</f>
        <v/>
      </c>
    </row>
    <row r="18174" spans="1:7" x14ac:dyDescent="0.25">
      <c r="A18174" t="s">
        <v>8</v>
      </c>
      <c r="B18174" s="1" t="str">
        <f>"000265721 - RICH FOODS-HILTON"</f>
        <v>000265721 - RICH FOODS-HILTON</v>
      </c>
      <c r="C18174" t="s">
        <v>183</v>
      </c>
      <c r="D18174" s="1" t="str">
        <f t="shared" si="490"/>
        <v>PRG-1045809</v>
      </c>
      <c r="E18174" t="s">
        <v>125</v>
      </c>
      <c r="F18174" t="s">
        <v>4</v>
      </c>
      <c r="G18174" t="str">
        <f>""</f>
        <v/>
      </c>
    </row>
    <row r="18175" spans="1:7" x14ac:dyDescent="0.25">
      <c r="A18175" t="s">
        <v>8</v>
      </c>
      <c r="B18175" s="1" t="str">
        <f>"000267131 - RICH FOODS-HILTON"</f>
        <v>000267131 - RICH FOODS-HILTON</v>
      </c>
      <c r="C18175" t="s">
        <v>183</v>
      </c>
      <c r="D18175" s="1" t="str">
        <f t="shared" si="490"/>
        <v>PRG-1045809</v>
      </c>
      <c r="E18175" t="s">
        <v>125</v>
      </c>
      <c r="F18175" t="s">
        <v>4</v>
      </c>
      <c r="G18175" t="str">
        <f>""</f>
        <v/>
      </c>
    </row>
    <row r="18176" spans="1:7" x14ac:dyDescent="0.25">
      <c r="A18176" t="s">
        <v>8</v>
      </c>
      <c r="B18176" s="1" t="str">
        <f>"000271707 - RICH FOODS-HILTON"</f>
        <v>000271707 - RICH FOODS-HILTON</v>
      </c>
      <c r="C18176" t="s">
        <v>183</v>
      </c>
      <c r="D18176" s="1" t="str">
        <f t="shared" si="490"/>
        <v>PRG-1045809</v>
      </c>
      <c r="E18176" t="s">
        <v>125</v>
      </c>
      <c r="F18176" t="s">
        <v>4</v>
      </c>
      <c r="G18176" t="str">
        <f>""</f>
        <v/>
      </c>
    </row>
    <row r="18177" spans="1:7" x14ac:dyDescent="0.25">
      <c r="A18177" t="s">
        <v>8</v>
      </c>
      <c r="B18177" s="1" t="str">
        <f>"000272356 - RICH FOODS-HILTON"</f>
        <v>000272356 - RICH FOODS-HILTON</v>
      </c>
      <c r="C18177" t="s">
        <v>183</v>
      </c>
      <c r="D18177" s="1" t="str">
        <f t="shared" si="490"/>
        <v>PRG-1045809</v>
      </c>
      <c r="E18177" t="s">
        <v>125</v>
      </c>
      <c r="F18177" t="s">
        <v>4</v>
      </c>
      <c r="G18177" t="str">
        <f>""</f>
        <v/>
      </c>
    </row>
    <row r="18178" spans="1:7" x14ac:dyDescent="0.25">
      <c r="A18178" t="s">
        <v>8</v>
      </c>
      <c r="B18178" s="1" t="str">
        <f>"000276808 - RICH FOODS-HILTON"</f>
        <v>000276808 - RICH FOODS-HILTON</v>
      </c>
      <c r="C18178" t="s">
        <v>183</v>
      </c>
      <c r="D18178" s="1" t="str">
        <f t="shared" si="490"/>
        <v>PRG-1045809</v>
      </c>
      <c r="E18178" t="s">
        <v>125</v>
      </c>
      <c r="F18178" t="s">
        <v>4</v>
      </c>
      <c r="G18178" t="str">
        <f>""</f>
        <v/>
      </c>
    </row>
    <row r="18179" spans="1:7" x14ac:dyDescent="0.25">
      <c r="A18179" t="s">
        <v>8</v>
      </c>
      <c r="B18179" s="1" t="str">
        <f>"000280543 - RICH FOODS-HILTON"</f>
        <v>000280543 - RICH FOODS-HILTON</v>
      </c>
      <c r="C18179" t="s">
        <v>183</v>
      </c>
      <c r="D18179" s="1" t="str">
        <f t="shared" si="490"/>
        <v>PRG-1045809</v>
      </c>
      <c r="E18179" t="s">
        <v>125</v>
      </c>
      <c r="F18179" t="s">
        <v>4</v>
      </c>
      <c r="G18179" t="str">
        <f>""</f>
        <v/>
      </c>
    </row>
    <row r="18180" spans="1:7" x14ac:dyDescent="0.25">
      <c r="A18180" t="s">
        <v>8</v>
      </c>
      <c r="B18180" s="1" t="str">
        <f>"000284359 - RICH FOODS-HILTON"</f>
        <v>000284359 - RICH FOODS-HILTON</v>
      </c>
      <c r="C18180" t="s">
        <v>183</v>
      </c>
      <c r="D18180" s="1" t="str">
        <f t="shared" si="490"/>
        <v>PRG-1045809</v>
      </c>
      <c r="E18180" t="s">
        <v>125</v>
      </c>
      <c r="F18180" t="s">
        <v>4</v>
      </c>
      <c r="G18180" t="str">
        <f>""</f>
        <v/>
      </c>
    </row>
    <row r="18181" spans="1:7" x14ac:dyDescent="0.25">
      <c r="A18181" t="s">
        <v>8</v>
      </c>
      <c r="B18181" s="1" t="str">
        <f>"000287248 - RICH FOODS-HILTON"</f>
        <v>000287248 - RICH FOODS-HILTON</v>
      </c>
      <c r="C18181" t="s">
        <v>183</v>
      </c>
      <c r="D18181" s="1" t="str">
        <f t="shared" si="490"/>
        <v>PRG-1045809</v>
      </c>
      <c r="E18181" t="s">
        <v>125</v>
      </c>
      <c r="F18181" t="s">
        <v>4</v>
      </c>
      <c r="G18181" t="str">
        <f>""</f>
        <v/>
      </c>
    </row>
    <row r="18182" spans="1:7" x14ac:dyDescent="0.25">
      <c r="A18182" t="s">
        <v>8</v>
      </c>
      <c r="B18182" s="1" t="str">
        <f>"000287673 - RICH FOODS-HILTON"</f>
        <v>000287673 - RICH FOODS-HILTON</v>
      </c>
      <c r="C18182" t="s">
        <v>183</v>
      </c>
      <c r="D18182" s="1" t="str">
        <f t="shared" si="490"/>
        <v>PRG-1045809</v>
      </c>
      <c r="E18182" t="s">
        <v>125</v>
      </c>
      <c r="F18182" t="s">
        <v>4</v>
      </c>
      <c r="G18182" t="str">
        <f>""</f>
        <v/>
      </c>
    </row>
    <row r="18183" spans="1:7" x14ac:dyDescent="0.25">
      <c r="A18183" t="s">
        <v>8</v>
      </c>
      <c r="B18183" s="1" t="str">
        <f>"000288690 - RICH FOODS-HILTON"</f>
        <v>000288690 - RICH FOODS-HILTON</v>
      </c>
      <c r="C18183" t="s">
        <v>183</v>
      </c>
      <c r="D18183" s="1" t="str">
        <f t="shared" si="490"/>
        <v>PRG-1045809</v>
      </c>
      <c r="E18183" t="s">
        <v>125</v>
      </c>
      <c r="F18183" t="s">
        <v>4</v>
      </c>
      <c r="G18183" t="str">
        <f>""</f>
        <v/>
      </c>
    </row>
    <row r="18184" spans="1:7" x14ac:dyDescent="0.25">
      <c r="A18184" t="s">
        <v>8</v>
      </c>
      <c r="B18184" s="1" t="str">
        <f>"000291910 - RICH FOODS-HILTON"</f>
        <v>000291910 - RICH FOODS-HILTON</v>
      </c>
      <c r="C18184" t="s">
        <v>183</v>
      </c>
      <c r="D18184" s="1" t="str">
        <f t="shared" si="490"/>
        <v>PRG-1045809</v>
      </c>
      <c r="E18184" t="s">
        <v>125</v>
      </c>
      <c r="F18184" t="s">
        <v>4</v>
      </c>
      <c r="G18184" t="str">
        <f>""</f>
        <v/>
      </c>
    </row>
    <row r="18185" spans="1:7" x14ac:dyDescent="0.25">
      <c r="A18185" t="s">
        <v>8</v>
      </c>
      <c r="B18185" s="1" t="str">
        <f>"000292570 - RICH FOODS-HILTON"</f>
        <v>000292570 - RICH FOODS-HILTON</v>
      </c>
      <c r="C18185" t="s">
        <v>183</v>
      </c>
      <c r="D18185" s="1" t="str">
        <f t="shared" si="490"/>
        <v>PRG-1045809</v>
      </c>
      <c r="E18185" t="s">
        <v>125</v>
      </c>
      <c r="F18185" t="s">
        <v>4</v>
      </c>
      <c r="G18185" t="str">
        <f>""</f>
        <v/>
      </c>
    </row>
    <row r="18186" spans="1:7" x14ac:dyDescent="0.25">
      <c r="A18186" t="s">
        <v>8</v>
      </c>
      <c r="B18186" s="1" t="str">
        <f>"000297006 - RICH FOODS-HILTON"</f>
        <v>000297006 - RICH FOODS-HILTON</v>
      </c>
      <c r="C18186" t="s">
        <v>183</v>
      </c>
      <c r="D18186" s="1" t="str">
        <f t="shared" si="490"/>
        <v>PRG-1045809</v>
      </c>
      <c r="E18186" t="s">
        <v>125</v>
      </c>
      <c r="F18186" t="s">
        <v>4</v>
      </c>
      <c r="G18186" t="str">
        <f>""</f>
        <v/>
      </c>
    </row>
    <row r="18187" spans="1:7" x14ac:dyDescent="0.25">
      <c r="A18187" t="s">
        <v>8</v>
      </c>
      <c r="B18187" s="1" t="str">
        <f>"000297802 - RICH FOODS-HILTON"</f>
        <v>000297802 - RICH FOODS-HILTON</v>
      </c>
      <c r="C18187" t="s">
        <v>183</v>
      </c>
      <c r="D18187" s="1" t="str">
        <f t="shared" si="490"/>
        <v>PRG-1045809</v>
      </c>
      <c r="E18187" t="s">
        <v>125</v>
      </c>
      <c r="F18187" t="s">
        <v>4</v>
      </c>
      <c r="G18187" t="str">
        <f>""</f>
        <v/>
      </c>
    </row>
    <row r="18188" spans="1:7" x14ac:dyDescent="0.25">
      <c r="A18188" t="s">
        <v>8</v>
      </c>
      <c r="B18188" s="1" t="str">
        <f>"000298683 - RICH FOODS-HILTON"</f>
        <v>000298683 - RICH FOODS-HILTON</v>
      </c>
      <c r="C18188" t="s">
        <v>183</v>
      </c>
      <c r="D18188" s="1" t="str">
        <f t="shared" si="490"/>
        <v>PRG-1045809</v>
      </c>
      <c r="E18188" t="s">
        <v>125</v>
      </c>
      <c r="F18188" t="s">
        <v>4</v>
      </c>
      <c r="G18188" t="str">
        <f>""</f>
        <v/>
      </c>
    </row>
    <row r="18189" spans="1:7" x14ac:dyDescent="0.25">
      <c r="A18189" t="s">
        <v>8</v>
      </c>
      <c r="B18189" s="1" t="str">
        <f>"000299161 - RICH FOODS-HILTON"</f>
        <v>000299161 - RICH FOODS-HILTON</v>
      </c>
      <c r="C18189" t="s">
        <v>183</v>
      </c>
      <c r="D18189" s="1" t="str">
        <f t="shared" si="490"/>
        <v>PRG-1045809</v>
      </c>
      <c r="E18189" t="s">
        <v>125</v>
      </c>
      <c r="F18189" t="s">
        <v>4</v>
      </c>
      <c r="G18189" t="str">
        <f>""</f>
        <v/>
      </c>
    </row>
    <row r="18190" spans="1:7" x14ac:dyDescent="0.25">
      <c r="A18190" t="s">
        <v>8</v>
      </c>
      <c r="B18190" s="1" t="str">
        <f>"000299241 - RICH FOODS-HILTON"</f>
        <v>000299241 - RICH FOODS-HILTON</v>
      </c>
      <c r="C18190" t="s">
        <v>183</v>
      </c>
      <c r="D18190" s="1" t="str">
        <f t="shared" si="490"/>
        <v>PRG-1045809</v>
      </c>
      <c r="E18190" t="s">
        <v>125</v>
      </c>
      <c r="F18190" t="s">
        <v>4</v>
      </c>
      <c r="G18190" t="str">
        <f>""</f>
        <v/>
      </c>
    </row>
    <row r="18191" spans="1:7" x14ac:dyDescent="0.25">
      <c r="A18191" t="s">
        <v>8</v>
      </c>
      <c r="B18191" s="1" t="str">
        <f>"000301329 - RICH FOODS-HILTON"</f>
        <v>000301329 - RICH FOODS-HILTON</v>
      </c>
      <c r="C18191" t="s">
        <v>183</v>
      </c>
      <c r="D18191" s="1" t="str">
        <f t="shared" si="490"/>
        <v>PRG-1045809</v>
      </c>
      <c r="E18191" t="s">
        <v>125</v>
      </c>
      <c r="F18191" t="s">
        <v>4</v>
      </c>
      <c r="G18191" t="str">
        <f>""</f>
        <v/>
      </c>
    </row>
    <row r="18192" spans="1:7" x14ac:dyDescent="0.25">
      <c r="A18192" t="s">
        <v>8</v>
      </c>
      <c r="B18192" s="1" t="str">
        <f>"000318740 - RICH FOODS-HILTON"</f>
        <v>000318740 - RICH FOODS-HILTON</v>
      </c>
      <c r="C18192" t="s">
        <v>183</v>
      </c>
      <c r="D18192" s="1" t="str">
        <f t="shared" si="490"/>
        <v>PRG-1045809</v>
      </c>
      <c r="E18192" t="s">
        <v>125</v>
      </c>
      <c r="F18192" t="s">
        <v>4</v>
      </c>
      <c r="G18192" t="str">
        <f>""</f>
        <v/>
      </c>
    </row>
    <row r="18193" spans="1:7" x14ac:dyDescent="0.25">
      <c r="A18193" t="s">
        <v>8</v>
      </c>
      <c r="B18193" s="1" t="str">
        <f>"000328927 - RICH FOODS-HILTON"</f>
        <v>000328927 - RICH FOODS-HILTON</v>
      </c>
      <c r="C18193" t="s">
        <v>183</v>
      </c>
      <c r="D18193" s="1" t="str">
        <f t="shared" ref="D18193:D18209" si="491">"PRG-1045809"</f>
        <v>PRG-1045809</v>
      </c>
      <c r="E18193" t="s">
        <v>125</v>
      </c>
      <c r="F18193" t="s">
        <v>4</v>
      </c>
      <c r="G18193" t="str">
        <f>""</f>
        <v/>
      </c>
    </row>
    <row r="18194" spans="1:7" x14ac:dyDescent="0.25">
      <c r="A18194" t="s">
        <v>8</v>
      </c>
      <c r="B18194" s="1" t="str">
        <f>"000335528 - RICH FOODS-HILTON"</f>
        <v>000335528 - RICH FOODS-HILTON</v>
      </c>
      <c r="C18194" t="s">
        <v>183</v>
      </c>
      <c r="D18194" s="1" t="str">
        <f t="shared" si="491"/>
        <v>PRG-1045809</v>
      </c>
      <c r="E18194" t="s">
        <v>125</v>
      </c>
      <c r="F18194" t="s">
        <v>4</v>
      </c>
      <c r="G18194" t="str">
        <f>""</f>
        <v/>
      </c>
    </row>
    <row r="18195" spans="1:7" x14ac:dyDescent="0.25">
      <c r="A18195" t="s">
        <v>8</v>
      </c>
      <c r="B18195" s="1" t="str">
        <f>"000335671 - RICH FOODS-HILTON"</f>
        <v>000335671 - RICH FOODS-HILTON</v>
      </c>
      <c r="C18195" t="s">
        <v>183</v>
      </c>
      <c r="D18195" s="1" t="str">
        <f t="shared" si="491"/>
        <v>PRG-1045809</v>
      </c>
      <c r="E18195" t="s">
        <v>125</v>
      </c>
      <c r="F18195" t="s">
        <v>4</v>
      </c>
      <c r="G18195" t="str">
        <f>""</f>
        <v/>
      </c>
    </row>
    <row r="18196" spans="1:7" x14ac:dyDescent="0.25">
      <c r="A18196" t="s">
        <v>8</v>
      </c>
      <c r="B18196" s="1" t="str">
        <f>"000346547 - RICH FOODS-HILTON"</f>
        <v>000346547 - RICH FOODS-HILTON</v>
      </c>
      <c r="C18196" t="s">
        <v>183</v>
      </c>
      <c r="D18196" s="1" t="str">
        <f t="shared" si="491"/>
        <v>PRG-1045809</v>
      </c>
      <c r="E18196" t="s">
        <v>125</v>
      </c>
      <c r="F18196" t="s">
        <v>4</v>
      </c>
      <c r="G18196" t="str">
        <f>""</f>
        <v/>
      </c>
    </row>
    <row r="18197" spans="1:7" x14ac:dyDescent="0.25">
      <c r="A18197" t="s">
        <v>8</v>
      </c>
      <c r="B18197" s="1" t="str">
        <f>"000347651 - RICH FOODS-HILTON"</f>
        <v>000347651 - RICH FOODS-HILTON</v>
      </c>
      <c r="C18197" t="s">
        <v>183</v>
      </c>
      <c r="D18197" s="1" t="str">
        <f t="shared" si="491"/>
        <v>PRG-1045809</v>
      </c>
      <c r="E18197" t="s">
        <v>125</v>
      </c>
      <c r="F18197" t="s">
        <v>4</v>
      </c>
      <c r="G18197" t="str">
        <f>""</f>
        <v/>
      </c>
    </row>
    <row r="18198" spans="1:7" x14ac:dyDescent="0.25">
      <c r="A18198" t="s">
        <v>8</v>
      </c>
      <c r="B18198" s="1" t="str">
        <f>"000355443 - RICH FOODS-HILTON"</f>
        <v>000355443 - RICH FOODS-HILTON</v>
      </c>
      <c r="C18198" t="s">
        <v>183</v>
      </c>
      <c r="D18198" s="1" t="str">
        <f t="shared" si="491"/>
        <v>PRG-1045809</v>
      </c>
      <c r="E18198" t="s">
        <v>125</v>
      </c>
      <c r="F18198" t="s">
        <v>4</v>
      </c>
      <c r="G18198" t="str">
        <f>""</f>
        <v/>
      </c>
    </row>
    <row r="18199" spans="1:7" x14ac:dyDescent="0.25">
      <c r="A18199" t="s">
        <v>8</v>
      </c>
      <c r="B18199" s="1" t="str">
        <f>"000361771 - RICH FOODS-HILTON"</f>
        <v>000361771 - RICH FOODS-HILTON</v>
      </c>
      <c r="C18199" t="s">
        <v>183</v>
      </c>
      <c r="D18199" s="1" t="str">
        <f t="shared" si="491"/>
        <v>PRG-1045809</v>
      </c>
      <c r="E18199" t="s">
        <v>125</v>
      </c>
      <c r="F18199" t="s">
        <v>4</v>
      </c>
      <c r="G18199" t="str">
        <f>""</f>
        <v/>
      </c>
    </row>
    <row r="18200" spans="1:7" x14ac:dyDescent="0.25">
      <c r="A18200" t="s">
        <v>8</v>
      </c>
      <c r="B18200" s="1" t="str">
        <f>"000362890 - RICH FOODS-HILTON"</f>
        <v>000362890 - RICH FOODS-HILTON</v>
      </c>
      <c r="C18200" t="s">
        <v>183</v>
      </c>
      <c r="D18200" s="1" t="str">
        <f t="shared" si="491"/>
        <v>PRG-1045809</v>
      </c>
      <c r="E18200" t="s">
        <v>125</v>
      </c>
      <c r="F18200" t="s">
        <v>4</v>
      </c>
      <c r="G18200" t="str">
        <f>""</f>
        <v/>
      </c>
    </row>
    <row r="18201" spans="1:7" x14ac:dyDescent="0.25">
      <c r="A18201" t="s">
        <v>8</v>
      </c>
      <c r="B18201" s="1" t="str">
        <f>"000363921 - RICH FOODS-HILTON"</f>
        <v>000363921 - RICH FOODS-HILTON</v>
      </c>
      <c r="C18201" t="s">
        <v>183</v>
      </c>
      <c r="D18201" s="1" t="str">
        <f t="shared" si="491"/>
        <v>PRG-1045809</v>
      </c>
      <c r="E18201" t="s">
        <v>125</v>
      </c>
      <c r="F18201" t="s">
        <v>4</v>
      </c>
      <c r="G18201" t="str">
        <f>""</f>
        <v/>
      </c>
    </row>
    <row r="18202" spans="1:7" x14ac:dyDescent="0.25">
      <c r="A18202" t="s">
        <v>8</v>
      </c>
      <c r="B18202" s="1" t="str">
        <f>"000368191 - RICH FOODS-HILTON"</f>
        <v>000368191 - RICH FOODS-HILTON</v>
      </c>
      <c r="C18202" t="s">
        <v>183</v>
      </c>
      <c r="D18202" s="1" t="str">
        <f t="shared" si="491"/>
        <v>PRG-1045809</v>
      </c>
      <c r="E18202" t="s">
        <v>125</v>
      </c>
      <c r="F18202" t="s">
        <v>4</v>
      </c>
      <c r="G18202" t="str">
        <f>""</f>
        <v/>
      </c>
    </row>
    <row r="18203" spans="1:7" x14ac:dyDescent="0.25">
      <c r="A18203" t="s">
        <v>8</v>
      </c>
      <c r="B18203" s="1" t="str">
        <f>"000371274 - RICH FOODS-HILTON"</f>
        <v>000371274 - RICH FOODS-HILTON</v>
      </c>
      <c r="C18203" t="s">
        <v>183</v>
      </c>
      <c r="D18203" s="1" t="str">
        <f t="shared" si="491"/>
        <v>PRG-1045809</v>
      </c>
      <c r="E18203" t="s">
        <v>125</v>
      </c>
      <c r="F18203" t="s">
        <v>4</v>
      </c>
      <c r="G18203" t="str">
        <f>""</f>
        <v/>
      </c>
    </row>
    <row r="18204" spans="1:7" x14ac:dyDescent="0.25">
      <c r="A18204" t="s">
        <v>8</v>
      </c>
      <c r="B18204" s="1" t="str">
        <f>"000372030 - RICH FOODS-HILTON"</f>
        <v>000372030 - RICH FOODS-HILTON</v>
      </c>
      <c r="C18204" t="s">
        <v>183</v>
      </c>
      <c r="D18204" s="1" t="str">
        <f t="shared" si="491"/>
        <v>PRG-1045809</v>
      </c>
      <c r="E18204" t="s">
        <v>125</v>
      </c>
      <c r="F18204" t="s">
        <v>4</v>
      </c>
      <c r="G18204" t="str">
        <f>""</f>
        <v/>
      </c>
    </row>
    <row r="18205" spans="1:7" x14ac:dyDescent="0.25">
      <c r="A18205" t="s">
        <v>8</v>
      </c>
      <c r="B18205" s="1" t="str">
        <f>"000386252 - RICH FOODS-HILTON"</f>
        <v>000386252 - RICH FOODS-HILTON</v>
      </c>
      <c r="C18205" t="s">
        <v>183</v>
      </c>
      <c r="D18205" s="1" t="str">
        <f t="shared" si="491"/>
        <v>PRG-1045809</v>
      </c>
      <c r="E18205" t="s">
        <v>125</v>
      </c>
      <c r="F18205" t="s">
        <v>4</v>
      </c>
      <c r="G18205" t="str">
        <f>""</f>
        <v/>
      </c>
    </row>
    <row r="18206" spans="1:7" x14ac:dyDescent="0.25">
      <c r="A18206" t="s">
        <v>8</v>
      </c>
      <c r="B18206" s="1" t="str">
        <f>"000387520 - RICH FOODS-HILTON"</f>
        <v>000387520 - RICH FOODS-HILTON</v>
      </c>
      <c r="C18206" t="s">
        <v>183</v>
      </c>
      <c r="D18206" s="1" t="str">
        <f t="shared" si="491"/>
        <v>PRG-1045809</v>
      </c>
      <c r="E18206" t="s">
        <v>125</v>
      </c>
      <c r="F18206" t="s">
        <v>4</v>
      </c>
      <c r="G18206" t="str">
        <f>""</f>
        <v/>
      </c>
    </row>
    <row r="18207" spans="1:7" x14ac:dyDescent="0.25">
      <c r="A18207" t="s">
        <v>8</v>
      </c>
      <c r="B18207" s="1" t="str">
        <f>"000388418 - RICH FOODS-HILTON"</f>
        <v>000388418 - RICH FOODS-HILTON</v>
      </c>
      <c r="C18207" t="s">
        <v>183</v>
      </c>
      <c r="D18207" s="1" t="str">
        <f t="shared" si="491"/>
        <v>PRG-1045809</v>
      </c>
      <c r="E18207" t="s">
        <v>125</v>
      </c>
      <c r="F18207" t="s">
        <v>4</v>
      </c>
      <c r="G18207" t="str">
        <f>""</f>
        <v/>
      </c>
    </row>
    <row r="18208" spans="1:7" x14ac:dyDescent="0.25">
      <c r="A18208" t="s">
        <v>8</v>
      </c>
      <c r="B18208" s="1" t="str">
        <f>"000397778 - RICH FOODS-HILTON"</f>
        <v>000397778 - RICH FOODS-HILTON</v>
      </c>
      <c r="C18208" t="s">
        <v>183</v>
      </c>
      <c r="D18208" s="1" t="str">
        <f t="shared" si="491"/>
        <v>PRG-1045809</v>
      </c>
      <c r="E18208" t="s">
        <v>125</v>
      </c>
      <c r="F18208" t="s">
        <v>4</v>
      </c>
      <c r="G18208" t="str">
        <f>""</f>
        <v/>
      </c>
    </row>
    <row r="18209" spans="1:7" x14ac:dyDescent="0.25">
      <c r="A18209" t="s">
        <v>8</v>
      </c>
      <c r="B18209" s="1" t="str">
        <f>"000412088 - RICH FOODS-HILTON"</f>
        <v>000412088 - RICH FOODS-HILTON</v>
      </c>
      <c r="C18209" t="s">
        <v>183</v>
      </c>
      <c r="D18209" s="1" t="str">
        <f t="shared" si="491"/>
        <v>PRG-1045809</v>
      </c>
      <c r="E18209" t="s">
        <v>125</v>
      </c>
      <c r="F18209" t="s">
        <v>4</v>
      </c>
      <c r="G18209" t="str">
        <f>""</f>
        <v/>
      </c>
    </row>
    <row r="18210" spans="1:7" x14ac:dyDescent="0.25">
      <c r="A18210" t="s">
        <v>8</v>
      </c>
      <c r="B18210" s="1" t="str">
        <f>"939"</f>
        <v>939</v>
      </c>
      <c r="C18210" t="s">
        <v>5311</v>
      </c>
      <c r="D18210" s="1" t="str">
        <f>"PRG-1045904"</f>
        <v>PRG-1045904</v>
      </c>
      <c r="E18210" t="s">
        <v>5312</v>
      </c>
      <c r="F18210" t="s">
        <v>7</v>
      </c>
      <c r="G18210" t="str">
        <f>""</f>
        <v/>
      </c>
    </row>
    <row r="18211" spans="1:7" x14ac:dyDescent="0.25">
      <c r="A18211" t="s">
        <v>8</v>
      </c>
      <c r="B18211" s="1" t="str">
        <f>"000192647 - RICH PRODUCTS-NCCNPA 06"</f>
        <v>000192647 - RICH PRODUCTS-NCCNPA 06</v>
      </c>
      <c r="C18211" t="s">
        <v>1165</v>
      </c>
      <c r="D18211" s="1" t="str">
        <f>"PRG-1045908"</f>
        <v>PRG-1045908</v>
      </c>
      <c r="E18211" t="s">
        <v>1223</v>
      </c>
      <c r="F18211" t="s">
        <v>4</v>
      </c>
      <c r="G18211" t="str">
        <f>""</f>
        <v/>
      </c>
    </row>
    <row r="18212" spans="1:7" x14ac:dyDescent="0.25">
      <c r="A18212" t="s">
        <v>8</v>
      </c>
      <c r="B18212" s="1" t="str">
        <f>"000348572 - RICH PRODUCTS PEA SOUP ANDERSO"</f>
        <v>000348572 - RICH PRODUCTS PEA SOUP ANDERSO</v>
      </c>
      <c r="C18212" t="s">
        <v>3481</v>
      </c>
      <c r="D18212" s="1" t="str">
        <f>"PRG-1045957"</f>
        <v>PRG-1045957</v>
      </c>
      <c r="E18212" t="s">
        <v>3482</v>
      </c>
      <c r="F18212" t="s">
        <v>4</v>
      </c>
      <c r="G18212" t="str">
        <f>""</f>
        <v/>
      </c>
    </row>
    <row r="18213" spans="1:7" x14ac:dyDescent="0.25">
      <c r="A18213" t="s">
        <v>8</v>
      </c>
      <c r="B18213" s="1" t="str">
        <f>"000363367 - RICHS OSWEGO GRILL"</f>
        <v>000363367 - RICHS OSWEGO GRILL</v>
      </c>
      <c r="C18213" t="s">
        <v>3588</v>
      </c>
      <c r="D18213" s="1" t="str">
        <f>"PRG-1045967"</f>
        <v>PRG-1045967</v>
      </c>
      <c r="E18213" t="s">
        <v>3589</v>
      </c>
      <c r="F18213" t="s">
        <v>4</v>
      </c>
      <c r="G18213" t="str">
        <f>""</f>
        <v/>
      </c>
    </row>
    <row r="18214" spans="1:7" x14ac:dyDescent="0.25">
      <c r="A18214" t="s">
        <v>8</v>
      </c>
      <c r="B18214" s="1" t="str">
        <f>"000292862 - RICH-MASCHIO'S"</f>
        <v>000292862 - RICH-MASCHIO'S</v>
      </c>
      <c r="C18214" t="s">
        <v>2525</v>
      </c>
      <c r="D18214" s="1" t="str">
        <f>"PRG-1045979"</f>
        <v>PRG-1045979</v>
      </c>
      <c r="E18214" t="s">
        <v>2868</v>
      </c>
      <c r="F18214" t="s">
        <v>4</v>
      </c>
      <c r="G18214" t="str">
        <f>""</f>
        <v/>
      </c>
    </row>
    <row r="18215" spans="1:7" x14ac:dyDescent="0.25">
      <c r="A18215" t="s">
        <v>8</v>
      </c>
      <c r="B18215" s="1" t="str">
        <f>"000314400 - RICH PRODUCTS MASCHIO"</f>
        <v>000314400 - RICH PRODUCTS MASCHIO</v>
      </c>
      <c r="C18215" t="s">
        <v>3160</v>
      </c>
      <c r="D18215" s="1" t="str">
        <f>"PRG-1045979"</f>
        <v>PRG-1045979</v>
      </c>
      <c r="E18215" t="s">
        <v>2868</v>
      </c>
      <c r="F18215" t="s">
        <v>4</v>
      </c>
      <c r="G18215" t="str">
        <f>""</f>
        <v/>
      </c>
    </row>
    <row r="18216" spans="1:7" x14ac:dyDescent="0.25">
      <c r="A18216" t="s">
        <v>8</v>
      </c>
      <c r="B18216" s="1" t="str">
        <f>"000043691 - RICH PRODUCTS-HC&amp;L SIEB"</f>
        <v>000043691 - RICH PRODUCTS-HC&amp;L SIEB</v>
      </c>
      <c r="C18216" t="s">
        <v>607</v>
      </c>
      <c r="D18216" s="1" t="str">
        <f t="shared" ref="D18216:D18233" si="492">"PRG-1045982"</f>
        <v>PRG-1045982</v>
      </c>
      <c r="E18216" t="s">
        <v>608</v>
      </c>
      <c r="F18216" t="s">
        <v>4</v>
      </c>
      <c r="G18216" t="str">
        <f>""</f>
        <v/>
      </c>
    </row>
    <row r="18217" spans="1:7" x14ac:dyDescent="0.25">
      <c r="A18217" t="s">
        <v>8</v>
      </c>
      <c r="B18217" s="1" t="str">
        <f>"000049085 - RICH PRODUCTS-HC&amp;L SIEB"</f>
        <v>000049085 - RICH PRODUCTS-HC&amp;L SIEB</v>
      </c>
      <c r="C18217" t="s">
        <v>607</v>
      </c>
      <c r="D18217" s="1" t="str">
        <f t="shared" si="492"/>
        <v>PRG-1045982</v>
      </c>
      <c r="E18217" t="s">
        <v>608</v>
      </c>
      <c r="F18217" t="s">
        <v>4</v>
      </c>
      <c r="G18217" t="str">
        <f>""</f>
        <v/>
      </c>
    </row>
    <row r="18218" spans="1:7" x14ac:dyDescent="0.25">
      <c r="A18218" t="s">
        <v>8</v>
      </c>
      <c r="B18218" s="1" t="str">
        <f>"000053392 - RICH PRODUCTS-HC&amp;L SIEB"</f>
        <v>000053392 - RICH PRODUCTS-HC&amp;L SIEB</v>
      </c>
      <c r="C18218" t="s">
        <v>607</v>
      </c>
      <c r="D18218" s="1" t="str">
        <f t="shared" si="492"/>
        <v>PRG-1045982</v>
      </c>
      <c r="E18218" t="s">
        <v>608</v>
      </c>
      <c r="F18218" t="s">
        <v>4</v>
      </c>
      <c r="G18218" t="str">
        <f>""</f>
        <v/>
      </c>
    </row>
    <row r="18219" spans="1:7" x14ac:dyDescent="0.25">
      <c r="A18219" t="s">
        <v>8</v>
      </c>
      <c r="B18219" s="1" t="str">
        <f>"000056677 - RICH PRODUCTS-HC&amp;L SIEB"</f>
        <v>000056677 - RICH PRODUCTS-HC&amp;L SIEB</v>
      </c>
      <c r="C18219" t="s">
        <v>607</v>
      </c>
      <c r="D18219" s="1" t="str">
        <f t="shared" si="492"/>
        <v>PRG-1045982</v>
      </c>
      <c r="E18219" t="s">
        <v>608</v>
      </c>
      <c r="F18219" t="s">
        <v>4</v>
      </c>
      <c r="G18219" t="str">
        <f>""</f>
        <v/>
      </c>
    </row>
    <row r="18220" spans="1:7" x14ac:dyDescent="0.25">
      <c r="A18220" t="s">
        <v>8</v>
      </c>
      <c r="B18220" s="1" t="str">
        <f>"000057683 - RICH PRODUCTS-HC&amp;L SIEB"</f>
        <v>000057683 - RICH PRODUCTS-HC&amp;L SIEB</v>
      </c>
      <c r="C18220" t="s">
        <v>607</v>
      </c>
      <c r="D18220" s="1" t="str">
        <f t="shared" si="492"/>
        <v>PRG-1045982</v>
      </c>
      <c r="E18220" t="s">
        <v>608</v>
      </c>
      <c r="F18220" t="s">
        <v>4</v>
      </c>
      <c r="G18220" t="str">
        <f>""</f>
        <v/>
      </c>
    </row>
    <row r="18221" spans="1:7" x14ac:dyDescent="0.25">
      <c r="A18221" t="s">
        <v>8</v>
      </c>
      <c r="B18221" s="1" t="str">
        <f>"000087645 - RICH PRODUCTS-HC&amp;L SIEB"</f>
        <v>000087645 - RICH PRODUCTS-HC&amp;L SIEB</v>
      </c>
      <c r="C18221" t="s">
        <v>607</v>
      </c>
      <c r="D18221" s="1" t="str">
        <f t="shared" si="492"/>
        <v>PRG-1045982</v>
      </c>
      <c r="E18221" t="s">
        <v>608</v>
      </c>
      <c r="F18221" t="s">
        <v>4</v>
      </c>
      <c r="G18221" t="str">
        <f>""</f>
        <v/>
      </c>
    </row>
    <row r="18222" spans="1:7" x14ac:dyDescent="0.25">
      <c r="A18222" t="s">
        <v>8</v>
      </c>
      <c r="B18222" s="1" t="str">
        <f>"000163184 - RICH PRODUCTS-HC&amp;L SIEB"</f>
        <v>000163184 - RICH PRODUCTS-HC&amp;L SIEB</v>
      </c>
      <c r="C18222" t="s">
        <v>607</v>
      </c>
      <c r="D18222" s="1" t="str">
        <f t="shared" si="492"/>
        <v>PRG-1045982</v>
      </c>
      <c r="E18222" t="s">
        <v>608</v>
      </c>
      <c r="F18222" t="s">
        <v>4</v>
      </c>
      <c r="G18222" t="str">
        <f>""</f>
        <v/>
      </c>
    </row>
    <row r="18223" spans="1:7" x14ac:dyDescent="0.25">
      <c r="A18223" t="s">
        <v>8</v>
      </c>
      <c r="B18223" s="1" t="str">
        <f>"000285457 - RICH PRODUCTS-HC&amp;L SIEB"</f>
        <v>000285457 - RICH PRODUCTS-HC&amp;L SIEB</v>
      </c>
      <c r="C18223" t="s">
        <v>607</v>
      </c>
      <c r="D18223" s="1" t="str">
        <f t="shared" si="492"/>
        <v>PRG-1045982</v>
      </c>
      <c r="E18223" t="s">
        <v>608</v>
      </c>
      <c r="F18223" t="s">
        <v>4</v>
      </c>
      <c r="G18223" t="str">
        <f>""</f>
        <v/>
      </c>
    </row>
    <row r="18224" spans="1:7" x14ac:dyDescent="0.25">
      <c r="A18224" t="s">
        <v>8</v>
      </c>
      <c r="B18224" s="1" t="str">
        <f>"000288708 - RICH PRODUCTS-HC&amp;L SIEB"</f>
        <v>000288708 - RICH PRODUCTS-HC&amp;L SIEB</v>
      </c>
      <c r="C18224" t="s">
        <v>607</v>
      </c>
      <c r="D18224" s="1" t="str">
        <f t="shared" si="492"/>
        <v>PRG-1045982</v>
      </c>
      <c r="E18224" t="s">
        <v>608</v>
      </c>
      <c r="F18224" t="s">
        <v>4</v>
      </c>
      <c r="G18224" t="str">
        <f>""</f>
        <v/>
      </c>
    </row>
    <row r="18225" spans="1:7" x14ac:dyDescent="0.25">
      <c r="A18225" t="s">
        <v>8</v>
      </c>
      <c r="B18225" s="1" t="str">
        <f>"000303273 - RICH PRODUCTS-HC&amp;L SIEB"</f>
        <v>000303273 - RICH PRODUCTS-HC&amp;L SIEB</v>
      </c>
      <c r="C18225" t="s">
        <v>607</v>
      </c>
      <c r="D18225" s="1" t="str">
        <f t="shared" si="492"/>
        <v>PRG-1045982</v>
      </c>
      <c r="E18225" t="s">
        <v>608</v>
      </c>
      <c r="F18225" t="s">
        <v>4</v>
      </c>
      <c r="G18225" t="str">
        <f>""</f>
        <v/>
      </c>
    </row>
    <row r="18226" spans="1:7" x14ac:dyDescent="0.25">
      <c r="A18226" t="s">
        <v>8</v>
      </c>
      <c r="B18226" s="1" t="str">
        <f>"000306460 - RICH PRODUCTS-HC&amp;L SIEB"</f>
        <v>000306460 - RICH PRODUCTS-HC&amp;L SIEB</v>
      </c>
      <c r="C18226" t="s">
        <v>607</v>
      </c>
      <c r="D18226" s="1" t="str">
        <f t="shared" si="492"/>
        <v>PRG-1045982</v>
      </c>
      <c r="E18226" t="s">
        <v>608</v>
      </c>
      <c r="F18226" t="s">
        <v>4</v>
      </c>
      <c r="G18226" t="str">
        <f>""</f>
        <v/>
      </c>
    </row>
    <row r="18227" spans="1:7" x14ac:dyDescent="0.25">
      <c r="A18227" t="s">
        <v>8</v>
      </c>
      <c r="B18227" s="1" t="str">
        <f>"000313680 - RICH PRODUCTS-HC&amp;L SIEB"</f>
        <v>000313680 - RICH PRODUCTS-HC&amp;L SIEB</v>
      </c>
      <c r="C18227" t="s">
        <v>607</v>
      </c>
      <c r="D18227" s="1" t="str">
        <f t="shared" si="492"/>
        <v>PRG-1045982</v>
      </c>
      <c r="E18227" t="s">
        <v>608</v>
      </c>
      <c r="F18227" t="s">
        <v>4</v>
      </c>
      <c r="G18227" t="str">
        <f>""</f>
        <v/>
      </c>
    </row>
    <row r="18228" spans="1:7" x14ac:dyDescent="0.25">
      <c r="A18228" t="s">
        <v>8</v>
      </c>
      <c r="B18228" s="1" t="str">
        <f>"000318852 - RICH PRODUCTS-HC&amp;L SIEB"</f>
        <v>000318852 - RICH PRODUCTS-HC&amp;L SIEB</v>
      </c>
      <c r="C18228" t="s">
        <v>607</v>
      </c>
      <c r="D18228" s="1" t="str">
        <f t="shared" si="492"/>
        <v>PRG-1045982</v>
      </c>
      <c r="E18228" t="s">
        <v>608</v>
      </c>
      <c r="F18228" t="s">
        <v>4</v>
      </c>
      <c r="G18228" t="str">
        <f>""</f>
        <v/>
      </c>
    </row>
    <row r="18229" spans="1:7" x14ac:dyDescent="0.25">
      <c r="A18229" t="s">
        <v>8</v>
      </c>
      <c r="B18229" s="1" t="str">
        <f>"000381363 - RICH PRODUCTS-HC&amp;L SIEB"</f>
        <v>000381363 - RICH PRODUCTS-HC&amp;L SIEB</v>
      </c>
      <c r="C18229" t="s">
        <v>607</v>
      </c>
      <c r="D18229" s="1" t="str">
        <f t="shared" si="492"/>
        <v>PRG-1045982</v>
      </c>
      <c r="E18229" t="s">
        <v>608</v>
      </c>
      <c r="F18229" t="s">
        <v>4</v>
      </c>
      <c r="G18229" t="str">
        <f>""</f>
        <v/>
      </c>
    </row>
    <row r="18230" spans="1:7" x14ac:dyDescent="0.25">
      <c r="A18230" t="s">
        <v>8</v>
      </c>
      <c r="B18230" s="1" t="str">
        <f>"000382390 - RICH PRODUCTS-HC&amp;L SIEB"</f>
        <v>000382390 - RICH PRODUCTS-HC&amp;L SIEB</v>
      </c>
      <c r="C18230" t="s">
        <v>607</v>
      </c>
      <c r="D18230" s="1" t="str">
        <f t="shared" si="492"/>
        <v>PRG-1045982</v>
      </c>
      <c r="E18230" t="s">
        <v>608</v>
      </c>
      <c r="F18230" t="s">
        <v>4</v>
      </c>
      <c r="G18230" t="str">
        <f>""</f>
        <v/>
      </c>
    </row>
    <row r="18231" spans="1:7" x14ac:dyDescent="0.25">
      <c r="A18231" t="s">
        <v>8</v>
      </c>
      <c r="B18231" s="1" t="str">
        <f>"000390034 - RICH PRODUCTS-HC&amp;L SIEB"</f>
        <v>000390034 - RICH PRODUCTS-HC&amp;L SIEB</v>
      </c>
      <c r="C18231" t="s">
        <v>607</v>
      </c>
      <c r="D18231" s="1" t="str">
        <f t="shared" si="492"/>
        <v>PRG-1045982</v>
      </c>
      <c r="E18231" t="s">
        <v>608</v>
      </c>
      <c r="F18231" t="s">
        <v>4</v>
      </c>
      <c r="G18231" t="str">
        <f>""</f>
        <v/>
      </c>
    </row>
    <row r="18232" spans="1:7" x14ac:dyDescent="0.25">
      <c r="A18232" t="s">
        <v>8</v>
      </c>
      <c r="B18232" s="1" t="str">
        <f>"000397839 - RICH PRODUCTS-HC&amp;L SIEB"</f>
        <v>000397839 - RICH PRODUCTS-HC&amp;L SIEB</v>
      </c>
      <c r="C18232" t="s">
        <v>607</v>
      </c>
      <c r="D18232" s="1" t="str">
        <f t="shared" si="492"/>
        <v>PRG-1045982</v>
      </c>
      <c r="E18232" t="s">
        <v>608</v>
      </c>
      <c r="F18232" t="s">
        <v>4</v>
      </c>
      <c r="G18232" t="str">
        <f>""</f>
        <v/>
      </c>
    </row>
    <row r="18233" spans="1:7" x14ac:dyDescent="0.25">
      <c r="A18233" t="s">
        <v>8</v>
      </c>
      <c r="B18233" s="1" t="str">
        <f>"000407382 - RICH PRODUCTS-HC&amp;L SIEB"</f>
        <v>000407382 - RICH PRODUCTS-HC&amp;L SIEB</v>
      </c>
      <c r="C18233" t="s">
        <v>607</v>
      </c>
      <c r="D18233" s="1" t="str">
        <f t="shared" si="492"/>
        <v>PRG-1045982</v>
      </c>
      <c r="E18233" t="s">
        <v>608</v>
      </c>
      <c r="F18233" t="s">
        <v>4</v>
      </c>
      <c r="G18233" t="str">
        <f>""</f>
        <v/>
      </c>
    </row>
    <row r="18234" spans="1:7" x14ac:dyDescent="0.25">
      <c r="A18234" t="s">
        <v>8</v>
      </c>
      <c r="B18234" s="1" t="str">
        <f>"000201565 - RICH PROD PD1 CARNIVAL CRUISE"</f>
        <v>000201565 - RICH PROD PD1 CARNIVAL CRUISE</v>
      </c>
      <c r="C18234" t="s">
        <v>1112</v>
      </c>
      <c r="D18234" s="1" t="str">
        <f>"PRG-1045988"</f>
        <v>PRG-1045988</v>
      </c>
      <c r="E18234" t="s">
        <v>1113</v>
      </c>
      <c r="F18234" t="s">
        <v>4</v>
      </c>
      <c r="G18234" t="str">
        <f>""</f>
        <v/>
      </c>
    </row>
    <row r="18235" spans="1:7" x14ac:dyDescent="0.25">
      <c r="A18235" t="s">
        <v>8</v>
      </c>
      <c r="B18235" s="1" t="str">
        <f>"000053129 - RICHS-IKEA"</f>
        <v>000053129 - RICHS-IKEA</v>
      </c>
      <c r="C18235" t="s">
        <v>463</v>
      </c>
      <c r="D18235" s="1" t="str">
        <f t="shared" ref="D18235:D18262" si="493">"PRG-1046013"</f>
        <v>PRG-1046013</v>
      </c>
      <c r="E18235" t="s">
        <v>464</v>
      </c>
      <c r="F18235" t="s">
        <v>4</v>
      </c>
      <c r="G18235" t="str">
        <f>""</f>
        <v/>
      </c>
    </row>
    <row r="18236" spans="1:7" x14ac:dyDescent="0.25">
      <c r="A18236" t="s">
        <v>8</v>
      </c>
      <c r="B18236" s="1" t="str">
        <f>"000092624 - RICHS-IKEA"</f>
        <v>000092624 - RICHS-IKEA</v>
      </c>
      <c r="C18236" t="s">
        <v>463</v>
      </c>
      <c r="D18236" s="1" t="str">
        <f t="shared" si="493"/>
        <v>PRG-1046013</v>
      </c>
      <c r="E18236" t="s">
        <v>464</v>
      </c>
      <c r="F18236" t="s">
        <v>4</v>
      </c>
      <c r="G18236" t="str">
        <f>""</f>
        <v/>
      </c>
    </row>
    <row r="18237" spans="1:7" x14ac:dyDescent="0.25">
      <c r="A18237" t="s">
        <v>8</v>
      </c>
      <c r="B18237" s="1" t="str">
        <f>"000210277 - RICH FOODS-IKEA LC"</f>
        <v>000210277 - RICH FOODS-IKEA LC</v>
      </c>
      <c r="C18237" t="s">
        <v>1186</v>
      </c>
      <c r="D18237" s="1" t="str">
        <f t="shared" si="493"/>
        <v>PRG-1046013</v>
      </c>
      <c r="E18237" t="s">
        <v>464</v>
      </c>
      <c r="F18237" t="s">
        <v>4</v>
      </c>
      <c r="G18237" t="str">
        <f>""</f>
        <v/>
      </c>
    </row>
    <row r="18238" spans="1:7" x14ac:dyDescent="0.25">
      <c r="A18238" t="s">
        <v>8</v>
      </c>
      <c r="B18238" s="1" t="str">
        <f>"000254564 - RICHS-IKEA"</f>
        <v>000254564 - RICHS-IKEA</v>
      </c>
      <c r="C18238" t="s">
        <v>463</v>
      </c>
      <c r="D18238" s="1" t="str">
        <f t="shared" si="493"/>
        <v>PRG-1046013</v>
      </c>
      <c r="E18238" t="s">
        <v>464</v>
      </c>
      <c r="F18238" t="s">
        <v>4</v>
      </c>
      <c r="G18238" t="str">
        <f>""</f>
        <v/>
      </c>
    </row>
    <row r="18239" spans="1:7" x14ac:dyDescent="0.25">
      <c r="A18239" t="s">
        <v>8</v>
      </c>
      <c r="B18239" s="1" t="str">
        <f>"000266244 - RICHS-IKEA"</f>
        <v>000266244 - RICHS-IKEA</v>
      </c>
      <c r="C18239" t="s">
        <v>463</v>
      </c>
      <c r="D18239" s="1" t="str">
        <f t="shared" si="493"/>
        <v>PRG-1046013</v>
      </c>
      <c r="E18239" t="s">
        <v>464</v>
      </c>
      <c r="F18239" t="s">
        <v>4</v>
      </c>
      <c r="G18239" t="str">
        <f>""</f>
        <v/>
      </c>
    </row>
    <row r="18240" spans="1:7" x14ac:dyDescent="0.25">
      <c r="A18240" t="s">
        <v>8</v>
      </c>
      <c r="B18240" s="1" t="str">
        <f>"000267498 - RICH FOODS-IKEA LC"</f>
        <v>000267498 - RICH FOODS-IKEA LC</v>
      </c>
      <c r="C18240" t="s">
        <v>1186</v>
      </c>
      <c r="D18240" s="1" t="str">
        <f t="shared" si="493"/>
        <v>PRG-1046013</v>
      </c>
      <c r="E18240" t="s">
        <v>464</v>
      </c>
      <c r="F18240" t="s">
        <v>4</v>
      </c>
      <c r="G18240" t="str">
        <f>""</f>
        <v/>
      </c>
    </row>
    <row r="18241" spans="1:7" x14ac:dyDescent="0.25">
      <c r="A18241" t="s">
        <v>8</v>
      </c>
      <c r="B18241" s="1" t="str">
        <f>"000274289 - RICH FOODS-IKEA LC"</f>
        <v>000274289 - RICH FOODS-IKEA LC</v>
      </c>
      <c r="C18241" t="s">
        <v>1186</v>
      </c>
      <c r="D18241" s="1" t="str">
        <f t="shared" si="493"/>
        <v>PRG-1046013</v>
      </c>
      <c r="E18241" t="s">
        <v>464</v>
      </c>
      <c r="F18241" t="s">
        <v>4</v>
      </c>
      <c r="G18241" t="str">
        <f>""</f>
        <v/>
      </c>
    </row>
    <row r="18242" spans="1:7" x14ac:dyDescent="0.25">
      <c r="A18242" t="s">
        <v>8</v>
      </c>
      <c r="B18242" s="1" t="str">
        <f>"000288452 - RICHS-IKEA"</f>
        <v>000288452 - RICHS-IKEA</v>
      </c>
      <c r="C18242" t="s">
        <v>463</v>
      </c>
      <c r="D18242" s="1" t="str">
        <f t="shared" si="493"/>
        <v>PRG-1046013</v>
      </c>
      <c r="E18242" t="s">
        <v>464</v>
      </c>
      <c r="F18242" t="s">
        <v>4</v>
      </c>
      <c r="G18242" t="str">
        <f>""</f>
        <v/>
      </c>
    </row>
    <row r="18243" spans="1:7" x14ac:dyDescent="0.25">
      <c r="A18243" t="s">
        <v>8</v>
      </c>
      <c r="B18243" s="1" t="str">
        <f>"000297901 - RICH FOODS-IKEA LC"</f>
        <v>000297901 - RICH FOODS-IKEA LC</v>
      </c>
      <c r="C18243" t="s">
        <v>1186</v>
      </c>
      <c r="D18243" s="1" t="str">
        <f t="shared" si="493"/>
        <v>PRG-1046013</v>
      </c>
      <c r="E18243" t="s">
        <v>464</v>
      </c>
      <c r="F18243" t="s">
        <v>4</v>
      </c>
      <c r="G18243" t="str">
        <f>""</f>
        <v/>
      </c>
    </row>
    <row r="18244" spans="1:7" x14ac:dyDescent="0.25">
      <c r="A18244" t="s">
        <v>8</v>
      </c>
      <c r="B18244" s="1" t="str">
        <f>"000304861 - RICH FOODS-IKEA LC"</f>
        <v>000304861 - RICH FOODS-IKEA LC</v>
      </c>
      <c r="C18244" t="s">
        <v>1186</v>
      </c>
      <c r="D18244" s="1" t="str">
        <f t="shared" si="493"/>
        <v>PRG-1046013</v>
      </c>
      <c r="E18244" t="s">
        <v>464</v>
      </c>
      <c r="F18244" t="s">
        <v>4</v>
      </c>
      <c r="G18244" t="str">
        <f>""</f>
        <v/>
      </c>
    </row>
    <row r="18245" spans="1:7" x14ac:dyDescent="0.25">
      <c r="A18245" t="s">
        <v>8</v>
      </c>
      <c r="B18245" s="1" t="str">
        <f>"000306154 - RICHS-IKEA"</f>
        <v>000306154 - RICHS-IKEA</v>
      </c>
      <c r="C18245" t="s">
        <v>463</v>
      </c>
      <c r="D18245" s="1" t="str">
        <f t="shared" si="493"/>
        <v>PRG-1046013</v>
      </c>
      <c r="E18245" t="s">
        <v>464</v>
      </c>
      <c r="F18245" t="s">
        <v>4</v>
      </c>
      <c r="G18245" t="str">
        <f>""</f>
        <v/>
      </c>
    </row>
    <row r="18246" spans="1:7" x14ac:dyDescent="0.25">
      <c r="A18246" t="s">
        <v>8</v>
      </c>
      <c r="B18246" s="1" t="str">
        <f>"000309048 - RICHS-IKEA"</f>
        <v>000309048 - RICHS-IKEA</v>
      </c>
      <c r="C18246" t="s">
        <v>463</v>
      </c>
      <c r="D18246" s="1" t="str">
        <f t="shared" si="493"/>
        <v>PRG-1046013</v>
      </c>
      <c r="E18246" t="s">
        <v>464</v>
      </c>
      <c r="F18246" t="s">
        <v>4</v>
      </c>
      <c r="G18246" t="str">
        <f>""</f>
        <v/>
      </c>
    </row>
    <row r="18247" spans="1:7" x14ac:dyDescent="0.25">
      <c r="A18247" t="s">
        <v>8</v>
      </c>
      <c r="B18247" s="1" t="str">
        <f>"000309379 - RICH FOODS-IKEA LC"</f>
        <v>000309379 - RICH FOODS-IKEA LC</v>
      </c>
      <c r="C18247" t="s">
        <v>1186</v>
      </c>
      <c r="D18247" s="1" t="str">
        <f t="shared" si="493"/>
        <v>PRG-1046013</v>
      </c>
      <c r="E18247" t="s">
        <v>464</v>
      </c>
      <c r="F18247" t="s">
        <v>4</v>
      </c>
      <c r="G18247" t="str">
        <f>""</f>
        <v/>
      </c>
    </row>
    <row r="18248" spans="1:7" x14ac:dyDescent="0.25">
      <c r="A18248" t="s">
        <v>8</v>
      </c>
      <c r="B18248" s="1" t="str">
        <f>"000315535 - RICH FOODS-IKEA LC"</f>
        <v>000315535 - RICH FOODS-IKEA LC</v>
      </c>
      <c r="C18248" t="s">
        <v>1186</v>
      </c>
      <c r="D18248" s="1" t="str">
        <f t="shared" si="493"/>
        <v>PRG-1046013</v>
      </c>
      <c r="E18248" t="s">
        <v>464</v>
      </c>
      <c r="F18248" t="s">
        <v>4</v>
      </c>
      <c r="G18248" t="str">
        <f>""</f>
        <v/>
      </c>
    </row>
    <row r="18249" spans="1:7" x14ac:dyDescent="0.25">
      <c r="A18249" t="s">
        <v>8</v>
      </c>
      <c r="B18249" s="1" t="str">
        <f>"000317073 - RICH FOODS-IKEA LC"</f>
        <v>000317073 - RICH FOODS-IKEA LC</v>
      </c>
      <c r="C18249" t="s">
        <v>1186</v>
      </c>
      <c r="D18249" s="1" t="str">
        <f t="shared" si="493"/>
        <v>PRG-1046013</v>
      </c>
      <c r="E18249" t="s">
        <v>464</v>
      </c>
      <c r="F18249" t="s">
        <v>4</v>
      </c>
      <c r="G18249" t="str">
        <f>""</f>
        <v/>
      </c>
    </row>
    <row r="18250" spans="1:7" x14ac:dyDescent="0.25">
      <c r="A18250" t="s">
        <v>8</v>
      </c>
      <c r="B18250" s="1" t="str">
        <f>"000323644 - RICH FOODS-IKEA LC"</f>
        <v>000323644 - RICH FOODS-IKEA LC</v>
      </c>
      <c r="C18250" t="s">
        <v>1186</v>
      </c>
      <c r="D18250" s="1" t="str">
        <f t="shared" si="493"/>
        <v>PRG-1046013</v>
      </c>
      <c r="E18250" t="s">
        <v>464</v>
      </c>
      <c r="F18250" t="s">
        <v>4</v>
      </c>
      <c r="G18250" t="str">
        <f>""</f>
        <v/>
      </c>
    </row>
    <row r="18251" spans="1:7" x14ac:dyDescent="0.25">
      <c r="A18251" t="s">
        <v>8</v>
      </c>
      <c r="B18251" s="1" t="str">
        <f>"000326917 - RICH FOODS-IKEA LC"</f>
        <v>000326917 - RICH FOODS-IKEA LC</v>
      </c>
      <c r="C18251" t="s">
        <v>1186</v>
      </c>
      <c r="D18251" s="1" t="str">
        <f t="shared" si="493"/>
        <v>PRG-1046013</v>
      </c>
      <c r="E18251" t="s">
        <v>464</v>
      </c>
      <c r="F18251" t="s">
        <v>4</v>
      </c>
      <c r="G18251" t="str">
        <f>""</f>
        <v/>
      </c>
    </row>
    <row r="18252" spans="1:7" x14ac:dyDescent="0.25">
      <c r="A18252" t="s">
        <v>8</v>
      </c>
      <c r="B18252" s="1" t="str">
        <f>"000333356 - RICHS-IKEA"</f>
        <v>000333356 - RICHS-IKEA</v>
      </c>
      <c r="C18252" t="s">
        <v>463</v>
      </c>
      <c r="D18252" s="1" t="str">
        <f t="shared" si="493"/>
        <v>PRG-1046013</v>
      </c>
      <c r="E18252" t="s">
        <v>464</v>
      </c>
      <c r="F18252" t="s">
        <v>4</v>
      </c>
      <c r="G18252" t="str">
        <f>""</f>
        <v/>
      </c>
    </row>
    <row r="18253" spans="1:7" x14ac:dyDescent="0.25">
      <c r="A18253" t="s">
        <v>8</v>
      </c>
      <c r="B18253" s="1" t="str">
        <f>"000334045 - RICH FOODS-IKEA LC"</f>
        <v>000334045 - RICH FOODS-IKEA LC</v>
      </c>
      <c r="C18253" t="s">
        <v>1186</v>
      </c>
      <c r="D18253" s="1" t="str">
        <f t="shared" si="493"/>
        <v>PRG-1046013</v>
      </c>
      <c r="E18253" t="s">
        <v>464</v>
      </c>
      <c r="F18253" t="s">
        <v>4</v>
      </c>
      <c r="G18253" t="str">
        <f>""</f>
        <v/>
      </c>
    </row>
    <row r="18254" spans="1:7" x14ac:dyDescent="0.25">
      <c r="A18254" t="s">
        <v>8</v>
      </c>
      <c r="B18254" s="1" t="str">
        <f>"000364232 - RICHS-IKEA"</f>
        <v>000364232 - RICHS-IKEA</v>
      </c>
      <c r="C18254" t="s">
        <v>463</v>
      </c>
      <c r="D18254" s="1" t="str">
        <f t="shared" si="493"/>
        <v>PRG-1046013</v>
      </c>
      <c r="E18254" t="s">
        <v>464</v>
      </c>
      <c r="F18254" t="s">
        <v>4</v>
      </c>
      <c r="G18254" t="str">
        <f>""</f>
        <v/>
      </c>
    </row>
    <row r="18255" spans="1:7" x14ac:dyDescent="0.25">
      <c r="A18255" t="s">
        <v>8</v>
      </c>
      <c r="B18255" s="1" t="str">
        <f>"000381092 - RICHS-IKEA"</f>
        <v>000381092 - RICHS-IKEA</v>
      </c>
      <c r="C18255" t="s">
        <v>463</v>
      </c>
      <c r="D18255" s="1" t="str">
        <f t="shared" si="493"/>
        <v>PRG-1046013</v>
      </c>
      <c r="E18255" t="s">
        <v>464</v>
      </c>
      <c r="F18255" t="s">
        <v>4</v>
      </c>
      <c r="G18255" t="str">
        <f>""</f>
        <v/>
      </c>
    </row>
    <row r="18256" spans="1:7" x14ac:dyDescent="0.25">
      <c r="A18256" t="s">
        <v>8</v>
      </c>
      <c r="B18256" s="1" t="str">
        <f>"000382239 - RICHS-IKEA"</f>
        <v>000382239 - RICHS-IKEA</v>
      </c>
      <c r="C18256" t="s">
        <v>463</v>
      </c>
      <c r="D18256" s="1" t="str">
        <f t="shared" si="493"/>
        <v>PRG-1046013</v>
      </c>
      <c r="E18256" t="s">
        <v>464</v>
      </c>
      <c r="F18256" t="s">
        <v>4</v>
      </c>
      <c r="G18256" t="str">
        <f>""</f>
        <v/>
      </c>
    </row>
    <row r="18257" spans="1:7" x14ac:dyDescent="0.25">
      <c r="A18257" t="s">
        <v>8</v>
      </c>
      <c r="B18257" s="1" t="str">
        <f>"000384337 - RICHS-IKEA"</f>
        <v>000384337 - RICHS-IKEA</v>
      </c>
      <c r="C18257" t="s">
        <v>463</v>
      </c>
      <c r="D18257" s="1" t="str">
        <f t="shared" si="493"/>
        <v>PRG-1046013</v>
      </c>
      <c r="E18257" t="s">
        <v>464</v>
      </c>
      <c r="F18257" t="s">
        <v>4</v>
      </c>
      <c r="G18257" t="str">
        <f>""</f>
        <v/>
      </c>
    </row>
    <row r="18258" spans="1:7" x14ac:dyDescent="0.25">
      <c r="A18258" t="s">
        <v>8</v>
      </c>
      <c r="B18258" s="1" t="str">
        <f>"000392979 - RICHS-IKEA"</f>
        <v>000392979 - RICHS-IKEA</v>
      </c>
      <c r="C18258" t="s">
        <v>463</v>
      </c>
      <c r="D18258" s="1" t="str">
        <f t="shared" si="493"/>
        <v>PRG-1046013</v>
      </c>
      <c r="E18258" t="s">
        <v>464</v>
      </c>
      <c r="F18258" t="s">
        <v>4</v>
      </c>
      <c r="G18258" t="str">
        <f>""</f>
        <v/>
      </c>
    </row>
    <row r="18259" spans="1:7" x14ac:dyDescent="0.25">
      <c r="A18259" t="s">
        <v>8</v>
      </c>
      <c r="B18259" s="1" t="str">
        <f>"000395916 - RICHS-IKEA"</f>
        <v>000395916 - RICHS-IKEA</v>
      </c>
      <c r="C18259" t="s">
        <v>463</v>
      </c>
      <c r="D18259" s="1" t="str">
        <f t="shared" si="493"/>
        <v>PRG-1046013</v>
      </c>
      <c r="E18259" t="s">
        <v>464</v>
      </c>
      <c r="F18259" t="s">
        <v>4</v>
      </c>
      <c r="G18259" t="str">
        <f>""</f>
        <v/>
      </c>
    </row>
    <row r="18260" spans="1:7" x14ac:dyDescent="0.25">
      <c r="A18260" t="s">
        <v>8</v>
      </c>
      <c r="B18260" s="1" t="str">
        <f>"000408236 - RICHS-IKEA"</f>
        <v>000408236 - RICHS-IKEA</v>
      </c>
      <c r="C18260" t="s">
        <v>463</v>
      </c>
      <c r="D18260" s="1" t="str">
        <f t="shared" si="493"/>
        <v>PRG-1046013</v>
      </c>
      <c r="E18260" t="s">
        <v>464</v>
      </c>
      <c r="F18260" t="s">
        <v>4</v>
      </c>
      <c r="G18260" t="str">
        <f>""</f>
        <v/>
      </c>
    </row>
    <row r="18261" spans="1:7" x14ac:dyDescent="0.25">
      <c r="A18261" t="s">
        <v>8</v>
      </c>
      <c r="B18261" s="1" t="str">
        <f>"000429929 - RICHS-IKEA"</f>
        <v>000429929 - RICHS-IKEA</v>
      </c>
      <c r="C18261" t="s">
        <v>463</v>
      </c>
      <c r="D18261" s="1" t="str">
        <f t="shared" si="493"/>
        <v>PRG-1046013</v>
      </c>
      <c r="E18261" t="s">
        <v>464</v>
      </c>
      <c r="F18261" t="s">
        <v>4</v>
      </c>
      <c r="G18261" t="str">
        <f>""</f>
        <v/>
      </c>
    </row>
    <row r="18262" spans="1:7" x14ac:dyDescent="0.25">
      <c r="A18262" t="s">
        <v>8</v>
      </c>
      <c r="B18262" s="1" t="str">
        <f>"2000349345 - RICH FOODS-IKEA"</f>
        <v>2000349345 - RICH FOODS-IKEA</v>
      </c>
      <c r="C18262" t="s">
        <v>3848</v>
      </c>
      <c r="D18262" s="1" t="str">
        <f t="shared" si="493"/>
        <v>PRG-1046013</v>
      </c>
      <c r="E18262" t="s">
        <v>464</v>
      </c>
      <c r="F18262" t="s">
        <v>4</v>
      </c>
      <c r="G18262" t="str">
        <f>""</f>
        <v/>
      </c>
    </row>
    <row r="18263" spans="1:7" x14ac:dyDescent="0.25">
      <c r="A18263" t="s">
        <v>8</v>
      </c>
      <c r="B18263" s="1" t="str">
        <f>"2180E199"</f>
        <v>2180E199</v>
      </c>
      <c r="C18263" t="s">
        <v>4202</v>
      </c>
      <c r="D18263" s="1" t="str">
        <f t="shared" ref="D18263:D18294" si="494">"PRG-1046116"</f>
        <v>PRG-1046116</v>
      </c>
      <c r="E18263" t="s">
        <v>4203</v>
      </c>
      <c r="F18263" t="s">
        <v>5</v>
      </c>
      <c r="G18263" t="str">
        <f>""</f>
        <v/>
      </c>
    </row>
    <row r="18264" spans="1:7" x14ac:dyDescent="0.25">
      <c r="A18264" t="s">
        <v>8</v>
      </c>
      <c r="B18264" s="1" t="str">
        <f>"2180F260"</f>
        <v>2180F260</v>
      </c>
      <c r="C18264" t="s">
        <v>4204</v>
      </c>
      <c r="D18264" s="1" t="str">
        <f t="shared" si="494"/>
        <v>PRG-1046116</v>
      </c>
      <c r="E18264" t="s">
        <v>4203</v>
      </c>
      <c r="F18264" t="s">
        <v>5</v>
      </c>
      <c r="G18264" t="str">
        <f>""</f>
        <v/>
      </c>
    </row>
    <row r="18265" spans="1:7" x14ac:dyDescent="0.25">
      <c r="A18265" t="s">
        <v>8</v>
      </c>
      <c r="B18265" s="1" t="str">
        <f>"6026CX56"</f>
        <v>6026CX56</v>
      </c>
      <c r="C18265" t="s">
        <v>5035</v>
      </c>
      <c r="D18265" s="1" t="str">
        <f t="shared" si="494"/>
        <v>PRG-1046116</v>
      </c>
      <c r="E18265" t="s">
        <v>4203</v>
      </c>
      <c r="F18265" t="s">
        <v>5</v>
      </c>
      <c r="G18265" t="str">
        <f>""</f>
        <v/>
      </c>
    </row>
    <row r="18266" spans="1:7" x14ac:dyDescent="0.25">
      <c r="A18266" t="s">
        <v>8</v>
      </c>
      <c r="B18266" s="1" t="str">
        <f>"6026CY04"</f>
        <v>6026CY04</v>
      </c>
      <c r="C18266" t="s">
        <v>5036</v>
      </c>
      <c r="D18266" s="1" t="str">
        <f t="shared" si="494"/>
        <v>PRG-1046116</v>
      </c>
      <c r="E18266" t="s">
        <v>4203</v>
      </c>
      <c r="F18266" t="s">
        <v>5</v>
      </c>
      <c r="G18266" t="str">
        <f>""</f>
        <v/>
      </c>
    </row>
    <row r="18267" spans="1:7" x14ac:dyDescent="0.25">
      <c r="A18267" t="s">
        <v>8</v>
      </c>
      <c r="B18267" s="1" t="str">
        <f>"6026CY05"</f>
        <v>6026CY05</v>
      </c>
      <c r="C18267" t="s">
        <v>5037</v>
      </c>
      <c r="D18267" s="1" t="str">
        <f t="shared" si="494"/>
        <v>PRG-1046116</v>
      </c>
      <c r="E18267" t="s">
        <v>4203</v>
      </c>
      <c r="F18267" t="s">
        <v>5</v>
      </c>
      <c r="G18267" t="str">
        <f>""</f>
        <v/>
      </c>
    </row>
    <row r="18268" spans="1:7" x14ac:dyDescent="0.25">
      <c r="A18268" t="s">
        <v>8</v>
      </c>
      <c r="B18268" s="1" t="str">
        <f>"6026CY06"</f>
        <v>6026CY06</v>
      </c>
      <c r="C18268" t="s">
        <v>5038</v>
      </c>
      <c r="D18268" s="1" t="str">
        <f t="shared" si="494"/>
        <v>PRG-1046116</v>
      </c>
      <c r="E18268" t="s">
        <v>4203</v>
      </c>
      <c r="F18268" t="s">
        <v>5</v>
      </c>
      <c r="G18268" t="str">
        <f>""</f>
        <v/>
      </c>
    </row>
    <row r="18269" spans="1:7" x14ac:dyDescent="0.25">
      <c r="A18269" t="s">
        <v>8</v>
      </c>
      <c r="B18269" s="1" t="str">
        <f>"6026CY08"</f>
        <v>6026CY08</v>
      </c>
      <c r="C18269" t="s">
        <v>5041</v>
      </c>
      <c r="D18269" s="1" t="str">
        <f t="shared" si="494"/>
        <v>PRG-1046116</v>
      </c>
      <c r="E18269" t="s">
        <v>4203</v>
      </c>
      <c r="F18269" t="s">
        <v>5</v>
      </c>
      <c r="G18269" t="str">
        <f>""</f>
        <v/>
      </c>
    </row>
    <row r="18270" spans="1:7" x14ac:dyDescent="0.25">
      <c r="A18270" t="s">
        <v>8</v>
      </c>
      <c r="B18270" s="1" t="str">
        <f>"6026CY09"</f>
        <v>6026CY09</v>
      </c>
      <c r="C18270" t="s">
        <v>5042</v>
      </c>
      <c r="D18270" s="1" t="str">
        <f t="shared" si="494"/>
        <v>PRG-1046116</v>
      </c>
      <c r="E18270" t="s">
        <v>4203</v>
      </c>
      <c r="F18270" t="s">
        <v>5</v>
      </c>
      <c r="G18270" t="str">
        <f>""</f>
        <v/>
      </c>
    </row>
    <row r="18271" spans="1:7" x14ac:dyDescent="0.25">
      <c r="A18271" t="s">
        <v>8</v>
      </c>
      <c r="B18271" s="1" t="str">
        <f>"6026CY11"</f>
        <v>6026CY11</v>
      </c>
      <c r="C18271" t="s">
        <v>5043</v>
      </c>
      <c r="D18271" s="1" t="str">
        <f t="shared" si="494"/>
        <v>PRG-1046116</v>
      </c>
      <c r="E18271" t="s">
        <v>4203</v>
      </c>
      <c r="F18271" t="s">
        <v>5</v>
      </c>
      <c r="G18271" t="str">
        <f>""</f>
        <v/>
      </c>
    </row>
    <row r="18272" spans="1:7" x14ac:dyDescent="0.25">
      <c r="A18272" t="s">
        <v>8</v>
      </c>
      <c r="B18272" s="1" t="str">
        <f>"6026CY12"</f>
        <v>6026CY12</v>
      </c>
      <c r="C18272" t="s">
        <v>5044</v>
      </c>
      <c r="D18272" s="1" t="str">
        <f t="shared" si="494"/>
        <v>PRG-1046116</v>
      </c>
      <c r="E18272" t="s">
        <v>4203</v>
      </c>
      <c r="F18272" t="s">
        <v>5</v>
      </c>
      <c r="G18272" t="str">
        <f>""</f>
        <v/>
      </c>
    </row>
    <row r="18273" spans="1:7" x14ac:dyDescent="0.25">
      <c r="A18273" t="s">
        <v>8</v>
      </c>
      <c r="B18273" s="1" t="str">
        <f>"6026CY16"</f>
        <v>6026CY16</v>
      </c>
      <c r="C18273" t="s">
        <v>5046</v>
      </c>
      <c r="D18273" s="1" t="str">
        <f t="shared" si="494"/>
        <v>PRG-1046116</v>
      </c>
      <c r="E18273" t="s">
        <v>4203</v>
      </c>
      <c r="F18273" t="s">
        <v>5</v>
      </c>
      <c r="G18273" t="str">
        <f>""</f>
        <v/>
      </c>
    </row>
    <row r="18274" spans="1:7" x14ac:dyDescent="0.25">
      <c r="A18274" t="s">
        <v>8</v>
      </c>
      <c r="B18274" s="1" t="str">
        <f>"6026CY17"</f>
        <v>6026CY17</v>
      </c>
      <c r="C18274" t="s">
        <v>5046</v>
      </c>
      <c r="D18274" s="1" t="str">
        <f t="shared" si="494"/>
        <v>PRG-1046116</v>
      </c>
      <c r="E18274" t="s">
        <v>4203</v>
      </c>
      <c r="F18274" t="s">
        <v>5</v>
      </c>
      <c r="G18274" t="str">
        <f>""</f>
        <v/>
      </c>
    </row>
    <row r="18275" spans="1:7" x14ac:dyDescent="0.25">
      <c r="A18275" t="s">
        <v>8</v>
      </c>
      <c r="B18275" s="1" t="str">
        <f>"6026E244"</f>
        <v>6026E244</v>
      </c>
      <c r="C18275" t="s">
        <v>5051</v>
      </c>
      <c r="D18275" s="1" t="str">
        <f t="shared" si="494"/>
        <v>PRG-1046116</v>
      </c>
      <c r="E18275" t="s">
        <v>4203</v>
      </c>
      <c r="F18275" t="s">
        <v>5</v>
      </c>
      <c r="G18275" t="str">
        <f>""</f>
        <v/>
      </c>
    </row>
    <row r="18276" spans="1:7" x14ac:dyDescent="0.25">
      <c r="A18276" t="s">
        <v>8</v>
      </c>
      <c r="B18276" s="1" t="str">
        <f>"6026E247"</f>
        <v>6026E247</v>
      </c>
      <c r="C18276" t="s">
        <v>5055</v>
      </c>
      <c r="D18276" s="1" t="str">
        <f t="shared" si="494"/>
        <v>PRG-1046116</v>
      </c>
      <c r="E18276" t="s">
        <v>4203</v>
      </c>
      <c r="F18276" t="s">
        <v>5</v>
      </c>
      <c r="G18276" t="str">
        <f>""</f>
        <v/>
      </c>
    </row>
    <row r="18277" spans="1:7" x14ac:dyDescent="0.25">
      <c r="A18277" t="s">
        <v>8</v>
      </c>
      <c r="B18277" s="1" t="str">
        <f>"6026E310"</f>
        <v>6026E310</v>
      </c>
      <c r="C18277" t="s">
        <v>5056</v>
      </c>
      <c r="D18277" s="1" t="str">
        <f t="shared" si="494"/>
        <v>PRG-1046116</v>
      </c>
      <c r="E18277" t="s">
        <v>4203</v>
      </c>
      <c r="F18277" t="s">
        <v>5</v>
      </c>
      <c r="G18277" t="str">
        <f>""</f>
        <v/>
      </c>
    </row>
    <row r="18278" spans="1:7" x14ac:dyDescent="0.25">
      <c r="A18278" t="s">
        <v>8</v>
      </c>
      <c r="B18278" s="1" t="str">
        <f>"6026E311"</f>
        <v>6026E311</v>
      </c>
      <c r="C18278" t="s">
        <v>5057</v>
      </c>
      <c r="D18278" s="1" t="str">
        <f t="shared" si="494"/>
        <v>PRG-1046116</v>
      </c>
      <c r="E18278" t="s">
        <v>4203</v>
      </c>
      <c r="F18278" t="s">
        <v>5</v>
      </c>
      <c r="G18278" t="str">
        <f>""</f>
        <v/>
      </c>
    </row>
    <row r="18279" spans="1:7" x14ac:dyDescent="0.25">
      <c r="A18279" t="s">
        <v>8</v>
      </c>
      <c r="B18279" s="1" t="str">
        <f>"6026ET66"</f>
        <v>6026ET66</v>
      </c>
      <c r="C18279" t="s">
        <v>5063</v>
      </c>
      <c r="D18279" s="1" t="str">
        <f t="shared" si="494"/>
        <v>PRG-1046116</v>
      </c>
      <c r="E18279" t="s">
        <v>4203</v>
      </c>
      <c r="F18279" t="s">
        <v>5</v>
      </c>
      <c r="G18279" t="str">
        <f>""</f>
        <v/>
      </c>
    </row>
    <row r="18280" spans="1:7" x14ac:dyDescent="0.25">
      <c r="A18280" t="s">
        <v>8</v>
      </c>
      <c r="B18280" s="1" t="str">
        <f>"6026G313"</f>
        <v>6026G313</v>
      </c>
      <c r="C18280" t="s">
        <v>5070</v>
      </c>
      <c r="D18280" s="1" t="str">
        <f t="shared" si="494"/>
        <v>PRG-1046116</v>
      </c>
      <c r="E18280" t="s">
        <v>4203</v>
      </c>
      <c r="F18280" t="s">
        <v>5</v>
      </c>
      <c r="G18280" t="str">
        <f>""</f>
        <v/>
      </c>
    </row>
    <row r="18281" spans="1:7" x14ac:dyDescent="0.25">
      <c r="A18281" t="s">
        <v>8</v>
      </c>
      <c r="B18281" s="1" t="str">
        <f>"6026G314"</f>
        <v>6026G314</v>
      </c>
      <c r="C18281" t="s">
        <v>5071</v>
      </c>
      <c r="D18281" s="1" t="str">
        <f t="shared" si="494"/>
        <v>PRG-1046116</v>
      </c>
      <c r="E18281" t="s">
        <v>4203</v>
      </c>
      <c r="F18281" t="s">
        <v>5</v>
      </c>
      <c r="G18281" t="str">
        <f>""</f>
        <v/>
      </c>
    </row>
    <row r="18282" spans="1:7" x14ac:dyDescent="0.25">
      <c r="A18282" t="s">
        <v>8</v>
      </c>
      <c r="B18282" s="1" t="str">
        <f>"6026GG88"</f>
        <v>6026GG88</v>
      </c>
      <c r="C18282" t="s">
        <v>5073</v>
      </c>
      <c r="D18282" s="1" t="str">
        <f t="shared" si="494"/>
        <v>PRG-1046116</v>
      </c>
      <c r="E18282" t="s">
        <v>4203</v>
      </c>
      <c r="F18282" t="s">
        <v>5</v>
      </c>
      <c r="G18282" t="str">
        <f>""</f>
        <v/>
      </c>
    </row>
    <row r="18283" spans="1:7" x14ac:dyDescent="0.25">
      <c r="A18283" t="s">
        <v>8</v>
      </c>
      <c r="B18283" s="1" t="str">
        <f>"6026HN95"</f>
        <v>6026HN95</v>
      </c>
      <c r="C18283" t="s">
        <v>5080</v>
      </c>
      <c r="D18283" s="1" t="str">
        <f t="shared" si="494"/>
        <v>PRG-1046116</v>
      </c>
      <c r="E18283" t="s">
        <v>4203</v>
      </c>
      <c r="F18283" t="s">
        <v>5</v>
      </c>
      <c r="G18283" t="str">
        <f>""</f>
        <v/>
      </c>
    </row>
    <row r="18284" spans="1:7" x14ac:dyDescent="0.25">
      <c r="A18284" t="s">
        <v>8</v>
      </c>
      <c r="B18284" s="1" t="str">
        <f>"6026HN96"</f>
        <v>6026HN96</v>
      </c>
      <c r="C18284" t="s">
        <v>5081</v>
      </c>
      <c r="D18284" s="1" t="str">
        <f t="shared" si="494"/>
        <v>PRG-1046116</v>
      </c>
      <c r="E18284" t="s">
        <v>4203</v>
      </c>
      <c r="F18284" t="s">
        <v>5</v>
      </c>
      <c r="G18284" t="str">
        <f>""</f>
        <v/>
      </c>
    </row>
    <row r="18285" spans="1:7" x14ac:dyDescent="0.25">
      <c r="A18285" t="s">
        <v>8</v>
      </c>
      <c r="B18285" s="1" t="str">
        <f>"6026JL71"</f>
        <v>6026JL71</v>
      </c>
      <c r="C18285" t="s">
        <v>5088</v>
      </c>
      <c r="D18285" s="1" t="str">
        <f t="shared" si="494"/>
        <v>PRG-1046116</v>
      </c>
      <c r="E18285" t="s">
        <v>4203</v>
      </c>
      <c r="F18285" t="s">
        <v>5</v>
      </c>
      <c r="G18285" t="str">
        <f>""</f>
        <v/>
      </c>
    </row>
    <row r="18286" spans="1:7" x14ac:dyDescent="0.25">
      <c r="A18286" t="s">
        <v>8</v>
      </c>
      <c r="B18286" s="1" t="str">
        <f>"6026JL73"</f>
        <v>6026JL73</v>
      </c>
      <c r="C18286" t="s">
        <v>5089</v>
      </c>
      <c r="D18286" s="1" t="str">
        <f t="shared" si="494"/>
        <v>PRG-1046116</v>
      </c>
      <c r="E18286" t="s">
        <v>4203</v>
      </c>
      <c r="F18286" t="s">
        <v>5</v>
      </c>
      <c r="G18286" t="str">
        <f>""</f>
        <v/>
      </c>
    </row>
    <row r="18287" spans="1:7" x14ac:dyDescent="0.25">
      <c r="A18287" t="s">
        <v>8</v>
      </c>
      <c r="B18287" s="1" t="str">
        <f>"6026JL75"</f>
        <v>6026JL75</v>
      </c>
      <c r="C18287" t="s">
        <v>5090</v>
      </c>
      <c r="D18287" s="1" t="str">
        <f t="shared" si="494"/>
        <v>PRG-1046116</v>
      </c>
      <c r="E18287" t="s">
        <v>4203</v>
      </c>
      <c r="F18287" t="s">
        <v>5</v>
      </c>
      <c r="G18287" t="str">
        <f>""</f>
        <v/>
      </c>
    </row>
    <row r="18288" spans="1:7" x14ac:dyDescent="0.25">
      <c r="A18288" t="s">
        <v>8</v>
      </c>
      <c r="B18288" s="1" t="str">
        <f>"6026JT96"</f>
        <v>6026JT96</v>
      </c>
      <c r="C18288" t="s">
        <v>5091</v>
      </c>
      <c r="D18288" s="1" t="str">
        <f t="shared" si="494"/>
        <v>PRG-1046116</v>
      </c>
      <c r="E18288" t="s">
        <v>4203</v>
      </c>
      <c r="F18288" t="s">
        <v>5</v>
      </c>
      <c r="G18288" t="str">
        <f>""</f>
        <v/>
      </c>
    </row>
    <row r="18289" spans="1:7" x14ac:dyDescent="0.25">
      <c r="A18289" t="s">
        <v>8</v>
      </c>
      <c r="B18289" s="1" t="str">
        <f>"6026PQ99"</f>
        <v>6026PQ99</v>
      </c>
      <c r="C18289" t="s">
        <v>5111</v>
      </c>
      <c r="D18289" s="1" t="str">
        <f t="shared" si="494"/>
        <v>PRG-1046116</v>
      </c>
      <c r="E18289" t="s">
        <v>4203</v>
      </c>
      <c r="F18289" t="s">
        <v>5</v>
      </c>
      <c r="G18289" t="str">
        <f>""</f>
        <v/>
      </c>
    </row>
    <row r="18290" spans="1:7" x14ac:dyDescent="0.25">
      <c r="A18290" t="s">
        <v>8</v>
      </c>
      <c r="B18290" s="1" t="str">
        <f>"6026RX80"</f>
        <v>6026RX80</v>
      </c>
      <c r="C18290" t="s">
        <v>5129</v>
      </c>
      <c r="D18290" s="1" t="str">
        <f t="shared" si="494"/>
        <v>PRG-1046116</v>
      </c>
      <c r="E18290" t="s">
        <v>4203</v>
      </c>
      <c r="F18290" t="s">
        <v>5</v>
      </c>
      <c r="G18290" t="str">
        <f>""</f>
        <v/>
      </c>
    </row>
    <row r="18291" spans="1:7" x14ac:dyDescent="0.25">
      <c r="A18291" t="s">
        <v>8</v>
      </c>
      <c r="B18291" s="1" t="str">
        <f>"6026S389"</f>
        <v>6026S389</v>
      </c>
      <c r="C18291" t="s">
        <v>5046</v>
      </c>
      <c r="D18291" s="1" t="str">
        <f t="shared" si="494"/>
        <v>PRG-1046116</v>
      </c>
      <c r="E18291" t="s">
        <v>4203</v>
      </c>
      <c r="F18291" t="s">
        <v>5</v>
      </c>
      <c r="G18291" t="str">
        <f>""</f>
        <v/>
      </c>
    </row>
    <row r="18292" spans="1:7" x14ac:dyDescent="0.25">
      <c r="A18292" t="s">
        <v>8</v>
      </c>
      <c r="B18292" s="1" t="str">
        <f>"6026S390"</f>
        <v>6026S390</v>
      </c>
      <c r="C18292" t="s">
        <v>5130</v>
      </c>
      <c r="D18292" s="1" t="str">
        <f t="shared" si="494"/>
        <v>PRG-1046116</v>
      </c>
      <c r="E18292" t="s">
        <v>4203</v>
      </c>
      <c r="F18292" t="s">
        <v>5</v>
      </c>
      <c r="G18292" t="str">
        <f>""</f>
        <v/>
      </c>
    </row>
    <row r="18293" spans="1:7" x14ac:dyDescent="0.25">
      <c r="A18293" t="s">
        <v>8</v>
      </c>
      <c r="B18293" s="1" t="str">
        <f>"6026S391"</f>
        <v>6026S391</v>
      </c>
      <c r="C18293" t="s">
        <v>5131</v>
      </c>
      <c r="D18293" s="1" t="str">
        <f t="shared" si="494"/>
        <v>PRG-1046116</v>
      </c>
      <c r="E18293" t="s">
        <v>4203</v>
      </c>
      <c r="F18293" t="s">
        <v>5</v>
      </c>
      <c r="G18293" t="str">
        <f>""</f>
        <v/>
      </c>
    </row>
    <row r="18294" spans="1:7" x14ac:dyDescent="0.25">
      <c r="A18294" t="s">
        <v>8</v>
      </c>
      <c r="B18294" s="1" t="str">
        <f>"6026S392"</f>
        <v>6026S392</v>
      </c>
      <c r="C18294" t="s">
        <v>5132</v>
      </c>
      <c r="D18294" s="1" t="str">
        <f t="shared" si="494"/>
        <v>PRG-1046116</v>
      </c>
      <c r="E18294" t="s">
        <v>4203</v>
      </c>
      <c r="F18294" t="s">
        <v>5</v>
      </c>
      <c r="G18294" t="str">
        <f>""</f>
        <v/>
      </c>
    </row>
    <row r="18295" spans="1:7" x14ac:dyDescent="0.25">
      <c r="A18295" t="s">
        <v>8</v>
      </c>
      <c r="B18295" s="1" t="str">
        <f>"6026S395"</f>
        <v>6026S395</v>
      </c>
      <c r="C18295" t="s">
        <v>5133</v>
      </c>
      <c r="D18295" s="1" t="str">
        <f t="shared" ref="D18295:D18330" si="495">"PRG-1046116"</f>
        <v>PRG-1046116</v>
      </c>
      <c r="E18295" t="s">
        <v>4203</v>
      </c>
      <c r="F18295" t="s">
        <v>5</v>
      </c>
      <c r="G18295" t="str">
        <f>""</f>
        <v/>
      </c>
    </row>
    <row r="18296" spans="1:7" x14ac:dyDescent="0.25">
      <c r="A18296" t="s">
        <v>8</v>
      </c>
      <c r="B18296" s="1" t="str">
        <f>"6026S396"</f>
        <v>6026S396</v>
      </c>
      <c r="C18296" t="s">
        <v>5046</v>
      </c>
      <c r="D18296" s="1" t="str">
        <f t="shared" si="495"/>
        <v>PRG-1046116</v>
      </c>
      <c r="E18296" t="s">
        <v>4203</v>
      </c>
      <c r="F18296" t="s">
        <v>5</v>
      </c>
      <c r="G18296" t="str">
        <f>""</f>
        <v/>
      </c>
    </row>
    <row r="18297" spans="1:7" x14ac:dyDescent="0.25">
      <c r="A18297" t="s">
        <v>8</v>
      </c>
      <c r="B18297" s="1" t="str">
        <f>"6026S398"</f>
        <v>6026S398</v>
      </c>
      <c r="C18297" t="s">
        <v>5134</v>
      </c>
      <c r="D18297" s="1" t="str">
        <f t="shared" si="495"/>
        <v>PRG-1046116</v>
      </c>
      <c r="E18297" t="s">
        <v>4203</v>
      </c>
      <c r="F18297" t="s">
        <v>5</v>
      </c>
      <c r="G18297" t="str">
        <f>""</f>
        <v/>
      </c>
    </row>
    <row r="18298" spans="1:7" x14ac:dyDescent="0.25">
      <c r="A18298" t="s">
        <v>8</v>
      </c>
      <c r="B18298" s="1" t="str">
        <f>"6026S401"</f>
        <v>6026S401</v>
      </c>
      <c r="C18298" t="s">
        <v>5135</v>
      </c>
      <c r="D18298" s="1" t="str">
        <f t="shared" si="495"/>
        <v>PRG-1046116</v>
      </c>
      <c r="E18298" t="s">
        <v>4203</v>
      </c>
      <c r="F18298" t="s">
        <v>5</v>
      </c>
      <c r="G18298" t="str">
        <f>""</f>
        <v/>
      </c>
    </row>
    <row r="18299" spans="1:7" x14ac:dyDescent="0.25">
      <c r="A18299" t="s">
        <v>8</v>
      </c>
      <c r="B18299" s="1" t="str">
        <f>"6026S404"</f>
        <v>6026S404</v>
      </c>
      <c r="C18299" t="s">
        <v>5136</v>
      </c>
      <c r="D18299" s="1" t="str">
        <f t="shared" si="495"/>
        <v>PRG-1046116</v>
      </c>
      <c r="E18299" t="s">
        <v>4203</v>
      </c>
      <c r="F18299" t="s">
        <v>5</v>
      </c>
      <c r="G18299" t="str">
        <f>""</f>
        <v/>
      </c>
    </row>
    <row r="18300" spans="1:7" x14ac:dyDescent="0.25">
      <c r="A18300" t="s">
        <v>8</v>
      </c>
      <c r="B18300" s="1" t="str">
        <f>"6026S408"</f>
        <v>6026S408</v>
      </c>
      <c r="C18300" t="s">
        <v>5138</v>
      </c>
      <c r="D18300" s="1" t="str">
        <f t="shared" si="495"/>
        <v>PRG-1046116</v>
      </c>
      <c r="E18300" t="s">
        <v>4203</v>
      </c>
      <c r="F18300" t="s">
        <v>5</v>
      </c>
      <c r="G18300" t="str">
        <f>""</f>
        <v/>
      </c>
    </row>
    <row r="18301" spans="1:7" x14ac:dyDescent="0.25">
      <c r="A18301" t="s">
        <v>8</v>
      </c>
      <c r="B18301" s="1" t="str">
        <f>"6026S409"</f>
        <v>6026S409</v>
      </c>
      <c r="C18301" t="s">
        <v>5139</v>
      </c>
      <c r="D18301" s="1" t="str">
        <f t="shared" si="495"/>
        <v>PRG-1046116</v>
      </c>
      <c r="E18301" t="s">
        <v>4203</v>
      </c>
      <c r="F18301" t="s">
        <v>5</v>
      </c>
      <c r="G18301" t="str">
        <f>""</f>
        <v/>
      </c>
    </row>
    <row r="18302" spans="1:7" x14ac:dyDescent="0.25">
      <c r="A18302" t="s">
        <v>8</v>
      </c>
      <c r="B18302" s="1" t="str">
        <f>"6026S410"</f>
        <v>6026S410</v>
      </c>
      <c r="C18302" t="s">
        <v>5140</v>
      </c>
      <c r="D18302" s="1" t="str">
        <f t="shared" si="495"/>
        <v>PRG-1046116</v>
      </c>
      <c r="E18302" t="s">
        <v>4203</v>
      </c>
      <c r="F18302" t="s">
        <v>5</v>
      </c>
      <c r="G18302" t="str">
        <f>""</f>
        <v/>
      </c>
    </row>
    <row r="18303" spans="1:7" x14ac:dyDescent="0.25">
      <c r="A18303" t="s">
        <v>8</v>
      </c>
      <c r="B18303" s="1" t="str">
        <f>"6026S411"</f>
        <v>6026S411</v>
      </c>
      <c r="C18303" t="s">
        <v>5141</v>
      </c>
      <c r="D18303" s="1" t="str">
        <f t="shared" si="495"/>
        <v>PRG-1046116</v>
      </c>
      <c r="E18303" t="s">
        <v>4203</v>
      </c>
      <c r="F18303" t="s">
        <v>5</v>
      </c>
      <c r="G18303" t="str">
        <f>""</f>
        <v/>
      </c>
    </row>
    <row r="18304" spans="1:7" x14ac:dyDescent="0.25">
      <c r="A18304" t="s">
        <v>8</v>
      </c>
      <c r="B18304" s="1" t="str">
        <f>"6026S416"</f>
        <v>6026S416</v>
      </c>
      <c r="C18304" t="s">
        <v>5143</v>
      </c>
      <c r="D18304" s="1" t="str">
        <f t="shared" si="495"/>
        <v>PRG-1046116</v>
      </c>
      <c r="E18304" t="s">
        <v>4203</v>
      </c>
      <c r="F18304" t="s">
        <v>5</v>
      </c>
      <c r="G18304" t="str">
        <f>""</f>
        <v/>
      </c>
    </row>
    <row r="18305" spans="1:7" x14ac:dyDescent="0.25">
      <c r="A18305" t="s">
        <v>8</v>
      </c>
      <c r="B18305" s="1" t="str">
        <f>"6026S422"</f>
        <v>6026S422</v>
      </c>
      <c r="C18305" t="s">
        <v>5147</v>
      </c>
      <c r="D18305" s="1" t="str">
        <f t="shared" si="495"/>
        <v>PRG-1046116</v>
      </c>
      <c r="E18305" t="s">
        <v>4203</v>
      </c>
      <c r="F18305" t="s">
        <v>5</v>
      </c>
      <c r="G18305" t="str">
        <f>""</f>
        <v/>
      </c>
    </row>
    <row r="18306" spans="1:7" x14ac:dyDescent="0.25">
      <c r="A18306" t="s">
        <v>8</v>
      </c>
      <c r="B18306" s="1" t="str">
        <f>"6026S423"</f>
        <v>6026S423</v>
      </c>
      <c r="C18306" t="s">
        <v>5148</v>
      </c>
      <c r="D18306" s="1" t="str">
        <f t="shared" si="495"/>
        <v>PRG-1046116</v>
      </c>
      <c r="E18306" t="s">
        <v>4203</v>
      </c>
      <c r="F18306" t="s">
        <v>5</v>
      </c>
      <c r="G18306" t="str">
        <f>""</f>
        <v/>
      </c>
    </row>
    <row r="18307" spans="1:7" x14ac:dyDescent="0.25">
      <c r="A18307" t="s">
        <v>8</v>
      </c>
      <c r="B18307" s="1" t="str">
        <f>"6026S424"</f>
        <v>6026S424</v>
      </c>
      <c r="C18307" t="s">
        <v>5149</v>
      </c>
      <c r="D18307" s="1" t="str">
        <f t="shared" si="495"/>
        <v>PRG-1046116</v>
      </c>
      <c r="E18307" t="s">
        <v>4203</v>
      </c>
      <c r="F18307" t="s">
        <v>5</v>
      </c>
      <c r="G18307" t="str">
        <f>""</f>
        <v/>
      </c>
    </row>
    <row r="18308" spans="1:7" x14ac:dyDescent="0.25">
      <c r="A18308" t="s">
        <v>8</v>
      </c>
      <c r="B18308" s="1" t="str">
        <f>"6026S426"</f>
        <v>6026S426</v>
      </c>
      <c r="C18308" t="s">
        <v>5150</v>
      </c>
      <c r="D18308" s="1" t="str">
        <f t="shared" si="495"/>
        <v>PRG-1046116</v>
      </c>
      <c r="E18308" t="s">
        <v>4203</v>
      </c>
      <c r="F18308" t="s">
        <v>5</v>
      </c>
      <c r="G18308" t="str">
        <f>""</f>
        <v/>
      </c>
    </row>
    <row r="18309" spans="1:7" x14ac:dyDescent="0.25">
      <c r="A18309" t="s">
        <v>8</v>
      </c>
      <c r="B18309" s="1" t="str">
        <f>"6026TW78"</f>
        <v>6026TW78</v>
      </c>
      <c r="C18309" t="s">
        <v>5161</v>
      </c>
      <c r="D18309" s="1" t="str">
        <f t="shared" si="495"/>
        <v>PRG-1046116</v>
      </c>
      <c r="E18309" t="s">
        <v>4203</v>
      </c>
      <c r="F18309" t="s">
        <v>5</v>
      </c>
      <c r="G18309" t="str">
        <f>""</f>
        <v/>
      </c>
    </row>
    <row r="18310" spans="1:7" x14ac:dyDescent="0.25">
      <c r="A18310" t="s">
        <v>8</v>
      </c>
      <c r="B18310" s="1" t="str">
        <f>"6026V617"</f>
        <v>6026V617</v>
      </c>
      <c r="C18310" t="s">
        <v>5163</v>
      </c>
      <c r="D18310" s="1" t="str">
        <f t="shared" si="495"/>
        <v>PRG-1046116</v>
      </c>
      <c r="E18310" t="s">
        <v>4203</v>
      </c>
      <c r="F18310" t="s">
        <v>5</v>
      </c>
      <c r="G18310" t="str">
        <f>""</f>
        <v/>
      </c>
    </row>
    <row r="18311" spans="1:7" x14ac:dyDescent="0.25">
      <c r="A18311" t="s">
        <v>8</v>
      </c>
      <c r="B18311" s="1" t="str">
        <f>"6026V618"</f>
        <v>6026V618</v>
      </c>
      <c r="C18311" t="s">
        <v>5164</v>
      </c>
      <c r="D18311" s="1" t="str">
        <f t="shared" si="495"/>
        <v>PRG-1046116</v>
      </c>
      <c r="E18311" t="s">
        <v>4203</v>
      </c>
      <c r="F18311" t="s">
        <v>5</v>
      </c>
      <c r="G18311" t="str">
        <f>""</f>
        <v/>
      </c>
    </row>
    <row r="18312" spans="1:7" x14ac:dyDescent="0.25">
      <c r="A18312" t="s">
        <v>8</v>
      </c>
      <c r="B18312" s="1" t="str">
        <f>"6026V619"</f>
        <v>6026V619</v>
      </c>
      <c r="C18312" t="s">
        <v>5163</v>
      </c>
      <c r="D18312" s="1" t="str">
        <f t="shared" si="495"/>
        <v>PRG-1046116</v>
      </c>
      <c r="E18312" t="s">
        <v>4203</v>
      </c>
      <c r="F18312" t="s">
        <v>5</v>
      </c>
      <c r="G18312" t="str">
        <f>""</f>
        <v/>
      </c>
    </row>
    <row r="18313" spans="1:7" x14ac:dyDescent="0.25">
      <c r="A18313" t="s">
        <v>8</v>
      </c>
      <c r="B18313" s="1" t="str">
        <f>"6026V621"</f>
        <v>6026V621</v>
      </c>
      <c r="C18313" t="s">
        <v>5165</v>
      </c>
      <c r="D18313" s="1" t="str">
        <f t="shared" si="495"/>
        <v>PRG-1046116</v>
      </c>
      <c r="E18313" t="s">
        <v>4203</v>
      </c>
      <c r="F18313" t="s">
        <v>5</v>
      </c>
      <c r="G18313" t="str">
        <f>""</f>
        <v/>
      </c>
    </row>
    <row r="18314" spans="1:7" x14ac:dyDescent="0.25">
      <c r="A18314" t="s">
        <v>8</v>
      </c>
      <c r="B18314" s="1" t="str">
        <f>"6026XY19"</f>
        <v>6026XY19</v>
      </c>
      <c r="C18314" t="s">
        <v>5178</v>
      </c>
      <c r="D18314" s="1" t="str">
        <f t="shared" si="495"/>
        <v>PRG-1046116</v>
      </c>
      <c r="E18314" t="s">
        <v>4203</v>
      </c>
      <c r="F18314" t="s">
        <v>5</v>
      </c>
      <c r="G18314" t="str">
        <f>""</f>
        <v/>
      </c>
    </row>
    <row r="18315" spans="1:7" x14ac:dyDescent="0.25">
      <c r="A18315" t="s">
        <v>8</v>
      </c>
      <c r="B18315" s="1" t="str">
        <f>"60275012"</f>
        <v>60275012</v>
      </c>
      <c r="C18315" t="s">
        <v>5193</v>
      </c>
      <c r="D18315" s="1" t="str">
        <f t="shared" si="495"/>
        <v>PRG-1046116</v>
      </c>
      <c r="E18315" t="s">
        <v>4203</v>
      </c>
      <c r="F18315" t="s">
        <v>5</v>
      </c>
      <c r="G18315" t="str">
        <f>""</f>
        <v/>
      </c>
    </row>
    <row r="18316" spans="1:7" x14ac:dyDescent="0.25">
      <c r="A18316" t="s">
        <v>8</v>
      </c>
      <c r="B18316" s="1" t="str">
        <f>"60291839"</f>
        <v>60291839</v>
      </c>
      <c r="C18316" t="s">
        <v>5225</v>
      </c>
      <c r="D18316" s="1" t="str">
        <f t="shared" si="495"/>
        <v>PRG-1046116</v>
      </c>
      <c r="E18316" t="s">
        <v>4203</v>
      </c>
      <c r="F18316" t="s">
        <v>5</v>
      </c>
      <c r="G18316" t="str">
        <f>""</f>
        <v/>
      </c>
    </row>
    <row r="18317" spans="1:7" x14ac:dyDescent="0.25">
      <c r="A18317" t="s">
        <v>8</v>
      </c>
      <c r="B18317" s="1" t="str">
        <f>"60318959"</f>
        <v>60318959</v>
      </c>
      <c r="C18317" t="s">
        <v>5285</v>
      </c>
      <c r="D18317" s="1" t="str">
        <f t="shared" si="495"/>
        <v>PRG-1046116</v>
      </c>
      <c r="E18317" t="s">
        <v>4203</v>
      </c>
      <c r="F18317" t="s">
        <v>5</v>
      </c>
      <c r="G18317" t="str">
        <f>""</f>
        <v/>
      </c>
    </row>
    <row r="18318" spans="1:7" x14ac:dyDescent="0.25">
      <c r="A18318" t="s">
        <v>8</v>
      </c>
      <c r="B18318" s="1" t="str">
        <f>"62264523"</f>
        <v>62264523</v>
      </c>
      <c r="C18318" t="s">
        <v>5292</v>
      </c>
      <c r="D18318" s="1" t="str">
        <f t="shared" si="495"/>
        <v>PRG-1046116</v>
      </c>
      <c r="E18318" t="s">
        <v>4203</v>
      </c>
      <c r="F18318" t="s">
        <v>5</v>
      </c>
      <c r="G18318" t="str">
        <f>""</f>
        <v/>
      </c>
    </row>
    <row r="18319" spans="1:7" x14ac:dyDescent="0.25">
      <c r="A18319" t="s">
        <v>8</v>
      </c>
      <c r="B18319" s="1" t="str">
        <f>"S1Z001I0"</f>
        <v>S1Z001I0</v>
      </c>
      <c r="C18319" t="s">
        <v>5328</v>
      </c>
      <c r="D18319" s="1" t="str">
        <f t="shared" si="495"/>
        <v>PRG-1046116</v>
      </c>
      <c r="E18319" t="s">
        <v>4203</v>
      </c>
      <c r="F18319" t="s">
        <v>5</v>
      </c>
      <c r="G18319" t="str">
        <f>""</f>
        <v/>
      </c>
    </row>
    <row r="18320" spans="1:7" x14ac:dyDescent="0.25">
      <c r="A18320" t="s">
        <v>8</v>
      </c>
      <c r="B18320" s="1" t="str">
        <f>"S1Z03R80"</f>
        <v>S1Z03R80</v>
      </c>
      <c r="C18320" t="s">
        <v>5336</v>
      </c>
      <c r="D18320" s="1" t="str">
        <f t="shared" si="495"/>
        <v>PRG-1046116</v>
      </c>
      <c r="E18320" t="s">
        <v>4203</v>
      </c>
      <c r="F18320" t="s">
        <v>5</v>
      </c>
      <c r="G18320" t="str">
        <f>""</f>
        <v/>
      </c>
    </row>
    <row r="18321" spans="1:7" x14ac:dyDescent="0.25">
      <c r="A18321" t="s">
        <v>8</v>
      </c>
      <c r="B18321" s="1" t="str">
        <f>"S1Z042C0"</f>
        <v>S1Z042C0</v>
      </c>
      <c r="C18321" t="s">
        <v>5336</v>
      </c>
      <c r="D18321" s="1" t="str">
        <f t="shared" si="495"/>
        <v>PRG-1046116</v>
      </c>
      <c r="E18321" t="s">
        <v>4203</v>
      </c>
      <c r="F18321" t="s">
        <v>5</v>
      </c>
      <c r="G18321" t="str">
        <f>""</f>
        <v/>
      </c>
    </row>
    <row r="18322" spans="1:7" x14ac:dyDescent="0.25">
      <c r="A18322" t="s">
        <v>8</v>
      </c>
      <c r="B18322" s="1" t="str">
        <f>"S1Z04NG0"</f>
        <v>S1Z04NG0</v>
      </c>
      <c r="C18322" t="s">
        <v>5337</v>
      </c>
      <c r="D18322" s="1" t="str">
        <f t="shared" si="495"/>
        <v>PRG-1046116</v>
      </c>
      <c r="E18322" t="s">
        <v>4203</v>
      </c>
      <c r="F18322" t="s">
        <v>5</v>
      </c>
      <c r="G18322" t="str">
        <f>""</f>
        <v/>
      </c>
    </row>
    <row r="18323" spans="1:7" x14ac:dyDescent="0.25">
      <c r="A18323" t="s">
        <v>8</v>
      </c>
      <c r="B18323" s="1" t="str">
        <f>"S1Z04O60"</f>
        <v>S1Z04O60</v>
      </c>
      <c r="C18323" t="s">
        <v>5337</v>
      </c>
      <c r="D18323" s="1" t="str">
        <f t="shared" si="495"/>
        <v>PRG-1046116</v>
      </c>
      <c r="E18323" t="s">
        <v>4203</v>
      </c>
      <c r="F18323" t="s">
        <v>5</v>
      </c>
      <c r="G18323" t="str">
        <f>""</f>
        <v/>
      </c>
    </row>
    <row r="18324" spans="1:7" x14ac:dyDescent="0.25">
      <c r="A18324" t="s">
        <v>8</v>
      </c>
      <c r="B18324" s="1" t="str">
        <f>"S1Z04RP0"</f>
        <v>S1Z04RP0</v>
      </c>
      <c r="C18324" t="s">
        <v>5337</v>
      </c>
      <c r="D18324" s="1" t="str">
        <f t="shared" si="495"/>
        <v>PRG-1046116</v>
      </c>
      <c r="E18324" t="s">
        <v>4203</v>
      </c>
      <c r="F18324" t="s">
        <v>5</v>
      </c>
      <c r="G18324" t="str">
        <f>""</f>
        <v/>
      </c>
    </row>
    <row r="18325" spans="1:7" x14ac:dyDescent="0.25">
      <c r="A18325" t="s">
        <v>8</v>
      </c>
      <c r="B18325" s="1" t="str">
        <f>"S1Z04W60"</f>
        <v>S1Z04W60</v>
      </c>
      <c r="C18325" t="s">
        <v>5337</v>
      </c>
      <c r="D18325" s="1" t="str">
        <f t="shared" si="495"/>
        <v>PRG-1046116</v>
      </c>
      <c r="E18325" t="s">
        <v>4203</v>
      </c>
      <c r="F18325" t="s">
        <v>5</v>
      </c>
      <c r="G18325" t="str">
        <f>""</f>
        <v/>
      </c>
    </row>
    <row r="18326" spans="1:7" x14ac:dyDescent="0.25">
      <c r="A18326" t="s">
        <v>8</v>
      </c>
      <c r="B18326" s="1" t="str">
        <f>"T1Z0002H"</f>
        <v>T1Z0002H</v>
      </c>
      <c r="C18326" t="s">
        <v>6387</v>
      </c>
      <c r="D18326" s="1" t="str">
        <f t="shared" si="495"/>
        <v>PRG-1046116</v>
      </c>
      <c r="E18326" t="s">
        <v>4203</v>
      </c>
      <c r="F18326" t="s">
        <v>5</v>
      </c>
      <c r="G18326" t="str">
        <f>""</f>
        <v/>
      </c>
    </row>
    <row r="18327" spans="1:7" x14ac:dyDescent="0.25">
      <c r="A18327" t="s">
        <v>8</v>
      </c>
      <c r="B18327" s="1" t="str">
        <f>"T1Z005TK"</f>
        <v>T1Z005TK</v>
      </c>
      <c r="C18327" t="s">
        <v>6390</v>
      </c>
      <c r="D18327" s="1" t="str">
        <f t="shared" si="495"/>
        <v>PRG-1046116</v>
      </c>
      <c r="E18327" t="s">
        <v>4203</v>
      </c>
      <c r="F18327" t="s">
        <v>5</v>
      </c>
      <c r="G18327" t="str">
        <f>""</f>
        <v/>
      </c>
    </row>
    <row r="18328" spans="1:7" x14ac:dyDescent="0.25">
      <c r="A18328" t="s">
        <v>8</v>
      </c>
      <c r="B18328" s="1" t="str">
        <f>"T1Z00687"</f>
        <v>T1Z00687</v>
      </c>
      <c r="C18328" t="s">
        <v>6391</v>
      </c>
      <c r="D18328" s="1" t="str">
        <f t="shared" si="495"/>
        <v>PRG-1046116</v>
      </c>
      <c r="E18328" t="s">
        <v>4203</v>
      </c>
      <c r="F18328" t="s">
        <v>5</v>
      </c>
      <c r="G18328" t="str">
        <f>""</f>
        <v/>
      </c>
    </row>
    <row r="18329" spans="1:7" x14ac:dyDescent="0.25">
      <c r="A18329" t="s">
        <v>8</v>
      </c>
      <c r="B18329" s="1" t="str">
        <f>"T1Z00AWY"</f>
        <v>T1Z00AWY</v>
      </c>
      <c r="C18329" t="s">
        <v>6396</v>
      </c>
      <c r="D18329" s="1" t="str">
        <f t="shared" si="495"/>
        <v>PRG-1046116</v>
      </c>
      <c r="E18329" t="s">
        <v>4203</v>
      </c>
      <c r="F18329" t="s">
        <v>5</v>
      </c>
      <c r="G18329" t="str">
        <f>""</f>
        <v/>
      </c>
    </row>
    <row r="18330" spans="1:7" x14ac:dyDescent="0.25">
      <c r="A18330" t="s">
        <v>8</v>
      </c>
      <c r="B18330" s="1" t="str">
        <f>"T1Z00EMV"</f>
        <v>T1Z00EMV</v>
      </c>
      <c r="C18330" t="s">
        <v>6400</v>
      </c>
      <c r="D18330" s="1" t="str">
        <f t="shared" si="495"/>
        <v>PRG-1046116</v>
      </c>
      <c r="E18330" t="s">
        <v>4203</v>
      </c>
      <c r="F18330" t="s">
        <v>5</v>
      </c>
      <c r="G18330" t="str">
        <f>""</f>
        <v/>
      </c>
    </row>
    <row r="18331" spans="1:7" x14ac:dyDescent="0.25">
      <c r="A18331" t="s">
        <v>8</v>
      </c>
      <c r="B18331" s="1" t="str">
        <f>"6026LB11"</f>
        <v>6026LB11</v>
      </c>
      <c r="C18331" t="s">
        <v>5103</v>
      </c>
      <c r="D18331" s="1" t="str">
        <f>"PRG-1046118"</f>
        <v>PRG-1046118</v>
      </c>
      <c r="E18331" t="s">
        <v>5104</v>
      </c>
      <c r="F18331" t="s">
        <v>5</v>
      </c>
      <c r="G18331" t="str">
        <f>""</f>
        <v/>
      </c>
    </row>
    <row r="18332" spans="1:7" x14ac:dyDescent="0.25">
      <c r="A18332" t="s">
        <v>8</v>
      </c>
      <c r="B18332" s="1" t="str">
        <f>"S3V013M0"</f>
        <v>S3V013M0</v>
      </c>
      <c r="C18332" t="s">
        <v>5682</v>
      </c>
      <c r="D18332" s="1" t="str">
        <f>"PRG-1046160"</f>
        <v>PRG-1046160</v>
      </c>
      <c r="E18332" t="s">
        <v>5683</v>
      </c>
      <c r="F18332" t="s">
        <v>5</v>
      </c>
      <c r="G18332" t="str">
        <f>""</f>
        <v/>
      </c>
    </row>
    <row r="18333" spans="1:7" x14ac:dyDescent="0.25">
      <c r="A18333" t="s">
        <v>8</v>
      </c>
      <c r="B18333" s="1" t="str">
        <f>"000185244 - RICH PRODUCTS-NCCNPA 06"</f>
        <v>000185244 - RICH PRODUCTS-NCCNPA 06</v>
      </c>
      <c r="C18333" t="s">
        <v>1165</v>
      </c>
      <c r="D18333" s="1" t="str">
        <f>"PRG-1046214"</f>
        <v>PRG-1046214</v>
      </c>
      <c r="E18333" t="s">
        <v>1166</v>
      </c>
      <c r="F18333" t="s">
        <v>4</v>
      </c>
      <c r="G18333" t="str">
        <f>""</f>
        <v/>
      </c>
    </row>
    <row r="18334" spans="1:7" x14ac:dyDescent="0.25">
      <c r="A18334" t="s">
        <v>8</v>
      </c>
      <c r="B18334" s="1" t="str">
        <f>"000319691 - RICH PRODUCTS-NCCNPA 18 19"</f>
        <v>000319691 - RICH PRODUCTS-NCCNPA 18 19</v>
      </c>
      <c r="C18334" t="s">
        <v>3233</v>
      </c>
      <c r="D18334" s="1" t="str">
        <f>"PRG-1046214"</f>
        <v>PRG-1046214</v>
      </c>
      <c r="E18334" t="s">
        <v>1166</v>
      </c>
      <c r="F18334" t="s">
        <v>4</v>
      </c>
      <c r="G18334" t="str">
        <f>""</f>
        <v/>
      </c>
    </row>
    <row r="18335" spans="1:7" x14ac:dyDescent="0.25">
      <c r="A18335" t="s">
        <v>8</v>
      </c>
      <c r="B18335" s="1" t="str">
        <f>"S1Z0NF60"</f>
        <v>S1Z0NF60</v>
      </c>
      <c r="C18335" t="s">
        <v>5424</v>
      </c>
      <c r="D18335" s="1" t="str">
        <f>"PRG-1046214"</f>
        <v>PRG-1046214</v>
      </c>
      <c r="E18335" t="s">
        <v>1166</v>
      </c>
      <c r="F18335" t="s">
        <v>5</v>
      </c>
      <c r="G18335" t="str">
        <f>""</f>
        <v/>
      </c>
    </row>
    <row r="18336" spans="1:7" x14ac:dyDescent="0.25">
      <c r="A18336" t="s">
        <v>8</v>
      </c>
      <c r="B18336" s="1" t="str">
        <f>"2135B511"</f>
        <v>2135B511</v>
      </c>
      <c r="C18336" t="s">
        <v>4150</v>
      </c>
      <c r="D18336" s="1" t="str">
        <f>"PRG-1046217"</f>
        <v>PRG-1046217</v>
      </c>
      <c r="E18336" t="s">
        <v>4151</v>
      </c>
      <c r="F18336" t="s">
        <v>5</v>
      </c>
      <c r="G18336" t="str">
        <f>""</f>
        <v/>
      </c>
    </row>
    <row r="18337" spans="1:7" x14ac:dyDescent="0.25">
      <c r="A18337" t="s">
        <v>8</v>
      </c>
      <c r="B18337" s="1" t="str">
        <f>"000315104 - LOS TOLTECOS SR TEQUILA-RICH'S"</f>
        <v>000315104 - LOS TOLTECOS SR TEQUILA-RICH'S</v>
      </c>
      <c r="C18337" t="s">
        <v>3165</v>
      </c>
      <c r="D18337" s="1" t="str">
        <f>"PRG-1046235"</f>
        <v>PRG-1046235</v>
      </c>
      <c r="E18337" t="s">
        <v>3166</v>
      </c>
      <c r="F18337" t="s">
        <v>4</v>
      </c>
      <c r="G18337" t="str">
        <f>""</f>
        <v/>
      </c>
    </row>
    <row r="18338" spans="1:7" x14ac:dyDescent="0.25">
      <c r="A18338" t="s">
        <v>8</v>
      </c>
      <c r="B18338" s="1" t="str">
        <f>"000095243 - RICH STEW LEONARDS"</f>
        <v>000095243 - RICH STEW LEONARDS</v>
      </c>
      <c r="C18338" t="s">
        <v>782</v>
      </c>
      <c r="D18338" s="1" t="str">
        <f>"PRG-1046241"</f>
        <v>PRG-1046241</v>
      </c>
      <c r="E18338" t="s">
        <v>783</v>
      </c>
      <c r="F18338" t="s">
        <v>4</v>
      </c>
      <c r="G18338" t="str">
        <f>""</f>
        <v/>
      </c>
    </row>
    <row r="18339" spans="1:7" x14ac:dyDescent="0.25">
      <c r="A18339" t="s">
        <v>8</v>
      </c>
      <c r="B18339" s="1" t="str">
        <f>"000313677 - RICHS STEW LEONARDS"</f>
        <v>000313677 - RICHS STEW LEONARDS</v>
      </c>
      <c r="C18339" t="s">
        <v>3147</v>
      </c>
      <c r="D18339" s="1" t="str">
        <f>"PRG-1046241"</f>
        <v>PRG-1046241</v>
      </c>
      <c r="E18339" t="s">
        <v>783</v>
      </c>
      <c r="F18339" t="s">
        <v>4</v>
      </c>
      <c r="G18339" t="str">
        <f>""</f>
        <v/>
      </c>
    </row>
    <row r="18340" spans="1:7" x14ac:dyDescent="0.25">
      <c r="A18340" t="s">
        <v>8</v>
      </c>
      <c r="B18340" s="1" t="str">
        <f>"000320523 - RICH'S STEW LEONARD'S"</f>
        <v>000320523 - RICH'S STEW LEONARD'S</v>
      </c>
      <c r="C18340" t="s">
        <v>3240</v>
      </c>
      <c r="D18340" s="1" t="str">
        <f>"PRG-1046241"</f>
        <v>PRG-1046241</v>
      </c>
      <c r="E18340" t="s">
        <v>783</v>
      </c>
      <c r="F18340" t="s">
        <v>4</v>
      </c>
      <c r="G18340" t="str">
        <f>""</f>
        <v/>
      </c>
    </row>
    <row r="18341" spans="1:7" x14ac:dyDescent="0.25">
      <c r="A18341" t="s">
        <v>8</v>
      </c>
      <c r="B18341" s="1" t="str">
        <f>"000350064 - RICH FOODS-ELK GROVE USD"</f>
        <v>000350064 - RICH FOODS-ELK GROVE USD</v>
      </c>
      <c r="C18341" t="s">
        <v>3503</v>
      </c>
      <c r="D18341" s="1" t="str">
        <f>"PRG-1046284"</f>
        <v>PRG-1046284</v>
      </c>
      <c r="E18341" t="s">
        <v>3504</v>
      </c>
      <c r="F18341" t="s">
        <v>4</v>
      </c>
      <c r="G18341" t="str">
        <f>""</f>
        <v/>
      </c>
    </row>
    <row r="18342" spans="1:7" x14ac:dyDescent="0.25">
      <c r="A18342" t="s">
        <v>8</v>
      </c>
      <c r="B18342" s="1" t="str">
        <f>"000350585 - RICH PRODUCTS  SAN JOAQUIN VA"</f>
        <v>000350585 - RICH PRODUCTS  SAN JOAQUIN VA</v>
      </c>
      <c r="C18342" t="s">
        <v>2647</v>
      </c>
      <c r="D18342" s="1" t="str">
        <f>"PRG-1046288"</f>
        <v>PRG-1046288</v>
      </c>
      <c r="E18342" t="s">
        <v>3508</v>
      </c>
      <c r="F18342" t="s">
        <v>4</v>
      </c>
      <c r="G18342" t="str">
        <f>""</f>
        <v/>
      </c>
    </row>
    <row r="18343" spans="1:7" x14ac:dyDescent="0.25">
      <c r="A18343" t="s">
        <v>8</v>
      </c>
      <c r="B18343" s="1" t="str">
        <f>"000349996 - RICH PRODUCTS  AMADOR COUNTY"</f>
        <v>000349996 - RICH PRODUCTS  AMADOR COUNTY</v>
      </c>
      <c r="C18343" t="s">
        <v>2252</v>
      </c>
      <c r="D18343" s="1" t="str">
        <f>"PRG-1046297"</f>
        <v>PRG-1046297</v>
      </c>
      <c r="E18343" t="s">
        <v>3502</v>
      </c>
      <c r="F18343" t="s">
        <v>4</v>
      </c>
      <c r="G18343" t="str">
        <f>""</f>
        <v/>
      </c>
    </row>
    <row r="18344" spans="1:7" x14ac:dyDescent="0.25">
      <c r="A18344" t="s">
        <v>8</v>
      </c>
      <c r="B18344" s="1" t="str">
        <f>"000051816 - RICH PRODUCTS MESA SD"</f>
        <v>000051816 - RICH PRODUCTS MESA SD</v>
      </c>
      <c r="C18344" t="s">
        <v>663</v>
      </c>
      <c r="D18344" s="1" t="str">
        <f>"PRG-1046312"</f>
        <v>PRG-1046312</v>
      </c>
      <c r="E18344" t="s">
        <v>664</v>
      </c>
      <c r="F18344" t="s">
        <v>4</v>
      </c>
      <c r="G18344" t="str">
        <f>""</f>
        <v/>
      </c>
    </row>
    <row r="18345" spans="1:7" x14ac:dyDescent="0.25">
      <c r="A18345" t="s">
        <v>8</v>
      </c>
      <c r="B18345" s="1" t="str">
        <f>"000066858 - RICH PRODUCTS MESA SD"</f>
        <v>000066858 - RICH PRODUCTS MESA SD</v>
      </c>
      <c r="C18345" t="s">
        <v>663</v>
      </c>
      <c r="D18345" s="1" t="str">
        <f>"PRG-1046312"</f>
        <v>PRG-1046312</v>
      </c>
      <c r="E18345" t="s">
        <v>664</v>
      </c>
      <c r="F18345" t="s">
        <v>4</v>
      </c>
      <c r="G18345" t="str">
        <f>""</f>
        <v/>
      </c>
    </row>
    <row r="18346" spans="1:7" x14ac:dyDescent="0.25">
      <c r="A18346" t="s">
        <v>8</v>
      </c>
      <c r="B18346" s="1" t="str">
        <f>"S9D00BH0"</f>
        <v>S9D00BH0</v>
      </c>
      <c r="C18346" t="s">
        <v>6331</v>
      </c>
      <c r="D18346" s="1" t="str">
        <f>"PRG-1046318"</f>
        <v>PRG-1046318</v>
      </c>
      <c r="E18346" t="s">
        <v>6332</v>
      </c>
      <c r="F18346" t="s">
        <v>5</v>
      </c>
      <c r="G18346" t="str">
        <f>""</f>
        <v/>
      </c>
    </row>
    <row r="18347" spans="1:7" x14ac:dyDescent="0.25">
      <c r="A18347" t="s">
        <v>8</v>
      </c>
      <c r="B18347" s="1" t="str">
        <f>"S9D01W60"</f>
        <v>S9D01W60</v>
      </c>
      <c r="C18347" t="s">
        <v>6370</v>
      </c>
      <c r="D18347" s="1" t="str">
        <f>"PRG-1046321"</f>
        <v>PRG-1046321</v>
      </c>
      <c r="E18347" t="s">
        <v>6371</v>
      </c>
      <c r="F18347" t="s">
        <v>5</v>
      </c>
      <c r="G18347" t="str">
        <f>""</f>
        <v/>
      </c>
    </row>
    <row r="18348" spans="1:7" x14ac:dyDescent="0.25">
      <c r="A18348" t="s">
        <v>8</v>
      </c>
      <c r="B18348" s="1" t="str">
        <f>"S5I03LS0"</f>
        <v>S5I03LS0</v>
      </c>
      <c r="C18348" t="s">
        <v>5907</v>
      </c>
      <c r="D18348" s="1" t="str">
        <f>"PRG-1046327"</f>
        <v>PRG-1046327</v>
      </c>
      <c r="E18348" t="s">
        <v>5908</v>
      </c>
      <c r="F18348" t="s">
        <v>5</v>
      </c>
      <c r="G18348" t="str">
        <f>""</f>
        <v/>
      </c>
    </row>
    <row r="18349" spans="1:7" x14ac:dyDescent="0.25">
      <c r="A18349" t="s">
        <v>8</v>
      </c>
      <c r="B18349" s="1" t="str">
        <f>"S5I006C0"</f>
        <v>S5I006C0</v>
      </c>
      <c r="C18349" t="s">
        <v>5323</v>
      </c>
      <c r="D18349" s="1" t="str">
        <f>"PRG-1046331"</f>
        <v>PRG-1046331</v>
      </c>
      <c r="E18349" t="s">
        <v>5836</v>
      </c>
      <c r="F18349" t="s">
        <v>5</v>
      </c>
      <c r="G18349" t="str">
        <f>""</f>
        <v/>
      </c>
    </row>
    <row r="18350" spans="1:7" x14ac:dyDescent="0.25">
      <c r="A18350" t="s">
        <v>8</v>
      </c>
      <c r="B18350" s="1" t="str">
        <f>"000405688 - RICH GARDEN CITY ADDL$$"</f>
        <v>000405688 - RICH GARDEN CITY ADDL$$</v>
      </c>
      <c r="C18350" t="s">
        <v>3727</v>
      </c>
      <c r="D18350" s="1" t="str">
        <f>"PRG-1046355"</f>
        <v>PRG-1046355</v>
      </c>
      <c r="E18350" t="s">
        <v>3728</v>
      </c>
      <c r="F18350" t="s">
        <v>4</v>
      </c>
      <c r="G18350" t="str">
        <f>""</f>
        <v/>
      </c>
    </row>
    <row r="18351" spans="1:7" x14ac:dyDescent="0.25">
      <c r="A18351" t="s">
        <v>8</v>
      </c>
      <c r="B18351" s="1" t="str">
        <f>"000287459 - RICH'S  JCPS"</f>
        <v>000287459 - RICH'S  JCPS</v>
      </c>
      <c r="C18351" t="s">
        <v>1512</v>
      </c>
      <c r="D18351" s="1" t="str">
        <f>"PRG-1046358"</f>
        <v>PRG-1046358</v>
      </c>
      <c r="E18351" t="s">
        <v>2761</v>
      </c>
      <c r="F18351" t="s">
        <v>4</v>
      </c>
      <c r="G18351" t="str">
        <f>""</f>
        <v/>
      </c>
    </row>
    <row r="18352" spans="1:7" x14ac:dyDescent="0.25">
      <c r="A18352" t="s">
        <v>8</v>
      </c>
      <c r="B18352" s="1" t="str">
        <f>"22603789"</f>
        <v>22603789</v>
      </c>
      <c r="C18352" t="s">
        <v>4381</v>
      </c>
      <c r="D18352" s="1" t="str">
        <f t="shared" ref="D18352:D18364" si="496">"PRG-1046373"</f>
        <v>PRG-1046373</v>
      </c>
      <c r="E18352" t="s">
        <v>4382</v>
      </c>
      <c r="F18352" t="s">
        <v>5</v>
      </c>
      <c r="G18352" t="str">
        <f>""</f>
        <v/>
      </c>
    </row>
    <row r="18353" spans="1:7" x14ac:dyDescent="0.25">
      <c r="A18353" t="s">
        <v>8</v>
      </c>
      <c r="B18353" s="1" t="str">
        <f>"22603793"</f>
        <v>22603793</v>
      </c>
      <c r="C18353" t="s">
        <v>4386</v>
      </c>
      <c r="D18353" s="1" t="str">
        <f t="shared" si="496"/>
        <v>PRG-1046373</v>
      </c>
      <c r="E18353" t="s">
        <v>4382</v>
      </c>
      <c r="F18353" t="s">
        <v>5</v>
      </c>
      <c r="G18353" t="str">
        <f>""</f>
        <v/>
      </c>
    </row>
    <row r="18354" spans="1:7" x14ac:dyDescent="0.25">
      <c r="A18354" t="s">
        <v>8</v>
      </c>
      <c r="B18354" s="1" t="str">
        <f>"22603802"</f>
        <v>22603802</v>
      </c>
      <c r="C18354" t="s">
        <v>4394</v>
      </c>
      <c r="D18354" s="1" t="str">
        <f t="shared" si="496"/>
        <v>PRG-1046373</v>
      </c>
      <c r="E18354" t="s">
        <v>4382</v>
      </c>
      <c r="F18354" t="s">
        <v>5</v>
      </c>
      <c r="G18354" t="str">
        <f>""</f>
        <v/>
      </c>
    </row>
    <row r="18355" spans="1:7" x14ac:dyDescent="0.25">
      <c r="A18355" t="s">
        <v>8</v>
      </c>
      <c r="B18355" s="1" t="str">
        <f>"22603808"</f>
        <v>22603808</v>
      </c>
      <c r="C18355" t="s">
        <v>4400</v>
      </c>
      <c r="D18355" s="1" t="str">
        <f t="shared" si="496"/>
        <v>PRG-1046373</v>
      </c>
      <c r="E18355" t="s">
        <v>4382</v>
      </c>
      <c r="F18355" t="s">
        <v>5</v>
      </c>
      <c r="G18355" t="str">
        <f>""</f>
        <v/>
      </c>
    </row>
    <row r="18356" spans="1:7" x14ac:dyDescent="0.25">
      <c r="A18356" t="s">
        <v>8</v>
      </c>
      <c r="B18356" s="1" t="str">
        <f>"22603813"</f>
        <v>22603813</v>
      </c>
      <c r="C18356" t="s">
        <v>4402</v>
      </c>
      <c r="D18356" s="1" t="str">
        <f t="shared" si="496"/>
        <v>PRG-1046373</v>
      </c>
      <c r="E18356" t="s">
        <v>4382</v>
      </c>
      <c r="F18356" t="s">
        <v>5</v>
      </c>
      <c r="G18356" t="str">
        <f>""</f>
        <v/>
      </c>
    </row>
    <row r="18357" spans="1:7" x14ac:dyDescent="0.25">
      <c r="A18357" t="s">
        <v>8</v>
      </c>
      <c r="B18357" s="1" t="str">
        <f>"22603823"</f>
        <v>22603823</v>
      </c>
      <c r="C18357" t="s">
        <v>4409</v>
      </c>
      <c r="D18357" s="1" t="str">
        <f t="shared" si="496"/>
        <v>PRG-1046373</v>
      </c>
      <c r="E18357" t="s">
        <v>4382</v>
      </c>
      <c r="F18357" t="s">
        <v>5</v>
      </c>
      <c r="G18357" t="str">
        <f>""</f>
        <v/>
      </c>
    </row>
    <row r="18358" spans="1:7" x14ac:dyDescent="0.25">
      <c r="A18358" t="s">
        <v>8</v>
      </c>
      <c r="B18358" s="1" t="str">
        <f>"22603834"</f>
        <v>22603834</v>
      </c>
      <c r="C18358" t="s">
        <v>4414</v>
      </c>
      <c r="D18358" s="1" t="str">
        <f t="shared" si="496"/>
        <v>PRG-1046373</v>
      </c>
      <c r="E18358" t="s">
        <v>4382</v>
      </c>
      <c r="F18358" t="s">
        <v>5</v>
      </c>
      <c r="G18358" t="str">
        <f>""</f>
        <v/>
      </c>
    </row>
    <row r="18359" spans="1:7" x14ac:dyDescent="0.25">
      <c r="A18359" t="s">
        <v>8</v>
      </c>
      <c r="B18359" s="1" t="str">
        <f>"22603836"</f>
        <v>22603836</v>
      </c>
      <c r="C18359" t="s">
        <v>4416</v>
      </c>
      <c r="D18359" s="1" t="str">
        <f t="shared" si="496"/>
        <v>PRG-1046373</v>
      </c>
      <c r="E18359" t="s">
        <v>4382</v>
      </c>
      <c r="F18359" t="s">
        <v>5</v>
      </c>
      <c r="G18359" t="str">
        <f>""</f>
        <v/>
      </c>
    </row>
    <row r="18360" spans="1:7" x14ac:dyDescent="0.25">
      <c r="A18360" t="s">
        <v>8</v>
      </c>
      <c r="B18360" s="1" t="str">
        <f>"22605566"</f>
        <v>22605566</v>
      </c>
      <c r="C18360" t="s">
        <v>4428</v>
      </c>
      <c r="D18360" s="1" t="str">
        <f t="shared" si="496"/>
        <v>PRG-1046373</v>
      </c>
      <c r="E18360" t="s">
        <v>4382</v>
      </c>
      <c r="F18360" t="s">
        <v>5</v>
      </c>
      <c r="G18360" t="str">
        <f>""</f>
        <v/>
      </c>
    </row>
    <row r="18361" spans="1:7" x14ac:dyDescent="0.25">
      <c r="A18361" t="s">
        <v>8</v>
      </c>
      <c r="B18361" s="1" t="str">
        <f>"22605574"</f>
        <v>22605574</v>
      </c>
      <c r="C18361" t="s">
        <v>4434</v>
      </c>
      <c r="D18361" s="1" t="str">
        <f t="shared" si="496"/>
        <v>PRG-1046373</v>
      </c>
      <c r="E18361" t="s">
        <v>4382</v>
      </c>
      <c r="F18361" t="s">
        <v>5</v>
      </c>
      <c r="G18361" t="str">
        <f>""</f>
        <v/>
      </c>
    </row>
    <row r="18362" spans="1:7" x14ac:dyDescent="0.25">
      <c r="A18362" t="s">
        <v>8</v>
      </c>
      <c r="B18362" s="1" t="str">
        <f>"22605576"</f>
        <v>22605576</v>
      </c>
      <c r="C18362" t="s">
        <v>4435</v>
      </c>
      <c r="D18362" s="1" t="str">
        <f t="shared" si="496"/>
        <v>PRG-1046373</v>
      </c>
      <c r="E18362" t="s">
        <v>4382</v>
      </c>
      <c r="F18362" t="s">
        <v>5</v>
      </c>
      <c r="G18362" t="str">
        <f>""</f>
        <v/>
      </c>
    </row>
    <row r="18363" spans="1:7" x14ac:dyDescent="0.25">
      <c r="A18363" t="s">
        <v>8</v>
      </c>
      <c r="B18363" s="1" t="str">
        <f>"22606719"</f>
        <v>22606719</v>
      </c>
      <c r="C18363" t="s">
        <v>4444</v>
      </c>
      <c r="D18363" s="1" t="str">
        <f t="shared" si="496"/>
        <v>PRG-1046373</v>
      </c>
      <c r="E18363" t="s">
        <v>4382</v>
      </c>
      <c r="F18363" t="s">
        <v>5</v>
      </c>
      <c r="G18363" t="str">
        <f>""</f>
        <v/>
      </c>
    </row>
    <row r="18364" spans="1:7" x14ac:dyDescent="0.25">
      <c r="A18364" t="s">
        <v>8</v>
      </c>
      <c r="B18364" s="1" t="str">
        <f>"2260D880"</f>
        <v>2260D880</v>
      </c>
      <c r="C18364" t="s">
        <v>4460</v>
      </c>
      <c r="D18364" s="1" t="str">
        <f t="shared" si="496"/>
        <v>PRG-1046373</v>
      </c>
      <c r="E18364" t="s">
        <v>4382</v>
      </c>
      <c r="F18364" t="s">
        <v>5</v>
      </c>
      <c r="G18364" t="str">
        <f>""</f>
        <v/>
      </c>
    </row>
    <row r="18365" spans="1:7" x14ac:dyDescent="0.25">
      <c r="A18365" t="s">
        <v>8</v>
      </c>
      <c r="B18365" s="1" t="str">
        <f>"000312924 - RICH MANCHESTER SCHLS"</f>
        <v>000312924 - RICH MANCHESTER SCHLS</v>
      </c>
      <c r="C18365" t="s">
        <v>2738</v>
      </c>
      <c r="D18365" s="1" t="str">
        <f>"PRG-1046380"</f>
        <v>PRG-1046380</v>
      </c>
      <c r="E18365" t="s">
        <v>3133</v>
      </c>
      <c r="F18365" t="s">
        <v>4</v>
      </c>
      <c r="G18365" t="str">
        <f>""</f>
        <v/>
      </c>
    </row>
    <row r="18366" spans="1:7" x14ac:dyDescent="0.25">
      <c r="A18366" t="s">
        <v>8</v>
      </c>
      <c r="B18366" s="1" t="str">
        <f>"989"</f>
        <v>989</v>
      </c>
      <c r="C18366" t="s">
        <v>5315</v>
      </c>
      <c r="D18366" s="1" t="str">
        <f>"PRG-1046384"</f>
        <v>PRG-1046384</v>
      </c>
      <c r="E18366" t="s">
        <v>5316</v>
      </c>
      <c r="F18366" t="s">
        <v>7</v>
      </c>
      <c r="G18366" t="str">
        <f>""</f>
        <v/>
      </c>
    </row>
    <row r="18367" spans="1:7" x14ac:dyDescent="0.25">
      <c r="A18367" t="s">
        <v>8</v>
      </c>
      <c r="B18367" s="1" t="str">
        <f>"175"</f>
        <v>175</v>
      </c>
      <c r="C18367" t="s">
        <v>3817</v>
      </c>
      <c r="D18367" s="1" t="str">
        <f>"PRG-1046386"</f>
        <v>PRG-1046386</v>
      </c>
      <c r="E18367" t="s">
        <v>3818</v>
      </c>
      <c r="F18367" t="s">
        <v>7</v>
      </c>
      <c r="G18367" t="str">
        <f>""</f>
        <v/>
      </c>
    </row>
    <row r="18368" spans="1:7" x14ac:dyDescent="0.25">
      <c r="A18368" t="s">
        <v>8</v>
      </c>
      <c r="B18368" s="1" t="str">
        <f>"697"</f>
        <v>697</v>
      </c>
      <c r="C18368" t="s">
        <v>5297</v>
      </c>
      <c r="D18368" s="1" t="str">
        <f>"PRG-1046388"</f>
        <v>PRG-1046388</v>
      </c>
      <c r="E18368" t="s">
        <v>5298</v>
      </c>
      <c r="F18368" t="s">
        <v>7</v>
      </c>
      <c r="G18368" t="str">
        <f>""</f>
        <v/>
      </c>
    </row>
    <row r="18369" spans="1:7" x14ac:dyDescent="0.25">
      <c r="A18369" t="s">
        <v>8</v>
      </c>
      <c r="B18369" s="1" t="str">
        <f>"000320067 - RICHS CC-GST BOCES"</f>
        <v>000320067 - RICHS CC-GST BOCES</v>
      </c>
      <c r="C18369" t="s">
        <v>3235</v>
      </c>
      <c r="D18369" s="1" t="str">
        <f>"PRG-1046391"</f>
        <v>PRG-1046391</v>
      </c>
      <c r="E18369" t="s">
        <v>3236</v>
      </c>
      <c r="F18369" t="s">
        <v>4</v>
      </c>
      <c r="G18369" t="str">
        <f>""</f>
        <v/>
      </c>
    </row>
    <row r="18370" spans="1:7" x14ac:dyDescent="0.25">
      <c r="A18370" t="s">
        <v>8</v>
      </c>
      <c r="B18370" s="1" t="str">
        <f>"000309492 - RICH PRODUCTS DCMO BOCES"</f>
        <v>000309492 - RICH PRODUCTS DCMO BOCES</v>
      </c>
      <c r="C18370" t="s">
        <v>3096</v>
      </c>
      <c r="D18370" s="1" t="str">
        <f>"PRG-1046398"</f>
        <v>PRG-1046398</v>
      </c>
      <c r="E18370" t="s">
        <v>3097</v>
      </c>
      <c r="F18370" t="s">
        <v>4</v>
      </c>
      <c r="G18370" t="str">
        <f>""</f>
        <v/>
      </c>
    </row>
    <row r="18371" spans="1:7" x14ac:dyDescent="0.25">
      <c r="A18371" t="s">
        <v>8</v>
      </c>
      <c r="B18371" s="1" t="str">
        <f>"000263758 - RICH CC GREENVILLE"</f>
        <v>000263758 - RICH CC GREENVILLE</v>
      </c>
      <c r="C18371" t="s">
        <v>2339</v>
      </c>
      <c r="D18371" s="1" t="str">
        <f>"PRG-1046403"</f>
        <v>PRG-1046403</v>
      </c>
      <c r="E18371" t="s">
        <v>2340</v>
      </c>
      <c r="F18371" t="s">
        <v>4</v>
      </c>
      <c r="G18371" t="str">
        <f>""</f>
        <v/>
      </c>
    </row>
    <row r="18372" spans="1:7" x14ac:dyDescent="0.25">
      <c r="A18372" t="s">
        <v>8</v>
      </c>
      <c r="B18372" s="1" t="str">
        <f>"10648"</f>
        <v>10648</v>
      </c>
      <c r="C18372" t="s">
        <v>3791</v>
      </c>
      <c r="D18372" s="1" t="str">
        <f>"PRG-1046406"</f>
        <v>PRG-1046406</v>
      </c>
      <c r="E18372" t="s">
        <v>3792</v>
      </c>
      <c r="F18372" t="s">
        <v>7</v>
      </c>
      <c r="G18372" t="str">
        <f>""</f>
        <v/>
      </c>
    </row>
    <row r="18373" spans="1:7" x14ac:dyDescent="0.25">
      <c r="A18373" t="s">
        <v>8</v>
      </c>
      <c r="B18373" s="1" t="str">
        <f>"8210"</f>
        <v>8210</v>
      </c>
      <c r="C18373" t="s">
        <v>5306</v>
      </c>
      <c r="D18373" s="1" t="str">
        <f>"PRG-1046409"</f>
        <v>PRG-1046409</v>
      </c>
      <c r="E18373" t="s">
        <v>5307</v>
      </c>
      <c r="F18373" t="s">
        <v>7</v>
      </c>
      <c r="G18373" t="str">
        <f>""</f>
        <v/>
      </c>
    </row>
    <row r="18374" spans="1:7" x14ac:dyDescent="0.25">
      <c r="A18374" t="s">
        <v>8</v>
      </c>
      <c r="B18374" s="1" t="str">
        <f>"35400"</f>
        <v>35400</v>
      </c>
      <c r="C18374" t="s">
        <v>4911</v>
      </c>
      <c r="D18374" s="1" t="str">
        <f>"PRG-1046413"</f>
        <v>PRG-1046413</v>
      </c>
      <c r="E18374" t="s">
        <v>4912</v>
      </c>
      <c r="F18374" t="s">
        <v>7</v>
      </c>
      <c r="G18374" t="str">
        <f>""</f>
        <v/>
      </c>
    </row>
    <row r="18375" spans="1:7" x14ac:dyDescent="0.25">
      <c r="A18375" t="s">
        <v>8</v>
      </c>
      <c r="B18375" s="1" t="str">
        <f>"8200"</f>
        <v>8200</v>
      </c>
      <c r="C18375" t="s">
        <v>5304</v>
      </c>
      <c r="D18375" s="1" t="str">
        <f>"PRG-1046415"</f>
        <v>PRG-1046415</v>
      </c>
      <c r="E18375" t="s">
        <v>5305</v>
      </c>
      <c r="F18375" t="s">
        <v>7</v>
      </c>
      <c r="G18375" t="str">
        <f>""</f>
        <v/>
      </c>
    </row>
    <row r="18376" spans="1:7" x14ac:dyDescent="0.25">
      <c r="A18376" t="s">
        <v>8</v>
      </c>
      <c r="B18376" s="1" t="str">
        <f>"22"</f>
        <v>22</v>
      </c>
      <c r="C18376" t="s">
        <v>4227</v>
      </c>
      <c r="D18376" s="1" t="str">
        <f>"PRG-1046416"</f>
        <v>PRG-1046416</v>
      </c>
      <c r="E18376" t="s">
        <v>4228</v>
      </c>
      <c r="F18376" t="s">
        <v>6</v>
      </c>
      <c r="G18376" t="str">
        <f>"60611282"</f>
        <v>60611282</v>
      </c>
    </row>
    <row r="18377" spans="1:7" x14ac:dyDescent="0.25">
      <c r="A18377" t="s">
        <v>8</v>
      </c>
      <c r="B18377" s="1" t="str">
        <f>"22"</f>
        <v>22</v>
      </c>
      <c r="C18377" t="s">
        <v>4227</v>
      </c>
      <c r="D18377" s="1" t="str">
        <f>"PRG-1046416"</f>
        <v>PRG-1046416</v>
      </c>
      <c r="E18377" t="s">
        <v>4228</v>
      </c>
      <c r="F18377" t="s">
        <v>7</v>
      </c>
      <c r="G18377" t="str">
        <f>""</f>
        <v/>
      </c>
    </row>
    <row r="18378" spans="1:7" x14ac:dyDescent="0.25">
      <c r="A18378" t="s">
        <v>8</v>
      </c>
      <c r="B18378" s="1" t="str">
        <f>"8500"</f>
        <v>8500</v>
      </c>
      <c r="C18378" t="s">
        <v>5308</v>
      </c>
      <c r="D18378" s="1" t="str">
        <f>"PRG-1046418"</f>
        <v>PRG-1046418</v>
      </c>
      <c r="E18378" t="s">
        <v>5309</v>
      </c>
      <c r="F18378" t="s">
        <v>7</v>
      </c>
      <c r="G18378" t="str">
        <f>""</f>
        <v/>
      </c>
    </row>
    <row r="18379" spans="1:7" x14ac:dyDescent="0.25">
      <c r="A18379" t="s">
        <v>8</v>
      </c>
      <c r="B18379" s="1" t="str">
        <f>"10684"</f>
        <v>10684</v>
      </c>
      <c r="C18379" t="s">
        <v>3795</v>
      </c>
      <c r="D18379" s="1" t="str">
        <f>"PRG-1046419"</f>
        <v>PRG-1046419</v>
      </c>
      <c r="E18379" t="s">
        <v>3796</v>
      </c>
      <c r="F18379" t="s">
        <v>7</v>
      </c>
      <c r="G18379" t="str">
        <f>""</f>
        <v/>
      </c>
    </row>
    <row r="18380" spans="1:7" x14ac:dyDescent="0.25">
      <c r="A18380" t="s">
        <v>8</v>
      </c>
      <c r="B18380" s="1" t="str">
        <f>"70500"</f>
        <v>70500</v>
      </c>
      <c r="C18380" t="s">
        <v>5299</v>
      </c>
      <c r="D18380" s="1" t="str">
        <f>"PRG-1046419"</f>
        <v>PRG-1046419</v>
      </c>
      <c r="E18380" t="s">
        <v>3796</v>
      </c>
      <c r="F18380" t="s">
        <v>7</v>
      </c>
      <c r="G18380" t="str">
        <f>""</f>
        <v/>
      </c>
    </row>
    <row r="18381" spans="1:7" x14ac:dyDescent="0.25">
      <c r="A18381" t="s">
        <v>8</v>
      </c>
      <c r="B18381" s="1" t="str">
        <f>"70501"</f>
        <v>70501</v>
      </c>
      <c r="C18381" t="s">
        <v>5300</v>
      </c>
      <c r="D18381" s="1" t="str">
        <f>"PRG-1046419"</f>
        <v>PRG-1046419</v>
      </c>
      <c r="E18381" t="s">
        <v>3796</v>
      </c>
      <c r="F18381" t="s">
        <v>7</v>
      </c>
      <c r="G18381" t="str">
        <f>""</f>
        <v/>
      </c>
    </row>
    <row r="18382" spans="1:7" x14ac:dyDescent="0.25">
      <c r="A18382" t="s">
        <v>8</v>
      </c>
      <c r="B18382" s="1" t="str">
        <f>"5050"</f>
        <v>5050</v>
      </c>
      <c r="C18382" t="s">
        <v>5022</v>
      </c>
      <c r="D18382" s="1" t="str">
        <f>"PRG-1046420"</f>
        <v>PRG-1046420</v>
      </c>
      <c r="E18382" t="s">
        <v>5023</v>
      </c>
      <c r="F18382" t="s">
        <v>7</v>
      </c>
      <c r="G18382" t="str">
        <f>""</f>
        <v/>
      </c>
    </row>
    <row r="18383" spans="1:7" x14ac:dyDescent="0.25">
      <c r="A18383" t="s">
        <v>8</v>
      </c>
      <c r="B18383" s="1" t="str">
        <f>"72443"</f>
        <v>72443</v>
      </c>
      <c r="C18383" t="s">
        <v>5301</v>
      </c>
      <c r="D18383" s="1" t="str">
        <f>"PRG-1046421"</f>
        <v>PRG-1046421</v>
      </c>
      <c r="E18383" t="s">
        <v>5302</v>
      </c>
      <c r="F18383" t="s">
        <v>7</v>
      </c>
      <c r="G18383" t="str">
        <f>""</f>
        <v/>
      </c>
    </row>
    <row r="18384" spans="1:7" x14ac:dyDescent="0.25">
      <c r="A18384" t="s">
        <v>8</v>
      </c>
      <c r="B18384" s="1" t="str">
        <f>"000027782 - RICH'S REGION 8"</f>
        <v>000027782 - RICH'S REGION 8</v>
      </c>
      <c r="C18384" t="s">
        <v>458</v>
      </c>
      <c r="D18384" s="1" t="str">
        <f>"PRG-1046422"</f>
        <v>PRG-1046422</v>
      </c>
      <c r="E18384" t="s">
        <v>459</v>
      </c>
      <c r="F18384" t="s">
        <v>4</v>
      </c>
      <c r="G18384" t="str">
        <f>""</f>
        <v/>
      </c>
    </row>
    <row r="18385" spans="1:7" x14ac:dyDescent="0.25">
      <c r="A18385" t="s">
        <v>8</v>
      </c>
      <c r="B18385" s="1" t="str">
        <f>"67010"</f>
        <v>67010</v>
      </c>
      <c r="C18385" t="s">
        <v>5293</v>
      </c>
      <c r="D18385" s="1" t="str">
        <f>"PRG-1046424"</f>
        <v>PRG-1046424</v>
      </c>
      <c r="E18385" t="s">
        <v>5294</v>
      </c>
      <c r="F18385" t="s">
        <v>7</v>
      </c>
      <c r="G18385" t="str">
        <f>""</f>
        <v/>
      </c>
    </row>
    <row r="18386" spans="1:7" x14ac:dyDescent="0.25">
      <c r="A18386" t="s">
        <v>8</v>
      </c>
      <c r="B18386" s="1" t="str">
        <f>"33366"</f>
        <v>33366</v>
      </c>
      <c r="C18386" t="s">
        <v>4907</v>
      </c>
      <c r="D18386" s="1" t="str">
        <f>"PRG-1046425"</f>
        <v>PRG-1046425</v>
      </c>
      <c r="E18386" t="s">
        <v>4908</v>
      </c>
      <c r="F18386" t="s">
        <v>7</v>
      </c>
      <c r="G18386" t="str">
        <f>""</f>
        <v/>
      </c>
    </row>
    <row r="18387" spans="1:7" x14ac:dyDescent="0.25">
      <c r="A18387" t="s">
        <v>8</v>
      </c>
      <c r="B18387" s="1" t="str">
        <f>"35501"</f>
        <v>35501</v>
      </c>
      <c r="C18387" t="s">
        <v>4913</v>
      </c>
      <c r="D18387" s="1" t="str">
        <f>"PRG-1046426"</f>
        <v>PRG-1046426</v>
      </c>
      <c r="E18387" t="s">
        <v>4914</v>
      </c>
      <c r="F18387" t="s">
        <v>7</v>
      </c>
      <c r="G18387" t="str">
        <f>""</f>
        <v/>
      </c>
    </row>
    <row r="18388" spans="1:7" x14ac:dyDescent="0.25">
      <c r="A18388" t="s">
        <v>8</v>
      </c>
      <c r="B18388" s="1" t="str">
        <f>"32600"</f>
        <v>32600</v>
      </c>
      <c r="C18388" t="s">
        <v>4905</v>
      </c>
      <c r="D18388" s="1" t="str">
        <f>"PRG-1046427"</f>
        <v>PRG-1046427</v>
      </c>
      <c r="E18388" t="s">
        <v>4906</v>
      </c>
      <c r="F18388" t="s">
        <v>7</v>
      </c>
      <c r="G18388" t="str">
        <f>""</f>
        <v/>
      </c>
    </row>
    <row r="18389" spans="1:7" x14ac:dyDescent="0.25">
      <c r="A18389" t="s">
        <v>8</v>
      </c>
      <c r="B18389" s="1" t="str">
        <f>"411"</f>
        <v>411</v>
      </c>
      <c r="C18389" t="s">
        <v>4959</v>
      </c>
      <c r="D18389" s="1" t="str">
        <f>"PRG-1046428"</f>
        <v>PRG-1046428</v>
      </c>
      <c r="E18389" t="s">
        <v>4960</v>
      </c>
      <c r="F18389" t="s">
        <v>7</v>
      </c>
      <c r="G18389" t="str">
        <f>""</f>
        <v/>
      </c>
    </row>
    <row r="18390" spans="1:7" x14ac:dyDescent="0.25">
      <c r="A18390" t="s">
        <v>8</v>
      </c>
      <c r="B18390" s="1" t="str">
        <f>"000390139 - RICHS REG 1"</f>
        <v>000390139 - RICHS REG 1</v>
      </c>
      <c r="C18390" t="s">
        <v>3681</v>
      </c>
      <c r="D18390" s="1" t="str">
        <f>"PRG-1046429"</f>
        <v>PRG-1046429</v>
      </c>
      <c r="E18390" t="s">
        <v>3682</v>
      </c>
      <c r="F18390" t="s">
        <v>4</v>
      </c>
      <c r="G18390" t="str">
        <f>""</f>
        <v/>
      </c>
    </row>
    <row r="18391" spans="1:7" x14ac:dyDescent="0.25">
      <c r="A18391" t="s">
        <v>8</v>
      </c>
      <c r="B18391" s="1" t="str">
        <f>"8000"</f>
        <v>8000</v>
      </c>
      <c r="C18391" t="s">
        <v>5303</v>
      </c>
      <c r="D18391" s="1" t="str">
        <f>"PRG-1046429"</f>
        <v>PRG-1046429</v>
      </c>
      <c r="E18391" t="s">
        <v>3682</v>
      </c>
      <c r="F18391" t="s">
        <v>7</v>
      </c>
      <c r="G18391" t="str">
        <f>""</f>
        <v/>
      </c>
    </row>
    <row r="18392" spans="1:7" x14ac:dyDescent="0.25">
      <c r="A18392" t="s">
        <v>8</v>
      </c>
      <c r="B18392" s="1" t="str">
        <f>"000049295 - RICH'S FOODS AMARILLO"</f>
        <v>000049295 - RICH'S FOODS AMARILLO</v>
      </c>
      <c r="C18392" t="s">
        <v>643</v>
      </c>
      <c r="D18392" s="1" t="str">
        <f>"PRG-1046431"</f>
        <v>PRG-1046431</v>
      </c>
      <c r="E18392" t="s">
        <v>644</v>
      </c>
      <c r="F18392" t="s">
        <v>4</v>
      </c>
      <c r="G18392" t="str">
        <f>""</f>
        <v/>
      </c>
    </row>
    <row r="18393" spans="1:7" x14ac:dyDescent="0.25">
      <c r="A18393" t="s">
        <v>8</v>
      </c>
      <c r="B18393" s="1" t="str">
        <f>"000051678 - RICH'S JORDAN SD"</f>
        <v>000051678 - RICH'S JORDAN SD</v>
      </c>
      <c r="C18393" t="s">
        <v>660</v>
      </c>
      <c r="D18393" s="1" t="str">
        <f>"PRG-1046435"</f>
        <v>PRG-1046435</v>
      </c>
      <c r="E18393" t="s">
        <v>661</v>
      </c>
      <c r="F18393" t="s">
        <v>4</v>
      </c>
      <c r="G18393" t="str">
        <f>""</f>
        <v/>
      </c>
    </row>
    <row r="18394" spans="1:7" x14ac:dyDescent="0.25">
      <c r="A18394" t="s">
        <v>8</v>
      </c>
      <c r="B18394" s="1" t="str">
        <f>"S6F00M70"</f>
        <v>S6F00M70</v>
      </c>
      <c r="C18394" t="s">
        <v>6057</v>
      </c>
      <c r="D18394" s="1" t="str">
        <f>"PRG-1046474"</f>
        <v>PRG-1046474</v>
      </c>
      <c r="E18394" t="s">
        <v>6058</v>
      </c>
      <c r="F18394" t="s">
        <v>5</v>
      </c>
      <c r="G18394" t="str">
        <f>""</f>
        <v/>
      </c>
    </row>
    <row r="18395" spans="1:7" x14ac:dyDescent="0.25">
      <c r="A18395" t="s">
        <v>8</v>
      </c>
      <c r="B18395" s="1" t="str">
        <f>"000028956 - RICHS AVOYELLES"</f>
        <v>000028956 - RICHS AVOYELLES</v>
      </c>
      <c r="C18395" t="s">
        <v>477</v>
      </c>
      <c r="D18395" s="1" t="str">
        <f>"PRG-1046484"</f>
        <v>PRG-1046484</v>
      </c>
      <c r="E18395" t="s">
        <v>478</v>
      </c>
      <c r="F18395" t="s">
        <v>4</v>
      </c>
      <c r="G18395" t="str">
        <f>""</f>
        <v/>
      </c>
    </row>
    <row r="18396" spans="1:7" x14ac:dyDescent="0.25">
      <c r="A18396" t="s">
        <v>8</v>
      </c>
      <c r="B18396" s="1" t="str">
        <f>"000028585 - RICHS NATCHITOCHES"</f>
        <v>000028585 - RICHS NATCHITOCHES</v>
      </c>
      <c r="C18396" t="s">
        <v>472</v>
      </c>
      <c r="D18396" s="1" t="str">
        <f>"PRG-1046485"</f>
        <v>PRG-1046485</v>
      </c>
      <c r="E18396" t="s">
        <v>473</v>
      </c>
      <c r="F18396" t="s">
        <v>4</v>
      </c>
      <c r="G18396" t="str">
        <f>""</f>
        <v/>
      </c>
    </row>
    <row r="18397" spans="1:7" x14ac:dyDescent="0.25">
      <c r="A18397" t="s">
        <v>8</v>
      </c>
      <c r="B18397" s="1" t="str">
        <f>"000002619 - RICH FOODS-SSS ARAMARK"</f>
        <v>000002619 - RICH FOODS-SSS ARAMARK</v>
      </c>
      <c r="C18397" t="s">
        <v>128</v>
      </c>
      <c r="D18397" s="1" t="str">
        <f t="shared" ref="D18397:D18460" si="497">"PRG-1046491"</f>
        <v>PRG-1046491</v>
      </c>
      <c r="E18397" t="s">
        <v>129</v>
      </c>
      <c r="F18397" t="s">
        <v>4</v>
      </c>
      <c r="G18397" t="str">
        <f>""</f>
        <v/>
      </c>
    </row>
    <row r="18398" spans="1:7" x14ac:dyDescent="0.25">
      <c r="A18398" t="s">
        <v>8</v>
      </c>
      <c r="B18398" s="1" t="str">
        <f>"000009800 - RICH FDS NCBB-SSS ARAMARK"</f>
        <v>000009800 - RICH FDS NCBB-SSS ARAMARK</v>
      </c>
      <c r="C18398" t="s">
        <v>300</v>
      </c>
      <c r="D18398" s="1" t="str">
        <f t="shared" si="497"/>
        <v>PRG-1046491</v>
      </c>
      <c r="E18398" t="s">
        <v>129</v>
      </c>
      <c r="F18398" t="s">
        <v>4</v>
      </c>
      <c r="G18398" t="str">
        <f>""</f>
        <v/>
      </c>
    </row>
    <row r="18399" spans="1:7" x14ac:dyDescent="0.25">
      <c r="A18399" t="s">
        <v>8</v>
      </c>
      <c r="B18399" s="1" t="str">
        <f>"000009801 - RICH FDS CBB-SSS ARAMARK"</f>
        <v>000009801 - RICH FDS CBB-SSS ARAMARK</v>
      </c>
      <c r="C18399" t="s">
        <v>301</v>
      </c>
      <c r="D18399" s="1" t="str">
        <f t="shared" si="497"/>
        <v>PRG-1046491</v>
      </c>
      <c r="E18399" t="s">
        <v>129</v>
      </c>
      <c r="F18399" t="s">
        <v>4</v>
      </c>
      <c r="G18399" t="str">
        <f>""</f>
        <v/>
      </c>
    </row>
    <row r="18400" spans="1:7" x14ac:dyDescent="0.25">
      <c r="A18400" t="s">
        <v>8</v>
      </c>
      <c r="B18400" s="1" t="str">
        <f>"000011106 - RICH FOODS-SSS ARAMARK"</f>
        <v>000011106 - RICH FOODS-SSS ARAMARK</v>
      </c>
      <c r="C18400" t="s">
        <v>128</v>
      </c>
      <c r="D18400" s="1" t="str">
        <f t="shared" si="497"/>
        <v>PRG-1046491</v>
      </c>
      <c r="E18400" t="s">
        <v>129</v>
      </c>
      <c r="F18400" t="s">
        <v>4</v>
      </c>
      <c r="G18400" t="str">
        <f>""</f>
        <v/>
      </c>
    </row>
    <row r="18401" spans="1:7" x14ac:dyDescent="0.25">
      <c r="A18401" t="s">
        <v>8</v>
      </c>
      <c r="B18401" s="1" t="str">
        <f>"000016669 - RICH FOODS BAPA-SSS ARAMARK"</f>
        <v>000016669 - RICH FOODS BAPA-SSS ARAMARK</v>
      </c>
      <c r="C18401" t="s">
        <v>373</v>
      </c>
      <c r="D18401" s="1" t="str">
        <f t="shared" si="497"/>
        <v>PRG-1046491</v>
      </c>
      <c r="E18401" t="s">
        <v>129</v>
      </c>
      <c r="F18401" t="s">
        <v>4</v>
      </c>
      <c r="G18401" t="str">
        <f>""</f>
        <v/>
      </c>
    </row>
    <row r="18402" spans="1:7" x14ac:dyDescent="0.25">
      <c r="A18402" t="s">
        <v>8</v>
      </c>
      <c r="B18402" s="1" t="str">
        <f>"000016828 - RICH FOODS BAPA-SSS ARAMARK"</f>
        <v>000016828 - RICH FOODS BAPA-SSS ARAMARK</v>
      </c>
      <c r="C18402" t="s">
        <v>373</v>
      </c>
      <c r="D18402" s="1" t="str">
        <f t="shared" si="497"/>
        <v>PRG-1046491</v>
      </c>
      <c r="E18402" t="s">
        <v>129</v>
      </c>
      <c r="F18402" t="s">
        <v>4</v>
      </c>
      <c r="G18402" t="str">
        <f>""</f>
        <v/>
      </c>
    </row>
    <row r="18403" spans="1:7" x14ac:dyDescent="0.25">
      <c r="A18403" t="s">
        <v>8</v>
      </c>
      <c r="B18403" s="1" t="str">
        <f>"000018747 - RICH FOODS BAPA-SSS ARAMARK"</f>
        <v>000018747 - RICH FOODS BAPA-SSS ARAMARK</v>
      </c>
      <c r="C18403" t="s">
        <v>373</v>
      </c>
      <c r="D18403" s="1" t="str">
        <f t="shared" si="497"/>
        <v>PRG-1046491</v>
      </c>
      <c r="E18403" t="s">
        <v>129</v>
      </c>
      <c r="F18403" t="s">
        <v>4</v>
      </c>
      <c r="G18403" t="str">
        <f>""</f>
        <v/>
      </c>
    </row>
    <row r="18404" spans="1:7" x14ac:dyDescent="0.25">
      <c r="A18404" t="s">
        <v>8</v>
      </c>
      <c r="B18404" s="1" t="str">
        <f>"000019097 - RICH FOODS-SSS ARAMARK"</f>
        <v>000019097 - RICH FOODS-SSS ARAMARK</v>
      </c>
      <c r="C18404" t="s">
        <v>128</v>
      </c>
      <c r="D18404" s="1" t="str">
        <f t="shared" si="497"/>
        <v>PRG-1046491</v>
      </c>
      <c r="E18404" t="s">
        <v>129</v>
      </c>
      <c r="F18404" t="s">
        <v>4</v>
      </c>
      <c r="G18404" t="str">
        <f>""</f>
        <v/>
      </c>
    </row>
    <row r="18405" spans="1:7" x14ac:dyDescent="0.25">
      <c r="A18405" t="s">
        <v>8</v>
      </c>
      <c r="B18405" s="1" t="str">
        <f>"000020390 - RICH FOODS BAPA-SSS ARAMARK"</f>
        <v>000020390 - RICH FOODS BAPA-SSS ARAMARK</v>
      </c>
      <c r="C18405" t="s">
        <v>373</v>
      </c>
      <c r="D18405" s="1" t="str">
        <f t="shared" si="497"/>
        <v>PRG-1046491</v>
      </c>
      <c r="E18405" t="s">
        <v>129</v>
      </c>
      <c r="F18405" t="s">
        <v>4</v>
      </c>
      <c r="G18405" t="str">
        <f>""</f>
        <v/>
      </c>
    </row>
    <row r="18406" spans="1:7" x14ac:dyDescent="0.25">
      <c r="A18406" t="s">
        <v>8</v>
      </c>
      <c r="B18406" s="1" t="str">
        <f>"000022744 - RICH FOODS BAPA-SSS ARAMARK"</f>
        <v>000022744 - RICH FOODS BAPA-SSS ARAMARK</v>
      </c>
      <c r="C18406" t="s">
        <v>373</v>
      </c>
      <c r="D18406" s="1" t="str">
        <f t="shared" si="497"/>
        <v>PRG-1046491</v>
      </c>
      <c r="E18406" t="s">
        <v>129</v>
      </c>
      <c r="F18406" t="s">
        <v>4</v>
      </c>
      <c r="G18406" t="str">
        <f>""</f>
        <v/>
      </c>
    </row>
    <row r="18407" spans="1:7" x14ac:dyDescent="0.25">
      <c r="A18407" t="s">
        <v>8</v>
      </c>
      <c r="B18407" s="1" t="str">
        <f>"000025066 - RICH FOODS BAPA-SSS ARAMARK"</f>
        <v>000025066 - RICH FOODS BAPA-SSS ARAMARK</v>
      </c>
      <c r="C18407" t="s">
        <v>373</v>
      </c>
      <c r="D18407" s="1" t="str">
        <f t="shared" si="497"/>
        <v>PRG-1046491</v>
      </c>
      <c r="E18407" t="s">
        <v>129</v>
      </c>
      <c r="F18407" t="s">
        <v>4</v>
      </c>
      <c r="G18407" t="str">
        <f>""</f>
        <v/>
      </c>
    </row>
    <row r="18408" spans="1:7" x14ac:dyDescent="0.25">
      <c r="A18408" t="s">
        <v>8</v>
      </c>
      <c r="B18408" s="1" t="str">
        <f>"000026264 - RICH FOODS BAPA-SSS ARAMARK"</f>
        <v>000026264 - RICH FOODS BAPA-SSS ARAMARK</v>
      </c>
      <c r="C18408" t="s">
        <v>373</v>
      </c>
      <c r="D18408" s="1" t="str">
        <f t="shared" si="497"/>
        <v>PRG-1046491</v>
      </c>
      <c r="E18408" t="s">
        <v>129</v>
      </c>
      <c r="F18408" t="s">
        <v>4</v>
      </c>
      <c r="G18408" t="str">
        <f>""</f>
        <v/>
      </c>
    </row>
    <row r="18409" spans="1:7" x14ac:dyDescent="0.25">
      <c r="A18409" t="s">
        <v>8</v>
      </c>
      <c r="B18409" s="1" t="str">
        <f>"000028074 - CASA DEIBERTACCHI-SSS ARAMARK"</f>
        <v>000028074 - CASA DEIBERTACCHI-SSS ARAMARK</v>
      </c>
      <c r="C18409" t="s">
        <v>465</v>
      </c>
      <c r="D18409" s="1" t="str">
        <f t="shared" si="497"/>
        <v>PRG-1046491</v>
      </c>
      <c r="E18409" t="s">
        <v>129</v>
      </c>
      <c r="F18409" t="s">
        <v>4</v>
      </c>
      <c r="G18409" t="str">
        <f>""</f>
        <v/>
      </c>
    </row>
    <row r="18410" spans="1:7" x14ac:dyDescent="0.25">
      <c r="A18410" t="s">
        <v>8</v>
      </c>
      <c r="B18410" s="1" t="str">
        <f>"000028158 - RICH FOODS BAPA-SSS ARAMARK"</f>
        <v>000028158 - RICH FOODS BAPA-SSS ARAMARK</v>
      </c>
      <c r="C18410" t="s">
        <v>373</v>
      </c>
      <c r="D18410" s="1" t="str">
        <f t="shared" si="497"/>
        <v>PRG-1046491</v>
      </c>
      <c r="E18410" t="s">
        <v>129</v>
      </c>
      <c r="F18410" t="s">
        <v>4</v>
      </c>
      <c r="G18410" t="str">
        <f>""</f>
        <v/>
      </c>
    </row>
    <row r="18411" spans="1:7" x14ac:dyDescent="0.25">
      <c r="A18411" t="s">
        <v>8</v>
      </c>
      <c r="B18411" s="1" t="str">
        <f>"000029348 - CASA DEIBERTACCHI-SSS ARAMARK"</f>
        <v>000029348 - CASA DEIBERTACCHI-SSS ARAMARK</v>
      </c>
      <c r="C18411" t="s">
        <v>465</v>
      </c>
      <c r="D18411" s="1" t="str">
        <f t="shared" si="497"/>
        <v>PRG-1046491</v>
      </c>
      <c r="E18411" t="s">
        <v>129</v>
      </c>
      <c r="F18411" t="s">
        <v>4</v>
      </c>
      <c r="G18411" t="str">
        <f>""</f>
        <v/>
      </c>
    </row>
    <row r="18412" spans="1:7" x14ac:dyDescent="0.25">
      <c r="A18412" t="s">
        <v>8</v>
      </c>
      <c r="B18412" s="1" t="str">
        <f>"000030474 - RICH FOODS BAPA-SSS ARAMARK"</f>
        <v>000030474 - RICH FOODS BAPA-SSS ARAMARK</v>
      </c>
      <c r="C18412" t="s">
        <v>373</v>
      </c>
      <c r="D18412" s="1" t="str">
        <f t="shared" si="497"/>
        <v>PRG-1046491</v>
      </c>
      <c r="E18412" t="s">
        <v>129</v>
      </c>
      <c r="F18412" t="s">
        <v>4</v>
      </c>
      <c r="G18412" t="str">
        <f>""</f>
        <v/>
      </c>
    </row>
    <row r="18413" spans="1:7" x14ac:dyDescent="0.25">
      <c r="A18413" t="s">
        <v>8</v>
      </c>
      <c r="B18413" s="1" t="str">
        <f>"000030806 - RICH FOODS BAPA-SSS ARAMARK"</f>
        <v>000030806 - RICH FOODS BAPA-SSS ARAMARK</v>
      </c>
      <c r="C18413" t="s">
        <v>373</v>
      </c>
      <c r="D18413" s="1" t="str">
        <f t="shared" si="497"/>
        <v>PRG-1046491</v>
      </c>
      <c r="E18413" t="s">
        <v>129</v>
      </c>
      <c r="F18413" t="s">
        <v>4</v>
      </c>
      <c r="G18413" t="str">
        <f>""</f>
        <v/>
      </c>
    </row>
    <row r="18414" spans="1:7" x14ac:dyDescent="0.25">
      <c r="A18414" t="s">
        <v>8</v>
      </c>
      <c r="B18414" s="1" t="str">
        <f>"000035462 - RICH FOODS BAPA-SSS ARAMARK"</f>
        <v>000035462 - RICH FOODS BAPA-SSS ARAMARK</v>
      </c>
      <c r="C18414" t="s">
        <v>373</v>
      </c>
      <c r="D18414" s="1" t="str">
        <f t="shared" si="497"/>
        <v>PRG-1046491</v>
      </c>
      <c r="E18414" t="s">
        <v>129</v>
      </c>
      <c r="F18414" t="s">
        <v>4</v>
      </c>
      <c r="G18414" t="str">
        <f>""</f>
        <v/>
      </c>
    </row>
    <row r="18415" spans="1:7" x14ac:dyDescent="0.25">
      <c r="A18415" t="s">
        <v>8</v>
      </c>
      <c r="B18415" s="1" t="str">
        <f>"000035975 - RICH FOODS-SSS ARAMARK"</f>
        <v>000035975 - RICH FOODS-SSS ARAMARK</v>
      </c>
      <c r="C18415" t="s">
        <v>128</v>
      </c>
      <c r="D18415" s="1" t="str">
        <f t="shared" si="497"/>
        <v>PRG-1046491</v>
      </c>
      <c r="E18415" t="s">
        <v>129</v>
      </c>
      <c r="F18415" t="s">
        <v>4</v>
      </c>
      <c r="G18415" t="str">
        <f>""</f>
        <v/>
      </c>
    </row>
    <row r="18416" spans="1:7" x14ac:dyDescent="0.25">
      <c r="A18416" t="s">
        <v>8</v>
      </c>
      <c r="B18416" s="1" t="str">
        <f>"000036030 - CASA DEIBERTACCHI-SSS ARAMARK"</f>
        <v>000036030 - CASA DEIBERTACCHI-SSS ARAMARK</v>
      </c>
      <c r="C18416" t="s">
        <v>465</v>
      </c>
      <c r="D18416" s="1" t="str">
        <f t="shared" si="497"/>
        <v>PRG-1046491</v>
      </c>
      <c r="E18416" t="s">
        <v>129</v>
      </c>
      <c r="F18416" t="s">
        <v>4</v>
      </c>
      <c r="G18416" t="str">
        <f>""</f>
        <v/>
      </c>
    </row>
    <row r="18417" spans="1:7" x14ac:dyDescent="0.25">
      <c r="A18417" t="s">
        <v>8</v>
      </c>
      <c r="B18417" s="1" t="str">
        <f>"000036116 - RICH FOODS BAPA-SSS ARAMARK"</f>
        <v>000036116 - RICH FOODS BAPA-SSS ARAMARK</v>
      </c>
      <c r="C18417" t="s">
        <v>373</v>
      </c>
      <c r="D18417" s="1" t="str">
        <f t="shared" si="497"/>
        <v>PRG-1046491</v>
      </c>
      <c r="E18417" t="s">
        <v>129</v>
      </c>
      <c r="F18417" t="s">
        <v>4</v>
      </c>
      <c r="G18417" t="str">
        <f>""</f>
        <v/>
      </c>
    </row>
    <row r="18418" spans="1:7" x14ac:dyDescent="0.25">
      <c r="A18418" t="s">
        <v>8</v>
      </c>
      <c r="B18418" s="1" t="str">
        <f>"000037165 - RICH FOODS-SSS ARAMARK"</f>
        <v>000037165 - RICH FOODS-SSS ARAMARK</v>
      </c>
      <c r="C18418" t="s">
        <v>128</v>
      </c>
      <c r="D18418" s="1" t="str">
        <f t="shared" si="497"/>
        <v>PRG-1046491</v>
      </c>
      <c r="E18418" t="s">
        <v>129</v>
      </c>
      <c r="F18418" t="s">
        <v>4</v>
      </c>
      <c r="G18418" t="str">
        <f>""</f>
        <v/>
      </c>
    </row>
    <row r="18419" spans="1:7" x14ac:dyDescent="0.25">
      <c r="A18419" t="s">
        <v>8</v>
      </c>
      <c r="B18419" s="1" t="str">
        <f>"000044302 - RICH FOODS-SSS ARAMARK"</f>
        <v>000044302 - RICH FOODS-SSS ARAMARK</v>
      </c>
      <c r="C18419" t="s">
        <v>128</v>
      </c>
      <c r="D18419" s="1" t="str">
        <f t="shared" si="497"/>
        <v>PRG-1046491</v>
      </c>
      <c r="E18419" t="s">
        <v>129</v>
      </c>
      <c r="F18419" t="s">
        <v>4</v>
      </c>
      <c r="G18419" t="str">
        <f>""</f>
        <v/>
      </c>
    </row>
    <row r="18420" spans="1:7" x14ac:dyDescent="0.25">
      <c r="A18420" t="s">
        <v>8</v>
      </c>
      <c r="B18420" s="1" t="str">
        <f>"000045501 - RICH FOODS-SSS ARAMARK"</f>
        <v>000045501 - RICH FOODS-SSS ARAMARK</v>
      </c>
      <c r="C18420" t="s">
        <v>128</v>
      </c>
      <c r="D18420" s="1" t="str">
        <f t="shared" si="497"/>
        <v>PRG-1046491</v>
      </c>
      <c r="E18420" t="s">
        <v>129</v>
      </c>
      <c r="F18420" t="s">
        <v>4</v>
      </c>
      <c r="G18420" t="str">
        <f>""</f>
        <v/>
      </c>
    </row>
    <row r="18421" spans="1:7" x14ac:dyDescent="0.25">
      <c r="A18421" t="s">
        <v>8</v>
      </c>
      <c r="B18421" s="1" t="str">
        <f>"000048689 - RICH FOODS-SSS ARAMARK"</f>
        <v>000048689 - RICH FOODS-SSS ARAMARK</v>
      </c>
      <c r="C18421" t="s">
        <v>128</v>
      </c>
      <c r="D18421" s="1" t="str">
        <f t="shared" si="497"/>
        <v>PRG-1046491</v>
      </c>
      <c r="E18421" t="s">
        <v>129</v>
      </c>
      <c r="F18421" t="s">
        <v>4</v>
      </c>
      <c r="G18421" t="str">
        <f>""</f>
        <v/>
      </c>
    </row>
    <row r="18422" spans="1:7" x14ac:dyDescent="0.25">
      <c r="A18422" t="s">
        <v>8</v>
      </c>
      <c r="B18422" s="1" t="str">
        <f>"000050559 - RICH FOODS-SSS ARAMARK"</f>
        <v>000050559 - RICH FOODS-SSS ARAMARK</v>
      </c>
      <c r="C18422" t="s">
        <v>128</v>
      </c>
      <c r="D18422" s="1" t="str">
        <f t="shared" si="497"/>
        <v>PRG-1046491</v>
      </c>
      <c r="E18422" t="s">
        <v>129</v>
      </c>
      <c r="F18422" t="s">
        <v>4</v>
      </c>
      <c r="G18422" t="str">
        <f>""</f>
        <v/>
      </c>
    </row>
    <row r="18423" spans="1:7" x14ac:dyDescent="0.25">
      <c r="A18423" t="s">
        <v>8</v>
      </c>
      <c r="B18423" s="1" t="str">
        <f>"000053526 - RICH FOODS-SSS ARAMARK"</f>
        <v>000053526 - RICH FOODS-SSS ARAMARK</v>
      </c>
      <c r="C18423" t="s">
        <v>128</v>
      </c>
      <c r="D18423" s="1" t="str">
        <f t="shared" si="497"/>
        <v>PRG-1046491</v>
      </c>
      <c r="E18423" t="s">
        <v>129</v>
      </c>
      <c r="F18423" t="s">
        <v>4</v>
      </c>
      <c r="G18423" t="str">
        <f>""</f>
        <v/>
      </c>
    </row>
    <row r="18424" spans="1:7" x14ac:dyDescent="0.25">
      <c r="A18424" t="s">
        <v>8</v>
      </c>
      <c r="B18424" s="1" t="str">
        <f>"000054373 - CASA DEIBERTACCHI-SSS ARAMARK"</f>
        <v>000054373 - CASA DEIBERTACCHI-SSS ARAMARK</v>
      </c>
      <c r="C18424" t="s">
        <v>465</v>
      </c>
      <c r="D18424" s="1" t="str">
        <f t="shared" si="497"/>
        <v>PRG-1046491</v>
      </c>
      <c r="E18424" t="s">
        <v>129</v>
      </c>
      <c r="F18424" t="s">
        <v>4</v>
      </c>
      <c r="G18424" t="str">
        <f>""</f>
        <v/>
      </c>
    </row>
    <row r="18425" spans="1:7" x14ac:dyDescent="0.25">
      <c r="A18425" t="s">
        <v>8</v>
      </c>
      <c r="B18425" s="1" t="str">
        <f>"000060760 - RICH FOODS-SSS ARAMARK"</f>
        <v>000060760 - RICH FOODS-SSS ARAMARK</v>
      </c>
      <c r="C18425" t="s">
        <v>128</v>
      </c>
      <c r="D18425" s="1" t="str">
        <f t="shared" si="497"/>
        <v>PRG-1046491</v>
      </c>
      <c r="E18425" t="s">
        <v>129</v>
      </c>
      <c r="F18425" t="s">
        <v>4</v>
      </c>
      <c r="G18425" t="str">
        <f>""</f>
        <v/>
      </c>
    </row>
    <row r="18426" spans="1:7" x14ac:dyDescent="0.25">
      <c r="A18426" t="s">
        <v>8</v>
      </c>
      <c r="B18426" s="1" t="str">
        <f>"000076095 - RICH FOODS-SSS ARAMARK"</f>
        <v>000076095 - RICH FOODS-SSS ARAMARK</v>
      </c>
      <c r="C18426" t="s">
        <v>128</v>
      </c>
      <c r="D18426" s="1" t="str">
        <f t="shared" si="497"/>
        <v>PRG-1046491</v>
      </c>
      <c r="E18426" t="s">
        <v>129</v>
      </c>
      <c r="F18426" t="s">
        <v>4</v>
      </c>
      <c r="G18426" t="str">
        <f>""</f>
        <v/>
      </c>
    </row>
    <row r="18427" spans="1:7" x14ac:dyDescent="0.25">
      <c r="A18427" t="s">
        <v>8</v>
      </c>
      <c r="B18427" s="1" t="str">
        <f>"000082908 - CASA DEIBERTACCHI-SSS ARAMARK"</f>
        <v>000082908 - CASA DEIBERTACCHI-SSS ARAMARK</v>
      </c>
      <c r="C18427" t="s">
        <v>465</v>
      </c>
      <c r="D18427" s="1" t="str">
        <f t="shared" si="497"/>
        <v>PRG-1046491</v>
      </c>
      <c r="E18427" t="s">
        <v>129</v>
      </c>
      <c r="F18427" t="s">
        <v>4</v>
      </c>
      <c r="G18427" t="str">
        <f>""</f>
        <v/>
      </c>
    </row>
    <row r="18428" spans="1:7" x14ac:dyDescent="0.25">
      <c r="A18428" t="s">
        <v>8</v>
      </c>
      <c r="B18428" s="1" t="str">
        <f>"000089240 - RICH FOODS-SSS ARAMARK"</f>
        <v>000089240 - RICH FOODS-SSS ARAMARK</v>
      </c>
      <c r="C18428" t="s">
        <v>128</v>
      </c>
      <c r="D18428" s="1" t="str">
        <f t="shared" si="497"/>
        <v>PRG-1046491</v>
      </c>
      <c r="E18428" t="s">
        <v>129</v>
      </c>
      <c r="F18428" t="s">
        <v>4</v>
      </c>
      <c r="G18428" t="str">
        <f>""</f>
        <v/>
      </c>
    </row>
    <row r="18429" spans="1:7" x14ac:dyDescent="0.25">
      <c r="A18429" t="s">
        <v>8</v>
      </c>
      <c r="B18429" s="1" t="str">
        <f>"000098083 - CASA DEIBERTACCHI-SSS ARAMARK"</f>
        <v>000098083 - CASA DEIBERTACCHI-SSS ARAMARK</v>
      </c>
      <c r="C18429" t="s">
        <v>465</v>
      </c>
      <c r="D18429" s="1" t="str">
        <f t="shared" si="497"/>
        <v>PRG-1046491</v>
      </c>
      <c r="E18429" t="s">
        <v>129</v>
      </c>
      <c r="F18429" t="s">
        <v>4</v>
      </c>
      <c r="G18429" t="str">
        <f>""</f>
        <v/>
      </c>
    </row>
    <row r="18430" spans="1:7" x14ac:dyDescent="0.25">
      <c r="A18430" t="s">
        <v>8</v>
      </c>
      <c r="B18430" s="1" t="str">
        <f>"000104434 - RICH FOODS-SSS ARAMARK"</f>
        <v>000104434 - RICH FOODS-SSS ARAMARK</v>
      </c>
      <c r="C18430" t="s">
        <v>128</v>
      </c>
      <c r="D18430" s="1" t="str">
        <f t="shared" si="497"/>
        <v>PRG-1046491</v>
      </c>
      <c r="E18430" t="s">
        <v>129</v>
      </c>
      <c r="F18430" t="s">
        <v>4</v>
      </c>
      <c r="G18430" t="str">
        <f>""</f>
        <v/>
      </c>
    </row>
    <row r="18431" spans="1:7" x14ac:dyDescent="0.25">
      <c r="A18431" t="s">
        <v>8</v>
      </c>
      <c r="B18431" s="1" t="str">
        <f>"000125313 - RICHS FDS NCORE BB-SSS ARAMARK"</f>
        <v>000125313 - RICHS FDS NCORE BB-SSS ARAMARK</v>
      </c>
      <c r="C18431" t="s">
        <v>558</v>
      </c>
      <c r="D18431" s="1" t="str">
        <f t="shared" si="497"/>
        <v>PRG-1046491</v>
      </c>
      <c r="E18431" t="s">
        <v>129</v>
      </c>
      <c r="F18431" t="s">
        <v>4</v>
      </c>
      <c r="G18431" t="str">
        <f>""</f>
        <v/>
      </c>
    </row>
    <row r="18432" spans="1:7" x14ac:dyDescent="0.25">
      <c r="A18432" t="s">
        <v>8</v>
      </c>
      <c r="B18432" s="1" t="str">
        <f>"000139341 - CASA DIBERTACCHI-SSS ARAMARK"</f>
        <v>000139341 - CASA DIBERTACCHI-SSS ARAMARK</v>
      </c>
      <c r="C18432" t="s">
        <v>150</v>
      </c>
      <c r="D18432" s="1" t="str">
        <f t="shared" si="497"/>
        <v>PRG-1046491</v>
      </c>
      <c r="E18432" t="s">
        <v>129</v>
      </c>
      <c r="F18432" t="s">
        <v>4</v>
      </c>
      <c r="G18432" t="str">
        <f>""</f>
        <v/>
      </c>
    </row>
    <row r="18433" spans="1:7" x14ac:dyDescent="0.25">
      <c r="A18433" t="s">
        <v>8</v>
      </c>
      <c r="B18433" s="1" t="str">
        <f>"000145179 - RICH FOODS BAPA-SSS ARAMARK"</f>
        <v>000145179 - RICH FOODS BAPA-SSS ARAMARK</v>
      </c>
      <c r="C18433" t="s">
        <v>373</v>
      </c>
      <c r="D18433" s="1" t="str">
        <f t="shared" si="497"/>
        <v>PRG-1046491</v>
      </c>
      <c r="E18433" t="s">
        <v>129</v>
      </c>
      <c r="F18433" t="s">
        <v>4</v>
      </c>
      <c r="G18433" t="str">
        <f>""</f>
        <v/>
      </c>
    </row>
    <row r="18434" spans="1:7" x14ac:dyDescent="0.25">
      <c r="A18434" t="s">
        <v>8</v>
      </c>
      <c r="B18434" s="1" t="str">
        <f>"000147597 - RICH FOODS BAPA-SSS ARAMARK"</f>
        <v>000147597 - RICH FOODS BAPA-SSS ARAMARK</v>
      </c>
      <c r="C18434" t="s">
        <v>373</v>
      </c>
      <c r="D18434" s="1" t="str">
        <f t="shared" si="497"/>
        <v>PRG-1046491</v>
      </c>
      <c r="E18434" t="s">
        <v>129</v>
      </c>
      <c r="F18434" t="s">
        <v>4</v>
      </c>
      <c r="G18434" t="str">
        <f>""</f>
        <v/>
      </c>
    </row>
    <row r="18435" spans="1:7" x14ac:dyDescent="0.25">
      <c r="A18435" t="s">
        <v>8</v>
      </c>
      <c r="B18435" s="1" t="str">
        <f>"000150592 - RICH FOODS BAPA-SSS ARAMARK"</f>
        <v>000150592 - RICH FOODS BAPA-SSS ARAMARK</v>
      </c>
      <c r="C18435" t="s">
        <v>373</v>
      </c>
      <c r="D18435" s="1" t="str">
        <f t="shared" si="497"/>
        <v>PRG-1046491</v>
      </c>
      <c r="E18435" t="s">
        <v>129</v>
      </c>
      <c r="F18435" t="s">
        <v>4</v>
      </c>
      <c r="G18435" t="str">
        <f>""</f>
        <v/>
      </c>
    </row>
    <row r="18436" spans="1:7" x14ac:dyDescent="0.25">
      <c r="A18436" t="s">
        <v>8</v>
      </c>
      <c r="B18436" s="1" t="str">
        <f>"000152497 - CASA DEIBERTACCHI-SSS ARAMARK"</f>
        <v>000152497 - CASA DEIBERTACCHI-SSS ARAMARK</v>
      </c>
      <c r="C18436" t="s">
        <v>465</v>
      </c>
      <c r="D18436" s="1" t="str">
        <f t="shared" si="497"/>
        <v>PRG-1046491</v>
      </c>
      <c r="E18436" t="s">
        <v>129</v>
      </c>
      <c r="F18436" t="s">
        <v>4</v>
      </c>
      <c r="G18436" t="str">
        <f>""</f>
        <v/>
      </c>
    </row>
    <row r="18437" spans="1:7" x14ac:dyDescent="0.25">
      <c r="A18437" t="s">
        <v>8</v>
      </c>
      <c r="B18437" s="1" t="str">
        <f>"000156333 - RICH FOODS-SSS ARAMARK"</f>
        <v>000156333 - RICH FOODS-SSS ARAMARK</v>
      </c>
      <c r="C18437" t="s">
        <v>128</v>
      </c>
      <c r="D18437" s="1" t="str">
        <f t="shared" si="497"/>
        <v>PRG-1046491</v>
      </c>
      <c r="E18437" t="s">
        <v>129</v>
      </c>
      <c r="F18437" t="s">
        <v>4</v>
      </c>
      <c r="G18437" t="str">
        <f>""</f>
        <v/>
      </c>
    </row>
    <row r="18438" spans="1:7" x14ac:dyDescent="0.25">
      <c r="A18438" t="s">
        <v>8</v>
      </c>
      <c r="B18438" s="1" t="str">
        <f>"000157467 - RICH FOODS-SSS ARAMARK"</f>
        <v>000157467 - RICH FOODS-SSS ARAMARK</v>
      </c>
      <c r="C18438" t="s">
        <v>128</v>
      </c>
      <c r="D18438" s="1" t="str">
        <f t="shared" si="497"/>
        <v>PRG-1046491</v>
      </c>
      <c r="E18438" t="s">
        <v>129</v>
      </c>
      <c r="F18438" t="s">
        <v>4</v>
      </c>
      <c r="G18438" t="str">
        <f>""</f>
        <v/>
      </c>
    </row>
    <row r="18439" spans="1:7" x14ac:dyDescent="0.25">
      <c r="A18439" t="s">
        <v>8</v>
      </c>
      <c r="B18439" s="1" t="str">
        <f>"000158433 - RICH FOODS-SSS ARAMARK"</f>
        <v>000158433 - RICH FOODS-SSS ARAMARK</v>
      </c>
      <c r="C18439" t="s">
        <v>128</v>
      </c>
      <c r="D18439" s="1" t="str">
        <f t="shared" si="497"/>
        <v>PRG-1046491</v>
      </c>
      <c r="E18439" t="s">
        <v>129</v>
      </c>
      <c r="F18439" t="s">
        <v>4</v>
      </c>
      <c r="G18439" t="str">
        <f>""</f>
        <v/>
      </c>
    </row>
    <row r="18440" spans="1:7" x14ac:dyDescent="0.25">
      <c r="A18440" t="s">
        <v>8</v>
      </c>
      <c r="B18440" s="1" t="str">
        <f>"000159747 - RICH FOODS-SSS ARAMARK"</f>
        <v>000159747 - RICH FOODS-SSS ARAMARK</v>
      </c>
      <c r="C18440" t="s">
        <v>128</v>
      </c>
      <c r="D18440" s="1" t="str">
        <f t="shared" si="497"/>
        <v>PRG-1046491</v>
      </c>
      <c r="E18440" t="s">
        <v>129</v>
      </c>
      <c r="F18440" t="s">
        <v>4</v>
      </c>
      <c r="G18440" t="str">
        <f>""</f>
        <v/>
      </c>
    </row>
    <row r="18441" spans="1:7" x14ac:dyDescent="0.25">
      <c r="A18441" t="s">
        <v>8</v>
      </c>
      <c r="B18441" s="1" t="str">
        <f>"000160797 - CASA DEIBERTACCHI-SSS ARAMARK"</f>
        <v>000160797 - CASA DEIBERTACCHI-SSS ARAMARK</v>
      </c>
      <c r="C18441" t="s">
        <v>465</v>
      </c>
      <c r="D18441" s="1" t="str">
        <f t="shared" si="497"/>
        <v>PRG-1046491</v>
      </c>
      <c r="E18441" t="s">
        <v>129</v>
      </c>
      <c r="F18441" t="s">
        <v>4</v>
      </c>
      <c r="G18441" t="str">
        <f>""</f>
        <v/>
      </c>
    </row>
    <row r="18442" spans="1:7" x14ac:dyDescent="0.25">
      <c r="A18442" t="s">
        <v>8</v>
      </c>
      <c r="B18442" s="1" t="str">
        <f>"000164571 - CASA DEIBERTACCHI-SSS ARAMARK"</f>
        <v>000164571 - CASA DEIBERTACCHI-SSS ARAMARK</v>
      </c>
      <c r="C18442" t="s">
        <v>465</v>
      </c>
      <c r="D18442" s="1" t="str">
        <f t="shared" si="497"/>
        <v>PRG-1046491</v>
      </c>
      <c r="E18442" t="s">
        <v>129</v>
      </c>
      <c r="F18442" t="s">
        <v>4</v>
      </c>
      <c r="G18442" t="str">
        <f>""</f>
        <v/>
      </c>
    </row>
    <row r="18443" spans="1:7" x14ac:dyDescent="0.25">
      <c r="A18443" t="s">
        <v>8</v>
      </c>
      <c r="B18443" s="1" t="str">
        <f>"000167157 - RICH FOODS BAPA-SSS ARAMARK"</f>
        <v>000167157 - RICH FOODS BAPA-SSS ARAMARK</v>
      </c>
      <c r="C18443" t="s">
        <v>373</v>
      </c>
      <c r="D18443" s="1" t="str">
        <f t="shared" si="497"/>
        <v>PRG-1046491</v>
      </c>
      <c r="E18443" t="s">
        <v>129</v>
      </c>
      <c r="F18443" t="s">
        <v>4</v>
      </c>
      <c r="G18443" t="str">
        <f>""</f>
        <v/>
      </c>
    </row>
    <row r="18444" spans="1:7" x14ac:dyDescent="0.25">
      <c r="A18444" t="s">
        <v>8</v>
      </c>
      <c r="B18444" s="1" t="str">
        <f>"000168042 - CASA DEIBERTACCHI-SSS ARAMARK"</f>
        <v>000168042 - CASA DEIBERTACCHI-SSS ARAMARK</v>
      </c>
      <c r="C18444" t="s">
        <v>465</v>
      </c>
      <c r="D18444" s="1" t="str">
        <f t="shared" si="497"/>
        <v>PRG-1046491</v>
      </c>
      <c r="E18444" t="s">
        <v>129</v>
      </c>
      <c r="F18444" t="s">
        <v>4</v>
      </c>
      <c r="G18444" t="str">
        <f>""</f>
        <v/>
      </c>
    </row>
    <row r="18445" spans="1:7" x14ac:dyDescent="0.25">
      <c r="A18445" t="s">
        <v>8</v>
      </c>
      <c r="B18445" s="1" t="str">
        <f>"000169500 - RICH FOODS-SSS ARAMARK"</f>
        <v>000169500 - RICH FOODS-SSS ARAMARK</v>
      </c>
      <c r="C18445" t="s">
        <v>128</v>
      </c>
      <c r="D18445" s="1" t="str">
        <f t="shared" si="497"/>
        <v>PRG-1046491</v>
      </c>
      <c r="E18445" t="s">
        <v>129</v>
      </c>
      <c r="F18445" t="s">
        <v>4</v>
      </c>
      <c r="G18445" t="str">
        <f>""</f>
        <v/>
      </c>
    </row>
    <row r="18446" spans="1:7" x14ac:dyDescent="0.25">
      <c r="A18446" t="s">
        <v>8</v>
      </c>
      <c r="B18446" s="1" t="str">
        <f>"000169678 - RICH FOODS BAPA-SSS ARAMARK"</f>
        <v>000169678 - RICH FOODS BAPA-SSS ARAMARK</v>
      </c>
      <c r="C18446" t="s">
        <v>373</v>
      </c>
      <c r="D18446" s="1" t="str">
        <f t="shared" si="497"/>
        <v>PRG-1046491</v>
      </c>
      <c r="E18446" t="s">
        <v>129</v>
      </c>
      <c r="F18446" t="s">
        <v>4</v>
      </c>
      <c r="G18446" t="str">
        <f>""</f>
        <v/>
      </c>
    </row>
    <row r="18447" spans="1:7" x14ac:dyDescent="0.25">
      <c r="A18447" t="s">
        <v>8</v>
      </c>
      <c r="B18447" s="1" t="str">
        <f>"000172739 - RICH FOODS BAPA-SSS ARAMARK"</f>
        <v>000172739 - RICH FOODS BAPA-SSS ARAMARK</v>
      </c>
      <c r="C18447" t="s">
        <v>373</v>
      </c>
      <c r="D18447" s="1" t="str">
        <f t="shared" si="497"/>
        <v>PRG-1046491</v>
      </c>
      <c r="E18447" t="s">
        <v>129</v>
      </c>
      <c r="F18447" t="s">
        <v>4</v>
      </c>
      <c r="G18447" t="str">
        <f>""</f>
        <v/>
      </c>
    </row>
    <row r="18448" spans="1:7" x14ac:dyDescent="0.25">
      <c r="A18448" t="s">
        <v>8</v>
      </c>
      <c r="B18448" s="1" t="str">
        <f>"000173878 - RICH FOODS-SSS ARAMARK"</f>
        <v>000173878 - RICH FOODS-SSS ARAMARK</v>
      </c>
      <c r="C18448" t="s">
        <v>128</v>
      </c>
      <c r="D18448" s="1" t="str">
        <f t="shared" si="497"/>
        <v>PRG-1046491</v>
      </c>
      <c r="E18448" t="s">
        <v>129</v>
      </c>
      <c r="F18448" t="s">
        <v>4</v>
      </c>
      <c r="G18448" t="str">
        <f>""</f>
        <v/>
      </c>
    </row>
    <row r="18449" spans="1:7" x14ac:dyDescent="0.25">
      <c r="A18449" t="s">
        <v>8</v>
      </c>
      <c r="B18449" s="1" t="str">
        <f>"000181944 - RICH FOODS-SSS ARAMARK"</f>
        <v>000181944 - RICH FOODS-SSS ARAMARK</v>
      </c>
      <c r="C18449" t="s">
        <v>128</v>
      </c>
      <c r="D18449" s="1" t="str">
        <f t="shared" si="497"/>
        <v>PRG-1046491</v>
      </c>
      <c r="E18449" t="s">
        <v>129</v>
      </c>
      <c r="F18449" t="s">
        <v>4</v>
      </c>
      <c r="G18449" t="str">
        <f>""</f>
        <v/>
      </c>
    </row>
    <row r="18450" spans="1:7" x14ac:dyDescent="0.25">
      <c r="A18450" t="s">
        <v>8</v>
      </c>
      <c r="B18450" s="1" t="str">
        <f>"000183087 - CASA DEIBERTACCHI-SSS ARAMARK"</f>
        <v>000183087 - CASA DEIBERTACCHI-SSS ARAMARK</v>
      </c>
      <c r="C18450" t="s">
        <v>465</v>
      </c>
      <c r="D18450" s="1" t="str">
        <f t="shared" si="497"/>
        <v>PRG-1046491</v>
      </c>
      <c r="E18450" t="s">
        <v>129</v>
      </c>
      <c r="F18450" t="s">
        <v>4</v>
      </c>
      <c r="G18450" t="str">
        <f>""</f>
        <v/>
      </c>
    </row>
    <row r="18451" spans="1:7" x14ac:dyDescent="0.25">
      <c r="A18451" t="s">
        <v>8</v>
      </c>
      <c r="B18451" s="1" t="str">
        <f>"000198516 - RICH FOODS-SSS ARAMARK"</f>
        <v>000198516 - RICH FOODS-SSS ARAMARK</v>
      </c>
      <c r="C18451" t="s">
        <v>128</v>
      </c>
      <c r="D18451" s="1" t="str">
        <f t="shared" si="497"/>
        <v>PRG-1046491</v>
      </c>
      <c r="E18451" t="s">
        <v>129</v>
      </c>
      <c r="F18451" t="s">
        <v>4</v>
      </c>
      <c r="G18451" t="str">
        <f>""</f>
        <v/>
      </c>
    </row>
    <row r="18452" spans="1:7" x14ac:dyDescent="0.25">
      <c r="A18452" t="s">
        <v>8</v>
      </c>
      <c r="B18452" s="1" t="str">
        <f>"000201288 - RICHS FDS NCORE BB-SSS ARAMARK"</f>
        <v>000201288 - RICHS FDS NCORE BB-SSS ARAMARK</v>
      </c>
      <c r="C18452" t="s">
        <v>558</v>
      </c>
      <c r="D18452" s="1" t="str">
        <f t="shared" si="497"/>
        <v>PRG-1046491</v>
      </c>
      <c r="E18452" t="s">
        <v>129</v>
      </c>
      <c r="F18452" t="s">
        <v>4</v>
      </c>
      <c r="G18452" t="str">
        <f>""</f>
        <v/>
      </c>
    </row>
    <row r="18453" spans="1:7" x14ac:dyDescent="0.25">
      <c r="A18453" t="s">
        <v>8</v>
      </c>
      <c r="B18453" s="1" t="str">
        <f>"000214942 - RICHS FDS NCORE BB-SSS ARAMARK"</f>
        <v>000214942 - RICHS FDS NCORE BB-SSS ARAMARK</v>
      </c>
      <c r="C18453" t="s">
        <v>558</v>
      </c>
      <c r="D18453" s="1" t="str">
        <f t="shared" si="497"/>
        <v>PRG-1046491</v>
      </c>
      <c r="E18453" t="s">
        <v>129</v>
      </c>
      <c r="F18453" t="s">
        <v>4</v>
      </c>
      <c r="G18453" t="str">
        <f>""</f>
        <v/>
      </c>
    </row>
    <row r="18454" spans="1:7" x14ac:dyDescent="0.25">
      <c r="A18454" t="s">
        <v>8</v>
      </c>
      <c r="B18454" s="1" t="str">
        <f>"000230634 - RICH'S FDS-SSS ARAMARK"</f>
        <v>000230634 - RICH'S FDS-SSS ARAMARK</v>
      </c>
      <c r="C18454" t="s">
        <v>541</v>
      </c>
      <c r="D18454" s="1" t="str">
        <f t="shared" si="497"/>
        <v>PRG-1046491</v>
      </c>
      <c r="E18454" t="s">
        <v>129</v>
      </c>
      <c r="F18454" t="s">
        <v>4</v>
      </c>
      <c r="G18454" t="str">
        <f>""</f>
        <v/>
      </c>
    </row>
    <row r="18455" spans="1:7" x14ac:dyDescent="0.25">
      <c r="A18455" t="s">
        <v>8</v>
      </c>
      <c r="B18455" s="1" t="str">
        <f>"000235933 - RICH FOODS BAPA-SSS ARAMARK"</f>
        <v>000235933 - RICH FOODS BAPA-SSS ARAMARK</v>
      </c>
      <c r="C18455" t="s">
        <v>373</v>
      </c>
      <c r="D18455" s="1" t="str">
        <f t="shared" si="497"/>
        <v>PRG-1046491</v>
      </c>
      <c r="E18455" t="s">
        <v>129</v>
      </c>
      <c r="F18455" t="s">
        <v>4</v>
      </c>
      <c r="G18455" t="str">
        <f>""</f>
        <v/>
      </c>
    </row>
    <row r="18456" spans="1:7" x14ac:dyDescent="0.25">
      <c r="A18456" t="s">
        <v>8</v>
      </c>
      <c r="B18456" s="1" t="str">
        <f>"000237836 - RICH FOODS BAPA-SSS ARAMARK"</f>
        <v>000237836 - RICH FOODS BAPA-SSS ARAMARK</v>
      </c>
      <c r="C18456" t="s">
        <v>373</v>
      </c>
      <c r="D18456" s="1" t="str">
        <f t="shared" si="497"/>
        <v>PRG-1046491</v>
      </c>
      <c r="E18456" t="s">
        <v>129</v>
      </c>
      <c r="F18456" t="s">
        <v>4</v>
      </c>
      <c r="G18456" t="str">
        <f>""</f>
        <v/>
      </c>
    </row>
    <row r="18457" spans="1:7" x14ac:dyDescent="0.25">
      <c r="A18457" t="s">
        <v>8</v>
      </c>
      <c r="B18457" s="1" t="str">
        <f>"000238630 - RICH FOODS BAPA-SSS ARAMARK"</f>
        <v>000238630 - RICH FOODS BAPA-SSS ARAMARK</v>
      </c>
      <c r="C18457" t="s">
        <v>373</v>
      </c>
      <c r="D18457" s="1" t="str">
        <f t="shared" si="497"/>
        <v>PRG-1046491</v>
      </c>
      <c r="E18457" t="s">
        <v>129</v>
      </c>
      <c r="F18457" t="s">
        <v>4</v>
      </c>
      <c r="G18457" t="str">
        <f>""</f>
        <v/>
      </c>
    </row>
    <row r="18458" spans="1:7" x14ac:dyDescent="0.25">
      <c r="A18458" t="s">
        <v>8</v>
      </c>
      <c r="B18458" s="1" t="str">
        <f>"000240043 - RICH FOODS BAPA-SSS ARAMARK"</f>
        <v>000240043 - RICH FOODS BAPA-SSS ARAMARK</v>
      </c>
      <c r="C18458" t="s">
        <v>373</v>
      </c>
      <c r="D18458" s="1" t="str">
        <f t="shared" si="497"/>
        <v>PRG-1046491</v>
      </c>
      <c r="E18458" t="s">
        <v>129</v>
      </c>
      <c r="F18458" t="s">
        <v>4</v>
      </c>
      <c r="G18458" t="str">
        <f>""</f>
        <v/>
      </c>
    </row>
    <row r="18459" spans="1:7" x14ac:dyDescent="0.25">
      <c r="A18459" t="s">
        <v>8</v>
      </c>
      <c r="B18459" s="1" t="str">
        <f>"000240344 - RICHS FDS NCORE BB-SSS ARAMARK"</f>
        <v>000240344 - RICHS FDS NCORE BB-SSS ARAMARK</v>
      </c>
      <c r="C18459" t="s">
        <v>558</v>
      </c>
      <c r="D18459" s="1" t="str">
        <f t="shared" si="497"/>
        <v>PRG-1046491</v>
      </c>
      <c r="E18459" t="s">
        <v>129</v>
      </c>
      <c r="F18459" t="s">
        <v>4</v>
      </c>
      <c r="G18459" t="str">
        <f>""</f>
        <v/>
      </c>
    </row>
    <row r="18460" spans="1:7" x14ac:dyDescent="0.25">
      <c r="A18460" t="s">
        <v>8</v>
      </c>
      <c r="B18460" s="1" t="str">
        <f>"000240571 - RICH'S FDS-SSS ARAMARK"</f>
        <v>000240571 - RICH'S FDS-SSS ARAMARK</v>
      </c>
      <c r="C18460" t="s">
        <v>541</v>
      </c>
      <c r="D18460" s="1" t="str">
        <f t="shared" si="497"/>
        <v>PRG-1046491</v>
      </c>
      <c r="E18460" t="s">
        <v>129</v>
      </c>
      <c r="F18460" t="s">
        <v>4</v>
      </c>
      <c r="G18460" t="str">
        <f>""</f>
        <v/>
      </c>
    </row>
    <row r="18461" spans="1:7" x14ac:dyDescent="0.25">
      <c r="A18461" t="s">
        <v>8</v>
      </c>
      <c r="B18461" s="1" t="str">
        <f>"000241717 - RICH FOODS BAPA-SSS ARAMARK"</f>
        <v>000241717 - RICH FOODS BAPA-SSS ARAMARK</v>
      </c>
      <c r="C18461" t="s">
        <v>373</v>
      </c>
      <c r="D18461" s="1" t="str">
        <f t="shared" ref="D18461:D18524" si="498">"PRG-1046491"</f>
        <v>PRG-1046491</v>
      </c>
      <c r="E18461" t="s">
        <v>129</v>
      </c>
      <c r="F18461" t="s">
        <v>4</v>
      </c>
      <c r="G18461" t="str">
        <f>""</f>
        <v/>
      </c>
    </row>
    <row r="18462" spans="1:7" x14ac:dyDescent="0.25">
      <c r="A18462" t="s">
        <v>8</v>
      </c>
      <c r="B18462" s="1" t="str">
        <f>"000243033 - RICH FOODS BAPA-SSS ARAMARK"</f>
        <v>000243033 - RICH FOODS BAPA-SSS ARAMARK</v>
      </c>
      <c r="C18462" t="s">
        <v>373</v>
      </c>
      <c r="D18462" s="1" t="str">
        <f t="shared" si="498"/>
        <v>PRG-1046491</v>
      </c>
      <c r="E18462" t="s">
        <v>129</v>
      </c>
      <c r="F18462" t="s">
        <v>4</v>
      </c>
      <c r="G18462" t="str">
        <f>""</f>
        <v/>
      </c>
    </row>
    <row r="18463" spans="1:7" x14ac:dyDescent="0.25">
      <c r="A18463" t="s">
        <v>8</v>
      </c>
      <c r="B18463" s="1" t="str">
        <f>"000246122 - RICH FOODS BAPA-SSS ARAMARK"</f>
        <v>000246122 - RICH FOODS BAPA-SSS ARAMARK</v>
      </c>
      <c r="C18463" t="s">
        <v>373</v>
      </c>
      <c r="D18463" s="1" t="str">
        <f t="shared" si="498"/>
        <v>PRG-1046491</v>
      </c>
      <c r="E18463" t="s">
        <v>129</v>
      </c>
      <c r="F18463" t="s">
        <v>4</v>
      </c>
      <c r="G18463" t="str">
        <f>""</f>
        <v/>
      </c>
    </row>
    <row r="18464" spans="1:7" x14ac:dyDescent="0.25">
      <c r="A18464" t="s">
        <v>8</v>
      </c>
      <c r="B18464" s="1" t="str">
        <f>"000249134 - RICH FOODS BAPA-SSS ARAMARK"</f>
        <v>000249134 - RICH FOODS BAPA-SSS ARAMARK</v>
      </c>
      <c r="C18464" t="s">
        <v>373</v>
      </c>
      <c r="D18464" s="1" t="str">
        <f t="shared" si="498"/>
        <v>PRG-1046491</v>
      </c>
      <c r="E18464" t="s">
        <v>129</v>
      </c>
      <c r="F18464" t="s">
        <v>4</v>
      </c>
      <c r="G18464" t="str">
        <f>""</f>
        <v/>
      </c>
    </row>
    <row r="18465" spans="1:7" x14ac:dyDescent="0.25">
      <c r="A18465" t="s">
        <v>8</v>
      </c>
      <c r="B18465" s="1" t="str">
        <f>"000251070 - RICH FOODS-SSS ARAMARK"</f>
        <v>000251070 - RICH FOODS-SSS ARAMARK</v>
      </c>
      <c r="C18465" t="s">
        <v>128</v>
      </c>
      <c r="D18465" s="1" t="str">
        <f t="shared" si="498"/>
        <v>PRG-1046491</v>
      </c>
      <c r="E18465" t="s">
        <v>129</v>
      </c>
      <c r="F18465" t="s">
        <v>4</v>
      </c>
      <c r="G18465" t="str">
        <f>""</f>
        <v/>
      </c>
    </row>
    <row r="18466" spans="1:7" x14ac:dyDescent="0.25">
      <c r="A18466" t="s">
        <v>8</v>
      </c>
      <c r="B18466" s="1" t="str">
        <f>"000251285 - RICH FOODS BAPA-SSS ARAMARK"</f>
        <v>000251285 - RICH FOODS BAPA-SSS ARAMARK</v>
      </c>
      <c r="C18466" t="s">
        <v>373</v>
      </c>
      <c r="D18466" s="1" t="str">
        <f t="shared" si="498"/>
        <v>PRG-1046491</v>
      </c>
      <c r="E18466" t="s">
        <v>129</v>
      </c>
      <c r="F18466" t="s">
        <v>4</v>
      </c>
      <c r="G18466" t="str">
        <f>""</f>
        <v/>
      </c>
    </row>
    <row r="18467" spans="1:7" x14ac:dyDescent="0.25">
      <c r="A18467" t="s">
        <v>8</v>
      </c>
      <c r="B18467" s="1" t="str">
        <f>"000251878 - RICHS FDS NCORE BB-SSS ARAMARK"</f>
        <v>000251878 - RICHS FDS NCORE BB-SSS ARAMARK</v>
      </c>
      <c r="C18467" t="s">
        <v>558</v>
      </c>
      <c r="D18467" s="1" t="str">
        <f t="shared" si="498"/>
        <v>PRG-1046491</v>
      </c>
      <c r="E18467" t="s">
        <v>129</v>
      </c>
      <c r="F18467" t="s">
        <v>4</v>
      </c>
      <c r="G18467" t="str">
        <f>""</f>
        <v/>
      </c>
    </row>
    <row r="18468" spans="1:7" x14ac:dyDescent="0.25">
      <c r="A18468" t="s">
        <v>8</v>
      </c>
      <c r="B18468" s="1" t="str">
        <f>"000253662 - RICH FOODS BAPA-SSS ARAMARK"</f>
        <v>000253662 - RICH FOODS BAPA-SSS ARAMARK</v>
      </c>
      <c r="C18468" t="s">
        <v>373</v>
      </c>
      <c r="D18468" s="1" t="str">
        <f t="shared" si="498"/>
        <v>PRG-1046491</v>
      </c>
      <c r="E18468" t="s">
        <v>129</v>
      </c>
      <c r="F18468" t="s">
        <v>4</v>
      </c>
      <c r="G18468" t="str">
        <f>""</f>
        <v/>
      </c>
    </row>
    <row r="18469" spans="1:7" x14ac:dyDescent="0.25">
      <c r="A18469" t="s">
        <v>8</v>
      </c>
      <c r="B18469" s="1" t="str">
        <f>"000256750 - RICH FDS NCORE BB-SSS ARAMARK"</f>
        <v>000256750 - RICH FDS NCORE BB-SSS ARAMARK</v>
      </c>
      <c r="C18469" t="s">
        <v>272</v>
      </c>
      <c r="D18469" s="1" t="str">
        <f t="shared" si="498"/>
        <v>PRG-1046491</v>
      </c>
      <c r="E18469" t="s">
        <v>129</v>
      </c>
      <c r="F18469" t="s">
        <v>4</v>
      </c>
      <c r="G18469" t="str">
        <f>""</f>
        <v/>
      </c>
    </row>
    <row r="18470" spans="1:7" x14ac:dyDescent="0.25">
      <c r="A18470" t="s">
        <v>8</v>
      </c>
      <c r="B18470" s="1" t="str">
        <f>"000256981 - RICHS FDS NCORE BB-SSS ARAMARK"</f>
        <v>000256981 - RICHS FDS NCORE BB-SSS ARAMARK</v>
      </c>
      <c r="C18470" t="s">
        <v>558</v>
      </c>
      <c r="D18470" s="1" t="str">
        <f t="shared" si="498"/>
        <v>PRG-1046491</v>
      </c>
      <c r="E18470" t="s">
        <v>129</v>
      </c>
      <c r="F18470" t="s">
        <v>4</v>
      </c>
      <c r="G18470" t="str">
        <f>""</f>
        <v/>
      </c>
    </row>
    <row r="18471" spans="1:7" x14ac:dyDescent="0.25">
      <c r="A18471" t="s">
        <v>8</v>
      </c>
      <c r="B18471" s="1" t="str">
        <f>"000257355 - RICHS FDS NCORE BB-SSS ARAMARK"</f>
        <v>000257355 - RICHS FDS NCORE BB-SSS ARAMARK</v>
      </c>
      <c r="C18471" t="s">
        <v>558</v>
      </c>
      <c r="D18471" s="1" t="str">
        <f t="shared" si="498"/>
        <v>PRG-1046491</v>
      </c>
      <c r="E18471" t="s">
        <v>129</v>
      </c>
      <c r="F18471" t="s">
        <v>4</v>
      </c>
      <c r="G18471" t="str">
        <f>""</f>
        <v/>
      </c>
    </row>
    <row r="18472" spans="1:7" x14ac:dyDescent="0.25">
      <c r="A18472" t="s">
        <v>8</v>
      </c>
      <c r="B18472" s="1" t="str">
        <f>"000258104 - RICH FOODS-SSS ARAMARK"</f>
        <v>000258104 - RICH FOODS-SSS ARAMARK</v>
      </c>
      <c r="C18472" t="s">
        <v>128</v>
      </c>
      <c r="D18472" s="1" t="str">
        <f t="shared" si="498"/>
        <v>PRG-1046491</v>
      </c>
      <c r="E18472" t="s">
        <v>129</v>
      </c>
      <c r="F18472" t="s">
        <v>4</v>
      </c>
      <c r="G18472" t="str">
        <f>""</f>
        <v/>
      </c>
    </row>
    <row r="18473" spans="1:7" x14ac:dyDescent="0.25">
      <c r="A18473" t="s">
        <v>8</v>
      </c>
      <c r="B18473" s="1" t="str">
        <f>"000259028 - RICH FOODS-SSS ARAMARK"</f>
        <v>000259028 - RICH FOODS-SSS ARAMARK</v>
      </c>
      <c r="C18473" t="s">
        <v>128</v>
      </c>
      <c r="D18473" s="1" t="str">
        <f t="shared" si="498"/>
        <v>PRG-1046491</v>
      </c>
      <c r="E18473" t="s">
        <v>129</v>
      </c>
      <c r="F18473" t="s">
        <v>4</v>
      </c>
      <c r="G18473" t="str">
        <f>""</f>
        <v/>
      </c>
    </row>
    <row r="18474" spans="1:7" x14ac:dyDescent="0.25">
      <c r="A18474" t="s">
        <v>8</v>
      </c>
      <c r="B18474" s="1" t="str">
        <f>"000259107 - RICH FOODS-SSS ARAMARK"</f>
        <v>000259107 - RICH FOODS-SSS ARAMARK</v>
      </c>
      <c r="C18474" t="s">
        <v>128</v>
      </c>
      <c r="D18474" s="1" t="str">
        <f t="shared" si="498"/>
        <v>PRG-1046491</v>
      </c>
      <c r="E18474" t="s">
        <v>129</v>
      </c>
      <c r="F18474" t="s">
        <v>4</v>
      </c>
      <c r="G18474" t="str">
        <f>""</f>
        <v/>
      </c>
    </row>
    <row r="18475" spans="1:7" x14ac:dyDescent="0.25">
      <c r="A18475" t="s">
        <v>8</v>
      </c>
      <c r="B18475" s="1" t="str">
        <f>"000260655 - RICH FOODS-SSS ARAMARK"</f>
        <v>000260655 - RICH FOODS-SSS ARAMARK</v>
      </c>
      <c r="C18475" t="s">
        <v>128</v>
      </c>
      <c r="D18475" s="1" t="str">
        <f t="shared" si="498"/>
        <v>PRG-1046491</v>
      </c>
      <c r="E18475" t="s">
        <v>129</v>
      </c>
      <c r="F18475" t="s">
        <v>4</v>
      </c>
      <c r="G18475" t="str">
        <f>""</f>
        <v/>
      </c>
    </row>
    <row r="18476" spans="1:7" x14ac:dyDescent="0.25">
      <c r="A18476" t="s">
        <v>8</v>
      </c>
      <c r="B18476" s="1" t="str">
        <f>"000261346 - RICH FOODS-SSS ARAMARK"</f>
        <v>000261346 - RICH FOODS-SSS ARAMARK</v>
      </c>
      <c r="C18476" t="s">
        <v>128</v>
      </c>
      <c r="D18476" s="1" t="str">
        <f t="shared" si="498"/>
        <v>PRG-1046491</v>
      </c>
      <c r="E18476" t="s">
        <v>129</v>
      </c>
      <c r="F18476" t="s">
        <v>4</v>
      </c>
      <c r="G18476" t="str">
        <f>""</f>
        <v/>
      </c>
    </row>
    <row r="18477" spans="1:7" x14ac:dyDescent="0.25">
      <c r="A18477" t="s">
        <v>8</v>
      </c>
      <c r="B18477" s="1" t="str">
        <f>"000261748 - RICH FOODS-SSS ARAMARK"</f>
        <v>000261748 - RICH FOODS-SSS ARAMARK</v>
      </c>
      <c r="C18477" t="s">
        <v>128</v>
      </c>
      <c r="D18477" s="1" t="str">
        <f t="shared" si="498"/>
        <v>PRG-1046491</v>
      </c>
      <c r="E18477" t="s">
        <v>129</v>
      </c>
      <c r="F18477" t="s">
        <v>4</v>
      </c>
      <c r="G18477" t="str">
        <f>""</f>
        <v/>
      </c>
    </row>
    <row r="18478" spans="1:7" x14ac:dyDescent="0.25">
      <c r="A18478" t="s">
        <v>8</v>
      </c>
      <c r="B18478" s="1" t="str">
        <f>"000262750 - CASA DEIBERTACCHI-SSS ARAMARK"</f>
        <v>000262750 - CASA DEIBERTACCHI-SSS ARAMARK</v>
      </c>
      <c r="C18478" t="s">
        <v>465</v>
      </c>
      <c r="D18478" s="1" t="str">
        <f t="shared" si="498"/>
        <v>PRG-1046491</v>
      </c>
      <c r="E18478" t="s">
        <v>129</v>
      </c>
      <c r="F18478" t="s">
        <v>4</v>
      </c>
      <c r="G18478" t="str">
        <f>""</f>
        <v/>
      </c>
    </row>
    <row r="18479" spans="1:7" x14ac:dyDescent="0.25">
      <c r="A18479" t="s">
        <v>8</v>
      </c>
      <c r="B18479" s="1" t="str">
        <f>"000264142 - CASA DIBERTACCHI-SSS ARAMARK"</f>
        <v>000264142 - CASA DIBERTACCHI-SSS ARAMARK</v>
      </c>
      <c r="C18479" t="s">
        <v>150</v>
      </c>
      <c r="D18479" s="1" t="str">
        <f t="shared" si="498"/>
        <v>PRG-1046491</v>
      </c>
      <c r="E18479" t="s">
        <v>129</v>
      </c>
      <c r="F18479" t="s">
        <v>4</v>
      </c>
      <c r="G18479" t="str">
        <f>""</f>
        <v/>
      </c>
    </row>
    <row r="18480" spans="1:7" x14ac:dyDescent="0.25">
      <c r="A18480" t="s">
        <v>8</v>
      </c>
      <c r="B18480" s="1" t="str">
        <f>"000266376 - RICH FOODS-SSS ARAMARK"</f>
        <v>000266376 - RICH FOODS-SSS ARAMARK</v>
      </c>
      <c r="C18480" t="s">
        <v>128</v>
      </c>
      <c r="D18480" s="1" t="str">
        <f t="shared" si="498"/>
        <v>PRG-1046491</v>
      </c>
      <c r="E18480" t="s">
        <v>129</v>
      </c>
      <c r="F18480" t="s">
        <v>4</v>
      </c>
      <c r="G18480" t="str">
        <f>""</f>
        <v/>
      </c>
    </row>
    <row r="18481" spans="1:7" x14ac:dyDescent="0.25">
      <c r="A18481" t="s">
        <v>8</v>
      </c>
      <c r="B18481" s="1" t="str">
        <f>"000267062 - RICH FOODS BAPA-SSS ARAMARK"</f>
        <v>000267062 - RICH FOODS BAPA-SSS ARAMARK</v>
      </c>
      <c r="C18481" t="s">
        <v>373</v>
      </c>
      <c r="D18481" s="1" t="str">
        <f t="shared" si="498"/>
        <v>PRG-1046491</v>
      </c>
      <c r="E18481" t="s">
        <v>129</v>
      </c>
      <c r="F18481" t="s">
        <v>4</v>
      </c>
      <c r="G18481" t="str">
        <f>""</f>
        <v/>
      </c>
    </row>
    <row r="18482" spans="1:7" x14ac:dyDescent="0.25">
      <c r="A18482" t="s">
        <v>8</v>
      </c>
      <c r="B18482" s="1" t="str">
        <f>"000267531 - RICHS FDS NCORE BB-SSS ARAMARK"</f>
        <v>000267531 - RICHS FDS NCORE BB-SSS ARAMARK</v>
      </c>
      <c r="C18482" t="s">
        <v>558</v>
      </c>
      <c r="D18482" s="1" t="str">
        <f t="shared" si="498"/>
        <v>PRG-1046491</v>
      </c>
      <c r="E18482" t="s">
        <v>129</v>
      </c>
      <c r="F18482" t="s">
        <v>4</v>
      </c>
      <c r="G18482" t="str">
        <f>""</f>
        <v/>
      </c>
    </row>
    <row r="18483" spans="1:7" x14ac:dyDescent="0.25">
      <c r="A18483" t="s">
        <v>8</v>
      </c>
      <c r="B18483" s="1" t="str">
        <f>"000269604 - RICHS FDS NCORE BB-SSS ARAMARK"</f>
        <v>000269604 - RICHS FDS NCORE BB-SSS ARAMARK</v>
      </c>
      <c r="C18483" t="s">
        <v>558</v>
      </c>
      <c r="D18483" s="1" t="str">
        <f t="shared" si="498"/>
        <v>PRG-1046491</v>
      </c>
      <c r="E18483" t="s">
        <v>129</v>
      </c>
      <c r="F18483" t="s">
        <v>4</v>
      </c>
      <c r="G18483" t="str">
        <f>""</f>
        <v/>
      </c>
    </row>
    <row r="18484" spans="1:7" x14ac:dyDescent="0.25">
      <c r="A18484" t="s">
        <v>8</v>
      </c>
      <c r="B18484" s="1" t="str">
        <f>"000269635 - RICH FDS NCBB-SSS ARAMARK"</f>
        <v>000269635 - RICH FDS NCBB-SSS ARAMARK</v>
      </c>
      <c r="C18484" t="s">
        <v>300</v>
      </c>
      <c r="D18484" s="1" t="str">
        <f t="shared" si="498"/>
        <v>PRG-1046491</v>
      </c>
      <c r="E18484" t="s">
        <v>129</v>
      </c>
      <c r="F18484" t="s">
        <v>4</v>
      </c>
      <c r="G18484" t="str">
        <f>""</f>
        <v/>
      </c>
    </row>
    <row r="18485" spans="1:7" x14ac:dyDescent="0.25">
      <c r="A18485" t="s">
        <v>8</v>
      </c>
      <c r="B18485" s="1" t="str">
        <f>"000269636 - RICH FDS CBB-SSS ARAMARK"</f>
        <v>000269636 - RICH FDS CBB-SSS ARAMARK</v>
      </c>
      <c r="C18485" t="s">
        <v>301</v>
      </c>
      <c r="D18485" s="1" t="str">
        <f t="shared" si="498"/>
        <v>PRG-1046491</v>
      </c>
      <c r="E18485" t="s">
        <v>129</v>
      </c>
      <c r="F18485" t="s">
        <v>4</v>
      </c>
      <c r="G18485" t="str">
        <f>""</f>
        <v/>
      </c>
    </row>
    <row r="18486" spans="1:7" x14ac:dyDescent="0.25">
      <c r="A18486" t="s">
        <v>8</v>
      </c>
      <c r="B18486" s="1" t="str">
        <f>"000269894 - RICH FOODS BAPA-SSS ARAMARK"</f>
        <v>000269894 - RICH FOODS BAPA-SSS ARAMARK</v>
      </c>
      <c r="C18486" t="s">
        <v>373</v>
      </c>
      <c r="D18486" s="1" t="str">
        <f t="shared" si="498"/>
        <v>PRG-1046491</v>
      </c>
      <c r="E18486" t="s">
        <v>129</v>
      </c>
      <c r="F18486" t="s">
        <v>4</v>
      </c>
      <c r="G18486" t="str">
        <f>""</f>
        <v/>
      </c>
    </row>
    <row r="18487" spans="1:7" x14ac:dyDescent="0.25">
      <c r="A18487" t="s">
        <v>8</v>
      </c>
      <c r="B18487" s="1" t="str">
        <f>"000270204 - CASA DEIBERTACCHI-SSS ARAMARK"</f>
        <v>000270204 - CASA DEIBERTACCHI-SSS ARAMARK</v>
      </c>
      <c r="C18487" t="s">
        <v>465</v>
      </c>
      <c r="D18487" s="1" t="str">
        <f t="shared" si="498"/>
        <v>PRG-1046491</v>
      </c>
      <c r="E18487" t="s">
        <v>129</v>
      </c>
      <c r="F18487" t="s">
        <v>4</v>
      </c>
      <c r="G18487" t="str">
        <f>""</f>
        <v/>
      </c>
    </row>
    <row r="18488" spans="1:7" x14ac:dyDescent="0.25">
      <c r="A18488" t="s">
        <v>8</v>
      </c>
      <c r="B18488" s="1" t="str">
        <f>"000270940 - RICH FOODS BAPA-SSS ARAMARK"</f>
        <v>000270940 - RICH FOODS BAPA-SSS ARAMARK</v>
      </c>
      <c r="C18488" t="s">
        <v>373</v>
      </c>
      <c r="D18488" s="1" t="str">
        <f t="shared" si="498"/>
        <v>PRG-1046491</v>
      </c>
      <c r="E18488" t="s">
        <v>129</v>
      </c>
      <c r="F18488" t="s">
        <v>4</v>
      </c>
      <c r="G18488" t="str">
        <f>""</f>
        <v/>
      </c>
    </row>
    <row r="18489" spans="1:7" x14ac:dyDescent="0.25">
      <c r="A18489" t="s">
        <v>8</v>
      </c>
      <c r="B18489" s="1" t="str">
        <f>"000270988 - RICH FOODS BAPA-SSS ARAMARK"</f>
        <v>000270988 - RICH FOODS BAPA-SSS ARAMARK</v>
      </c>
      <c r="C18489" t="s">
        <v>373</v>
      </c>
      <c r="D18489" s="1" t="str">
        <f t="shared" si="498"/>
        <v>PRG-1046491</v>
      </c>
      <c r="E18489" t="s">
        <v>129</v>
      </c>
      <c r="F18489" t="s">
        <v>4</v>
      </c>
      <c r="G18489" t="str">
        <f>""</f>
        <v/>
      </c>
    </row>
    <row r="18490" spans="1:7" x14ac:dyDescent="0.25">
      <c r="A18490" t="s">
        <v>8</v>
      </c>
      <c r="B18490" s="1" t="str">
        <f>"000271282 - RICH FOODS-SSS ARAMARK"</f>
        <v>000271282 - RICH FOODS-SSS ARAMARK</v>
      </c>
      <c r="C18490" t="s">
        <v>128</v>
      </c>
      <c r="D18490" s="1" t="str">
        <f t="shared" si="498"/>
        <v>PRG-1046491</v>
      </c>
      <c r="E18490" t="s">
        <v>129</v>
      </c>
      <c r="F18490" t="s">
        <v>4</v>
      </c>
      <c r="G18490" t="str">
        <f>""</f>
        <v/>
      </c>
    </row>
    <row r="18491" spans="1:7" x14ac:dyDescent="0.25">
      <c r="A18491" t="s">
        <v>8</v>
      </c>
      <c r="B18491" s="1" t="str">
        <f>"000273451 - RICH FOODS BAPA-SSS ARAMARK"</f>
        <v>000273451 - RICH FOODS BAPA-SSS ARAMARK</v>
      </c>
      <c r="C18491" t="s">
        <v>373</v>
      </c>
      <c r="D18491" s="1" t="str">
        <f t="shared" si="498"/>
        <v>PRG-1046491</v>
      </c>
      <c r="E18491" t="s">
        <v>129</v>
      </c>
      <c r="F18491" t="s">
        <v>4</v>
      </c>
      <c r="G18491" t="str">
        <f>""</f>
        <v/>
      </c>
    </row>
    <row r="18492" spans="1:7" x14ac:dyDescent="0.25">
      <c r="A18492" t="s">
        <v>8</v>
      </c>
      <c r="B18492" s="1" t="str">
        <f>"000274064 - RICH FOODS BAPA-SSS ARAMARK"</f>
        <v>000274064 - RICH FOODS BAPA-SSS ARAMARK</v>
      </c>
      <c r="C18492" t="s">
        <v>373</v>
      </c>
      <c r="D18492" s="1" t="str">
        <f t="shared" si="498"/>
        <v>PRG-1046491</v>
      </c>
      <c r="E18492" t="s">
        <v>129</v>
      </c>
      <c r="F18492" t="s">
        <v>4</v>
      </c>
      <c r="G18492" t="str">
        <f>""</f>
        <v/>
      </c>
    </row>
    <row r="18493" spans="1:7" x14ac:dyDescent="0.25">
      <c r="A18493" t="s">
        <v>8</v>
      </c>
      <c r="B18493" s="1" t="str">
        <f>"000274179 - RICH FOODS BAPA-SSS ARAMARK"</f>
        <v>000274179 - RICH FOODS BAPA-SSS ARAMARK</v>
      </c>
      <c r="C18493" t="s">
        <v>373</v>
      </c>
      <c r="D18493" s="1" t="str">
        <f t="shared" si="498"/>
        <v>PRG-1046491</v>
      </c>
      <c r="E18493" t="s">
        <v>129</v>
      </c>
      <c r="F18493" t="s">
        <v>4</v>
      </c>
      <c r="G18493" t="str">
        <f>""</f>
        <v/>
      </c>
    </row>
    <row r="18494" spans="1:7" x14ac:dyDescent="0.25">
      <c r="A18494" t="s">
        <v>8</v>
      </c>
      <c r="B18494" s="1" t="str">
        <f>"000275613 - RICH FOODS-SSS ARAMARK"</f>
        <v>000275613 - RICH FOODS-SSS ARAMARK</v>
      </c>
      <c r="C18494" t="s">
        <v>128</v>
      </c>
      <c r="D18494" s="1" t="str">
        <f t="shared" si="498"/>
        <v>PRG-1046491</v>
      </c>
      <c r="E18494" t="s">
        <v>129</v>
      </c>
      <c r="F18494" t="s">
        <v>4</v>
      </c>
      <c r="G18494" t="str">
        <f>""</f>
        <v/>
      </c>
    </row>
    <row r="18495" spans="1:7" x14ac:dyDescent="0.25">
      <c r="A18495" t="s">
        <v>8</v>
      </c>
      <c r="B18495" s="1" t="str">
        <f>"000276801 - RICH FOODS BAPA-SSS ARAMARK"</f>
        <v>000276801 - RICH FOODS BAPA-SSS ARAMARK</v>
      </c>
      <c r="C18495" t="s">
        <v>373</v>
      </c>
      <c r="D18495" s="1" t="str">
        <f t="shared" si="498"/>
        <v>PRG-1046491</v>
      </c>
      <c r="E18495" t="s">
        <v>129</v>
      </c>
      <c r="F18495" t="s">
        <v>4</v>
      </c>
      <c r="G18495" t="str">
        <f>""</f>
        <v/>
      </c>
    </row>
    <row r="18496" spans="1:7" x14ac:dyDescent="0.25">
      <c r="A18496" t="s">
        <v>8</v>
      </c>
      <c r="B18496" s="1" t="str">
        <f>"000277026 - RICH FOODS-SSS ARAMARK"</f>
        <v>000277026 - RICH FOODS-SSS ARAMARK</v>
      </c>
      <c r="C18496" t="s">
        <v>128</v>
      </c>
      <c r="D18496" s="1" t="str">
        <f t="shared" si="498"/>
        <v>PRG-1046491</v>
      </c>
      <c r="E18496" t="s">
        <v>129</v>
      </c>
      <c r="F18496" t="s">
        <v>4</v>
      </c>
      <c r="G18496" t="str">
        <f>""</f>
        <v/>
      </c>
    </row>
    <row r="18497" spans="1:7" x14ac:dyDescent="0.25">
      <c r="A18497" t="s">
        <v>8</v>
      </c>
      <c r="B18497" s="1" t="str">
        <f>"000277646 - CASA DEIBERTACCHI-SSS ARAMARK"</f>
        <v>000277646 - CASA DEIBERTACCHI-SSS ARAMARK</v>
      </c>
      <c r="C18497" t="s">
        <v>465</v>
      </c>
      <c r="D18497" s="1" t="str">
        <f t="shared" si="498"/>
        <v>PRG-1046491</v>
      </c>
      <c r="E18497" t="s">
        <v>129</v>
      </c>
      <c r="F18497" t="s">
        <v>4</v>
      </c>
      <c r="G18497" t="str">
        <f>""</f>
        <v/>
      </c>
    </row>
    <row r="18498" spans="1:7" x14ac:dyDescent="0.25">
      <c r="A18498" t="s">
        <v>8</v>
      </c>
      <c r="B18498" s="1" t="str">
        <f>"000277740 - RICH FOODS BAPA-SSS ARAMARK"</f>
        <v>000277740 - RICH FOODS BAPA-SSS ARAMARK</v>
      </c>
      <c r="C18498" t="s">
        <v>373</v>
      </c>
      <c r="D18498" s="1" t="str">
        <f t="shared" si="498"/>
        <v>PRG-1046491</v>
      </c>
      <c r="E18498" t="s">
        <v>129</v>
      </c>
      <c r="F18498" t="s">
        <v>4</v>
      </c>
      <c r="G18498" t="str">
        <f>""</f>
        <v/>
      </c>
    </row>
    <row r="18499" spans="1:7" x14ac:dyDescent="0.25">
      <c r="A18499" t="s">
        <v>8</v>
      </c>
      <c r="B18499" s="1" t="str">
        <f>"000278501 - CASA DIBERTACCHI-SSS ARAMARK"</f>
        <v>000278501 - CASA DIBERTACCHI-SSS ARAMARK</v>
      </c>
      <c r="C18499" t="s">
        <v>150</v>
      </c>
      <c r="D18499" s="1" t="str">
        <f t="shared" si="498"/>
        <v>PRG-1046491</v>
      </c>
      <c r="E18499" t="s">
        <v>129</v>
      </c>
      <c r="F18499" t="s">
        <v>4</v>
      </c>
      <c r="G18499" t="str">
        <f>""</f>
        <v/>
      </c>
    </row>
    <row r="18500" spans="1:7" x14ac:dyDescent="0.25">
      <c r="A18500" t="s">
        <v>8</v>
      </c>
      <c r="B18500" s="1" t="str">
        <f>"000278508 - RICH FOODS BAPA-SSS ARAMARK"</f>
        <v>000278508 - RICH FOODS BAPA-SSS ARAMARK</v>
      </c>
      <c r="C18500" t="s">
        <v>373</v>
      </c>
      <c r="D18500" s="1" t="str">
        <f t="shared" si="498"/>
        <v>PRG-1046491</v>
      </c>
      <c r="E18500" t="s">
        <v>129</v>
      </c>
      <c r="F18500" t="s">
        <v>4</v>
      </c>
      <c r="G18500" t="str">
        <f>""</f>
        <v/>
      </c>
    </row>
    <row r="18501" spans="1:7" x14ac:dyDescent="0.25">
      <c r="A18501" t="s">
        <v>8</v>
      </c>
      <c r="B18501" s="1" t="str">
        <f>"000278981 - RICH FOODS BAPA-SSS ARAMARK"</f>
        <v>000278981 - RICH FOODS BAPA-SSS ARAMARK</v>
      </c>
      <c r="C18501" t="s">
        <v>373</v>
      </c>
      <c r="D18501" s="1" t="str">
        <f t="shared" si="498"/>
        <v>PRG-1046491</v>
      </c>
      <c r="E18501" t="s">
        <v>129</v>
      </c>
      <c r="F18501" t="s">
        <v>4</v>
      </c>
      <c r="G18501" t="str">
        <f>""</f>
        <v/>
      </c>
    </row>
    <row r="18502" spans="1:7" x14ac:dyDescent="0.25">
      <c r="A18502" t="s">
        <v>8</v>
      </c>
      <c r="B18502" s="1" t="str">
        <f>"000279481 - CASA DEIBERTACCHI-SSS ARAMARK"</f>
        <v>000279481 - CASA DEIBERTACCHI-SSS ARAMARK</v>
      </c>
      <c r="C18502" t="s">
        <v>465</v>
      </c>
      <c r="D18502" s="1" t="str">
        <f t="shared" si="498"/>
        <v>PRG-1046491</v>
      </c>
      <c r="E18502" t="s">
        <v>129</v>
      </c>
      <c r="F18502" t="s">
        <v>4</v>
      </c>
      <c r="G18502" t="str">
        <f>""</f>
        <v/>
      </c>
    </row>
    <row r="18503" spans="1:7" x14ac:dyDescent="0.25">
      <c r="A18503" t="s">
        <v>8</v>
      </c>
      <c r="B18503" s="1" t="str">
        <f>"000280116 - RICH FOODS-SSS ARAMARK"</f>
        <v>000280116 - RICH FOODS-SSS ARAMARK</v>
      </c>
      <c r="C18503" t="s">
        <v>128</v>
      </c>
      <c r="D18503" s="1" t="str">
        <f t="shared" si="498"/>
        <v>PRG-1046491</v>
      </c>
      <c r="E18503" t="s">
        <v>129</v>
      </c>
      <c r="F18503" t="s">
        <v>4</v>
      </c>
      <c r="G18503" t="str">
        <f>""</f>
        <v/>
      </c>
    </row>
    <row r="18504" spans="1:7" x14ac:dyDescent="0.25">
      <c r="A18504" t="s">
        <v>8</v>
      </c>
      <c r="B18504" s="1" t="str">
        <f>"000280947 - RICH FOODS BAPA-SSS ARAMARK"</f>
        <v>000280947 - RICH FOODS BAPA-SSS ARAMARK</v>
      </c>
      <c r="C18504" t="s">
        <v>373</v>
      </c>
      <c r="D18504" s="1" t="str">
        <f t="shared" si="498"/>
        <v>PRG-1046491</v>
      </c>
      <c r="E18504" t="s">
        <v>129</v>
      </c>
      <c r="F18504" t="s">
        <v>4</v>
      </c>
      <c r="G18504" t="str">
        <f>""</f>
        <v/>
      </c>
    </row>
    <row r="18505" spans="1:7" x14ac:dyDescent="0.25">
      <c r="A18505" t="s">
        <v>8</v>
      </c>
      <c r="B18505" s="1" t="str">
        <f>"000281249 - RICH FOODS BAPA-SSS ARAMARK"</f>
        <v>000281249 - RICH FOODS BAPA-SSS ARAMARK</v>
      </c>
      <c r="C18505" t="s">
        <v>373</v>
      </c>
      <c r="D18505" s="1" t="str">
        <f t="shared" si="498"/>
        <v>PRG-1046491</v>
      </c>
      <c r="E18505" t="s">
        <v>129</v>
      </c>
      <c r="F18505" t="s">
        <v>4</v>
      </c>
      <c r="G18505" t="str">
        <f>""</f>
        <v/>
      </c>
    </row>
    <row r="18506" spans="1:7" x14ac:dyDescent="0.25">
      <c r="A18506" t="s">
        <v>8</v>
      </c>
      <c r="B18506" s="1" t="str">
        <f>"000281879 - CASA DEIBERTACCHI-SSS ARAMARK"</f>
        <v>000281879 - CASA DEIBERTACCHI-SSS ARAMARK</v>
      </c>
      <c r="C18506" t="s">
        <v>465</v>
      </c>
      <c r="D18506" s="1" t="str">
        <f t="shared" si="498"/>
        <v>PRG-1046491</v>
      </c>
      <c r="E18506" t="s">
        <v>129</v>
      </c>
      <c r="F18506" t="s">
        <v>4</v>
      </c>
      <c r="G18506" t="str">
        <f>""</f>
        <v/>
      </c>
    </row>
    <row r="18507" spans="1:7" x14ac:dyDescent="0.25">
      <c r="A18507" t="s">
        <v>8</v>
      </c>
      <c r="B18507" s="1" t="str">
        <f>"000282072 - RICH FOODS-SSS ARAMARK"</f>
        <v>000282072 - RICH FOODS-SSS ARAMARK</v>
      </c>
      <c r="C18507" t="s">
        <v>128</v>
      </c>
      <c r="D18507" s="1" t="str">
        <f t="shared" si="498"/>
        <v>PRG-1046491</v>
      </c>
      <c r="E18507" t="s">
        <v>129</v>
      </c>
      <c r="F18507" t="s">
        <v>4</v>
      </c>
      <c r="G18507" t="str">
        <f>""</f>
        <v/>
      </c>
    </row>
    <row r="18508" spans="1:7" x14ac:dyDescent="0.25">
      <c r="A18508" t="s">
        <v>8</v>
      </c>
      <c r="B18508" s="1" t="str">
        <f>"000282945 - CASA DIBRTACHI-SSS ARAMARK"</f>
        <v>000282945 - CASA DIBRTACHI-SSS ARAMARK</v>
      </c>
      <c r="C18508" t="s">
        <v>261</v>
      </c>
      <c r="D18508" s="1" t="str">
        <f t="shared" si="498"/>
        <v>PRG-1046491</v>
      </c>
      <c r="E18508" t="s">
        <v>129</v>
      </c>
      <c r="F18508" t="s">
        <v>4</v>
      </c>
      <c r="G18508" t="str">
        <f>""</f>
        <v/>
      </c>
    </row>
    <row r="18509" spans="1:7" x14ac:dyDescent="0.25">
      <c r="A18509" t="s">
        <v>8</v>
      </c>
      <c r="B18509" s="1" t="str">
        <f>"000283443 - RICH FOODS-SSS ARAMARK"</f>
        <v>000283443 - RICH FOODS-SSS ARAMARK</v>
      </c>
      <c r="C18509" t="s">
        <v>128</v>
      </c>
      <c r="D18509" s="1" t="str">
        <f t="shared" si="498"/>
        <v>PRG-1046491</v>
      </c>
      <c r="E18509" t="s">
        <v>129</v>
      </c>
      <c r="F18509" t="s">
        <v>4</v>
      </c>
      <c r="G18509" t="str">
        <f>""</f>
        <v/>
      </c>
    </row>
    <row r="18510" spans="1:7" x14ac:dyDescent="0.25">
      <c r="A18510" t="s">
        <v>8</v>
      </c>
      <c r="B18510" s="1" t="str">
        <f>"000283453 - RICH FOODS BAPA-SSS ARAMARK"</f>
        <v>000283453 - RICH FOODS BAPA-SSS ARAMARK</v>
      </c>
      <c r="C18510" t="s">
        <v>373</v>
      </c>
      <c r="D18510" s="1" t="str">
        <f t="shared" si="498"/>
        <v>PRG-1046491</v>
      </c>
      <c r="E18510" t="s">
        <v>129</v>
      </c>
      <c r="F18510" t="s">
        <v>4</v>
      </c>
      <c r="G18510" t="str">
        <f>""</f>
        <v/>
      </c>
    </row>
    <row r="18511" spans="1:7" x14ac:dyDescent="0.25">
      <c r="A18511" t="s">
        <v>8</v>
      </c>
      <c r="B18511" s="1" t="str">
        <f>"000284417 - RICH FOODS-SSS ARAMARK"</f>
        <v>000284417 - RICH FOODS-SSS ARAMARK</v>
      </c>
      <c r="C18511" t="s">
        <v>128</v>
      </c>
      <c r="D18511" s="1" t="str">
        <f t="shared" si="498"/>
        <v>PRG-1046491</v>
      </c>
      <c r="E18511" t="s">
        <v>129</v>
      </c>
      <c r="F18511" t="s">
        <v>4</v>
      </c>
      <c r="G18511" t="str">
        <f>""</f>
        <v/>
      </c>
    </row>
    <row r="18512" spans="1:7" x14ac:dyDescent="0.25">
      <c r="A18512" t="s">
        <v>8</v>
      </c>
      <c r="B18512" s="1" t="str">
        <f>"000285699 - RICH FOODS BAPA-SSS ARAMARK"</f>
        <v>000285699 - RICH FOODS BAPA-SSS ARAMARK</v>
      </c>
      <c r="C18512" t="s">
        <v>373</v>
      </c>
      <c r="D18512" s="1" t="str">
        <f t="shared" si="498"/>
        <v>PRG-1046491</v>
      </c>
      <c r="E18512" t="s">
        <v>129</v>
      </c>
      <c r="F18512" t="s">
        <v>4</v>
      </c>
      <c r="G18512" t="str">
        <f>""</f>
        <v/>
      </c>
    </row>
    <row r="18513" spans="1:7" x14ac:dyDescent="0.25">
      <c r="A18513" t="s">
        <v>8</v>
      </c>
      <c r="B18513" s="1" t="str">
        <f>"000285896 - RICH FOODS BAPA-SSS ARAMARK"</f>
        <v>000285896 - RICH FOODS BAPA-SSS ARAMARK</v>
      </c>
      <c r="C18513" t="s">
        <v>373</v>
      </c>
      <c r="D18513" s="1" t="str">
        <f t="shared" si="498"/>
        <v>PRG-1046491</v>
      </c>
      <c r="E18513" t="s">
        <v>129</v>
      </c>
      <c r="F18513" t="s">
        <v>4</v>
      </c>
      <c r="G18513" t="str">
        <f>""</f>
        <v/>
      </c>
    </row>
    <row r="18514" spans="1:7" x14ac:dyDescent="0.25">
      <c r="A18514" t="s">
        <v>8</v>
      </c>
      <c r="B18514" s="1" t="str">
        <f>"000286385 - RICH FOODS-SSS ARAMARK"</f>
        <v>000286385 - RICH FOODS-SSS ARAMARK</v>
      </c>
      <c r="C18514" t="s">
        <v>128</v>
      </c>
      <c r="D18514" s="1" t="str">
        <f t="shared" si="498"/>
        <v>PRG-1046491</v>
      </c>
      <c r="E18514" t="s">
        <v>129</v>
      </c>
      <c r="F18514" t="s">
        <v>4</v>
      </c>
      <c r="G18514" t="str">
        <f>""</f>
        <v/>
      </c>
    </row>
    <row r="18515" spans="1:7" x14ac:dyDescent="0.25">
      <c r="A18515" t="s">
        <v>8</v>
      </c>
      <c r="B18515" s="1" t="str">
        <f>"000286464 - CASA DIBERTACCHI-SSS ARAMARK"</f>
        <v>000286464 - CASA DIBERTACCHI-SSS ARAMARK</v>
      </c>
      <c r="C18515" t="s">
        <v>150</v>
      </c>
      <c r="D18515" s="1" t="str">
        <f t="shared" si="498"/>
        <v>PRG-1046491</v>
      </c>
      <c r="E18515" t="s">
        <v>129</v>
      </c>
      <c r="F18515" t="s">
        <v>4</v>
      </c>
      <c r="G18515" t="str">
        <f>""</f>
        <v/>
      </c>
    </row>
    <row r="18516" spans="1:7" x14ac:dyDescent="0.25">
      <c r="A18516" t="s">
        <v>8</v>
      </c>
      <c r="B18516" s="1" t="str">
        <f>"000287264 - CASA DEIBERTACCHI-SSS ARAMARK"</f>
        <v>000287264 - CASA DEIBERTACCHI-SSS ARAMARK</v>
      </c>
      <c r="C18516" t="s">
        <v>465</v>
      </c>
      <c r="D18516" s="1" t="str">
        <f t="shared" si="498"/>
        <v>PRG-1046491</v>
      </c>
      <c r="E18516" t="s">
        <v>129</v>
      </c>
      <c r="F18516" t="s">
        <v>4</v>
      </c>
      <c r="G18516" t="str">
        <f>""</f>
        <v/>
      </c>
    </row>
    <row r="18517" spans="1:7" x14ac:dyDescent="0.25">
      <c r="A18517" t="s">
        <v>8</v>
      </c>
      <c r="B18517" s="1" t="str">
        <f>"000287536 - RICH FOODS-SSS ARAMARK"</f>
        <v>000287536 - RICH FOODS-SSS ARAMARK</v>
      </c>
      <c r="C18517" t="s">
        <v>128</v>
      </c>
      <c r="D18517" s="1" t="str">
        <f t="shared" si="498"/>
        <v>PRG-1046491</v>
      </c>
      <c r="E18517" t="s">
        <v>129</v>
      </c>
      <c r="F18517" t="s">
        <v>4</v>
      </c>
      <c r="G18517" t="str">
        <f>""</f>
        <v/>
      </c>
    </row>
    <row r="18518" spans="1:7" x14ac:dyDescent="0.25">
      <c r="A18518" t="s">
        <v>8</v>
      </c>
      <c r="B18518" s="1" t="str">
        <f>"000288359 - CASA DEIBERTACCHI-SSS ARAMARK"</f>
        <v>000288359 - CASA DEIBERTACCHI-SSS ARAMARK</v>
      </c>
      <c r="C18518" t="s">
        <v>465</v>
      </c>
      <c r="D18518" s="1" t="str">
        <f t="shared" si="498"/>
        <v>PRG-1046491</v>
      </c>
      <c r="E18518" t="s">
        <v>129</v>
      </c>
      <c r="F18518" t="s">
        <v>4</v>
      </c>
      <c r="G18518" t="str">
        <f>""</f>
        <v/>
      </c>
    </row>
    <row r="18519" spans="1:7" x14ac:dyDescent="0.25">
      <c r="A18519" t="s">
        <v>8</v>
      </c>
      <c r="B18519" s="1" t="str">
        <f>"000288469 - RICH FOODS BAPA-SSS ARAMARK"</f>
        <v>000288469 - RICH FOODS BAPA-SSS ARAMARK</v>
      </c>
      <c r="C18519" t="s">
        <v>373</v>
      </c>
      <c r="D18519" s="1" t="str">
        <f t="shared" si="498"/>
        <v>PRG-1046491</v>
      </c>
      <c r="E18519" t="s">
        <v>129</v>
      </c>
      <c r="F18519" t="s">
        <v>4</v>
      </c>
      <c r="G18519" t="str">
        <f>""</f>
        <v/>
      </c>
    </row>
    <row r="18520" spans="1:7" x14ac:dyDescent="0.25">
      <c r="A18520" t="s">
        <v>8</v>
      </c>
      <c r="B18520" s="1" t="str">
        <f>"000288575 - CASA DEIBERTACCHI-SSS ARAMARK"</f>
        <v>000288575 - CASA DEIBERTACCHI-SSS ARAMARK</v>
      </c>
      <c r="C18520" t="s">
        <v>465</v>
      </c>
      <c r="D18520" s="1" t="str">
        <f t="shared" si="498"/>
        <v>PRG-1046491</v>
      </c>
      <c r="E18520" t="s">
        <v>129</v>
      </c>
      <c r="F18520" t="s">
        <v>4</v>
      </c>
      <c r="G18520" t="str">
        <f>""</f>
        <v/>
      </c>
    </row>
    <row r="18521" spans="1:7" x14ac:dyDescent="0.25">
      <c r="A18521" t="s">
        <v>8</v>
      </c>
      <c r="B18521" s="1" t="str">
        <f>"000289034 - RICH FOODS BAPA-SSS ARAMARK"</f>
        <v>000289034 - RICH FOODS BAPA-SSS ARAMARK</v>
      </c>
      <c r="C18521" t="s">
        <v>373</v>
      </c>
      <c r="D18521" s="1" t="str">
        <f t="shared" si="498"/>
        <v>PRG-1046491</v>
      </c>
      <c r="E18521" t="s">
        <v>129</v>
      </c>
      <c r="F18521" t="s">
        <v>4</v>
      </c>
      <c r="G18521" t="str">
        <f>""</f>
        <v/>
      </c>
    </row>
    <row r="18522" spans="1:7" x14ac:dyDescent="0.25">
      <c r="A18522" t="s">
        <v>8</v>
      </c>
      <c r="B18522" s="1" t="str">
        <f>"000289559 - RICH FOODS-SSS ARAMARK"</f>
        <v>000289559 - RICH FOODS-SSS ARAMARK</v>
      </c>
      <c r="C18522" t="s">
        <v>128</v>
      </c>
      <c r="D18522" s="1" t="str">
        <f t="shared" si="498"/>
        <v>PRG-1046491</v>
      </c>
      <c r="E18522" t="s">
        <v>129</v>
      </c>
      <c r="F18522" t="s">
        <v>4</v>
      </c>
      <c r="G18522" t="str">
        <f>""</f>
        <v/>
      </c>
    </row>
    <row r="18523" spans="1:7" x14ac:dyDescent="0.25">
      <c r="A18523" t="s">
        <v>8</v>
      </c>
      <c r="B18523" s="1" t="str">
        <f>"000289683 - CASA DEIBERTACCHI-SSS ARAMARK"</f>
        <v>000289683 - CASA DEIBERTACCHI-SSS ARAMARK</v>
      </c>
      <c r="C18523" t="s">
        <v>465</v>
      </c>
      <c r="D18523" s="1" t="str">
        <f t="shared" si="498"/>
        <v>PRG-1046491</v>
      </c>
      <c r="E18523" t="s">
        <v>129</v>
      </c>
      <c r="F18523" t="s">
        <v>4</v>
      </c>
      <c r="G18523" t="str">
        <f>""</f>
        <v/>
      </c>
    </row>
    <row r="18524" spans="1:7" x14ac:dyDescent="0.25">
      <c r="A18524" t="s">
        <v>8</v>
      </c>
      <c r="B18524" s="1" t="str">
        <f>"000290482 - RICH FOODS BAPA-SSS ARAMARK"</f>
        <v>000290482 - RICH FOODS BAPA-SSS ARAMARK</v>
      </c>
      <c r="C18524" t="s">
        <v>373</v>
      </c>
      <c r="D18524" s="1" t="str">
        <f t="shared" si="498"/>
        <v>PRG-1046491</v>
      </c>
      <c r="E18524" t="s">
        <v>129</v>
      </c>
      <c r="F18524" t="s">
        <v>4</v>
      </c>
      <c r="G18524" t="str">
        <f>""</f>
        <v/>
      </c>
    </row>
    <row r="18525" spans="1:7" x14ac:dyDescent="0.25">
      <c r="A18525" t="s">
        <v>8</v>
      </c>
      <c r="B18525" s="1" t="str">
        <f>"000290913 - RICH FOODS BAPA-SSS ARAMARK"</f>
        <v>000290913 - RICH FOODS BAPA-SSS ARAMARK</v>
      </c>
      <c r="C18525" t="s">
        <v>373</v>
      </c>
      <c r="D18525" s="1" t="str">
        <f t="shared" ref="D18525:D18588" si="499">"PRG-1046491"</f>
        <v>PRG-1046491</v>
      </c>
      <c r="E18525" t="s">
        <v>129</v>
      </c>
      <c r="F18525" t="s">
        <v>4</v>
      </c>
      <c r="G18525" t="str">
        <f>""</f>
        <v/>
      </c>
    </row>
    <row r="18526" spans="1:7" x14ac:dyDescent="0.25">
      <c r="A18526" t="s">
        <v>8</v>
      </c>
      <c r="B18526" s="1" t="str">
        <f>"000291983 - RICH FOODS BAPA-SSS ARAMARK"</f>
        <v>000291983 - RICH FOODS BAPA-SSS ARAMARK</v>
      </c>
      <c r="C18526" t="s">
        <v>373</v>
      </c>
      <c r="D18526" s="1" t="str">
        <f t="shared" si="499"/>
        <v>PRG-1046491</v>
      </c>
      <c r="E18526" t="s">
        <v>129</v>
      </c>
      <c r="F18526" t="s">
        <v>4</v>
      </c>
      <c r="G18526" t="str">
        <f>""</f>
        <v/>
      </c>
    </row>
    <row r="18527" spans="1:7" x14ac:dyDescent="0.25">
      <c r="A18527" t="s">
        <v>8</v>
      </c>
      <c r="B18527" s="1" t="str">
        <f>"000292060 - RICH FOODS BAPA-SSS ARAMARK"</f>
        <v>000292060 - RICH FOODS BAPA-SSS ARAMARK</v>
      </c>
      <c r="C18527" t="s">
        <v>373</v>
      </c>
      <c r="D18527" s="1" t="str">
        <f t="shared" si="499"/>
        <v>PRG-1046491</v>
      </c>
      <c r="E18527" t="s">
        <v>129</v>
      </c>
      <c r="F18527" t="s">
        <v>4</v>
      </c>
      <c r="G18527" t="str">
        <f>""</f>
        <v/>
      </c>
    </row>
    <row r="18528" spans="1:7" x14ac:dyDescent="0.25">
      <c r="A18528" t="s">
        <v>8</v>
      </c>
      <c r="B18528" s="1" t="str">
        <f>"000292238 - RICH FOODS BAPA-SSS ARAMARK"</f>
        <v>000292238 - RICH FOODS BAPA-SSS ARAMARK</v>
      </c>
      <c r="C18528" t="s">
        <v>373</v>
      </c>
      <c r="D18528" s="1" t="str">
        <f t="shared" si="499"/>
        <v>PRG-1046491</v>
      </c>
      <c r="E18528" t="s">
        <v>129</v>
      </c>
      <c r="F18528" t="s">
        <v>4</v>
      </c>
      <c r="G18528" t="str">
        <f>""</f>
        <v/>
      </c>
    </row>
    <row r="18529" spans="1:7" x14ac:dyDescent="0.25">
      <c r="A18529" t="s">
        <v>8</v>
      </c>
      <c r="B18529" s="1" t="str">
        <f>"000292700 - CASA DEIBERTACCHI-SSS ARAMARK"</f>
        <v>000292700 - CASA DEIBERTACCHI-SSS ARAMARK</v>
      </c>
      <c r="C18529" t="s">
        <v>465</v>
      </c>
      <c r="D18529" s="1" t="str">
        <f t="shared" si="499"/>
        <v>PRG-1046491</v>
      </c>
      <c r="E18529" t="s">
        <v>129</v>
      </c>
      <c r="F18529" t="s">
        <v>4</v>
      </c>
      <c r="G18529" t="str">
        <f>""</f>
        <v/>
      </c>
    </row>
    <row r="18530" spans="1:7" x14ac:dyDescent="0.25">
      <c r="A18530" t="s">
        <v>8</v>
      </c>
      <c r="B18530" s="1" t="str">
        <f>"000292941 - CASA DEIBERTACCHI-SSS ARAMARK"</f>
        <v>000292941 - CASA DEIBERTACCHI-SSS ARAMARK</v>
      </c>
      <c r="C18530" t="s">
        <v>465</v>
      </c>
      <c r="D18530" s="1" t="str">
        <f t="shared" si="499"/>
        <v>PRG-1046491</v>
      </c>
      <c r="E18530" t="s">
        <v>129</v>
      </c>
      <c r="F18530" t="s">
        <v>4</v>
      </c>
      <c r="G18530" t="str">
        <f>""</f>
        <v/>
      </c>
    </row>
    <row r="18531" spans="1:7" x14ac:dyDescent="0.25">
      <c r="A18531" t="s">
        <v>8</v>
      </c>
      <c r="B18531" s="1" t="str">
        <f>"000293064 - RICH FOODS BAPA-SSS ARAMARK"</f>
        <v>000293064 - RICH FOODS BAPA-SSS ARAMARK</v>
      </c>
      <c r="C18531" t="s">
        <v>373</v>
      </c>
      <c r="D18531" s="1" t="str">
        <f t="shared" si="499"/>
        <v>PRG-1046491</v>
      </c>
      <c r="E18531" t="s">
        <v>129</v>
      </c>
      <c r="F18531" t="s">
        <v>4</v>
      </c>
      <c r="G18531" t="str">
        <f>""</f>
        <v/>
      </c>
    </row>
    <row r="18532" spans="1:7" x14ac:dyDescent="0.25">
      <c r="A18532" t="s">
        <v>8</v>
      </c>
      <c r="B18532" s="1" t="str">
        <f>"000293097 - CASA DIBERTACCHI-SSS ARAMARK"</f>
        <v>000293097 - CASA DIBERTACCHI-SSS ARAMARK</v>
      </c>
      <c r="C18532" t="s">
        <v>150</v>
      </c>
      <c r="D18532" s="1" t="str">
        <f t="shared" si="499"/>
        <v>PRG-1046491</v>
      </c>
      <c r="E18532" t="s">
        <v>129</v>
      </c>
      <c r="F18532" t="s">
        <v>4</v>
      </c>
      <c r="G18532" t="str">
        <f>""</f>
        <v/>
      </c>
    </row>
    <row r="18533" spans="1:7" x14ac:dyDescent="0.25">
      <c r="A18533" t="s">
        <v>8</v>
      </c>
      <c r="B18533" s="1" t="str">
        <f>"000294069 - RICH FOODS BAPA-SSS ARAMARK"</f>
        <v>000294069 - RICH FOODS BAPA-SSS ARAMARK</v>
      </c>
      <c r="C18533" t="s">
        <v>373</v>
      </c>
      <c r="D18533" s="1" t="str">
        <f t="shared" si="499"/>
        <v>PRG-1046491</v>
      </c>
      <c r="E18533" t="s">
        <v>129</v>
      </c>
      <c r="F18533" t="s">
        <v>4</v>
      </c>
      <c r="G18533" t="str">
        <f>""</f>
        <v/>
      </c>
    </row>
    <row r="18534" spans="1:7" x14ac:dyDescent="0.25">
      <c r="A18534" t="s">
        <v>8</v>
      </c>
      <c r="B18534" s="1" t="str">
        <f>"000294176 - RICH FOODS BAPA-SSS ARAMARK"</f>
        <v>000294176 - RICH FOODS BAPA-SSS ARAMARK</v>
      </c>
      <c r="C18534" t="s">
        <v>373</v>
      </c>
      <c r="D18534" s="1" t="str">
        <f t="shared" si="499"/>
        <v>PRG-1046491</v>
      </c>
      <c r="E18534" t="s">
        <v>129</v>
      </c>
      <c r="F18534" t="s">
        <v>4</v>
      </c>
      <c r="G18534" t="str">
        <f>""</f>
        <v/>
      </c>
    </row>
    <row r="18535" spans="1:7" x14ac:dyDescent="0.25">
      <c r="A18535" t="s">
        <v>8</v>
      </c>
      <c r="B18535" s="1" t="str">
        <f>"000294306 - RICH FOODS-SSS ARAMARK"</f>
        <v>000294306 - RICH FOODS-SSS ARAMARK</v>
      </c>
      <c r="C18535" t="s">
        <v>128</v>
      </c>
      <c r="D18535" s="1" t="str">
        <f t="shared" si="499"/>
        <v>PRG-1046491</v>
      </c>
      <c r="E18535" t="s">
        <v>129</v>
      </c>
      <c r="F18535" t="s">
        <v>4</v>
      </c>
      <c r="G18535" t="str">
        <f>""</f>
        <v/>
      </c>
    </row>
    <row r="18536" spans="1:7" x14ac:dyDescent="0.25">
      <c r="A18536" t="s">
        <v>8</v>
      </c>
      <c r="B18536" s="1" t="str">
        <f>"000294426 - RICH FOODS BAPA-SSS ARAMARK"</f>
        <v>000294426 - RICH FOODS BAPA-SSS ARAMARK</v>
      </c>
      <c r="C18536" t="s">
        <v>373</v>
      </c>
      <c r="D18536" s="1" t="str">
        <f t="shared" si="499"/>
        <v>PRG-1046491</v>
      </c>
      <c r="E18536" t="s">
        <v>129</v>
      </c>
      <c r="F18536" t="s">
        <v>4</v>
      </c>
      <c r="G18536" t="str">
        <f>""</f>
        <v/>
      </c>
    </row>
    <row r="18537" spans="1:7" x14ac:dyDescent="0.25">
      <c r="A18537" t="s">
        <v>8</v>
      </c>
      <c r="B18537" s="1" t="str">
        <f>"000294837 - RICH FOODS BAPA-SSS ARAMARK"</f>
        <v>000294837 - RICH FOODS BAPA-SSS ARAMARK</v>
      </c>
      <c r="C18537" t="s">
        <v>373</v>
      </c>
      <c r="D18537" s="1" t="str">
        <f t="shared" si="499"/>
        <v>PRG-1046491</v>
      </c>
      <c r="E18537" t="s">
        <v>129</v>
      </c>
      <c r="F18537" t="s">
        <v>4</v>
      </c>
      <c r="G18537" t="str">
        <f>""</f>
        <v/>
      </c>
    </row>
    <row r="18538" spans="1:7" x14ac:dyDescent="0.25">
      <c r="A18538" t="s">
        <v>8</v>
      </c>
      <c r="B18538" s="1" t="str">
        <f>"000295200 - RICH FOODS BAPA-SSS ARAMARK"</f>
        <v>000295200 - RICH FOODS BAPA-SSS ARAMARK</v>
      </c>
      <c r="C18538" t="s">
        <v>373</v>
      </c>
      <c r="D18538" s="1" t="str">
        <f t="shared" si="499"/>
        <v>PRG-1046491</v>
      </c>
      <c r="E18538" t="s">
        <v>129</v>
      </c>
      <c r="F18538" t="s">
        <v>4</v>
      </c>
      <c r="G18538" t="str">
        <f>""</f>
        <v/>
      </c>
    </row>
    <row r="18539" spans="1:7" x14ac:dyDescent="0.25">
      <c r="A18539" t="s">
        <v>8</v>
      </c>
      <c r="B18539" s="1" t="str">
        <f>"000295506 - RICH FOODS BAPA-SSS ARAMARK"</f>
        <v>000295506 - RICH FOODS BAPA-SSS ARAMARK</v>
      </c>
      <c r="C18539" t="s">
        <v>373</v>
      </c>
      <c r="D18539" s="1" t="str">
        <f t="shared" si="499"/>
        <v>PRG-1046491</v>
      </c>
      <c r="E18539" t="s">
        <v>129</v>
      </c>
      <c r="F18539" t="s">
        <v>4</v>
      </c>
      <c r="G18539" t="str">
        <f>""</f>
        <v/>
      </c>
    </row>
    <row r="18540" spans="1:7" x14ac:dyDescent="0.25">
      <c r="A18540" t="s">
        <v>8</v>
      </c>
      <c r="B18540" s="1" t="str">
        <f>"000296384 - RICH FDS NCORE BB-SSS ARAMARK"</f>
        <v>000296384 - RICH FDS NCORE BB-SSS ARAMARK</v>
      </c>
      <c r="C18540" t="s">
        <v>272</v>
      </c>
      <c r="D18540" s="1" t="str">
        <f t="shared" si="499"/>
        <v>PRG-1046491</v>
      </c>
      <c r="E18540" t="s">
        <v>129</v>
      </c>
      <c r="F18540" t="s">
        <v>4</v>
      </c>
      <c r="G18540" t="str">
        <f>""</f>
        <v/>
      </c>
    </row>
    <row r="18541" spans="1:7" x14ac:dyDescent="0.25">
      <c r="A18541" t="s">
        <v>8</v>
      </c>
      <c r="B18541" s="1" t="str">
        <f>"000296848 - CASA DEIBERTACCHI-SSS ARAMARK"</f>
        <v>000296848 - CASA DEIBERTACCHI-SSS ARAMARK</v>
      </c>
      <c r="C18541" t="s">
        <v>465</v>
      </c>
      <c r="D18541" s="1" t="str">
        <f t="shared" si="499"/>
        <v>PRG-1046491</v>
      </c>
      <c r="E18541" t="s">
        <v>129</v>
      </c>
      <c r="F18541" t="s">
        <v>4</v>
      </c>
      <c r="G18541" t="str">
        <f>""</f>
        <v/>
      </c>
    </row>
    <row r="18542" spans="1:7" x14ac:dyDescent="0.25">
      <c r="A18542" t="s">
        <v>8</v>
      </c>
      <c r="B18542" s="1" t="str">
        <f>"000296923 - RICH FOODS BAPA-SSS ARAMARK"</f>
        <v>000296923 - RICH FOODS BAPA-SSS ARAMARK</v>
      </c>
      <c r="C18542" t="s">
        <v>373</v>
      </c>
      <c r="D18542" s="1" t="str">
        <f t="shared" si="499"/>
        <v>PRG-1046491</v>
      </c>
      <c r="E18542" t="s">
        <v>129</v>
      </c>
      <c r="F18542" t="s">
        <v>4</v>
      </c>
      <c r="G18542" t="str">
        <f>""</f>
        <v/>
      </c>
    </row>
    <row r="18543" spans="1:7" x14ac:dyDescent="0.25">
      <c r="A18543" t="s">
        <v>8</v>
      </c>
      <c r="B18543" s="1" t="str">
        <f>"000297043 - RICH FOODS BAPA-SSS ARAMARK"</f>
        <v>000297043 - RICH FOODS BAPA-SSS ARAMARK</v>
      </c>
      <c r="C18543" t="s">
        <v>373</v>
      </c>
      <c r="D18543" s="1" t="str">
        <f t="shared" si="499"/>
        <v>PRG-1046491</v>
      </c>
      <c r="E18543" t="s">
        <v>129</v>
      </c>
      <c r="F18543" t="s">
        <v>4</v>
      </c>
      <c r="G18543" t="str">
        <f>""</f>
        <v/>
      </c>
    </row>
    <row r="18544" spans="1:7" x14ac:dyDescent="0.25">
      <c r="A18544" t="s">
        <v>8</v>
      </c>
      <c r="B18544" s="1" t="str">
        <f>"000297947 - RICH FOODS-SSS ARAMARK"</f>
        <v>000297947 - RICH FOODS-SSS ARAMARK</v>
      </c>
      <c r="C18544" t="s">
        <v>128</v>
      </c>
      <c r="D18544" s="1" t="str">
        <f t="shared" si="499"/>
        <v>PRG-1046491</v>
      </c>
      <c r="E18544" t="s">
        <v>129</v>
      </c>
      <c r="F18544" t="s">
        <v>4</v>
      </c>
      <c r="G18544" t="str">
        <f>""</f>
        <v/>
      </c>
    </row>
    <row r="18545" spans="1:7" x14ac:dyDescent="0.25">
      <c r="A18545" t="s">
        <v>8</v>
      </c>
      <c r="B18545" s="1" t="str">
        <f>"000298037 - CASA DEIBERTACCHI-SSS ARAMARK"</f>
        <v>000298037 - CASA DEIBERTACCHI-SSS ARAMARK</v>
      </c>
      <c r="C18545" t="s">
        <v>465</v>
      </c>
      <c r="D18545" s="1" t="str">
        <f t="shared" si="499"/>
        <v>PRG-1046491</v>
      </c>
      <c r="E18545" t="s">
        <v>129</v>
      </c>
      <c r="F18545" t="s">
        <v>4</v>
      </c>
      <c r="G18545" t="str">
        <f>""</f>
        <v/>
      </c>
    </row>
    <row r="18546" spans="1:7" x14ac:dyDescent="0.25">
      <c r="A18546" t="s">
        <v>8</v>
      </c>
      <c r="B18546" s="1" t="str">
        <f>"000298095 - CASA DEIBERTACCHI-SSS ARAMARK"</f>
        <v>000298095 - CASA DEIBERTACCHI-SSS ARAMARK</v>
      </c>
      <c r="C18546" t="s">
        <v>465</v>
      </c>
      <c r="D18546" s="1" t="str">
        <f t="shared" si="499"/>
        <v>PRG-1046491</v>
      </c>
      <c r="E18546" t="s">
        <v>129</v>
      </c>
      <c r="F18546" t="s">
        <v>4</v>
      </c>
      <c r="G18546" t="str">
        <f>""</f>
        <v/>
      </c>
    </row>
    <row r="18547" spans="1:7" x14ac:dyDescent="0.25">
      <c r="A18547" t="s">
        <v>8</v>
      </c>
      <c r="B18547" s="1" t="str">
        <f>"000298131 - RICH FOODS BAPA-SSS ARAMARK"</f>
        <v>000298131 - RICH FOODS BAPA-SSS ARAMARK</v>
      </c>
      <c r="C18547" t="s">
        <v>373</v>
      </c>
      <c r="D18547" s="1" t="str">
        <f t="shared" si="499"/>
        <v>PRG-1046491</v>
      </c>
      <c r="E18547" t="s">
        <v>129</v>
      </c>
      <c r="F18547" t="s">
        <v>4</v>
      </c>
      <c r="G18547" t="str">
        <f>""</f>
        <v/>
      </c>
    </row>
    <row r="18548" spans="1:7" x14ac:dyDescent="0.25">
      <c r="A18548" t="s">
        <v>8</v>
      </c>
      <c r="B18548" s="1" t="str">
        <f>"000298849 - RICH FOODS BAPA-SSS ARAMARK"</f>
        <v>000298849 - RICH FOODS BAPA-SSS ARAMARK</v>
      </c>
      <c r="C18548" t="s">
        <v>373</v>
      </c>
      <c r="D18548" s="1" t="str">
        <f t="shared" si="499"/>
        <v>PRG-1046491</v>
      </c>
      <c r="E18548" t="s">
        <v>129</v>
      </c>
      <c r="F18548" t="s">
        <v>4</v>
      </c>
      <c r="G18548" t="str">
        <f>""</f>
        <v/>
      </c>
    </row>
    <row r="18549" spans="1:7" x14ac:dyDescent="0.25">
      <c r="A18549" t="s">
        <v>8</v>
      </c>
      <c r="B18549" s="1" t="str">
        <f>"000299332 - RICH FOODS BAPA-SSS ARAMARK"</f>
        <v>000299332 - RICH FOODS BAPA-SSS ARAMARK</v>
      </c>
      <c r="C18549" t="s">
        <v>373</v>
      </c>
      <c r="D18549" s="1" t="str">
        <f t="shared" si="499"/>
        <v>PRG-1046491</v>
      </c>
      <c r="E18549" t="s">
        <v>129</v>
      </c>
      <c r="F18549" t="s">
        <v>4</v>
      </c>
      <c r="G18549" t="str">
        <f>""</f>
        <v/>
      </c>
    </row>
    <row r="18550" spans="1:7" x14ac:dyDescent="0.25">
      <c r="A18550" t="s">
        <v>8</v>
      </c>
      <c r="B18550" s="1" t="str">
        <f>"000299372 - RICH FOODS-SSS ARAMARK"</f>
        <v>000299372 - RICH FOODS-SSS ARAMARK</v>
      </c>
      <c r="C18550" t="s">
        <v>128</v>
      </c>
      <c r="D18550" s="1" t="str">
        <f t="shared" si="499"/>
        <v>PRG-1046491</v>
      </c>
      <c r="E18550" t="s">
        <v>129</v>
      </c>
      <c r="F18550" t="s">
        <v>4</v>
      </c>
      <c r="G18550" t="str">
        <f>""</f>
        <v/>
      </c>
    </row>
    <row r="18551" spans="1:7" x14ac:dyDescent="0.25">
      <c r="A18551" t="s">
        <v>8</v>
      </c>
      <c r="B18551" s="1" t="str">
        <f>"000299908 - CASA DEIBERTACCHI-SSS ARAMARK"</f>
        <v>000299908 - CASA DEIBERTACCHI-SSS ARAMARK</v>
      </c>
      <c r="C18551" t="s">
        <v>465</v>
      </c>
      <c r="D18551" s="1" t="str">
        <f t="shared" si="499"/>
        <v>PRG-1046491</v>
      </c>
      <c r="E18551" t="s">
        <v>129</v>
      </c>
      <c r="F18551" t="s">
        <v>4</v>
      </c>
      <c r="G18551" t="str">
        <f>""</f>
        <v/>
      </c>
    </row>
    <row r="18552" spans="1:7" x14ac:dyDescent="0.25">
      <c r="A18552" t="s">
        <v>8</v>
      </c>
      <c r="B18552" s="1" t="str">
        <f>"000300001 - RICH FOODS BAPA-SSS ARAMARK"</f>
        <v>000300001 - RICH FOODS BAPA-SSS ARAMARK</v>
      </c>
      <c r="C18552" t="s">
        <v>373</v>
      </c>
      <c r="D18552" s="1" t="str">
        <f t="shared" si="499"/>
        <v>PRG-1046491</v>
      </c>
      <c r="E18552" t="s">
        <v>129</v>
      </c>
      <c r="F18552" t="s">
        <v>4</v>
      </c>
      <c r="G18552" t="str">
        <f>""</f>
        <v/>
      </c>
    </row>
    <row r="18553" spans="1:7" x14ac:dyDescent="0.25">
      <c r="A18553" t="s">
        <v>8</v>
      </c>
      <c r="B18553" s="1" t="str">
        <f>"000300527 - RICH FOODS-SSS ARAMARK"</f>
        <v>000300527 - RICH FOODS-SSS ARAMARK</v>
      </c>
      <c r="C18553" t="s">
        <v>128</v>
      </c>
      <c r="D18553" s="1" t="str">
        <f t="shared" si="499"/>
        <v>PRG-1046491</v>
      </c>
      <c r="E18553" t="s">
        <v>129</v>
      </c>
      <c r="F18553" t="s">
        <v>4</v>
      </c>
      <c r="G18553" t="str">
        <f>""</f>
        <v/>
      </c>
    </row>
    <row r="18554" spans="1:7" x14ac:dyDescent="0.25">
      <c r="A18554" t="s">
        <v>8</v>
      </c>
      <c r="B18554" s="1" t="str">
        <f>"000300581 - CASA DEIBERTACCHI-SSS ARAMARK"</f>
        <v>000300581 - CASA DEIBERTACCHI-SSS ARAMARK</v>
      </c>
      <c r="C18554" t="s">
        <v>465</v>
      </c>
      <c r="D18554" s="1" t="str">
        <f t="shared" si="499"/>
        <v>PRG-1046491</v>
      </c>
      <c r="E18554" t="s">
        <v>129</v>
      </c>
      <c r="F18554" t="s">
        <v>4</v>
      </c>
      <c r="G18554" t="str">
        <f>""</f>
        <v/>
      </c>
    </row>
    <row r="18555" spans="1:7" x14ac:dyDescent="0.25">
      <c r="A18555" t="s">
        <v>8</v>
      </c>
      <c r="B18555" s="1" t="str">
        <f>"000301780 - RICHS FDS NCORE BB-SSS ARAMARK"</f>
        <v>000301780 - RICHS FDS NCORE BB-SSS ARAMARK</v>
      </c>
      <c r="C18555" t="s">
        <v>558</v>
      </c>
      <c r="D18555" s="1" t="str">
        <f t="shared" si="499"/>
        <v>PRG-1046491</v>
      </c>
      <c r="E18555" t="s">
        <v>129</v>
      </c>
      <c r="F18555" t="s">
        <v>4</v>
      </c>
      <c r="G18555" t="str">
        <f>""</f>
        <v/>
      </c>
    </row>
    <row r="18556" spans="1:7" x14ac:dyDescent="0.25">
      <c r="A18556" t="s">
        <v>8</v>
      </c>
      <c r="B18556" s="1" t="str">
        <f>"000301825 - RICH FOODS BAPA-SSS ARAMARK"</f>
        <v>000301825 - RICH FOODS BAPA-SSS ARAMARK</v>
      </c>
      <c r="C18556" t="s">
        <v>373</v>
      </c>
      <c r="D18556" s="1" t="str">
        <f t="shared" si="499"/>
        <v>PRG-1046491</v>
      </c>
      <c r="E18556" t="s">
        <v>129</v>
      </c>
      <c r="F18556" t="s">
        <v>4</v>
      </c>
      <c r="G18556" t="str">
        <f>""</f>
        <v/>
      </c>
    </row>
    <row r="18557" spans="1:7" x14ac:dyDescent="0.25">
      <c r="A18557" t="s">
        <v>8</v>
      </c>
      <c r="B18557" s="1" t="str">
        <f>"000302176 - RICH FOODS-SSS ARAMARK"</f>
        <v>000302176 - RICH FOODS-SSS ARAMARK</v>
      </c>
      <c r="C18557" t="s">
        <v>128</v>
      </c>
      <c r="D18557" s="1" t="str">
        <f t="shared" si="499"/>
        <v>PRG-1046491</v>
      </c>
      <c r="E18557" t="s">
        <v>129</v>
      </c>
      <c r="F18557" t="s">
        <v>4</v>
      </c>
      <c r="G18557" t="str">
        <f>""</f>
        <v/>
      </c>
    </row>
    <row r="18558" spans="1:7" x14ac:dyDescent="0.25">
      <c r="A18558" t="s">
        <v>8</v>
      </c>
      <c r="B18558" s="1" t="str">
        <f>"000302368 - RICH FOODS-SSS ARAMARK"</f>
        <v>000302368 - RICH FOODS-SSS ARAMARK</v>
      </c>
      <c r="C18558" t="s">
        <v>128</v>
      </c>
      <c r="D18558" s="1" t="str">
        <f t="shared" si="499"/>
        <v>PRG-1046491</v>
      </c>
      <c r="E18558" t="s">
        <v>129</v>
      </c>
      <c r="F18558" t="s">
        <v>4</v>
      </c>
      <c r="G18558" t="str">
        <f>""</f>
        <v/>
      </c>
    </row>
    <row r="18559" spans="1:7" x14ac:dyDescent="0.25">
      <c r="A18559" t="s">
        <v>8</v>
      </c>
      <c r="B18559" s="1" t="str">
        <f>"000302476 - CASA DEIBERTACCHI-SSS ARAMARK"</f>
        <v>000302476 - CASA DEIBERTACCHI-SSS ARAMARK</v>
      </c>
      <c r="C18559" t="s">
        <v>465</v>
      </c>
      <c r="D18559" s="1" t="str">
        <f t="shared" si="499"/>
        <v>PRG-1046491</v>
      </c>
      <c r="E18559" t="s">
        <v>129</v>
      </c>
      <c r="F18559" t="s">
        <v>4</v>
      </c>
      <c r="G18559" t="str">
        <f>""</f>
        <v/>
      </c>
    </row>
    <row r="18560" spans="1:7" x14ac:dyDescent="0.25">
      <c r="A18560" t="s">
        <v>8</v>
      </c>
      <c r="B18560" s="1" t="str">
        <f>"000302740 - CASA DEIBERTACCHI-SSS ARAMARK"</f>
        <v>000302740 - CASA DEIBERTACCHI-SSS ARAMARK</v>
      </c>
      <c r="C18560" t="s">
        <v>465</v>
      </c>
      <c r="D18560" s="1" t="str">
        <f t="shared" si="499"/>
        <v>PRG-1046491</v>
      </c>
      <c r="E18560" t="s">
        <v>129</v>
      </c>
      <c r="F18560" t="s">
        <v>4</v>
      </c>
      <c r="G18560" t="str">
        <f>""</f>
        <v/>
      </c>
    </row>
    <row r="18561" spans="1:7" x14ac:dyDescent="0.25">
      <c r="A18561" t="s">
        <v>8</v>
      </c>
      <c r="B18561" s="1" t="str">
        <f>"000303604 - CASA DEIBERTACCHI-SSS ARAMARK"</f>
        <v>000303604 - CASA DEIBERTACCHI-SSS ARAMARK</v>
      </c>
      <c r="C18561" t="s">
        <v>465</v>
      </c>
      <c r="D18561" s="1" t="str">
        <f t="shared" si="499"/>
        <v>PRG-1046491</v>
      </c>
      <c r="E18561" t="s">
        <v>129</v>
      </c>
      <c r="F18561" t="s">
        <v>4</v>
      </c>
      <c r="G18561" t="str">
        <f>""</f>
        <v/>
      </c>
    </row>
    <row r="18562" spans="1:7" x14ac:dyDescent="0.25">
      <c r="A18562" t="s">
        <v>8</v>
      </c>
      <c r="B18562" s="1" t="str">
        <f>"000304653 - RICHS FDS NCORE BB-SSS ARAMARK"</f>
        <v>000304653 - RICHS FDS NCORE BB-SSS ARAMARK</v>
      </c>
      <c r="C18562" t="s">
        <v>558</v>
      </c>
      <c r="D18562" s="1" t="str">
        <f t="shared" si="499"/>
        <v>PRG-1046491</v>
      </c>
      <c r="E18562" t="s">
        <v>129</v>
      </c>
      <c r="F18562" t="s">
        <v>4</v>
      </c>
      <c r="G18562" t="str">
        <f>""</f>
        <v/>
      </c>
    </row>
    <row r="18563" spans="1:7" x14ac:dyDescent="0.25">
      <c r="A18563" t="s">
        <v>8</v>
      </c>
      <c r="B18563" s="1" t="str">
        <f>"000304791 - RICH FOODS-SSS ARAMARK"</f>
        <v>000304791 - RICH FOODS-SSS ARAMARK</v>
      </c>
      <c r="C18563" t="s">
        <v>128</v>
      </c>
      <c r="D18563" s="1" t="str">
        <f t="shared" si="499"/>
        <v>PRG-1046491</v>
      </c>
      <c r="E18563" t="s">
        <v>129</v>
      </c>
      <c r="F18563" t="s">
        <v>4</v>
      </c>
      <c r="G18563" t="str">
        <f>""</f>
        <v/>
      </c>
    </row>
    <row r="18564" spans="1:7" x14ac:dyDescent="0.25">
      <c r="A18564" t="s">
        <v>8</v>
      </c>
      <c r="B18564" s="1" t="str">
        <f>"000306385 - RICH FOODS-SSS ARAMARK"</f>
        <v>000306385 - RICH FOODS-SSS ARAMARK</v>
      </c>
      <c r="C18564" t="s">
        <v>128</v>
      </c>
      <c r="D18564" s="1" t="str">
        <f t="shared" si="499"/>
        <v>PRG-1046491</v>
      </c>
      <c r="E18564" t="s">
        <v>129</v>
      </c>
      <c r="F18564" t="s">
        <v>4</v>
      </c>
      <c r="G18564" t="str">
        <f>""</f>
        <v/>
      </c>
    </row>
    <row r="18565" spans="1:7" x14ac:dyDescent="0.25">
      <c r="A18565" t="s">
        <v>8</v>
      </c>
      <c r="B18565" s="1" t="str">
        <f>"000306690 - CASA DEIBERTACCHI-SSS ARAMARK"</f>
        <v>000306690 - CASA DEIBERTACCHI-SSS ARAMARK</v>
      </c>
      <c r="C18565" t="s">
        <v>465</v>
      </c>
      <c r="D18565" s="1" t="str">
        <f t="shared" si="499"/>
        <v>PRG-1046491</v>
      </c>
      <c r="E18565" t="s">
        <v>129</v>
      </c>
      <c r="F18565" t="s">
        <v>4</v>
      </c>
      <c r="G18565" t="str">
        <f>""</f>
        <v/>
      </c>
    </row>
    <row r="18566" spans="1:7" x14ac:dyDescent="0.25">
      <c r="A18566" t="s">
        <v>8</v>
      </c>
      <c r="B18566" s="1" t="str">
        <f>"000306853 - CASA DEIBERTACCHI-SSS ARAMARK"</f>
        <v>000306853 - CASA DEIBERTACCHI-SSS ARAMARK</v>
      </c>
      <c r="C18566" t="s">
        <v>465</v>
      </c>
      <c r="D18566" s="1" t="str">
        <f t="shared" si="499"/>
        <v>PRG-1046491</v>
      </c>
      <c r="E18566" t="s">
        <v>129</v>
      </c>
      <c r="F18566" t="s">
        <v>4</v>
      </c>
      <c r="G18566" t="str">
        <f>""</f>
        <v/>
      </c>
    </row>
    <row r="18567" spans="1:7" x14ac:dyDescent="0.25">
      <c r="A18567" t="s">
        <v>8</v>
      </c>
      <c r="B18567" s="1" t="str">
        <f>"000308373 - RICH FOODS-SSS ARAMARK"</f>
        <v>000308373 - RICH FOODS-SSS ARAMARK</v>
      </c>
      <c r="C18567" t="s">
        <v>128</v>
      </c>
      <c r="D18567" s="1" t="str">
        <f t="shared" si="499"/>
        <v>PRG-1046491</v>
      </c>
      <c r="E18567" t="s">
        <v>129</v>
      </c>
      <c r="F18567" t="s">
        <v>4</v>
      </c>
      <c r="G18567" t="str">
        <f>""</f>
        <v/>
      </c>
    </row>
    <row r="18568" spans="1:7" x14ac:dyDescent="0.25">
      <c r="A18568" t="s">
        <v>8</v>
      </c>
      <c r="B18568" s="1" t="str">
        <f>"000308871 - RICH FOODS-SSS ARAMARK"</f>
        <v>000308871 - RICH FOODS-SSS ARAMARK</v>
      </c>
      <c r="C18568" t="s">
        <v>128</v>
      </c>
      <c r="D18568" s="1" t="str">
        <f t="shared" si="499"/>
        <v>PRG-1046491</v>
      </c>
      <c r="E18568" t="s">
        <v>129</v>
      </c>
      <c r="F18568" t="s">
        <v>4</v>
      </c>
      <c r="G18568" t="str">
        <f>""</f>
        <v/>
      </c>
    </row>
    <row r="18569" spans="1:7" x14ac:dyDescent="0.25">
      <c r="A18569" t="s">
        <v>8</v>
      </c>
      <c r="B18569" s="1" t="str">
        <f>"000309212 - RICH FOODS-SSS ARAMARK"</f>
        <v>000309212 - RICH FOODS-SSS ARAMARK</v>
      </c>
      <c r="C18569" t="s">
        <v>128</v>
      </c>
      <c r="D18569" s="1" t="str">
        <f t="shared" si="499"/>
        <v>PRG-1046491</v>
      </c>
      <c r="E18569" t="s">
        <v>129</v>
      </c>
      <c r="F18569" t="s">
        <v>4</v>
      </c>
      <c r="G18569" t="str">
        <f>""</f>
        <v/>
      </c>
    </row>
    <row r="18570" spans="1:7" x14ac:dyDescent="0.25">
      <c r="A18570" t="s">
        <v>8</v>
      </c>
      <c r="B18570" s="1" t="str">
        <f>"000309693 - RICH FOODS-SSS ARAMARK"</f>
        <v>000309693 - RICH FOODS-SSS ARAMARK</v>
      </c>
      <c r="C18570" t="s">
        <v>128</v>
      </c>
      <c r="D18570" s="1" t="str">
        <f t="shared" si="499"/>
        <v>PRG-1046491</v>
      </c>
      <c r="E18570" t="s">
        <v>129</v>
      </c>
      <c r="F18570" t="s">
        <v>4</v>
      </c>
      <c r="G18570" t="str">
        <f>""</f>
        <v/>
      </c>
    </row>
    <row r="18571" spans="1:7" x14ac:dyDescent="0.25">
      <c r="A18571" t="s">
        <v>8</v>
      </c>
      <c r="B18571" s="1" t="str">
        <f>"000310297 - RICH FOODS-SSS ARAMARK"</f>
        <v>000310297 - RICH FOODS-SSS ARAMARK</v>
      </c>
      <c r="C18571" t="s">
        <v>128</v>
      </c>
      <c r="D18571" s="1" t="str">
        <f t="shared" si="499"/>
        <v>PRG-1046491</v>
      </c>
      <c r="E18571" t="s">
        <v>129</v>
      </c>
      <c r="F18571" t="s">
        <v>4</v>
      </c>
      <c r="G18571" t="str">
        <f>""</f>
        <v/>
      </c>
    </row>
    <row r="18572" spans="1:7" x14ac:dyDescent="0.25">
      <c r="A18572" t="s">
        <v>8</v>
      </c>
      <c r="B18572" s="1" t="str">
        <f>"000310631 - RICHS FDS NCORE BB-SSS ARAMARK"</f>
        <v>000310631 - RICHS FDS NCORE BB-SSS ARAMARK</v>
      </c>
      <c r="C18572" t="s">
        <v>558</v>
      </c>
      <c r="D18572" s="1" t="str">
        <f t="shared" si="499"/>
        <v>PRG-1046491</v>
      </c>
      <c r="E18572" t="s">
        <v>129</v>
      </c>
      <c r="F18572" t="s">
        <v>4</v>
      </c>
      <c r="G18572" t="str">
        <f>""</f>
        <v/>
      </c>
    </row>
    <row r="18573" spans="1:7" x14ac:dyDescent="0.25">
      <c r="A18573" t="s">
        <v>8</v>
      </c>
      <c r="B18573" s="1" t="str">
        <f>"000311188 - CASA DEIBERTACCHI-SSS ARAMARK"</f>
        <v>000311188 - CASA DEIBERTACCHI-SSS ARAMARK</v>
      </c>
      <c r="C18573" t="s">
        <v>465</v>
      </c>
      <c r="D18573" s="1" t="str">
        <f t="shared" si="499"/>
        <v>PRG-1046491</v>
      </c>
      <c r="E18573" t="s">
        <v>129</v>
      </c>
      <c r="F18573" t="s">
        <v>4</v>
      </c>
      <c r="G18573" t="str">
        <f>""</f>
        <v/>
      </c>
    </row>
    <row r="18574" spans="1:7" x14ac:dyDescent="0.25">
      <c r="A18574" t="s">
        <v>8</v>
      </c>
      <c r="B18574" s="1" t="str">
        <f>"000313761 - RICH FOODS-SSS ARAMARK"</f>
        <v>000313761 - RICH FOODS-SSS ARAMARK</v>
      </c>
      <c r="C18574" t="s">
        <v>128</v>
      </c>
      <c r="D18574" s="1" t="str">
        <f t="shared" si="499"/>
        <v>PRG-1046491</v>
      </c>
      <c r="E18574" t="s">
        <v>129</v>
      </c>
      <c r="F18574" t="s">
        <v>4</v>
      </c>
      <c r="G18574" t="str">
        <f>""</f>
        <v/>
      </c>
    </row>
    <row r="18575" spans="1:7" x14ac:dyDescent="0.25">
      <c r="A18575" t="s">
        <v>8</v>
      </c>
      <c r="B18575" s="1" t="str">
        <f>"000315001 - RICH FOODS-SSS ARAMARK"</f>
        <v>000315001 - RICH FOODS-SSS ARAMARK</v>
      </c>
      <c r="C18575" t="s">
        <v>128</v>
      </c>
      <c r="D18575" s="1" t="str">
        <f t="shared" si="499"/>
        <v>PRG-1046491</v>
      </c>
      <c r="E18575" t="s">
        <v>129</v>
      </c>
      <c r="F18575" t="s">
        <v>4</v>
      </c>
      <c r="G18575" t="str">
        <f>""</f>
        <v/>
      </c>
    </row>
    <row r="18576" spans="1:7" x14ac:dyDescent="0.25">
      <c r="A18576" t="s">
        <v>8</v>
      </c>
      <c r="B18576" s="1" t="str">
        <f>"000315402 - CASA DEIBERTACCHI-SSS ARAMARK"</f>
        <v>000315402 - CASA DEIBERTACCHI-SSS ARAMARK</v>
      </c>
      <c r="C18576" t="s">
        <v>465</v>
      </c>
      <c r="D18576" s="1" t="str">
        <f t="shared" si="499"/>
        <v>PRG-1046491</v>
      </c>
      <c r="E18576" t="s">
        <v>129</v>
      </c>
      <c r="F18576" t="s">
        <v>4</v>
      </c>
      <c r="G18576" t="str">
        <f>""</f>
        <v/>
      </c>
    </row>
    <row r="18577" spans="1:7" x14ac:dyDescent="0.25">
      <c r="A18577" t="s">
        <v>8</v>
      </c>
      <c r="B18577" s="1" t="str">
        <f>"000315818 - CASA DEIBERTACCHI-SSS ARAMARK"</f>
        <v>000315818 - CASA DEIBERTACCHI-SSS ARAMARK</v>
      </c>
      <c r="C18577" t="s">
        <v>465</v>
      </c>
      <c r="D18577" s="1" t="str">
        <f t="shared" si="499"/>
        <v>PRG-1046491</v>
      </c>
      <c r="E18577" t="s">
        <v>129</v>
      </c>
      <c r="F18577" t="s">
        <v>4</v>
      </c>
      <c r="G18577" t="str">
        <f>""</f>
        <v/>
      </c>
    </row>
    <row r="18578" spans="1:7" x14ac:dyDescent="0.25">
      <c r="A18578" t="s">
        <v>8</v>
      </c>
      <c r="B18578" s="1" t="str">
        <f>"000316344 - CASA DEIBERTACCHI-SSS ARAMARK"</f>
        <v>000316344 - CASA DEIBERTACCHI-SSS ARAMARK</v>
      </c>
      <c r="C18578" t="s">
        <v>465</v>
      </c>
      <c r="D18578" s="1" t="str">
        <f t="shared" si="499"/>
        <v>PRG-1046491</v>
      </c>
      <c r="E18578" t="s">
        <v>129</v>
      </c>
      <c r="F18578" t="s">
        <v>4</v>
      </c>
      <c r="G18578" t="str">
        <f>""</f>
        <v/>
      </c>
    </row>
    <row r="18579" spans="1:7" x14ac:dyDescent="0.25">
      <c r="A18579" t="s">
        <v>8</v>
      </c>
      <c r="B18579" s="1" t="str">
        <f>"000317494 - CASA DEIBERTACCHI-SSS ARAMARK"</f>
        <v>000317494 - CASA DEIBERTACCHI-SSS ARAMARK</v>
      </c>
      <c r="C18579" t="s">
        <v>465</v>
      </c>
      <c r="D18579" s="1" t="str">
        <f t="shared" si="499"/>
        <v>PRG-1046491</v>
      </c>
      <c r="E18579" t="s">
        <v>129</v>
      </c>
      <c r="F18579" t="s">
        <v>4</v>
      </c>
      <c r="G18579" t="str">
        <f>""</f>
        <v/>
      </c>
    </row>
    <row r="18580" spans="1:7" x14ac:dyDescent="0.25">
      <c r="A18580" t="s">
        <v>8</v>
      </c>
      <c r="B18580" s="1" t="str">
        <f>"000319596 - CASA DEIBERTACCHI-SSS ARAMARK"</f>
        <v>000319596 - CASA DEIBERTACCHI-SSS ARAMARK</v>
      </c>
      <c r="C18580" t="s">
        <v>465</v>
      </c>
      <c r="D18580" s="1" t="str">
        <f t="shared" si="499"/>
        <v>PRG-1046491</v>
      </c>
      <c r="E18580" t="s">
        <v>129</v>
      </c>
      <c r="F18580" t="s">
        <v>4</v>
      </c>
      <c r="G18580" t="str">
        <f>""</f>
        <v/>
      </c>
    </row>
    <row r="18581" spans="1:7" x14ac:dyDescent="0.25">
      <c r="A18581" t="s">
        <v>8</v>
      </c>
      <c r="B18581" s="1" t="str">
        <f>"000321686 - RICH FOODS-SSS ARAMARK"</f>
        <v>000321686 - RICH FOODS-SSS ARAMARK</v>
      </c>
      <c r="C18581" t="s">
        <v>128</v>
      </c>
      <c r="D18581" s="1" t="str">
        <f t="shared" si="499"/>
        <v>PRG-1046491</v>
      </c>
      <c r="E18581" t="s">
        <v>129</v>
      </c>
      <c r="F18581" t="s">
        <v>4</v>
      </c>
      <c r="G18581" t="str">
        <f>""</f>
        <v/>
      </c>
    </row>
    <row r="18582" spans="1:7" x14ac:dyDescent="0.25">
      <c r="A18582" t="s">
        <v>8</v>
      </c>
      <c r="B18582" s="1" t="str">
        <f>"000322939 - RICH FOODS BAPA-SSS ARAMARK"</f>
        <v>000322939 - RICH FOODS BAPA-SSS ARAMARK</v>
      </c>
      <c r="C18582" t="s">
        <v>373</v>
      </c>
      <c r="D18582" s="1" t="str">
        <f t="shared" si="499"/>
        <v>PRG-1046491</v>
      </c>
      <c r="E18582" t="s">
        <v>129</v>
      </c>
      <c r="F18582" t="s">
        <v>4</v>
      </c>
      <c r="G18582" t="str">
        <f>""</f>
        <v/>
      </c>
    </row>
    <row r="18583" spans="1:7" x14ac:dyDescent="0.25">
      <c r="A18583" t="s">
        <v>8</v>
      </c>
      <c r="B18583" s="1" t="str">
        <f>"000323135 - RICHS FDS NCORE BB-SSS ARAMARK"</f>
        <v>000323135 - RICHS FDS NCORE BB-SSS ARAMARK</v>
      </c>
      <c r="C18583" t="s">
        <v>558</v>
      </c>
      <c r="D18583" s="1" t="str">
        <f t="shared" si="499"/>
        <v>PRG-1046491</v>
      </c>
      <c r="E18583" t="s">
        <v>129</v>
      </c>
      <c r="F18583" t="s">
        <v>4</v>
      </c>
      <c r="G18583" t="str">
        <f>""</f>
        <v/>
      </c>
    </row>
    <row r="18584" spans="1:7" x14ac:dyDescent="0.25">
      <c r="A18584" t="s">
        <v>8</v>
      </c>
      <c r="B18584" s="1" t="str">
        <f>"000323333 - CASA DEIBERTACCHI-SSS ARAMARK"</f>
        <v>000323333 - CASA DEIBERTACCHI-SSS ARAMARK</v>
      </c>
      <c r="C18584" t="s">
        <v>465</v>
      </c>
      <c r="D18584" s="1" t="str">
        <f t="shared" si="499"/>
        <v>PRG-1046491</v>
      </c>
      <c r="E18584" t="s">
        <v>129</v>
      </c>
      <c r="F18584" t="s">
        <v>4</v>
      </c>
      <c r="G18584" t="str">
        <f>""</f>
        <v/>
      </c>
    </row>
    <row r="18585" spans="1:7" x14ac:dyDescent="0.25">
      <c r="A18585" t="s">
        <v>8</v>
      </c>
      <c r="B18585" s="1" t="str">
        <f>"000323383 - RICH FOODS-SSS ARAMARK"</f>
        <v>000323383 - RICH FOODS-SSS ARAMARK</v>
      </c>
      <c r="C18585" t="s">
        <v>128</v>
      </c>
      <c r="D18585" s="1" t="str">
        <f t="shared" si="499"/>
        <v>PRG-1046491</v>
      </c>
      <c r="E18585" t="s">
        <v>129</v>
      </c>
      <c r="F18585" t="s">
        <v>4</v>
      </c>
      <c r="G18585" t="str">
        <f>""</f>
        <v/>
      </c>
    </row>
    <row r="18586" spans="1:7" x14ac:dyDescent="0.25">
      <c r="A18586" t="s">
        <v>8</v>
      </c>
      <c r="B18586" s="1" t="str">
        <f>"000323560 - RICH FOODS-SSS ARAMARK"</f>
        <v>000323560 - RICH FOODS-SSS ARAMARK</v>
      </c>
      <c r="C18586" t="s">
        <v>128</v>
      </c>
      <c r="D18586" s="1" t="str">
        <f t="shared" si="499"/>
        <v>PRG-1046491</v>
      </c>
      <c r="E18586" t="s">
        <v>129</v>
      </c>
      <c r="F18586" t="s">
        <v>4</v>
      </c>
      <c r="G18586" t="str">
        <f>""</f>
        <v/>
      </c>
    </row>
    <row r="18587" spans="1:7" x14ac:dyDescent="0.25">
      <c r="A18587" t="s">
        <v>8</v>
      </c>
      <c r="B18587" s="1" t="str">
        <f>"000325386 - RICH FOODS-SSS ARAMARK"</f>
        <v>000325386 - RICH FOODS-SSS ARAMARK</v>
      </c>
      <c r="C18587" t="s">
        <v>128</v>
      </c>
      <c r="D18587" s="1" t="str">
        <f t="shared" si="499"/>
        <v>PRG-1046491</v>
      </c>
      <c r="E18587" t="s">
        <v>129</v>
      </c>
      <c r="F18587" t="s">
        <v>4</v>
      </c>
      <c r="G18587" t="str">
        <f>""</f>
        <v/>
      </c>
    </row>
    <row r="18588" spans="1:7" x14ac:dyDescent="0.25">
      <c r="A18588" t="s">
        <v>8</v>
      </c>
      <c r="B18588" s="1" t="str">
        <f>"000327111 - RICH FOODS-SSS ARAMARK"</f>
        <v>000327111 - RICH FOODS-SSS ARAMARK</v>
      </c>
      <c r="C18588" t="s">
        <v>128</v>
      </c>
      <c r="D18588" s="1" t="str">
        <f t="shared" si="499"/>
        <v>PRG-1046491</v>
      </c>
      <c r="E18588" t="s">
        <v>129</v>
      </c>
      <c r="F18588" t="s">
        <v>4</v>
      </c>
      <c r="G18588" t="str">
        <f>""</f>
        <v/>
      </c>
    </row>
    <row r="18589" spans="1:7" x14ac:dyDescent="0.25">
      <c r="A18589" t="s">
        <v>8</v>
      </c>
      <c r="B18589" s="1" t="str">
        <f>"000328814 - RICH FOODS BAPA-SSS ARAMARK"</f>
        <v>000328814 - RICH FOODS BAPA-SSS ARAMARK</v>
      </c>
      <c r="C18589" t="s">
        <v>373</v>
      </c>
      <c r="D18589" s="1" t="str">
        <f t="shared" ref="D18589:D18646" si="500">"PRG-1046491"</f>
        <v>PRG-1046491</v>
      </c>
      <c r="E18589" t="s">
        <v>129</v>
      </c>
      <c r="F18589" t="s">
        <v>4</v>
      </c>
      <c r="G18589" t="str">
        <f>""</f>
        <v/>
      </c>
    </row>
    <row r="18590" spans="1:7" x14ac:dyDescent="0.25">
      <c r="A18590" t="s">
        <v>8</v>
      </c>
      <c r="B18590" s="1" t="str">
        <f>"000329653 - RICHS FDS CORE BB-SSS ARAMARK"</f>
        <v>000329653 - RICHS FDS CORE BB-SSS ARAMARK</v>
      </c>
      <c r="C18590" t="s">
        <v>858</v>
      </c>
      <c r="D18590" s="1" t="str">
        <f t="shared" si="500"/>
        <v>PRG-1046491</v>
      </c>
      <c r="E18590" t="s">
        <v>129</v>
      </c>
      <c r="F18590" t="s">
        <v>4</v>
      </c>
      <c r="G18590" t="str">
        <f>""</f>
        <v/>
      </c>
    </row>
    <row r="18591" spans="1:7" x14ac:dyDescent="0.25">
      <c r="A18591" t="s">
        <v>8</v>
      </c>
      <c r="B18591" s="1" t="str">
        <f>"000330828 - RICH FOODS BAPA-SSS ARAMARK"</f>
        <v>000330828 - RICH FOODS BAPA-SSS ARAMARK</v>
      </c>
      <c r="C18591" t="s">
        <v>373</v>
      </c>
      <c r="D18591" s="1" t="str">
        <f t="shared" si="500"/>
        <v>PRG-1046491</v>
      </c>
      <c r="E18591" t="s">
        <v>129</v>
      </c>
      <c r="F18591" t="s">
        <v>4</v>
      </c>
      <c r="G18591" t="str">
        <f>""</f>
        <v/>
      </c>
    </row>
    <row r="18592" spans="1:7" x14ac:dyDescent="0.25">
      <c r="A18592" t="s">
        <v>8</v>
      </c>
      <c r="B18592" s="1" t="str">
        <f>"000331831 - RICH FOODS BAPA-SSS ARAMARK"</f>
        <v>000331831 - RICH FOODS BAPA-SSS ARAMARK</v>
      </c>
      <c r="C18592" t="s">
        <v>373</v>
      </c>
      <c r="D18592" s="1" t="str">
        <f t="shared" si="500"/>
        <v>PRG-1046491</v>
      </c>
      <c r="E18592" t="s">
        <v>129</v>
      </c>
      <c r="F18592" t="s">
        <v>4</v>
      </c>
      <c r="G18592" t="str">
        <f>""</f>
        <v/>
      </c>
    </row>
    <row r="18593" spans="1:7" x14ac:dyDescent="0.25">
      <c r="A18593" t="s">
        <v>8</v>
      </c>
      <c r="B18593" s="1" t="str">
        <f>"000332339 - RICH FOODS-SSS ARAMARK"</f>
        <v>000332339 - RICH FOODS-SSS ARAMARK</v>
      </c>
      <c r="C18593" t="s">
        <v>128</v>
      </c>
      <c r="D18593" s="1" t="str">
        <f t="shared" si="500"/>
        <v>PRG-1046491</v>
      </c>
      <c r="E18593" t="s">
        <v>129</v>
      </c>
      <c r="F18593" t="s">
        <v>4</v>
      </c>
      <c r="G18593" t="str">
        <f>""</f>
        <v/>
      </c>
    </row>
    <row r="18594" spans="1:7" x14ac:dyDescent="0.25">
      <c r="A18594" t="s">
        <v>8</v>
      </c>
      <c r="B18594" s="1" t="str">
        <f>"000333729 - RICH FOODS BAPA-SSS ARAMARK"</f>
        <v>000333729 - RICH FOODS BAPA-SSS ARAMARK</v>
      </c>
      <c r="C18594" t="s">
        <v>373</v>
      </c>
      <c r="D18594" s="1" t="str">
        <f t="shared" si="500"/>
        <v>PRG-1046491</v>
      </c>
      <c r="E18594" t="s">
        <v>129</v>
      </c>
      <c r="F18594" t="s">
        <v>4</v>
      </c>
      <c r="G18594" t="str">
        <f>""</f>
        <v/>
      </c>
    </row>
    <row r="18595" spans="1:7" x14ac:dyDescent="0.25">
      <c r="A18595" t="s">
        <v>8</v>
      </c>
      <c r="B18595" s="1" t="str">
        <f>"000334663 - RICH FDS NCORE BB-SSS ARAMARK"</f>
        <v>000334663 - RICH FDS NCORE BB-SSS ARAMARK</v>
      </c>
      <c r="C18595" t="s">
        <v>272</v>
      </c>
      <c r="D18595" s="1" t="str">
        <f t="shared" si="500"/>
        <v>PRG-1046491</v>
      </c>
      <c r="E18595" t="s">
        <v>129</v>
      </c>
      <c r="F18595" t="s">
        <v>4</v>
      </c>
      <c r="G18595" t="str">
        <f>""</f>
        <v/>
      </c>
    </row>
    <row r="18596" spans="1:7" x14ac:dyDescent="0.25">
      <c r="A18596" t="s">
        <v>8</v>
      </c>
      <c r="B18596" s="1" t="str">
        <f>"000334664 - RICH FDS CORE BB-SSS ARAMARK"</f>
        <v>000334664 - RICH FDS CORE BB-SSS ARAMARK</v>
      </c>
      <c r="C18596" t="s">
        <v>1464</v>
      </c>
      <c r="D18596" s="1" t="str">
        <f t="shared" si="500"/>
        <v>PRG-1046491</v>
      </c>
      <c r="E18596" t="s">
        <v>129</v>
      </c>
      <c r="F18596" t="s">
        <v>4</v>
      </c>
      <c r="G18596" t="str">
        <f>""</f>
        <v/>
      </c>
    </row>
    <row r="18597" spans="1:7" x14ac:dyDescent="0.25">
      <c r="A18597" t="s">
        <v>8</v>
      </c>
      <c r="B18597" s="1" t="str">
        <f>"000335625 - RICH FOODS BAPA-SSS ARAMARK"</f>
        <v>000335625 - RICH FOODS BAPA-SSS ARAMARK</v>
      </c>
      <c r="C18597" t="s">
        <v>373</v>
      </c>
      <c r="D18597" s="1" t="str">
        <f t="shared" si="500"/>
        <v>PRG-1046491</v>
      </c>
      <c r="E18597" t="s">
        <v>129</v>
      </c>
      <c r="F18597" t="s">
        <v>4</v>
      </c>
      <c r="G18597" t="str">
        <f>""</f>
        <v/>
      </c>
    </row>
    <row r="18598" spans="1:7" x14ac:dyDescent="0.25">
      <c r="A18598" t="s">
        <v>8</v>
      </c>
      <c r="B18598" s="1" t="str">
        <f>"000336228 - RICH FOODS BAPA-SSS ARAMARK"</f>
        <v>000336228 - RICH FOODS BAPA-SSS ARAMARK</v>
      </c>
      <c r="C18598" t="s">
        <v>373</v>
      </c>
      <c r="D18598" s="1" t="str">
        <f t="shared" si="500"/>
        <v>PRG-1046491</v>
      </c>
      <c r="E18598" t="s">
        <v>129</v>
      </c>
      <c r="F18598" t="s">
        <v>4</v>
      </c>
      <c r="G18598" t="str">
        <f>""</f>
        <v/>
      </c>
    </row>
    <row r="18599" spans="1:7" x14ac:dyDescent="0.25">
      <c r="A18599" t="s">
        <v>8</v>
      </c>
      <c r="B18599" s="1" t="str">
        <f>"000339274 - CASA DEIBERTACCHI-SSS ARAMARK"</f>
        <v>000339274 - CASA DEIBERTACCHI-SSS ARAMARK</v>
      </c>
      <c r="C18599" t="s">
        <v>465</v>
      </c>
      <c r="D18599" s="1" t="str">
        <f t="shared" si="500"/>
        <v>PRG-1046491</v>
      </c>
      <c r="E18599" t="s">
        <v>129</v>
      </c>
      <c r="F18599" t="s">
        <v>4</v>
      </c>
      <c r="G18599" t="str">
        <f>""</f>
        <v/>
      </c>
    </row>
    <row r="18600" spans="1:7" x14ac:dyDescent="0.25">
      <c r="A18600" t="s">
        <v>8</v>
      </c>
      <c r="B18600" s="1" t="str">
        <f>"000343951 - RICH FOODS-SSS ARAMARK"</f>
        <v>000343951 - RICH FOODS-SSS ARAMARK</v>
      </c>
      <c r="C18600" t="s">
        <v>128</v>
      </c>
      <c r="D18600" s="1" t="str">
        <f t="shared" si="500"/>
        <v>PRG-1046491</v>
      </c>
      <c r="E18600" t="s">
        <v>129</v>
      </c>
      <c r="F18600" t="s">
        <v>4</v>
      </c>
      <c r="G18600" t="str">
        <f>""</f>
        <v/>
      </c>
    </row>
    <row r="18601" spans="1:7" x14ac:dyDescent="0.25">
      <c r="A18601" t="s">
        <v>8</v>
      </c>
      <c r="B18601" s="1" t="str">
        <f>"000345013 - RICH FOODS-SSS ARAMARK"</f>
        <v>000345013 - RICH FOODS-SSS ARAMARK</v>
      </c>
      <c r="C18601" t="s">
        <v>128</v>
      </c>
      <c r="D18601" s="1" t="str">
        <f t="shared" si="500"/>
        <v>PRG-1046491</v>
      </c>
      <c r="E18601" t="s">
        <v>129</v>
      </c>
      <c r="F18601" t="s">
        <v>4</v>
      </c>
      <c r="G18601" t="str">
        <f>""</f>
        <v/>
      </c>
    </row>
    <row r="18602" spans="1:7" x14ac:dyDescent="0.25">
      <c r="A18602" t="s">
        <v>8</v>
      </c>
      <c r="B18602" s="1" t="str">
        <f>"000345051 - RICH FOODS-SSS ARAMARK"</f>
        <v>000345051 - RICH FOODS-SSS ARAMARK</v>
      </c>
      <c r="C18602" t="s">
        <v>128</v>
      </c>
      <c r="D18602" s="1" t="str">
        <f t="shared" si="500"/>
        <v>PRG-1046491</v>
      </c>
      <c r="E18602" t="s">
        <v>129</v>
      </c>
      <c r="F18602" t="s">
        <v>4</v>
      </c>
      <c r="G18602" t="str">
        <f>""</f>
        <v/>
      </c>
    </row>
    <row r="18603" spans="1:7" x14ac:dyDescent="0.25">
      <c r="A18603" t="s">
        <v>8</v>
      </c>
      <c r="B18603" s="1" t="str">
        <f>"000345897 - RICH FOODS-SSS ARAMARK"</f>
        <v>000345897 - RICH FOODS-SSS ARAMARK</v>
      </c>
      <c r="C18603" t="s">
        <v>128</v>
      </c>
      <c r="D18603" s="1" t="str">
        <f t="shared" si="500"/>
        <v>PRG-1046491</v>
      </c>
      <c r="E18603" t="s">
        <v>129</v>
      </c>
      <c r="F18603" t="s">
        <v>4</v>
      </c>
      <c r="G18603" t="str">
        <f>""</f>
        <v/>
      </c>
    </row>
    <row r="18604" spans="1:7" x14ac:dyDescent="0.25">
      <c r="A18604" t="s">
        <v>8</v>
      </c>
      <c r="B18604" s="1" t="str">
        <f>"000347535 - RICH FOODS-SSS ARAMARK"</f>
        <v>000347535 - RICH FOODS-SSS ARAMARK</v>
      </c>
      <c r="C18604" t="s">
        <v>128</v>
      </c>
      <c r="D18604" s="1" t="str">
        <f t="shared" si="500"/>
        <v>PRG-1046491</v>
      </c>
      <c r="E18604" t="s">
        <v>129</v>
      </c>
      <c r="F18604" t="s">
        <v>4</v>
      </c>
      <c r="G18604" t="str">
        <f>""</f>
        <v/>
      </c>
    </row>
    <row r="18605" spans="1:7" x14ac:dyDescent="0.25">
      <c r="A18605" t="s">
        <v>8</v>
      </c>
      <c r="B18605" s="1" t="str">
        <f>"000349000 - RICH FOODS-SSS ARAMARK"</f>
        <v>000349000 - RICH FOODS-SSS ARAMARK</v>
      </c>
      <c r="C18605" t="s">
        <v>128</v>
      </c>
      <c r="D18605" s="1" t="str">
        <f t="shared" si="500"/>
        <v>PRG-1046491</v>
      </c>
      <c r="E18605" t="s">
        <v>129</v>
      </c>
      <c r="F18605" t="s">
        <v>4</v>
      </c>
      <c r="G18605" t="str">
        <f>""</f>
        <v/>
      </c>
    </row>
    <row r="18606" spans="1:7" x14ac:dyDescent="0.25">
      <c r="A18606" t="s">
        <v>8</v>
      </c>
      <c r="B18606" s="1" t="str">
        <f>"000349103 - CASA DEIBERTACCHI-SSS ARAMARK"</f>
        <v>000349103 - CASA DEIBERTACCHI-SSS ARAMARK</v>
      </c>
      <c r="C18606" t="s">
        <v>465</v>
      </c>
      <c r="D18606" s="1" t="str">
        <f t="shared" si="500"/>
        <v>PRG-1046491</v>
      </c>
      <c r="E18606" t="s">
        <v>129</v>
      </c>
      <c r="F18606" t="s">
        <v>4</v>
      </c>
      <c r="G18606" t="str">
        <f>""</f>
        <v/>
      </c>
    </row>
    <row r="18607" spans="1:7" x14ac:dyDescent="0.25">
      <c r="A18607" t="s">
        <v>8</v>
      </c>
      <c r="B18607" s="1" t="str">
        <f>"000353109 - RICH FOODS BAPA-SSS ARAMARK"</f>
        <v>000353109 - RICH FOODS BAPA-SSS ARAMARK</v>
      </c>
      <c r="C18607" t="s">
        <v>373</v>
      </c>
      <c r="D18607" s="1" t="str">
        <f t="shared" si="500"/>
        <v>PRG-1046491</v>
      </c>
      <c r="E18607" t="s">
        <v>129</v>
      </c>
      <c r="F18607" t="s">
        <v>4</v>
      </c>
      <c r="G18607" t="str">
        <f>""</f>
        <v/>
      </c>
    </row>
    <row r="18608" spans="1:7" x14ac:dyDescent="0.25">
      <c r="A18608" t="s">
        <v>8</v>
      </c>
      <c r="B18608" s="1" t="str">
        <f>"000356556 - CASA DIBERTACCHI-SSS ARAMARK"</f>
        <v>000356556 - CASA DIBERTACCHI-SSS ARAMARK</v>
      </c>
      <c r="C18608" t="s">
        <v>150</v>
      </c>
      <c r="D18608" s="1" t="str">
        <f t="shared" si="500"/>
        <v>PRG-1046491</v>
      </c>
      <c r="E18608" t="s">
        <v>129</v>
      </c>
      <c r="F18608" t="s">
        <v>4</v>
      </c>
      <c r="G18608" t="str">
        <f>""</f>
        <v/>
      </c>
    </row>
    <row r="18609" spans="1:7" x14ac:dyDescent="0.25">
      <c r="A18609" t="s">
        <v>8</v>
      </c>
      <c r="B18609" s="1" t="str">
        <f>"000357045 - RICH FOODS BAPA-SSS ARAMARK"</f>
        <v>000357045 - RICH FOODS BAPA-SSS ARAMARK</v>
      </c>
      <c r="C18609" t="s">
        <v>373</v>
      </c>
      <c r="D18609" s="1" t="str">
        <f t="shared" si="500"/>
        <v>PRG-1046491</v>
      </c>
      <c r="E18609" t="s">
        <v>129</v>
      </c>
      <c r="F18609" t="s">
        <v>4</v>
      </c>
      <c r="G18609" t="str">
        <f>""</f>
        <v/>
      </c>
    </row>
    <row r="18610" spans="1:7" x14ac:dyDescent="0.25">
      <c r="A18610" t="s">
        <v>8</v>
      </c>
      <c r="B18610" s="1" t="str">
        <f>"000359884 - CASA DEIBERTACCHI-SSS ARAMARK"</f>
        <v>000359884 - CASA DEIBERTACCHI-SSS ARAMARK</v>
      </c>
      <c r="C18610" t="s">
        <v>465</v>
      </c>
      <c r="D18610" s="1" t="str">
        <f t="shared" si="500"/>
        <v>PRG-1046491</v>
      </c>
      <c r="E18610" t="s">
        <v>129</v>
      </c>
      <c r="F18610" t="s">
        <v>4</v>
      </c>
      <c r="G18610" t="str">
        <f>""</f>
        <v/>
      </c>
    </row>
    <row r="18611" spans="1:7" x14ac:dyDescent="0.25">
      <c r="A18611" t="s">
        <v>8</v>
      </c>
      <c r="B18611" s="1" t="str">
        <f>"000360268 - RICH FOODS-SSS ARAMARK"</f>
        <v>000360268 - RICH FOODS-SSS ARAMARK</v>
      </c>
      <c r="C18611" t="s">
        <v>128</v>
      </c>
      <c r="D18611" s="1" t="str">
        <f t="shared" si="500"/>
        <v>PRG-1046491</v>
      </c>
      <c r="E18611" t="s">
        <v>129</v>
      </c>
      <c r="F18611" t="s">
        <v>4</v>
      </c>
      <c r="G18611" t="str">
        <f>""</f>
        <v/>
      </c>
    </row>
    <row r="18612" spans="1:7" x14ac:dyDescent="0.25">
      <c r="A18612" t="s">
        <v>8</v>
      </c>
      <c r="B18612" s="1" t="str">
        <f>"000361762 - CASA DEIBERTACCHI-SSS ARAMARK"</f>
        <v>000361762 - CASA DEIBERTACCHI-SSS ARAMARK</v>
      </c>
      <c r="C18612" t="s">
        <v>465</v>
      </c>
      <c r="D18612" s="1" t="str">
        <f t="shared" si="500"/>
        <v>PRG-1046491</v>
      </c>
      <c r="E18612" t="s">
        <v>129</v>
      </c>
      <c r="F18612" t="s">
        <v>4</v>
      </c>
      <c r="G18612" t="str">
        <f>""</f>
        <v/>
      </c>
    </row>
    <row r="18613" spans="1:7" x14ac:dyDescent="0.25">
      <c r="A18613" t="s">
        <v>8</v>
      </c>
      <c r="B18613" s="1" t="str">
        <f>"000361888 - RICH FOODS BAPA-SSS ARAMARK"</f>
        <v>000361888 - RICH FOODS BAPA-SSS ARAMARK</v>
      </c>
      <c r="C18613" t="s">
        <v>373</v>
      </c>
      <c r="D18613" s="1" t="str">
        <f t="shared" si="500"/>
        <v>PRG-1046491</v>
      </c>
      <c r="E18613" t="s">
        <v>129</v>
      </c>
      <c r="F18613" t="s">
        <v>4</v>
      </c>
      <c r="G18613" t="str">
        <f>""</f>
        <v/>
      </c>
    </row>
    <row r="18614" spans="1:7" x14ac:dyDescent="0.25">
      <c r="A18614" t="s">
        <v>8</v>
      </c>
      <c r="B18614" s="1" t="str">
        <f>"000363284 - RICH FOODS-SSS ARAMARK"</f>
        <v>000363284 - RICH FOODS-SSS ARAMARK</v>
      </c>
      <c r="C18614" t="s">
        <v>128</v>
      </c>
      <c r="D18614" s="1" t="str">
        <f t="shared" si="500"/>
        <v>PRG-1046491</v>
      </c>
      <c r="E18614" t="s">
        <v>129</v>
      </c>
      <c r="F18614" t="s">
        <v>4</v>
      </c>
      <c r="G18614" t="str">
        <f>""</f>
        <v/>
      </c>
    </row>
    <row r="18615" spans="1:7" x14ac:dyDescent="0.25">
      <c r="A18615" t="s">
        <v>8</v>
      </c>
      <c r="B18615" s="1" t="str">
        <f>"000365295 - RICH FOODS BAPA-SSS ARAMARK"</f>
        <v>000365295 - RICH FOODS BAPA-SSS ARAMARK</v>
      </c>
      <c r="C18615" t="s">
        <v>373</v>
      </c>
      <c r="D18615" s="1" t="str">
        <f t="shared" si="500"/>
        <v>PRG-1046491</v>
      </c>
      <c r="E18615" t="s">
        <v>129</v>
      </c>
      <c r="F18615" t="s">
        <v>4</v>
      </c>
      <c r="G18615" t="str">
        <f>""</f>
        <v/>
      </c>
    </row>
    <row r="18616" spans="1:7" x14ac:dyDescent="0.25">
      <c r="A18616" t="s">
        <v>8</v>
      </c>
      <c r="B18616" s="1" t="str">
        <f>"000365789 - CASA DEIBERTACCHI-SSS ARAMARK"</f>
        <v>000365789 - CASA DEIBERTACCHI-SSS ARAMARK</v>
      </c>
      <c r="C18616" t="s">
        <v>465</v>
      </c>
      <c r="D18616" s="1" t="str">
        <f t="shared" si="500"/>
        <v>PRG-1046491</v>
      </c>
      <c r="E18616" t="s">
        <v>129</v>
      </c>
      <c r="F18616" t="s">
        <v>4</v>
      </c>
      <c r="G18616" t="str">
        <f>""</f>
        <v/>
      </c>
    </row>
    <row r="18617" spans="1:7" x14ac:dyDescent="0.25">
      <c r="A18617" t="s">
        <v>8</v>
      </c>
      <c r="B18617" s="1" t="str">
        <f>"000367827 - RICH FOODS-SSS ARAMARK"</f>
        <v>000367827 - RICH FOODS-SSS ARAMARK</v>
      </c>
      <c r="C18617" t="s">
        <v>128</v>
      </c>
      <c r="D18617" s="1" t="str">
        <f t="shared" si="500"/>
        <v>PRG-1046491</v>
      </c>
      <c r="E18617" t="s">
        <v>129</v>
      </c>
      <c r="F18617" t="s">
        <v>4</v>
      </c>
      <c r="G18617" t="str">
        <f>""</f>
        <v/>
      </c>
    </row>
    <row r="18618" spans="1:7" x14ac:dyDescent="0.25">
      <c r="A18618" t="s">
        <v>8</v>
      </c>
      <c r="B18618" s="1" t="str">
        <f>"000370395 - CASA DIBERTACCHI-SSS ARAMARK"</f>
        <v>000370395 - CASA DIBERTACCHI-SSS ARAMARK</v>
      </c>
      <c r="C18618" t="s">
        <v>150</v>
      </c>
      <c r="D18618" s="1" t="str">
        <f t="shared" si="500"/>
        <v>PRG-1046491</v>
      </c>
      <c r="E18618" t="s">
        <v>129</v>
      </c>
      <c r="F18618" t="s">
        <v>4</v>
      </c>
      <c r="G18618" t="str">
        <f>""</f>
        <v/>
      </c>
    </row>
    <row r="18619" spans="1:7" x14ac:dyDescent="0.25">
      <c r="A18619" t="s">
        <v>8</v>
      </c>
      <c r="B18619" s="1" t="str">
        <f>"000370400 - RICH FOODS BAPA-SSS ARAMARK"</f>
        <v>000370400 - RICH FOODS BAPA-SSS ARAMARK</v>
      </c>
      <c r="C18619" t="s">
        <v>373</v>
      </c>
      <c r="D18619" s="1" t="str">
        <f t="shared" si="500"/>
        <v>PRG-1046491</v>
      </c>
      <c r="E18619" t="s">
        <v>129</v>
      </c>
      <c r="F18619" t="s">
        <v>4</v>
      </c>
      <c r="G18619" t="str">
        <f>""</f>
        <v/>
      </c>
    </row>
    <row r="18620" spans="1:7" x14ac:dyDescent="0.25">
      <c r="A18620" t="s">
        <v>8</v>
      </c>
      <c r="B18620" s="1" t="str">
        <f>"000374065 - RICH FOODS BAPA-SSS ARAMARK"</f>
        <v>000374065 - RICH FOODS BAPA-SSS ARAMARK</v>
      </c>
      <c r="C18620" t="s">
        <v>373</v>
      </c>
      <c r="D18620" s="1" t="str">
        <f t="shared" si="500"/>
        <v>PRG-1046491</v>
      </c>
      <c r="E18620" t="s">
        <v>129</v>
      </c>
      <c r="F18620" t="s">
        <v>4</v>
      </c>
      <c r="G18620" t="str">
        <f>""</f>
        <v/>
      </c>
    </row>
    <row r="18621" spans="1:7" x14ac:dyDescent="0.25">
      <c r="A18621" t="s">
        <v>8</v>
      </c>
      <c r="B18621" s="1" t="str">
        <f>"000374163 - CASA DEIBERTACCHI-SSS ARAMARK"</f>
        <v>000374163 - CASA DEIBERTACCHI-SSS ARAMARK</v>
      </c>
      <c r="C18621" t="s">
        <v>465</v>
      </c>
      <c r="D18621" s="1" t="str">
        <f t="shared" si="500"/>
        <v>PRG-1046491</v>
      </c>
      <c r="E18621" t="s">
        <v>129</v>
      </c>
      <c r="F18621" t="s">
        <v>4</v>
      </c>
      <c r="G18621" t="str">
        <f>""</f>
        <v/>
      </c>
    </row>
    <row r="18622" spans="1:7" x14ac:dyDescent="0.25">
      <c r="A18622" t="s">
        <v>8</v>
      </c>
      <c r="B18622" s="1" t="str">
        <f>"000376559 - RICH FOODS-SSS ARAMARK"</f>
        <v>000376559 - RICH FOODS-SSS ARAMARK</v>
      </c>
      <c r="C18622" t="s">
        <v>128</v>
      </c>
      <c r="D18622" s="1" t="str">
        <f t="shared" si="500"/>
        <v>PRG-1046491</v>
      </c>
      <c r="E18622" t="s">
        <v>129</v>
      </c>
      <c r="F18622" t="s">
        <v>4</v>
      </c>
      <c r="G18622" t="str">
        <f>""</f>
        <v/>
      </c>
    </row>
    <row r="18623" spans="1:7" x14ac:dyDescent="0.25">
      <c r="A18623" t="s">
        <v>8</v>
      </c>
      <c r="B18623" s="1" t="str">
        <f>"000377063 - RICH FOODS-SSS ARAMARK"</f>
        <v>000377063 - RICH FOODS-SSS ARAMARK</v>
      </c>
      <c r="C18623" t="s">
        <v>128</v>
      </c>
      <c r="D18623" s="1" t="str">
        <f t="shared" si="500"/>
        <v>PRG-1046491</v>
      </c>
      <c r="E18623" t="s">
        <v>129</v>
      </c>
      <c r="F18623" t="s">
        <v>4</v>
      </c>
      <c r="G18623" t="str">
        <f>""</f>
        <v/>
      </c>
    </row>
    <row r="18624" spans="1:7" x14ac:dyDescent="0.25">
      <c r="A18624" t="s">
        <v>8</v>
      </c>
      <c r="B18624" s="1" t="str">
        <f>"000378225 - CASA DEIBERTACCHI-SSS ARAMARK"</f>
        <v>000378225 - CASA DEIBERTACCHI-SSS ARAMARK</v>
      </c>
      <c r="C18624" t="s">
        <v>465</v>
      </c>
      <c r="D18624" s="1" t="str">
        <f t="shared" si="500"/>
        <v>PRG-1046491</v>
      </c>
      <c r="E18624" t="s">
        <v>129</v>
      </c>
      <c r="F18624" t="s">
        <v>4</v>
      </c>
      <c r="G18624" t="str">
        <f>""</f>
        <v/>
      </c>
    </row>
    <row r="18625" spans="1:7" x14ac:dyDescent="0.25">
      <c r="A18625" t="s">
        <v>8</v>
      </c>
      <c r="B18625" s="1" t="str">
        <f>"000379245 - RICH FOODS BAPA-SSS ARAMARK"</f>
        <v>000379245 - RICH FOODS BAPA-SSS ARAMARK</v>
      </c>
      <c r="C18625" t="s">
        <v>373</v>
      </c>
      <c r="D18625" s="1" t="str">
        <f t="shared" si="500"/>
        <v>PRG-1046491</v>
      </c>
      <c r="E18625" t="s">
        <v>129</v>
      </c>
      <c r="F18625" t="s">
        <v>4</v>
      </c>
      <c r="G18625" t="str">
        <f>""</f>
        <v/>
      </c>
    </row>
    <row r="18626" spans="1:7" x14ac:dyDescent="0.25">
      <c r="A18626" t="s">
        <v>8</v>
      </c>
      <c r="B18626" s="1" t="str">
        <f>"000380617 - RICH FOODS BAPA-SSS ARAMARK"</f>
        <v>000380617 - RICH FOODS BAPA-SSS ARAMARK</v>
      </c>
      <c r="C18626" t="s">
        <v>373</v>
      </c>
      <c r="D18626" s="1" t="str">
        <f t="shared" si="500"/>
        <v>PRG-1046491</v>
      </c>
      <c r="E18626" t="s">
        <v>129</v>
      </c>
      <c r="F18626" t="s">
        <v>4</v>
      </c>
      <c r="G18626" t="str">
        <f>""</f>
        <v/>
      </c>
    </row>
    <row r="18627" spans="1:7" x14ac:dyDescent="0.25">
      <c r="A18627" t="s">
        <v>8</v>
      </c>
      <c r="B18627" s="1" t="str">
        <f>"000382937 - RICH FOODS BAPA-SSS ARAMARK"</f>
        <v>000382937 - RICH FOODS BAPA-SSS ARAMARK</v>
      </c>
      <c r="C18627" t="s">
        <v>373</v>
      </c>
      <c r="D18627" s="1" t="str">
        <f t="shared" si="500"/>
        <v>PRG-1046491</v>
      </c>
      <c r="E18627" t="s">
        <v>129</v>
      </c>
      <c r="F18627" t="s">
        <v>4</v>
      </c>
      <c r="G18627" t="str">
        <f>""</f>
        <v/>
      </c>
    </row>
    <row r="18628" spans="1:7" x14ac:dyDescent="0.25">
      <c r="A18628" t="s">
        <v>8</v>
      </c>
      <c r="B18628" s="1" t="str">
        <f>"000383235 - RICH FOODS-SSS ARAMARK"</f>
        <v>000383235 - RICH FOODS-SSS ARAMARK</v>
      </c>
      <c r="C18628" t="s">
        <v>128</v>
      </c>
      <c r="D18628" s="1" t="str">
        <f t="shared" si="500"/>
        <v>PRG-1046491</v>
      </c>
      <c r="E18628" t="s">
        <v>129</v>
      </c>
      <c r="F18628" t="s">
        <v>4</v>
      </c>
      <c r="G18628" t="str">
        <f>""</f>
        <v/>
      </c>
    </row>
    <row r="18629" spans="1:7" x14ac:dyDescent="0.25">
      <c r="A18629" t="s">
        <v>8</v>
      </c>
      <c r="B18629" s="1" t="str">
        <f>"000384307 - RICH FOODS BAPA-SSS ARAMARK"</f>
        <v>000384307 - RICH FOODS BAPA-SSS ARAMARK</v>
      </c>
      <c r="C18629" t="s">
        <v>373</v>
      </c>
      <c r="D18629" s="1" t="str">
        <f t="shared" si="500"/>
        <v>PRG-1046491</v>
      </c>
      <c r="E18629" t="s">
        <v>129</v>
      </c>
      <c r="F18629" t="s">
        <v>4</v>
      </c>
      <c r="G18629" t="str">
        <f>""</f>
        <v/>
      </c>
    </row>
    <row r="18630" spans="1:7" x14ac:dyDescent="0.25">
      <c r="A18630" t="s">
        <v>8</v>
      </c>
      <c r="B18630" s="1" t="str">
        <f>"000384916 - RICH FOODS-SSS ARAMARK"</f>
        <v>000384916 - RICH FOODS-SSS ARAMARK</v>
      </c>
      <c r="C18630" t="s">
        <v>128</v>
      </c>
      <c r="D18630" s="1" t="str">
        <f t="shared" si="500"/>
        <v>PRG-1046491</v>
      </c>
      <c r="E18630" t="s">
        <v>129</v>
      </c>
      <c r="F18630" t="s">
        <v>4</v>
      </c>
      <c r="G18630" t="str">
        <f>""</f>
        <v/>
      </c>
    </row>
    <row r="18631" spans="1:7" x14ac:dyDescent="0.25">
      <c r="A18631" t="s">
        <v>8</v>
      </c>
      <c r="B18631" s="1" t="str">
        <f>"000386523 - CASA DEIBERTACCHI-SSS ARAMARK"</f>
        <v>000386523 - CASA DEIBERTACCHI-SSS ARAMARK</v>
      </c>
      <c r="C18631" t="s">
        <v>465</v>
      </c>
      <c r="D18631" s="1" t="str">
        <f t="shared" si="500"/>
        <v>PRG-1046491</v>
      </c>
      <c r="E18631" t="s">
        <v>129</v>
      </c>
      <c r="F18631" t="s">
        <v>4</v>
      </c>
      <c r="G18631" t="str">
        <f>""</f>
        <v/>
      </c>
    </row>
    <row r="18632" spans="1:7" x14ac:dyDescent="0.25">
      <c r="A18632" t="s">
        <v>8</v>
      </c>
      <c r="B18632" s="1" t="str">
        <f>"000387878 - RICH FOODS-SSS ARAMARK"</f>
        <v>000387878 - RICH FOODS-SSS ARAMARK</v>
      </c>
      <c r="C18632" t="s">
        <v>128</v>
      </c>
      <c r="D18632" s="1" t="str">
        <f t="shared" si="500"/>
        <v>PRG-1046491</v>
      </c>
      <c r="E18632" t="s">
        <v>129</v>
      </c>
      <c r="F18632" t="s">
        <v>4</v>
      </c>
      <c r="G18632" t="str">
        <f>""</f>
        <v/>
      </c>
    </row>
    <row r="18633" spans="1:7" x14ac:dyDescent="0.25">
      <c r="A18633" t="s">
        <v>8</v>
      </c>
      <c r="B18633" s="1" t="str">
        <f>"000388647 - CASA DEIBERTACCHI-SSS ARAMARK"</f>
        <v>000388647 - CASA DEIBERTACCHI-SSS ARAMARK</v>
      </c>
      <c r="C18633" t="s">
        <v>465</v>
      </c>
      <c r="D18633" s="1" t="str">
        <f t="shared" si="500"/>
        <v>PRG-1046491</v>
      </c>
      <c r="E18633" t="s">
        <v>129</v>
      </c>
      <c r="F18633" t="s">
        <v>4</v>
      </c>
      <c r="G18633" t="str">
        <f>""</f>
        <v/>
      </c>
    </row>
    <row r="18634" spans="1:7" x14ac:dyDescent="0.25">
      <c r="A18634" t="s">
        <v>8</v>
      </c>
      <c r="B18634" s="1" t="str">
        <f>"000388753 - RICH FOODS BAPA-SSS ARAMARK"</f>
        <v>000388753 - RICH FOODS BAPA-SSS ARAMARK</v>
      </c>
      <c r="C18634" t="s">
        <v>373</v>
      </c>
      <c r="D18634" s="1" t="str">
        <f t="shared" si="500"/>
        <v>PRG-1046491</v>
      </c>
      <c r="E18634" t="s">
        <v>129</v>
      </c>
      <c r="F18634" t="s">
        <v>4</v>
      </c>
      <c r="G18634" t="str">
        <f>""</f>
        <v/>
      </c>
    </row>
    <row r="18635" spans="1:7" x14ac:dyDescent="0.25">
      <c r="A18635" t="s">
        <v>8</v>
      </c>
      <c r="B18635" s="1" t="str">
        <f>"000390270 - CASA DEIBERTACCHI-SSS ARAMARK"</f>
        <v>000390270 - CASA DEIBERTACCHI-SSS ARAMARK</v>
      </c>
      <c r="C18635" t="s">
        <v>465</v>
      </c>
      <c r="D18635" s="1" t="str">
        <f t="shared" si="500"/>
        <v>PRG-1046491</v>
      </c>
      <c r="E18635" t="s">
        <v>129</v>
      </c>
      <c r="F18635" t="s">
        <v>4</v>
      </c>
      <c r="G18635" t="str">
        <f>""</f>
        <v/>
      </c>
    </row>
    <row r="18636" spans="1:7" x14ac:dyDescent="0.25">
      <c r="A18636" t="s">
        <v>8</v>
      </c>
      <c r="B18636" s="1" t="str">
        <f>"000391851 - CASA DEIBERTACCHI-SSS ARAMARK"</f>
        <v>000391851 - CASA DEIBERTACCHI-SSS ARAMARK</v>
      </c>
      <c r="C18636" t="s">
        <v>465</v>
      </c>
      <c r="D18636" s="1" t="str">
        <f t="shared" si="500"/>
        <v>PRG-1046491</v>
      </c>
      <c r="E18636" t="s">
        <v>129</v>
      </c>
      <c r="F18636" t="s">
        <v>4</v>
      </c>
      <c r="G18636" t="str">
        <f>""</f>
        <v/>
      </c>
    </row>
    <row r="18637" spans="1:7" x14ac:dyDescent="0.25">
      <c r="A18637" t="s">
        <v>8</v>
      </c>
      <c r="B18637" s="1" t="str">
        <f>"000398780 - RICH FOODS-SSS ARAMARK"</f>
        <v>000398780 - RICH FOODS-SSS ARAMARK</v>
      </c>
      <c r="C18637" t="s">
        <v>128</v>
      </c>
      <c r="D18637" s="1" t="str">
        <f t="shared" si="500"/>
        <v>PRG-1046491</v>
      </c>
      <c r="E18637" t="s">
        <v>129</v>
      </c>
      <c r="F18637" t="s">
        <v>4</v>
      </c>
      <c r="G18637" t="str">
        <f>""</f>
        <v/>
      </c>
    </row>
    <row r="18638" spans="1:7" x14ac:dyDescent="0.25">
      <c r="A18638" t="s">
        <v>8</v>
      </c>
      <c r="B18638" s="1" t="str">
        <f>"000401069 - CASA DEIBERTACCHI-SSS ARAMARK"</f>
        <v>000401069 - CASA DEIBERTACCHI-SSS ARAMARK</v>
      </c>
      <c r="C18638" t="s">
        <v>465</v>
      </c>
      <c r="D18638" s="1" t="str">
        <f t="shared" si="500"/>
        <v>PRG-1046491</v>
      </c>
      <c r="E18638" t="s">
        <v>129</v>
      </c>
      <c r="F18638" t="s">
        <v>4</v>
      </c>
      <c r="G18638" t="str">
        <f>""</f>
        <v/>
      </c>
    </row>
    <row r="18639" spans="1:7" x14ac:dyDescent="0.25">
      <c r="A18639" t="s">
        <v>8</v>
      </c>
      <c r="B18639" s="1" t="str">
        <f>"000401583 - RICH FOODS-SSS ARAMARK"</f>
        <v>000401583 - RICH FOODS-SSS ARAMARK</v>
      </c>
      <c r="C18639" t="s">
        <v>128</v>
      </c>
      <c r="D18639" s="1" t="str">
        <f t="shared" si="500"/>
        <v>PRG-1046491</v>
      </c>
      <c r="E18639" t="s">
        <v>129</v>
      </c>
      <c r="F18639" t="s">
        <v>4</v>
      </c>
      <c r="G18639" t="str">
        <f>""</f>
        <v/>
      </c>
    </row>
    <row r="18640" spans="1:7" x14ac:dyDescent="0.25">
      <c r="A18640" t="s">
        <v>8</v>
      </c>
      <c r="B18640" s="1" t="str">
        <f>"000401937 - RICH FOODS-SSS ARAMARK"</f>
        <v>000401937 - RICH FOODS-SSS ARAMARK</v>
      </c>
      <c r="C18640" t="s">
        <v>128</v>
      </c>
      <c r="D18640" s="1" t="str">
        <f t="shared" si="500"/>
        <v>PRG-1046491</v>
      </c>
      <c r="E18640" t="s">
        <v>129</v>
      </c>
      <c r="F18640" t="s">
        <v>4</v>
      </c>
      <c r="G18640" t="str">
        <f>""</f>
        <v/>
      </c>
    </row>
    <row r="18641" spans="1:7" x14ac:dyDescent="0.25">
      <c r="A18641" t="s">
        <v>8</v>
      </c>
      <c r="B18641" s="1" t="str">
        <f>"000406300 - RICH FOODS-SSS ARAMARK"</f>
        <v>000406300 - RICH FOODS-SSS ARAMARK</v>
      </c>
      <c r="C18641" t="s">
        <v>128</v>
      </c>
      <c r="D18641" s="1" t="str">
        <f t="shared" si="500"/>
        <v>PRG-1046491</v>
      </c>
      <c r="E18641" t="s">
        <v>129</v>
      </c>
      <c r="F18641" t="s">
        <v>4</v>
      </c>
      <c r="G18641" t="str">
        <f>""</f>
        <v/>
      </c>
    </row>
    <row r="18642" spans="1:7" x14ac:dyDescent="0.25">
      <c r="A18642" t="s">
        <v>8</v>
      </c>
      <c r="B18642" s="1" t="str">
        <f>"000407533 - RICH FOODS-SSS ARAMARK"</f>
        <v>000407533 - RICH FOODS-SSS ARAMARK</v>
      </c>
      <c r="C18642" t="s">
        <v>128</v>
      </c>
      <c r="D18642" s="1" t="str">
        <f t="shared" si="500"/>
        <v>PRG-1046491</v>
      </c>
      <c r="E18642" t="s">
        <v>129</v>
      </c>
      <c r="F18642" t="s">
        <v>4</v>
      </c>
      <c r="G18642" t="str">
        <f>""</f>
        <v/>
      </c>
    </row>
    <row r="18643" spans="1:7" x14ac:dyDescent="0.25">
      <c r="A18643" t="s">
        <v>8</v>
      </c>
      <c r="B18643" s="1" t="str">
        <f>"000410493 - RICH FOODS-SSS ARAMARK"</f>
        <v>000410493 - RICH FOODS-SSS ARAMARK</v>
      </c>
      <c r="C18643" t="s">
        <v>128</v>
      </c>
      <c r="D18643" s="1" t="str">
        <f t="shared" si="500"/>
        <v>PRG-1046491</v>
      </c>
      <c r="E18643" t="s">
        <v>129</v>
      </c>
      <c r="F18643" t="s">
        <v>4</v>
      </c>
      <c r="G18643" t="str">
        <f>""</f>
        <v/>
      </c>
    </row>
    <row r="18644" spans="1:7" x14ac:dyDescent="0.25">
      <c r="A18644" t="s">
        <v>8</v>
      </c>
      <c r="B18644" s="1" t="str">
        <f>"000415560 - CASA DEIBERTACCHI-SSS ARAMARK"</f>
        <v>000415560 - CASA DEIBERTACCHI-SSS ARAMARK</v>
      </c>
      <c r="C18644" t="s">
        <v>465</v>
      </c>
      <c r="D18644" s="1" t="str">
        <f t="shared" si="500"/>
        <v>PRG-1046491</v>
      </c>
      <c r="E18644" t="s">
        <v>129</v>
      </c>
      <c r="F18644" t="s">
        <v>4</v>
      </c>
      <c r="G18644" t="str">
        <f>""</f>
        <v/>
      </c>
    </row>
    <row r="18645" spans="1:7" x14ac:dyDescent="0.25">
      <c r="A18645" t="s">
        <v>8</v>
      </c>
      <c r="B18645" s="1" t="str">
        <f>"000424883 - RICH FOODS-SSS ARAMARK"</f>
        <v>000424883 - RICH FOODS-SSS ARAMARK</v>
      </c>
      <c r="C18645" t="s">
        <v>128</v>
      </c>
      <c r="D18645" s="1" t="str">
        <f t="shared" si="500"/>
        <v>PRG-1046491</v>
      </c>
      <c r="E18645" t="s">
        <v>129</v>
      </c>
      <c r="F18645" t="s">
        <v>4</v>
      </c>
      <c r="G18645" t="str">
        <f>""</f>
        <v/>
      </c>
    </row>
    <row r="18646" spans="1:7" x14ac:dyDescent="0.25">
      <c r="A18646" t="s">
        <v>8</v>
      </c>
      <c r="B18646" s="1" t="str">
        <f>"000425157 - RICH FOODS-SSS ARAMARK"</f>
        <v>000425157 - RICH FOODS-SSS ARAMARK</v>
      </c>
      <c r="C18646" t="s">
        <v>128</v>
      </c>
      <c r="D18646" s="1" t="str">
        <f t="shared" si="500"/>
        <v>PRG-1046491</v>
      </c>
      <c r="E18646" t="s">
        <v>129</v>
      </c>
      <c r="F18646" t="s">
        <v>4</v>
      </c>
      <c r="G18646" t="str">
        <f>""</f>
        <v/>
      </c>
    </row>
    <row r="18647" spans="1:7" x14ac:dyDescent="0.25">
      <c r="A18647" t="s">
        <v>8</v>
      </c>
      <c r="B18647" s="1" t="str">
        <f>"000029233 - CASA DIBERTACCHI-ARAMARK"</f>
        <v>000029233 - CASA DIBERTACCHI-ARAMARK</v>
      </c>
      <c r="C18647" t="s">
        <v>104</v>
      </c>
      <c r="D18647" s="1" t="str">
        <f t="shared" ref="D18647:D18666" si="501">"PRG-1046495"</f>
        <v>PRG-1046495</v>
      </c>
      <c r="E18647" t="s">
        <v>123</v>
      </c>
      <c r="F18647" t="s">
        <v>4</v>
      </c>
      <c r="G18647" t="str">
        <f>""</f>
        <v/>
      </c>
    </row>
    <row r="18648" spans="1:7" x14ac:dyDescent="0.25">
      <c r="A18648" t="s">
        <v>8</v>
      </c>
      <c r="B18648" s="1" t="str">
        <f>"000037516 - CASA DIBERTACCHI-ARAMARK"</f>
        <v>000037516 - CASA DIBERTACCHI-ARAMARK</v>
      </c>
      <c r="C18648" t="s">
        <v>104</v>
      </c>
      <c r="D18648" s="1" t="str">
        <f t="shared" si="501"/>
        <v>PRG-1046495</v>
      </c>
      <c r="E18648" t="s">
        <v>123</v>
      </c>
      <c r="F18648" t="s">
        <v>4</v>
      </c>
      <c r="G18648" t="str">
        <f>""</f>
        <v/>
      </c>
    </row>
    <row r="18649" spans="1:7" x14ac:dyDescent="0.25">
      <c r="A18649" t="s">
        <v>8</v>
      </c>
      <c r="B18649" s="1" t="str">
        <f>"000044120 - CASA DIBERTACCHI-ARAMARK"</f>
        <v>000044120 - CASA DIBERTACCHI-ARAMARK</v>
      </c>
      <c r="C18649" t="s">
        <v>104</v>
      </c>
      <c r="D18649" s="1" t="str">
        <f t="shared" si="501"/>
        <v>PRG-1046495</v>
      </c>
      <c r="E18649" t="s">
        <v>123</v>
      </c>
      <c r="F18649" t="s">
        <v>4</v>
      </c>
      <c r="G18649" t="str">
        <f>""</f>
        <v/>
      </c>
    </row>
    <row r="18650" spans="1:7" x14ac:dyDescent="0.25">
      <c r="A18650" t="s">
        <v>8</v>
      </c>
      <c r="B18650" s="1" t="str">
        <f>"000046393 - CASA DIBERTACCHI-ARAMARK"</f>
        <v>000046393 - CASA DIBERTACCHI-ARAMARK</v>
      </c>
      <c r="C18650" t="s">
        <v>104</v>
      </c>
      <c r="D18650" s="1" t="str">
        <f t="shared" si="501"/>
        <v>PRG-1046495</v>
      </c>
      <c r="E18650" t="s">
        <v>123</v>
      </c>
      <c r="F18650" t="s">
        <v>4</v>
      </c>
      <c r="G18650" t="str">
        <f>""</f>
        <v/>
      </c>
    </row>
    <row r="18651" spans="1:7" x14ac:dyDescent="0.25">
      <c r="A18651" t="s">
        <v>8</v>
      </c>
      <c r="B18651" s="1" t="str">
        <f>"000047852 - CASA DIBERTACCHI-ARAMARK"</f>
        <v>000047852 - CASA DIBERTACCHI-ARAMARK</v>
      </c>
      <c r="C18651" t="s">
        <v>104</v>
      </c>
      <c r="D18651" s="1" t="str">
        <f t="shared" si="501"/>
        <v>PRG-1046495</v>
      </c>
      <c r="E18651" t="s">
        <v>123</v>
      </c>
      <c r="F18651" t="s">
        <v>4</v>
      </c>
      <c r="G18651" t="str">
        <f>""</f>
        <v/>
      </c>
    </row>
    <row r="18652" spans="1:7" x14ac:dyDescent="0.25">
      <c r="A18652" t="s">
        <v>8</v>
      </c>
      <c r="B18652" s="1" t="str">
        <f>"000049417 - CASA DIBERTACCHI-ARAMARK"</f>
        <v>000049417 - CASA DIBERTACCHI-ARAMARK</v>
      </c>
      <c r="C18652" t="s">
        <v>104</v>
      </c>
      <c r="D18652" s="1" t="str">
        <f t="shared" si="501"/>
        <v>PRG-1046495</v>
      </c>
      <c r="E18652" t="s">
        <v>123</v>
      </c>
      <c r="F18652" t="s">
        <v>4</v>
      </c>
      <c r="G18652" t="str">
        <f>""</f>
        <v/>
      </c>
    </row>
    <row r="18653" spans="1:7" x14ac:dyDescent="0.25">
      <c r="A18653" t="s">
        <v>8</v>
      </c>
      <c r="B18653" s="1" t="str">
        <f>"000057268 - CASA DIBERTACCHI-ARAMARK"</f>
        <v>000057268 - CASA DIBERTACCHI-ARAMARK</v>
      </c>
      <c r="C18653" t="s">
        <v>104</v>
      </c>
      <c r="D18653" s="1" t="str">
        <f t="shared" si="501"/>
        <v>PRG-1046495</v>
      </c>
      <c r="E18653" t="s">
        <v>123</v>
      </c>
      <c r="F18653" t="s">
        <v>4</v>
      </c>
      <c r="G18653" t="str">
        <f>""</f>
        <v/>
      </c>
    </row>
    <row r="18654" spans="1:7" x14ac:dyDescent="0.25">
      <c r="A18654" t="s">
        <v>8</v>
      </c>
      <c r="B18654" s="1" t="str">
        <f>"000058120 - CASA DIBERTACCHI-ARAMARK"</f>
        <v>000058120 - CASA DIBERTACCHI-ARAMARK</v>
      </c>
      <c r="C18654" t="s">
        <v>104</v>
      </c>
      <c r="D18654" s="1" t="str">
        <f t="shared" si="501"/>
        <v>PRG-1046495</v>
      </c>
      <c r="E18654" t="s">
        <v>123</v>
      </c>
      <c r="F18654" t="s">
        <v>4</v>
      </c>
      <c r="G18654" t="str">
        <f>""</f>
        <v/>
      </c>
    </row>
    <row r="18655" spans="1:7" x14ac:dyDescent="0.25">
      <c r="A18655" t="s">
        <v>8</v>
      </c>
      <c r="B18655" s="1" t="str">
        <f>"000087907 - CASA DIBERTACCHI-ARAMARK"</f>
        <v>000087907 - CASA DIBERTACCHI-ARAMARK</v>
      </c>
      <c r="C18655" t="s">
        <v>104</v>
      </c>
      <c r="D18655" s="1" t="str">
        <f t="shared" si="501"/>
        <v>PRG-1046495</v>
      </c>
      <c r="E18655" t="s">
        <v>123</v>
      </c>
      <c r="F18655" t="s">
        <v>4</v>
      </c>
      <c r="G18655" t="str">
        <f>""</f>
        <v/>
      </c>
    </row>
    <row r="18656" spans="1:7" x14ac:dyDescent="0.25">
      <c r="A18656" t="s">
        <v>8</v>
      </c>
      <c r="B18656" s="1" t="str">
        <f>"000110456 - CASA DIBERTACCHI-ARAMARK"</f>
        <v>000110456 - CASA DIBERTACCHI-ARAMARK</v>
      </c>
      <c r="C18656" t="s">
        <v>104</v>
      </c>
      <c r="D18656" s="1" t="str">
        <f t="shared" si="501"/>
        <v>PRG-1046495</v>
      </c>
      <c r="E18656" t="s">
        <v>123</v>
      </c>
      <c r="F18656" t="s">
        <v>4</v>
      </c>
      <c r="G18656" t="str">
        <f>""</f>
        <v/>
      </c>
    </row>
    <row r="18657" spans="1:7" x14ac:dyDescent="0.25">
      <c r="A18657" t="s">
        <v>8</v>
      </c>
      <c r="B18657" s="1" t="str">
        <f>"000160419 - CASA DIBERTACCHI-ARAMARK"</f>
        <v>000160419 - CASA DIBERTACCHI-ARAMARK</v>
      </c>
      <c r="C18657" t="s">
        <v>104</v>
      </c>
      <c r="D18657" s="1" t="str">
        <f t="shared" si="501"/>
        <v>PRG-1046495</v>
      </c>
      <c r="E18657" t="s">
        <v>123</v>
      </c>
      <c r="F18657" t="s">
        <v>4</v>
      </c>
      <c r="G18657" t="str">
        <f>""</f>
        <v/>
      </c>
    </row>
    <row r="18658" spans="1:7" x14ac:dyDescent="0.25">
      <c r="A18658" t="s">
        <v>8</v>
      </c>
      <c r="B18658" s="1" t="str">
        <f>"000182511 - CASA DIBERTACCHI-ARAMARK"</f>
        <v>000182511 - CASA DIBERTACCHI-ARAMARK</v>
      </c>
      <c r="C18658" t="s">
        <v>104</v>
      </c>
      <c r="D18658" s="1" t="str">
        <f t="shared" si="501"/>
        <v>PRG-1046495</v>
      </c>
      <c r="E18658" t="s">
        <v>123</v>
      </c>
      <c r="F18658" t="s">
        <v>4</v>
      </c>
      <c r="G18658" t="str">
        <f>""</f>
        <v/>
      </c>
    </row>
    <row r="18659" spans="1:7" x14ac:dyDescent="0.25">
      <c r="A18659" t="s">
        <v>8</v>
      </c>
      <c r="B18659" s="1" t="str">
        <f>"000257700 - CASA DIBERTACCHI-ARAMARK"</f>
        <v>000257700 - CASA DIBERTACCHI-ARAMARK</v>
      </c>
      <c r="C18659" t="s">
        <v>104</v>
      </c>
      <c r="D18659" s="1" t="str">
        <f t="shared" si="501"/>
        <v>PRG-1046495</v>
      </c>
      <c r="E18659" t="s">
        <v>123</v>
      </c>
      <c r="F18659" t="s">
        <v>4</v>
      </c>
      <c r="G18659" t="str">
        <f>""</f>
        <v/>
      </c>
    </row>
    <row r="18660" spans="1:7" x14ac:dyDescent="0.25">
      <c r="A18660" t="s">
        <v>8</v>
      </c>
      <c r="B18660" s="1" t="str">
        <f>"000281514 - CASA DIBERTACCHI-ARAMARK"</f>
        <v>000281514 - CASA DIBERTACCHI-ARAMARK</v>
      </c>
      <c r="C18660" t="s">
        <v>104</v>
      </c>
      <c r="D18660" s="1" t="str">
        <f t="shared" si="501"/>
        <v>PRG-1046495</v>
      </c>
      <c r="E18660" t="s">
        <v>123</v>
      </c>
      <c r="F18660" t="s">
        <v>4</v>
      </c>
      <c r="G18660" t="str">
        <f>""</f>
        <v/>
      </c>
    </row>
    <row r="18661" spans="1:7" x14ac:dyDescent="0.25">
      <c r="A18661" t="s">
        <v>8</v>
      </c>
      <c r="B18661" s="1" t="str">
        <f>"000297376 - CASA DIBERTACCHI-ARAMARK"</f>
        <v>000297376 - CASA DIBERTACCHI-ARAMARK</v>
      </c>
      <c r="C18661" t="s">
        <v>104</v>
      </c>
      <c r="D18661" s="1" t="str">
        <f t="shared" si="501"/>
        <v>PRG-1046495</v>
      </c>
      <c r="E18661" t="s">
        <v>123</v>
      </c>
      <c r="F18661" t="s">
        <v>4</v>
      </c>
      <c r="G18661" t="str">
        <f>""</f>
        <v/>
      </c>
    </row>
    <row r="18662" spans="1:7" x14ac:dyDescent="0.25">
      <c r="A18662" t="s">
        <v>8</v>
      </c>
      <c r="B18662" s="1" t="str">
        <f>"000334134 - CASA DIBERTACCHI-ARAMARK"</f>
        <v>000334134 - CASA DIBERTACCHI-ARAMARK</v>
      </c>
      <c r="C18662" t="s">
        <v>104</v>
      </c>
      <c r="D18662" s="1" t="str">
        <f t="shared" si="501"/>
        <v>PRG-1046495</v>
      </c>
      <c r="E18662" t="s">
        <v>123</v>
      </c>
      <c r="F18662" t="s">
        <v>4</v>
      </c>
      <c r="G18662" t="str">
        <f>""</f>
        <v/>
      </c>
    </row>
    <row r="18663" spans="1:7" x14ac:dyDescent="0.25">
      <c r="A18663" t="s">
        <v>8</v>
      </c>
      <c r="B18663" s="1" t="str">
        <f>"000345292 - CASA DIBERTACCHI-ARAMARK"</f>
        <v>000345292 - CASA DIBERTACCHI-ARAMARK</v>
      </c>
      <c r="C18663" t="s">
        <v>104</v>
      </c>
      <c r="D18663" s="1" t="str">
        <f t="shared" si="501"/>
        <v>PRG-1046495</v>
      </c>
      <c r="E18663" t="s">
        <v>123</v>
      </c>
      <c r="F18663" t="s">
        <v>4</v>
      </c>
      <c r="G18663" t="str">
        <f>""</f>
        <v/>
      </c>
    </row>
    <row r="18664" spans="1:7" x14ac:dyDescent="0.25">
      <c r="A18664" t="s">
        <v>8</v>
      </c>
      <c r="B18664" s="1" t="str">
        <f>"000364873 - CASA DIBERTACCHI-ARAMARK"</f>
        <v>000364873 - CASA DIBERTACCHI-ARAMARK</v>
      </c>
      <c r="C18664" t="s">
        <v>104</v>
      </c>
      <c r="D18664" s="1" t="str">
        <f t="shared" si="501"/>
        <v>PRG-1046495</v>
      </c>
      <c r="E18664" t="s">
        <v>123</v>
      </c>
      <c r="F18664" t="s">
        <v>4</v>
      </c>
      <c r="G18664" t="str">
        <f>""</f>
        <v/>
      </c>
    </row>
    <row r="18665" spans="1:7" x14ac:dyDescent="0.25">
      <c r="A18665" t="s">
        <v>8</v>
      </c>
      <c r="B18665" s="1" t="str">
        <f>"000390870 - CASA DIBERTACCHI-ARAMARK"</f>
        <v>000390870 - CASA DIBERTACCHI-ARAMARK</v>
      </c>
      <c r="C18665" t="s">
        <v>104</v>
      </c>
      <c r="D18665" s="1" t="str">
        <f t="shared" si="501"/>
        <v>PRG-1046495</v>
      </c>
      <c r="E18665" t="s">
        <v>123</v>
      </c>
      <c r="F18665" t="s">
        <v>4</v>
      </c>
      <c r="G18665" t="str">
        <f>""</f>
        <v/>
      </c>
    </row>
    <row r="18666" spans="1:7" x14ac:dyDescent="0.25">
      <c r="A18666" t="s">
        <v>8</v>
      </c>
      <c r="B18666" s="1" t="str">
        <f>"000396708 - CASA DIBERTACCHI-ARAMARK"</f>
        <v>000396708 - CASA DIBERTACCHI-ARAMARK</v>
      </c>
      <c r="C18666" t="s">
        <v>104</v>
      </c>
      <c r="D18666" s="1" t="str">
        <f t="shared" si="501"/>
        <v>PRG-1046495</v>
      </c>
      <c r="E18666" t="s">
        <v>123</v>
      </c>
      <c r="F18666" t="s">
        <v>4</v>
      </c>
      <c r="G18666" t="str">
        <f>""</f>
        <v/>
      </c>
    </row>
    <row r="18667" spans="1:7" x14ac:dyDescent="0.25">
      <c r="A18667" t="s">
        <v>8</v>
      </c>
      <c r="B18667" s="1" t="str">
        <f>"000390069 - RICH HAYS USD"</f>
        <v>000390069 - RICH HAYS USD</v>
      </c>
      <c r="C18667" t="s">
        <v>3678</v>
      </c>
      <c r="D18667" s="1" t="str">
        <f>"PRG-1046503"</f>
        <v>PRG-1046503</v>
      </c>
      <c r="E18667" t="s">
        <v>3679</v>
      </c>
      <c r="F18667" t="s">
        <v>4</v>
      </c>
      <c r="G18667" t="str">
        <f>""</f>
        <v/>
      </c>
    </row>
    <row r="18668" spans="1:7" x14ac:dyDescent="0.25">
      <c r="A18668" t="s">
        <v>8</v>
      </c>
      <c r="B18668" s="1" t="str">
        <f>"6026HH04"</f>
        <v>6026HH04</v>
      </c>
      <c r="C18668" t="s">
        <v>5078</v>
      </c>
      <c r="D18668" s="1" t="str">
        <f>"PRG-1046532"</f>
        <v>PRG-1046532</v>
      </c>
      <c r="E18668" t="s">
        <v>5079</v>
      </c>
      <c r="F18668" t="s">
        <v>5</v>
      </c>
      <c r="G18668" t="str">
        <f>""</f>
        <v/>
      </c>
    </row>
    <row r="18669" spans="1:7" x14ac:dyDescent="0.25">
      <c r="A18669" t="s">
        <v>8</v>
      </c>
      <c r="B18669" s="1" t="str">
        <f>"000389470 - RICH KAHALA(BLIMPIE)"</f>
        <v>000389470 - RICH KAHALA(BLIMPIE)</v>
      </c>
      <c r="C18669" t="s">
        <v>3674</v>
      </c>
      <c r="D18669" s="1" t="str">
        <f>"PRG-1046569"</f>
        <v>PRG-1046569</v>
      </c>
      <c r="E18669" t="s">
        <v>3675</v>
      </c>
      <c r="F18669" t="s">
        <v>4</v>
      </c>
      <c r="G18669" t="str">
        <f>""</f>
        <v/>
      </c>
    </row>
    <row r="18670" spans="1:7" x14ac:dyDescent="0.25">
      <c r="A18670" t="s">
        <v>8</v>
      </c>
      <c r="B18670" s="1" t="str">
        <f>"41855"</f>
        <v>41855</v>
      </c>
      <c r="C18670" t="s">
        <v>5011</v>
      </c>
      <c r="D18670" s="1" t="str">
        <f>"PRG-1046569"</f>
        <v>PRG-1046569</v>
      </c>
      <c r="E18670" t="s">
        <v>3675</v>
      </c>
      <c r="F18670" t="s">
        <v>7</v>
      </c>
      <c r="G18670" t="str">
        <f>""</f>
        <v/>
      </c>
    </row>
    <row r="18671" spans="1:7" x14ac:dyDescent="0.25">
      <c r="A18671" t="s">
        <v>8</v>
      </c>
      <c r="B18671" s="1" t="str">
        <f>"000047296 - RICH FOODS-SKY ZONE"</f>
        <v>000047296 - RICH FOODS-SKY ZONE</v>
      </c>
      <c r="C18671" t="s">
        <v>630</v>
      </c>
      <c r="D18671" s="1" t="str">
        <f t="shared" ref="D18671:D18708" si="502">"PRG-1046572"</f>
        <v>PRG-1046572</v>
      </c>
      <c r="E18671" t="s">
        <v>631</v>
      </c>
      <c r="F18671" t="s">
        <v>4</v>
      </c>
      <c r="G18671" t="str">
        <f>""</f>
        <v/>
      </c>
    </row>
    <row r="18672" spans="1:7" x14ac:dyDescent="0.25">
      <c r="A18672" t="s">
        <v>8</v>
      </c>
      <c r="B18672" s="1" t="str">
        <f>"000056115 - RICH FOODS-SKY ZONE"</f>
        <v>000056115 - RICH FOODS-SKY ZONE</v>
      </c>
      <c r="C18672" t="s">
        <v>630</v>
      </c>
      <c r="D18672" s="1" t="str">
        <f t="shared" si="502"/>
        <v>PRG-1046572</v>
      </c>
      <c r="E18672" t="s">
        <v>631</v>
      </c>
      <c r="F18672" t="s">
        <v>4</v>
      </c>
      <c r="G18672" t="str">
        <f>""</f>
        <v/>
      </c>
    </row>
    <row r="18673" spans="1:7" x14ac:dyDescent="0.25">
      <c r="A18673" t="s">
        <v>8</v>
      </c>
      <c r="B18673" s="1" t="str">
        <f>"000192195 - RICH FOODS-SKY ZONE"</f>
        <v>000192195 - RICH FOODS-SKY ZONE</v>
      </c>
      <c r="C18673" t="s">
        <v>630</v>
      </c>
      <c r="D18673" s="1" t="str">
        <f t="shared" si="502"/>
        <v>PRG-1046572</v>
      </c>
      <c r="E18673" t="s">
        <v>631</v>
      </c>
      <c r="F18673" t="s">
        <v>4</v>
      </c>
      <c r="G18673" t="str">
        <f>""</f>
        <v/>
      </c>
    </row>
    <row r="18674" spans="1:7" x14ac:dyDescent="0.25">
      <c r="A18674" t="s">
        <v>8</v>
      </c>
      <c r="B18674" s="1" t="str">
        <f>"000233734 - RICH FOODS-SKY ZONE"</f>
        <v>000233734 - RICH FOODS-SKY ZONE</v>
      </c>
      <c r="C18674" t="s">
        <v>630</v>
      </c>
      <c r="D18674" s="1" t="str">
        <f t="shared" si="502"/>
        <v>PRG-1046572</v>
      </c>
      <c r="E18674" t="s">
        <v>631</v>
      </c>
      <c r="F18674" t="s">
        <v>4</v>
      </c>
      <c r="G18674" t="str">
        <f>""</f>
        <v/>
      </c>
    </row>
    <row r="18675" spans="1:7" x14ac:dyDescent="0.25">
      <c r="A18675" t="s">
        <v>8</v>
      </c>
      <c r="B18675" s="1" t="str">
        <f>"000255958 - RICH FOODS-SKY ZONE"</f>
        <v>000255958 - RICH FOODS-SKY ZONE</v>
      </c>
      <c r="C18675" t="s">
        <v>630</v>
      </c>
      <c r="D18675" s="1" t="str">
        <f t="shared" si="502"/>
        <v>PRG-1046572</v>
      </c>
      <c r="E18675" t="s">
        <v>631</v>
      </c>
      <c r="F18675" t="s">
        <v>4</v>
      </c>
      <c r="G18675" t="str">
        <f>""</f>
        <v/>
      </c>
    </row>
    <row r="18676" spans="1:7" x14ac:dyDescent="0.25">
      <c r="A18676" t="s">
        <v>8</v>
      </c>
      <c r="B18676" s="1" t="str">
        <f>"000261604 - RICH FOODS-SKY ZONE"</f>
        <v>000261604 - RICH FOODS-SKY ZONE</v>
      </c>
      <c r="C18676" t="s">
        <v>630</v>
      </c>
      <c r="D18676" s="1" t="str">
        <f t="shared" si="502"/>
        <v>PRG-1046572</v>
      </c>
      <c r="E18676" t="s">
        <v>631</v>
      </c>
      <c r="F18676" t="s">
        <v>4</v>
      </c>
      <c r="G18676" t="str">
        <f>""</f>
        <v/>
      </c>
    </row>
    <row r="18677" spans="1:7" x14ac:dyDescent="0.25">
      <c r="A18677" t="s">
        <v>8</v>
      </c>
      <c r="B18677" s="1" t="str">
        <f>"000266249 - RICH FOODS-SKY ZONE"</f>
        <v>000266249 - RICH FOODS-SKY ZONE</v>
      </c>
      <c r="C18677" t="s">
        <v>630</v>
      </c>
      <c r="D18677" s="1" t="str">
        <f t="shared" si="502"/>
        <v>PRG-1046572</v>
      </c>
      <c r="E18677" t="s">
        <v>631</v>
      </c>
      <c r="F18677" t="s">
        <v>4</v>
      </c>
      <c r="G18677" t="str">
        <f>""</f>
        <v/>
      </c>
    </row>
    <row r="18678" spans="1:7" x14ac:dyDescent="0.25">
      <c r="A18678" t="s">
        <v>8</v>
      </c>
      <c r="B18678" s="1" t="str">
        <f>"000267119 - RICH FOODS-SKY ZONE"</f>
        <v>000267119 - RICH FOODS-SKY ZONE</v>
      </c>
      <c r="C18678" t="s">
        <v>630</v>
      </c>
      <c r="D18678" s="1" t="str">
        <f t="shared" si="502"/>
        <v>PRG-1046572</v>
      </c>
      <c r="E18678" t="s">
        <v>631</v>
      </c>
      <c r="F18678" t="s">
        <v>4</v>
      </c>
      <c r="G18678" t="str">
        <f>""</f>
        <v/>
      </c>
    </row>
    <row r="18679" spans="1:7" x14ac:dyDescent="0.25">
      <c r="A18679" t="s">
        <v>8</v>
      </c>
      <c r="B18679" s="1" t="str">
        <f>"000269094 - RICH FOODS-SKY ZONE"</f>
        <v>000269094 - RICH FOODS-SKY ZONE</v>
      </c>
      <c r="C18679" t="s">
        <v>630</v>
      </c>
      <c r="D18679" s="1" t="str">
        <f t="shared" si="502"/>
        <v>PRG-1046572</v>
      </c>
      <c r="E18679" t="s">
        <v>631</v>
      </c>
      <c r="F18679" t="s">
        <v>4</v>
      </c>
      <c r="G18679" t="str">
        <f>""</f>
        <v/>
      </c>
    </row>
    <row r="18680" spans="1:7" x14ac:dyDescent="0.25">
      <c r="A18680" t="s">
        <v>8</v>
      </c>
      <c r="B18680" s="1" t="str">
        <f>"000272764 - RICH FOODS-SKY ZONE"</f>
        <v>000272764 - RICH FOODS-SKY ZONE</v>
      </c>
      <c r="C18680" t="s">
        <v>630</v>
      </c>
      <c r="D18680" s="1" t="str">
        <f t="shared" si="502"/>
        <v>PRG-1046572</v>
      </c>
      <c r="E18680" t="s">
        <v>631</v>
      </c>
      <c r="F18680" t="s">
        <v>4</v>
      </c>
      <c r="G18680" t="str">
        <f>""</f>
        <v/>
      </c>
    </row>
    <row r="18681" spans="1:7" x14ac:dyDescent="0.25">
      <c r="A18681" t="s">
        <v>8</v>
      </c>
      <c r="B18681" s="1" t="str">
        <f>"000275126 - RICH'S SKY ZONE  #104227"</f>
        <v>000275126 - RICH'S SKY ZONE  #104227</v>
      </c>
      <c r="C18681" t="s">
        <v>2556</v>
      </c>
      <c r="D18681" s="1" t="str">
        <f t="shared" si="502"/>
        <v>PRG-1046572</v>
      </c>
      <c r="E18681" t="s">
        <v>631</v>
      </c>
      <c r="F18681" t="s">
        <v>4</v>
      </c>
      <c r="G18681" t="str">
        <f>""</f>
        <v/>
      </c>
    </row>
    <row r="18682" spans="1:7" x14ac:dyDescent="0.25">
      <c r="A18682" t="s">
        <v>8</v>
      </c>
      <c r="B18682" s="1" t="str">
        <f>"000280735 - RICH FOODS-SKY ZONE"</f>
        <v>000280735 - RICH FOODS-SKY ZONE</v>
      </c>
      <c r="C18682" t="s">
        <v>630</v>
      </c>
      <c r="D18682" s="1" t="str">
        <f t="shared" si="502"/>
        <v>PRG-1046572</v>
      </c>
      <c r="E18682" t="s">
        <v>631</v>
      </c>
      <c r="F18682" t="s">
        <v>4</v>
      </c>
      <c r="G18682" t="str">
        <f>""</f>
        <v/>
      </c>
    </row>
    <row r="18683" spans="1:7" x14ac:dyDescent="0.25">
      <c r="A18683" t="s">
        <v>8</v>
      </c>
      <c r="B18683" s="1" t="str">
        <f>"000281717 - RICH FOODS-SKY ZONE"</f>
        <v>000281717 - RICH FOODS-SKY ZONE</v>
      </c>
      <c r="C18683" t="s">
        <v>630</v>
      </c>
      <c r="D18683" s="1" t="str">
        <f t="shared" si="502"/>
        <v>PRG-1046572</v>
      </c>
      <c r="E18683" t="s">
        <v>631</v>
      </c>
      <c r="F18683" t="s">
        <v>4</v>
      </c>
      <c r="G18683" t="str">
        <f>""</f>
        <v/>
      </c>
    </row>
    <row r="18684" spans="1:7" x14ac:dyDescent="0.25">
      <c r="A18684" t="s">
        <v>8</v>
      </c>
      <c r="B18684" s="1" t="str">
        <f>"000281783 - RICH'S SKY ZONE CAKE PROMO"</f>
        <v>000281783 - RICH'S SKY ZONE CAKE PROMO</v>
      </c>
      <c r="C18684" t="s">
        <v>2656</v>
      </c>
      <c r="D18684" s="1" t="str">
        <f t="shared" si="502"/>
        <v>PRG-1046572</v>
      </c>
      <c r="E18684" t="s">
        <v>631</v>
      </c>
      <c r="F18684" t="s">
        <v>4</v>
      </c>
      <c r="G18684" t="str">
        <f>""</f>
        <v/>
      </c>
    </row>
    <row r="18685" spans="1:7" x14ac:dyDescent="0.25">
      <c r="A18685" t="s">
        <v>8</v>
      </c>
      <c r="B18685" s="1" t="str">
        <f>"000284158 - RICH FOODS-SKY ZONE"</f>
        <v>000284158 - RICH FOODS-SKY ZONE</v>
      </c>
      <c r="C18685" t="s">
        <v>630</v>
      </c>
      <c r="D18685" s="1" t="str">
        <f t="shared" si="502"/>
        <v>PRG-1046572</v>
      </c>
      <c r="E18685" t="s">
        <v>631</v>
      </c>
      <c r="F18685" t="s">
        <v>4</v>
      </c>
      <c r="G18685" t="str">
        <f>""</f>
        <v/>
      </c>
    </row>
    <row r="18686" spans="1:7" x14ac:dyDescent="0.25">
      <c r="A18686" t="s">
        <v>8</v>
      </c>
      <c r="B18686" s="1" t="str">
        <f>"000285732 - RICH FOODS-SKY ZONE"</f>
        <v>000285732 - RICH FOODS-SKY ZONE</v>
      </c>
      <c r="C18686" t="s">
        <v>630</v>
      </c>
      <c r="D18686" s="1" t="str">
        <f t="shared" si="502"/>
        <v>PRG-1046572</v>
      </c>
      <c r="E18686" t="s">
        <v>631</v>
      </c>
      <c r="F18686" t="s">
        <v>4</v>
      </c>
      <c r="G18686" t="str">
        <f>""</f>
        <v/>
      </c>
    </row>
    <row r="18687" spans="1:7" x14ac:dyDescent="0.25">
      <c r="A18687" t="s">
        <v>8</v>
      </c>
      <c r="B18687" s="1" t="str">
        <f>"000285741 - RICH FOODS-SKY ZONE"</f>
        <v>000285741 - RICH FOODS-SKY ZONE</v>
      </c>
      <c r="C18687" t="s">
        <v>630</v>
      </c>
      <c r="D18687" s="1" t="str">
        <f t="shared" si="502"/>
        <v>PRG-1046572</v>
      </c>
      <c r="E18687" t="s">
        <v>631</v>
      </c>
      <c r="F18687" t="s">
        <v>4</v>
      </c>
      <c r="G18687" t="str">
        <f>""</f>
        <v/>
      </c>
    </row>
    <row r="18688" spans="1:7" x14ac:dyDescent="0.25">
      <c r="A18688" t="s">
        <v>8</v>
      </c>
      <c r="B18688" s="1" t="str">
        <f>"000285950 - RICH FOODS-SKY ZONE"</f>
        <v>000285950 - RICH FOODS-SKY ZONE</v>
      </c>
      <c r="C18688" t="s">
        <v>630</v>
      </c>
      <c r="D18688" s="1" t="str">
        <f t="shared" si="502"/>
        <v>PRG-1046572</v>
      </c>
      <c r="E18688" t="s">
        <v>631</v>
      </c>
      <c r="F18688" t="s">
        <v>4</v>
      </c>
      <c r="G18688" t="str">
        <f>""</f>
        <v/>
      </c>
    </row>
    <row r="18689" spans="1:7" x14ac:dyDescent="0.25">
      <c r="A18689" t="s">
        <v>8</v>
      </c>
      <c r="B18689" s="1" t="str">
        <f>"000287028 - RICH'S SKYZONE FREE CAKE"</f>
        <v>000287028 - RICH'S SKYZONE FREE CAKE</v>
      </c>
      <c r="C18689" t="s">
        <v>2748</v>
      </c>
      <c r="D18689" s="1" t="str">
        <f t="shared" si="502"/>
        <v>PRG-1046572</v>
      </c>
      <c r="E18689" t="s">
        <v>631</v>
      </c>
      <c r="F18689" t="s">
        <v>4</v>
      </c>
      <c r="G18689" t="str">
        <f>""</f>
        <v/>
      </c>
    </row>
    <row r="18690" spans="1:7" x14ac:dyDescent="0.25">
      <c r="A18690" t="s">
        <v>8</v>
      </c>
      <c r="B18690" s="1" t="str">
        <f>"000288209 - RICH FOODS-SKY ZONE"</f>
        <v>000288209 - RICH FOODS-SKY ZONE</v>
      </c>
      <c r="C18690" t="s">
        <v>630</v>
      </c>
      <c r="D18690" s="1" t="str">
        <f t="shared" si="502"/>
        <v>PRG-1046572</v>
      </c>
      <c r="E18690" t="s">
        <v>631</v>
      </c>
      <c r="F18690" t="s">
        <v>4</v>
      </c>
      <c r="G18690" t="str">
        <f>""</f>
        <v/>
      </c>
    </row>
    <row r="18691" spans="1:7" x14ac:dyDescent="0.25">
      <c r="A18691" t="s">
        <v>8</v>
      </c>
      <c r="B18691" s="1" t="str">
        <f>"000289453 - RICH FOODS-SKY ZONE"</f>
        <v>000289453 - RICH FOODS-SKY ZONE</v>
      </c>
      <c r="C18691" t="s">
        <v>630</v>
      </c>
      <c r="D18691" s="1" t="str">
        <f t="shared" si="502"/>
        <v>PRG-1046572</v>
      </c>
      <c r="E18691" t="s">
        <v>631</v>
      </c>
      <c r="F18691" t="s">
        <v>4</v>
      </c>
      <c r="G18691" t="str">
        <f>""</f>
        <v/>
      </c>
    </row>
    <row r="18692" spans="1:7" x14ac:dyDescent="0.25">
      <c r="A18692" t="s">
        <v>8</v>
      </c>
      <c r="B18692" s="1" t="str">
        <f>"000290855 - RICH FOODS-SKY ZONE"</f>
        <v>000290855 - RICH FOODS-SKY ZONE</v>
      </c>
      <c r="C18692" t="s">
        <v>630</v>
      </c>
      <c r="D18692" s="1" t="str">
        <f t="shared" si="502"/>
        <v>PRG-1046572</v>
      </c>
      <c r="E18692" t="s">
        <v>631</v>
      </c>
      <c r="F18692" t="s">
        <v>4</v>
      </c>
      <c r="G18692" t="str">
        <f>""</f>
        <v/>
      </c>
    </row>
    <row r="18693" spans="1:7" x14ac:dyDescent="0.25">
      <c r="A18693" t="s">
        <v>8</v>
      </c>
      <c r="B18693" s="1" t="str">
        <f>"000294599 - RICH FOODS-SKY ZONE"</f>
        <v>000294599 - RICH FOODS-SKY ZONE</v>
      </c>
      <c r="C18693" t="s">
        <v>630</v>
      </c>
      <c r="D18693" s="1" t="str">
        <f t="shared" si="502"/>
        <v>PRG-1046572</v>
      </c>
      <c r="E18693" t="s">
        <v>631</v>
      </c>
      <c r="F18693" t="s">
        <v>4</v>
      </c>
      <c r="G18693" t="str">
        <f>""</f>
        <v/>
      </c>
    </row>
    <row r="18694" spans="1:7" x14ac:dyDescent="0.25">
      <c r="A18694" t="s">
        <v>8</v>
      </c>
      <c r="B18694" s="1" t="str">
        <f>"000301789 - RICH FOODS-SKY ZONE"</f>
        <v>000301789 - RICH FOODS-SKY ZONE</v>
      </c>
      <c r="C18694" t="s">
        <v>630</v>
      </c>
      <c r="D18694" s="1" t="str">
        <f t="shared" si="502"/>
        <v>PRG-1046572</v>
      </c>
      <c r="E18694" t="s">
        <v>631</v>
      </c>
      <c r="F18694" t="s">
        <v>4</v>
      </c>
      <c r="G18694" t="str">
        <f>""</f>
        <v/>
      </c>
    </row>
    <row r="18695" spans="1:7" x14ac:dyDescent="0.25">
      <c r="A18695" t="s">
        <v>8</v>
      </c>
      <c r="B18695" s="1" t="str">
        <f>"000303594 - RICH FOODS-SKY ZONE"</f>
        <v>000303594 - RICH FOODS-SKY ZONE</v>
      </c>
      <c r="C18695" t="s">
        <v>630</v>
      </c>
      <c r="D18695" s="1" t="str">
        <f t="shared" si="502"/>
        <v>PRG-1046572</v>
      </c>
      <c r="E18695" t="s">
        <v>631</v>
      </c>
      <c r="F18695" t="s">
        <v>4</v>
      </c>
      <c r="G18695" t="str">
        <f>""</f>
        <v/>
      </c>
    </row>
    <row r="18696" spans="1:7" x14ac:dyDescent="0.25">
      <c r="A18696" t="s">
        <v>8</v>
      </c>
      <c r="B18696" s="1" t="str">
        <f>"000308086 - RICH FOODS-SKY ZONE"</f>
        <v>000308086 - RICH FOODS-SKY ZONE</v>
      </c>
      <c r="C18696" t="s">
        <v>630</v>
      </c>
      <c r="D18696" s="1" t="str">
        <f t="shared" si="502"/>
        <v>PRG-1046572</v>
      </c>
      <c r="E18696" t="s">
        <v>631</v>
      </c>
      <c r="F18696" t="s">
        <v>4</v>
      </c>
      <c r="G18696" t="str">
        <f>""</f>
        <v/>
      </c>
    </row>
    <row r="18697" spans="1:7" x14ac:dyDescent="0.25">
      <c r="A18697" t="s">
        <v>8</v>
      </c>
      <c r="B18697" s="1" t="str">
        <f>"000310658 - RICH FOODS-SKY ZONE"</f>
        <v>000310658 - RICH FOODS-SKY ZONE</v>
      </c>
      <c r="C18697" t="s">
        <v>630</v>
      </c>
      <c r="D18697" s="1" t="str">
        <f t="shared" si="502"/>
        <v>PRG-1046572</v>
      </c>
      <c r="E18697" t="s">
        <v>631</v>
      </c>
      <c r="F18697" t="s">
        <v>4</v>
      </c>
      <c r="G18697" t="str">
        <f>""</f>
        <v/>
      </c>
    </row>
    <row r="18698" spans="1:7" x14ac:dyDescent="0.25">
      <c r="A18698" t="s">
        <v>8</v>
      </c>
      <c r="B18698" s="1" t="str">
        <f>"000312922 - RICH FOODS-SKY ZONE"</f>
        <v>000312922 - RICH FOODS-SKY ZONE</v>
      </c>
      <c r="C18698" t="s">
        <v>630</v>
      </c>
      <c r="D18698" s="1" t="str">
        <f t="shared" si="502"/>
        <v>PRG-1046572</v>
      </c>
      <c r="E18698" t="s">
        <v>631</v>
      </c>
      <c r="F18698" t="s">
        <v>4</v>
      </c>
      <c r="G18698" t="str">
        <f>""</f>
        <v/>
      </c>
    </row>
    <row r="18699" spans="1:7" x14ac:dyDescent="0.25">
      <c r="A18699" t="s">
        <v>8</v>
      </c>
      <c r="B18699" s="1" t="str">
        <f>"000314653 - RICH FOODS-SKY ZONE"</f>
        <v>000314653 - RICH FOODS-SKY ZONE</v>
      </c>
      <c r="C18699" t="s">
        <v>630</v>
      </c>
      <c r="D18699" s="1" t="str">
        <f t="shared" si="502"/>
        <v>PRG-1046572</v>
      </c>
      <c r="E18699" t="s">
        <v>631</v>
      </c>
      <c r="F18699" t="s">
        <v>4</v>
      </c>
      <c r="G18699" t="str">
        <f>""</f>
        <v/>
      </c>
    </row>
    <row r="18700" spans="1:7" x14ac:dyDescent="0.25">
      <c r="A18700" t="s">
        <v>8</v>
      </c>
      <c r="B18700" s="1" t="str">
        <f>"000316291 - RICH FOODS-SKY ZONE"</f>
        <v>000316291 - RICH FOODS-SKY ZONE</v>
      </c>
      <c r="C18700" t="s">
        <v>630</v>
      </c>
      <c r="D18700" s="1" t="str">
        <f t="shared" si="502"/>
        <v>PRG-1046572</v>
      </c>
      <c r="E18700" t="s">
        <v>631</v>
      </c>
      <c r="F18700" t="s">
        <v>4</v>
      </c>
      <c r="G18700" t="str">
        <f>""</f>
        <v/>
      </c>
    </row>
    <row r="18701" spans="1:7" x14ac:dyDescent="0.25">
      <c r="A18701" t="s">
        <v>8</v>
      </c>
      <c r="B18701" s="1" t="str">
        <f>"000320129 - RICH CC-SKY ZONE"</f>
        <v>000320129 - RICH CC-SKY ZONE</v>
      </c>
      <c r="C18701" t="s">
        <v>3237</v>
      </c>
      <c r="D18701" s="1" t="str">
        <f t="shared" si="502"/>
        <v>PRG-1046572</v>
      </c>
      <c r="E18701" t="s">
        <v>631</v>
      </c>
      <c r="F18701" t="s">
        <v>4</v>
      </c>
      <c r="G18701" t="str">
        <f>""</f>
        <v/>
      </c>
    </row>
    <row r="18702" spans="1:7" x14ac:dyDescent="0.25">
      <c r="A18702" t="s">
        <v>8</v>
      </c>
      <c r="B18702" s="1" t="str">
        <f>"000321093 - RICH FOODS-SKY ZONE"</f>
        <v>000321093 - RICH FOODS-SKY ZONE</v>
      </c>
      <c r="C18702" t="s">
        <v>630</v>
      </c>
      <c r="D18702" s="1" t="str">
        <f t="shared" si="502"/>
        <v>PRG-1046572</v>
      </c>
      <c r="E18702" t="s">
        <v>631</v>
      </c>
      <c r="F18702" t="s">
        <v>4</v>
      </c>
      <c r="G18702" t="str">
        <f>""</f>
        <v/>
      </c>
    </row>
    <row r="18703" spans="1:7" x14ac:dyDescent="0.25">
      <c r="A18703" t="s">
        <v>8</v>
      </c>
      <c r="B18703" s="1" t="str">
        <f>"000322386 - RICH FOODS-SKY ZONE"</f>
        <v>000322386 - RICH FOODS-SKY ZONE</v>
      </c>
      <c r="C18703" t="s">
        <v>630</v>
      </c>
      <c r="D18703" s="1" t="str">
        <f t="shared" si="502"/>
        <v>PRG-1046572</v>
      </c>
      <c r="E18703" t="s">
        <v>631</v>
      </c>
      <c r="F18703" t="s">
        <v>4</v>
      </c>
      <c r="G18703" t="str">
        <f>""</f>
        <v/>
      </c>
    </row>
    <row r="18704" spans="1:7" x14ac:dyDescent="0.25">
      <c r="A18704" t="s">
        <v>8</v>
      </c>
      <c r="B18704" s="1" t="str">
        <f>"000342031 - RICH FOODS-SKY ZONE"</f>
        <v>000342031 - RICH FOODS-SKY ZONE</v>
      </c>
      <c r="C18704" t="s">
        <v>630</v>
      </c>
      <c r="D18704" s="1" t="str">
        <f t="shared" si="502"/>
        <v>PRG-1046572</v>
      </c>
      <c r="E18704" t="s">
        <v>631</v>
      </c>
      <c r="F18704" t="s">
        <v>4</v>
      </c>
      <c r="G18704" t="str">
        <f>""</f>
        <v/>
      </c>
    </row>
    <row r="18705" spans="1:7" x14ac:dyDescent="0.25">
      <c r="A18705" t="s">
        <v>8</v>
      </c>
      <c r="B18705" s="1" t="str">
        <f>"000349310 - RICH FOODS-SKY ZONE"</f>
        <v>000349310 - RICH FOODS-SKY ZONE</v>
      </c>
      <c r="C18705" t="s">
        <v>630</v>
      </c>
      <c r="D18705" s="1" t="str">
        <f t="shared" si="502"/>
        <v>PRG-1046572</v>
      </c>
      <c r="E18705" t="s">
        <v>631</v>
      </c>
      <c r="F18705" t="s">
        <v>4</v>
      </c>
      <c r="G18705" t="str">
        <f>""</f>
        <v/>
      </c>
    </row>
    <row r="18706" spans="1:7" x14ac:dyDescent="0.25">
      <c r="A18706" t="s">
        <v>8</v>
      </c>
      <c r="B18706" s="1" t="str">
        <f>"000382040 - RICH FOODS-SKY ZONE"</f>
        <v>000382040 - RICH FOODS-SKY ZONE</v>
      </c>
      <c r="C18706" t="s">
        <v>630</v>
      </c>
      <c r="D18706" s="1" t="str">
        <f t="shared" si="502"/>
        <v>PRG-1046572</v>
      </c>
      <c r="E18706" t="s">
        <v>631</v>
      </c>
      <c r="F18706" t="s">
        <v>4</v>
      </c>
      <c r="G18706" t="str">
        <f>""</f>
        <v/>
      </c>
    </row>
    <row r="18707" spans="1:7" x14ac:dyDescent="0.25">
      <c r="A18707" t="s">
        <v>8</v>
      </c>
      <c r="B18707" s="1" t="str">
        <f>"000396414 - RICH FOODS-SKY ZONE"</f>
        <v>000396414 - RICH FOODS-SKY ZONE</v>
      </c>
      <c r="C18707" t="s">
        <v>630</v>
      </c>
      <c r="D18707" s="1" t="str">
        <f t="shared" si="502"/>
        <v>PRG-1046572</v>
      </c>
      <c r="E18707" t="s">
        <v>631</v>
      </c>
      <c r="F18707" t="s">
        <v>4</v>
      </c>
      <c r="G18707" t="str">
        <f>""</f>
        <v/>
      </c>
    </row>
    <row r="18708" spans="1:7" x14ac:dyDescent="0.25">
      <c r="A18708" t="s">
        <v>8</v>
      </c>
      <c r="B18708" s="1" t="str">
        <f>"000432993 - RICH FOODS-SKY ZONE"</f>
        <v>000432993 - RICH FOODS-SKY ZONE</v>
      </c>
      <c r="C18708" t="s">
        <v>630</v>
      </c>
      <c r="D18708" s="1" t="str">
        <f t="shared" si="502"/>
        <v>PRG-1046572</v>
      </c>
      <c r="E18708" t="s">
        <v>631</v>
      </c>
      <c r="F18708" t="s">
        <v>4</v>
      </c>
      <c r="G18708" t="str">
        <f>""</f>
        <v/>
      </c>
    </row>
    <row r="18709" spans="1:7" x14ac:dyDescent="0.25">
      <c r="A18709" t="s">
        <v>8</v>
      </c>
      <c r="B18709" s="1" t="str">
        <f>"2020"</f>
        <v>2020</v>
      </c>
      <c r="C18709" t="s">
        <v>4096</v>
      </c>
      <c r="D18709" s="1" t="str">
        <f>"PRG-1046581"</f>
        <v>PRG-1046581</v>
      </c>
      <c r="E18709" t="s">
        <v>4097</v>
      </c>
      <c r="F18709" t="s">
        <v>7</v>
      </c>
      <c r="G18709" t="str">
        <f>""</f>
        <v/>
      </c>
    </row>
    <row r="18710" spans="1:7" x14ac:dyDescent="0.25">
      <c r="A18710" t="s">
        <v>8</v>
      </c>
      <c r="B18710" s="1" t="str">
        <f>"000056241 - RICH'S COIN CRAZY"</f>
        <v>000056241 - RICH'S COIN CRAZY</v>
      </c>
      <c r="C18710" t="s">
        <v>685</v>
      </c>
      <c r="D18710" s="1" t="str">
        <f>"PRG-1046591"</f>
        <v>PRG-1046591</v>
      </c>
      <c r="E18710" t="s">
        <v>686</v>
      </c>
      <c r="F18710" t="s">
        <v>4</v>
      </c>
      <c r="G18710" t="str">
        <f>""</f>
        <v/>
      </c>
    </row>
    <row r="18711" spans="1:7" x14ac:dyDescent="0.25">
      <c r="A18711" t="s">
        <v>8</v>
      </c>
      <c r="B18711" s="1" t="str">
        <f>"000352654 - RICH FOODS-CHICO USD"</f>
        <v>000352654 - RICH FOODS-CHICO USD</v>
      </c>
      <c r="C18711" t="s">
        <v>3523</v>
      </c>
      <c r="D18711" s="1" t="str">
        <f>"PRG-1046603"</f>
        <v>PRG-1046603</v>
      </c>
      <c r="E18711" t="s">
        <v>3524</v>
      </c>
      <c r="F18711" t="s">
        <v>4</v>
      </c>
      <c r="G18711" t="str">
        <f>""</f>
        <v/>
      </c>
    </row>
    <row r="18712" spans="1:7" x14ac:dyDescent="0.25">
      <c r="A18712" t="s">
        <v>8</v>
      </c>
      <c r="B18712" s="1" t="str">
        <f>"000004148 - RICH FOODS-DOT COLDSTONE"</f>
        <v>000004148 - RICH FOODS-DOT COLDSTONE</v>
      </c>
      <c r="C18712" t="s">
        <v>192</v>
      </c>
      <c r="D18712" s="1" t="str">
        <f t="shared" ref="D18712:D18743" si="503">"PRG-1046630"</f>
        <v>PRG-1046630</v>
      </c>
      <c r="E18712" t="s">
        <v>132</v>
      </c>
      <c r="F18712" t="s">
        <v>4</v>
      </c>
      <c r="G18712" t="str">
        <f>""</f>
        <v/>
      </c>
    </row>
    <row r="18713" spans="1:7" x14ac:dyDescent="0.25">
      <c r="A18713" t="s">
        <v>8</v>
      </c>
      <c r="B18713" s="1" t="str">
        <f>"000006980 - RICH FOODS-DOT COLDSTONE"</f>
        <v>000006980 - RICH FOODS-DOT COLDSTONE</v>
      </c>
      <c r="C18713" t="s">
        <v>192</v>
      </c>
      <c r="D18713" s="1" t="str">
        <f t="shared" si="503"/>
        <v>PRG-1046630</v>
      </c>
      <c r="E18713" t="s">
        <v>132</v>
      </c>
      <c r="F18713" t="s">
        <v>4</v>
      </c>
      <c r="G18713" t="str">
        <f>""</f>
        <v/>
      </c>
    </row>
    <row r="18714" spans="1:7" x14ac:dyDescent="0.25">
      <c r="A18714" t="s">
        <v>8</v>
      </c>
      <c r="B18714" s="1" t="str">
        <f>"000009021 - RICH FDS-BETTERCREME COLDSTONE"</f>
        <v>000009021 - RICH FDS-BETTERCREME COLDSTONE</v>
      </c>
      <c r="C18714" t="s">
        <v>290</v>
      </c>
      <c r="D18714" s="1" t="str">
        <f t="shared" si="503"/>
        <v>PRG-1046630</v>
      </c>
      <c r="E18714" t="s">
        <v>132</v>
      </c>
      <c r="F18714" t="s">
        <v>4</v>
      </c>
      <c r="G18714" t="str">
        <f>""</f>
        <v/>
      </c>
    </row>
    <row r="18715" spans="1:7" x14ac:dyDescent="0.25">
      <c r="A18715" t="s">
        <v>8</v>
      </c>
      <c r="B18715" s="1" t="str">
        <f>"000010033 - RICH FDS-B.CREME C COLDSTONE"</f>
        <v>000010033 - RICH FDS-B.CREME C COLDSTONE</v>
      </c>
      <c r="C18715" t="s">
        <v>304</v>
      </c>
      <c r="D18715" s="1" t="str">
        <f t="shared" si="503"/>
        <v>PRG-1046630</v>
      </c>
      <c r="E18715" t="s">
        <v>132</v>
      </c>
      <c r="F18715" t="s">
        <v>4</v>
      </c>
      <c r="G18715" t="str">
        <f>""</f>
        <v/>
      </c>
    </row>
    <row r="18716" spans="1:7" x14ac:dyDescent="0.25">
      <c r="A18716" t="s">
        <v>8</v>
      </c>
      <c r="B18716" s="1" t="str">
        <f>"000010034 - RICH FDS-B.CREME NC COLDSTONE"</f>
        <v>000010034 - RICH FDS-B.CREME NC COLDSTONE</v>
      </c>
      <c r="C18716" t="s">
        <v>305</v>
      </c>
      <c r="D18716" s="1" t="str">
        <f t="shared" si="503"/>
        <v>PRG-1046630</v>
      </c>
      <c r="E18716" t="s">
        <v>132</v>
      </c>
      <c r="F18716" t="s">
        <v>4</v>
      </c>
      <c r="G18716" t="str">
        <f>""</f>
        <v/>
      </c>
    </row>
    <row r="18717" spans="1:7" x14ac:dyDescent="0.25">
      <c r="A18717" t="s">
        <v>8</v>
      </c>
      <c r="B18717" s="1" t="str">
        <f>"000011528 - RICH FDS-B.CREME NC COLDSTONE"</f>
        <v>000011528 - RICH FDS-B.CREME NC COLDSTONE</v>
      </c>
      <c r="C18717" t="s">
        <v>305</v>
      </c>
      <c r="D18717" s="1" t="str">
        <f t="shared" si="503"/>
        <v>PRG-1046630</v>
      </c>
      <c r="E18717" t="s">
        <v>132</v>
      </c>
      <c r="F18717" t="s">
        <v>4</v>
      </c>
      <c r="G18717" t="str">
        <f>""</f>
        <v/>
      </c>
    </row>
    <row r="18718" spans="1:7" x14ac:dyDescent="0.25">
      <c r="A18718" t="s">
        <v>8</v>
      </c>
      <c r="B18718" s="1" t="str">
        <f>"000012181 - RICH CC BB- COLDSTONE"</f>
        <v>000012181 - RICH CC BB- COLDSTONE</v>
      </c>
      <c r="C18718" t="s">
        <v>333</v>
      </c>
      <c r="D18718" s="1" t="str">
        <f t="shared" si="503"/>
        <v>PRG-1046630</v>
      </c>
      <c r="E18718" t="s">
        <v>132</v>
      </c>
      <c r="F18718" t="s">
        <v>4</v>
      </c>
      <c r="G18718" t="str">
        <f>""</f>
        <v/>
      </c>
    </row>
    <row r="18719" spans="1:7" x14ac:dyDescent="0.25">
      <c r="A18719" t="s">
        <v>8</v>
      </c>
      <c r="B18719" s="1" t="str">
        <f>"000012754 - RICH CC BB- COLDSTONE"</f>
        <v>000012754 - RICH CC BB- COLDSTONE</v>
      </c>
      <c r="C18719" t="s">
        <v>333</v>
      </c>
      <c r="D18719" s="1" t="str">
        <f t="shared" si="503"/>
        <v>PRG-1046630</v>
      </c>
      <c r="E18719" t="s">
        <v>132</v>
      </c>
      <c r="F18719" t="s">
        <v>4</v>
      </c>
      <c r="G18719" t="str">
        <f>""</f>
        <v/>
      </c>
    </row>
    <row r="18720" spans="1:7" x14ac:dyDescent="0.25">
      <c r="A18720" t="s">
        <v>8</v>
      </c>
      <c r="B18720" s="1" t="str">
        <f>"000013151 - RICH FDS-B.CREME C COLDSTONE"</f>
        <v>000013151 - RICH FDS-B.CREME C COLDSTONE</v>
      </c>
      <c r="C18720" t="s">
        <v>304</v>
      </c>
      <c r="D18720" s="1" t="str">
        <f t="shared" si="503"/>
        <v>PRG-1046630</v>
      </c>
      <c r="E18720" t="s">
        <v>132</v>
      </c>
      <c r="F18720" t="s">
        <v>4</v>
      </c>
      <c r="G18720" t="str">
        <f>""</f>
        <v/>
      </c>
    </row>
    <row r="18721" spans="1:7" x14ac:dyDescent="0.25">
      <c r="A18721" t="s">
        <v>8</v>
      </c>
      <c r="B18721" s="1" t="str">
        <f>"000013156 - RICH FDS-B.CREME NC COLDSTONE"</f>
        <v>000013156 - RICH FDS-B.CREME NC COLDSTONE</v>
      </c>
      <c r="C18721" t="s">
        <v>305</v>
      </c>
      <c r="D18721" s="1" t="str">
        <f t="shared" si="503"/>
        <v>PRG-1046630</v>
      </c>
      <c r="E18721" t="s">
        <v>132</v>
      </c>
      <c r="F18721" t="s">
        <v>4</v>
      </c>
      <c r="G18721" t="str">
        <f>""</f>
        <v/>
      </c>
    </row>
    <row r="18722" spans="1:7" x14ac:dyDescent="0.25">
      <c r="A18722" t="s">
        <v>8</v>
      </c>
      <c r="B18722" s="1" t="str">
        <f>"000015447 - BETTERCREME-RICH FDS COLDSTONE"</f>
        <v>000015447 - BETTERCREME-RICH FDS COLDSTONE</v>
      </c>
      <c r="C18722" t="s">
        <v>364</v>
      </c>
      <c r="D18722" s="1" t="str">
        <f t="shared" si="503"/>
        <v>PRG-1046630</v>
      </c>
      <c r="E18722" t="s">
        <v>132</v>
      </c>
      <c r="F18722" t="s">
        <v>4</v>
      </c>
      <c r="G18722" t="str">
        <f>""</f>
        <v/>
      </c>
    </row>
    <row r="18723" spans="1:7" x14ac:dyDescent="0.25">
      <c r="A18723" t="s">
        <v>8</v>
      </c>
      <c r="B18723" s="1" t="str">
        <f>"000017578 - RICH FOODS-CBB-COLDSTONE"</f>
        <v>000017578 - RICH FOODS-CBB-COLDSTONE</v>
      </c>
      <c r="C18723" t="s">
        <v>287</v>
      </c>
      <c r="D18723" s="1" t="str">
        <f t="shared" si="503"/>
        <v>PRG-1046630</v>
      </c>
      <c r="E18723" t="s">
        <v>132</v>
      </c>
      <c r="F18723" t="s">
        <v>4</v>
      </c>
      <c r="G18723" t="str">
        <f>""</f>
        <v/>
      </c>
    </row>
    <row r="18724" spans="1:7" x14ac:dyDescent="0.25">
      <c r="A18724" t="s">
        <v>8</v>
      </c>
      <c r="B18724" s="1" t="str">
        <f>"000018310 - BETTERCREME-RICH FDS COLDSTONE"</f>
        <v>000018310 - BETTERCREME-RICH FDS COLDSTONE</v>
      </c>
      <c r="C18724" t="s">
        <v>364</v>
      </c>
      <c r="D18724" s="1" t="str">
        <f t="shared" si="503"/>
        <v>PRG-1046630</v>
      </c>
      <c r="E18724" t="s">
        <v>132</v>
      </c>
      <c r="F18724" t="s">
        <v>4</v>
      </c>
      <c r="G18724" t="str">
        <f>""</f>
        <v/>
      </c>
    </row>
    <row r="18725" spans="1:7" x14ac:dyDescent="0.25">
      <c r="A18725" t="s">
        <v>8</v>
      </c>
      <c r="B18725" s="1" t="str">
        <f>"000025169 - BETTERCREME-RICH FDS COLDSTONE"</f>
        <v>000025169 - BETTERCREME-RICH FDS COLDSTONE</v>
      </c>
      <c r="C18725" t="s">
        <v>364</v>
      </c>
      <c r="D18725" s="1" t="str">
        <f t="shared" si="503"/>
        <v>PRG-1046630</v>
      </c>
      <c r="E18725" t="s">
        <v>132</v>
      </c>
      <c r="F18725" t="s">
        <v>4</v>
      </c>
      <c r="G18725" t="str">
        <f>""</f>
        <v/>
      </c>
    </row>
    <row r="18726" spans="1:7" x14ac:dyDescent="0.25">
      <c r="A18726" t="s">
        <v>8</v>
      </c>
      <c r="B18726" s="1" t="str">
        <f>"000047166 - RICH FOODS NONMTRL-COLDSTONE"</f>
        <v>000047166 - RICH FOODS NONMTRL-COLDSTONE</v>
      </c>
      <c r="C18726" t="s">
        <v>629</v>
      </c>
      <c r="D18726" s="1" t="str">
        <f t="shared" si="503"/>
        <v>PRG-1046630</v>
      </c>
      <c r="E18726" t="s">
        <v>132</v>
      </c>
      <c r="F18726" t="s">
        <v>4</v>
      </c>
      <c r="G18726" t="str">
        <f>""</f>
        <v/>
      </c>
    </row>
    <row r="18727" spans="1:7" x14ac:dyDescent="0.25">
      <c r="A18727" t="s">
        <v>8</v>
      </c>
      <c r="B18727" s="1" t="str">
        <f>"000057499 - RICH FOODS NONMTRL-COLDSTONE"</f>
        <v>000057499 - RICH FOODS NONMTRL-COLDSTONE</v>
      </c>
      <c r="C18727" t="s">
        <v>629</v>
      </c>
      <c r="D18727" s="1" t="str">
        <f t="shared" si="503"/>
        <v>PRG-1046630</v>
      </c>
      <c r="E18727" t="s">
        <v>132</v>
      </c>
      <c r="F18727" t="s">
        <v>4</v>
      </c>
      <c r="G18727" t="str">
        <f>""</f>
        <v/>
      </c>
    </row>
    <row r="18728" spans="1:7" x14ac:dyDescent="0.25">
      <c r="A18728" t="s">
        <v>8</v>
      </c>
      <c r="B18728" s="1" t="str">
        <f>"000061765 - RICH FOODS NONMTRL-COLDSTONE"</f>
        <v>000061765 - RICH FOODS NONMTRL-COLDSTONE</v>
      </c>
      <c r="C18728" t="s">
        <v>629</v>
      </c>
      <c r="D18728" s="1" t="str">
        <f t="shared" si="503"/>
        <v>PRG-1046630</v>
      </c>
      <c r="E18728" t="s">
        <v>132</v>
      </c>
      <c r="F18728" t="s">
        <v>4</v>
      </c>
      <c r="G18728" t="str">
        <f>""</f>
        <v/>
      </c>
    </row>
    <row r="18729" spans="1:7" x14ac:dyDescent="0.25">
      <c r="A18729" t="s">
        <v>8</v>
      </c>
      <c r="B18729" s="1" t="str">
        <f>"000090736 - RICH FOODS NONMTRL-COLDSTONE"</f>
        <v>000090736 - RICH FOODS NONMTRL-COLDSTONE</v>
      </c>
      <c r="C18729" t="s">
        <v>629</v>
      </c>
      <c r="D18729" s="1" t="str">
        <f t="shared" si="503"/>
        <v>PRG-1046630</v>
      </c>
      <c r="E18729" t="s">
        <v>132</v>
      </c>
      <c r="F18729" t="s">
        <v>4</v>
      </c>
      <c r="G18729" t="str">
        <f>""</f>
        <v/>
      </c>
    </row>
    <row r="18730" spans="1:7" x14ac:dyDescent="0.25">
      <c r="A18730" t="s">
        <v>8</v>
      </c>
      <c r="B18730" s="1" t="str">
        <f>"000133706 - RICH CC BB- COLDSTONE"</f>
        <v>000133706 - RICH CC BB- COLDSTONE</v>
      </c>
      <c r="C18730" t="s">
        <v>333</v>
      </c>
      <c r="D18730" s="1" t="str">
        <f t="shared" si="503"/>
        <v>PRG-1046630</v>
      </c>
      <c r="E18730" t="s">
        <v>132</v>
      </c>
      <c r="F18730" t="s">
        <v>4</v>
      </c>
      <c r="G18730" t="str">
        <f>""</f>
        <v/>
      </c>
    </row>
    <row r="18731" spans="1:7" x14ac:dyDescent="0.25">
      <c r="A18731" t="s">
        <v>8</v>
      </c>
      <c r="B18731" s="1" t="str">
        <f>"000154559 - RICH CC BB- COLDSTONE"</f>
        <v>000154559 - RICH CC BB- COLDSTONE</v>
      </c>
      <c r="C18731" t="s">
        <v>333</v>
      </c>
      <c r="D18731" s="1" t="str">
        <f t="shared" si="503"/>
        <v>PRG-1046630</v>
      </c>
      <c r="E18731" t="s">
        <v>132</v>
      </c>
      <c r="F18731" t="s">
        <v>4</v>
      </c>
      <c r="G18731" t="str">
        <f>""</f>
        <v/>
      </c>
    </row>
    <row r="18732" spans="1:7" x14ac:dyDescent="0.25">
      <c r="A18732" t="s">
        <v>8</v>
      </c>
      <c r="B18732" s="1" t="str">
        <f>"000157664 - RICH FOODS-CBB-COLDSTONE"</f>
        <v>000157664 - RICH FOODS-CBB-COLDSTONE</v>
      </c>
      <c r="C18732" t="s">
        <v>287</v>
      </c>
      <c r="D18732" s="1" t="str">
        <f t="shared" si="503"/>
        <v>PRG-1046630</v>
      </c>
      <c r="E18732" t="s">
        <v>132</v>
      </c>
      <c r="F18732" t="s">
        <v>4</v>
      </c>
      <c r="G18732" t="str">
        <f>""</f>
        <v/>
      </c>
    </row>
    <row r="18733" spans="1:7" x14ac:dyDescent="0.25">
      <c r="A18733" t="s">
        <v>8</v>
      </c>
      <c r="B18733" s="1" t="str">
        <f>"000177351 - RICH CC BB- COLDSTONE"</f>
        <v>000177351 - RICH CC BB- COLDSTONE</v>
      </c>
      <c r="C18733" t="s">
        <v>333</v>
      </c>
      <c r="D18733" s="1" t="str">
        <f t="shared" si="503"/>
        <v>PRG-1046630</v>
      </c>
      <c r="E18733" t="s">
        <v>132</v>
      </c>
      <c r="F18733" t="s">
        <v>4</v>
      </c>
      <c r="G18733" t="str">
        <f>""</f>
        <v/>
      </c>
    </row>
    <row r="18734" spans="1:7" x14ac:dyDescent="0.25">
      <c r="A18734" t="s">
        <v>8</v>
      </c>
      <c r="B18734" s="1" t="str">
        <f>"000181468 - RICH FOODS-CBB-COLDSTONE"</f>
        <v>000181468 - RICH FOODS-CBB-COLDSTONE</v>
      </c>
      <c r="C18734" t="s">
        <v>287</v>
      </c>
      <c r="D18734" s="1" t="str">
        <f t="shared" si="503"/>
        <v>PRG-1046630</v>
      </c>
      <c r="E18734" t="s">
        <v>132</v>
      </c>
      <c r="F18734" t="s">
        <v>4</v>
      </c>
      <c r="G18734" t="str">
        <f>""</f>
        <v/>
      </c>
    </row>
    <row r="18735" spans="1:7" x14ac:dyDescent="0.25">
      <c r="A18735" t="s">
        <v>8</v>
      </c>
      <c r="B18735" s="1" t="str">
        <f>"000213150 - RICH FOODS NONMTRL-COLDSTONE"</f>
        <v>000213150 - RICH FOODS NONMTRL-COLDSTONE</v>
      </c>
      <c r="C18735" t="s">
        <v>629</v>
      </c>
      <c r="D18735" s="1" t="str">
        <f t="shared" si="503"/>
        <v>PRG-1046630</v>
      </c>
      <c r="E18735" t="s">
        <v>132</v>
      </c>
      <c r="F18735" t="s">
        <v>4</v>
      </c>
      <c r="G18735" t="str">
        <f>""</f>
        <v/>
      </c>
    </row>
    <row r="18736" spans="1:7" x14ac:dyDescent="0.25">
      <c r="A18736" t="s">
        <v>8</v>
      </c>
      <c r="B18736" s="1" t="str">
        <f>"000248558 - RICH CC BB- COLDSTONE"</f>
        <v>000248558 - RICH CC BB- COLDSTONE</v>
      </c>
      <c r="C18736" t="s">
        <v>333</v>
      </c>
      <c r="D18736" s="1" t="str">
        <f t="shared" si="503"/>
        <v>PRG-1046630</v>
      </c>
      <c r="E18736" t="s">
        <v>132</v>
      </c>
      <c r="F18736" t="s">
        <v>4</v>
      </c>
      <c r="G18736" t="str">
        <f>""</f>
        <v/>
      </c>
    </row>
    <row r="18737" spans="1:7" x14ac:dyDescent="0.25">
      <c r="A18737" t="s">
        <v>8</v>
      </c>
      <c r="B18737" s="1" t="str">
        <f>"000252470 - RICH CC BB- COLDSTONE"</f>
        <v>000252470 - RICH CC BB- COLDSTONE</v>
      </c>
      <c r="C18737" t="s">
        <v>333</v>
      </c>
      <c r="D18737" s="1" t="str">
        <f t="shared" si="503"/>
        <v>PRG-1046630</v>
      </c>
      <c r="E18737" t="s">
        <v>132</v>
      </c>
      <c r="F18737" t="s">
        <v>4</v>
      </c>
      <c r="G18737" t="str">
        <f>""</f>
        <v/>
      </c>
    </row>
    <row r="18738" spans="1:7" x14ac:dyDescent="0.25">
      <c r="A18738" t="s">
        <v>8</v>
      </c>
      <c r="B18738" s="1" t="str">
        <f>"000256202 - RICH FOODS-CBB-COLDSTONE"</f>
        <v>000256202 - RICH FOODS-CBB-COLDSTONE</v>
      </c>
      <c r="C18738" t="s">
        <v>287</v>
      </c>
      <c r="D18738" s="1" t="str">
        <f t="shared" si="503"/>
        <v>PRG-1046630</v>
      </c>
      <c r="E18738" t="s">
        <v>132</v>
      </c>
      <c r="F18738" t="s">
        <v>4</v>
      </c>
      <c r="G18738" t="str">
        <f>""</f>
        <v/>
      </c>
    </row>
    <row r="18739" spans="1:7" x14ac:dyDescent="0.25">
      <c r="A18739" t="s">
        <v>8</v>
      </c>
      <c r="B18739" s="1" t="str">
        <f>"000267208 - RICH CC BB- COLDSTONE"</f>
        <v>000267208 - RICH CC BB- COLDSTONE</v>
      </c>
      <c r="C18739" t="s">
        <v>333</v>
      </c>
      <c r="D18739" s="1" t="str">
        <f t="shared" si="503"/>
        <v>PRG-1046630</v>
      </c>
      <c r="E18739" t="s">
        <v>132</v>
      </c>
      <c r="F18739" t="s">
        <v>4</v>
      </c>
      <c r="G18739" t="str">
        <f>""</f>
        <v/>
      </c>
    </row>
    <row r="18740" spans="1:7" x14ac:dyDescent="0.25">
      <c r="A18740" t="s">
        <v>8</v>
      </c>
      <c r="B18740" s="1" t="str">
        <f>"000271674 - RICH FOODS-CBB-COLDSTONE"</f>
        <v>000271674 - RICH FOODS-CBB-COLDSTONE</v>
      </c>
      <c r="C18740" t="s">
        <v>287</v>
      </c>
      <c r="D18740" s="1" t="str">
        <f t="shared" si="503"/>
        <v>PRG-1046630</v>
      </c>
      <c r="E18740" t="s">
        <v>132</v>
      </c>
      <c r="F18740" t="s">
        <v>4</v>
      </c>
      <c r="G18740" t="str">
        <f>""</f>
        <v/>
      </c>
    </row>
    <row r="18741" spans="1:7" x14ac:dyDescent="0.25">
      <c r="A18741" t="s">
        <v>8</v>
      </c>
      <c r="B18741" s="1" t="str">
        <f>"000283052 - RICH FOODS NONMTRL-COLDSTONE"</f>
        <v>000283052 - RICH FOODS NONMTRL-COLDSTONE</v>
      </c>
      <c r="C18741" t="s">
        <v>629</v>
      </c>
      <c r="D18741" s="1" t="str">
        <f t="shared" si="503"/>
        <v>PRG-1046630</v>
      </c>
      <c r="E18741" t="s">
        <v>132</v>
      </c>
      <c r="F18741" t="s">
        <v>4</v>
      </c>
      <c r="G18741" t="str">
        <f>""</f>
        <v/>
      </c>
    </row>
    <row r="18742" spans="1:7" x14ac:dyDescent="0.25">
      <c r="A18742" t="s">
        <v>8</v>
      </c>
      <c r="B18742" s="1" t="str">
        <f>"000286504 - RICH FOODS NONMTRL-COLDSTONE"</f>
        <v>000286504 - RICH FOODS NONMTRL-COLDSTONE</v>
      </c>
      <c r="C18742" t="s">
        <v>629</v>
      </c>
      <c r="D18742" s="1" t="str">
        <f t="shared" si="503"/>
        <v>PRG-1046630</v>
      </c>
      <c r="E18742" t="s">
        <v>132</v>
      </c>
      <c r="F18742" t="s">
        <v>4</v>
      </c>
      <c r="G18742" t="str">
        <f>""</f>
        <v/>
      </c>
    </row>
    <row r="18743" spans="1:7" x14ac:dyDescent="0.25">
      <c r="A18743" t="s">
        <v>8</v>
      </c>
      <c r="B18743" s="1" t="str">
        <f>"000293784 - RICH CC BB- COLDSTONE"</f>
        <v>000293784 - RICH CC BB- COLDSTONE</v>
      </c>
      <c r="C18743" t="s">
        <v>333</v>
      </c>
      <c r="D18743" s="1" t="str">
        <f t="shared" si="503"/>
        <v>PRG-1046630</v>
      </c>
      <c r="E18743" t="s">
        <v>132</v>
      </c>
      <c r="F18743" t="s">
        <v>4</v>
      </c>
      <c r="G18743" t="str">
        <f>""</f>
        <v/>
      </c>
    </row>
    <row r="18744" spans="1:7" x14ac:dyDescent="0.25">
      <c r="A18744" t="s">
        <v>8</v>
      </c>
      <c r="B18744" s="1" t="str">
        <f>"000298729 - RICH FOODS-CBB-COLDSTONE"</f>
        <v>000298729 - RICH FOODS-CBB-COLDSTONE</v>
      </c>
      <c r="C18744" t="s">
        <v>287</v>
      </c>
      <c r="D18744" s="1" t="str">
        <f t="shared" ref="D18744:D18768" si="504">"PRG-1046630"</f>
        <v>PRG-1046630</v>
      </c>
      <c r="E18744" t="s">
        <v>132</v>
      </c>
      <c r="F18744" t="s">
        <v>4</v>
      </c>
      <c r="G18744" t="str">
        <f>""</f>
        <v/>
      </c>
    </row>
    <row r="18745" spans="1:7" x14ac:dyDescent="0.25">
      <c r="A18745" t="s">
        <v>8</v>
      </c>
      <c r="B18745" s="1" t="str">
        <f>"000307071 - RICH FOODS NONMTRL-COLDSTONE"</f>
        <v>000307071 - RICH FOODS NONMTRL-COLDSTONE</v>
      </c>
      <c r="C18745" t="s">
        <v>629</v>
      </c>
      <c r="D18745" s="1" t="str">
        <f t="shared" si="504"/>
        <v>PRG-1046630</v>
      </c>
      <c r="E18745" t="s">
        <v>132</v>
      </c>
      <c r="F18745" t="s">
        <v>4</v>
      </c>
      <c r="G18745" t="str">
        <f>""</f>
        <v/>
      </c>
    </row>
    <row r="18746" spans="1:7" x14ac:dyDescent="0.25">
      <c r="A18746" t="s">
        <v>8</v>
      </c>
      <c r="B18746" s="1" t="str">
        <f>"000311043 - RICH FOODS NONMTRL-COLDSTONE"</f>
        <v>000311043 - RICH FOODS NONMTRL-COLDSTONE</v>
      </c>
      <c r="C18746" t="s">
        <v>629</v>
      </c>
      <c r="D18746" s="1" t="str">
        <f t="shared" si="504"/>
        <v>PRG-1046630</v>
      </c>
      <c r="E18746" t="s">
        <v>132</v>
      </c>
      <c r="F18746" t="s">
        <v>4</v>
      </c>
      <c r="G18746" t="str">
        <f>""</f>
        <v/>
      </c>
    </row>
    <row r="18747" spans="1:7" x14ac:dyDescent="0.25">
      <c r="A18747" t="s">
        <v>8</v>
      </c>
      <c r="B18747" s="1" t="str">
        <f>"000315577 - RICH CC BB- COLDSTONE"</f>
        <v>000315577 - RICH CC BB- COLDSTONE</v>
      </c>
      <c r="C18747" t="s">
        <v>333</v>
      </c>
      <c r="D18747" s="1" t="str">
        <f t="shared" si="504"/>
        <v>PRG-1046630</v>
      </c>
      <c r="E18747" t="s">
        <v>132</v>
      </c>
      <c r="F18747" t="s">
        <v>4</v>
      </c>
      <c r="G18747" t="str">
        <f>""</f>
        <v/>
      </c>
    </row>
    <row r="18748" spans="1:7" x14ac:dyDescent="0.25">
      <c r="A18748" t="s">
        <v>8</v>
      </c>
      <c r="B18748" s="1" t="str">
        <f>"000319485 - RICH FOODS-CBB-COLDSTONE"</f>
        <v>000319485 - RICH FOODS-CBB-COLDSTONE</v>
      </c>
      <c r="C18748" t="s">
        <v>287</v>
      </c>
      <c r="D18748" s="1" t="str">
        <f t="shared" si="504"/>
        <v>PRG-1046630</v>
      </c>
      <c r="E18748" t="s">
        <v>132</v>
      </c>
      <c r="F18748" t="s">
        <v>4</v>
      </c>
      <c r="G18748" t="str">
        <f>""</f>
        <v/>
      </c>
    </row>
    <row r="18749" spans="1:7" x14ac:dyDescent="0.25">
      <c r="A18749" t="s">
        <v>8</v>
      </c>
      <c r="B18749" s="1" t="str">
        <f>"000322600 - RICH CC BB- COLDSTONE"</f>
        <v>000322600 - RICH CC BB- COLDSTONE</v>
      </c>
      <c r="C18749" t="s">
        <v>333</v>
      </c>
      <c r="D18749" s="1" t="str">
        <f t="shared" si="504"/>
        <v>PRG-1046630</v>
      </c>
      <c r="E18749" t="s">
        <v>132</v>
      </c>
      <c r="F18749" t="s">
        <v>4</v>
      </c>
      <c r="G18749" t="str">
        <f>""</f>
        <v/>
      </c>
    </row>
    <row r="18750" spans="1:7" x14ac:dyDescent="0.25">
      <c r="A18750" t="s">
        <v>8</v>
      </c>
      <c r="B18750" s="1" t="str">
        <f>"000327656 - RICH FOODS-CBB-COLDSTONE"</f>
        <v>000327656 - RICH FOODS-CBB-COLDSTONE</v>
      </c>
      <c r="C18750" t="s">
        <v>287</v>
      </c>
      <c r="D18750" s="1" t="str">
        <f t="shared" si="504"/>
        <v>PRG-1046630</v>
      </c>
      <c r="E18750" t="s">
        <v>132</v>
      </c>
      <c r="F18750" t="s">
        <v>4</v>
      </c>
      <c r="G18750" t="str">
        <f>""</f>
        <v/>
      </c>
    </row>
    <row r="18751" spans="1:7" x14ac:dyDescent="0.25">
      <c r="A18751" t="s">
        <v>8</v>
      </c>
      <c r="B18751" s="1" t="str">
        <f>"000337106 - RICH FOODS NONMTRL-COLDSTONE"</f>
        <v>000337106 - RICH FOODS NONMTRL-COLDSTONE</v>
      </c>
      <c r="C18751" t="s">
        <v>629</v>
      </c>
      <c r="D18751" s="1" t="str">
        <f t="shared" si="504"/>
        <v>PRG-1046630</v>
      </c>
      <c r="E18751" t="s">
        <v>132</v>
      </c>
      <c r="F18751" t="s">
        <v>4</v>
      </c>
      <c r="G18751" t="str">
        <f>""</f>
        <v/>
      </c>
    </row>
    <row r="18752" spans="1:7" x14ac:dyDescent="0.25">
      <c r="A18752" t="s">
        <v>8</v>
      </c>
      <c r="B18752" s="1" t="str">
        <f>"000339379 - RICH CC BB- COLDSTONE"</f>
        <v>000339379 - RICH CC BB- COLDSTONE</v>
      </c>
      <c r="C18752" t="s">
        <v>333</v>
      </c>
      <c r="D18752" s="1" t="str">
        <f t="shared" si="504"/>
        <v>PRG-1046630</v>
      </c>
      <c r="E18752" t="s">
        <v>132</v>
      </c>
      <c r="F18752" t="s">
        <v>4</v>
      </c>
      <c r="G18752" t="str">
        <f>""</f>
        <v/>
      </c>
    </row>
    <row r="18753" spans="1:7" x14ac:dyDescent="0.25">
      <c r="A18753" t="s">
        <v>8</v>
      </c>
      <c r="B18753" s="1" t="str">
        <f>"000343462 - RICH CC BB- COLDSTONE"</f>
        <v>000343462 - RICH CC BB- COLDSTONE</v>
      </c>
      <c r="C18753" t="s">
        <v>333</v>
      </c>
      <c r="D18753" s="1" t="str">
        <f t="shared" si="504"/>
        <v>PRG-1046630</v>
      </c>
      <c r="E18753" t="s">
        <v>132</v>
      </c>
      <c r="F18753" t="s">
        <v>4</v>
      </c>
      <c r="G18753" t="str">
        <f>""</f>
        <v/>
      </c>
    </row>
    <row r="18754" spans="1:7" x14ac:dyDescent="0.25">
      <c r="A18754" t="s">
        <v>8</v>
      </c>
      <c r="B18754" s="1" t="str">
        <f>"000348852 - RICH FOODS-CBB-COLDSTONE"</f>
        <v>000348852 - RICH FOODS-CBB-COLDSTONE</v>
      </c>
      <c r="C18754" t="s">
        <v>287</v>
      </c>
      <c r="D18754" s="1" t="str">
        <f t="shared" si="504"/>
        <v>PRG-1046630</v>
      </c>
      <c r="E18754" t="s">
        <v>132</v>
      </c>
      <c r="F18754" t="s">
        <v>4</v>
      </c>
      <c r="G18754" t="str">
        <f>""</f>
        <v/>
      </c>
    </row>
    <row r="18755" spans="1:7" x14ac:dyDescent="0.25">
      <c r="A18755" t="s">
        <v>8</v>
      </c>
      <c r="B18755" s="1" t="str">
        <f>"000352003 - RICH FOODS NONMTRL-COLDSTONE"</f>
        <v>000352003 - RICH FOODS NONMTRL-COLDSTONE</v>
      </c>
      <c r="C18755" t="s">
        <v>629</v>
      </c>
      <c r="D18755" s="1" t="str">
        <f t="shared" si="504"/>
        <v>PRG-1046630</v>
      </c>
      <c r="E18755" t="s">
        <v>132</v>
      </c>
      <c r="F18755" t="s">
        <v>4</v>
      </c>
      <c r="G18755" t="str">
        <f>""</f>
        <v/>
      </c>
    </row>
    <row r="18756" spans="1:7" x14ac:dyDescent="0.25">
      <c r="A18756" t="s">
        <v>8</v>
      </c>
      <c r="B18756" s="1" t="str">
        <f>"000355838 - RICH CC BB- COLDSTONE"</f>
        <v>000355838 - RICH CC BB- COLDSTONE</v>
      </c>
      <c r="C18756" t="s">
        <v>333</v>
      </c>
      <c r="D18756" s="1" t="str">
        <f t="shared" si="504"/>
        <v>PRG-1046630</v>
      </c>
      <c r="E18756" t="s">
        <v>132</v>
      </c>
      <c r="F18756" t="s">
        <v>4</v>
      </c>
      <c r="G18756" t="str">
        <f>""</f>
        <v/>
      </c>
    </row>
    <row r="18757" spans="1:7" x14ac:dyDescent="0.25">
      <c r="A18757" t="s">
        <v>8</v>
      </c>
      <c r="B18757" s="1" t="str">
        <f>"000361202 - RICH FOODS-CBB-COLDSTONE"</f>
        <v>000361202 - RICH FOODS-CBB-COLDSTONE</v>
      </c>
      <c r="C18757" t="s">
        <v>287</v>
      </c>
      <c r="D18757" s="1" t="str">
        <f t="shared" si="504"/>
        <v>PRG-1046630</v>
      </c>
      <c r="E18757" t="s">
        <v>132</v>
      </c>
      <c r="F18757" t="s">
        <v>4</v>
      </c>
      <c r="G18757" t="str">
        <f>""</f>
        <v/>
      </c>
    </row>
    <row r="18758" spans="1:7" x14ac:dyDescent="0.25">
      <c r="A18758" t="s">
        <v>8</v>
      </c>
      <c r="B18758" s="1" t="str">
        <f>"000362721 - RICH FOODS NONRETAIL-COLDSTONE"</f>
        <v>000362721 - RICH FOODS NONRETAIL-COLDSTONE</v>
      </c>
      <c r="C18758" t="s">
        <v>875</v>
      </c>
      <c r="D18758" s="1" t="str">
        <f t="shared" si="504"/>
        <v>PRG-1046630</v>
      </c>
      <c r="E18758" t="s">
        <v>132</v>
      </c>
      <c r="F18758" t="s">
        <v>4</v>
      </c>
      <c r="G18758" t="str">
        <f>""</f>
        <v/>
      </c>
    </row>
    <row r="18759" spans="1:7" x14ac:dyDescent="0.25">
      <c r="A18759" t="s">
        <v>8</v>
      </c>
      <c r="B18759" s="1" t="str">
        <f>"000368721 - RICH FOODS NONMTRL-COLDSTONE"</f>
        <v>000368721 - RICH FOODS NONMTRL-COLDSTONE</v>
      </c>
      <c r="C18759" t="s">
        <v>629</v>
      </c>
      <c r="D18759" s="1" t="str">
        <f t="shared" si="504"/>
        <v>PRG-1046630</v>
      </c>
      <c r="E18759" t="s">
        <v>132</v>
      </c>
      <c r="F18759" t="s">
        <v>4</v>
      </c>
      <c r="G18759" t="str">
        <f>""</f>
        <v/>
      </c>
    </row>
    <row r="18760" spans="1:7" x14ac:dyDescent="0.25">
      <c r="A18760" t="s">
        <v>8</v>
      </c>
      <c r="B18760" s="1" t="str">
        <f>"000383689 - RICH CC BB- COLDSTONE"</f>
        <v>000383689 - RICH CC BB- COLDSTONE</v>
      </c>
      <c r="C18760" t="s">
        <v>333</v>
      </c>
      <c r="D18760" s="1" t="str">
        <f t="shared" si="504"/>
        <v>PRG-1046630</v>
      </c>
      <c r="E18760" t="s">
        <v>132</v>
      </c>
      <c r="F18760" t="s">
        <v>4</v>
      </c>
      <c r="G18760" t="str">
        <f>""</f>
        <v/>
      </c>
    </row>
    <row r="18761" spans="1:7" x14ac:dyDescent="0.25">
      <c r="A18761" t="s">
        <v>8</v>
      </c>
      <c r="B18761" s="1" t="str">
        <f>"000387962 - RICH FOODS-CBB-COLDSTONE"</f>
        <v>000387962 - RICH FOODS-CBB-COLDSTONE</v>
      </c>
      <c r="C18761" t="s">
        <v>287</v>
      </c>
      <c r="D18761" s="1" t="str">
        <f t="shared" si="504"/>
        <v>PRG-1046630</v>
      </c>
      <c r="E18761" t="s">
        <v>132</v>
      </c>
      <c r="F18761" t="s">
        <v>4</v>
      </c>
      <c r="G18761" t="str">
        <f>""</f>
        <v/>
      </c>
    </row>
    <row r="18762" spans="1:7" x14ac:dyDescent="0.25">
      <c r="A18762" t="s">
        <v>8</v>
      </c>
      <c r="B18762" s="1" t="str">
        <f>"000390127 - RICH FOODS-CBB-COLDSTONE"</f>
        <v>000390127 - RICH FOODS-CBB-COLDSTONE</v>
      </c>
      <c r="C18762" t="s">
        <v>287</v>
      </c>
      <c r="D18762" s="1" t="str">
        <f t="shared" si="504"/>
        <v>PRG-1046630</v>
      </c>
      <c r="E18762" t="s">
        <v>132</v>
      </c>
      <c r="F18762" t="s">
        <v>4</v>
      </c>
      <c r="G18762" t="str">
        <f>""</f>
        <v/>
      </c>
    </row>
    <row r="18763" spans="1:7" x14ac:dyDescent="0.25">
      <c r="A18763" t="s">
        <v>8</v>
      </c>
      <c r="B18763" s="1" t="str">
        <f>"000395034 - RICH FOODS NONMTRL-COLDSTONE"</f>
        <v>000395034 - RICH FOODS NONMTRL-COLDSTONE</v>
      </c>
      <c r="C18763" t="s">
        <v>629</v>
      </c>
      <c r="D18763" s="1" t="str">
        <f t="shared" si="504"/>
        <v>PRG-1046630</v>
      </c>
      <c r="E18763" t="s">
        <v>132</v>
      </c>
      <c r="F18763" t="s">
        <v>4</v>
      </c>
      <c r="G18763" t="str">
        <f>""</f>
        <v/>
      </c>
    </row>
    <row r="18764" spans="1:7" x14ac:dyDescent="0.25">
      <c r="A18764" t="s">
        <v>8</v>
      </c>
      <c r="B18764" s="1" t="str">
        <f>"000397579 - RICH FOODS NONMTRL-COLDSTONE"</f>
        <v>000397579 - RICH FOODS NONMTRL-COLDSTONE</v>
      </c>
      <c r="C18764" t="s">
        <v>629</v>
      </c>
      <c r="D18764" s="1" t="str">
        <f t="shared" si="504"/>
        <v>PRG-1046630</v>
      </c>
      <c r="E18764" t="s">
        <v>132</v>
      </c>
      <c r="F18764" t="s">
        <v>4</v>
      </c>
      <c r="G18764" t="str">
        <f>""</f>
        <v/>
      </c>
    </row>
    <row r="18765" spans="1:7" x14ac:dyDescent="0.25">
      <c r="A18765" t="s">
        <v>8</v>
      </c>
      <c r="B18765" s="1" t="str">
        <f>"000401853 - RICH FOODS NONMTRL-COLDSTONE"</f>
        <v>000401853 - RICH FOODS NONMTRL-COLDSTONE</v>
      </c>
      <c r="C18765" t="s">
        <v>629</v>
      </c>
      <c r="D18765" s="1" t="str">
        <f t="shared" si="504"/>
        <v>PRG-1046630</v>
      </c>
      <c r="E18765" t="s">
        <v>132</v>
      </c>
      <c r="F18765" t="s">
        <v>4</v>
      </c>
      <c r="G18765" t="str">
        <f>""</f>
        <v/>
      </c>
    </row>
    <row r="18766" spans="1:7" x14ac:dyDescent="0.25">
      <c r="A18766" t="s">
        <v>8</v>
      </c>
      <c r="B18766" s="1" t="str">
        <f>"000419882 - RICH FOODS NONMTRL-COLDSTONE"</f>
        <v>000419882 - RICH FOODS NONMTRL-COLDSTONE</v>
      </c>
      <c r="C18766" t="s">
        <v>629</v>
      </c>
      <c r="D18766" s="1" t="str">
        <f t="shared" si="504"/>
        <v>PRG-1046630</v>
      </c>
      <c r="E18766" t="s">
        <v>132</v>
      </c>
      <c r="F18766" t="s">
        <v>4</v>
      </c>
      <c r="G18766" t="str">
        <f>""</f>
        <v/>
      </c>
    </row>
    <row r="18767" spans="1:7" x14ac:dyDescent="0.25">
      <c r="A18767" t="s">
        <v>8</v>
      </c>
      <c r="B18767" s="1" t="str">
        <f>"000421869 - RICH FOODS NONMTRL-COLDSTONE"</f>
        <v>000421869 - RICH FOODS NONMTRL-COLDSTONE</v>
      </c>
      <c r="C18767" t="s">
        <v>629</v>
      </c>
      <c r="D18767" s="1" t="str">
        <f t="shared" si="504"/>
        <v>PRG-1046630</v>
      </c>
      <c r="E18767" t="s">
        <v>132</v>
      </c>
      <c r="F18767" t="s">
        <v>4</v>
      </c>
      <c r="G18767" t="str">
        <f>""</f>
        <v/>
      </c>
    </row>
    <row r="18768" spans="1:7" x14ac:dyDescent="0.25">
      <c r="A18768" t="s">
        <v>8</v>
      </c>
      <c r="B18768" s="1" t="str">
        <f>"000433931 - RICH FOODS NONMTRL-COLDSTONE"</f>
        <v>000433931 - RICH FOODS NONMTRL-COLDSTONE</v>
      </c>
      <c r="C18768" t="s">
        <v>629</v>
      </c>
      <c r="D18768" s="1" t="str">
        <f t="shared" si="504"/>
        <v>PRG-1046630</v>
      </c>
      <c r="E18768" t="s">
        <v>132</v>
      </c>
      <c r="F18768" t="s">
        <v>4</v>
      </c>
      <c r="G18768" t="str">
        <f>""</f>
        <v/>
      </c>
    </row>
    <row r="18769" spans="1:7" x14ac:dyDescent="0.25">
      <c r="A18769" t="s">
        <v>8</v>
      </c>
      <c r="B18769" s="1" t="str">
        <f>"S5O015C0"</f>
        <v>S5O015C0</v>
      </c>
      <c r="C18769" t="s">
        <v>5933</v>
      </c>
      <c r="D18769" s="1" t="str">
        <f>"PRG-1046640"</f>
        <v>PRG-1046640</v>
      </c>
      <c r="E18769" t="s">
        <v>5934</v>
      </c>
      <c r="F18769" t="s">
        <v>5</v>
      </c>
      <c r="G18769" t="str">
        <f>""</f>
        <v/>
      </c>
    </row>
    <row r="18770" spans="1:7" x14ac:dyDescent="0.25">
      <c r="A18770" t="s">
        <v>8</v>
      </c>
      <c r="B18770" s="1" t="str">
        <f>"000262681 - RICHS SWEET DOUGH-SODEXO"</f>
        <v>000262681 - RICHS SWEET DOUGH-SODEXO</v>
      </c>
      <c r="C18770" t="s">
        <v>137</v>
      </c>
      <c r="D18770" s="1" t="str">
        <f>"PRG-1046652"</f>
        <v>PRG-1046652</v>
      </c>
      <c r="E18770" t="s">
        <v>2327</v>
      </c>
      <c r="F18770" t="s">
        <v>4</v>
      </c>
      <c r="G18770" t="str">
        <f>""</f>
        <v/>
      </c>
    </row>
    <row r="18771" spans="1:7" x14ac:dyDescent="0.25">
      <c r="A18771" t="s">
        <v>8</v>
      </c>
      <c r="B18771" s="1" t="str">
        <f>"000262683 - RICH PRODUCTS CC SC PURCHASING"</f>
        <v>000262683 - RICH PRODUCTS CC SC PURCHASING</v>
      </c>
      <c r="C18771" t="s">
        <v>2326</v>
      </c>
      <c r="D18771" s="1" t="str">
        <f>"PRG-1046652"</f>
        <v>PRG-1046652</v>
      </c>
      <c r="E18771" t="s">
        <v>2327</v>
      </c>
      <c r="F18771" t="s">
        <v>4</v>
      </c>
      <c r="G18771" t="str">
        <f>""</f>
        <v/>
      </c>
    </row>
    <row r="18772" spans="1:7" x14ac:dyDescent="0.25">
      <c r="A18772" t="s">
        <v>8</v>
      </c>
      <c r="B18772" s="1" t="str">
        <f>"000031016 - RICHS OKCPS"</f>
        <v>000031016 - RICHS OKCPS</v>
      </c>
      <c r="C18772" t="s">
        <v>334</v>
      </c>
      <c r="D18772" s="1" t="str">
        <f>"PRG-1046666"</f>
        <v>PRG-1046666</v>
      </c>
      <c r="E18772" t="s">
        <v>495</v>
      </c>
      <c r="F18772" t="s">
        <v>4</v>
      </c>
      <c r="G18772" t="str">
        <f>""</f>
        <v/>
      </c>
    </row>
    <row r="18773" spans="1:7" x14ac:dyDescent="0.25">
      <c r="A18773" t="s">
        <v>8</v>
      </c>
      <c r="B18773" s="1" t="str">
        <f>"000345077 - RICH OREGON WI SCHOOL"</f>
        <v>000345077 - RICH OREGON WI SCHOOL</v>
      </c>
      <c r="C18773" t="s">
        <v>3454</v>
      </c>
      <c r="D18773" s="1" t="str">
        <f>"PRG-1046680"</f>
        <v>PRG-1046680</v>
      </c>
      <c r="E18773" t="s">
        <v>3455</v>
      </c>
      <c r="F18773" t="s">
        <v>4</v>
      </c>
      <c r="G18773" t="str">
        <f>""</f>
        <v/>
      </c>
    </row>
    <row r="18774" spans="1:7" x14ac:dyDescent="0.25">
      <c r="A18774" t="s">
        <v>8</v>
      </c>
      <c r="B18774" s="1" t="str">
        <f>"000360857 - RICH OCNC"</f>
        <v>000360857 - RICH OCNC</v>
      </c>
      <c r="C18774" t="s">
        <v>3434</v>
      </c>
      <c r="D18774" s="1" t="str">
        <f>"PRG-1046680"</f>
        <v>PRG-1046680</v>
      </c>
      <c r="E18774" t="s">
        <v>3455</v>
      </c>
      <c r="F18774" t="s">
        <v>4</v>
      </c>
      <c r="G18774" t="str">
        <f>""</f>
        <v/>
      </c>
    </row>
    <row r="18775" spans="1:7" x14ac:dyDescent="0.25">
      <c r="A18775" t="s">
        <v>8</v>
      </c>
      <c r="B18775" s="1" t="str">
        <f>"000361201 - RICH PROD OCNC"</f>
        <v>000361201 - RICH PROD OCNC</v>
      </c>
      <c r="C18775" t="s">
        <v>3582</v>
      </c>
      <c r="D18775" s="1" t="str">
        <f>"PRG-1046680"</f>
        <v>PRG-1046680</v>
      </c>
      <c r="E18775" t="s">
        <v>3455</v>
      </c>
      <c r="F18775" t="s">
        <v>4</v>
      </c>
      <c r="G18775" t="str">
        <f>""</f>
        <v/>
      </c>
    </row>
    <row r="18776" spans="1:7" x14ac:dyDescent="0.25">
      <c r="A18776" t="s">
        <v>8</v>
      </c>
      <c r="B18776" s="1" t="str">
        <f>"000052191 - RICH FOODS-RACE TRAC"</f>
        <v>000052191 - RICH FOODS-RACE TRAC</v>
      </c>
      <c r="C18776" t="s">
        <v>666</v>
      </c>
      <c r="D18776" s="1" t="str">
        <f>"PRG-1046714"</f>
        <v>PRG-1046714</v>
      </c>
      <c r="E18776" t="s">
        <v>667</v>
      </c>
      <c r="F18776" t="s">
        <v>4</v>
      </c>
      <c r="G18776" t="str">
        <f>""</f>
        <v/>
      </c>
    </row>
    <row r="18777" spans="1:7" x14ac:dyDescent="0.25">
      <c r="A18777" t="s">
        <v>8</v>
      </c>
      <c r="B18777" s="1" t="str">
        <f>"000405043 - RICH FOODS-RACE TRAC"</f>
        <v>000405043 - RICH FOODS-RACE TRAC</v>
      </c>
      <c r="C18777" t="s">
        <v>666</v>
      </c>
      <c r="D18777" s="1" t="str">
        <f>"PRG-1046714"</f>
        <v>PRG-1046714</v>
      </c>
      <c r="E18777" t="s">
        <v>667</v>
      </c>
      <c r="F18777" t="s">
        <v>4</v>
      </c>
      <c r="G18777" t="str">
        <f>""</f>
        <v/>
      </c>
    </row>
    <row r="18778" spans="1:7" x14ac:dyDescent="0.25">
      <c r="A18778" t="s">
        <v>8</v>
      </c>
      <c r="B18778" s="1" t="str">
        <f>"000415008 - RICH FOODS-RACE TRAC"</f>
        <v>000415008 - RICH FOODS-RACE TRAC</v>
      </c>
      <c r="C18778" t="s">
        <v>666</v>
      </c>
      <c r="D18778" s="1" t="str">
        <f>"PRG-1046714"</f>
        <v>PRG-1046714</v>
      </c>
      <c r="E18778" t="s">
        <v>667</v>
      </c>
      <c r="F18778" t="s">
        <v>4</v>
      </c>
      <c r="G18778" t="str">
        <f>""</f>
        <v/>
      </c>
    </row>
    <row r="18779" spans="1:7" x14ac:dyDescent="0.25">
      <c r="A18779" t="s">
        <v>8</v>
      </c>
      <c r="B18779" s="1" t="str">
        <f>"000415838 - RICH FOODS-RACE TRAC"</f>
        <v>000415838 - RICH FOODS-RACE TRAC</v>
      </c>
      <c r="C18779" t="s">
        <v>666</v>
      </c>
      <c r="D18779" s="1" t="str">
        <f>"PRG-1046714"</f>
        <v>PRG-1046714</v>
      </c>
      <c r="E18779" t="s">
        <v>667</v>
      </c>
      <c r="F18779" t="s">
        <v>4</v>
      </c>
      <c r="G18779" t="str">
        <f>""</f>
        <v/>
      </c>
    </row>
    <row r="18780" spans="1:7" x14ac:dyDescent="0.25">
      <c r="A18780" t="s">
        <v>8</v>
      </c>
      <c r="B18780" s="1" t="str">
        <f>"000353497 - RICH PRODUCTS CENTRAL VALLEY"</f>
        <v>000353497 - RICH PRODUCTS CENTRAL VALLEY</v>
      </c>
      <c r="C18780" t="s">
        <v>3535</v>
      </c>
      <c r="D18780" s="1" t="str">
        <f>"PRG-1046767"</f>
        <v>PRG-1046767</v>
      </c>
      <c r="E18780" t="s">
        <v>3536</v>
      </c>
      <c r="F18780" t="s">
        <v>4</v>
      </c>
      <c r="G18780" t="str">
        <f>""</f>
        <v/>
      </c>
    </row>
    <row r="18781" spans="1:7" x14ac:dyDescent="0.25">
      <c r="A18781" t="s">
        <v>8</v>
      </c>
      <c r="B18781" s="1" t="str">
        <f>"000331859 - RICHS CC-GREECE SCHOOLS"</f>
        <v>000331859 - RICHS CC-GREECE SCHOOLS</v>
      </c>
      <c r="C18781" t="s">
        <v>2772</v>
      </c>
      <c r="D18781" s="1" t="str">
        <f>"PRG-1046805"</f>
        <v>PRG-1046805</v>
      </c>
      <c r="E18781" t="s">
        <v>3349</v>
      </c>
      <c r="F18781" t="s">
        <v>4</v>
      </c>
      <c r="G18781" t="str">
        <f>""</f>
        <v/>
      </c>
    </row>
    <row r="18782" spans="1:7" x14ac:dyDescent="0.25">
      <c r="A18782" t="s">
        <v>8</v>
      </c>
      <c r="B18782" s="1" t="str">
        <f>"000012074 - RICHS BREAD &amp; ROLLS-SODEXO"</f>
        <v>000012074 - RICHS BREAD &amp; ROLLS-SODEXO</v>
      </c>
      <c r="C18782" t="s">
        <v>135</v>
      </c>
      <c r="D18782" s="1" t="str">
        <f t="shared" ref="D18782:D18813" si="505">"PRG-1046872"</f>
        <v>PRG-1046872</v>
      </c>
      <c r="E18782" t="s">
        <v>331</v>
      </c>
      <c r="F18782" t="s">
        <v>4</v>
      </c>
      <c r="G18782" t="str">
        <f>""</f>
        <v/>
      </c>
    </row>
    <row r="18783" spans="1:7" x14ac:dyDescent="0.25">
      <c r="A18783" t="s">
        <v>8</v>
      </c>
      <c r="B18783" s="1" t="str">
        <f>"000013532 - RICHS BREAD &amp; ROLLS-SODEXO"</f>
        <v>000013532 - RICHS BREAD &amp; ROLLS-SODEXO</v>
      </c>
      <c r="C18783" t="s">
        <v>135</v>
      </c>
      <c r="D18783" s="1" t="str">
        <f t="shared" si="505"/>
        <v>PRG-1046872</v>
      </c>
      <c r="E18783" t="s">
        <v>331</v>
      </c>
      <c r="F18783" t="s">
        <v>4</v>
      </c>
      <c r="G18783" t="str">
        <f>""</f>
        <v/>
      </c>
    </row>
    <row r="18784" spans="1:7" x14ac:dyDescent="0.25">
      <c r="A18784" t="s">
        <v>8</v>
      </c>
      <c r="B18784" s="1" t="str">
        <f>"000015083 - RICHS BREAD &amp; ROLLS-SODEXO"</f>
        <v>000015083 - RICHS BREAD &amp; ROLLS-SODEXO</v>
      </c>
      <c r="C18784" t="s">
        <v>135</v>
      </c>
      <c r="D18784" s="1" t="str">
        <f t="shared" si="505"/>
        <v>PRG-1046872</v>
      </c>
      <c r="E18784" t="s">
        <v>331</v>
      </c>
      <c r="F18784" t="s">
        <v>4</v>
      </c>
      <c r="G18784" t="str">
        <f>""</f>
        <v/>
      </c>
    </row>
    <row r="18785" spans="1:7" x14ac:dyDescent="0.25">
      <c r="A18785" t="s">
        <v>8</v>
      </c>
      <c r="B18785" s="1" t="str">
        <f>"000016973 - RICHS BREAD &amp; ROLLS-SODEXO"</f>
        <v>000016973 - RICHS BREAD &amp; ROLLS-SODEXO</v>
      </c>
      <c r="C18785" t="s">
        <v>135</v>
      </c>
      <c r="D18785" s="1" t="str">
        <f t="shared" si="505"/>
        <v>PRG-1046872</v>
      </c>
      <c r="E18785" t="s">
        <v>331</v>
      </c>
      <c r="F18785" t="s">
        <v>4</v>
      </c>
      <c r="G18785" t="str">
        <f>""</f>
        <v/>
      </c>
    </row>
    <row r="18786" spans="1:7" x14ac:dyDescent="0.25">
      <c r="A18786" t="s">
        <v>8</v>
      </c>
      <c r="B18786" s="1" t="str">
        <f>"000020225 - RICHS BREAD &amp; ROLLS-SODEXO"</f>
        <v>000020225 - RICHS BREAD &amp; ROLLS-SODEXO</v>
      </c>
      <c r="C18786" t="s">
        <v>135</v>
      </c>
      <c r="D18786" s="1" t="str">
        <f t="shared" si="505"/>
        <v>PRG-1046872</v>
      </c>
      <c r="E18786" t="s">
        <v>331</v>
      </c>
      <c r="F18786" t="s">
        <v>4</v>
      </c>
      <c r="G18786" t="str">
        <f>""</f>
        <v/>
      </c>
    </row>
    <row r="18787" spans="1:7" x14ac:dyDescent="0.25">
      <c r="A18787" t="s">
        <v>8</v>
      </c>
      <c r="B18787" s="1" t="str">
        <f>"000020655 - RICHS BREAD &amp; ROLLS-SODEXO"</f>
        <v>000020655 - RICHS BREAD &amp; ROLLS-SODEXO</v>
      </c>
      <c r="C18787" t="s">
        <v>135</v>
      </c>
      <c r="D18787" s="1" t="str">
        <f t="shared" si="505"/>
        <v>PRG-1046872</v>
      </c>
      <c r="E18787" t="s">
        <v>331</v>
      </c>
      <c r="F18787" t="s">
        <v>4</v>
      </c>
      <c r="G18787" t="str">
        <f>""</f>
        <v/>
      </c>
    </row>
    <row r="18788" spans="1:7" x14ac:dyDescent="0.25">
      <c r="A18788" t="s">
        <v>8</v>
      </c>
      <c r="B18788" s="1" t="str">
        <f>"000022690 - RICHS BREAD &amp; ROLLS-SODEXO"</f>
        <v>000022690 - RICHS BREAD &amp; ROLLS-SODEXO</v>
      </c>
      <c r="C18788" t="s">
        <v>135</v>
      </c>
      <c r="D18788" s="1" t="str">
        <f t="shared" si="505"/>
        <v>PRG-1046872</v>
      </c>
      <c r="E18788" t="s">
        <v>331</v>
      </c>
      <c r="F18788" t="s">
        <v>4</v>
      </c>
      <c r="G18788" t="str">
        <f>""</f>
        <v/>
      </c>
    </row>
    <row r="18789" spans="1:7" x14ac:dyDescent="0.25">
      <c r="A18789" t="s">
        <v>8</v>
      </c>
      <c r="B18789" s="1" t="str">
        <f>"000023966 - RICHS BREAD &amp; ROLLS-SODEXO"</f>
        <v>000023966 - RICHS BREAD &amp; ROLLS-SODEXO</v>
      </c>
      <c r="C18789" t="s">
        <v>135</v>
      </c>
      <c r="D18789" s="1" t="str">
        <f t="shared" si="505"/>
        <v>PRG-1046872</v>
      </c>
      <c r="E18789" t="s">
        <v>331</v>
      </c>
      <c r="F18789" t="s">
        <v>4</v>
      </c>
      <c r="G18789" t="str">
        <f>""</f>
        <v/>
      </c>
    </row>
    <row r="18790" spans="1:7" x14ac:dyDescent="0.25">
      <c r="A18790" t="s">
        <v>8</v>
      </c>
      <c r="B18790" s="1" t="str">
        <f>"000024079 - RICHS BREAD &amp; ROLLS-SODEXO"</f>
        <v>000024079 - RICHS BREAD &amp; ROLLS-SODEXO</v>
      </c>
      <c r="C18790" t="s">
        <v>135</v>
      </c>
      <c r="D18790" s="1" t="str">
        <f t="shared" si="505"/>
        <v>PRG-1046872</v>
      </c>
      <c r="E18790" t="s">
        <v>331</v>
      </c>
      <c r="F18790" t="s">
        <v>4</v>
      </c>
      <c r="G18790" t="str">
        <f>""</f>
        <v/>
      </c>
    </row>
    <row r="18791" spans="1:7" x14ac:dyDescent="0.25">
      <c r="A18791" t="s">
        <v>8</v>
      </c>
      <c r="B18791" s="1" t="str">
        <f>"000024243 - RICHS BREAD &amp; ROLLS-SODEXO"</f>
        <v>000024243 - RICHS BREAD &amp; ROLLS-SODEXO</v>
      </c>
      <c r="C18791" t="s">
        <v>135</v>
      </c>
      <c r="D18791" s="1" t="str">
        <f t="shared" si="505"/>
        <v>PRG-1046872</v>
      </c>
      <c r="E18791" t="s">
        <v>331</v>
      </c>
      <c r="F18791" t="s">
        <v>4</v>
      </c>
      <c r="G18791" t="str">
        <f>""</f>
        <v/>
      </c>
    </row>
    <row r="18792" spans="1:7" x14ac:dyDescent="0.25">
      <c r="A18792" t="s">
        <v>8</v>
      </c>
      <c r="B18792" s="1" t="str">
        <f>"000024806 - RICHS BREAD&amp;ROLLS BAPA SODEXO"</f>
        <v>000024806 - RICHS BREAD&amp;ROLLS BAPA SODEXO</v>
      </c>
      <c r="C18792" t="s">
        <v>359</v>
      </c>
      <c r="D18792" s="1" t="str">
        <f t="shared" si="505"/>
        <v>PRG-1046872</v>
      </c>
      <c r="E18792" t="s">
        <v>331</v>
      </c>
      <c r="F18792" t="s">
        <v>4</v>
      </c>
      <c r="G18792" t="str">
        <f>""</f>
        <v/>
      </c>
    </row>
    <row r="18793" spans="1:7" x14ac:dyDescent="0.25">
      <c r="A18793" t="s">
        <v>8</v>
      </c>
      <c r="B18793" s="1" t="str">
        <f>"000027794 - RICHS BREAD &amp; ROLLS-SODEXO"</f>
        <v>000027794 - RICHS BREAD &amp; ROLLS-SODEXO</v>
      </c>
      <c r="C18793" t="s">
        <v>135</v>
      </c>
      <c r="D18793" s="1" t="str">
        <f t="shared" si="505"/>
        <v>PRG-1046872</v>
      </c>
      <c r="E18793" t="s">
        <v>331</v>
      </c>
      <c r="F18793" t="s">
        <v>4</v>
      </c>
      <c r="G18793" t="str">
        <f>""</f>
        <v/>
      </c>
    </row>
    <row r="18794" spans="1:7" x14ac:dyDescent="0.25">
      <c r="A18794" t="s">
        <v>8</v>
      </c>
      <c r="B18794" s="1" t="str">
        <f>"000028417 - RICHS BREAD &amp; ROLLS-SODEXO"</f>
        <v>000028417 - RICHS BREAD &amp; ROLLS-SODEXO</v>
      </c>
      <c r="C18794" t="s">
        <v>135</v>
      </c>
      <c r="D18794" s="1" t="str">
        <f t="shared" si="505"/>
        <v>PRG-1046872</v>
      </c>
      <c r="E18794" t="s">
        <v>331</v>
      </c>
      <c r="F18794" t="s">
        <v>4</v>
      </c>
      <c r="G18794" t="str">
        <f>""</f>
        <v/>
      </c>
    </row>
    <row r="18795" spans="1:7" x14ac:dyDescent="0.25">
      <c r="A18795" t="s">
        <v>8</v>
      </c>
      <c r="B18795" s="1" t="str">
        <f>"000028498 - RICHS BREAD &amp; ROLLS-SODEXO"</f>
        <v>000028498 - RICHS BREAD &amp; ROLLS-SODEXO</v>
      </c>
      <c r="C18795" t="s">
        <v>135</v>
      </c>
      <c r="D18795" s="1" t="str">
        <f t="shared" si="505"/>
        <v>PRG-1046872</v>
      </c>
      <c r="E18795" t="s">
        <v>331</v>
      </c>
      <c r="F18795" t="s">
        <v>4</v>
      </c>
      <c r="G18795" t="str">
        <f>""</f>
        <v/>
      </c>
    </row>
    <row r="18796" spans="1:7" x14ac:dyDescent="0.25">
      <c r="A18796" t="s">
        <v>8</v>
      </c>
      <c r="B18796" s="1" t="str">
        <f>"000028705 - RICHS BREAD &amp; ROLLS-SODEXO"</f>
        <v>000028705 - RICHS BREAD &amp; ROLLS-SODEXO</v>
      </c>
      <c r="C18796" t="s">
        <v>135</v>
      </c>
      <c r="D18796" s="1" t="str">
        <f t="shared" si="505"/>
        <v>PRG-1046872</v>
      </c>
      <c r="E18796" t="s">
        <v>331</v>
      </c>
      <c r="F18796" t="s">
        <v>4</v>
      </c>
      <c r="G18796" t="str">
        <f>""</f>
        <v/>
      </c>
    </row>
    <row r="18797" spans="1:7" x14ac:dyDescent="0.25">
      <c r="A18797" t="s">
        <v>8</v>
      </c>
      <c r="B18797" s="1" t="str">
        <f>"000032030 - RICHS BREAD &amp; ROLLS-SODEXO"</f>
        <v>000032030 - RICHS BREAD &amp; ROLLS-SODEXO</v>
      </c>
      <c r="C18797" t="s">
        <v>135</v>
      </c>
      <c r="D18797" s="1" t="str">
        <f t="shared" si="505"/>
        <v>PRG-1046872</v>
      </c>
      <c r="E18797" t="s">
        <v>331</v>
      </c>
      <c r="F18797" t="s">
        <v>4</v>
      </c>
      <c r="G18797" t="str">
        <f>""</f>
        <v/>
      </c>
    </row>
    <row r="18798" spans="1:7" x14ac:dyDescent="0.25">
      <c r="A18798" t="s">
        <v>8</v>
      </c>
      <c r="B18798" s="1" t="str">
        <f>"000032301 - RICHS BREAD &amp; ROLLS-SODEXO"</f>
        <v>000032301 - RICHS BREAD &amp; ROLLS-SODEXO</v>
      </c>
      <c r="C18798" t="s">
        <v>135</v>
      </c>
      <c r="D18798" s="1" t="str">
        <f t="shared" si="505"/>
        <v>PRG-1046872</v>
      </c>
      <c r="E18798" t="s">
        <v>331</v>
      </c>
      <c r="F18798" t="s">
        <v>4</v>
      </c>
      <c r="G18798" t="str">
        <f>""</f>
        <v/>
      </c>
    </row>
    <row r="18799" spans="1:7" x14ac:dyDescent="0.25">
      <c r="A18799" t="s">
        <v>8</v>
      </c>
      <c r="B18799" s="1" t="str">
        <f>"000032806 - RICHS BREAD &amp; ROLLS-SODEXO"</f>
        <v>000032806 - RICHS BREAD &amp; ROLLS-SODEXO</v>
      </c>
      <c r="C18799" t="s">
        <v>135</v>
      </c>
      <c r="D18799" s="1" t="str">
        <f t="shared" si="505"/>
        <v>PRG-1046872</v>
      </c>
      <c r="E18799" t="s">
        <v>331</v>
      </c>
      <c r="F18799" t="s">
        <v>4</v>
      </c>
      <c r="G18799" t="str">
        <f>""</f>
        <v/>
      </c>
    </row>
    <row r="18800" spans="1:7" x14ac:dyDescent="0.25">
      <c r="A18800" t="s">
        <v>8</v>
      </c>
      <c r="B18800" s="1" t="str">
        <f>"000035070 - RICHS BREAD &amp; ROLLS-SODEXO"</f>
        <v>000035070 - RICHS BREAD &amp; ROLLS-SODEXO</v>
      </c>
      <c r="C18800" t="s">
        <v>135</v>
      </c>
      <c r="D18800" s="1" t="str">
        <f t="shared" si="505"/>
        <v>PRG-1046872</v>
      </c>
      <c r="E18800" t="s">
        <v>331</v>
      </c>
      <c r="F18800" t="s">
        <v>4</v>
      </c>
      <c r="G18800" t="str">
        <f>""</f>
        <v/>
      </c>
    </row>
    <row r="18801" spans="1:7" x14ac:dyDescent="0.25">
      <c r="A18801" t="s">
        <v>8</v>
      </c>
      <c r="B18801" s="1" t="str">
        <f>"000035916 - RICHS BREAD &amp; ROLLS-SODEXO"</f>
        <v>000035916 - RICHS BREAD &amp; ROLLS-SODEXO</v>
      </c>
      <c r="C18801" t="s">
        <v>135</v>
      </c>
      <c r="D18801" s="1" t="str">
        <f t="shared" si="505"/>
        <v>PRG-1046872</v>
      </c>
      <c r="E18801" t="s">
        <v>331</v>
      </c>
      <c r="F18801" t="s">
        <v>4</v>
      </c>
      <c r="G18801" t="str">
        <f>""</f>
        <v/>
      </c>
    </row>
    <row r="18802" spans="1:7" x14ac:dyDescent="0.25">
      <c r="A18802" t="s">
        <v>8</v>
      </c>
      <c r="B18802" s="1" t="str">
        <f>"000038882 - RICHS BREAD &amp; ROLLS-SODEXO"</f>
        <v>000038882 - RICHS BREAD &amp; ROLLS-SODEXO</v>
      </c>
      <c r="C18802" t="s">
        <v>135</v>
      </c>
      <c r="D18802" s="1" t="str">
        <f t="shared" si="505"/>
        <v>PRG-1046872</v>
      </c>
      <c r="E18802" t="s">
        <v>331</v>
      </c>
      <c r="F18802" t="s">
        <v>4</v>
      </c>
      <c r="G18802" t="str">
        <f>""</f>
        <v/>
      </c>
    </row>
    <row r="18803" spans="1:7" x14ac:dyDescent="0.25">
      <c r="A18803" t="s">
        <v>8</v>
      </c>
      <c r="B18803" s="1" t="str">
        <f>"000040566 - RICHS BREAD &amp; ROLLS-SODEXO"</f>
        <v>000040566 - RICHS BREAD &amp; ROLLS-SODEXO</v>
      </c>
      <c r="C18803" t="s">
        <v>135</v>
      </c>
      <c r="D18803" s="1" t="str">
        <f t="shared" si="505"/>
        <v>PRG-1046872</v>
      </c>
      <c r="E18803" t="s">
        <v>331</v>
      </c>
      <c r="F18803" t="s">
        <v>4</v>
      </c>
      <c r="G18803" t="str">
        <f>""</f>
        <v/>
      </c>
    </row>
    <row r="18804" spans="1:7" x14ac:dyDescent="0.25">
      <c r="A18804" t="s">
        <v>8</v>
      </c>
      <c r="B18804" s="1" t="str">
        <f>"000042227 - RICHS BREAD &amp; ROLLS-SODEXO"</f>
        <v>000042227 - RICHS BREAD &amp; ROLLS-SODEXO</v>
      </c>
      <c r="C18804" t="s">
        <v>135</v>
      </c>
      <c r="D18804" s="1" t="str">
        <f t="shared" si="505"/>
        <v>PRG-1046872</v>
      </c>
      <c r="E18804" t="s">
        <v>331</v>
      </c>
      <c r="F18804" t="s">
        <v>4</v>
      </c>
      <c r="G18804" t="str">
        <f>""</f>
        <v/>
      </c>
    </row>
    <row r="18805" spans="1:7" x14ac:dyDescent="0.25">
      <c r="A18805" t="s">
        <v>8</v>
      </c>
      <c r="B18805" s="1" t="str">
        <f>"000042554 - RICHS BREAD &amp; ROLLS-SODEXO"</f>
        <v>000042554 - RICHS BREAD &amp; ROLLS-SODEXO</v>
      </c>
      <c r="C18805" t="s">
        <v>135</v>
      </c>
      <c r="D18805" s="1" t="str">
        <f t="shared" si="505"/>
        <v>PRG-1046872</v>
      </c>
      <c r="E18805" t="s">
        <v>331</v>
      </c>
      <c r="F18805" t="s">
        <v>4</v>
      </c>
      <c r="G18805" t="str">
        <f>""</f>
        <v/>
      </c>
    </row>
    <row r="18806" spans="1:7" x14ac:dyDescent="0.25">
      <c r="A18806" t="s">
        <v>8</v>
      </c>
      <c r="B18806" s="1" t="str">
        <f>"000044909 - RICHS BREAD &amp; ROLLS-SODEXO"</f>
        <v>000044909 - RICHS BREAD &amp; ROLLS-SODEXO</v>
      </c>
      <c r="C18806" t="s">
        <v>135</v>
      </c>
      <c r="D18806" s="1" t="str">
        <f t="shared" si="505"/>
        <v>PRG-1046872</v>
      </c>
      <c r="E18806" t="s">
        <v>331</v>
      </c>
      <c r="F18806" t="s">
        <v>4</v>
      </c>
      <c r="G18806" t="str">
        <f>""</f>
        <v/>
      </c>
    </row>
    <row r="18807" spans="1:7" x14ac:dyDescent="0.25">
      <c r="A18807" t="s">
        <v>8</v>
      </c>
      <c r="B18807" s="1" t="str">
        <f>"000045096 - RICHS BREAD &amp; ROLLS-SODEXO"</f>
        <v>000045096 - RICHS BREAD &amp; ROLLS-SODEXO</v>
      </c>
      <c r="C18807" t="s">
        <v>135</v>
      </c>
      <c r="D18807" s="1" t="str">
        <f t="shared" si="505"/>
        <v>PRG-1046872</v>
      </c>
      <c r="E18807" t="s">
        <v>331</v>
      </c>
      <c r="F18807" t="s">
        <v>4</v>
      </c>
      <c r="G18807" t="str">
        <f>""</f>
        <v/>
      </c>
    </row>
    <row r="18808" spans="1:7" x14ac:dyDescent="0.25">
      <c r="A18808" t="s">
        <v>8</v>
      </c>
      <c r="B18808" s="1" t="str">
        <f>"000046073 - RICHS BREAD &amp; ROLLS-SODEXO"</f>
        <v>000046073 - RICHS BREAD &amp; ROLLS-SODEXO</v>
      </c>
      <c r="C18808" t="s">
        <v>135</v>
      </c>
      <c r="D18808" s="1" t="str">
        <f t="shared" si="505"/>
        <v>PRG-1046872</v>
      </c>
      <c r="E18808" t="s">
        <v>331</v>
      </c>
      <c r="F18808" t="s">
        <v>4</v>
      </c>
      <c r="G18808" t="str">
        <f>""</f>
        <v/>
      </c>
    </row>
    <row r="18809" spans="1:7" x14ac:dyDescent="0.25">
      <c r="A18809" t="s">
        <v>8</v>
      </c>
      <c r="B18809" s="1" t="str">
        <f>"000049535 - RICHS BREAD&amp;ROLLS-SODEXO"</f>
        <v>000049535 - RICHS BREAD&amp;ROLLS-SODEXO</v>
      </c>
      <c r="C18809" t="s">
        <v>551</v>
      </c>
      <c r="D18809" s="1" t="str">
        <f t="shared" si="505"/>
        <v>PRG-1046872</v>
      </c>
      <c r="E18809" t="s">
        <v>331</v>
      </c>
      <c r="F18809" t="s">
        <v>4</v>
      </c>
      <c r="G18809" t="str">
        <f>""</f>
        <v/>
      </c>
    </row>
    <row r="18810" spans="1:7" x14ac:dyDescent="0.25">
      <c r="A18810" t="s">
        <v>8</v>
      </c>
      <c r="B18810" s="1" t="str">
        <f>"000049794 - RICHS BREAD &amp; ROLLS-SODEXO"</f>
        <v>000049794 - RICHS BREAD &amp; ROLLS-SODEXO</v>
      </c>
      <c r="C18810" t="s">
        <v>135</v>
      </c>
      <c r="D18810" s="1" t="str">
        <f t="shared" si="505"/>
        <v>PRG-1046872</v>
      </c>
      <c r="E18810" t="s">
        <v>331</v>
      </c>
      <c r="F18810" t="s">
        <v>4</v>
      </c>
      <c r="G18810" t="str">
        <f>""</f>
        <v/>
      </c>
    </row>
    <row r="18811" spans="1:7" x14ac:dyDescent="0.25">
      <c r="A18811" t="s">
        <v>8</v>
      </c>
      <c r="B18811" s="1" t="str">
        <f>"000061026 - RICHS BREAD&amp;ROLLS-SODEXO"</f>
        <v>000061026 - RICHS BREAD&amp;ROLLS-SODEXO</v>
      </c>
      <c r="C18811" t="s">
        <v>551</v>
      </c>
      <c r="D18811" s="1" t="str">
        <f t="shared" si="505"/>
        <v>PRG-1046872</v>
      </c>
      <c r="E18811" t="s">
        <v>331</v>
      </c>
      <c r="F18811" t="s">
        <v>4</v>
      </c>
      <c r="G18811" t="str">
        <f>""</f>
        <v/>
      </c>
    </row>
    <row r="18812" spans="1:7" x14ac:dyDescent="0.25">
      <c r="A18812" t="s">
        <v>8</v>
      </c>
      <c r="B18812" s="1" t="str">
        <f>"000081064 - RICHS BREAD &amp; ROLLS-SODEXO"</f>
        <v>000081064 - RICHS BREAD &amp; ROLLS-SODEXO</v>
      </c>
      <c r="C18812" t="s">
        <v>135</v>
      </c>
      <c r="D18812" s="1" t="str">
        <f t="shared" si="505"/>
        <v>PRG-1046872</v>
      </c>
      <c r="E18812" t="s">
        <v>331</v>
      </c>
      <c r="F18812" t="s">
        <v>4</v>
      </c>
      <c r="G18812" t="str">
        <f>""</f>
        <v/>
      </c>
    </row>
    <row r="18813" spans="1:7" x14ac:dyDescent="0.25">
      <c r="A18813" t="s">
        <v>8</v>
      </c>
      <c r="B18813" s="1" t="str">
        <f>"000083104 - RICHS BREAD &amp; ROLLS-SODEXO"</f>
        <v>000083104 - RICHS BREAD &amp; ROLLS-SODEXO</v>
      </c>
      <c r="C18813" t="s">
        <v>135</v>
      </c>
      <c r="D18813" s="1" t="str">
        <f t="shared" si="505"/>
        <v>PRG-1046872</v>
      </c>
      <c r="E18813" t="s">
        <v>331</v>
      </c>
      <c r="F18813" t="s">
        <v>4</v>
      </c>
      <c r="G18813" t="str">
        <f>""</f>
        <v/>
      </c>
    </row>
    <row r="18814" spans="1:7" x14ac:dyDescent="0.25">
      <c r="A18814" t="s">
        <v>8</v>
      </c>
      <c r="B18814" s="1" t="str">
        <f>"000087840 - RICHS BREAD &amp; ROLLS-SODEXO"</f>
        <v>000087840 - RICHS BREAD &amp; ROLLS-SODEXO</v>
      </c>
      <c r="C18814" t="s">
        <v>135</v>
      </c>
      <c r="D18814" s="1" t="str">
        <f t="shared" ref="D18814:D18845" si="506">"PRG-1046872"</f>
        <v>PRG-1046872</v>
      </c>
      <c r="E18814" t="s">
        <v>331</v>
      </c>
      <c r="F18814" t="s">
        <v>4</v>
      </c>
      <c r="G18814" t="str">
        <f>""</f>
        <v/>
      </c>
    </row>
    <row r="18815" spans="1:7" x14ac:dyDescent="0.25">
      <c r="A18815" t="s">
        <v>8</v>
      </c>
      <c r="B18815" s="1" t="str">
        <f>"000090307 - RICHS BREAD&amp;ROLLS-SODEXO"</f>
        <v>000090307 - RICHS BREAD&amp;ROLLS-SODEXO</v>
      </c>
      <c r="C18815" t="s">
        <v>551</v>
      </c>
      <c r="D18815" s="1" t="str">
        <f t="shared" si="506"/>
        <v>PRG-1046872</v>
      </c>
      <c r="E18815" t="s">
        <v>331</v>
      </c>
      <c r="F18815" t="s">
        <v>4</v>
      </c>
      <c r="G18815" t="str">
        <f>""</f>
        <v/>
      </c>
    </row>
    <row r="18816" spans="1:7" x14ac:dyDescent="0.25">
      <c r="A18816" t="s">
        <v>8</v>
      </c>
      <c r="B18816" s="1" t="str">
        <f>"000091517 - RICHS BREAD &amp; ROLLS-SODEXO"</f>
        <v>000091517 - RICHS BREAD &amp; ROLLS-SODEXO</v>
      </c>
      <c r="C18816" t="s">
        <v>135</v>
      </c>
      <c r="D18816" s="1" t="str">
        <f t="shared" si="506"/>
        <v>PRG-1046872</v>
      </c>
      <c r="E18816" t="s">
        <v>331</v>
      </c>
      <c r="F18816" t="s">
        <v>4</v>
      </c>
      <c r="G18816" t="str">
        <f>""</f>
        <v/>
      </c>
    </row>
    <row r="18817" spans="1:7" x14ac:dyDescent="0.25">
      <c r="A18817" t="s">
        <v>8</v>
      </c>
      <c r="B18817" s="1" t="str">
        <f>"000095908 - RICHS BREAD &amp; ROLLS-SODEXO"</f>
        <v>000095908 - RICHS BREAD &amp; ROLLS-SODEXO</v>
      </c>
      <c r="C18817" t="s">
        <v>135</v>
      </c>
      <c r="D18817" s="1" t="str">
        <f t="shared" si="506"/>
        <v>PRG-1046872</v>
      </c>
      <c r="E18817" t="s">
        <v>331</v>
      </c>
      <c r="F18817" t="s">
        <v>4</v>
      </c>
      <c r="G18817" t="str">
        <f>""</f>
        <v/>
      </c>
    </row>
    <row r="18818" spans="1:7" x14ac:dyDescent="0.25">
      <c r="A18818" t="s">
        <v>8</v>
      </c>
      <c r="B18818" s="1" t="str">
        <f>"000142998 - RICHS BREAD &amp; ROLLS-SODEXO"</f>
        <v>000142998 - RICHS BREAD &amp; ROLLS-SODEXO</v>
      </c>
      <c r="C18818" t="s">
        <v>135</v>
      </c>
      <c r="D18818" s="1" t="str">
        <f t="shared" si="506"/>
        <v>PRG-1046872</v>
      </c>
      <c r="E18818" t="s">
        <v>331</v>
      </c>
      <c r="F18818" t="s">
        <v>4</v>
      </c>
      <c r="G18818" t="str">
        <f>""</f>
        <v/>
      </c>
    </row>
    <row r="18819" spans="1:7" x14ac:dyDescent="0.25">
      <c r="A18819" t="s">
        <v>8</v>
      </c>
      <c r="B18819" s="1" t="str">
        <f>"000146365 - RICHS BREAD &amp; ROLLS-SODEXO"</f>
        <v>000146365 - RICHS BREAD &amp; ROLLS-SODEXO</v>
      </c>
      <c r="C18819" t="s">
        <v>135</v>
      </c>
      <c r="D18819" s="1" t="str">
        <f t="shared" si="506"/>
        <v>PRG-1046872</v>
      </c>
      <c r="E18819" t="s">
        <v>331</v>
      </c>
      <c r="F18819" t="s">
        <v>4</v>
      </c>
      <c r="G18819" t="str">
        <f>""</f>
        <v/>
      </c>
    </row>
    <row r="18820" spans="1:7" x14ac:dyDescent="0.25">
      <c r="A18820" t="s">
        <v>8</v>
      </c>
      <c r="B18820" s="1" t="str">
        <f>"000146722 - RICHS BREAD &amp; ROLLS-SODEXO"</f>
        <v>000146722 - RICHS BREAD &amp; ROLLS-SODEXO</v>
      </c>
      <c r="C18820" t="s">
        <v>135</v>
      </c>
      <c r="D18820" s="1" t="str">
        <f t="shared" si="506"/>
        <v>PRG-1046872</v>
      </c>
      <c r="E18820" t="s">
        <v>331</v>
      </c>
      <c r="F18820" t="s">
        <v>4</v>
      </c>
      <c r="G18820" t="str">
        <f>""</f>
        <v/>
      </c>
    </row>
    <row r="18821" spans="1:7" x14ac:dyDescent="0.25">
      <c r="A18821" t="s">
        <v>8</v>
      </c>
      <c r="B18821" s="1" t="str">
        <f>"000150379 - RICHS BREAD &amp; ROLLS-SODEXO"</f>
        <v>000150379 - RICHS BREAD &amp; ROLLS-SODEXO</v>
      </c>
      <c r="C18821" t="s">
        <v>135</v>
      </c>
      <c r="D18821" s="1" t="str">
        <f t="shared" si="506"/>
        <v>PRG-1046872</v>
      </c>
      <c r="E18821" t="s">
        <v>331</v>
      </c>
      <c r="F18821" t="s">
        <v>4</v>
      </c>
      <c r="G18821" t="str">
        <f>""</f>
        <v/>
      </c>
    </row>
    <row r="18822" spans="1:7" x14ac:dyDescent="0.25">
      <c r="A18822" t="s">
        <v>8</v>
      </c>
      <c r="B18822" s="1" t="str">
        <f>"000150877 - RICHS BREAD &amp; ROLLS-SODEXO"</f>
        <v>000150877 - RICHS BREAD &amp; ROLLS-SODEXO</v>
      </c>
      <c r="C18822" t="s">
        <v>135</v>
      </c>
      <c r="D18822" s="1" t="str">
        <f t="shared" si="506"/>
        <v>PRG-1046872</v>
      </c>
      <c r="E18822" t="s">
        <v>331</v>
      </c>
      <c r="F18822" t="s">
        <v>4</v>
      </c>
      <c r="G18822" t="str">
        <f>""</f>
        <v/>
      </c>
    </row>
    <row r="18823" spans="1:7" x14ac:dyDescent="0.25">
      <c r="A18823" t="s">
        <v>8</v>
      </c>
      <c r="B18823" s="1" t="str">
        <f>"000164858 - RICHS BREAD &amp; ROLLS-SODEXO"</f>
        <v>000164858 - RICHS BREAD &amp; ROLLS-SODEXO</v>
      </c>
      <c r="C18823" t="s">
        <v>135</v>
      </c>
      <c r="D18823" s="1" t="str">
        <f t="shared" si="506"/>
        <v>PRG-1046872</v>
      </c>
      <c r="E18823" t="s">
        <v>331</v>
      </c>
      <c r="F18823" t="s">
        <v>4</v>
      </c>
      <c r="G18823" t="str">
        <f>""</f>
        <v/>
      </c>
    </row>
    <row r="18824" spans="1:7" x14ac:dyDescent="0.25">
      <c r="A18824" t="s">
        <v>8</v>
      </c>
      <c r="B18824" s="1" t="str">
        <f>"000165186 - RICHS BREAD &amp; ROLLS-SODEXO"</f>
        <v>000165186 - RICHS BREAD &amp; ROLLS-SODEXO</v>
      </c>
      <c r="C18824" t="s">
        <v>135</v>
      </c>
      <c r="D18824" s="1" t="str">
        <f t="shared" si="506"/>
        <v>PRG-1046872</v>
      </c>
      <c r="E18824" t="s">
        <v>331</v>
      </c>
      <c r="F18824" t="s">
        <v>4</v>
      </c>
      <c r="G18824" t="str">
        <f>""</f>
        <v/>
      </c>
    </row>
    <row r="18825" spans="1:7" x14ac:dyDescent="0.25">
      <c r="A18825" t="s">
        <v>8</v>
      </c>
      <c r="B18825" s="1" t="str">
        <f>"000165420 - RICHS BREAD&amp;ROLLS-SODEXO"</f>
        <v>000165420 - RICHS BREAD&amp;ROLLS-SODEXO</v>
      </c>
      <c r="C18825" t="s">
        <v>551</v>
      </c>
      <c r="D18825" s="1" t="str">
        <f t="shared" si="506"/>
        <v>PRG-1046872</v>
      </c>
      <c r="E18825" t="s">
        <v>331</v>
      </c>
      <c r="F18825" t="s">
        <v>4</v>
      </c>
      <c r="G18825" t="str">
        <f>""</f>
        <v/>
      </c>
    </row>
    <row r="18826" spans="1:7" x14ac:dyDescent="0.25">
      <c r="A18826" t="s">
        <v>8</v>
      </c>
      <c r="B18826" s="1" t="str">
        <f>"000167769 - RICHS BREAD &amp; ROLLS-SODEXO"</f>
        <v>000167769 - RICHS BREAD &amp; ROLLS-SODEXO</v>
      </c>
      <c r="C18826" t="s">
        <v>135</v>
      </c>
      <c r="D18826" s="1" t="str">
        <f t="shared" si="506"/>
        <v>PRG-1046872</v>
      </c>
      <c r="E18826" t="s">
        <v>331</v>
      </c>
      <c r="F18826" t="s">
        <v>4</v>
      </c>
      <c r="G18826" t="str">
        <f>""</f>
        <v/>
      </c>
    </row>
    <row r="18827" spans="1:7" x14ac:dyDescent="0.25">
      <c r="A18827" t="s">
        <v>8</v>
      </c>
      <c r="B18827" s="1" t="str">
        <f>"000168324 - RICHS BREAD &amp; ROLLS-SODEXO"</f>
        <v>000168324 - RICHS BREAD &amp; ROLLS-SODEXO</v>
      </c>
      <c r="C18827" t="s">
        <v>135</v>
      </c>
      <c r="D18827" s="1" t="str">
        <f t="shared" si="506"/>
        <v>PRG-1046872</v>
      </c>
      <c r="E18827" t="s">
        <v>331</v>
      </c>
      <c r="F18827" t="s">
        <v>4</v>
      </c>
      <c r="G18827" t="str">
        <f>""</f>
        <v/>
      </c>
    </row>
    <row r="18828" spans="1:7" x14ac:dyDescent="0.25">
      <c r="A18828" t="s">
        <v>8</v>
      </c>
      <c r="B18828" s="1" t="str">
        <f>"000168468 - RICHS BREAD &amp; ROLLS-SODEXO"</f>
        <v>000168468 - RICHS BREAD &amp; ROLLS-SODEXO</v>
      </c>
      <c r="C18828" t="s">
        <v>135</v>
      </c>
      <c r="D18828" s="1" t="str">
        <f t="shared" si="506"/>
        <v>PRG-1046872</v>
      </c>
      <c r="E18828" t="s">
        <v>331</v>
      </c>
      <c r="F18828" t="s">
        <v>4</v>
      </c>
      <c r="G18828" t="str">
        <f>""</f>
        <v/>
      </c>
    </row>
    <row r="18829" spans="1:7" x14ac:dyDescent="0.25">
      <c r="A18829" t="s">
        <v>8</v>
      </c>
      <c r="B18829" s="1" t="str">
        <f>"000170558 - RICHS BREAD &amp; ROLLS-SODEXO"</f>
        <v>000170558 - RICHS BREAD &amp; ROLLS-SODEXO</v>
      </c>
      <c r="C18829" t="s">
        <v>135</v>
      </c>
      <c r="D18829" s="1" t="str">
        <f t="shared" si="506"/>
        <v>PRG-1046872</v>
      </c>
      <c r="E18829" t="s">
        <v>331</v>
      </c>
      <c r="F18829" t="s">
        <v>4</v>
      </c>
      <c r="G18829" t="str">
        <f>""</f>
        <v/>
      </c>
    </row>
    <row r="18830" spans="1:7" x14ac:dyDescent="0.25">
      <c r="A18830" t="s">
        <v>8</v>
      </c>
      <c r="B18830" s="1" t="str">
        <f>"000170896 - RICHS BREAD &amp; ROLLS-SODEXO"</f>
        <v>000170896 - RICHS BREAD &amp; ROLLS-SODEXO</v>
      </c>
      <c r="C18830" t="s">
        <v>135</v>
      </c>
      <c r="D18830" s="1" t="str">
        <f t="shared" si="506"/>
        <v>PRG-1046872</v>
      </c>
      <c r="E18830" t="s">
        <v>331</v>
      </c>
      <c r="F18830" t="s">
        <v>4</v>
      </c>
      <c r="G18830" t="str">
        <f>""</f>
        <v/>
      </c>
    </row>
    <row r="18831" spans="1:7" x14ac:dyDescent="0.25">
      <c r="A18831" t="s">
        <v>8</v>
      </c>
      <c r="B18831" s="1" t="str">
        <f>"000171713 - RICHS BREAD &amp; ROLLS-SODEXO"</f>
        <v>000171713 - RICHS BREAD &amp; ROLLS-SODEXO</v>
      </c>
      <c r="C18831" t="s">
        <v>135</v>
      </c>
      <c r="D18831" s="1" t="str">
        <f t="shared" si="506"/>
        <v>PRG-1046872</v>
      </c>
      <c r="E18831" t="s">
        <v>331</v>
      </c>
      <c r="F18831" t="s">
        <v>4</v>
      </c>
      <c r="G18831" t="str">
        <f>""</f>
        <v/>
      </c>
    </row>
    <row r="18832" spans="1:7" x14ac:dyDescent="0.25">
      <c r="A18832" t="s">
        <v>8</v>
      </c>
      <c r="B18832" s="1" t="str">
        <f>"000172500 - RICHS BREAD &amp; ROLLS-SODEXO"</f>
        <v>000172500 - RICHS BREAD &amp; ROLLS-SODEXO</v>
      </c>
      <c r="C18832" t="s">
        <v>135</v>
      </c>
      <c r="D18832" s="1" t="str">
        <f t="shared" si="506"/>
        <v>PRG-1046872</v>
      </c>
      <c r="E18832" t="s">
        <v>331</v>
      </c>
      <c r="F18832" t="s">
        <v>4</v>
      </c>
      <c r="G18832" t="str">
        <f>""</f>
        <v/>
      </c>
    </row>
    <row r="18833" spans="1:7" x14ac:dyDescent="0.25">
      <c r="A18833" t="s">
        <v>8</v>
      </c>
      <c r="B18833" s="1" t="str">
        <f>"000173158 - RICHS BREAD &amp; ROLLS-SODEXO"</f>
        <v>000173158 - RICHS BREAD &amp; ROLLS-SODEXO</v>
      </c>
      <c r="C18833" t="s">
        <v>135</v>
      </c>
      <c r="D18833" s="1" t="str">
        <f t="shared" si="506"/>
        <v>PRG-1046872</v>
      </c>
      <c r="E18833" t="s">
        <v>331</v>
      </c>
      <c r="F18833" t="s">
        <v>4</v>
      </c>
      <c r="G18833" t="str">
        <f>""</f>
        <v/>
      </c>
    </row>
    <row r="18834" spans="1:7" x14ac:dyDescent="0.25">
      <c r="A18834" t="s">
        <v>8</v>
      </c>
      <c r="B18834" s="1" t="str">
        <f>"000174953 - RICHS BREAD &amp; ROLLS-SODEXO"</f>
        <v>000174953 - RICHS BREAD &amp; ROLLS-SODEXO</v>
      </c>
      <c r="C18834" t="s">
        <v>135</v>
      </c>
      <c r="D18834" s="1" t="str">
        <f t="shared" si="506"/>
        <v>PRG-1046872</v>
      </c>
      <c r="E18834" t="s">
        <v>331</v>
      </c>
      <c r="F18834" t="s">
        <v>4</v>
      </c>
      <c r="G18834" t="str">
        <f>""</f>
        <v/>
      </c>
    </row>
    <row r="18835" spans="1:7" x14ac:dyDescent="0.25">
      <c r="A18835" t="s">
        <v>8</v>
      </c>
      <c r="B18835" s="1" t="str">
        <f>"000176309 - RICHS BREAD &amp; ROLLS-SODEXO"</f>
        <v>000176309 - RICHS BREAD &amp; ROLLS-SODEXO</v>
      </c>
      <c r="C18835" t="s">
        <v>135</v>
      </c>
      <c r="D18835" s="1" t="str">
        <f t="shared" si="506"/>
        <v>PRG-1046872</v>
      </c>
      <c r="E18835" t="s">
        <v>331</v>
      </c>
      <c r="F18835" t="s">
        <v>4</v>
      </c>
      <c r="G18835" t="str">
        <f>""</f>
        <v/>
      </c>
    </row>
    <row r="18836" spans="1:7" x14ac:dyDescent="0.25">
      <c r="A18836" t="s">
        <v>8</v>
      </c>
      <c r="B18836" s="1" t="str">
        <f>"000178976 - RICHS BREAD &amp; ROLLS-SODEXO"</f>
        <v>000178976 - RICHS BREAD &amp; ROLLS-SODEXO</v>
      </c>
      <c r="C18836" t="s">
        <v>135</v>
      </c>
      <c r="D18836" s="1" t="str">
        <f t="shared" si="506"/>
        <v>PRG-1046872</v>
      </c>
      <c r="E18836" t="s">
        <v>331</v>
      </c>
      <c r="F18836" t="s">
        <v>4</v>
      </c>
      <c r="G18836" t="str">
        <f>""</f>
        <v/>
      </c>
    </row>
    <row r="18837" spans="1:7" x14ac:dyDescent="0.25">
      <c r="A18837" t="s">
        <v>8</v>
      </c>
      <c r="B18837" s="1" t="str">
        <f>"000188903 - RICHS BREAD&amp;ROLLS-SODEXO"</f>
        <v>000188903 - RICHS BREAD&amp;ROLLS-SODEXO</v>
      </c>
      <c r="C18837" t="s">
        <v>551</v>
      </c>
      <c r="D18837" s="1" t="str">
        <f t="shared" si="506"/>
        <v>PRG-1046872</v>
      </c>
      <c r="E18837" t="s">
        <v>331</v>
      </c>
      <c r="F18837" t="s">
        <v>4</v>
      </c>
      <c r="G18837" t="str">
        <f>""</f>
        <v/>
      </c>
    </row>
    <row r="18838" spans="1:7" x14ac:dyDescent="0.25">
      <c r="A18838" t="s">
        <v>8</v>
      </c>
      <c r="B18838" s="1" t="str">
        <f>"000190656 - RICHS BREAD &amp; ROLLS-SODEXO"</f>
        <v>000190656 - RICHS BREAD &amp; ROLLS-SODEXO</v>
      </c>
      <c r="C18838" t="s">
        <v>135</v>
      </c>
      <c r="D18838" s="1" t="str">
        <f t="shared" si="506"/>
        <v>PRG-1046872</v>
      </c>
      <c r="E18838" t="s">
        <v>331</v>
      </c>
      <c r="F18838" t="s">
        <v>4</v>
      </c>
      <c r="G18838" t="str">
        <f>""</f>
        <v/>
      </c>
    </row>
    <row r="18839" spans="1:7" x14ac:dyDescent="0.25">
      <c r="A18839" t="s">
        <v>8</v>
      </c>
      <c r="B18839" s="1" t="str">
        <f>"000193710 - RICHS BREAD &amp; ROLLS-SODEXO"</f>
        <v>000193710 - RICHS BREAD &amp; ROLLS-SODEXO</v>
      </c>
      <c r="C18839" t="s">
        <v>135</v>
      </c>
      <c r="D18839" s="1" t="str">
        <f t="shared" si="506"/>
        <v>PRG-1046872</v>
      </c>
      <c r="E18839" t="s">
        <v>331</v>
      </c>
      <c r="F18839" t="s">
        <v>4</v>
      </c>
      <c r="G18839" t="str">
        <f>""</f>
        <v/>
      </c>
    </row>
    <row r="18840" spans="1:7" x14ac:dyDescent="0.25">
      <c r="A18840" t="s">
        <v>8</v>
      </c>
      <c r="B18840" s="1" t="str">
        <f>"000194065 - RICHS BREAD&amp;ROLLS-SODEXO"</f>
        <v>000194065 - RICHS BREAD&amp;ROLLS-SODEXO</v>
      </c>
      <c r="C18840" t="s">
        <v>551</v>
      </c>
      <c r="D18840" s="1" t="str">
        <f t="shared" si="506"/>
        <v>PRG-1046872</v>
      </c>
      <c r="E18840" t="s">
        <v>331</v>
      </c>
      <c r="F18840" t="s">
        <v>4</v>
      </c>
      <c r="G18840" t="str">
        <f>""</f>
        <v/>
      </c>
    </row>
    <row r="18841" spans="1:7" x14ac:dyDescent="0.25">
      <c r="A18841" t="s">
        <v>8</v>
      </c>
      <c r="B18841" s="1" t="str">
        <f>"000198781 - RICHS BREAD &amp; ROLLS-SODEXO"</f>
        <v>000198781 - RICHS BREAD &amp; ROLLS-SODEXO</v>
      </c>
      <c r="C18841" t="s">
        <v>135</v>
      </c>
      <c r="D18841" s="1" t="str">
        <f t="shared" si="506"/>
        <v>PRG-1046872</v>
      </c>
      <c r="E18841" t="s">
        <v>331</v>
      </c>
      <c r="F18841" t="s">
        <v>4</v>
      </c>
      <c r="G18841" t="str">
        <f>""</f>
        <v/>
      </c>
    </row>
    <row r="18842" spans="1:7" x14ac:dyDescent="0.25">
      <c r="A18842" t="s">
        <v>8</v>
      </c>
      <c r="B18842" s="1" t="str">
        <f>"000200638 - RICHS BREAD &amp; ROLLS-SODEXO"</f>
        <v>000200638 - RICHS BREAD &amp; ROLLS-SODEXO</v>
      </c>
      <c r="C18842" t="s">
        <v>135</v>
      </c>
      <c r="D18842" s="1" t="str">
        <f t="shared" si="506"/>
        <v>PRG-1046872</v>
      </c>
      <c r="E18842" t="s">
        <v>331</v>
      </c>
      <c r="F18842" t="s">
        <v>4</v>
      </c>
      <c r="G18842" t="str">
        <f>""</f>
        <v/>
      </c>
    </row>
    <row r="18843" spans="1:7" x14ac:dyDescent="0.25">
      <c r="A18843" t="s">
        <v>8</v>
      </c>
      <c r="B18843" s="1" t="str">
        <f>"000208747 - RICHS BREAD &amp; ROLLS-SODEXO"</f>
        <v>000208747 - RICHS BREAD &amp; ROLLS-SODEXO</v>
      </c>
      <c r="C18843" t="s">
        <v>135</v>
      </c>
      <c r="D18843" s="1" t="str">
        <f t="shared" si="506"/>
        <v>PRG-1046872</v>
      </c>
      <c r="E18843" t="s">
        <v>331</v>
      </c>
      <c r="F18843" t="s">
        <v>4</v>
      </c>
      <c r="G18843" t="str">
        <f>""</f>
        <v/>
      </c>
    </row>
    <row r="18844" spans="1:7" x14ac:dyDescent="0.25">
      <c r="A18844" t="s">
        <v>8</v>
      </c>
      <c r="B18844" s="1" t="str">
        <f>"000210940 - RICHS BREAD &amp; ROLLS-SODEXO"</f>
        <v>000210940 - RICHS BREAD &amp; ROLLS-SODEXO</v>
      </c>
      <c r="C18844" t="s">
        <v>135</v>
      </c>
      <c r="D18844" s="1" t="str">
        <f t="shared" si="506"/>
        <v>PRG-1046872</v>
      </c>
      <c r="E18844" t="s">
        <v>331</v>
      </c>
      <c r="F18844" t="s">
        <v>4</v>
      </c>
      <c r="G18844" t="str">
        <f>""</f>
        <v/>
      </c>
    </row>
    <row r="18845" spans="1:7" x14ac:dyDescent="0.25">
      <c r="A18845" t="s">
        <v>8</v>
      </c>
      <c r="B18845" s="1" t="str">
        <f>"000213485 - RICHS BREAD &amp; ROLLS-SODEXO"</f>
        <v>000213485 - RICHS BREAD &amp; ROLLS-SODEXO</v>
      </c>
      <c r="C18845" t="s">
        <v>135</v>
      </c>
      <c r="D18845" s="1" t="str">
        <f t="shared" si="506"/>
        <v>PRG-1046872</v>
      </c>
      <c r="E18845" t="s">
        <v>331</v>
      </c>
      <c r="F18845" t="s">
        <v>4</v>
      </c>
      <c r="G18845" t="str">
        <f>""</f>
        <v/>
      </c>
    </row>
    <row r="18846" spans="1:7" x14ac:dyDescent="0.25">
      <c r="A18846" t="s">
        <v>8</v>
      </c>
      <c r="B18846" s="1" t="str">
        <f>"000218884 - RICHS BREAD &amp; ROLLS-SODEXO"</f>
        <v>000218884 - RICHS BREAD &amp; ROLLS-SODEXO</v>
      </c>
      <c r="C18846" t="s">
        <v>135</v>
      </c>
      <c r="D18846" s="1" t="str">
        <f t="shared" ref="D18846:D18877" si="507">"PRG-1046872"</f>
        <v>PRG-1046872</v>
      </c>
      <c r="E18846" t="s">
        <v>331</v>
      </c>
      <c r="F18846" t="s">
        <v>4</v>
      </c>
      <c r="G18846" t="str">
        <f>""</f>
        <v/>
      </c>
    </row>
    <row r="18847" spans="1:7" x14ac:dyDescent="0.25">
      <c r="A18847" t="s">
        <v>8</v>
      </c>
      <c r="B18847" s="1" t="str">
        <f>"000233545 - RICHS BREAD &amp; ROLLS-SODEXO"</f>
        <v>000233545 - RICHS BREAD &amp; ROLLS-SODEXO</v>
      </c>
      <c r="C18847" t="s">
        <v>135</v>
      </c>
      <c r="D18847" s="1" t="str">
        <f t="shared" si="507"/>
        <v>PRG-1046872</v>
      </c>
      <c r="E18847" t="s">
        <v>331</v>
      </c>
      <c r="F18847" t="s">
        <v>4</v>
      </c>
      <c r="G18847" t="str">
        <f>""</f>
        <v/>
      </c>
    </row>
    <row r="18848" spans="1:7" x14ac:dyDescent="0.25">
      <c r="A18848" t="s">
        <v>8</v>
      </c>
      <c r="B18848" s="1" t="str">
        <f>"000237263 - RICHS BREAD &amp; ROLLS-SODEXO"</f>
        <v>000237263 - RICHS BREAD &amp; ROLLS-SODEXO</v>
      </c>
      <c r="C18848" t="s">
        <v>135</v>
      </c>
      <c r="D18848" s="1" t="str">
        <f t="shared" si="507"/>
        <v>PRG-1046872</v>
      </c>
      <c r="E18848" t="s">
        <v>331</v>
      </c>
      <c r="F18848" t="s">
        <v>4</v>
      </c>
      <c r="G18848" t="str">
        <f>""</f>
        <v/>
      </c>
    </row>
    <row r="18849" spans="1:7" x14ac:dyDescent="0.25">
      <c r="A18849" t="s">
        <v>8</v>
      </c>
      <c r="B18849" s="1" t="str">
        <f>"000239531 - RICHS BREAD &amp; ROLLS-SODEXO"</f>
        <v>000239531 - RICHS BREAD &amp; ROLLS-SODEXO</v>
      </c>
      <c r="C18849" t="s">
        <v>135</v>
      </c>
      <c r="D18849" s="1" t="str">
        <f t="shared" si="507"/>
        <v>PRG-1046872</v>
      </c>
      <c r="E18849" t="s">
        <v>331</v>
      </c>
      <c r="F18849" t="s">
        <v>4</v>
      </c>
      <c r="G18849" t="str">
        <f>""</f>
        <v/>
      </c>
    </row>
    <row r="18850" spans="1:7" x14ac:dyDescent="0.25">
      <c r="A18850" t="s">
        <v>8</v>
      </c>
      <c r="B18850" s="1" t="str">
        <f>"000241654 - RICHS BREAD &amp; ROLLS-SODEXO"</f>
        <v>000241654 - RICHS BREAD &amp; ROLLS-SODEXO</v>
      </c>
      <c r="C18850" t="s">
        <v>135</v>
      </c>
      <c r="D18850" s="1" t="str">
        <f t="shared" si="507"/>
        <v>PRG-1046872</v>
      </c>
      <c r="E18850" t="s">
        <v>331</v>
      </c>
      <c r="F18850" t="s">
        <v>4</v>
      </c>
      <c r="G18850" t="str">
        <f>""</f>
        <v/>
      </c>
    </row>
    <row r="18851" spans="1:7" x14ac:dyDescent="0.25">
      <c r="A18851" t="s">
        <v>8</v>
      </c>
      <c r="B18851" s="1" t="str">
        <f>"000243665 - RICHS BREAD &amp; ROLLS-SODEXO"</f>
        <v>000243665 - RICHS BREAD &amp; ROLLS-SODEXO</v>
      </c>
      <c r="C18851" t="s">
        <v>135</v>
      </c>
      <c r="D18851" s="1" t="str">
        <f t="shared" si="507"/>
        <v>PRG-1046872</v>
      </c>
      <c r="E18851" t="s">
        <v>331</v>
      </c>
      <c r="F18851" t="s">
        <v>4</v>
      </c>
      <c r="G18851" t="str">
        <f>""</f>
        <v/>
      </c>
    </row>
    <row r="18852" spans="1:7" x14ac:dyDescent="0.25">
      <c r="A18852" t="s">
        <v>8</v>
      </c>
      <c r="B18852" s="1" t="str">
        <f>"000247299 - RICHS BREAD &amp; ROLLS-SODEXO"</f>
        <v>000247299 - RICHS BREAD &amp; ROLLS-SODEXO</v>
      </c>
      <c r="C18852" t="s">
        <v>135</v>
      </c>
      <c r="D18852" s="1" t="str">
        <f t="shared" si="507"/>
        <v>PRG-1046872</v>
      </c>
      <c r="E18852" t="s">
        <v>331</v>
      </c>
      <c r="F18852" t="s">
        <v>4</v>
      </c>
      <c r="G18852" t="str">
        <f>""</f>
        <v/>
      </c>
    </row>
    <row r="18853" spans="1:7" x14ac:dyDescent="0.25">
      <c r="A18853" t="s">
        <v>8</v>
      </c>
      <c r="B18853" s="1" t="str">
        <f>"000248315 - RICHS BREAD &amp; ROLLS-SODEXO"</f>
        <v>000248315 - RICHS BREAD &amp; ROLLS-SODEXO</v>
      </c>
      <c r="C18853" t="s">
        <v>135</v>
      </c>
      <c r="D18853" s="1" t="str">
        <f t="shared" si="507"/>
        <v>PRG-1046872</v>
      </c>
      <c r="E18853" t="s">
        <v>331</v>
      </c>
      <c r="F18853" t="s">
        <v>4</v>
      </c>
      <c r="G18853" t="str">
        <f>""</f>
        <v/>
      </c>
    </row>
    <row r="18854" spans="1:7" x14ac:dyDescent="0.25">
      <c r="A18854" t="s">
        <v>8</v>
      </c>
      <c r="B18854" s="1" t="str">
        <f>"000250326 - RICHS BREAD &amp; ROLLS-SODEXO"</f>
        <v>000250326 - RICHS BREAD &amp; ROLLS-SODEXO</v>
      </c>
      <c r="C18854" t="s">
        <v>135</v>
      </c>
      <c r="D18854" s="1" t="str">
        <f t="shared" si="507"/>
        <v>PRG-1046872</v>
      </c>
      <c r="E18854" t="s">
        <v>331</v>
      </c>
      <c r="F18854" t="s">
        <v>4</v>
      </c>
      <c r="G18854" t="str">
        <f>""</f>
        <v/>
      </c>
    </row>
    <row r="18855" spans="1:7" x14ac:dyDescent="0.25">
      <c r="A18855" t="s">
        <v>8</v>
      </c>
      <c r="B18855" s="1" t="str">
        <f>"000250378 - RICHS BREAD &amp; ROLLS-SODEXO"</f>
        <v>000250378 - RICHS BREAD &amp; ROLLS-SODEXO</v>
      </c>
      <c r="C18855" t="s">
        <v>135</v>
      </c>
      <c r="D18855" s="1" t="str">
        <f t="shared" si="507"/>
        <v>PRG-1046872</v>
      </c>
      <c r="E18855" t="s">
        <v>331</v>
      </c>
      <c r="F18855" t="s">
        <v>4</v>
      </c>
      <c r="G18855" t="str">
        <f>""</f>
        <v/>
      </c>
    </row>
    <row r="18856" spans="1:7" x14ac:dyDescent="0.25">
      <c r="A18856" t="s">
        <v>8</v>
      </c>
      <c r="B18856" s="1" t="str">
        <f>"000252873 - RICHS BREAD &amp; ROLLS-SODEXO"</f>
        <v>000252873 - RICHS BREAD &amp; ROLLS-SODEXO</v>
      </c>
      <c r="C18856" t="s">
        <v>135</v>
      </c>
      <c r="D18856" s="1" t="str">
        <f t="shared" si="507"/>
        <v>PRG-1046872</v>
      </c>
      <c r="E18856" t="s">
        <v>331</v>
      </c>
      <c r="F18856" t="s">
        <v>4</v>
      </c>
      <c r="G18856" t="str">
        <f>""</f>
        <v/>
      </c>
    </row>
    <row r="18857" spans="1:7" x14ac:dyDescent="0.25">
      <c r="A18857" t="s">
        <v>8</v>
      </c>
      <c r="B18857" s="1" t="str">
        <f>"000254466 - RICHS BREAD &amp; ROLLS-SODEXO"</f>
        <v>000254466 - RICHS BREAD &amp; ROLLS-SODEXO</v>
      </c>
      <c r="C18857" t="s">
        <v>135</v>
      </c>
      <c r="D18857" s="1" t="str">
        <f t="shared" si="507"/>
        <v>PRG-1046872</v>
      </c>
      <c r="E18857" t="s">
        <v>331</v>
      </c>
      <c r="F18857" t="s">
        <v>4</v>
      </c>
      <c r="G18857" t="str">
        <f>""</f>
        <v/>
      </c>
    </row>
    <row r="18858" spans="1:7" x14ac:dyDescent="0.25">
      <c r="A18858" t="s">
        <v>8</v>
      </c>
      <c r="B18858" s="1" t="str">
        <f>"000256296 - RICHS BREAD &amp; ROLLS-SODEXO"</f>
        <v>000256296 - RICHS BREAD &amp; ROLLS-SODEXO</v>
      </c>
      <c r="C18858" t="s">
        <v>135</v>
      </c>
      <c r="D18858" s="1" t="str">
        <f t="shared" si="507"/>
        <v>PRG-1046872</v>
      </c>
      <c r="E18858" t="s">
        <v>331</v>
      </c>
      <c r="F18858" t="s">
        <v>4</v>
      </c>
      <c r="G18858" t="str">
        <f>""</f>
        <v/>
      </c>
    </row>
    <row r="18859" spans="1:7" x14ac:dyDescent="0.25">
      <c r="A18859" t="s">
        <v>8</v>
      </c>
      <c r="B18859" s="1" t="str">
        <f>"000258996 - RICHS BREAD &amp; ROLLS-SODEXO"</f>
        <v>000258996 - RICHS BREAD &amp; ROLLS-SODEXO</v>
      </c>
      <c r="C18859" t="s">
        <v>135</v>
      </c>
      <c r="D18859" s="1" t="str">
        <f t="shared" si="507"/>
        <v>PRG-1046872</v>
      </c>
      <c r="E18859" t="s">
        <v>331</v>
      </c>
      <c r="F18859" t="s">
        <v>4</v>
      </c>
      <c r="G18859" t="str">
        <f>""</f>
        <v/>
      </c>
    </row>
    <row r="18860" spans="1:7" x14ac:dyDescent="0.25">
      <c r="A18860" t="s">
        <v>8</v>
      </c>
      <c r="B18860" s="1" t="str">
        <f>"000261233 - RICHS BREAD &amp; ROLLS-SODEXO"</f>
        <v>000261233 - RICHS BREAD &amp; ROLLS-SODEXO</v>
      </c>
      <c r="C18860" t="s">
        <v>135</v>
      </c>
      <c r="D18860" s="1" t="str">
        <f t="shared" si="507"/>
        <v>PRG-1046872</v>
      </c>
      <c r="E18860" t="s">
        <v>331</v>
      </c>
      <c r="F18860" t="s">
        <v>4</v>
      </c>
      <c r="G18860" t="str">
        <f>""</f>
        <v/>
      </c>
    </row>
    <row r="18861" spans="1:7" x14ac:dyDescent="0.25">
      <c r="A18861" t="s">
        <v>8</v>
      </c>
      <c r="B18861" s="1" t="str">
        <f>"000263240 - RICHS BREAD &amp; ROLLS-SODEXO"</f>
        <v>000263240 - RICHS BREAD &amp; ROLLS-SODEXO</v>
      </c>
      <c r="C18861" t="s">
        <v>135</v>
      </c>
      <c r="D18861" s="1" t="str">
        <f t="shared" si="507"/>
        <v>PRG-1046872</v>
      </c>
      <c r="E18861" t="s">
        <v>331</v>
      </c>
      <c r="F18861" t="s">
        <v>4</v>
      </c>
      <c r="G18861" t="str">
        <f>""</f>
        <v/>
      </c>
    </row>
    <row r="18862" spans="1:7" x14ac:dyDescent="0.25">
      <c r="A18862" t="s">
        <v>8</v>
      </c>
      <c r="B18862" s="1" t="str">
        <f>"000263491 - RICHS BREAD &amp; ROLLS-SODEXO"</f>
        <v>000263491 - RICHS BREAD &amp; ROLLS-SODEXO</v>
      </c>
      <c r="C18862" t="s">
        <v>135</v>
      </c>
      <c r="D18862" s="1" t="str">
        <f t="shared" si="507"/>
        <v>PRG-1046872</v>
      </c>
      <c r="E18862" t="s">
        <v>331</v>
      </c>
      <c r="F18862" t="s">
        <v>4</v>
      </c>
      <c r="G18862" t="str">
        <f>""</f>
        <v/>
      </c>
    </row>
    <row r="18863" spans="1:7" x14ac:dyDescent="0.25">
      <c r="A18863" t="s">
        <v>8</v>
      </c>
      <c r="B18863" s="1" t="str">
        <f>"000264472 - RICHS BREAD &amp; ROLLS-SODEXO"</f>
        <v>000264472 - RICHS BREAD &amp; ROLLS-SODEXO</v>
      </c>
      <c r="C18863" t="s">
        <v>135</v>
      </c>
      <c r="D18863" s="1" t="str">
        <f t="shared" si="507"/>
        <v>PRG-1046872</v>
      </c>
      <c r="E18863" t="s">
        <v>331</v>
      </c>
      <c r="F18863" t="s">
        <v>4</v>
      </c>
      <c r="G18863" t="str">
        <f>""</f>
        <v/>
      </c>
    </row>
    <row r="18864" spans="1:7" x14ac:dyDescent="0.25">
      <c r="A18864" t="s">
        <v>8</v>
      </c>
      <c r="B18864" s="1" t="str">
        <f>"000264866 - RICHS BREAD &amp; ROLLS-SODEXO"</f>
        <v>000264866 - RICHS BREAD &amp; ROLLS-SODEXO</v>
      </c>
      <c r="C18864" t="s">
        <v>135</v>
      </c>
      <c r="D18864" s="1" t="str">
        <f t="shared" si="507"/>
        <v>PRG-1046872</v>
      </c>
      <c r="E18864" t="s">
        <v>331</v>
      </c>
      <c r="F18864" t="s">
        <v>4</v>
      </c>
      <c r="G18864" t="str">
        <f>""</f>
        <v/>
      </c>
    </row>
    <row r="18865" spans="1:7" x14ac:dyDescent="0.25">
      <c r="A18865" t="s">
        <v>8</v>
      </c>
      <c r="B18865" s="1" t="str">
        <f>"000266091 - RICHS BREAD&amp;ROLLS-SODEXO"</f>
        <v>000266091 - RICHS BREAD&amp;ROLLS-SODEXO</v>
      </c>
      <c r="C18865" t="s">
        <v>551</v>
      </c>
      <c r="D18865" s="1" t="str">
        <f t="shared" si="507"/>
        <v>PRG-1046872</v>
      </c>
      <c r="E18865" t="s">
        <v>331</v>
      </c>
      <c r="F18865" t="s">
        <v>4</v>
      </c>
      <c r="G18865" t="str">
        <f>""</f>
        <v/>
      </c>
    </row>
    <row r="18866" spans="1:7" x14ac:dyDescent="0.25">
      <c r="A18866" t="s">
        <v>8</v>
      </c>
      <c r="B18866" s="1" t="str">
        <f>"000267074 - RICHS BREAD &amp; ROLLS-SODEXO"</f>
        <v>000267074 - RICHS BREAD &amp; ROLLS-SODEXO</v>
      </c>
      <c r="C18866" t="s">
        <v>135</v>
      </c>
      <c r="D18866" s="1" t="str">
        <f t="shared" si="507"/>
        <v>PRG-1046872</v>
      </c>
      <c r="E18866" t="s">
        <v>331</v>
      </c>
      <c r="F18866" t="s">
        <v>4</v>
      </c>
      <c r="G18866" t="str">
        <f>""</f>
        <v/>
      </c>
    </row>
    <row r="18867" spans="1:7" x14ac:dyDescent="0.25">
      <c r="A18867" t="s">
        <v>8</v>
      </c>
      <c r="B18867" s="1" t="str">
        <f>"000268431 - RICHS BREAD &amp; ROLLS-SODEXO"</f>
        <v>000268431 - RICHS BREAD &amp; ROLLS-SODEXO</v>
      </c>
      <c r="C18867" t="s">
        <v>135</v>
      </c>
      <c r="D18867" s="1" t="str">
        <f t="shared" si="507"/>
        <v>PRG-1046872</v>
      </c>
      <c r="E18867" t="s">
        <v>331</v>
      </c>
      <c r="F18867" t="s">
        <v>4</v>
      </c>
      <c r="G18867" t="str">
        <f>""</f>
        <v/>
      </c>
    </row>
    <row r="18868" spans="1:7" x14ac:dyDescent="0.25">
      <c r="A18868" t="s">
        <v>8</v>
      </c>
      <c r="B18868" s="1" t="str">
        <f>"000268558 - RICHS BREAD &amp; ROLLS-SODEXO"</f>
        <v>000268558 - RICHS BREAD &amp; ROLLS-SODEXO</v>
      </c>
      <c r="C18868" t="s">
        <v>135</v>
      </c>
      <c r="D18868" s="1" t="str">
        <f t="shared" si="507"/>
        <v>PRG-1046872</v>
      </c>
      <c r="E18868" t="s">
        <v>331</v>
      </c>
      <c r="F18868" t="s">
        <v>4</v>
      </c>
      <c r="G18868" t="str">
        <f>""</f>
        <v/>
      </c>
    </row>
    <row r="18869" spans="1:7" x14ac:dyDescent="0.25">
      <c r="A18869" t="s">
        <v>8</v>
      </c>
      <c r="B18869" s="1" t="str">
        <f>"000269884 - RICHS BREAD &amp; ROLLS-SODEXO"</f>
        <v>000269884 - RICHS BREAD &amp; ROLLS-SODEXO</v>
      </c>
      <c r="C18869" t="s">
        <v>135</v>
      </c>
      <c r="D18869" s="1" t="str">
        <f t="shared" si="507"/>
        <v>PRG-1046872</v>
      </c>
      <c r="E18869" t="s">
        <v>331</v>
      </c>
      <c r="F18869" t="s">
        <v>4</v>
      </c>
      <c r="G18869" t="str">
        <f>""</f>
        <v/>
      </c>
    </row>
    <row r="18870" spans="1:7" x14ac:dyDescent="0.25">
      <c r="A18870" t="s">
        <v>8</v>
      </c>
      <c r="B18870" s="1" t="str">
        <f>"000272160 - RICHS BREAD &amp; ROLLS-SODEXO"</f>
        <v>000272160 - RICHS BREAD &amp; ROLLS-SODEXO</v>
      </c>
      <c r="C18870" t="s">
        <v>135</v>
      </c>
      <c r="D18870" s="1" t="str">
        <f t="shared" si="507"/>
        <v>PRG-1046872</v>
      </c>
      <c r="E18870" t="s">
        <v>331</v>
      </c>
      <c r="F18870" t="s">
        <v>4</v>
      </c>
      <c r="G18870" t="str">
        <f>""</f>
        <v/>
      </c>
    </row>
    <row r="18871" spans="1:7" x14ac:dyDescent="0.25">
      <c r="A18871" t="s">
        <v>8</v>
      </c>
      <c r="B18871" s="1" t="str">
        <f>"000272482 - RICHS BREAD &amp; ROLLS-SODEXO"</f>
        <v>000272482 - RICHS BREAD &amp; ROLLS-SODEXO</v>
      </c>
      <c r="C18871" t="s">
        <v>135</v>
      </c>
      <c r="D18871" s="1" t="str">
        <f t="shared" si="507"/>
        <v>PRG-1046872</v>
      </c>
      <c r="E18871" t="s">
        <v>331</v>
      </c>
      <c r="F18871" t="s">
        <v>4</v>
      </c>
      <c r="G18871" t="str">
        <f>""</f>
        <v/>
      </c>
    </row>
    <row r="18872" spans="1:7" x14ac:dyDescent="0.25">
      <c r="A18872" t="s">
        <v>8</v>
      </c>
      <c r="B18872" s="1" t="str">
        <f>"000273345 - RICHS BREAD &amp; ROLLS-SODEXO"</f>
        <v>000273345 - RICHS BREAD &amp; ROLLS-SODEXO</v>
      </c>
      <c r="C18872" t="s">
        <v>135</v>
      </c>
      <c r="D18872" s="1" t="str">
        <f t="shared" si="507"/>
        <v>PRG-1046872</v>
      </c>
      <c r="E18872" t="s">
        <v>331</v>
      </c>
      <c r="F18872" t="s">
        <v>4</v>
      </c>
      <c r="G18872" t="str">
        <f>""</f>
        <v/>
      </c>
    </row>
    <row r="18873" spans="1:7" x14ac:dyDescent="0.25">
      <c r="A18873" t="s">
        <v>8</v>
      </c>
      <c r="B18873" s="1" t="str">
        <f>"000273512 - RICHS BREAD &amp; ROLLS-SODEXO"</f>
        <v>000273512 - RICHS BREAD &amp; ROLLS-SODEXO</v>
      </c>
      <c r="C18873" t="s">
        <v>135</v>
      </c>
      <c r="D18873" s="1" t="str">
        <f t="shared" si="507"/>
        <v>PRG-1046872</v>
      </c>
      <c r="E18873" t="s">
        <v>331</v>
      </c>
      <c r="F18873" t="s">
        <v>4</v>
      </c>
      <c r="G18873" t="str">
        <f>""</f>
        <v/>
      </c>
    </row>
    <row r="18874" spans="1:7" x14ac:dyDescent="0.25">
      <c r="A18874" t="s">
        <v>8</v>
      </c>
      <c r="B18874" s="1" t="str">
        <f>"000274322 - RICHS BREAD&amp;ROLLS-SODEXO"</f>
        <v>000274322 - RICHS BREAD&amp;ROLLS-SODEXO</v>
      </c>
      <c r="C18874" t="s">
        <v>551</v>
      </c>
      <c r="D18874" s="1" t="str">
        <f t="shared" si="507"/>
        <v>PRG-1046872</v>
      </c>
      <c r="E18874" t="s">
        <v>331</v>
      </c>
      <c r="F18874" t="s">
        <v>4</v>
      </c>
      <c r="G18874" t="str">
        <f>""</f>
        <v/>
      </c>
    </row>
    <row r="18875" spans="1:7" x14ac:dyDescent="0.25">
      <c r="A18875" t="s">
        <v>8</v>
      </c>
      <c r="B18875" s="1" t="str">
        <f>"000274882 - RICHS BREAD &amp; ROLLS-SODEXO"</f>
        <v>000274882 - RICHS BREAD &amp; ROLLS-SODEXO</v>
      </c>
      <c r="C18875" t="s">
        <v>135</v>
      </c>
      <c r="D18875" s="1" t="str">
        <f t="shared" si="507"/>
        <v>PRG-1046872</v>
      </c>
      <c r="E18875" t="s">
        <v>331</v>
      </c>
      <c r="F18875" t="s">
        <v>4</v>
      </c>
      <c r="G18875" t="str">
        <f>""</f>
        <v/>
      </c>
    </row>
    <row r="18876" spans="1:7" x14ac:dyDescent="0.25">
      <c r="A18876" t="s">
        <v>8</v>
      </c>
      <c r="B18876" s="1" t="str">
        <f>"000274964 - RICHS BREAD &amp; ROLLS-SODEXO"</f>
        <v>000274964 - RICHS BREAD &amp; ROLLS-SODEXO</v>
      </c>
      <c r="C18876" t="s">
        <v>135</v>
      </c>
      <c r="D18876" s="1" t="str">
        <f t="shared" si="507"/>
        <v>PRG-1046872</v>
      </c>
      <c r="E18876" t="s">
        <v>331</v>
      </c>
      <c r="F18876" t="s">
        <v>4</v>
      </c>
      <c r="G18876" t="str">
        <f>""</f>
        <v/>
      </c>
    </row>
    <row r="18877" spans="1:7" x14ac:dyDescent="0.25">
      <c r="A18877" t="s">
        <v>8</v>
      </c>
      <c r="B18877" s="1" t="str">
        <f>"000277508 - RICHS BREAD &amp; ROLLS-SODEXO"</f>
        <v>000277508 - RICHS BREAD &amp; ROLLS-SODEXO</v>
      </c>
      <c r="C18877" t="s">
        <v>135</v>
      </c>
      <c r="D18877" s="1" t="str">
        <f t="shared" si="507"/>
        <v>PRG-1046872</v>
      </c>
      <c r="E18877" t="s">
        <v>331</v>
      </c>
      <c r="F18877" t="s">
        <v>4</v>
      </c>
      <c r="G18877" t="str">
        <f>""</f>
        <v/>
      </c>
    </row>
    <row r="18878" spans="1:7" x14ac:dyDescent="0.25">
      <c r="A18878" t="s">
        <v>8</v>
      </c>
      <c r="B18878" s="1" t="str">
        <f>"000277769 - RICHS BREAD &amp; ROLLS-SODEXO"</f>
        <v>000277769 - RICHS BREAD &amp; ROLLS-SODEXO</v>
      </c>
      <c r="C18878" t="s">
        <v>135</v>
      </c>
      <c r="D18878" s="1" t="str">
        <f t="shared" ref="D18878:D18909" si="508">"PRG-1046872"</f>
        <v>PRG-1046872</v>
      </c>
      <c r="E18878" t="s">
        <v>331</v>
      </c>
      <c r="F18878" t="s">
        <v>4</v>
      </c>
      <c r="G18878" t="str">
        <f>""</f>
        <v/>
      </c>
    </row>
    <row r="18879" spans="1:7" x14ac:dyDescent="0.25">
      <c r="A18879" t="s">
        <v>8</v>
      </c>
      <c r="B18879" s="1" t="str">
        <f>"000278782 - RICHS BREAD &amp; ROLLS-SODEXO"</f>
        <v>000278782 - RICHS BREAD &amp; ROLLS-SODEXO</v>
      </c>
      <c r="C18879" t="s">
        <v>135</v>
      </c>
      <c r="D18879" s="1" t="str">
        <f t="shared" si="508"/>
        <v>PRG-1046872</v>
      </c>
      <c r="E18879" t="s">
        <v>331</v>
      </c>
      <c r="F18879" t="s">
        <v>4</v>
      </c>
      <c r="G18879" t="str">
        <f>""</f>
        <v/>
      </c>
    </row>
    <row r="18880" spans="1:7" x14ac:dyDescent="0.25">
      <c r="A18880" t="s">
        <v>8</v>
      </c>
      <c r="B18880" s="1" t="str">
        <f>"000278943 - RICHS BREAD &amp; ROLLS-SODEXO"</f>
        <v>000278943 - RICHS BREAD &amp; ROLLS-SODEXO</v>
      </c>
      <c r="C18880" t="s">
        <v>135</v>
      </c>
      <c r="D18880" s="1" t="str">
        <f t="shared" si="508"/>
        <v>PRG-1046872</v>
      </c>
      <c r="E18880" t="s">
        <v>331</v>
      </c>
      <c r="F18880" t="s">
        <v>4</v>
      </c>
      <c r="G18880" t="str">
        <f>""</f>
        <v/>
      </c>
    </row>
    <row r="18881" spans="1:7" x14ac:dyDescent="0.25">
      <c r="A18881" t="s">
        <v>8</v>
      </c>
      <c r="B18881" s="1" t="str">
        <f>"000281385 - RICHS BREAD &amp; ROLLS-SODEXO"</f>
        <v>000281385 - RICHS BREAD &amp; ROLLS-SODEXO</v>
      </c>
      <c r="C18881" t="s">
        <v>135</v>
      </c>
      <c r="D18881" s="1" t="str">
        <f t="shared" si="508"/>
        <v>PRG-1046872</v>
      </c>
      <c r="E18881" t="s">
        <v>331</v>
      </c>
      <c r="F18881" t="s">
        <v>4</v>
      </c>
      <c r="G18881" t="str">
        <f>""</f>
        <v/>
      </c>
    </row>
    <row r="18882" spans="1:7" x14ac:dyDescent="0.25">
      <c r="A18882" t="s">
        <v>8</v>
      </c>
      <c r="B18882" s="1" t="str">
        <f>"000283008 - RICHS BREAD &amp; ROLLS-SODEXO"</f>
        <v>000283008 - RICHS BREAD &amp; ROLLS-SODEXO</v>
      </c>
      <c r="C18882" t="s">
        <v>135</v>
      </c>
      <c r="D18882" s="1" t="str">
        <f t="shared" si="508"/>
        <v>PRG-1046872</v>
      </c>
      <c r="E18882" t="s">
        <v>331</v>
      </c>
      <c r="F18882" t="s">
        <v>4</v>
      </c>
      <c r="G18882" t="str">
        <f>""</f>
        <v/>
      </c>
    </row>
    <row r="18883" spans="1:7" x14ac:dyDescent="0.25">
      <c r="A18883" t="s">
        <v>8</v>
      </c>
      <c r="B18883" s="1" t="str">
        <f>"000285869 - RICHS BREAD &amp; ROLLS-SODEXO"</f>
        <v>000285869 - RICHS BREAD &amp; ROLLS-SODEXO</v>
      </c>
      <c r="C18883" t="s">
        <v>135</v>
      </c>
      <c r="D18883" s="1" t="str">
        <f t="shared" si="508"/>
        <v>PRG-1046872</v>
      </c>
      <c r="E18883" t="s">
        <v>331</v>
      </c>
      <c r="F18883" t="s">
        <v>4</v>
      </c>
      <c r="G18883" t="str">
        <f>""</f>
        <v/>
      </c>
    </row>
    <row r="18884" spans="1:7" x14ac:dyDescent="0.25">
      <c r="A18884" t="s">
        <v>8</v>
      </c>
      <c r="B18884" s="1" t="str">
        <f>"000287077 - RICHS BREAD &amp; ROLLS-SODEXO"</f>
        <v>000287077 - RICHS BREAD &amp; ROLLS-SODEXO</v>
      </c>
      <c r="C18884" t="s">
        <v>135</v>
      </c>
      <c r="D18884" s="1" t="str">
        <f t="shared" si="508"/>
        <v>PRG-1046872</v>
      </c>
      <c r="E18884" t="s">
        <v>331</v>
      </c>
      <c r="F18884" t="s">
        <v>4</v>
      </c>
      <c r="G18884" t="str">
        <f>""</f>
        <v/>
      </c>
    </row>
    <row r="18885" spans="1:7" x14ac:dyDescent="0.25">
      <c r="A18885" t="s">
        <v>8</v>
      </c>
      <c r="B18885" s="1" t="str">
        <f>"000287425 - RICHS BREAD &amp; ROLLS-SODEXO"</f>
        <v>000287425 - RICHS BREAD &amp; ROLLS-SODEXO</v>
      </c>
      <c r="C18885" t="s">
        <v>135</v>
      </c>
      <c r="D18885" s="1" t="str">
        <f t="shared" si="508"/>
        <v>PRG-1046872</v>
      </c>
      <c r="E18885" t="s">
        <v>331</v>
      </c>
      <c r="F18885" t="s">
        <v>4</v>
      </c>
      <c r="G18885" t="str">
        <f>""</f>
        <v/>
      </c>
    </row>
    <row r="18886" spans="1:7" x14ac:dyDescent="0.25">
      <c r="A18886" t="s">
        <v>8</v>
      </c>
      <c r="B18886" s="1" t="str">
        <f>"000288008 - RICHS BREAD &amp; ROLLS-SODEXO"</f>
        <v>000288008 - RICHS BREAD &amp; ROLLS-SODEXO</v>
      </c>
      <c r="C18886" t="s">
        <v>135</v>
      </c>
      <c r="D18886" s="1" t="str">
        <f t="shared" si="508"/>
        <v>PRG-1046872</v>
      </c>
      <c r="E18886" t="s">
        <v>331</v>
      </c>
      <c r="F18886" t="s">
        <v>4</v>
      </c>
      <c r="G18886" t="str">
        <f>""</f>
        <v/>
      </c>
    </row>
    <row r="18887" spans="1:7" x14ac:dyDescent="0.25">
      <c r="A18887" t="s">
        <v>8</v>
      </c>
      <c r="B18887" s="1" t="str">
        <f>"000288110 - RICHS BREAD&amp;ROLLS-SODEXO"</f>
        <v>000288110 - RICHS BREAD&amp;ROLLS-SODEXO</v>
      </c>
      <c r="C18887" t="s">
        <v>551</v>
      </c>
      <c r="D18887" s="1" t="str">
        <f t="shared" si="508"/>
        <v>PRG-1046872</v>
      </c>
      <c r="E18887" t="s">
        <v>331</v>
      </c>
      <c r="F18887" t="s">
        <v>4</v>
      </c>
      <c r="G18887" t="str">
        <f>""</f>
        <v/>
      </c>
    </row>
    <row r="18888" spans="1:7" x14ac:dyDescent="0.25">
      <c r="A18888" t="s">
        <v>8</v>
      </c>
      <c r="B18888" s="1" t="str">
        <f>"000288235 - RICHS BREAD &amp; ROLLS-SODEXO"</f>
        <v>000288235 - RICHS BREAD &amp; ROLLS-SODEXO</v>
      </c>
      <c r="C18888" t="s">
        <v>135</v>
      </c>
      <c r="D18888" s="1" t="str">
        <f t="shared" si="508"/>
        <v>PRG-1046872</v>
      </c>
      <c r="E18888" t="s">
        <v>331</v>
      </c>
      <c r="F18888" t="s">
        <v>4</v>
      </c>
      <c r="G18888" t="str">
        <f>""</f>
        <v/>
      </c>
    </row>
    <row r="18889" spans="1:7" x14ac:dyDescent="0.25">
      <c r="A18889" t="s">
        <v>8</v>
      </c>
      <c r="B18889" s="1" t="str">
        <f>"000289277 - RICHS BREAD &amp; ROLLS-SODEXO"</f>
        <v>000289277 - RICHS BREAD &amp; ROLLS-SODEXO</v>
      </c>
      <c r="C18889" t="s">
        <v>135</v>
      </c>
      <c r="D18889" s="1" t="str">
        <f t="shared" si="508"/>
        <v>PRG-1046872</v>
      </c>
      <c r="E18889" t="s">
        <v>331</v>
      </c>
      <c r="F18889" t="s">
        <v>4</v>
      </c>
      <c r="G18889" t="str">
        <f>""</f>
        <v/>
      </c>
    </row>
    <row r="18890" spans="1:7" x14ac:dyDescent="0.25">
      <c r="A18890" t="s">
        <v>8</v>
      </c>
      <c r="B18890" s="1" t="str">
        <f>"000289629 - RICHS BREAD &amp; ROLLS-SODEXO"</f>
        <v>000289629 - RICHS BREAD &amp; ROLLS-SODEXO</v>
      </c>
      <c r="C18890" t="s">
        <v>135</v>
      </c>
      <c r="D18890" s="1" t="str">
        <f t="shared" si="508"/>
        <v>PRG-1046872</v>
      </c>
      <c r="E18890" t="s">
        <v>331</v>
      </c>
      <c r="F18890" t="s">
        <v>4</v>
      </c>
      <c r="G18890" t="str">
        <f>""</f>
        <v/>
      </c>
    </row>
    <row r="18891" spans="1:7" x14ac:dyDescent="0.25">
      <c r="A18891" t="s">
        <v>8</v>
      </c>
      <c r="B18891" s="1" t="str">
        <f>"000289944 - RICHS BREAD &amp; ROLLS-SODEXO"</f>
        <v>000289944 - RICHS BREAD &amp; ROLLS-SODEXO</v>
      </c>
      <c r="C18891" t="s">
        <v>135</v>
      </c>
      <c r="D18891" s="1" t="str">
        <f t="shared" si="508"/>
        <v>PRG-1046872</v>
      </c>
      <c r="E18891" t="s">
        <v>331</v>
      </c>
      <c r="F18891" t="s">
        <v>4</v>
      </c>
      <c r="G18891" t="str">
        <f>""</f>
        <v/>
      </c>
    </row>
    <row r="18892" spans="1:7" x14ac:dyDescent="0.25">
      <c r="A18892" t="s">
        <v>8</v>
      </c>
      <c r="B18892" s="1" t="str">
        <f>"000289956 - RICHS BREAD &amp; ROLLS-SODEXO"</f>
        <v>000289956 - RICHS BREAD &amp; ROLLS-SODEXO</v>
      </c>
      <c r="C18892" t="s">
        <v>135</v>
      </c>
      <c r="D18892" s="1" t="str">
        <f t="shared" si="508"/>
        <v>PRG-1046872</v>
      </c>
      <c r="E18892" t="s">
        <v>331</v>
      </c>
      <c r="F18892" t="s">
        <v>4</v>
      </c>
      <c r="G18892" t="str">
        <f>""</f>
        <v/>
      </c>
    </row>
    <row r="18893" spans="1:7" x14ac:dyDescent="0.25">
      <c r="A18893" t="s">
        <v>8</v>
      </c>
      <c r="B18893" s="1" t="str">
        <f>"000292525 - RICHS BREAD &amp; ROLLS-SODEXO"</f>
        <v>000292525 - RICHS BREAD &amp; ROLLS-SODEXO</v>
      </c>
      <c r="C18893" t="s">
        <v>135</v>
      </c>
      <c r="D18893" s="1" t="str">
        <f t="shared" si="508"/>
        <v>PRG-1046872</v>
      </c>
      <c r="E18893" t="s">
        <v>331</v>
      </c>
      <c r="F18893" t="s">
        <v>4</v>
      </c>
      <c r="G18893" t="str">
        <f>""</f>
        <v/>
      </c>
    </row>
    <row r="18894" spans="1:7" x14ac:dyDescent="0.25">
      <c r="A18894" t="s">
        <v>8</v>
      </c>
      <c r="B18894" s="1" t="str">
        <f>"000292851 - RICHS BREAD &amp; ROLLS-SODEXO"</f>
        <v>000292851 - RICHS BREAD &amp; ROLLS-SODEXO</v>
      </c>
      <c r="C18894" t="s">
        <v>135</v>
      </c>
      <c r="D18894" s="1" t="str">
        <f t="shared" si="508"/>
        <v>PRG-1046872</v>
      </c>
      <c r="E18894" t="s">
        <v>331</v>
      </c>
      <c r="F18894" t="s">
        <v>4</v>
      </c>
      <c r="G18894" t="str">
        <f>""</f>
        <v/>
      </c>
    </row>
    <row r="18895" spans="1:7" x14ac:dyDescent="0.25">
      <c r="A18895" t="s">
        <v>8</v>
      </c>
      <c r="B18895" s="1" t="str">
        <f>"000293076 - RICHS BREAD &amp; ROLLS-SODEXO"</f>
        <v>000293076 - RICHS BREAD &amp; ROLLS-SODEXO</v>
      </c>
      <c r="C18895" t="s">
        <v>135</v>
      </c>
      <c r="D18895" s="1" t="str">
        <f t="shared" si="508"/>
        <v>PRG-1046872</v>
      </c>
      <c r="E18895" t="s">
        <v>331</v>
      </c>
      <c r="F18895" t="s">
        <v>4</v>
      </c>
      <c r="G18895" t="str">
        <f>""</f>
        <v/>
      </c>
    </row>
    <row r="18896" spans="1:7" x14ac:dyDescent="0.25">
      <c r="A18896" t="s">
        <v>8</v>
      </c>
      <c r="B18896" s="1" t="str">
        <f>"000293184 - RICHS BREAD &amp; ROLLS-SODEXO"</f>
        <v>000293184 - RICHS BREAD &amp; ROLLS-SODEXO</v>
      </c>
      <c r="C18896" t="s">
        <v>135</v>
      </c>
      <c r="D18896" s="1" t="str">
        <f t="shared" si="508"/>
        <v>PRG-1046872</v>
      </c>
      <c r="E18896" t="s">
        <v>331</v>
      </c>
      <c r="F18896" t="s">
        <v>4</v>
      </c>
      <c r="G18896" t="str">
        <f>""</f>
        <v/>
      </c>
    </row>
    <row r="18897" spans="1:7" x14ac:dyDescent="0.25">
      <c r="A18897" t="s">
        <v>8</v>
      </c>
      <c r="B18897" s="1" t="str">
        <f>"000293810 - RICHS BREAD &amp; ROLLS-SODEXO"</f>
        <v>000293810 - RICHS BREAD &amp; ROLLS-SODEXO</v>
      </c>
      <c r="C18897" t="s">
        <v>135</v>
      </c>
      <c r="D18897" s="1" t="str">
        <f t="shared" si="508"/>
        <v>PRG-1046872</v>
      </c>
      <c r="E18897" t="s">
        <v>331</v>
      </c>
      <c r="F18897" t="s">
        <v>4</v>
      </c>
      <c r="G18897" t="str">
        <f>""</f>
        <v/>
      </c>
    </row>
    <row r="18898" spans="1:7" x14ac:dyDescent="0.25">
      <c r="A18898" t="s">
        <v>8</v>
      </c>
      <c r="B18898" s="1" t="str">
        <f>"000295799 - RICHS BREAD &amp; ROLLS-SODEXO"</f>
        <v>000295799 - RICHS BREAD &amp; ROLLS-SODEXO</v>
      </c>
      <c r="C18898" t="s">
        <v>135</v>
      </c>
      <c r="D18898" s="1" t="str">
        <f t="shared" si="508"/>
        <v>PRG-1046872</v>
      </c>
      <c r="E18898" t="s">
        <v>331</v>
      </c>
      <c r="F18898" t="s">
        <v>4</v>
      </c>
      <c r="G18898" t="str">
        <f>""</f>
        <v/>
      </c>
    </row>
    <row r="18899" spans="1:7" x14ac:dyDescent="0.25">
      <c r="A18899" t="s">
        <v>8</v>
      </c>
      <c r="B18899" s="1" t="str">
        <f>"000296999 - RICHS BREAD&amp;ROLLS-SODEXO"</f>
        <v>000296999 - RICHS BREAD&amp;ROLLS-SODEXO</v>
      </c>
      <c r="C18899" t="s">
        <v>551</v>
      </c>
      <c r="D18899" s="1" t="str">
        <f t="shared" si="508"/>
        <v>PRG-1046872</v>
      </c>
      <c r="E18899" t="s">
        <v>331</v>
      </c>
      <c r="F18899" t="s">
        <v>4</v>
      </c>
      <c r="G18899" t="str">
        <f>""</f>
        <v/>
      </c>
    </row>
    <row r="18900" spans="1:7" x14ac:dyDescent="0.25">
      <c r="A18900" t="s">
        <v>8</v>
      </c>
      <c r="B18900" s="1" t="str">
        <f>"000297017 - RICHS BREAD &amp; ROLLS-SODEXO"</f>
        <v>000297017 - RICHS BREAD &amp; ROLLS-SODEXO</v>
      </c>
      <c r="C18900" t="s">
        <v>135</v>
      </c>
      <c r="D18900" s="1" t="str">
        <f t="shared" si="508"/>
        <v>PRG-1046872</v>
      </c>
      <c r="E18900" t="s">
        <v>331</v>
      </c>
      <c r="F18900" t="s">
        <v>4</v>
      </c>
      <c r="G18900" t="str">
        <f>""</f>
        <v/>
      </c>
    </row>
    <row r="18901" spans="1:7" x14ac:dyDescent="0.25">
      <c r="A18901" t="s">
        <v>8</v>
      </c>
      <c r="B18901" s="1" t="str">
        <f>"000297190 - RICHS BREAD &amp; ROLLS-SODEXO"</f>
        <v>000297190 - RICHS BREAD &amp; ROLLS-SODEXO</v>
      </c>
      <c r="C18901" t="s">
        <v>135</v>
      </c>
      <c r="D18901" s="1" t="str">
        <f t="shared" si="508"/>
        <v>PRG-1046872</v>
      </c>
      <c r="E18901" t="s">
        <v>331</v>
      </c>
      <c r="F18901" t="s">
        <v>4</v>
      </c>
      <c r="G18901" t="str">
        <f>""</f>
        <v/>
      </c>
    </row>
    <row r="18902" spans="1:7" x14ac:dyDescent="0.25">
      <c r="A18902" t="s">
        <v>8</v>
      </c>
      <c r="B18902" s="1" t="str">
        <f>"000297885 - RICHS BREAD &amp; ROLLS-SODEXO"</f>
        <v>000297885 - RICHS BREAD &amp; ROLLS-SODEXO</v>
      </c>
      <c r="C18902" t="s">
        <v>135</v>
      </c>
      <c r="D18902" s="1" t="str">
        <f t="shared" si="508"/>
        <v>PRG-1046872</v>
      </c>
      <c r="E18902" t="s">
        <v>331</v>
      </c>
      <c r="F18902" t="s">
        <v>4</v>
      </c>
      <c r="G18902" t="str">
        <f>""</f>
        <v/>
      </c>
    </row>
    <row r="18903" spans="1:7" x14ac:dyDescent="0.25">
      <c r="A18903" t="s">
        <v>8</v>
      </c>
      <c r="B18903" s="1" t="str">
        <f>"000298129 - RICHS BREAD &amp; ROLLS-SODEXO"</f>
        <v>000298129 - RICHS BREAD &amp; ROLLS-SODEXO</v>
      </c>
      <c r="C18903" t="s">
        <v>135</v>
      </c>
      <c r="D18903" s="1" t="str">
        <f t="shared" si="508"/>
        <v>PRG-1046872</v>
      </c>
      <c r="E18903" t="s">
        <v>331</v>
      </c>
      <c r="F18903" t="s">
        <v>4</v>
      </c>
      <c r="G18903" t="str">
        <f>""</f>
        <v/>
      </c>
    </row>
    <row r="18904" spans="1:7" x14ac:dyDescent="0.25">
      <c r="A18904" t="s">
        <v>8</v>
      </c>
      <c r="B18904" s="1" t="str">
        <f>"000298609 - RICHS BREAD &amp; ROLLS-SODEXO"</f>
        <v>000298609 - RICHS BREAD &amp; ROLLS-SODEXO</v>
      </c>
      <c r="C18904" t="s">
        <v>135</v>
      </c>
      <c r="D18904" s="1" t="str">
        <f t="shared" si="508"/>
        <v>PRG-1046872</v>
      </c>
      <c r="E18904" t="s">
        <v>331</v>
      </c>
      <c r="F18904" t="s">
        <v>4</v>
      </c>
      <c r="G18904" t="str">
        <f>""</f>
        <v/>
      </c>
    </row>
    <row r="18905" spans="1:7" x14ac:dyDescent="0.25">
      <c r="A18905" t="s">
        <v>8</v>
      </c>
      <c r="B18905" s="1" t="str">
        <f>"000298778 - RICHS BREAD &amp; ROLLS-SODEXO"</f>
        <v>000298778 - RICHS BREAD &amp; ROLLS-SODEXO</v>
      </c>
      <c r="C18905" t="s">
        <v>135</v>
      </c>
      <c r="D18905" s="1" t="str">
        <f t="shared" si="508"/>
        <v>PRG-1046872</v>
      </c>
      <c r="E18905" t="s">
        <v>331</v>
      </c>
      <c r="F18905" t="s">
        <v>4</v>
      </c>
      <c r="G18905" t="str">
        <f>""</f>
        <v/>
      </c>
    </row>
    <row r="18906" spans="1:7" x14ac:dyDescent="0.25">
      <c r="A18906" t="s">
        <v>8</v>
      </c>
      <c r="B18906" s="1" t="str">
        <f>"000299742 - RICHS BREAD &amp; ROLLS-SODEXO"</f>
        <v>000299742 - RICHS BREAD &amp; ROLLS-SODEXO</v>
      </c>
      <c r="C18906" t="s">
        <v>135</v>
      </c>
      <c r="D18906" s="1" t="str">
        <f t="shared" si="508"/>
        <v>PRG-1046872</v>
      </c>
      <c r="E18906" t="s">
        <v>331</v>
      </c>
      <c r="F18906" t="s">
        <v>4</v>
      </c>
      <c r="G18906" t="str">
        <f>""</f>
        <v/>
      </c>
    </row>
    <row r="18907" spans="1:7" x14ac:dyDescent="0.25">
      <c r="A18907" t="s">
        <v>8</v>
      </c>
      <c r="B18907" s="1" t="str">
        <f>"000300045 - RICHS BREAD &amp; ROLLS-SODEXO"</f>
        <v>000300045 - RICHS BREAD &amp; ROLLS-SODEXO</v>
      </c>
      <c r="C18907" t="s">
        <v>135</v>
      </c>
      <c r="D18907" s="1" t="str">
        <f t="shared" si="508"/>
        <v>PRG-1046872</v>
      </c>
      <c r="E18907" t="s">
        <v>331</v>
      </c>
      <c r="F18907" t="s">
        <v>4</v>
      </c>
      <c r="G18907" t="str">
        <f>""</f>
        <v/>
      </c>
    </row>
    <row r="18908" spans="1:7" x14ac:dyDescent="0.25">
      <c r="A18908" t="s">
        <v>8</v>
      </c>
      <c r="B18908" s="1" t="str">
        <f>"000300662 - RICHS BREAD &amp; ROLLS-SODEXO"</f>
        <v>000300662 - RICHS BREAD &amp; ROLLS-SODEXO</v>
      </c>
      <c r="C18908" t="s">
        <v>135</v>
      </c>
      <c r="D18908" s="1" t="str">
        <f t="shared" si="508"/>
        <v>PRG-1046872</v>
      </c>
      <c r="E18908" t="s">
        <v>331</v>
      </c>
      <c r="F18908" t="s">
        <v>4</v>
      </c>
      <c r="G18908" t="str">
        <f>""</f>
        <v/>
      </c>
    </row>
    <row r="18909" spans="1:7" x14ac:dyDescent="0.25">
      <c r="A18909" t="s">
        <v>8</v>
      </c>
      <c r="B18909" s="1" t="str">
        <f>"000302098 - RICHS BREAD &amp; ROLLS-SODEXO"</f>
        <v>000302098 - RICHS BREAD &amp; ROLLS-SODEXO</v>
      </c>
      <c r="C18909" t="s">
        <v>135</v>
      </c>
      <c r="D18909" s="1" t="str">
        <f t="shared" si="508"/>
        <v>PRG-1046872</v>
      </c>
      <c r="E18909" t="s">
        <v>331</v>
      </c>
      <c r="F18909" t="s">
        <v>4</v>
      </c>
      <c r="G18909" t="str">
        <f>""</f>
        <v/>
      </c>
    </row>
    <row r="18910" spans="1:7" x14ac:dyDescent="0.25">
      <c r="A18910" t="s">
        <v>8</v>
      </c>
      <c r="B18910" s="1" t="str">
        <f>"000303103 - RICHS BREAD &amp; ROLLS-SODEXO"</f>
        <v>000303103 - RICHS BREAD &amp; ROLLS-SODEXO</v>
      </c>
      <c r="C18910" t="s">
        <v>135</v>
      </c>
      <c r="D18910" s="1" t="str">
        <f t="shared" ref="D18910:D18941" si="509">"PRG-1046872"</f>
        <v>PRG-1046872</v>
      </c>
      <c r="E18910" t="s">
        <v>331</v>
      </c>
      <c r="F18910" t="s">
        <v>4</v>
      </c>
      <c r="G18910" t="str">
        <f>""</f>
        <v/>
      </c>
    </row>
    <row r="18911" spans="1:7" x14ac:dyDescent="0.25">
      <c r="A18911" t="s">
        <v>8</v>
      </c>
      <c r="B18911" s="1" t="str">
        <f>"000303912 - RICHS BREAD&amp;ROLLS-SODEXO"</f>
        <v>000303912 - RICHS BREAD&amp;ROLLS-SODEXO</v>
      </c>
      <c r="C18911" t="s">
        <v>551</v>
      </c>
      <c r="D18911" s="1" t="str">
        <f t="shared" si="509"/>
        <v>PRG-1046872</v>
      </c>
      <c r="E18911" t="s">
        <v>331</v>
      </c>
      <c r="F18911" t="s">
        <v>4</v>
      </c>
      <c r="G18911" t="str">
        <f>""</f>
        <v/>
      </c>
    </row>
    <row r="18912" spans="1:7" x14ac:dyDescent="0.25">
      <c r="A18912" t="s">
        <v>8</v>
      </c>
      <c r="B18912" s="1" t="str">
        <f>"000304928 - RICHS BREAD &amp; ROLLS-SODEXO"</f>
        <v>000304928 - RICHS BREAD &amp; ROLLS-SODEXO</v>
      </c>
      <c r="C18912" t="s">
        <v>135</v>
      </c>
      <c r="D18912" s="1" t="str">
        <f t="shared" si="509"/>
        <v>PRG-1046872</v>
      </c>
      <c r="E18912" t="s">
        <v>331</v>
      </c>
      <c r="F18912" t="s">
        <v>4</v>
      </c>
      <c r="G18912" t="str">
        <f>""</f>
        <v/>
      </c>
    </row>
    <row r="18913" spans="1:7" x14ac:dyDescent="0.25">
      <c r="A18913" t="s">
        <v>8</v>
      </c>
      <c r="B18913" s="1" t="str">
        <f>"000308398 - RICHS BREAD&amp;ROLLS-SODEXO"</f>
        <v>000308398 - RICHS BREAD&amp;ROLLS-SODEXO</v>
      </c>
      <c r="C18913" t="s">
        <v>551</v>
      </c>
      <c r="D18913" s="1" t="str">
        <f t="shared" si="509"/>
        <v>PRG-1046872</v>
      </c>
      <c r="E18913" t="s">
        <v>331</v>
      </c>
      <c r="F18913" t="s">
        <v>4</v>
      </c>
      <c r="G18913" t="str">
        <f>""</f>
        <v/>
      </c>
    </row>
    <row r="18914" spans="1:7" x14ac:dyDescent="0.25">
      <c r="A18914" t="s">
        <v>8</v>
      </c>
      <c r="B18914" s="1" t="str">
        <f>"000309923 - RICHS BREAD &amp; ROLLS-SODEXO"</f>
        <v>000309923 - RICHS BREAD &amp; ROLLS-SODEXO</v>
      </c>
      <c r="C18914" t="s">
        <v>135</v>
      </c>
      <c r="D18914" s="1" t="str">
        <f t="shared" si="509"/>
        <v>PRG-1046872</v>
      </c>
      <c r="E18914" t="s">
        <v>331</v>
      </c>
      <c r="F18914" t="s">
        <v>4</v>
      </c>
      <c r="G18914" t="str">
        <f>""</f>
        <v/>
      </c>
    </row>
    <row r="18915" spans="1:7" x14ac:dyDescent="0.25">
      <c r="A18915" t="s">
        <v>8</v>
      </c>
      <c r="B18915" s="1" t="str">
        <f>"000312514 - RICHS BREAD&amp;ROLLS-SODEXO"</f>
        <v>000312514 - RICHS BREAD&amp;ROLLS-SODEXO</v>
      </c>
      <c r="C18915" t="s">
        <v>551</v>
      </c>
      <c r="D18915" s="1" t="str">
        <f t="shared" si="509"/>
        <v>PRG-1046872</v>
      </c>
      <c r="E18915" t="s">
        <v>331</v>
      </c>
      <c r="F18915" t="s">
        <v>4</v>
      </c>
      <c r="G18915" t="str">
        <f>""</f>
        <v/>
      </c>
    </row>
    <row r="18916" spans="1:7" x14ac:dyDescent="0.25">
      <c r="A18916" t="s">
        <v>8</v>
      </c>
      <c r="B18916" s="1" t="str">
        <f>"000314898 - RICHS BREAD&amp;ROLLS-SODEXO"</f>
        <v>000314898 - RICHS BREAD&amp;ROLLS-SODEXO</v>
      </c>
      <c r="C18916" t="s">
        <v>551</v>
      </c>
      <c r="D18916" s="1" t="str">
        <f t="shared" si="509"/>
        <v>PRG-1046872</v>
      </c>
      <c r="E18916" t="s">
        <v>331</v>
      </c>
      <c r="F18916" t="s">
        <v>4</v>
      </c>
      <c r="G18916" t="str">
        <f>""</f>
        <v/>
      </c>
    </row>
    <row r="18917" spans="1:7" x14ac:dyDescent="0.25">
      <c r="A18917" t="s">
        <v>8</v>
      </c>
      <c r="B18917" s="1" t="str">
        <f>"000316832 - RICHS BREAD&amp;ROLLS-SODEXO"</f>
        <v>000316832 - RICHS BREAD&amp;ROLLS-SODEXO</v>
      </c>
      <c r="C18917" t="s">
        <v>551</v>
      </c>
      <c r="D18917" s="1" t="str">
        <f t="shared" si="509"/>
        <v>PRG-1046872</v>
      </c>
      <c r="E18917" t="s">
        <v>331</v>
      </c>
      <c r="F18917" t="s">
        <v>4</v>
      </c>
      <c r="G18917" t="str">
        <f>""</f>
        <v/>
      </c>
    </row>
    <row r="18918" spans="1:7" x14ac:dyDescent="0.25">
      <c r="A18918" t="s">
        <v>8</v>
      </c>
      <c r="B18918" s="1" t="str">
        <f>"000316894 - RICHS BREAD&amp;ROLLS-SODEXO"</f>
        <v>000316894 - RICHS BREAD&amp;ROLLS-SODEXO</v>
      </c>
      <c r="C18918" t="s">
        <v>551</v>
      </c>
      <c r="D18918" s="1" t="str">
        <f t="shared" si="509"/>
        <v>PRG-1046872</v>
      </c>
      <c r="E18918" t="s">
        <v>331</v>
      </c>
      <c r="F18918" t="s">
        <v>4</v>
      </c>
      <c r="G18918" t="str">
        <f>""</f>
        <v/>
      </c>
    </row>
    <row r="18919" spans="1:7" x14ac:dyDescent="0.25">
      <c r="A18919" t="s">
        <v>8</v>
      </c>
      <c r="B18919" s="1" t="str">
        <f>"000318478 - RICHS BREAD &amp; ROLLS-SODEXO"</f>
        <v>000318478 - RICHS BREAD &amp; ROLLS-SODEXO</v>
      </c>
      <c r="C18919" t="s">
        <v>135</v>
      </c>
      <c r="D18919" s="1" t="str">
        <f t="shared" si="509"/>
        <v>PRG-1046872</v>
      </c>
      <c r="E18919" t="s">
        <v>331</v>
      </c>
      <c r="F18919" t="s">
        <v>4</v>
      </c>
      <c r="G18919" t="str">
        <f>""</f>
        <v/>
      </c>
    </row>
    <row r="18920" spans="1:7" x14ac:dyDescent="0.25">
      <c r="A18920" t="s">
        <v>8</v>
      </c>
      <c r="B18920" s="1" t="str">
        <f>"000319465 - RICHS BREAD&amp;ROLLS-SODEXO"</f>
        <v>000319465 - RICHS BREAD&amp;ROLLS-SODEXO</v>
      </c>
      <c r="C18920" t="s">
        <v>551</v>
      </c>
      <c r="D18920" s="1" t="str">
        <f t="shared" si="509"/>
        <v>PRG-1046872</v>
      </c>
      <c r="E18920" t="s">
        <v>331</v>
      </c>
      <c r="F18920" t="s">
        <v>4</v>
      </c>
      <c r="G18920" t="str">
        <f>""</f>
        <v/>
      </c>
    </row>
    <row r="18921" spans="1:7" x14ac:dyDescent="0.25">
      <c r="A18921" t="s">
        <v>8</v>
      </c>
      <c r="B18921" s="1" t="str">
        <f>"000321574 - RICHS BREAD&amp;ROLLS-SODEXO"</f>
        <v>000321574 - RICHS BREAD&amp;ROLLS-SODEXO</v>
      </c>
      <c r="C18921" t="s">
        <v>551</v>
      </c>
      <c r="D18921" s="1" t="str">
        <f t="shared" si="509"/>
        <v>PRG-1046872</v>
      </c>
      <c r="E18921" t="s">
        <v>331</v>
      </c>
      <c r="F18921" t="s">
        <v>4</v>
      </c>
      <c r="G18921" t="str">
        <f>""</f>
        <v/>
      </c>
    </row>
    <row r="18922" spans="1:7" x14ac:dyDescent="0.25">
      <c r="A18922" t="s">
        <v>8</v>
      </c>
      <c r="B18922" s="1" t="str">
        <f>"000322058 - RICHS BREAD &amp; ROLLS-SODEXO"</f>
        <v>000322058 - RICHS BREAD &amp; ROLLS-SODEXO</v>
      </c>
      <c r="C18922" t="s">
        <v>135</v>
      </c>
      <c r="D18922" s="1" t="str">
        <f t="shared" si="509"/>
        <v>PRG-1046872</v>
      </c>
      <c r="E18922" t="s">
        <v>331</v>
      </c>
      <c r="F18922" t="s">
        <v>4</v>
      </c>
      <c r="G18922" t="str">
        <f>""</f>
        <v/>
      </c>
    </row>
    <row r="18923" spans="1:7" x14ac:dyDescent="0.25">
      <c r="A18923" t="s">
        <v>8</v>
      </c>
      <c r="B18923" s="1" t="str">
        <f>"000325646 - RICHS BREAD &amp; ROLLS-SODEXO"</f>
        <v>000325646 - RICHS BREAD &amp; ROLLS-SODEXO</v>
      </c>
      <c r="C18923" t="s">
        <v>135</v>
      </c>
      <c r="D18923" s="1" t="str">
        <f t="shared" si="509"/>
        <v>PRG-1046872</v>
      </c>
      <c r="E18923" t="s">
        <v>331</v>
      </c>
      <c r="F18923" t="s">
        <v>4</v>
      </c>
      <c r="G18923" t="str">
        <f>""</f>
        <v/>
      </c>
    </row>
    <row r="18924" spans="1:7" x14ac:dyDescent="0.25">
      <c r="A18924" t="s">
        <v>8</v>
      </c>
      <c r="B18924" s="1" t="str">
        <f>"000327145 - RICHS BREAD &amp; ROLLS-SODEXO"</f>
        <v>000327145 - RICHS BREAD &amp; ROLLS-SODEXO</v>
      </c>
      <c r="C18924" t="s">
        <v>135</v>
      </c>
      <c r="D18924" s="1" t="str">
        <f t="shared" si="509"/>
        <v>PRG-1046872</v>
      </c>
      <c r="E18924" t="s">
        <v>331</v>
      </c>
      <c r="F18924" t="s">
        <v>4</v>
      </c>
      <c r="G18924" t="str">
        <f>""</f>
        <v/>
      </c>
    </row>
    <row r="18925" spans="1:7" x14ac:dyDescent="0.25">
      <c r="A18925" t="s">
        <v>8</v>
      </c>
      <c r="B18925" s="1" t="str">
        <f>"000330391 - RICHS BREAD &amp; ROLLS-SODEXO"</f>
        <v>000330391 - RICHS BREAD &amp; ROLLS-SODEXO</v>
      </c>
      <c r="C18925" t="s">
        <v>135</v>
      </c>
      <c r="D18925" s="1" t="str">
        <f t="shared" si="509"/>
        <v>PRG-1046872</v>
      </c>
      <c r="E18925" t="s">
        <v>331</v>
      </c>
      <c r="F18925" t="s">
        <v>4</v>
      </c>
      <c r="G18925" t="str">
        <f>""</f>
        <v/>
      </c>
    </row>
    <row r="18926" spans="1:7" x14ac:dyDescent="0.25">
      <c r="A18926" t="s">
        <v>8</v>
      </c>
      <c r="B18926" s="1" t="str">
        <f>"000332758 - RICHS BREAD &amp; ROLLS-SODEXO"</f>
        <v>000332758 - RICHS BREAD &amp; ROLLS-SODEXO</v>
      </c>
      <c r="C18926" t="s">
        <v>135</v>
      </c>
      <c r="D18926" s="1" t="str">
        <f t="shared" si="509"/>
        <v>PRG-1046872</v>
      </c>
      <c r="E18926" t="s">
        <v>331</v>
      </c>
      <c r="F18926" t="s">
        <v>4</v>
      </c>
      <c r="G18926" t="str">
        <f>""</f>
        <v/>
      </c>
    </row>
    <row r="18927" spans="1:7" x14ac:dyDescent="0.25">
      <c r="A18927" t="s">
        <v>8</v>
      </c>
      <c r="B18927" s="1" t="str">
        <f>"000336050 - RICHS BREAD &amp; ROLLS-SODEXO"</f>
        <v>000336050 - RICHS BREAD &amp; ROLLS-SODEXO</v>
      </c>
      <c r="C18927" t="s">
        <v>135</v>
      </c>
      <c r="D18927" s="1" t="str">
        <f t="shared" si="509"/>
        <v>PRG-1046872</v>
      </c>
      <c r="E18927" t="s">
        <v>331</v>
      </c>
      <c r="F18927" t="s">
        <v>4</v>
      </c>
      <c r="G18927" t="str">
        <f>""</f>
        <v/>
      </c>
    </row>
    <row r="18928" spans="1:7" x14ac:dyDescent="0.25">
      <c r="A18928" t="s">
        <v>8</v>
      </c>
      <c r="B18928" s="1" t="str">
        <f>"000336605 - RICHS BREAD&amp;ROLLS-SODEXO"</f>
        <v>000336605 - RICHS BREAD&amp;ROLLS-SODEXO</v>
      </c>
      <c r="C18928" t="s">
        <v>551</v>
      </c>
      <c r="D18928" s="1" t="str">
        <f t="shared" si="509"/>
        <v>PRG-1046872</v>
      </c>
      <c r="E18928" t="s">
        <v>331</v>
      </c>
      <c r="F18928" t="s">
        <v>4</v>
      </c>
      <c r="G18928" t="str">
        <f>""</f>
        <v/>
      </c>
    </row>
    <row r="18929" spans="1:7" x14ac:dyDescent="0.25">
      <c r="A18929" t="s">
        <v>8</v>
      </c>
      <c r="B18929" s="1" t="str">
        <f>"000337296 - RICHS BREAD &amp; ROLLS-SODEXO"</f>
        <v>000337296 - RICHS BREAD &amp; ROLLS-SODEXO</v>
      </c>
      <c r="C18929" t="s">
        <v>135</v>
      </c>
      <c r="D18929" s="1" t="str">
        <f t="shared" si="509"/>
        <v>PRG-1046872</v>
      </c>
      <c r="E18929" t="s">
        <v>331</v>
      </c>
      <c r="F18929" t="s">
        <v>4</v>
      </c>
      <c r="G18929" t="str">
        <f>""</f>
        <v/>
      </c>
    </row>
    <row r="18930" spans="1:7" x14ac:dyDescent="0.25">
      <c r="A18930" t="s">
        <v>8</v>
      </c>
      <c r="B18930" s="1" t="str">
        <f>"000339320 - RICHS BREAD &amp; ROLLS-SODEXO"</f>
        <v>000339320 - RICHS BREAD &amp; ROLLS-SODEXO</v>
      </c>
      <c r="C18930" t="s">
        <v>135</v>
      </c>
      <c r="D18930" s="1" t="str">
        <f t="shared" si="509"/>
        <v>PRG-1046872</v>
      </c>
      <c r="E18930" t="s">
        <v>331</v>
      </c>
      <c r="F18930" t="s">
        <v>4</v>
      </c>
      <c r="G18930" t="str">
        <f>""</f>
        <v/>
      </c>
    </row>
    <row r="18931" spans="1:7" x14ac:dyDescent="0.25">
      <c r="A18931" t="s">
        <v>8</v>
      </c>
      <c r="B18931" s="1" t="str">
        <f>"000339400 - RICHS BREAD &amp; ROLLS-SODEXO"</f>
        <v>000339400 - RICHS BREAD &amp; ROLLS-SODEXO</v>
      </c>
      <c r="C18931" t="s">
        <v>135</v>
      </c>
      <c r="D18931" s="1" t="str">
        <f t="shared" si="509"/>
        <v>PRG-1046872</v>
      </c>
      <c r="E18931" t="s">
        <v>331</v>
      </c>
      <c r="F18931" t="s">
        <v>4</v>
      </c>
      <c r="G18931" t="str">
        <f>""</f>
        <v/>
      </c>
    </row>
    <row r="18932" spans="1:7" x14ac:dyDescent="0.25">
      <c r="A18932" t="s">
        <v>8</v>
      </c>
      <c r="B18932" s="1" t="str">
        <f>"000342879 - RICHS BREAD &amp; ROLLS-SODEXO"</f>
        <v>000342879 - RICHS BREAD &amp; ROLLS-SODEXO</v>
      </c>
      <c r="C18932" t="s">
        <v>135</v>
      </c>
      <c r="D18932" s="1" t="str">
        <f t="shared" si="509"/>
        <v>PRG-1046872</v>
      </c>
      <c r="E18932" t="s">
        <v>331</v>
      </c>
      <c r="F18932" t="s">
        <v>4</v>
      </c>
      <c r="G18932" t="str">
        <f>""</f>
        <v/>
      </c>
    </row>
    <row r="18933" spans="1:7" x14ac:dyDescent="0.25">
      <c r="A18933" t="s">
        <v>8</v>
      </c>
      <c r="B18933" s="1" t="str">
        <f>"000343563 - RICHS BREAD &amp; ROLLS-SODEXO"</f>
        <v>000343563 - RICHS BREAD &amp; ROLLS-SODEXO</v>
      </c>
      <c r="C18933" t="s">
        <v>135</v>
      </c>
      <c r="D18933" s="1" t="str">
        <f t="shared" si="509"/>
        <v>PRG-1046872</v>
      </c>
      <c r="E18933" t="s">
        <v>331</v>
      </c>
      <c r="F18933" t="s">
        <v>4</v>
      </c>
      <c r="G18933" t="str">
        <f>""</f>
        <v/>
      </c>
    </row>
    <row r="18934" spans="1:7" x14ac:dyDescent="0.25">
      <c r="A18934" t="s">
        <v>8</v>
      </c>
      <c r="B18934" s="1" t="str">
        <f>"000344381 - RICHS BREAD&amp;ROLLS-SODEXO"</f>
        <v>000344381 - RICHS BREAD&amp;ROLLS-SODEXO</v>
      </c>
      <c r="C18934" t="s">
        <v>551</v>
      </c>
      <c r="D18934" s="1" t="str">
        <f t="shared" si="509"/>
        <v>PRG-1046872</v>
      </c>
      <c r="E18934" t="s">
        <v>331</v>
      </c>
      <c r="F18934" t="s">
        <v>4</v>
      </c>
      <c r="G18934" t="str">
        <f>""</f>
        <v/>
      </c>
    </row>
    <row r="18935" spans="1:7" x14ac:dyDescent="0.25">
      <c r="A18935" t="s">
        <v>8</v>
      </c>
      <c r="B18935" s="1" t="str">
        <f>"000347057 - RICHS BREAD &amp; ROLLS-SODEXO"</f>
        <v>000347057 - RICHS BREAD &amp; ROLLS-SODEXO</v>
      </c>
      <c r="C18935" t="s">
        <v>135</v>
      </c>
      <c r="D18935" s="1" t="str">
        <f t="shared" si="509"/>
        <v>PRG-1046872</v>
      </c>
      <c r="E18935" t="s">
        <v>331</v>
      </c>
      <c r="F18935" t="s">
        <v>4</v>
      </c>
      <c r="G18935" t="str">
        <f>""</f>
        <v/>
      </c>
    </row>
    <row r="18936" spans="1:7" x14ac:dyDescent="0.25">
      <c r="A18936" t="s">
        <v>8</v>
      </c>
      <c r="B18936" s="1" t="str">
        <f>"000348548 - RICHS BREAD &amp; ROLLS-SODEXO"</f>
        <v>000348548 - RICHS BREAD &amp; ROLLS-SODEXO</v>
      </c>
      <c r="C18936" t="s">
        <v>135</v>
      </c>
      <c r="D18936" s="1" t="str">
        <f t="shared" si="509"/>
        <v>PRG-1046872</v>
      </c>
      <c r="E18936" t="s">
        <v>331</v>
      </c>
      <c r="F18936" t="s">
        <v>4</v>
      </c>
      <c r="G18936" t="str">
        <f>""</f>
        <v/>
      </c>
    </row>
    <row r="18937" spans="1:7" x14ac:dyDescent="0.25">
      <c r="A18937" t="s">
        <v>8</v>
      </c>
      <c r="B18937" s="1" t="str">
        <f>"000349668 - RICHS BREAD &amp; ROLLS-SODEXO"</f>
        <v>000349668 - RICHS BREAD &amp; ROLLS-SODEXO</v>
      </c>
      <c r="C18937" t="s">
        <v>135</v>
      </c>
      <c r="D18937" s="1" t="str">
        <f t="shared" si="509"/>
        <v>PRG-1046872</v>
      </c>
      <c r="E18937" t="s">
        <v>331</v>
      </c>
      <c r="F18937" t="s">
        <v>4</v>
      </c>
      <c r="G18937" t="str">
        <f>""</f>
        <v/>
      </c>
    </row>
    <row r="18938" spans="1:7" x14ac:dyDescent="0.25">
      <c r="A18938" t="s">
        <v>8</v>
      </c>
      <c r="B18938" s="1" t="str">
        <f>"000353747 - RICHS BREAD &amp; ROLLS-SODEXO"</f>
        <v>000353747 - RICHS BREAD &amp; ROLLS-SODEXO</v>
      </c>
      <c r="C18938" t="s">
        <v>135</v>
      </c>
      <c r="D18938" s="1" t="str">
        <f t="shared" si="509"/>
        <v>PRG-1046872</v>
      </c>
      <c r="E18938" t="s">
        <v>331</v>
      </c>
      <c r="F18938" t="s">
        <v>4</v>
      </c>
      <c r="G18938" t="str">
        <f>""</f>
        <v/>
      </c>
    </row>
    <row r="18939" spans="1:7" x14ac:dyDescent="0.25">
      <c r="A18939" t="s">
        <v>8</v>
      </c>
      <c r="B18939" s="1" t="str">
        <f>"000358445 - RICHS BREAD &amp; ROLLS-SODEXO"</f>
        <v>000358445 - RICHS BREAD &amp; ROLLS-SODEXO</v>
      </c>
      <c r="C18939" t="s">
        <v>135</v>
      </c>
      <c r="D18939" s="1" t="str">
        <f t="shared" si="509"/>
        <v>PRG-1046872</v>
      </c>
      <c r="E18939" t="s">
        <v>331</v>
      </c>
      <c r="F18939" t="s">
        <v>4</v>
      </c>
      <c r="G18939" t="str">
        <f>""</f>
        <v/>
      </c>
    </row>
    <row r="18940" spans="1:7" x14ac:dyDescent="0.25">
      <c r="A18940" t="s">
        <v>8</v>
      </c>
      <c r="B18940" s="1" t="str">
        <f>"000362168 - RICHS BREAD &amp; ROLLS-SODEXO"</f>
        <v>000362168 - RICHS BREAD &amp; ROLLS-SODEXO</v>
      </c>
      <c r="C18940" t="s">
        <v>135</v>
      </c>
      <c r="D18940" s="1" t="str">
        <f t="shared" si="509"/>
        <v>PRG-1046872</v>
      </c>
      <c r="E18940" t="s">
        <v>331</v>
      </c>
      <c r="F18940" t="s">
        <v>4</v>
      </c>
      <c r="G18940" t="str">
        <f>""</f>
        <v/>
      </c>
    </row>
    <row r="18941" spans="1:7" x14ac:dyDescent="0.25">
      <c r="A18941" t="s">
        <v>8</v>
      </c>
      <c r="B18941" s="1" t="str">
        <f>"000363374 - RICHS BREAD&amp;ROLLS-SODEXO"</f>
        <v>000363374 - RICHS BREAD&amp;ROLLS-SODEXO</v>
      </c>
      <c r="C18941" t="s">
        <v>551</v>
      </c>
      <c r="D18941" s="1" t="str">
        <f t="shared" si="509"/>
        <v>PRG-1046872</v>
      </c>
      <c r="E18941" t="s">
        <v>331</v>
      </c>
      <c r="F18941" t="s">
        <v>4</v>
      </c>
      <c r="G18941" t="str">
        <f>""</f>
        <v/>
      </c>
    </row>
    <row r="18942" spans="1:7" x14ac:dyDescent="0.25">
      <c r="A18942" t="s">
        <v>8</v>
      </c>
      <c r="B18942" s="1" t="str">
        <f>"000363575 - RICHS BREAD &amp; ROLLS-SODEXO"</f>
        <v>000363575 - RICHS BREAD &amp; ROLLS-SODEXO</v>
      </c>
      <c r="C18942" t="s">
        <v>135</v>
      </c>
      <c r="D18942" s="1" t="str">
        <f t="shared" ref="D18942:D18971" si="510">"PRG-1046872"</f>
        <v>PRG-1046872</v>
      </c>
      <c r="E18942" t="s">
        <v>331</v>
      </c>
      <c r="F18942" t="s">
        <v>4</v>
      </c>
      <c r="G18942" t="str">
        <f>""</f>
        <v/>
      </c>
    </row>
    <row r="18943" spans="1:7" x14ac:dyDescent="0.25">
      <c r="A18943" t="s">
        <v>8</v>
      </c>
      <c r="B18943" s="1" t="str">
        <f>"000366766 - RICHS BREAD &amp; ROLLS-SODEXO"</f>
        <v>000366766 - RICHS BREAD &amp; ROLLS-SODEXO</v>
      </c>
      <c r="C18943" t="s">
        <v>135</v>
      </c>
      <c r="D18943" s="1" t="str">
        <f t="shared" si="510"/>
        <v>PRG-1046872</v>
      </c>
      <c r="E18943" t="s">
        <v>331</v>
      </c>
      <c r="F18943" t="s">
        <v>4</v>
      </c>
      <c r="G18943" t="str">
        <f>""</f>
        <v/>
      </c>
    </row>
    <row r="18944" spans="1:7" x14ac:dyDescent="0.25">
      <c r="A18944" t="s">
        <v>8</v>
      </c>
      <c r="B18944" s="1" t="str">
        <f>"000368736 - RICHS BREAD &amp; ROLLS-SODEXO"</f>
        <v>000368736 - RICHS BREAD &amp; ROLLS-SODEXO</v>
      </c>
      <c r="C18944" t="s">
        <v>135</v>
      </c>
      <c r="D18944" s="1" t="str">
        <f t="shared" si="510"/>
        <v>PRG-1046872</v>
      </c>
      <c r="E18944" t="s">
        <v>331</v>
      </c>
      <c r="F18944" t="s">
        <v>4</v>
      </c>
      <c r="G18944" t="str">
        <f>""</f>
        <v/>
      </c>
    </row>
    <row r="18945" spans="1:7" x14ac:dyDescent="0.25">
      <c r="A18945" t="s">
        <v>8</v>
      </c>
      <c r="B18945" s="1" t="str">
        <f>"000371188 - RICHS BREAD &amp; ROLLS-SODEXO"</f>
        <v>000371188 - RICHS BREAD &amp; ROLLS-SODEXO</v>
      </c>
      <c r="C18945" t="s">
        <v>135</v>
      </c>
      <c r="D18945" s="1" t="str">
        <f t="shared" si="510"/>
        <v>PRG-1046872</v>
      </c>
      <c r="E18945" t="s">
        <v>331</v>
      </c>
      <c r="F18945" t="s">
        <v>4</v>
      </c>
      <c r="G18945" t="str">
        <f>""</f>
        <v/>
      </c>
    </row>
    <row r="18946" spans="1:7" x14ac:dyDescent="0.25">
      <c r="A18946" t="s">
        <v>8</v>
      </c>
      <c r="B18946" s="1" t="str">
        <f>"000372872 - RICHS BREAD &amp; ROLLS-SODEXO"</f>
        <v>000372872 - RICHS BREAD &amp; ROLLS-SODEXO</v>
      </c>
      <c r="C18946" t="s">
        <v>135</v>
      </c>
      <c r="D18946" s="1" t="str">
        <f t="shared" si="510"/>
        <v>PRG-1046872</v>
      </c>
      <c r="E18946" t="s">
        <v>331</v>
      </c>
      <c r="F18946" t="s">
        <v>4</v>
      </c>
      <c r="G18946" t="str">
        <f>""</f>
        <v/>
      </c>
    </row>
    <row r="18947" spans="1:7" x14ac:dyDescent="0.25">
      <c r="A18947" t="s">
        <v>8</v>
      </c>
      <c r="B18947" s="1" t="str">
        <f>"000373530 - RICHS BREAD &amp; ROLLS-SODEXO"</f>
        <v>000373530 - RICHS BREAD &amp; ROLLS-SODEXO</v>
      </c>
      <c r="C18947" t="s">
        <v>135</v>
      </c>
      <c r="D18947" s="1" t="str">
        <f t="shared" si="510"/>
        <v>PRG-1046872</v>
      </c>
      <c r="E18947" t="s">
        <v>331</v>
      </c>
      <c r="F18947" t="s">
        <v>4</v>
      </c>
      <c r="G18947" t="str">
        <f>""</f>
        <v/>
      </c>
    </row>
    <row r="18948" spans="1:7" x14ac:dyDescent="0.25">
      <c r="A18948" t="s">
        <v>8</v>
      </c>
      <c r="B18948" s="1" t="str">
        <f>"000375126 - RICHS BREAD &amp; ROLLS-SODEXO"</f>
        <v>000375126 - RICHS BREAD &amp; ROLLS-SODEXO</v>
      </c>
      <c r="C18948" t="s">
        <v>135</v>
      </c>
      <c r="D18948" s="1" t="str">
        <f t="shared" si="510"/>
        <v>PRG-1046872</v>
      </c>
      <c r="E18948" t="s">
        <v>331</v>
      </c>
      <c r="F18948" t="s">
        <v>4</v>
      </c>
      <c r="G18948" t="str">
        <f>""</f>
        <v/>
      </c>
    </row>
    <row r="18949" spans="1:7" x14ac:dyDescent="0.25">
      <c r="A18949" t="s">
        <v>8</v>
      </c>
      <c r="B18949" s="1" t="str">
        <f>"000376155 - RICHS BREAD &amp; ROLLS-SODEXO"</f>
        <v>000376155 - RICHS BREAD &amp; ROLLS-SODEXO</v>
      </c>
      <c r="C18949" t="s">
        <v>135</v>
      </c>
      <c r="D18949" s="1" t="str">
        <f t="shared" si="510"/>
        <v>PRG-1046872</v>
      </c>
      <c r="E18949" t="s">
        <v>331</v>
      </c>
      <c r="F18949" t="s">
        <v>4</v>
      </c>
      <c r="G18949" t="str">
        <f>""</f>
        <v/>
      </c>
    </row>
    <row r="18950" spans="1:7" x14ac:dyDescent="0.25">
      <c r="A18950" t="s">
        <v>8</v>
      </c>
      <c r="B18950" s="1" t="str">
        <f>"000376869 - RICHS BREAD &amp; ROLLS-SODEXO"</f>
        <v>000376869 - RICHS BREAD &amp; ROLLS-SODEXO</v>
      </c>
      <c r="C18950" t="s">
        <v>135</v>
      </c>
      <c r="D18950" s="1" t="str">
        <f t="shared" si="510"/>
        <v>PRG-1046872</v>
      </c>
      <c r="E18950" t="s">
        <v>331</v>
      </c>
      <c r="F18950" t="s">
        <v>4</v>
      </c>
      <c r="G18950" t="str">
        <f>""</f>
        <v/>
      </c>
    </row>
    <row r="18951" spans="1:7" x14ac:dyDescent="0.25">
      <c r="A18951" t="s">
        <v>8</v>
      </c>
      <c r="B18951" s="1" t="str">
        <f>"000377524 - RICHS BREAD &amp; ROLLS-SODEXO"</f>
        <v>000377524 - RICHS BREAD &amp; ROLLS-SODEXO</v>
      </c>
      <c r="C18951" t="s">
        <v>135</v>
      </c>
      <c r="D18951" s="1" t="str">
        <f t="shared" si="510"/>
        <v>PRG-1046872</v>
      </c>
      <c r="E18951" t="s">
        <v>331</v>
      </c>
      <c r="F18951" t="s">
        <v>4</v>
      </c>
      <c r="G18951" t="str">
        <f>""</f>
        <v/>
      </c>
    </row>
    <row r="18952" spans="1:7" x14ac:dyDescent="0.25">
      <c r="A18952" t="s">
        <v>8</v>
      </c>
      <c r="B18952" s="1" t="str">
        <f>"000378455 - RICHS BREAD &amp; ROLLS-SODEXO"</f>
        <v>000378455 - RICHS BREAD &amp; ROLLS-SODEXO</v>
      </c>
      <c r="C18952" t="s">
        <v>135</v>
      </c>
      <c r="D18952" s="1" t="str">
        <f t="shared" si="510"/>
        <v>PRG-1046872</v>
      </c>
      <c r="E18952" t="s">
        <v>331</v>
      </c>
      <c r="F18952" t="s">
        <v>4</v>
      </c>
      <c r="G18952" t="str">
        <f>""</f>
        <v/>
      </c>
    </row>
    <row r="18953" spans="1:7" x14ac:dyDescent="0.25">
      <c r="A18953" t="s">
        <v>8</v>
      </c>
      <c r="B18953" s="1" t="str">
        <f>"000379194 - RICHS BREAD &amp; ROLLS-SODEXO"</f>
        <v>000379194 - RICHS BREAD &amp; ROLLS-SODEXO</v>
      </c>
      <c r="C18953" t="s">
        <v>135</v>
      </c>
      <c r="D18953" s="1" t="str">
        <f t="shared" si="510"/>
        <v>PRG-1046872</v>
      </c>
      <c r="E18953" t="s">
        <v>331</v>
      </c>
      <c r="F18953" t="s">
        <v>4</v>
      </c>
      <c r="G18953" t="str">
        <f>""</f>
        <v/>
      </c>
    </row>
    <row r="18954" spans="1:7" x14ac:dyDescent="0.25">
      <c r="A18954" t="s">
        <v>8</v>
      </c>
      <c r="B18954" s="1" t="str">
        <f>"000380152 - RICHS BREAD &amp; ROLLS-SODEXO"</f>
        <v>000380152 - RICHS BREAD &amp; ROLLS-SODEXO</v>
      </c>
      <c r="C18954" t="s">
        <v>135</v>
      </c>
      <c r="D18954" s="1" t="str">
        <f t="shared" si="510"/>
        <v>PRG-1046872</v>
      </c>
      <c r="E18954" t="s">
        <v>331</v>
      </c>
      <c r="F18954" t="s">
        <v>4</v>
      </c>
      <c r="G18954" t="str">
        <f>""</f>
        <v/>
      </c>
    </row>
    <row r="18955" spans="1:7" x14ac:dyDescent="0.25">
      <c r="A18955" t="s">
        <v>8</v>
      </c>
      <c r="B18955" s="1" t="str">
        <f>"000381088 - RICHS BREAD &amp; ROLLS-SODEXO"</f>
        <v>000381088 - RICHS BREAD &amp; ROLLS-SODEXO</v>
      </c>
      <c r="C18955" t="s">
        <v>135</v>
      </c>
      <c r="D18955" s="1" t="str">
        <f t="shared" si="510"/>
        <v>PRG-1046872</v>
      </c>
      <c r="E18955" t="s">
        <v>331</v>
      </c>
      <c r="F18955" t="s">
        <v>4</v>
      </c>
      <c r="G18955" t="str">
        <f>""</f>
        <v/>
      </c>
    </row>
    <row r="18956" spans="1:7" x14ac:dyDescent="0.25">
      <c r="A18956" t="s">
        <v>8</v>
      </c>
      <c r="B18956" s="1" t="str">
        <f>"000381676 - RICHS BREAD &amp; ROLLS-SODEXO"</f>
        <v>000381676 - RICHS BREAD &amp; ROLLS-SODEXO</v>
      </c>
      <c r="C18956" t="s">
        <v>135</v>
      </c>
      <c r="D18956" s="1" t="str">
        <f t="shared" si="510"/>
        <v>PRG-1046872</v>
      </c>
      <c r="E18956" t="s">
        <v>331</v>
      </c>
      <c r="F18956" t="s">
        <v>4</v>
      </c>
      <c r="G18956" t="str">
        <f>""</f>
        <v/>
      </c>
    </row>
    <row r="18957" spans="1:7" x14ac:dyDescent="0.25">
      <c r="A18957" t="s">
        <v>8</v>
      </c>
      <c r="B18957" s="1" t="str">
        <f>"000382127 - RICHS BREAD &amp; ROLLS-SODEXO"</f>
        <v>000382127 - RICHS BREAD &amp; ROLLS-SODEXO</v>
      </c>
      <c r="C18957" t="s">
        <v>135</v>
      </c>
      <c r="D18957" s="1" t="str">
        <f t="shared" si="510"/>
        <v>PRG-1046872</v>
      </c>
      <c r="E18957" t="s">
        <v>331</v>
      </c>
      <c r="F18957" t="s">
        <v>4</v>
      </c>
      <c r="G18957" t="str">
        <f>""</f>
        <v/>
      </c>
    </row>
    <row r="18958" spans="1:7" x14ac:dyDescent="0.25">
      <c r="A18958" t="s">
        <v>8</v>
      </c>
      <c r="B18958" s="1" t="str">
        <f>"000382341 - RICHS BREAD &amp; ROLLS-SODEXO"</f>
        <v>000382341 - RICHS BREAD &amp; ROLLS-SODEXO</v>
      </c>
      <c r="C18958" t="s">
        <v>135</v>
      </c>
      <c r="D18958" s="1" t="str">
        <f t="shared" si="510"/>
        <v>PRG-1046872</v>
      </c>
      <c r="E18958" t="s">
        <v>331</v>
      </c>
      <c r="F18958" t="s">
        <v>4</v>
      </c>
      <c r="G18958" t="str">
        <f>""</f>
        <v/>
      </c>
    </row>
    <row r="18959" spans="1:7" x14ac:dyDescent="0.25">
      <c r="A18959" t="s">
        <v>8</v>
      </c>
      <c r="B18959" s="1" t="str">
        <f>"000384789 - RICHS BREAD&amp;ROLLS-SODEXO"</f>
        <v>000384789 - RICHS BREAD&amp;ROLLS-SODEXO</v>
      </c>
      <c r="C18959" t="s">
        <v>551</v>
      </c>
      <c r="D18959" s="1" t="str">
        <f t="shared" si="510"/>
        <v>PRG-1046872</v>
      </c>
      <c r="E18959" t="s">
        <v>331</v>
      </c>
      <c r="F18959" t="s">
        <v>4</v>
      </c>
      <c r="G18959" t="str">
        <f>""</f>
        <v/>
      </c>
    </row>
    <row r="18960" spans="1:7" x14ac:dyDescent="0.25">
      <c r="A18960" t="s">
        <v>8</v>
      </c>
      <c r="B18960" s="1" t="str">
        <f>"000387166 - RICHS BREAD &amp; ROLLS-SODEXO"</f>
        <v>000387166 - RICHS BREAD &amp; ROLLS-SODEXO</v>
      </c>
      <c r="C18960" t="s">
        <v>135</v>
      </c>
      <c r="D18960" s="1" t="str">
        <f t="shared" si="510"/>
        <v>PRG-1046872</v>
      </c>
      <c r="E18960" t="s">
        <v>331</v>
      </c>
      <c r="F18960" t="s">
        <v>4</v>
      </c>
      <c r="G18960" t="str">
        <f>""</f>
        <v/>
      </c>
    </row>
    <row r="18961" spans="1:7" x14ac:dyDescent="0.25">
      <c r="A18961" t="s">
        <v>8</v>
      </c>
      <c r="B18961" s="1" t="str">
        <f>"000387301 - RICHS BREAD&amp;ROLLS-SODEXO"</f>
        <v>000387301 - RICHS BREAD&amp;ROLLS-SODEXO</v>
      </c>
      <c r="C18961" t="s">
        <v>551</v>
      </c>
      <c r="D18961" s="1" t="str">
        <f t="shared" si="510"/>
        <v>PRG-1046872</v>
      </c>
      <c r="E18961" t="s">
        <v>331</v>
      </c>
      <c r="F18961" t="s">
        <v>4</v>
      </c>
      <c r="G18961" t="str">
        <f>""</f>
        <v/>
      </c>
    </row>
    <row r="18962" spans="1:7" x14ac:dyDescent="0.25">
      <c r="A18962" t="s">
        <v>8</v>
      </c>
      <c r="B18962" s="1" t="str">
        <f>"000388462 - RICHS BREAD &amp; ROLLS-SODEXO"</f>
        <v>000388462 - RICHS BREAD &amp; ROLLS-SODEXO</v>
      </c>
      <c r="C18962" t="s">
        <v>135</v>
      </c>
      <c r="D18962" s="1" t="str">
        <f t="shared" si="510"/>
        <v>PRG-1046872</v>
      </c>
      <c r="E18962" t="s">
        <v>331</v>
      </c>
      <c r="F18962" t="s">
        <v>4</v>
      </c>
      <c r="G18962" t="str">
        <f>""</f>
        <v/>
      </c>
    </row>
    <row r="18963" spans="1:7" x14ac:dyDescent="0.25">
      <c r="A18963" t="s">
        <v>8</v>
      </c>
      <c r="B18963" s="1" t="str">
        <f>"000389211 - RICHS BREAD &amp; ROLLS-SODEXO"</f>
        <v>000389211 - RICHS BREAD &amp; ROLLS-SODEXO</v>
      </c>
      <c r="C18963" t="s">
        <v>135</v>
      </c>
      <c r="D18963" s="1" t="str">
        <f t="shared" si="510"/>
        <v>PRG-1046872</v>
      </c>
      <c r="E18963" t="s">
        <v>331</v>
      </c>
      <c r="F18963" t="s">
        <v>4</v>
      </c>
      <c r="G18963" t="str">
        <f>""</f>
        <v/>
      </c>
    </row>
    <row r="18964" spans="1:7" x14ac:dyDescent="0.25">
      <c r="A18964" t="s">
        <v>8</v>
      </c>
      <c r="B18964" s="1" t="str">
        <f>"000397857 - RICHS BREAD &amp; ROLLS-SODEXO"</f>
        <v>000397857 - RICHS BREAD &amp; ROLLS-SODEXO</v>
      </c>
      <c r="C18964" t="s">
        <v>135</v>
      </c>
      <c r="D18964" s="1" t="str">
        <f t="shared" si="510"/>
        <v>PRG-1046872</v>
      </c>
      <c r="E18964" t="s">
        <v>331</v>
      </c>
      <c r="F18964" t="s">
        <v>4</v>
      </c>
      <c r="G18964" t="str">
        <f>""</f>
        <v/>
      </c>
    </row>
    <row r="18965" spans="1:7" x14ac:dyDescent="0.25">
      <c r="A18965" t="s">
        <v>8</v>
      </c>
      <c r="B18965" s="1" t="str">
        <f>"000401267 - RICHS BREAD &amp; ROLLS-SODEXO"</f>
        <v>000401267 - RICHS BREAD &amp; ROLLS-SODEXO</v>
      </c>
      <c r="C18965" t="s">
        <v>135</v>
      </c>
      <c r="D18965" s="1" t="str">
        <f t="shared" si="510"/>
        <v>PRG-1046872</v>
      </c>
      <c r="E18965" t="s">
        <v>331</v>
      </c>
      <c r="F18965" t="s">
        <v>4</v>
      </c>
      <c r="G18965" t="str">
        <f>""</f>
        <v/>
      </c>
    </row>
    <row r="18966" spans="1:7" x14ac:dyDescent="0.25">
      <c r="A18966" t="s">
        <v>8</v>
      </c>
      <c r="B18966" s="1" t="str">
        <f>"000401632 - RICHS BREAD&amp;ROLLS-SODEXO"</f>
        <v>000401632 - RICHS BREAD&amp;ROLLS-SODEXO</v>
      </c>
      <c r="C18966" t="s">
        <v>551</v>
      </c>
      <c r="D18966" s="1" t="str">
        <f t="shared" si="510"/>
        <v>PRG-1046872</v>
      </c>
      <c r="E18966" t="s">
        <v>331</v>
      </c>
      <c r="F18966" t="s">
        <v>4</v>
      </c>
      <c r="G18966" t="str">
        <f>""</f>
        <v/>
      </c>
    </row>
    <row r="18967" spans="1:7" x14ac:dyDescent="0.25">
      <c r="A18967" t="s">
        <v>8</v>
      </c>
      <c r="B18967" s="1" t="str">
        <f>"000403053 - RICHS BREAD &amp; ROLLS-SODEXO"</f>
        <v>000403053 - RICHS BREAD &amp; ROLLS-SODEXO</v>
      </c>
      <c r="C18967" t="s">
        <v>135</v>
      </c>
      <c r="D18967" s="1" t="str">
        <f t="shared" si="510"/>
        <v>PRG-1046872</v>
      </c>
      <c r="E18967" t="s">
        <v>331</v>
      </c>
      <c r="F18967" t="s">
        <v>4</v>
      </c>
      <c r="G18967" t="str">
        <f>""</f>
        <v/>
      </c>
    </row>
    <row r="18968" spans="1:7" x14ac:dyDescent="0.25">
      <c r="A18968" t="s">
        <v>8</v>
      </c>
      <c r="B18968" s="1" t="str">
        <f>"000405445 - RICHS BREAD &amp; ROLLS-SODEXO"</f>
        <v>000405445 - RICHS BREAD &amp; ROLLS-SODEXO</v>
      </c>
      <c r="C18968" t="s">
        <v>135</v>
      </c>
      <c r="D18968" s="1" t="str">
        <f t="shared" si="510"/>
        <v>PRG-1046872</v>
      </c>
      <c r="E18968" t="s">
        <v>331</v>
      </c>
      <c r="F18968" t="s">
        <v>4</v>
      </c>
      <c r="G18968" t="str">
        <f>""</f>
        <v/>
      </c>
    </row>
    <row r="18969" spans="1:7" x14ac:dyDescent="0.25">
      <c r="A18969" t="s">
        <v>8</v>
      </c>
      <c r="B18969" s="1" t="str">
        <f>"000407581 - RICHS BREAD &amp; ROLLS-SODEXO"</f>
        <v>000407581 - RICHS BREAD &amp; ROLLS-SODEXO</v>
      </c>
      <c r="C18969" t="s">
        <v>135</v>
      </c>
      <c r="D18969" s="1" t="str">
        <f t="shared" si="510"/>
        <v>PRG-1046872</v>
      </c>
      <c r="E18969" t="s">
        <v>331</v>
      </c>
      <c r="F18969" t="s">
        <v>4</v>
      </c>
      <c r="G18969" t="str">
        <f>""</f>
        <v/>
      </c>
    </row>
    <row r="18970" spans="1:7" x14ac:dyDescent="0.25">
      <c r="A18970" t="s">
        <v>8</v>
      </c>
      <c r="B18970" s="1" t="str">
        <f>"000412431 - RICHS BREAD&amp;ROLLS-SODEXO"</f>
        <v>000412431 - RICHS BREAD&amp;ROLLS-SODEXO</v>
      </c>
      <c r="C18970" t="s">
        <v>551</v>
      </c>
      <c r="D18970" s="1" t="str">
        <f t="shared" si="510"/>
        <v>PRG-1046872</v>
      </c>
      <c r="E18970" t="s">
        <v>331</v>
      </c>
      <c r="F18970" t="s">
        <v>4</v>
      </c>
      <c r="G18970" t="str">
        <f>""</f>
        <v/>
      </c>
    </row>
    <row r="18971" spans="1:7" x14ac:dyDescent="0.25">
      <c r="A18971" t="s">
        <v>8</v>
      </c>
      <c r="B18971" s="1" t="str">
        <f>"000412878 - RICHS BREAD &amp; ROLLS-SODEXO"</f>
        <v>000412878 - RICHS BREAD &amp; ROLLS-SODEXO</v>
      </c>
      <c r="C18971" t="s">
        <v>135</v>
      </c>
      <c r="D18971" s="1" t="str">
        <f t="shared" si="510"/>
        <v>PRG-1046872</v>
      </c>
      <c r="E18971" t="s">
        <v>331</v>
      </c>
      <c r="F18971" t="s">
        <v>4</v>
      </c>
      <c r="G18971" t="str">
        <f>""</f>
        <v/>
      </c>
    </row>
    <row r="18972" spans="1:7" x14ac:dyDescent="0.25">
      <c r="A18972" t="s">
        <v>8</v>
      </c>
      <c r="B18972" s="1" t="str">
        <f>"000013743 - RICHS DOUGH &amp; ICING-SODEXO"</f>
        <v>000013743 - RICHS DOUGH &amp; ICING-SODEXO</v>
      </c>
      <c r="C18972" t="s">
        <v>349</v>
      </c>
      <c r="D18972" s="1" t="str">
        <f t="shared" ref="D18972:D19003" si="511">"PRG-1046875"</f>
        <v>PRG-1046875</v>
      </c>
      <c r="E18972" t="s">
        <v>48</v>
      </c>
      <c r="F18972" t="s">
        <v>4</v>
      </c>
      <c r="G18972" t="str">
        <f>""</f>
        <v/>
      </c>
    </row>
    <row r="18973" spans="1:7" x14ac:dyDescent="0.25">
      <c r="A18973" t="s">
        <v>8</v>
      </c>
      <c r="B18973" s="1" t="str">
        <f>"000015081 - RICHS DOUGH &amp; ICING-SODEXO"</f>
        <v>000015081 - RICHS DOUGH &amp; ICING-SODEXO</v>
      </c>
      <c r="C18973" t="s">
        <v>349</v>
      </c>
      <c r="D18973" s="1" t="str">
        <f t="shared" si="511"/>
        <v>PRG-1046875</v>
      </c>
      <c r="E18973" t="s">
        <v>48</v>
      </c>
      <c r="F18973" t="s">
        <v>4</v>
      </c>
      <c r="G18973" t="str">
        <f>""</f>
        <v/>
      </c>
    </row>
    <row r="18974" spans="1:7" x14ac:dyDescent="0.25">
      <c r="A18974" t="s">
        <v>8</v>
      </c>
      <c r="B18974" s="1" t="str">
        <f>"000015363 - RICHS DOUGH &amp; ICING-SODEXO"</f>
        <v>000015363 - RICHS DOUGH &amp; ICING-SODEXO</v>
      </c>
      <c r="C18974" t="s">
        <v>349</v>
      </c>
      <c r="D18974" s="1" t="str">
        <f t="shared" si="511"/>
        <v>PRG-1046875</v>
      </c>
      <c r="E18974" t="s">
        <v>48</v>
      </c>
      <c r="F18974" t="s">
        <v>4</v>
      </c>
      <c r="G18974" t="str">
        <f>""</f>
        <v/>
      </c>
    </row>
    <row r="18975" spans="1:7" x14ac:dyDescent="0.25">
      <c r="A18975" t="s">
        <v>8</v>
      </c>
      <c r="B18975" s="1" t="str">
        <f>"000016970 - RICHS DOUGH &amp; ICING-SODEXO"</f>
        <v>000016970 - RICHS DOUGH &amp; ICING-SODEXO</v>
      </c>
      <c r="C18975" t="s">
        <v>349</v>
      </c>
      <c r="D18975" s="1" t="str">
        <f t="shared" si="511"/>
        <v>PRG-1046875</v>
      </c>
      <c r="E18975" t="s">
        <v>48</v>
      </c>
      <c r="F18975" t="s">
        <v>4</v>
      </c>
      <c r="G18975" t="str">
        <f>""</f>
        <v/>
      </c>
    </row>
    <row r="18976" spans="1:7" x14ac:dyDescent="0.25">
      <c r="A18976" t="s">
        <v>8</v>
      </c>
      <c r="B18976" s="1" t="str">
        <f>"000022308 - RICHS DOUGH &amp; ICING-SODEXO"</f>
        <v>000022308 - RICHS DOUGH &amp; ICING-SODEXO</v>
      </c>
      <c r="C18976" t="s">
        <v>349</v>
      </c>
      <c r="D18976" s="1" t="str">
        <f t="shared" si="511"/>
        <v>PRG-1046875</v>
      </c>
      <c r="E18976" t="s">
        <v>48</v>
      </c>
      <c r="F18976" t="s">
        <v>4</v>
      </c>
      <c r="G18976" t="str">
        <f>""</f>
        <v/>
      </c>
    </row>
    <row r="18977" spans="1:7" x14ac:dyDescent="0.25">
      <c r="A18977" t="s">
        <v>8</v>
      </c>
      <c r="B18977" s="1" t="str">
        <f>"000022407 - RICHS DOUGH &amp; ICING-SODEXO"</f>
        <v>000022407 - RICHS DOUGH &amp; ICING-SODEXO</v>
      </c>
      <c r="C18977" t="s">
        <v>349</v>
      </c>
      <c r="D18977" s="1" t="str">
        <f t="shared" si="511"/>
        <v>PRG-1046875</v>
      </c>
      <c r="E18977" t="s">
        <v>48</v>
      </c>
      <c r="F18977" t="s">
        <v>4</v>
      </c>
      <c r="G18977" t="str">
        <f>""</f>
        <v/>
      </c>
    </row>
    <row r="18978" spans="1:7" x14ac:dyDescent="0.25">
      <c r="A18978" t="s">
        <v>8</v>
      </c>
      <c r="B18978" s="1" t="str">
        <f>"000023274 - RICHS DOUGH&amp;ICING BAPA SODEXO"</f>
        <v>000023274 - RICHS DOUGH&amp;ICING BAPA SODEXO</v>
      </c>
      <c r="C18978" t="s">
        <v>424</v>
      </c>
      <c r="D18978" s="1" t="str">
        <f t="shared" si="511"/>
        <v>PRG-1046875</v>
      </c>
      <c r="E18978" t="s">
        <v>48</v>
      </c>
      <c r="F18978" t="s">
        <v>4</v>
      </c>
      <c r="G18978" t="str">
        <f>""</f>
        <v/>
      </c>
    </row>
    <row r="18979" spans="1:7" x14ac:dyDescent="0.25">
      <c r="A18979" t="s">
        <v>8</v>
      </c>
      <c r="B18979" s="1" t="str">
        <f>"000023964 - RICHS DOUGH &amp; ICING-SODEXO"</f>
        <v>000023964 - RICHS DOUGH &amp; ICING-SODEXO</v>
      </c>
      <c r="C18979" t="s">
        <v>349</v>
      </c>
      <c r="D18979" s="1" t="str">
        <f t="shared" si="511"/>
        <v>PRG-1046875</v>
      </c>
      <c r="E18979" t="s">
        <v>48</v>
      </c>
      <c r="F18979" t="s">
        <v>4</v>
      </c>
      <c r="G18979" t="str">
        <f>""</f>
        <v/>
      </c>
    </row>
    <row r="18980" spans="1:7" x14ac:dyDescent="0.25">
      <c r="A18980" t="s">
        <v>8</v>
      </c>
      <c r="B18980" s="1" t="str">
        <f>"000024241 - RICHS DOUGH &amp; ICING-SODEXO"</f>
        <v>000024241 - RICHS DOUGH &amp; ICING-SODEXO</v>
      </c>
      <c r="C18980" t="s">
        <v>349</v>
      </c>
      <c r="D18980" s="1" t="str">
        <f t="shared" si="511"/>
        <v>PRG-1046875</v>
      </c>
      <c r="E18980" t="s">
        <v>48</v>
      </c>
      <c r="F18980" t="s">
        <v>4</v>
      </c>
      <c r="G18980" t="str">
        <f>""</f>
        <v/>
      </c>
    </row>
    <row r="18981" spans="1:7" x14ac:dyDescent="0.25">
      <c r="A18981" t="s">
        <v>8</v>
      </c>
      <c r="B18981" s="1" t="str">
        <f>"000025700 - RICHS DOUGH &amp; ICING-SODEXO"</f>
        <v>000025700 - RICHS DOUGH &amp; ICING-SODEXO</v>
      </c>
      <c r="C18981" t="s">
        <v>349</v>
      </c>
      <c r="D18981" s="1" t="str">
        <f t="shared" si="511"/>
        <v>PRG-1046875</v>
      </c>
      <c r="E18981" t="s">
        <v>48</v>
      </c>
      <c r="F18981" t="s">
        <v>4</v>
      </c>
      <c r="G18981" t="str">
        <f>""</f>
        <v/>
      </c>
    </row>
    <row r="18982" spans="1:7" x14ac:dyDescent="0.25">
      <c r="A18982" t="s">
        <v>8</v>
      </c>
      <c r="B18982" s="1" t="str">
        <f>"000026065 - RICHS DOUGH &amp; ICING-SODEXO"</f>
        <v>000026065 - RICHS DOUGH &amp; ICING-SODEXO</v>
      </c>
      <c r="C18982" t="s">
        <v>349</v>
      </c>
      <c r="D18982" s="1" t="str">
        <f t="shared" si="511"/>
        <v>PRG-1046875</v>
      </c>
      <c r="E18982" t="s">
        <v>48</v>
      </c>
      <c r="F18982" t="s">
        <v>4</v>
      </c>
      <c r="G18982" t="str">
        <f>""</f>
        <v/>
      </c>
    </row>
    <row r="18983" spans="1:7" x14ac:dyDescent="0.25">
      <c r="A18983" t="s">
        <v>8</v>
      </c>
      <c r="B18983" s="1" t="str">
        <f>"000027218 - RICHS DOUGH &amp; ICING-SODEXO"</f>
        <v>000027218 - RICHS DOUGH &amp; ICING-SODEXO</v>
      </c>
      <c r="C18983" t="s">
        <v>349</v>
      </c>
      <c r="D18983" s="1" t="str">
        <f t="shared" si="511"/>
        <v>PRG-1046875</v>
      </c>
      <c r="E18983" t="s">
        <v>48</v>
      </c>
      <c r="F18983" t="s">
        <v>4</v>
      </c>
      <c r="G18983" t="str">
        <f>""</f>
        <v/>
      </c>
    </row>
    <row r="18984" spans="1:7" x14ac:dyDescent="0.25">
      <c r="A18984" t="s">
        <v>8</v>
      </c>
      <c r="B18984" s="1" t="str">
        <f>"000027791 - RICHS DOUGH &amp; ICING-SODEXO"</f>
        <v>000027791 - RICHS DOUGH &amp; ICING-SODEXO</v>
      </c>
      <c r="C18984" t="s">
        <v>349</v>
      </c>
      <c r="D18984" s="1" t="str">
        <f t="shared" si="511"/>
        <v>PRG-1046875</v>
      </c>
      <c r="E18984" t="s">
        <v>48</v>
      </c>
      <c r="F18984" t="s">
        <v>4</v>
      </c>
      <c r="G18984" t="str">
        <f>""</f>
        <v/>
      </c>
    </row>
    <row r="18985" spans="1:7" x14ac:dyDescent="0.25">
      <c r="A18985" t="s">
        <v>8</v>
      </c>
      <c r="B18985" s="1" t="str">
        <f>"000028414 - RICHS DOUGH &amp; ICING-SODEXO"</f>
        <v>000028414 - RICHS DOUGH &amp; ICING-SODEXO</v>
      </c>
      <c r="C18985" t="s">
        <v>349</v>
      </c>
      <c r="D18985" s="1" t="str">
        <f t="shared" si="511"/>
        <v>PRG-1046875</v>
      </c>
      <c r="E18985" t="s">
        <v>48</v>
      </c>
      <c r="F18985" t="s">
        <v>4</v>
      </c>
      <c r="G18985" t="str">
        <f>""</f>
        <v/>
      </c>
    </row>
    <row r="18986" spans="1:7" x14ac:dyDescent="0.25">
      <c r="A18986" t="s">
        <v>8</v>
      </c>
      <c r="B18986" s="1" t="str">
        <f>"000030499 - RICHS DOUGH &amp; ICING-SODEXO"</f>
        <v>000030499 - RICHS DOUGH &amp; ICING-SODEXO</v>
      </c>
      <c r="C18986" t="s">
        <v>349</v>
      </c>
      <c r="D18986" s="1" t="str">
        <f t="shared" si="511"/>
        <v>PRG-1046875</v>
      </c>
      <c r="E18986" t="s">
        <v>48</v>
      </c>
      <c r="F18986" t="s">
        <v>4</v>
      </c>
      <c r="G18986" t="str">
        <f>""</f>
        <v/>
      </c>
    </row>
    <row r="18987" spans="1:7" x14ac:dyDescent="0.25">
      <c r="A18987" t="s">
        <v>8</v>
      </c>
      <c r="B18987" s="1" t="str">
        <f>"000031013 - RICHS DOUGH &amp; ICING-SODEXO"</f>
        <v>000031013 - RICHS DOUGH &amp; ICING-SODEXO</v>
      </c>
      <c r="C18987" t="s">
        <v>349</v>
      </c>
      <c r="D18987" s="1" t="str">
        <f t="shared" si="511"/>
        <v>PRG-1046875</v>
      </c>
      <c r="E18987" t="s">
        <v>48</v>
      </c>
      <c r="F18987" t="s">
        <v>4</v>
      </c>
      <c r="G18987" t="str">
        <f>""</f>
        <v/>
      </c>
    </row>
    <row r="18988" spans="1:7" x14ac:dyDescent="0.25">
      <c r="A18988" t="s">
        <v>8</v>
      </c>
      <c r="B18988" s="1" t="str">
        <f>"000032027 - RICHS DOUGH &amp; ICING-SODEXO"</f>
        <v>000032027 - RICHS DOUGH &amp; ICING-SODEXO</v>
      </c>
      <c r="C18988" t="s">
        <v>349</v>
      </c>
      <c r="D18988" s="1" t="str">
        <f t="shared" si="511"/>
        <v>PRG-1046875</v>
      </c>
      <c r="E18988" t="s">
        <v>48</v>
      </c>
      <c r="F18988" t="s">
        <v>4</v>
      </c>
      <c r="G18988" t="str">
        <f>""</f>
        <v/>
      </c>
    </row>
    <row r="18989" spans="1:7" x14ac:dyDescent="0.25">
      <c r="A18989" t="s">
        <v>8</v>
      </c>
      <c r="B18989" s="1" t="str">
        <f>"000032804 - RICHS DOUGH &amp; ICING-SODEXO"</f>
        <v>000032804 - RICHS DOUGH &amp; ICING-SODEXO</v>
      </c>
      <c r="C18989" t="s">
        <v>349</v>
      </c>
      <c r="D18989" s="1" t="str">
        <f t="shared" si="511"/>
        <v>PRG-1046875</v>
      </c>
      <c r="E18989" t="s">
        <v>48</v>
      </c>
      <c r="F18989" t="s">
        <v>4</v>
      </c>
      <c r="G18989" t="str">
        <f>""</f>
        <v/>
      </c>
    </row>
    <row r="18990" spans="1:7" x14ac:dyDescent="0.25">
      <c r="A18990" t="s">
        <v>8</v>
      </c>
      <c r="B18990" s="1" t="str">
        <f>"000038189 - RICHS DOUGH &amp; ICING-SODEXO"</f>
        <v>000038189 - RICHS DOUGH &amp; ICING-SODEXO</v>
      </c>
      <c r="C18990" t="s">
        <v>349</v>
      </c>
      <c r="D18990" s="1" t="str">
        <f t="shared" si="511"/>
        <v>PRG-1046875</v>
      </c>
      <c r="E18990" t="s">
        <v>48</v>
      </c>
      <c r="F18990" t="s">
        <v>4</v>
      </c>
      <c r="G18990" t="str">
        <f>""</f>
        <v/>
      </c>
    </row>
    <row r="18991" spans="1:7" x14ac:dyDescent="0.25">
      <c r="A18991" t="s">
        <v>8</v>
      </c>
      <c r="B18991" s="1" t="str">
        <f>"000041457 - RICHS DOUGH &amp; ICING-SODEXO"</f>
        <v>000041457 - RICHS DOUGH &amp; ICING-SODEXO</v>
      </c>
      <c r="C18991" t="s">
        <v>349</v>
      </c>
      <c r="D18991" s="1" t="str">
        <f t="shared" si="511"/>
        <v>PRG-1046875</v>
      </c>
      <c r="E18991" t="s">
        <v>48</v>
      </c>
      <c r="F18991" t="s">
        <v>4</v>
      </c>
      <c r="G18991" t="str">
        <f>""</f>
        <v/>
      </c>
    </row>
    <row r="18992" spans="1:7" x14ac:dyDescent="0.25">
      <c r="A18992" t="s">
        <v>8</v>
      </c>
      <c r="B18992" s="1" t="str">
        <f>"000042225 - RICHS DOUGH &amp; ICING-SODEXO"</f>
        <v>000042225 - RICHS DOUGH &amp; ICING-SODEXO</v>
      </c>
      <c r="C18992" t="s">
        <v>349</v>
      </c>
      <c r="D18992" s="1" t="str">
        <f t="shared" si="511"/>
        <v>PRG-1046875</v>
      </c>
      <c r="E18992" t="s">
        <v>48</v>
      </c>
      <c r="F18992" t="s">
        <v>4</v>
      </c>
      <c r="G18992" t="str">
        <f>""</f>
        <v/>
      </c>
    </row>
    <row r="18993" spans="1:7" x14ac:dyDescent="0.25">
      <c r="A18993" t="s">
        <v>8</v>
      </c>
      <c r="B18993" s="1" t="str">
        <f>"000046572 - RICHS DOUGH &amp; ICING-SODEXO"</f>
        <v>000046572 - RICHS DOUGH &amp; ICING-SODEXO</v>
      </c>
      <c r="C18993" t="s">
        <v>349</v>
      </c>
      <c r="D18993" s="1" t="str">
        <f t="shared" si="511"/>
        <v>PRG-1046875</v>
      </c>
      <c r="E18993" t="s">
        <v>48</v>
      </c>
      <c r="F18993" t="s">
        <v>4</v>
      </c>
      <c r="G18993" t="str">
        <f>""</f>
        <v/>
      </c>
    </row>
    <row r="18994" spans="1:7" x14ac:dyDescent="0.25">
      <c r="A18994" t="s">
        <v>8</v>
      </c>
      <c r="B18994" s="1" t="str">
        <f>"000049803 - RICHS DOUGH &amp; ICING-SODEXO"</f>
        <v>000049803 - RICHS DOUGH &amp; ICING-SODEXO</v>
      </c>
      <c r="C18994" t="s">
        <v>349</v>
      </c>
      <c r="D18994" s="1" t="str">
        <f t="shared" si="511"/>
        <v>PRG-1046875</v>
      </c>
      <c r="E18994" t="s">
        <v>48</v>
      </c>
      <c r="F18994" t="s">
        <v>4</v>
      </c>
      <c r="G18994" t="str">
        <f>""</f>
        <v/>
      </c>
    </row>
    <row r="18995" spans="1:7" x14ac:dyDescent="0.25">
      <c r="A18995" t="s">
        <v>8</v>
      </c>
      <c r="B18995" s="1" t="str">
        <f>"000052320 - RICHS DOUGH &amp; ICING-SODEXO"</f>
        <v>000052320 - RICHS DOUGH &amp; ICING-SODEXO</v>
      </c>
      <c r="C18995" t="s">
        <v>349</v>
      </c>
      <c r="D18995" s="1" t="str">
        <f t="shared" si="511"/>
        <v>PRG-1046875</v>
      </c>
      <c r="E18995" t="s">
        <v>48</v>
      </c>
      <c r="F18995" t="s">
        <v>4</v>
      </c>
      <c r="G18995" t="str">
        <f>""</f>
        <v/>
      </c>
    </row>
    <row r="18996" spans="1:7" x14ac:dyDescent="0.25">
      <c r="A18996" t="s">
        <v>8</v>
      </c>
      <c r="B18996" s="1" t="str">
        <f>"000054383 - RICHS DOUGH &amp; ICING-SODEXO"</f>
        <v>000054383 - RICHS DOUGH &amp; ICING-SODEXO</v>
      </c>
      <c r="C18996" t="s">
        <v>349</v>
      </c>
      <c r="D18996" s="1" t="str">
        <f t="shared" si="511"/>
        <v>PRG-1046875</v>
      </c>
      <c r="E18996" t="s">
        <v>48</v>
      </c>
      <c r="F18996" t="s">
        <v>4</v>
      </c>
      <c r="G18996" t="str">
        <f>""</f>
        <v/>
      </c>
    </row>
    <row r="18997" spans="1:7" x14ac:dyDescent="0.25">
      <c r="A18997" t="s">
        <v>8</v>
      </c>
      <c r="B18997" s="1" t="str">
        <f>"000085168 - RICHS DOUGH &amp; ICING-SODEXO"</f>
        <v>000085168 - RICHS DOUGH &amp; ICING-SODEXO</v>
      </c>
      <c r="C18997" t="s">
        <v>349</v>
      </c>
      <c r="D18997" s="1" t="str">
        <f t="shared" si="511"/>
        <v>PRG-1046875</v>
      </c>
      <c r="E18997" t="s">
        <v>48</v>
      </c>
      <c r="F18997" t="s">
        <v>4</v>
      </c>
      <c r="G18997" t="str">
        <f>""</f>
        <v/>
      </c>
    </row>
    <row r="18998" spans="1:7" x14ac:dyDescent="0.25">
      <c r="A18998" t="s">
        <v>8</v>
      </c>
      <c r="B18998" s="1" t="str">
        <f>"000089864 - RICHS DOUGH &amp; ICING-SODEXO"</f>
        <v>000089864 - RICHS DOUGH &amp; ICING-SODEXO</v>
      </c>
      <c r="C18998" t="s">
        <v>349</v>
      </c>
      <c r="D18998" s="1" t="str">
        <f t="shared" si="511"/>
        <v>PRG-1046875</v>
      </c>
      <c r="E18998" t="s">
        <v>48</v>
      </c>
      <c r="F18998" t="s">
        <v>4</v>
      </c>
      <c r="G18998" t="str">
        <f>""</f>
        <v/>
      </c>
    </row>
    <row r="18999" spans="1:7" x14ac:dyDescent="0.25">
      <c r="A18999" t="s">
        <v>8</v>
      </c>
      <c r="B18999" s="1" t="str">
        <f>"000091515 - RICHS DOUGH &amp; ICING-SODEXO"</f>
        <v>000091515 - RICHS DOUGH &amp; ICING-SODEXO</v>
      </c>
      <c r="C18999" t="s">
        <v>349</v>
      </c>
      <c r="D18999" s="1" t="str">
        <f t="shared" si="511"/>
        <v>PRG-1046875</v>
      </c>
      <c r="E18999" t="s">
        <v>48</v>
      </c>
      <c r="F18999" t="s">
        <v>4</v>
      </c>
      <c r="G18999" t="str">
        <f>""</f>
        <v/>
      </c>
    </row>
    <row r="19000" spans="1:7" x14ac:dyDescent="0.25">
      <c r="A19000" t="s">
        <v>8</v>
      </c>
      <c r="B19000" s="1" t="str">
        <f>"000107270 - RICHS DOUGH &amp; ICING-SODEXO"</f>
        <v>000107270 - RICHS DOUGH &amp; ICING-SODEXO</v>
      </c>
      <c r="C19000" t="s">
        <v>349</v>
      </c>
      <c r="D19000" s="1" t="str">
        <f t="shared" si="511"/>
        <v>PRG-1046875</v>
      </c>
      <c r="E19000" t="s">
        <v>48</v>
      </c>
      <c r="F19000" t="s">
        <v>4</v>
      </c>
      <c r="G19000" t="str">
        <f>""</f>
        <v/>
      </c>
    </row>
    <row r="19001" spans="1:7" x14ac:dyDescent="0.25">
      <c r="A19001" t="s">
        <v>8</v>
      </c>
      <c r="B19001" s="1" t="str">
        <f>"000144824 - RICHS DOUGH &amp; ICING-SODEXO"</f>
        <v>000144824 - RICHS DOUGH &amp; ICING-SODEXO</v>
      </c>
      <c r="C19001" t="s">
        <v>349</v>
      </c>
      <c r="D19001" s="1" t="str">
        <f t="shared" si="511"/>
        <v>PRG-1046875</v>
      </c>
      <c r="E19001" t="s">
        <v>48</v>
      </c>
      <c r="F19001" t="s">
        <v>4</v>
      </c>
      <c r="G19001" t="str">
        <f>""</f>
        <v/>
      </c>
    </row>
    <row r="19002" spans="1:7" x14ac:dyDescent="0.25">
      <c r="A19002" t="s">
        <v>8</v>
      </c>
      <c r="B19002" s="1" t="str">
        <f>"000146362 - RICHS DOUGH &amp; ICING-SODEXO"</f>
        <v>000146362 - RICHS DOUGH &amp; ICING-SODEXO</v>
      </c>
      <c r="C19002" t="s">
        <v>349</v>
      </c>
      <c r="D19002" s="1" t="str">
        <f t="shared" si="511"/>
        <v>PRG-1046875</v>
      </c>
      <c r="E19002" t="s">
        <v>48</v>
      </c>
      <c r="F19002" t="s">
        <v>4</v>
      </c>
      <c r="G19002" t="str">
        <f>""</f>
        <v/>
      </c>
    </row>
    <row r="19003" spans="1:7" x14ac:dyDescent="0.25">
      <c r="A19003" t="s">
        <v>8</v>
      </c>
      <c r="B19003" s="1" t="str">
        <f>"000158201 - RICHS DOUGH &amp; ICING-SODEXO"</f>
        <v>000158201 - RICHS DOUGH &amp; ICING-SODEXO</v>
      </c>
      <c r="C19003" t="s">
        <v>349</v>
      </c>
      <c r="D19003" s="1" t="str">
        <f t="shared" si="511"/>
        <v>PRG-1046875</v>
      </c>
      <c r="E19003" t="s">
        <v>48</v>
      </c>
      <c r="F19003" t="s">
        <v>4</v>
      </c>
      <c r="G19003" t="str">
        <f>""</f>
        <v/>
      </c>
    </row>
    <row r="19004" spans="1:7" x14ac:dyDescent="0.25">
      <c r="A19004" t="s">
        <v>8</v>
      </c>
      <c r="B19004" s="1" t="str">
        <f>"000165413 - RICHS DOUGH&amp;ICING-SODEXO"</f>
        <v>000165413 - RICHS DOUGH&amp;ICING-SODEXO</v>
      </c>
      <c r="C19004" t="s">
        <v>504</v>
      </c>
      <c r="D19004" s="1" t="str">
        <f t="shared" ref="D19004:D19035" si="512">"PRG-1046875"</f>
        <v>PRG-1046875</v>
      </c>
      <c r="E19004" t="s">
        <v>48</v>
      </c>
      <c r="F19004" t="s">
        <v>4</v>
      </c>
      <c r="G19004" t="str">
        <f>""</f>
        <v/>
      </c>
    </row>
    <row r="19005" spans="1:7" x14ac:dyDescent="0.25">
      <c r="A19005" t="s">
        <v>8</v>
      </c>
      <c r="B19005" s="1" t="str">
        <f>"000166562 - RICHS DOUGH &amp; ICING-SODEXO"</f>
        <v>000166562 - RICHS DOUGH &amp; ICING-SODEXO</v>
      </c>
      <c r="C19005" t="s">
        <v>349</v>
      </c>
      <c r="D19005" s="1" t="str">
        <f t="shared" si="512"/>
        <v>PRG-1046875</v>
      </c>
      <c r="E19005" t="s">
        <v>48</v>
      </c>
      <c r="F19005" t="s">
        <v>4</v>
      </c>
      <c r="G19005" t="str">
        <f>""</f>
        <v/>
      </c>
    </row>
    <row r="19006" spans="1:7" x14ac:dyDescent="0.25">
      <c r="A19006" t="s">
        <v>8</v>
      </c>
      <c r="B19006" s="1" t="str">
        <f>"000166743 - RICHS DOUGH &amp; ICING-SODEXO"</f>
        <v>000166743 - RICHS DOUGH &amp; ICING-SODEXO</v>
      </c>
      <c r="C19006" t="s">
        <v>349</v>
      </c>
      <c r="D19006" s="1" t="str">
        <f t="shared" si="512"/>
        <v>PRG-1046875</v>
      </c>
      <c r="E19006" t="s">
        <v>48</v>
      </c>
      <c r="F19006" t="s">
        <v>4</v>
      </c>
      <c r="G19006" t="str">
        <f>""</f>
        <v/>
      </c>
    </row>
    <row r="19007" spans="1:7" x14ac:dyDescent="0.25">
      <c r="A19007" t="s">
        <v>8</v>
      </c>
      <c r="B19007" s="1" t="str">
        <f>"000167767 - RICHS DOUGH &amp; ICING-SODEXO"</f>
        <v>000167767 - RICHS DOUGH &amp; ICING-SODEXO</v>
      </c>
      <c r="C19007" t="s">
        <v>349</v>
      </c>
      <c r="D19007" s="1" t="str">
        <f t="shared" si="512"/>
        <v>PRG-1046875</v>
      </c>
      <c r="E19007" t="s">
        <v>48</v>
      </c>
      <c r="F19007" t="s">
        <v>4</v>
      </c>
      <c r="G19007" t="str">
        <f>""</f>
        <v/>
      </c>
    </row>
    <row r="19008" spans="1:7" x14ac:dyDescent="0.25">
      <c r="A19008" t="s">
        <v>8</v>
      </c>
      <c r="B19008" s="1" t="str">
        <f>"000168466 - RICHS DOUGH &amp; ICING-SODEXO"</f>
        <v>000168466 - RICHS DOUGH &amp; ICING-SODEXO</v>
      </c>
      <c r="C19008" t="s">
        <v>349</v>
      </c>
      <c r="D19008" s="1" t="str">
        <f t="shared" si="512"/>
        <v>PRG-1046875</v>
      </c>
      <c r="E19008" t="s">
        <v>48</v>
      </c>
      <c r="F19008" t="s">
        <v>4</v>
      </c>
      <c r="G19008" t="str">
        <f>""</f>
        <v/>
      </c>
    </row>
    <row r="19009" spans="1:7" x14ac:dyDescent="0.25">
      <c r="A19009" t="s">
        <v>8</v>
      </c>
      <c r="B19009" s="1" t="str">
        <f>"000171912 - RICHS DOUGH &amp; ICING-SODEXO"</f>
        <v>000171912 - RICHS DOUGH &amp; ICING-SODEXO</v>
      </c>
      <c r="C19009" t="s">
        <v>349</v>
      </c>
      <c r="D19009" s="1" t="str">
        <f t="shared" si="512"/>
        <v>PRG-1046875</v>
      </c>
      <c r="E19009" t="s">
        <v>48</v>
      </c>
      <c r="F19009" t="s">
        <v>4</v>
      </c>
      <c r="G19009" t="str">
        <f>""</f>
        <v/>
      </c>
    </row>
    <row r="19010" spans="1:7" x14ac:dyDescent="0.25">
      <c r="A19010" t="s">
        <v>8</v>
      </c>
      <c r="B19010" s="1" t="str">
        <f>"000173155 - RICHS DOUGH &amp; ICING-SODEXO"</f>
        <v>000173155 - RICHS DOUGH &amp; ICING-SODEXO</v>
      </c>
      <c r="C19010" t="s">
        <v>349</v>
      </c>
      <c r="D19010" s="1" t="str">
        <f t="shared" si="512"/>
        <v>PRG-1046875</v>
      </c>
      <c r="E19010" t="s">
        <v>48</v>
      </c>
      <c r="F19010" t="s">
        <v>4</v>
      </c>
      <c r="G19010" t="str">
        <f>""</f>
        <v/>
      </c>
    </row>
    <row r="19011" spans="1:7" x14ac:dyDescent="0.25">
      <c r="A19011" t="s">
        <v>8</v>
      </c>
      <c r="B19011" s="1" t="str">
        <f>"000173441 - RICHS DOUGH &amp; ICING-SODEXO"</f>
        <v>000173441 - RICHS DOUGH &amp; ICING-SODEXO</v>
      </c>
      <c r="C19011" t="s">
        <v>349</v>
      </c>
      <c r="D19011" s="1" t="str">
        <f t="shared" si="512"/>
        <v>PRG-1046875</v>
      </c>
      <c r="E19011" t="s">
        <v>48</v>
      </c>
      <c r="F19011" t="s">
        <v>4</v>
      </c>
      <c r="G19011" t="str">
        <f>""</f>
        <v/>
      </c>
    </row>
    <row r="19012" spans="1:7" x14ac:dyDescent="0.25">
      <c r="A19012" t="s">
        <v>8</v>
      </c>
      <c r="B19012" s="1" t="str">
        <f>"000174951 - RICHS DOUGH &amp; ICING-SODEXO"</f>
        <v>000174951 - RICHS DOUGH &amp; ICING-SODEXO</v>
      </c>
      <c r="C19012" t="s">
        <v>349</v>
      </c>
      <c r="D19012" s="1" t="str">
        <f t="shared" si="512"/>
        <v>PRG-1046875</v>
      </c>
      <c r="E19012" t="s">
        <v>48</v>
      </c>
      <c r="F19012" t="s">
        <v>4</v>
      </c>
      <c r="G19012" t="str">
        <f>""</f>
        <v/>
      </c>
    </row>
    <row r="19013" spans="1:7" x14ac:dyDescent="0.25">
      <c r="A19013" t="s">
        <v>8</v>
      </c>
      <c r="B19013" s="1" t="str">
        <f>"000192276 - RICHS DOUGH &amp; ICING-SODEXO"</f>
        <v>000192276 - RICHS DOUGH &amp; ICING-SODEXO</v>
      </c>
      <c r="C19013" t="s">
        <v>349</v>
      </c>
      <c r="D19013" s="1" t="str">
        <f t="shared" si="512"/>
        <v>PRG-1046875</v>
      </c>
      <c r="E19013" t="s">
        <v>48</v>
      </c>
      <c r="F19013" t="s">
        <v>4</v>
      </c>
      <c r="G19013" t="str">
        <f>""</f>
        <v/>
      </c>
    </row>
    <row r="19014" spans="1:7" x14ac:dyDescent="0.25">
      <c r="A19014" t="s">
        <v>8</v>
      </c>
      <c r="B19014" s="1" t="str">
        <f>"000193707 - RICHS DOUGH &amp; ICING-SODEXO"</f>
        <v>000193707 - RICHS DOUGH &amp; ICING-SODEXO</v>
      </c>
      <c r="C19014" t="s">
        <v>349</v>
      </c>
      <c r="D19014" s="1" t="str">
        <f t="shared" si="512"/>
        <v>PRG-1046875</v>
      </c>
      <c r="E19014" t="s">
        <v>48</v>
      </c>
      <c r="F19014" t="s">
        <v>4</v>
      </c>
      <c r="G19014" t="str">
        <f>""</f>
        <v/>
      </c>
    </row>
    <row r="19015" spans="1:7" x14ac:dyDescent="0.25">
      <c r="A19015" t="s">
        <v>8</v>
      </c>
      <c r="B19015" s="1" t="str">
        <f>"000207162 - RICHS DOUGH &amp; ICING-SODEXO"</f>
        <v>000207162 - RICHS DOUGH &amp; ICING-SODEXO</v>
      </c>
      <c r="C19015" t="s">
        <v>349</v>
      </c>
      <c r="D19015" s="1" t="str">
        <f t="shared" si="512"/>
        <v>PRG-1046875</v>
      </c>
      <c r="E19015" t="s">
        <v>48</v>
      </c>
      <c r="F19015" t="s">
        <v>4</v>
      </c>
      <c r="G19015" t="str">
        <f>""</f>
        <v/>
      </c>
    </row>
    <row r="19016" spans="1:7" x14ac:dyDescent="0.25">
      <c r="A19016" t="s">
        <v>8</v>
      </c>
      <c r="B19016" s="1" t="str">
        <f>"000212322 - RICHS DOUGH &amp; ICING-SODEXO"</f>
        <v>000212322 - RICHS DOUGH &amp; ICING-SODEXO</v>
      </c>
      <c r="C19016" t="s">
        <v>349</v>
      </c>
      <c r="D19016" s="1" t="str">
        <f t="shared" si="512"/>
        <v>PRG-1046875</v>
      </c>
      <c r="E19016" t="s">
        <v>48</v>
      </c>
      <c r="F19016" t="s">
        <v>4</v>
      </c>
      <c r="G19016" t="str">
        <f>""</f>
        <v/>
      </c>
    </row>
    <row r="19017" spans="1:7" x14ac:dyDescent="0.25">
      <c r="A19017" t="s">
        <v>8</v>
      </c>
      <c r="B19017" s="1" t="str">
        <f>"000237259 - RICHS DOUGH &amp; ICING-SODEXO"</f>
        <v>000237259 - RICHS DOUGH &amp; ICING-SODEXO</v>
      </c>
      <c r="C19017" t="s">
        <v>349</v>
      </c>
      <c r="D19017" s="1" t="str">
        <f t="shared" si="512"/>
        <v>PRG-1046875</v>
      </c>
      <c r="E19017" t="s">
        <v>48</v>
      </c>
      <c r="F19017" t="s">
        <v>4</v>
      </c>
      <c r="G19017" t="str">
        <f>""</f>
        <v/>
      </c>
    </row>
    <row r="19018" spans="1:7" x14ac:dyDescent="0.25">
      <c r="A19018" t="s">
        <v>8</v>
      </c>
      <c r="B19018" s="1" t="str">
        <f>"000241767 - RICHS DOUGH &amp; ICING-SODEXO"</f>
        <v>000241767 - RICHS DOUGH &amp; ICING-SODEXO</v>
      </c>
      <c r="C19018" t="s">
        <v>349</v>
      </c>
      <c r="D19018" s="1" t="str">
        <f t="shared" si="512"/>
        <v>PRG-1046875</v>
      </c>
      <c r="E19018" t="s">
        <v>48</v>
      </c>
      <c r="F19018" t="s">
        <v>4</v>
      </c>
      <c r="G19018" t="str">
        <f>""</f>
        <v/>
      </c>
    </row>
    <row r="19019" spans="1:7" x14ac:dyDescent="0.25">
      <c r="A19019" t="s">
        <v>8</v>
      </c>
      <c r="B19019" s="1" t="str">
        <f>"000243663 - RICHS DOUGH &amp; ICING-SODEXO"</f>
        <v>000243663 - RICHS DOUGH &amp; ICING-SODEXO</v>
      </c>
      <c r="C19019" t="s">
        <v>349</v>
      </c>
      <c r="D19019" s="1" t="str">
        <f t="shared" si="512"/>
        <v>PRG-1046875</v>
      </c>
      <c r="E19019" t="s">
        <v>48</v>
      </c>
      <c r="F19019" t="s">
        <v>4</v>
      </c>
      <c r="G19019" t="str">
        <f>""</f>
        <v/>
      </c>
    </row>
    <row r="19020" spans="1:7" x14ac:dyDescent="0.25">
      <c r="A19020" t="s">
        <v>8</v>
      </c>
      <c r="B19020" s="1" t="str">
        <f>"000243788 - RICHS DOUGH &amp; ICING-SODEXO"</f>
        <v>000243788 - RICHS DOUGH &amp; ICING-SODEXO</v>
      </c>
      <c r="C19020" t="s">
        <v>349</v>
      </c>
      <c r="D19020" s="1" t="str">
        <f t="shared" si="512"/>
        <v>PRG-1046875</v>
      </c>
      <c r="E19020" t="s">
        <v>48</v>
      </c>
      <c r="F19020" t="s">
        <v>4</v>
      </c>
      <c r="G19020" t="str">
        <f>""</f>
        <v/>
      </c>
    </row>
    <row r="19021" spans="1:7" x14ac:dyDescent="0.25">
      <c r="A19021" t="s">
        <v>8</v>
      </c>
      <c r="B19021" s="1" t="str">
        <f>"000245652 - RICHS DOUGH &amp; ICING-SODEXO"</f>
        <v>000245652 - RICHS DOUGH &amp; ICING-SODEXO</v>
      </c>
      <c r="C19021" t="s">
        <v>349</v>
      </c>
      <c r="D19021" s="1" t="str">
        <f t="shared" si="512"/>
        <v>PRG-1046875</v>
      </c>
      <c r="E19021" t="s">
        <v>48</v>
      </c>
      <c r="F19021" t="s">
        <v>4</v>
      </c>
      <c r="G19021" t="str">
        <f>""</f>
        <v/>
      </c>
    </row>
    <row r="19022" spans="1:7" x14ac:dyDescent="0.25">
      <c r="A19022" t="s">
        <v>8</v>
      </c>
      <c r="B19022" s="1" t="str">
        <f>"000248682 - RICHS DOUGH &amp; ICING-SODEXO"</f>
        <v>000248682 - RICHS DOUGH &amp; ICING-SODEXO</v>
      </c>
      <c r="C19022" t="s">
        <v>349</v>
      </c>
      <c r="D19022" s="1" t="str">
        <f t="shared" si="512"/>
        <v>PRG-1046875</v>
      </c>
      <c r="E19022" t="s">
        <v>48</v>
      </c>
      <c r="F19022" t="s">
        <v>4</v>
      </c>
      <c r="G19022" t="str">
        <f>""</f>
        <v/>
      </c>
    </row>
    <row r="19023" spans="1:7" x14ac:dyDescent="0.25">
      <c r="A19023" t="s">
        <v>8</v>
      </c>
      <c r="B19023" s="1" t="str">
        <f>"000250324 - RICHS DOUGH &amp; ICING-SODEXO"</f>
        <v>000250324 - RICHS DOUGH &amp; ICING-SODEXO</v>
      </c>
      <c r="C19023" t="s">
        <v>349</v>
      </c>
      <c r="D19023" s="1" t="str">
        <f t="shared" si="512"/>
        <v>PRG-1046875</v>
      </c>
      <c r="E19023" t="s">
        <v>48</v>
      </c>
      <c r="F19023" t="s">
        <v>4</v>
      </c>
      <c r="G19023" t="str">
        <f>""</f>
        <v/>
      </c>
    </row>
    <row r="19024" spans="1:7" x14ac:dyDescent="0.25">
      <c r="A19024" t="s">
        <v>8</v>
      </c>
      <c r="B19024" s="1" t="str">
        <f>"000257710 - RICHS DOUGH &amp; ICING-SODEXO"</f>
        <v>000257710 - RICHS DOUGH &amp; ICING-SODEXO</v>
      </c>
      <c r="C19024" t="s">
        <v>349</v>
      </c>
      <c r="D19024" s="1" t="str">
        <f t="shared" si="512"/>
        <v>PRG-1046875</v>
      </c>
      <c r="E19024" t="s">
        <v>48</v>
      </c>
      <c r="F19024" t="s">
        <v>4</v>
      </c>
      <c r="G19024" t="str">
        <f>""</f>
        <v/>
      </c>
    </row>
    <row r="19025" spans="1:7" x14ac:dyDescent="0.25">
      <c r="A19025" t="s">
        <v>8</v>
      </c>
      <c r="B19025" s="1" t="str">
        <f>"000258994 - RICHS DOUGH &amp; ICING-SODEXO"</f>
        <v>000258994 - RICHS DOUGH &amp; ICING-SODEXO</v>
      </c>
      <c r="C19025" t="s">
        <v>349</v>
      </c>
      <c r="D19025" s="1" t="str">
        <f t="shared" si="512"/>
        <v>PRG-1046875</v>
      </c>
      <c r="E19025" t="s">
        <v>48</v>
      </c>
      <c r="F19025" t="s">
        <v>4</v>
      </c>
      <c r="G19025" t="str">
        <f>""</f>
        <v/>
      </c>
    </row>
    <row r="19026" spans="1:7" x14ac:dyDescent="0.25">
      <c r="A19026" t="s">
        <v>8</v>
      </c>
      <c r="B19026" s="1" t="str">
        <f>"000259819 - RICHS DOUGH &amp; ICING-SODEXO"</f>
        <v>000259819 - RICHS DOUGH &amp; ICING-SODEXO</v>
      </c>
      <c r="C19026" t="s">
        <v>349</v>
      </c>
      <c r="D19026" s="1" t="str">
        <f t="shared" si="512"/>
        <v>PRG-1046875</v>
      </c>
      <c r="E19026" t="s">
        <v>48</v>
      </c>
      <c r="F19026" t="s">
        <v>4</v>
      </c>
      <c r="G19026" t="str">
        <f>""</f>
        <v/>
      </c>
    </row>
    <row r="19027" spans="1:7" x14ac:dyDescent="0.25">
      <c r="A19027" t="s">
        <v>8</v>
      </c>
      <c r="B19027" s="1" t="str">
        <f>"000262529 - RICHS DOUGH &amp; ICING-SODEXO"</f>
        <v>000262529 - RICHS DOUGH &amp; ICING-SODEXO</v>
      </c>
      <c r="C19027" t="s">
        <v>349</v>
      </c>
      <c r="D19027" s="1" t="str">
        <f t="shared" si="512"/>
        <v>PRG-1046875</v>
      </c>
      <c r="E19027" t="s">
        <v>48</v>
      </c>
      <c r="F19027" t="s">
        <v>4</v>
      </c>
      <c r="G19027" t="str">
        <f>""</f>
        <v/>
      </c>
    </row>
    <row r="19028" spans="1:7" x14ac:dyDescent="0.25">
      <c r="A19028" t="s">
        <v>8</v>
      </c>
      <c r="B19028" s="1" t="str">
        <f>"000262655 - RICHS DOUGH &amp; ICING-SODEXO"</f>
        <v>000262655 - RICHS DOUGH &amp; ICING-SODEXO</v>
      </c>
      <c r="C19028" t="s">
        <v>349</v>
      </c>
      <c r="D19028" s="1" t="str">
        <f t="shared" si="512"/>
        <v>PRG-1046875</v>
      </c>
      <c r="E19028" t="s">
        <v>48</v>
      </c>
      <c r="F19028" t="s">
        <v>4</v>
      </c>
      <c r="G19028" t="str">
        <f>""</f>
        <v/>
      </c>
    </row>
    <row r="19029" spans="1:7" x14ac:dyDescent="0.25">
      <c r="A19029" t="s">
        <v>8</v>
      </c>
      <c r="B19029" s="1" t="str">
        <f>"000263875 - RICHS DOUGH &amp; ICING-SODEXO"</f>
        <v>000263875 - RICHS DOUGH &amp; ICING-SODEXO</v>
      </c>
      <c r="C19029" t="s">
        <v>349</v>
      </c>
      <c r="D19029" s="1" t="str">
        <f t="shared" si="512"/>
        <v>PRG-1046875</v>
      </c>
      <c r="E19029" t="s">
        <v>48</v>
      </c>
      <c r="F19029" t="s">
        <v>4</v>
      </c>
      <c r="G19029" t="str">
        <f>""</f>
        <v/>
      </c>
    </row>
    <row r="19030" spans="1:7" x14ac:dyDescent="0.25">
      <c r="A19030" t="s">
        <v>8</v>
      </c>
      <c r="B19030" s="1" t="str">
        <f>"000265439 - RICHS DOUGH &amp; ICING-SODEXO"</f>
        <v>000265439 - RICHS DOUGH &amp; ICING-SODEXO</v>
      </c>
      <c r="C19030" t="s">
        <v>349</v>
      </c>
      <c r="D19030" s="1" t="str">
        <f t="shared" si="512"/>
        <v>PRG-1046875</v>
      </c>
      <c r="E19030" t="s">
        <v>48</v>
      </c>
      <c r="F19030" t="s">
        <v>4</v>
      </c>
      <c r="G19030" t="str">
        <f>""</f>
        <v/>
      </c>
    </row>
    <row r="19031" spans="1:7" x14ac:dyDescent="0.25">
      <c r="A19031" t="s">
        <v>8</v>
      </c>
      <c r="B19031" s="1" t="str">
        <f>"000266539 - RICHS DOUGH &amp; ICING-SODEXO"</f>
        <v>000266539 - RICHS DOUGH &amp; ICING-SODEXO</v>
      </c>
      <c r="C19031" t="s">
        <v>349</v>
      </c>
      <c r="D19031" s="1" t="str">
        <f t="shared" si="512"/>
        <v>PRG-1046875</v>
      </c>
      <c r="E19031" t="s">
        <v>48</v>
      </c>
      <c r="F19031" t="s">
        <v>4</v>
      </c>
      <c r="G19031" t="str">
        <f>""</f>
        <v/>
      </c>
    </row>
    <row r="19032" spans="1:7" x14ac:dyDescent="0.25">
      <c r="A19032" t="s">
        <v>8</v>
      </c>
      <c r="B19032" s="1" t="str">
        <f>"000266647 - RICHS DOUGH &amp; ICING-SODEXO"</f>
        <v>000266647 - RICHS DOUGH &amp; ICING-SODEXO</v>
      </c>
      <c r="C19032" t="s">
        <v>349</v>
      </c>
      <c r="D19032" s="1" t="str">
        <f t="shared" si="512"/>
        <v>PRG-1046875</v>
      </c>
      <c r="E19032" t="s">
        <v>48</v>
      </c>
      <c r="F19032" t="s">
        <v>4</v>
      </c>
      <c r="G19032" t="str">
        <f>""</f>
        <v/>
      </c>
    </row>
    <row r="19033" spans="1:7" x14ac:dyDescent="0.25">
      <c r="A19033" t="s">
        <v>8</v>
      </c>
      <c r="B19033" s="1" t="str">
        <f>"000267072 - RICHS DOUGH &amp; ICING-SODEXO"</f>
        <v>000267072 - RICHS DOUGH &amp; ICING-SODEXO</v>
      </c>
      <c r="C19033" t="s">
        <v>349</v>
      </c>
      <c r="D19033" s="1" t="str">
        <f t="shared" si="512"/>
        <v>PRG-1046875</v>
      </c>
      <c r="E19033" t="s">
        <v>48</v>
      </c>
      <c r="F19033" t="s">
        <v>4</v>
      </c>
      <c r="G19033" t="str">
        <f>""</f>
        <v/>
      </c>
    </row>
    <row r="19034" spans="1:7" x14ac:dyDescent="0.25">
      <c r="A19034" t="s">
        <v>8</v>
      </c>
      <c r="B19034" s="1" t="str">
        <f>"000267979 - RICHS DOUGH &amp; ICING-SODEXO"</f>
        <v>000267979 - RICHS DOUGH &amp; ICING-SODEXO</v>
      </c>
      <c r="C19034" t="s">
        <v>349</v>
      </c>
      <c r="D19034" s="1" t="str">
        <f t="shared" si="512"/>
        <v>PRG-1046875</v>
      </c>
      <c r="E19034" t="s">
        <v>48</v>
      </c>
      <c r="F19034" t="s">
        <v>4</v>
      </c>
      <c r="G19034" t="str">
        <f>""</f>
        <v/>
      </c>
    </row>
    <row r="19035" spans="1:7" x14ac:dyDescent="0.25">
      <c r="A19035" t="s">
        <v>8</v>
      </c>
      <c r="B19035" s="1" t="str">
        <f>"000270553 - RICHS DOUGH &amp; ICING-SODEXO"</f>
        <v>000270553 - RICHS DOUGH &amp; ICING-SODEXO</v>
      </c>
      <c r="C19035" t="s">
        <v>349</v>
      </c>
      <c r="D19035" s="1" t="str">
        <f t="shared" si="512"/>
        <v>PRG-1046875</v>
      </c>
      <c r="E19035" t="s">
        <v>48</v>
      </c>
      <c r="F19035" t="s">
        <v>4</v>
      </c>
      <c r="G19035" t="str">
        <f>""</f>
        <v/>
      </c>
    </row>
    <row r="19036" spans="1:7" x14ac:dyDescent="0.25">
      <c r="A19036" t="s">
        <v>8</v>
      </c>
      <c r="B19036" s="1" t="str">
        <f>"000271838 - RICHS DOUGH &amp; ICING-SODEXO"</f>
        <v>000271838 - RICHS DOUGH &amp; ICING-SODEXO</v>
      </c>
      <c r="C19036" t="s">
        <v>349</v>
      </c>
      <c r="D19036" s="1" t="str">
        <f t="shared" ref="D19036:D19067" si="513">"PRG-1046875"</f>
        <v>PRG-1046875</v>
      </c>
      <c r="E19036" t="s">
        <v>48</v>
      </c>
      <c r="F19036" t="s">
        <v>4</v>
      </c>
      <c r="G19036" t="str">
        <f>""</f>
        <v/>
      </c>
    </row>
    <row r="19037" spans="1:7" x14ac:dyDescent="0.25">
      <c r="A19037" t="s">
        <v>8</v>
      </c>
      <c r="B19037" s="1" t="str">
        <f>"000272480 - RICHS DOUGH &amp; ICING-SODEXO"</f>
        <v>000272480 - RICHS DOUGH &amp; ICING-SODEXO</v>
      </c>
      <c r="C19037" t="s">
        <v>349</v>
      </c>
      <c r="D19037" s="1" t="str">
        <f t="shared" si="513"/>
        <v>PRG-1046875</v>
      </c>
      <c r="E19037" t="s">
        <v>48</v>
      </c>
      <c r="F19037" t="s">
        <v>4</v>
      </c>
      <c r="G19037" t="str">
        <f>""</f>
        <v/>
      </c>
    </row>
    <row r="19038" spans="1:7" x14ac:dyDescent="0.25">
      <c r="A19038" t="s">
        <v>8</v>
      </c>
      <c r="B19038" s="1" t="str">
        <f>"000273508 - RICHS DOUGH &amp; ICING-SODEXO"</f>
        <v>000273508 - RICHS DOUGH &amp; ICING-SODEXO</v>
      </c>
      <c r="C19038" t="s">
        <v>349</v>
      </c>
      <c r="D19038" s="1" t="str">
        <f t="shared" si="513"/>
        <v>PRG-1046875</v>
      </c>
      <c r="E19038" t="s">
        <v>48</v>
      </c>
      <c r="F19038" t="s">
        <v>4</v>
      </c>
      <c r="G19038" t="str">
        <f>""</f>
        <v/>
      </c>
    </row>
    <row r="19039" spans="1:7" x14ac:dyDescent="0.25">
      <c r="A19039" t="s">
        <v>8</v>
      </c>
      <c r="B19039" s="1" t="str">
        <f>"000273856 - RICHS DOUGH &amp; ICING-SODEXO"</f>
        <v>000273856 - RICHS DOUGH &amp; ICING-SODEXO</v>
      </c>
      <c r="C19039" t="s">
        <v>349</v>
      </c>
      <c r="D19039" s="1" t="str">
        <f t="shared" si="513"/>
        <v>PRG-1046875</v>
      </c>
      <c r="E19039" t="s">
        <v>48</v>
      </c>
      <c r="F19039" t="s">
        <v>4</v>
      </c>
      <c r="G19039" t="str">
        <f>""</f>
        <v/>
      </c>
    </row>
    <row r="19040" spans="1:7" x14ac:dyDescent="0.25">
      <c r="A19040" t="s">
        <v>8</v>
      </c>
      <c r="B19040" s="1" t="str">
        <f>"000275264 - RICHS DOUGH &amp; ICING-SODEXO"</f>
        <v>000275264 - RICHS DOUGH &amp; ICING-SODEXO</v>
      </c>
      <c r="C19040" t="s">
        <v>349</v>
      </c>
      <c r="D19040" s="1" t="str">
        <f t="shared" si="513"/>
        <v>PRG-1046875</v>
      </c>
      <c r="E19040" t="s">
        <v>48</v>
      </c>
      <c r="F19040" t="s">
        <v>4</v>
      </c>
      <c r="G19040" t="str">
        <f>""</f>
        <v/>
      </c>
    </row>
    <row r="19041" spans="1:7" x14ac:dyDescent="0.25">
      <c r="A19041" t="s">
        <v>8</v>
      </c>
      <c r="B19041" s="1" t="str">
        <f>"000276220 - RICHS DOUGH &amp; ICING-SODEXO"</f>
        <v>000276220 - RICHS DOUGH &amp; ICING-SODEXO</v>
      </c>
      <c r="C19041" t="s">
        <v>349</v>
      </c>
      <c r="D19041" s="1" t="str">
        <f t="shared" si="513"/>
        <v>PRG-1046875</v>
      </c>
      <c r="E19041" t="s">
        <v>48</v>
      </c>
      <c r="F19041" t="s">
        <v>4</v>
      </c>
      <c r="G19041" t="str">
        <f>""</f>
        <v/>
      </c>
    </row>
    <row r="19042" spans="1:7" x14ac:dyDescent="0.25">
      <c r="A19042" t="s">
        <v>8</v>
      </c>
      <c r="B19042" s="1" t="str">
        <f>"000278163 - RICHS DOUGH &amp; ICING-SODEXO"</f>
        <v>000278163 - RICHS DOUGH &amp; ICING-SODEXO</v>
      </c>
      <c r="C19042" t="s">
        <v>349</v>
      </c>
      <c r="D19042" s="1" t="str">
        <f t="shared" si="513"/>
        <v>PRG-1046875</v>
      </c>
      <c r="E19042" t="s">
        <v>48</v>
      </c>
      <c r="F19042" t="s">
        <v>4</v>
      </c>
      <c r="G19042" t="str">
        <f>""</f>
        <v/>
      </c>
    </row>
    <row r="19043" spans="1:7" x14ac:dyDescent="0.25">
      <c r="A19043" t="s">
        <v>8</v>
      </c>
      <c r="B19043" s="1" t="str">
        <f>"000278941 - RICHS DOUGH &amp; ICING-SODEXO"</f>
        <v>000278941 - RICHS DOUGH &amp; ICING-SODEXO</v>
      </c>
      <c r="C19043" t="s">
        <v>349</v>
      </c>
      <c r="D19043" s="1" t="str">
        <f t="shared" si="513"/>
        <v>PRG-1046875</v>
      </c>
      <c r="E19043" t="s">
        <v>48</v>
      </c>
      <c r="F19043" t="s">
        <v>4</v>
      </c>
      <c r="G19043" t="str">
        <f>""</f>
        <v/>
      </c>
    </row>
    <row r="19044" spans="1:7" x14ac:dyDescent="0.25">
      <c r="A19044" t="s">
        <v>8</v>
      </c>
      <c r="B19044" s="1" t="str">
        <f>"000283164 - RICHS DOUGH &amp; ICING-SODEXO"</f>
        <v>000283164 - RICHS DOUGH &amp; ICING-SODEXO</v>
      </c>
      <c r="C19044" t="s">
        <v>349</v>
      </c>
      <c r="D19044" s="1" t="str">
        <f t="shared" si="513"/>
        <v>PRG-1046875</v>
      </c>
      <c r="E19044" t="s">
        <v>48</v>
      </c>
      <c r="F19044" t="s">
        <v>4</v>
      </c>
      <c r="G19044" t="str">
        <f>""</f>
        <v/>
      </c>
    </row>
    <row r="19045" spans="1:7" x14ac:dyDescent="0.25">
      <c r="A19045" t="s">
        <v>8</v>
      </c>
      <c r="B19045" s="1" t="str">
        <f>"000283621 - RICHS DOUGH &amp; ICING-SODEXO"</f>
        <v>000283621 - RICHS DOUGH &amp; ICING-SODEXO</v>
      </c>
      <c r="C19045" t="s">
        <v>349</v>
      </c>
      <c r="D19045" s="1" t="str">
        <f t="shared" si="513"/>
        <v>PRG-1046875</v>
      </c>
      <c r="E19045" t="s">
        <v>48</v>
      </c>
      <c r="F19045" t="s">
        <v>4</v>
      </c>
      <c r="G19045" t="str">
        <f>""</f>
        <v/>
      </c>
    </row>
    <row r="19046" spans="1:7" x14ac:dyDescent="0.25">
      <c r="A19046" t="s">
        <v>8</v>
      </c>
      <c r="B19046" s="1" t="str">
        <f>"000285246 - RICHS DOUGH &amp; ICING-SODEXO"</f>
        <v>000285246 - RICHS DOUGH &amp; ICING-SODEXO</v>
      </c>
      <c r="C19046" t="s">
        <v>349</v>
      </c>
      <c r="D19046" s="1" t="str">
        <f t="shared" si="513"/>
        <v>PRG-1046875</v>
      </c>
      <c r="E19046" t="s">
        <v>48</v>
      </c>
      <c r="F19046" t="s">
        <v>4</v>
      </c>
      <c r="G19046" t="str">
        <f>""</f>
        <v/>
      </c>
    </row>
    <row r="19047" spans="1:7" x14ac:dyDescent="0.25">
      <c r="A19047" t="s">
        <v>8</v>
      </c>
      <c r="B19047" s="1" t="str">
        <f>"000285433 - RICHS DOUGH &amp; ICING-SODEXO"</f>
        <v>000285433 - RICHS DOUGH &amp; ICING-SODEXO</v>
      </c>
      <c r="C19047" t="s">
        <v>349</v>
      </c>
      <c r="D19047" s="1" t="str">
        <f t="shared" si="513"/>
        <v>PRG-1046875</v>
      </c>
      <c r="E19047" t="s">
        <v>48</v>
      </c>
      <c r="F19047" t="s">
        <v>4</v>
      </c>
      <c r="G19047" t="str">
        <f>""</f>
        <v/>
      </c>
    </row>
    <row r="19048" spans="1:7" x14ac:dyDescent="0.25">
      <c r="A19048" t="s">
        <v>8</v>
      </c>
      <c r="B19048" s="1" t="str">
        <f>"000285632 - RICHS DOUGH &amp; ICING-SODEXO"</f>
        <v>000285632 - RICHS DOUGH &amp; ICING-SODEXO</v>
      </c>
      <c r="C19048" t="s">
        <v>349</v>
      </c>
      <c r="D19048" s="1" t="str">
        <f t="shared" si="513"/>
        <v>PRG-1046875</v>
      </c>
      <c r="E19048" t="s">
        <v>48</v>
      </c>
      <c r="F19048" t="s">
        <v>4</v>
      </c>
      <c r="G19048" t="str">
        <f>""</f>
        <v/>
      </c>
    </row>
    <row r="19049" spans="1:7" x14ac:dyDescent="0.25">
      <c r="A19049" t="s">
        <v>8</v>
      </c>
      <c r="B19049" s="1" t="str">
        <f>"000287423 - RICHS DOUGH &amp; ICING-SODEXO"</f>
        <v>000287423 - RICHS DOUGH &amp; ICING-SODEXO</v>
      </c>
      <c r="C19049" t="s">
        <v>349</v>
      </c>
      <c r="D19049" s="1" t="str">
        <f t="shared" si="513"/>
        <v>PRG-1046875</v>
      </c>
      <c r="E19049" t="s">
        <v>48</v>
      </c>
      <c r="F19049" t="s">
        <v>4</v>
      </c>
      <c r="G19049" t="str">
        <f>""</f>
        <v/>
      </c>
    </row>
    <row r="19050" spans="1:7" x14ac:dyDescent="0.25">
      <c r="A19050" t="s">
        <v>8</v>
      </c>
      <c r="B19050" s="1" t="str">
        <f>"000287715 - RICHS DOUGH &amp; ICING-SODEXO"</f>
        <v>000287715 - RICHS DOUGH &amp; ICING-SODEXO</v>
      </c>
      <c r="C19050" t="s">
        <v>349</v>
      </c>
      <c r="D19050" s="1" t="str">
        <f t="shared" si="513"/>
        <v>PRG-1046875</v>
      </c>
      <c r="E19050" t="s">
        <v>48</v>
      </c>
      <c r="F19050" t="s">
        <v>4</v>
      </c>
      <c r="G19050" t="str">
        <f>""</f>
        <v/>
      </c>
    </row>
    <row r="19051" spans="1:7" x14ac:dyDescent="0.25">
      <c r="A19051" t="s">
        <v>8</v>
      </c>
      <c r="B19051" s="1" t="str">
        <f>"000289275 - RICHS DOUGH &amp; ICING-SODEXO"</f>
        <v>000289275 - RICHS DOUGH &amp; ICING-SODEXO</v>
      </c>
      <c r="C19051" t="s">
        <v>349</v>
      </c>
      <c r="D19051" s="1" t="str">
        <f t="shared" si="513"/>
        <v>PRG-1046875</v>
      </c>
      <c r="E19051" t="s">
        <v>48</v>
      </c>
      <c r="F19051" t="s">
        <v>4</v>
      </c>
      <c r="G19051" t="str">
        <f>""</f>
        <v/>
      </c>
    </row>
    <row r="19052" spans="1:7" x14ac:dyDescent="0.25">
      <c r="A19052" t="s">
        <v>8</v>
      </c>
      <c r="B19052" s="1" t="str">
        <f>"000290503 - RICHS DOUGH &amp; ICING-SODEXO"</f>
        <v>000290503 - RICHS DOUGH &amp; ICING-SODEXO</v>
      </c>
      <c r="C19052" t="s">
        <v>349</v>
      </c>
      <c r="D19052" s="1" t="str">
        <f t="shared" si="513"/>
        <v>PRG-1046875</v>
      </c>
      <c r="E19052" t="s">
        <v>48</v>
      </c>
      <c r="F19052" t="s">
        <v>4</v>
      </c>
      <c r="G19052" t="str">
        <f>""</f>
        <v/>
      </c>
    </row>
    <row r="19053" spans="1:7" x14ac:dyDescent="0.25">
      <c r="A19053" t="s">
        <v>8</v>
      </c>
      <c r="B19053" s="1" t="str">
        <f>"000291649 - RICHS DOUGH &amp; ICING-SODEXO"</f>
        <v>000291649 - RICHS DOUGH &amp; ICING-SODEXO</v>
      </c>
      <c r="C19053" t="s">
        <v>349</v>
      </c>
      <c r="D19053" s="1" t="str">
        <f t="shared" si="513"/>
        <v>PRG-1046875</v>
      </c>
      <c r="E19053" t="s">
        <v>48</v>
      </c>
      <c r="F19053" t="s">
        <v>4</v>
      </c>
      <c r="G19053" t="str">
        <f>""</f>
        <v/>
      </c>
    </row>
    <row r="19054" spans="1:7" x14ac:dyDescent="0.25">
      <c r="A19054" t="s">
        <v>8</v>
      </c>
      <c r="B19054" s="1" t="str">
        <f>"000291671 - RICHS DOUGH &amp; ICING-SODEXO"</f>
        <v>000291671 - RICHS DOUGH &amp; ICING-SODEXO</v>
      </c>
      <c r="C19054" t="s">
        <v>349</v>
      </c>
      <c r="D19054" s="1" t="str">
        <f t="shared" si="513"/>
        <v>PRG-1046875</v>
      </c>
      <c r="E19054" t="s">
        <v>48</v>
      </c>
      <c r="F19054" t="s">
        <v>4</v>
      </c>
      <c r="G19054" t="str">
        <f>""</f>
        <v/>
      </c>
    </row>
    <row r="19055" spans="1:7" x14ac:dyDescent="0.25">
      <c r="A19055" t="s">
        <v>8</v>
      </c>
      <c r="B19055" s="1" t="str">
        <f>"000291853 - RICHS DOUGH &amp; ICING-SODEXO"</f>
        <v>000291853 - RICHS DOUGH &amp; ICING-SODEXO</v>
      </c>
      <c r="C19055" t="s">
        <v>349</v>
      </c>
      <c r="D19055" s="1" t="str">
        <f t="shared" si="513"/>
        <v>PRG-1046875</v>
      </c>
      <c r="E19055" t="s">
        <v>48</v>
      </c>
      <c r="F19055" t="s">
        <v>4</v>
      </c>
      <c r="G19055" t="str">
        <f>""</f>
        <v/>
      </c>
    </row>
    <row r="19056" spans="1:7" x14ac:dyDescent="0.25">
      <c r="A19056" t="s">
        <v>8</v>
      </c>
      <c r="B19056" s="1" t="str">
        <f>"000292522 - RICHS DOUGH &amp; ICING-SODEXO"</f>
        <v>000292522 - RICHS DOUGH &amp; ICING-SODEXO</v>
      </c>
      <c r="C19056" t="s">
        <v>349</v>
      </c>
      <c r="D19056" s="1" t="str">
        <f t="shared" si="513"/>
        <v>PRG-1046875</v>
      </c>
      <c r="E19056" t="s">
        <v>48</v>
      </c>
      <c r="F19056" t="s">
        <v>4</v>
      </c>
      <c r="G19056" t="str">
        <f>""</f>
        <v/>
      </c>
    </row>
    <row r="19057" spans="1:7" x14ac:dyDescent="0.25">
      <c r="A19057" t="s">
        <v>8</v>
      </c>
      <c r="B19057" s="1" t="str">
        <f>"000293473 - RICHS DOUGH &amp; ICING-SODEXO"</f>
        <v>000293473 - RICHS DOUGH &amp; ICING-SODEXO</v>
      </c>
      <c r="C19057" t="s">
        <v>349</v>
      </c>
      <c r="D19057" s="1" t="str">
        <f t="shared" si="513"/>
        <v>PRG-1046875</v>
      </c>
      <c r="E19057" t="s">
        <v>48</v>
      </c>
      <c r="F19057" t="s">
        <v>4</v>
      </c>
      <c r="G19057" t="str">
        <f>""</f>
        <v/>
      </c>
    </row>
    <row r="19058" spans="1:7" x14ac:dyDescent="0.25">
      <c r="A19058" t="s">
        <v>8</v>
      </c>
      <c r="B19058" s="1" t="str">
        <f>"000293808 - RICHS DOUGH &amp; ICING-SODEXO"</f>
        <v>000293808 - RICHS DOUGH &amp; ICING-SODEXO</v>
      </c>
      <c r="C19058" t="s">
        <v>349</v>
      </c>
      <c r="D19058" s="1" t="str">
        <f t="shared" si="513"/>
        <v>PRG-1046875</v>
      </c>
      <c r="E19058" t="s">
        <v>48</v>
      </c>
      <c r="F19058" t="s">
        <v>4</v>
      </c>
      <c r="G19058" t="str">
        <f>""</f>
        <v/>
      </c>
    </row>
    <row r="19059" spans="1:7" x14ac:dyDescent="0.25">
      <c r="A19059" t="s">
        <v>8</v>
      </c>
      <c r="B19059" s="1" t="str">
        <f>"000294112 - RICHS DOUGH &amp; ICING-SODEXO"</f>
        <v>000294112 - RICHS DOUGH &amp; ICING-SODEXO</v>
      </c>
      <c r="C19059" t="s">
        <v>349</v>
      </c>
      <c r="D19059" s="1" t="str">
        <f t="shared" si="513"/>
        <v>PRG-1046875</v>
      </c>
      <c r="E19059" t="s">
        <v>48</v>
      </c>
      <c r="F19059" t="s">
        <v>4</v>
      </c>
      <c r="G19059" t="str">
        <f>""</f>
        <v/>
      </c>
    </row>
    <row r="19060" spans="1:7" x14ac:dyDescent="0.25">
      <c r="A19060" t="s">
        <v>8</v>
      </c>
      <c r="B19060" s="1" t="str">
        <f>"000295176 - RICHS DOUGH &amp; ICING-SODEXO"</f>
        <v>000295176 - RICHS DOUGH &amp; ICING-SODEXO</v>
      </c>
      <c r="C19060" t="s">
        <v>349</v>
      </c>
      <c r="D19060" s="1" t="str">
        <f t="shared" si="513"/>
        <v>PRG-1046875</v>
      </c>
      <c r="E19060" t="s">
        <v>48</v>
      </c>
      <c r="F19060" t="s">
        <v>4</v>
      </c>
      <c r="G19060" t="str">
        <f>""</f>
        <v/>
      </c>
    </row>
    <row r="19061" spans="1:7" x14ac:dyDescent="0.25">
      <c r="A19061" t="s">
        <v>8</v>
      </c>
      <c r="B19061" s="1" t="str">
        <f>"000295797 - RICHS DOUGH &amp; ICING-SODEXO"</f>
        <v>000295797 - RICHS DOUGH &amp; ICING-SODEXO</v>
      </c>
      <c r="C19061" t="s">
        <v>349</v>
      </c>
      <c r="D19061" s="1" t="str">
        <f t="shared" si="513"/>
        <v>PRG-1046875</v>
      </c>
      <c r="E19061" t="s">
        <v>48</v>
      </c>
      <c r="F19061" t="s">
        <v>4</v>
      </c>
      <c r="G19061" t="str">
        <f>""</f>
        <v/>
      </c>
    </row>
    <row r="19062" spans="1:7" x14ac:dyDescent="0.25">
      <c r="A19062" t="s">
        <v>8</v>
      </c>
      <c r="B19062" s="1" t="str">
        <f>"000296990 - RICHS DOUGH&amp;ICING-SODEXO"</f>
        <v>000296990 - RICHS DOUGH&amp;ICING-SODEXO</v>
      </c>
      <c r="C19062" t="s">
        <v>504</v>
      </c>
      <c r="D19062" s="1" t="str">
        <f t="shared" si="513"/>
        <v>PRG-1046875</v>
      </c>
      <c r="E19062" t="s">
        <v>48</v>
      </c>
      <c r="F19062" t="s">
        <v>4</v>
      </c>
      <c r="G19062" t="str">
        <f>""</f>
        <v/>
      </c>
    </row>
    <row r="19063" spans="1:7" x14ac:dyDescent="0.25">
      <c r="A19063" t="s">
        <v>8</v>
      </c>
      <c r="B19063" s="1" t="str">
        <f>"000297039 - RICHS DOUGH &amp; ICING-SODEXO"</f>
        <v>000297039 - RICHS DOUGH &amp; ICING-SODEXO</v>
      </c>
      <c r="C19063" t="s">
        <v>349</v>
      </c>
      <c r="D19063" s="1" t="str">
        <f t="shared" si="513"/>
        <v>PRG-1046875</v>
      </c>
      <c r="E19063" t="s">
        <v>48</v>
      </c>
      <c r="F19063" t="s">
        <v>4</v>
      </c>
      <c r="G19063" t="str">
        <f>""</f>
        <v/>
      </c>
    </row>
    <row r="19064" spans="1:7" x14ac:dyDescent="0.25">
      <c r="A19064" t="s">
        <v>8</v>
      </c>
      <c r="B19064" s="1" t="str">
        <f>"000298776 - RICHS DOUGH &amp; ICING-SODEXO"</f>
        <v>000298776 - RICHS DOUGH &amp; ICING-SODEXO</v>
      </c>
      <c r="C19064" t="s">
        <v>349</v>
      </c>
      <c r="D19064" s="1" t="str">
        <f t="shared" si="513"/>
        <v>PRG-1046875</v>
      </c>
      <c r="E19064" t="s">
        <v>48</v>
      </c>
      <c r="F19064" t="s">
        <v>4</v>
      </c>
      <c r="G19064" t="str">
        <f>""</f>
        <v/>
      </c>
    </row>
    <row r="19065" spans="1:7" x14ac:dyDescent="0.25">
      <c r="A19065" t="s">
        <v>8</v>
      </c>
      <c r="B19065" s="1" t="str">
        <f>"000298950 - RICHS DOUGH &amp; ICING-SODEXO"</f>
        <v>000298950 - RICHS DOUGH &amp; ICING-SODEXO</v>
      </c>
      <c r="C19065" t="s">
        <v>349</v>
      </c>
      <c r="D19065" s="1" t="str">
        <f t="shared" si="513"/>
        <v>PRG-1046875</v>
      </c>
      <c r="E19065" t="s">
        <v>48</v>
      </c>
      <c r="F19065" t="s">
        <v>4</v>
      </c>
      <c r="G19065" t="str">
        <f>""</f>
        <v/>
      </c>
    </row>
    <row r="19066" spans="1:7" x14ac:dyDescent="0.25">
      <c r="A19066" t="s">
        <v>8</v>
      </c>
      <c r="B19066" s="1" t="str">
        <f>"000300660 - RICHS DOUGH &amp; ICING-SODEXO"</f>
        <v>000300660 - RICHS DOUGH &amp; ICING-SODEXO</v>
      </c>
      <c r="C19066" t="s">
        <v>349</v>
      </c>
      <c r="D19066" s="1" t="str">
        <f t="shared" si="513"/>
        <v>PRG-1046875</v>
      </c>
      <c r="E19066" t="s">
        <v>48</v>
      </c>
      <c r="F19066" t="s">
        <v>4</v>
      </c>
      <c r="G19066" t="str">
        <f>""</f>
        <v/>
      </c>
    </row>
    <row r="19067" spans="1:7" x14ac:dyDescent="0.25">
      <c r="A19067" t="s">
        <v>8</v>
      </c>
      <c r="B19067" s="1" t="str">
        <f>"000307409 - RICHS DOUGH &amp; ICING-SODEXO"</f>
        <v>000307409 - RICHS DOUGH &amp; ICING-SODEXO</v>
      </c>
      <c r="C19067" t="s">
        <v>349</v>
      </c>
      <c r="D19067" s="1" t="str">
        <f t="shared" si="513"/>
        <v>PRG-1046875</v>
      </c>
      <c r="E19067" t="s">
        <v>48</v>
      </c>
      <c r="F19067" t="s">
        <v>4</v>
      </c>
      <c r="G19067" t="str">
        <f>""</f>
        <v/>
      </c>
    </row>
    <row r="19068" spans="1:7" x14ac:dyDescent="0.25">
      <c r="A19068" t="s">
        <v>8</v>
      </c>
      <c r="B19068" s="1" t="str">
        <f>"000308389 - RICHS DOUGH&amp;ICING-SODEXO"</f>
        <v>000308389 - RICHS DOUGH&amp;ICING-SODEXO</v>
      </c>
      <c r="C19068" t="s">
        <v>504</v>
      </c>
      <c r="D19068" s="1" t="str">
        <f t="shared" ref="D19068:D19099" si="514">"PRG-1046875"</f>
        <v>PRG-1046875</v>
      </c>
      <c r="E19068" t="s">
        <v>48</v>
      </c>
      <c r="F19068" t="s">
        <v>4</v>
      </c>
      <c r="G19068" t="str">
        <f>""</f>
        <v/>
      </c>
    </row>
    <row r="19069" spans="1:7" x14ac:dyDescent="0.25">
      <c r="A19069" t="s">
        <v>8</v>
      </c>
      <c r="B19069" s="1" t="str">
        <f>"000310397 - RICHS DOUGH &amp; ICING-SODEXO"</f>
        <v>000310397 - RICHS DOUGH &amp; ICING-SODEXO</v>
      </c>
      <c r="C19069" t="s">
        <v>349</v>
      </c>
      <c r="D19069" s="1" t="str">
        <f t="shared" si="514"/>
        <v>PRG-1046875</v>
      </c>
      <c r="E19069" t="s">
        <v>48</v>
      </c>
      <c r="F19069" t="s">
        <v>4</v>
      </c>
      <c r="G19069" t="str">
        <f>""</f>
        <v/>
      </c>
    </row>
    <row r="19070" spans="1:7" x14ac:dyDescent="0.25">
      <c r="A19070" t="s">
        <v>8</v>
      </c>
      <c r="B19070" s="1" t="str">
        <f>"000311947 - RICHS DOUGH &amp; ICING-SODEXO"</f>
        <v>000311947 - RICHS DOUGH &amp; ICING-SODEXO</v>
      </c>
      <c r="C19070" t="s">
        <v>349</v>
      </c>
      <c r="D19070" s="1" t="str">
        <f t="shared" si="514"/>
        <v>PRG-1046875</v>
      </c>
      <c r="E19070" t="s">
        <v>48</v>
      </c>
      <c r="F19070" t="s">
        <v>4</v>
      </c>
      <c r="G19070" t="str">
        <f>""</f>
        <v/>
      </c>
    </row>
    <row r="19071" spans="1:7" x14ac:dyDescent="0.25">
      <c r="A19071" t="s">
        <v>8</v>
      </c>
      <c r="B19071" s="1" t="str">
        <f>"000314891 - RICHS DOUGH&amp;ICING-SODEXO"</f>
        <v>000314891 - RICHS DOUGH&amp;ICING-SODEXO</v>
      </c>
      <c r="C19071" t="s">
        <v>504</v>
      </c>
      <c r="D19071" s="1" t="str">
        <f t="shared" si="514"/>
        <v>PRG-1046875</v>
      </c>
      <c r="E19071" t="s">
        <v>48</v>
      </c>
      <c r="F19071" t="s">
        <v>4</v>
      </c>
      <c r="G19071" t="str">
        <f>""</f>
        <v/>
      </c>
    </row>
    <row r="19072" spans="1:7" x14ac:dyDescent="0.25">
      <c r="A19072" t="s">
        <v>8</v>
      </c>
      <c r="B19072" s="1" t="str">
        <f>"000316885 - RICHS DOUGH&amp;ICING-SODEXO"</f>
        <v>000316885 - RICHS DOUGH&amp;ICING-SODEXO</v>
      </c>
      <c r="C19072" t="s">
        <v>504</v>
      </c>
      <c r="D19072" s="1" t="str">
        <f t="shared" si="514"/>
        <v>PRG-1046875</v>
      </c>
      <c r="E19072" t="s">
        <v>48</v>
      </c>
      <c r="F19072" t="s">
        <v>4</v>
      </c>
      <c r="G19072" t="str">
        <f>""</f>
        <v/>
      </c>
    </row>
    <row r="19073" spans="1:7" x14ac:dyDescent="0.25">
      <c r="A19073" t="s">
        <v>8</v>
      </c>
      <c r="B19073" s="1" t="str">
        <f>"000320478 - RICHS DOUGH &amp; ICING-SODEXO"</f>
        <v>000320478 - RICHS DOUGH &amp; ICING-SODEXO</v>
      </c>
      <c r="C19073" t="s">
        <v>349</v>
      </c>
      <c r="D19073" s="1" t="str">
        <f t="shared" si="514"/>
        <v>PRG-1046875</v>
      </c>
      <c r="E19073" t="s">
        <v>48</v>
      </c>
      <c r="F19073" t="s">
        <v>4</v>
      </c>
      <c r="G19073" t="str">
        <f>""</f>
        <v/>
      </c>
    </row>
    <row r="19074" spans="1:7" x14ac:dyDescent="0.25">
      <c r="A19074" t="s">
        <v>8</v>
      </c>
      <c r="B19074" s="1" t="str">
        <f>"000322055 - RICHS DOUGH &amp; ICING-SODEXO"</f>
        <v>000322055 - RICHS DOUGH &amp; ICING-SODEXO</v>
      </c>
      <c r="C19074" t="s">
        <v>349</v>
      </c>
      <c r="D19074" s="1" t="str">
        <f t="shared" si="514"/>
        <v>PRG-1046875</v>
      </c>
      <c r="E19074" t="s">
        <v>48</v>
      </c>
      <c r="F19074" t="s">
        <v>4</v>
      </c>
      <c r="G19074" t="str">
        <f>""</f>
        <v/>
      </c>
    </row>
    <row r="19075" spans="1:7" x14ac:dyDescent="0.25">
      <c r="A19075" t="s">
        <v>8</v>
      </c>
      <c r="B19075" s="1" t="str">
        <f>"000328379 - RICHS DOUGH &amp; ICING-SODEXO"</f>
        <v>000328379 - RICHS DOUGH &amp; ICING-SODEXO</v>
      </c>
      <c r="C19075" t="s">
        <v>349</v>
      </c>
      <c r="D19075" s="1" t="str">
        <f t="shared" si="514"/>
        <v>PRG-1046875</v>
      </c>
      <c r="E19075" t="s">
        <v>48</v>
      </c>
      <c r="F19075" t="s">
        <v>4</v>
      </c>
      <c r="G19075" t="str">
        <f>""</f>
        <v/>
      </c>
    </row>
    <row r="19076" spans="1:7" x14ac:dyDescent="0.25">
      <c r="A19076" t="s">
        <v>8</v>
      </c>
      <c r="B19076" s="1" t="str">
        <f>"000330506 - RICHS DOUGH &amp; ICING-SODEXO"</f>
        <v>000330506 - RICHS DOUGH &amp; ICING-SODEXO</v>
      </c>
      <c r="C19076" t="s">
        <v>349</v>
      </c>
      <c r="D19076" s="1" t="str">
        <f t="shared" si="514"/>
        <v>PRG-1046875</v>
      </c>
      <c r="E19076" t="s">
        <v>48</v>
      </c>
      <c r="F19076" t="s">
        <v>4</v>
      </c>
      <c r="G19076" t="str">
        <f>""</f>
        <v/>
      </c>
    </row>
    <row r="19077" spans="1:7" x14ac:dyDescent="0.25">
      <c r="A19077" t="s">
        <v>8</v>
      </c>
      <c r="B19077" s="1" t="str">
        <f>"000332756 - RICHS DOUGH &amp; ICING-SODEXO"</f>
        <v>000332756 - RICHS DOUGH &amp; ICING-SODEXO</v>
      </c>
      <c r="C19077" t="s">
        <v>349</v>
      </c>
      <c r="D19077" s="1" t="str">
        <f t="shared" si="514"/>
        <v>PRG-1046875</v>
      </c>
      <c r="E19077" t="s">
        <v>48</v>
      </c>
      <c r="F19077" t="s">
        <v>4</v>
      </c>
      <c r="G19077" t="str">
        <f>""</f>
        <v/>
      </c>
    </row>
    <row r="19078" spans="1:7" x14ac:dyDescent="0.25">
      <c r="A19078" t="s">
        <v>8</v>
      </c>
      <c r="B19078" s="1" t="str">
        <f>"000341156 - RICHS DOUGH &amp; ICING-SODEXO"</f>
        <v>000341156 - RICHS DOUGH &amp; ICING-SODEXO</v>
      </c>
      <c r="C19078" t="s">
        <v>349</v>
      </c>
      <c r="D19078" s="1" t="str">
        <f t="shared" si="514"/>
        <v>PRG-1046875</v>
      </c>
      <c r="E19078" t="s">
        <v>48</v>
      </c>
      <c r="F19078" t="s">
        <v>4</v>
      </c>
      <c r="G19078" t="str">
        <f>""</f>
        <v/>
      </c>
    </row>
    <row r="19079" spans="1:7" x14ac:dyDescent="0.25">
      <c r="A19079" t="s">
        <v>8</v>
      </c>
      <c r="B19079" s="1" t="str">
        <f>"000341594 - RICHS DOUGH &amp; ICING-SODEXO"</f>
        <v>000341594 - RICHS DOUGH &amp; ICING-SODEXO</v>
      </c>
      <c r="C19079" t="s">
        <v>349</v>
      </c>
      <c r="D19079" s="1" t="str">
        <f t="shared" si="514"/>
        <v>PRG-1046875</v>
      </c>
      <c r="E19079" t="s">
        <v>48</v>
      </c>
      <c r="F19079" t="s">
        <v>4</v>
      </c>
      <c r="G19079" t="str">
        <f>""</f>
        <v/>
      </c>
    </row>
    <row r="19080" spans="1:7" x14ac:dyDescent="0.25">
      <c r="A19080" t="s">
        <v>8</v>
      </c>
      <c r="B19080" s="1" t="str">
        <f>"000342875 - RICHS DOUGH &amp; ICING-SODEXO"</f>
        <v>000342875 - RICHS DOUGH &amp; ICING-SODEXO</v>
      </c>
      <c r="C19080" t="s">
        <v>349</v>
      </c>
      <c r="D19080" s="1" t="str">
        <f t="shared" si="514"/>
        <v>PRG-1046875</v>
      </c>
      <c r="E19080" t="s">
        <v>48</v>
      </c>
      <c r="F19080" t="s">
        <v>4</v>
      </c>
      <c r="G19080" t="str">
        <f>""</f>
        <v/>
      </c>
    </row>
    <row r="19081" spans="1:7" x14ac:dyDescent="0.25">
      <c r="A19081" t="s">
        <v>8</v>
      </c>
      <c r="B19081" s="1" t="str">
        <f>"000343560 - RICHS DOUGH &amp; ICING-SODEXO"</f>
        <v>000343560 - RICHS DOUGH &amp; ICING-SODEXO</v>
      </c>
      <c r="C19081" t="s">
        <v>349</v>
      </c>
      <c r="D19081" s="1" t="str">
        <f t="shared" si="514"/>
        <v>PRG-1046875</v>
      </c>
      <c r="E19081" t="s">
        <v>48</v>
      </c>
      <c r="F19081" t="s">
        <v>4</v>
      </c>
      <c r="G19081" t="str">
        <f>""</f>
        <v/>
      </c>
    </row>
    <row r="19082" spans="1:7" x14ac:dyDescent="0.25">
      <c r="A19082" t="s">
        <v>8</v>
      </c>
      <c r="B19082" s="1" t="str">
        <f>"000346157 - RICHS DOUGH &amp; ICING-SODEXO"</f>
        <v>000346157 - RICHS DOUGH &amp; ICING-SODEXO</v>
      </c>
      <c r="C19082" t="s">
        <v>349</v>
      </c>
      <c r="D19082" s="1" t="str">
        <f t="shared" si="514"/>
        <v>PRG-1046875</v>
      </c>
      <c r="E19082" t="s">
        <v>48</v>
      </c>
      <c r="F19082" t="s">
        <v>4</v>
      </c>
      <c r="G19082" t="str">
        <f>""</f>
        <v/>
      </c>
    </row>
    <row r="19083" spans="1:7" x14ac:dyDescent="0.25">
      <c r="A19083" t="s">
        <v>8</v>
      </c>
      <c r="B19083" s="1" t="str">
        <f>"000346163 - RICHS DOUGH &amp; ICING-SODEXO"</f>
        <v>000346163 - RICHS DOUGH &amp; ICING-SODEXO</v>
      </c>
      <c r="C19083" t="s">
        <v>349</v>
      </c>
      <c r="D19083" s="1" t="str">
        <f t="shared" si="514"/>
        <v>PRG-1046875</v>
      </c>
      <c r="E19083" t="s">
        <v>48</v>
      </c>
      <c r="F19083" t="s">
        <v>4</v>
      </c>
      <c r="G19083" t="str">
        <f>""</f>
        <v/>
      </c>
    </row>
    <row r="19084" spans="1:7" x14ac:dyDescent="0.25">
      <c r="A19084" t="s">
        <v>8</v>
      </c>
      <c r="B19084" s="1" t="str">
        <f>"000348935 - RICHS DOUGH &amp; ICING-SODEXO"</f>
        <v>000348935 - RICHS DOUGH &amp; ICING-SODEXO</v>
      </c>
      <c r="C19084" t="s">
        <v>349</v>
      </c>
      <c r="D19084" s="1" t="str">
        <f t="shared" si="514"/>
        <v>PRG-1046875</v>
      </c>
      <c r="E19084" t="s">
        <v>48</v>
      </c>
      <c r="F19084" t="s">
        <v>4</v>
      </c>
      <c r="G19084" t="str">
        <f>""</f>
        <v/>
      </c>
    </row>
    <row r="19085" spans="1:7" x14ac:dyDescent="0.25">
      <c r="A19085" t="s">
        <v>8</v>
      </c>
      <c r="B19085" s="1" t="str">
        <f>"000352647 - RICHS DOUGH &amp; ICING-SODEXO"</f>
        <v>000352647 - RICHS DOUGH &amp; ICING-SODEXO</v>
      </c>
      <c r="C19085" t="s">
        <v>349</v>
      </c>
      <c r="D19085" s="1" t="str">
        <f t="shared" si="514"/>
        <v>PRG-1046875</v>
      </c>
      <c r="E19085" t="s">
        <v>48</v>
      </c>
      <c r="F19085" t="s">
        <v>4</v>
      </c>
      <c r="G19085" t="str">
        <f>""</f>
        <v/>
      </c>
    </row>
    <row r="19086" spans="1:7" x14ac:dyDescent="0.25">
      <c r="A19086" t="s">
        <v>8</v>
      </c>
      <c r="B19086" s="1" t="str">
        <f>"000355045 - RICHS DOUGH &amp; ICING-SODEXO"</f>
        <v>000355045 - RICHS DOUGH &amp; ICING-SODEXO</v>
      </c>
      <c r="C19086" t="s">
        <v>349</v>
      </c>
      <c r="D19086" s="1" t="str">
        <f t="shared" si="514"/>
        <v>PRG-1046875</v>
      </c>
      <c r="E19086" t="s">
        <v>48</v>
      </c>
      <c r="F19086" t="s">
        <v>4</v>
      </c>
      <c r="G19086" t="str">
        <f>""</f>
        <v/>
      </c>
    </row>
    <row r="19087" spans="1:7" x14ac:dyDescent="0.25">
      <c r="A19087" t="s">
        <v>8</v>
      </c>
      <c r="B19087" s="1" t="str">
        <f>"000356329 - RICHS DOUGH &amp; ICING-SODEXO"</f>
        <v>000356329 - RICHS DOUGH &amp; ICING-SODEXO</v>
      </c>
      <c r="C19087" t="s">
        <v>349</v>
      </c>
      <c r="D19087" s="1" t="str">
        <f t="shared" si="514"/>
        <v>PRG-1046875</v>
      </c>
      <c r="E19087" t="s">
        <v>48</v>
      </c>
      <c r="F19087" t="s">
        <v>4</v>
      </c>
      <c r="G19087" t="str">
        <f>""</f>
        <v/>
      </c>
    </row>
    <row r="19088" spans="1:7" x14ac:dyDescent="0.25">
      <c r="A19088" t="s">
        <v>8</v>
      </c>
      <c r="B19088" s="1" t="str">
        <f>"000357864 - RICHS DOUGH &amp; ICING-SODEXO"</f>
        <v>000357864 - RICHS DOUGH &amp; ICING-SODEXO</v>
      </c>
      <c r="C19088" t="s">
        <v>349</v>
      </c>
      <c r="D19088" s="1" t="str">
        <f t="shared" si="514"/>
        <v>PRG-1046875</v>
      </c>
      <c r="E19088" t="s">
        <v>48</v>
      </c>
      <c r="F19088" t="s">
        <v>4</v>
      </c>
      <c r="G19088" t="str">
        <f>""</f>
        <v/>
      </c>
    </row>
    <row r="19089" spans="1:7" x14ac:dyDescent="0.25">
      <c r="A19089" t="s">
        <v>8</v>
      </c>
      <c r="B19089" s="1" t="str">
        <f>"000358443 - RICHS DOUGH &amp; ICING-SODEXO"</f>
        <v>000358443 - RICHS DOUGH &amp; ICING-SODEXO</v>
      </c>
      <c r="C19089" t="s">
        <v>349</v>
      </c>
      <c r="D19089" s="1" t="str">
        <f t="shared" si="514"/>
        <v>PRG-1046875</v>
      </c>
      <c r="E19089" t="s">
        <v>48</v>
      </c>
      <c r="F19089" t="s">
        <v>4</v>
      </c>
      <c r="G19089" t="str">
        <f>""</f>
        <v/>
      </c>
    </row>
    <row r="19090" spans="1:7" x14ac:dyDescent="0.25">
      <c r="A19090" t="s">
        <v>8</v>
      </c>
      <c r="B19090" s="1" t="str">
        <f>"000364096 - RICHS DOUGH &amp; ICING-SODEXO"</f>
        <v>000364096 - RICHS DOUGH &amp; ICING-SODEXO</v>
      </c>
      <c r="C19090" t="s">
        <v>349</v>
      </c>
      <c r="D19090" s="1" t="str">
        <f t="shared" si="514"/>
        <v>PRG-1046875</v>
      </c>
      <c r="E19090" t="s">
        <v>48</v>
      </c>
      <c r="F19090" t="s">
        <v>4</v>
      </c>
      <c r="G19090" t="str">
        <f>""</f>
        <v/>
      </c>
    </row>
    <row r="19091" spans="1:7" x14ac:dyDescent="0.25">
      <c r="A19091" t="s">
        <v>8</v>
      </c>
      <c r="B19091" s="1" t="str">
        <f>"000364884 - RICHS DOUGH &amp; ICING-SODEXO"</f>
        <v>000364884 - RICHS DOUGH &amp; ICING-SODEXO</v>
      </c>
      <c r="C19091" t="s">
        <v>349</v>
      </c>
      <c r="D19091" s="1" t="str">
        <f t="shared" si="514"/>
        <v>PRG-1046875</v>
      </c>
      <c r="E19091" t="s">
        <v>48</v>
      </c>
      <c r="F19091" t="s">
        <v>4</v>
      </c>
      <c r="G19091" t="str">
        <f>""</f>
        <v/>
      </c>
    </row>
    <row r="19092" spans="1:7" x14ac:dyDescent="0.25">
      <c r="A19092" t="s">
        <v>8</v>
      </c>
      <c r="B19092" s="1" t="str">
        <f>"000366764 - RICHS DOUGH &amp; ICING-SODEXO"</f>
        <v>000366764 - RICHS DOUGH &amp; ICING-SODEXO</v>
      </c>
      <c r="C19092" t="s">
        <v>349</v>
      </c>
      <c r="D19092" s="1" t="str">
        <f t="shared" si="514"/>
        <v>PRG-1046875</v>
      </c>
      <c r="E19092" t="s">
        <v>48</v>
      </c>
      <c r="F19092" t="s">
        <v>4</v>
      </c>
      <c r="G19092" t="str">
        <f>""</f>
        <v/>
      </c>
    </row>
    <row r="19093" spans="1:7" x14ac:dyDescent="0.25">
      <c r="A19093" t="s">
        <v>8</v>
      </c>
      <c r="B19093" s="1" t="str">
        <f>"000371358 - RICHS DOUGH &amp; ICING-SODEXO"</f>
        <v>000371358 - RICHS DOUGH &amp; ICING-SODEXO</v>
      </c>
      <c r="C19093" t="s">
        <v>349</v>
      </c>
      <c r="D19093" s="1" t="str">
        <f t="shared" si="514"/>
        <v>PRG-1046875</v>
      </c>
      <c r="E19093" t="s">
        <v>48</v>
      </c>
      <c r="F19093" t="s">
        <v>4</v>
      </c>
      <c r="G19093" t="str">
        <f>""</f>
        <v/>
      </c>
    </row>
    <row r="19094" spans="1:7" x14ac:dyDescent="0.25">
      <c r="A19094" t="s">
        <v>8</v>
      </c>
      <c r="B19094" s="1" t="str">
        <f>"000373363 - RICHS DOUGH &amp; ICING-SODEXO"</f>
        <v>000373363 - RICHS DOUGH &amp; ICING-SODEXO</v>
      </c>
      <c r="C19094" t="s">
        <v>349</v>
      </c>
      <c r="D19094" s="1" t="str">
        <f t="shared" si="514"/>
        <v>PRG-1046875</v>
      </c>
      <c r="E19094" t="s">
        <v>48</v>
      </c>
      <c r="F19094" t="s">
        <v>4</v>
      </c>
      <c r="G19094" t="str">
        <f>""</f>
        <v/>
      </c>
    </row>
    <row r="19095" spans="1:7" x14ac:dyDescent="0.25">
      <c r="A19095" t="s">
        <v>8</v>
      </c>
      <c r="B19095" s="1" t="str">
        <f>"000373528 - RICHS DOUGH &amp; ICING-SODEXO"</f>
        <v>000373528 - RICHS DOUGH &amp; ICING-SODEXO</v>
      </c>
      <c r="C19095" t="s">
        <v>349</v>
      </c>
      <c r="D19095" s="1" t="str">
        <f t="shared" si="514"/>
        <v>PRG-1046875</v>
      </c>
      <c r="E19095" t="s">
        <v>48</v>
      </c>
      <c r="F19095" t="s">
        <v>4</v>
      </c>
      <c r="G19095" t="str">
        <f>""</f>
        <v/>
      </c>
    </row>
    <row r="19096" spans="1:7" x14ac:dyDescent="0.25">
      <c r="A19096" t="s">
        <v>8</v>
      </c>
      <c r="B19096" s="1" t="str">
        <f>"000375059 - RICHS DOUGH &amp; ICING-SODEXO"</f>
        <v>000375059 - RICHS DOUGH &amp; ICING-SODEXO</v>
      </c>
      <c r="C19096" t="s">
        <v>349</v>
      </c>
      <c r="D19096" s="1" t="str">
        <f t="shared" si="514"/>
        <v>PRG-1046875</v>
      </c>
      <c r="E19096" t="s">
        <v>48</v>
      </c>
      <c r="F19096" t="s">
        <v>4</v>
      </c>
      <c r="G19096" t="str">
        <f>""</f>
        <v/>
      </c>
    </row>
    <row r="19097" spans="1:7" x14ac:dyDescent="0.25">
      <c r="A19097" t="s">
        <v>8</v>
      </c>
      <c r="B19097" s="1" t="str">
        <f>"000375124 - RICHS DOUGH &amp; ICING-SODEXO"</f>
        <v>000375124 - RICHS DOUGH &amp; ICING-SODEXO</v>
      </c>
      <c r="C19097" t="s">
        <v>349</v>
      </c>
      <c r="D19097" s="1" t="str">
        <f t="shared" si="514"/>
        <v>PRG-1046875</v>
      </c>
      <c r="E19097" t="s">
        <v>48</v>
      </c>
      <c r="F19097" t="s">
        <v>4</v>
      </c>
      <c r="G19097" t="str">
        <f>""</f>
        <v/>
      </c>
    </row>
    <row r="19098" spans="1:7" x14ac:dyDescent="0.25">
      <c r="A19098" t="s">
        <v>8</v>
      </c>
      <c r="B19098" s="1" t="str">
        <f>"000376866 - RICHS DOUGH &amp; ICING-SODEXO"</f>
        <v>000376866 - RICHS DOUGH &amp; ICING-SODEXO</v>
      </c>
      <c r="C19098" t="s">
        <v>349</v>
      </c>
      <c r="D19098" s="1" t="str">
        <f t="shared" si="514"/>
        <v>PRG-1046875</v>
      </c>
      <c r="E19098" t="s">
        <v>48</v>
      </c>
      <c r="F19098" t="s">
        <v>4</v>
      </c>
      <c r="G19098" t="str">
        <f>""</f>
        <v/>
      </c>
    </row>
    <row r="19099" spans="1:7" x14ac:dyDescent="0.25">
      <c r="A19099" t="s">
        <v>8</v>
      </c>
      <c r="B19099" s="1" t="str">
        <f>"000378244 - RICHS DOUGH &amp; ICING-SODEXO"</f>
        <v>000378244 - RICHS DOUGH &amp; ICING-SODEXO</v>
      </c>
      <c r="C19099" t="s">
        <v>349</v>
      </c>
      <c r="D19099" s="1" t="str">
        <f t="shared" si="514"/>
        <v>PRG-1046875</v>
      </c>
      <c r="E19099" t="s">
        <v>48</v>
      </c>
      <c r="F19099" t="s">
        <v>4</v>
      </c>
      <c r="G19099" t="str">
        <f>""</f>
        <v/>
      </c>
    </row>
    <row r="19100" spans="1:7" x14ac:dyDescent="0.25">
      <c r="A19100" t="s">
        <v>8</v>
      </c>
      <c r="B19100" s="1" t="str">
        <f>"000378819 - RICHS DOUGH &amp; ICING-SODEXO"</f>
        <v>000378819 - RICHS DOUGH &amp; ICING-SODEXO</v>
      </c>
      <c r="C19100" t="s">
        <v>349</v>
      </c>
      <c r="D19100" s="1" t="str">
        <f t="shared" ref="D19100:D19111" si="515">"PRG-1046875"</f>
        <v>PRG-1046875</v>
      </c>
      <c r="E19100" t="s">
        <v>48</v>
      </c>
      <c r="F19100" t="s">
        <v>4</v>
      </c>
      <c r="G19100" t="str">
        <f>""</f>
        <v/>
      </c>
    </row>
    <row r="19101" spans="1:7" x14ac:dyDescent="0.25">
      <c r="A19101" t="s">
        <v>8</v>
      </c>
      <c r="B19101" s="1" t="str">
        <f>"000380112 - RICHS DOUGH &amp; ICING-SODEXO"</f>
        <v>000380112 - RICHS DOUGH &amp; ICING-SODEXO</v>
      </c>
      <c r="C19101" t="s">
        <v>349</v>
      </c>
      <c r="D19101" s="1" t="str">
        <f t="shared" si="515"/>
        <v>PRG-1046875</v>
      </c>
      <c r="E19101" t="s">
        <v>48</v>
      </c>
      <c r="F19101" t="s">
        <v>4</v>
      </c>
      <c r="G19101" t="str">
        <f>""</f>
        <v/>
      </c>
    </row>
    <row r="19102" spans="1:7" x14ac:dyDescent="0.25">
      <c r="A19102" t="s">
        <v>8</v>
      </c>
      <c r="B19102" s="1" t="str">
        <f>"000381086 - RICHS DOUGH &amp; ICING-SODEXO"</f>
        <v>000381086 - RICHS DOUGH &amp; ICING-SODEXO</v>
      </c>
      <c r="C19102" t="s">
        <v>349</v>
      </c>
      <c r="D19102" s="1" t="str">
        <f t="shared" si="515"/>
        <v>PRG-1046875</v>
      </c>
      <c r="E19102" t="s">
        <v>48</v>
      </c>
      <c r="F19102" t="s">
        <v>4</v>
      </c>
      <c r="G19102" t="str">
        <f>""</f>
        <v/>
      </c>
    </row>
    <row r="19103" spans="1:7" x14ac:dyDescent="0.25">
      <c r="A19103" t="s">
        <v>8</v>
      </c>
      <c r="B19103" s="1" t="str">
        <f>"000382339 - RICHS DOUGH &amp; ICING-SODEXO"</f>
        <v>000382339 - RICHS DOUGH &amp; ICING-SODEXO</v>
      </c>
      <c r="C19103" t="s">
        <v>349</v>
      </c>
      <c r="D19103" s="1" t="str">
        <f t="shared" si="515"/>
        <v>PRG-1046875</v>
      </c>
      <c r="E19103" t="s">
        <v>48</v>
      </c>
      <c r="F19103" t="s">
        <v>4</v>
      </c>
      <c r="G19103" t="str">
        <f>""</f>
        <v/>
      </c>
    </row>
    <row r="19104" spans="1:7" x14ac:dyDescent="0.25">
      <c r="A19104" t="s">
        <v>8</v>
      </c>
      <c r="B19104" s="1" t="str">
        <f>"000389422 - RICHS DOUGH &amp; ICING-SODEXO"</f>
        <v>000389422 - RICHS DOUGH &amp; ICING-SODEXO</v>
      </c>
      <c r="C19104" t="s">
        <v>349</v>
      </c>
      <c r="D19104" s="1" t="str">
        <f t="shared" si="515"/>
        <v>PRG-1046875</v>
      </c>
      <c r="E19104" t="s">
        <v>48</v>
      </c>
      <c r="F19104" t="s">
        <v>4</v>
      </c>
      <c r="G19104" t="str">
        <f>""</f>
        <v/>
      </c>
    </row>
    <row r="19105" spans="1:7" x14ac:dyDescent="0.25">
      <c r="A19105" t="s">
        <v>8</v>
      </c>
      <c r="B19105" s="1" t="str">
        <f>"000393019 - RICHS DOUGH &amp; ICING-SODEXO"</f>
        <v>000393019 - RICHS DOUGH &amp; ICING-SODEXO</v>
      </c>
      <c r="C19105" t="s">
        <v>349</v>
      </c>
      <c r="D19105" s="1" t="str">
        <f t="shared" si="515"/>
        <v>PRG-1046875</v>
      </c>
      <c r="E19105" t="s">
        <v>48</v>
      </c>
      <c r="F19105" t="s">
        <v>4</v>
      </c>
      <c r="G19105" t="str">
        <f>""</f>
        <v/>
      </c>
    </row>
    <row r="19106" spans="1:7" x14ac:dyDescent="0.25">
      <c r="A19106" t="s">
        <v>8</v>
      </c>
      <c r="B19106" s="1" t="str">
        <f>"000399666 - RICHS DOUGH &amp; ICING-SODEXO"</f>
        <v>000399666 - RICHS DOUGH &amp; ICING-SODEXO</v>
      </c>
      <c r="C19106" t="s">
        <v>349</v>
      </c>
      <c r="D19106" s="1" t="str">
        <f t="shared" si="515"/>
        <v>PRG-1046875</v>
      </c>
      <c r="E19106" t="s">
        <v>48</v>
      </c>
      <c r="F19106" t="s">
        <v>4</v>
      </c>
      <c r="G19106" t="str">
        <f>""</f>
        <v/>
      </c>
    </row>
    <row r="19107" spans="1:7" x14ac:dyDescent="0.25">
      <c r="A19107" t="s">
        <v>8</v>
      </c>
      <c r="B19107" s="1" t="str">
        <f>"000401265 - RICHS DOUGH &amp; ICING-SODEXO"</f>
        <v>000401265 - RICHS DOUGH &amp; ICING-SODEXO</v>
      </c>
      <c r="C19107" t="s">
        <v>349</v>
      </c>
      <c r="D19107" s="1" t="str">
        <f t="shared" si="515"/>
        <v>PRG-1046875</v>
      </c>
      <c r="E19107" t="s">
        <v>48</v>
      </c>
      <c r="F19107" t="s">
        <v>4</v>
      </c>
      <c r="G19107" t="str">
        <f>""</f>
        <v/>
      </c>
    </row>
    <row r="19108" spans="1:7" x14ac:dyDescent="0.25">
      <c r="A19108" t="s">
        <v>8</v>
      </c>
      <c r="B19108" s="1" t="str">
        <f>"000404459 - RICHS DOUGH &amp; ICING-SODEXO"</f>
        <v>000404459 - RICHS DOUGH &amp; ICING-SODEXO</v>
      </c>
      <c r="C19108" t="s">
        <v>349</v>
      </c>
      <c r="D19108" s="1" t="str">
        <f t="shared" si="515"/>
        <v>PRG-1046875</v>
      </c>
      <c r="E19108" t="s">
        <v>48</v>
      </c>
      <c r="F19108" t="s">
        <v>4</v>
      </c>
      <c r="G19108" t="str">
        <f>""</f>
        <v/>
      </c>
    </row>
    <row r="19109" spans="1:7" x14ac:dyDescent="0.25">
      <c r="A19109" t="s">
        <v>8</v>
      </c>
      <c r="B19109" s="1" t="str">
        <f>"000405479 - RICHS DOUGH &amp; ICING-SODEXO"</f>
        <v>000405479 - RICHS DOUGH &amp; ICING-SODEXO</v>
      </c>
      <c r="C19109" t="s">
        <v>349</v>
      </c>
      <c r="D19109" s="1" t="str">
        <f t="shared" si="515"/>
        <v>PRG-1046875</v>
      </c>
      <c r="E19109" t="s">
        <v>48</v>
      </c>
      <c r="F19109" t="s">
        <v>4</v>
      </c>
      <c r="G19109" t="str">
        <f>""</f>
        <v/>
      </c>
    </row>
    <row r="19110" spans="1:7" x14ac:dyDescent="0.25">
      <c r="A19110" t="s">
        <v>8</v>
      </c>
      <c r="B19110" s="1" t="str">
        <f>"000407579 - RICHS DOUGH &amp; ICING-SODEXO"</f>
        <v>000407579 - RICHS DOUGH &amp; ICING-SODEXO</v>
      </c>
      <c r="C19110" t="s">
        <v>349</v>
      </c>
      <c r="D19110" s="1" t="str">
        <f t="shared" si="515"/>
        <v>PRG-1046875</v>
      </c>
      <c r="E19110" t="s">
        <v>48</v>
      </c>
      <c r="F19110" t="s">
        <v>4</v>
      </c>
      <c r="G19110" t="str">
        <f>""</f>
        <v/>
      </c>
    </row>
    <row r="19111" spans="1:7" x14ac:dyDescent="0.25">
      <c r="A19111" t="s">
        <v>8</v>
      </c>
      <c r="B19111" s="1" t="str">
        <f>"000412745 - RICHS DOUGH &amp; ICING-SODEXO"</f>
        <v>000412745 - RICHS DOUGH &amp; ICING-SODEXO</v>
      </c>
      <c r="C19111" t="s">
        <v>349</v>
      </c>
      <c r="D19111" s="1" t="str">
        <f t="shared" si="515"/>
        <v>PRG-1046875</v>
      </c>
      <c r="E19111" t="s">
        <v>48</v>
      </c>
      <c r="F19111" t="s">
        <v>4</v>
      </c>
      <c r="G19111" t="str">
        <f>""</f>
        <v/>
      </c>
    </row>
    <row r="19112" spans="1:7" x14ac:dyDescent="0.25">
      <c r="A19112" t="s">
        <v>8</v>
      </c>
      <c r="B19112" s="1" t="str">
        <f>"000010143 - RICHS SWEET DOUGH-SODEXO"</f>
        <v>000010143 - RICHS SWEET DOUGH-SODEXO</v>
      </c>
      <c r="C19112" t="s">
        <v>137</v>
      </c>
      <c r="D19112" s="1" t="str">
        <f t="shared" ref="D19112:D19175" si="516">"PRG-1046879"</f>
        <v>PRG-1046879</v>
      </c>
      <c r="E19112" t="s">
        <v>306</v>
      </c>
      <c r="F19112" t="s">
        <v>4</v>
      </c>
      <c r="G19112" t="str">
        <f>""</f>
        <v/>
      </c>
    </row>
    <row r="19113" spans="1:7" x14ac:dyDescent="0.25">
      <c r="A19113" t="s">
        <v>8</v>
      </c>
      <c r="B19113" s="1" t="str">
        <f>"000011969 - RICHS SWEET DOUGH-SODEXO"</f>
        <v>000011969 - RICHS SWEET DOUGH-SODEXO</v>
      </c>
      <c r="C19113" t="s">
        <v>137</v>
      </c>
      <c r="D19113" s="1" t="str">
        <f t="shared" si="516"/>
        <v>PRG-1046879</v>
      </c>
      <c r="E19113" t="s">
        <v>306</v>
      </c>
      <c r="F19113" t="s">
        <v>4</v>
      </c>
      <c r="G19113" t="str">
        <f>""</f>
        <v/>
      </c>
    </row>
    <row r="19114" spans="1:7" x14ac:dyDescent="0.25">
      <c r="A19114" t="s">
        <v>8</v>
      </c>
      <c r="B19114" s="1" t="str">
        <f>"000012071 - RICHS SWEET DOUGH-SODEXO"</f>
        <v>000012071 - RICHS SWEET DOUGH-SODEXO</v>
      </c>
      <c r="C19114" t="s">
        <v>137</v>
      </c>
      <c r="D19114" s="1" t="str">
        <f t="shared" si="516"/>
        <v>PRG-1046879</v>
      </c>
      <c r="E19114" t="s">
        <v>306</v>
      </c>
      <c r="F19114" t="s">
        <v>4</v>
      </c>
      <c r="G19114" t="str">
        <f>""</f>
        <v/>
      </c>
    </row>
    <row r="19115" spans="1:7" x14ac:dyDescent="0.25">
      <c r="A19115" t="s">
        <v>8</v>
      </c>
      <c r="B19115" s="1" t="str">
        <f>"000013529 - RICHS SWEET DOUGH-SODEXO"</f>
        <v>000013529 - RICHS SWEET DOUGH-SODEXO</v>
      </c>
      <c r="C19115" t="s">
        <v>137</v>
      </c>
      <c r="D19115" s="1" t="str">
        <f t="shared" si="516"/>
        <v>PRG-1046879</v>
      </c>
      <c r="E19115" t="s">
        <v>306</v>
      </c>
      <c r="F19115" t="s">
        <v>4</v>
      </c>
      <c r="G19115" t="str">
        <f>""</f>
        <v/>
      </c>
    </row>
    <row r="19116" spans="1:7" x14ac:dyDescent="0.25">
      <c r="A19116" t="s">
        <v>8</v>
      </c>
      <c r="B19116" s="1" t="str">
        <f>"000013780 - RICHS SWEET DOUGH-SODEXO"</f>
        <v>000013780 - RICHS SWEET DOUGH-SODEXO</v>
      </c>
      <c r="C19116" t="s">
        <v>137</v>
      </c>
      <c r="D19116" s="1" t="str">
        <f t="shared" si="516"/>
        <v>PRG-1046879</v>
      </c>
      <c r="E19116" t="s">
        <v>306</v>
      </c>
      <c r="F19116" t="s">
        <v>4</v>
      </c>
      <c r="G19116" t="str">
        <f>""</f>
        <v/>
      </c>
    </row>
    <row r="19117" spans="1:7" x14ac:dyDescent="0.25">
      <c r="A19117" t="s">
        <v>8</v>
      </c>
      <c r="B19117" s="1" t="str">
        <f>"000015397 - RICHS SWEET DOUGH-SODEXO"</f>
        <v>000015397 - RICHS SWEET DOUGH-SODEXO</v>
      </c>
      <c r="C19117" t="s">
        <v>137</v>
      </c>
      <c r="D19117" s="1" t="str">
        <f t="shared" si="516"/>
        <v>PRG-1046879</v>
      </c>
      <c r="E19117" t="s">
        <v>306</v>
      </c>
      <c r="F19117" t="s">
        <v>4</v>
      </c>
      <c r="G19117" t="str">
        <f>""</f>
        <v/>
      </c>
    </row>
    <row r="19118" spans="1:7" x14ac:dyDescent="0.25">
      <c r="A19118" t="s">
        <v>8</v>
      </c>
      <c r="B19118" s="1" t="str">
        <f>"000018625 - RICHS SWEET DOUGH-SODEXO"</f>
        <v>000018625 - RICHS SWEET DOUGH-SODEXO</v>
      </c>
      <c r="C19118" t="s">
        <v>137</v>
      </c>
      <c r="D19118" s="1" t="str">
        <f t="shared" si="516"/>
        <v>PRG-1046879</v>
      </c>
      <c r="E19118" t="s">
        <v>306</v>
      </c>
      <c r="F19118" t="s">
        <v>4</v>
      </c>
      <c r="G19118" t="str">
        <f>""</f>
        <v/>
      </c>
    </row>
    <row r="19119" spans="1:7" x14ac:dyDescent="0.25">
      <c r="A19119" t="s">
        <v>8</v>
      </c>
      <c r="B19119" s="1" t="str">
        <f>"000019672 - RICHS SWEET DOUGH-SODEXO"</f>
        <v>000019672 - RICHS SWEET DOUGH-SODEXO</v>
      </c>
      <c r="C19119" t="s">
        <v>137</v>
      </c>
      <c r="D19119" s="1" t="str">
        <f t="shared" si="516"/>
        <v>PRG-1046879</v>
      </c>
      <c r="E19119" t="s">
        <v>306</v>
      </c>
      <c r="F19119" t="s">
        <v>4</v>
      </c>
      <c r="G19119" t="str">
        <f>""</f>
        <v/>
      </c>
    </row>
    <row r="19120" spans="1:7" x14ac:dyDescent="0.25">
      <c r="A19120" t="s">
        <v>8</v>
      </c>
      <c r="B19120" s="1" t="str">
        <f>"000020222 - RICHS SWEET DOUGH-SODEXO"</f>
        <v>000020222 - RICHS SWEET DOUGH-SODEXO</v>
      </c>
      <c r="C19120" t="s">
        <v>137</v>
      </c>
      <c r="D19120" s="1" t="str">
        <f t="shared" si="516"/>
        <v>PRG-1046879</v>
      </c>
      <c r="E19120" t="s">
        <v>306</v>
      </c>
      <c r="F19120" t="s">
        <v>4</v>
      </c>
      <c r="G19120" t="str">
        <f>""</f>
        <v/>
      </c>
    </row>
    <row r="19121" spans="1:7" x14ac:dyDescent="0.25">
      <c r="A19121" t="s">
        <v>8</v>
      </c>
      <c r="B19121" s="1" t="str">
        <f>"000020227 - RICHS SWEET DOUGH-SODEXO"</f>
        <v>000020227 - RICHS SWEET DOUGH-SODEXO</v>
      </c>
      <c r="C19121" t="s">
        <v>137</v>
      </c>
      <c r="D19121" s="1" t="str">
        <f t="shared" si="516"/>
        <v>PRG-1046879</v>
      </c>
      <c r="E19121" t="s">
        <v>306</v>
      </c>
      <c r="F19121" t="s">
        <v>4</v>
      </c>
      <c r="G19121" t="str">
        <f>""</f>
        <v/>
      </c>
    </row>
    <row r="19122" spans="1:7" x14ac:dyDescent="0.25">
      <c r="A19122" t="s">
        <v>8</v>
      </c>
      <c r="B19122" s="1" t="str">
        <f>"000020651 - RICHS SWEET DOUGH-SODEXO"</f>
        <v>000020651 - RICHS SWEET DOUGH-SODEXO</v>
      </c>
      <c r="C19122" t="s">
        <v>137</v>
      </c>
      <c r="D19122" s="1" t="str">
        <f t="shared" si="516"/>
        <v>PRG-1046879</v>
      </c>
      <c r="E19122" t="s">
        <v>306</v>
      </c>
      <c r="F19122" t="s">
        <v>4</v>
      </c>
      <c r="G19122" t="str">
        <f>""</f>
        <v/>
      </c>
    </row>
    <row r="19123" spans="1:7" x14ac:dyDescent="0.25">
      <c r="A19123" t="s">
        <v>8</v>
      </c>
      <c r="B19123" s="1" t="str">
        <f>"000022344 - RICHS SWEET DOUGH-SODEXO"</f>
        <v>000022344 - RICHS SWEET DOUGH-SODEXO</v>
      </c>
      <c r="C19123" t="s">
        <v>137</v>
      </c>
      <c r="D19123" s="1" t="str">
        <f t="shared" si="516"/>
        <v>PRG-1046879</v>
      </c>
      <c r="E19123" t="s">
        <v>306</v>
      </c>
      <c r="F19123" t="s">
        <v>4</v>
      </c>
      <c r="G19123" t="str">
        <f>""</f>
        <v/>
      </c>
    </row>
    <row r="19124" spans="1:7" x14ac:dyDescent="0.25">
      <c r="A19124" t="s">
        <v>8</v>
      </c>
      <c r="B19124" s="1" t="str">
        <f>"000022437 - RICHS SWEET DOUGH-SODEXO"</f>
        <v>000022437 - RICHS SWEET DOUGH-SODEXO</v>
      </c>
      <c r="C19124" t="s">
        <v>137</v>
      </c>
      <c r="D19124" s="1" t="str">
        <f t="shared" si="516"/>
        <v>PRG-1046879</v>
      </c>
      <c r="E19124" t="s">
        <v>306</v>
      </c>
      <c r="F19124" t="s">
        <v>4</v>
      </c>
      <c r="G19124" t="str">
        <f>""</f>
        <v/>
      </c>
    </row>
    <row r="19125" spans="1:7" x14ac:dyDescent="0.25">
      <c r="A19125" t="s">
        <v>8</v>
      </c>
      <c r="B19125" s="1" t="str">
        <f>"000022687 - RICHS SWEET DOUGH-SODEXO"</f>
        <v>000022687 - RICHS SWEET DOUGH-SODEXO</v>
      </c>
      <c r="C19125" t="s">
        <v>137</v>
      </c>
      <c r="D19125" s="1" t="str">
        <f t="shared" si="516"/>
        <v>PRG-1046879</v>
      </c>
      <c r="E19125" t="s">
        <v>306</v>
      </c>
      <c r="F19125" t="s">
        <v>4</v>
      </c>
      <c r="G19125" t="str">
        <f>""</f>
        <v/>
      </c>
    </row>
    <row r="19126" spans="1:7" x14ac:dyDescent="0.25">
      <c r="A19126" t="s">
        <v>8</v>
      </c>
      <c r="B19126" s="1" t="str">
        <f>"000022722 - RICHS SWEET DOUGH-SODEXO"</f>
        <v>000022722 - RICHS SWEET DOUGH-SODEXO</v>
      </c>
      <c r="C19126" t="s">
        <v>137</v>
      </c>
      <c r="D19126" s="1" t="str">
        <f t="shared" si="516"/>
        <v>PRG-1046879</v>
      </c>
      <c r="E19126" t="s">
        <v>306</v>
      </c>
      <c r="F19126" t="s">
        <v>4</v>
      </c>
      <c r="G19126" t="str">
        <f>""</f>
        <v/>
      </c>
    </row>
    <row r="19127" spans="1:7" x14ac:dyDescent="0.25">
      <c r="A19127" t="s">
        <v>8</v>
      </c>
      <c r="B19127" s="1" t="str">
        <f>"000024074 - RICHS SWEET DOUGH-SODEXO"</f>
        <v>000024074 - RICHS SWEET DOUGH-SODEXO</v>
      </c>
      <c r="C19127" t="s">
        <v>137</v>
      </c>
      <c r="D19127" s="1" t="str">
        <f t="shared" si="516"/>
        <v>PRG-1046879</v>
      </c>
      <c r="E19127" t="s">
        <v>306</v>
      </c>
      <c r="F19127" t="s">
        <v>4</v>
      </c>
      <c r="G19127" t="str">
        <f>""</f>
        <v/>
      </c>
    </row>
    <row r="19128" spans="1:7" x14ac:dyDescent="0.25">
      <c r="A19128" t="s">
        <v>8</v>
      </c>
      <c r="B19128" s="1" t="str">
        <f>"000025761 - RICHS SWEET DOUGH-SODEXO"</f>
        <v>000025761 - RICHS SWEET DOUGH-SODEXO</v>
      </c>
      <c r="C19128" t="s">
        <v>137</v>
      </c>
      <c r="D19128" s="1" t="str">
        <f t="shared" si="516"/>
        <v>PRG-1046879</v>
      </c>
      <c r="E19128" t="s">
        <v>306</v>
      </c>
      <c r="F19128" t="s">
        <v>4</v>
      </c>
      <c r="G19128" t="str">
        <f>""</f>
        <v/>
      </c>
    </row>
    <row r="19129" spans="1:7" x14ac:dyDescent="0.25">
      <c r="A19129" t="s">
        <v>8</v>
      </c>
      <c r="B19129" s="1" t="str">
        <f>"000026110 - RICHS SWEET DOUGH-SODEXO"</f>
        <v>000026110 - RICHS SWEET DOUGH-SODEXO</v>
      </c>
      <c r="C19129" t="s">
        <v>137</v>
      </c>
      <c r="D19129" s="1" t="str">
        <f t="shared" si="516"/>
        <v>PRG-1046879</v>
      </c>
      <c r="E19129" t="s">
        <v>306</v>
      </c>
      <c r="F19129" t="s">
        <v>4</v>
      </c>
      <c r="G19129" t="str">
        <f>""</f>
        <v/>
      </c>
    </row>
    <row r="19130" spans="1:7" x14ac:dyDescent="0.25">
      <c r="A19130" t="s">
        <v>8</v>
      </c>
      <c r="B19130" s="1" t="str">
        <f>"000028495 - RICHS SWEET DOUGH-SODEXO"</f>
        <v>000028495 - RICHS SWEET DOUGH-SODEXO</v>
      </c>
      <c r="C19130" t="s">
        <v>137</v>
      </c>
      <c r="D19130" s="1" t="str">
        <f t="shared" si="516"/>
        <v>PRG-1046879</v>
      </c>
      <c r="E19130" t="s">
        <v>306</v>
      </c>
      <c r="F19130" t="s">
        <v>4</v>
      </c>
      <c r="G19130" t="str">
        <f>""</f>
        <v/>
      </c>
    </row>
    <row r="19131" spans="1:7" x14ac:dyDescent="0.25">
      <c r="A19131" t="s">
        <v>8</v>
      </c>
      <c r="B19131" s="1" t="str">
        <f>"000029390 - RICHS SWEET DOUGH-SODEXO"</f>
        <v>000029390 - RICHS SWEET DOUGH-SODEXO</v>
      </c>
      <c r="C19131" t="s">
        <v>137</v>
      </c>
      <c r="D19131" s="1" t="str">
        <f t="shared" si="516"/>
        <v>PRG-1046879</v>
      </c>
      <c r="E19131" t="s">
        <v>306</v>
      </c>
      <c r="F19131" t="s">
        <v>4</v>
      </c>
      <c r="G19131" t="str">
        <f>""</f>
        <v/>
      </c>
    </row>
    <row r="19132" spans="1:7" x14ac:dyDescent="0.25">
      <c r="A19132" t="s">
        <v>8</v>
      </c>
      <c r="B19132" s="1" t="str">
        <f>"000030369 - RICHS SWEET DOUGH-SODEXO"</f>
        <v>000030369 - RICHS SWEET DOUGH-SODEXO</v>
      </c>
      <c r="C19132" t="s">
        <v>137</v>
      </c>
      <c r="D19132" s="1" t="str">
        <f t="shared" si="516"/>
        <v>PRG-1046879</v>
      </c>
      <c r="E19132" t="s">
        <v>306</v>
      </c>
      <c r="F19132" t="s">
        <v>4</v>
      </c>
      <c r="G19132" t="str">
        <f>""</f>
        <v/>
      </c>
    </row>
    <row r="19133" spans="1:7" x14ac:dyDescent="0.25">
      <c r="A19133" t="s">
        <v>8</v>
      </c>
      <c r="B19133" s="1" t="str">
        <f>"000030527 - RICHS SWEET DOUGH-SODEXO"</f>
        <v>000030527 - RICHS SWEET DOUGH-SODEXO</v>
      </c>
      <c r="C19133" t="s">
        <v>137</v>
      </c>
      <c r="D19133" s="1" t="str">
        <f t="shared" si="516"/>
        <v>PRG-1046879</v>
      </c>
      <c r="E19133" t="s">
        <v>306</v>
      </c>
      <c r="F19133" t="s">
        <v>4</v>
      </c>
      <c r="G19133" t="str">
        <f>""</f>
        <v/>
      </c>
    </row>
    <row r="19134" spans="1:7" x14ac:dyDescent="0.25">
      <c r="A19134" t="s">
        <v>8</v>
      </c>
      <c r="B19134" s="1" t="str">
        <f>"000031051 - RICHS SWEET DOUGH-SODEXO"</f>
        <v>000031051 - RICHS SWEET DOUGH-SODEXO</v>
      </c>
      <c r="C19134" t="s">
        <v>137</v>
      </c>
      <c r="D19134" s="1" t="str">
        <f t="shared" si="516"/>
        <v>PRG-1046879</v>
      </c>
      <c r="E19134" t="s">
        <v>306</v>
      </c>
      <c r="F19134" t="s">
        <v>4</v>
      </c>
      <c r="G19134" t="str">
        <f>""</f>
        <v/>
      </c>
    </row>
    <row r="19135" spans="1:7" x14ac:dyDescent="0.25">
      <c r="A19135" t="s">
        <v>8</v>
      </c>
      <c r="B19135" s="1" t="str">
        <f>"000034036 - RICHS SWEET DOUGH-SODEXO"</f>
        <v>000034036 - RICHS SWEET DOUGH-SODEXO</v>
      </c>
      <c r="C19135" t="s">
        <v>137</v>
      </c>
      <c r="D19135" s="1" t="str">
        <f t="shared" si="516"/>
        <v>PRG-1046879</v>
      </c>
      <c r="E19135" t="s">
        <v>306</v>
      </c>
      <c r="F19135" t="s">
        <v>4</v>
      </c>
      <c r="G19135" t="str">
        <f>""</f>
        <v/>
      </c>
    </row>
    <row r="19136" spans="1:7" x14ac:dyDescent="0.25">
      <c r="A19136" t="s">
        <v>8</v>
      </c>
      <c r="B19136" s="1" t="str">
        <f>"000035119 - RICHS SWEET DOUGH-SODEXO"</f>
        <v>000035119 - RICHS SWEET DOUGH-SODEXO</v>
      </c>
      <c r="C19136" t="s">
        <v>137</v>
      </c>
      <c r="D19136" s="1" t="str">
        <f t="shared" si="516"/>
        <v>PRG-1046879</v>
      </c>
      <c r="E19136" t="s">
        <v>306</v>
      </c>
      <c r="F19136" t="s">
        <v>4</v>
      </c>
      <c r="G19136" t="str">
        <f>""</f>
        <v/>
      </c>
    </row>
    <row r="19137" spans="1:7" x14ac:dyDescent="0.25">
      <c r="A19137" t="s">
        <v>8</v>
      </c>
      <c r="B19137" s="1" t="str">
        <f>"000037782 - RICHS SWEET DOUGH-SODEXO"</f>
        <v>000037782 - RICHS SWEET DOUGH-SODEXO</v>
      </c>
      <c r="C19137" t="s">
        <v>137</v>
      </c>
      <c r="D19137" s="1" t="str">
        <f t="shared" si="516"/>
        <v>PRG-1046879</v>
      </c>
      <c r="E19137" t="s">
        <v>306</v>
      </c>
      <c r="F19137" t="s">
        <v>4</v>
      </c>
      <c r="G19137" t="str">
        <f>""</f>
        <v/>
      </c>
    </row>
    <row r="19138" spans="1:7" x14ac:dyDescent="0.25">
      <c r="A19138" t="s">
        <v>8</v>
      </c>
      <c r="B19138" s="1" t="str">
        <f>"000039153 - RICHS SWEET DOUGH-SODEXO"</f>
        <v>000039153 - RICHS SWEET DOUGH-SODEXO</v>
      </c>
      <c r="C19138" t="s">
        <v>137</v>
      </c>
      <c r="D19138" s="1" t="str">
        <f t="shared" si="516"/>
        <v>PRG-1046879</v>
      </c>
      <c r="E19138" t="s">
        <v>306</v>
      </c>
      <c r="F19138" t="s">
        <v>4</v>
      </c>
      <c r="G19138" t="str">
        <f>""</f>
        <v/>
      </c>
    </row>
    <row r="19139" spans="1:7" x14ac:dyDescent="0.25">
      <c r="A19139" t="s">
        <v>8</v>
      </c>
      <c r="B19139" s="1" t="str">
        <f>"000039217 - RICHS SWEET DOUGH-SODEXO"</f>
        <v>000039217 - RICHS SWEET DOUGH-SODEXO</v>
      </c>
      <c r="C19139" t="s">
        <v>137</v>
      </c>
      <c r="D19139" s="1" t="str">
        <f t="shared" si="516"/>
        <v>PRG-1046879</v>
      </c>
      <c r="E19139" t="s">
        <v>306</v>
      </c>
      <c r="F19139" t="s">
        <v>4</v>
      </c>
      <c r="G19139" t="str">
        <f>""</f>
        <v/>
      </c>
    </row>
    <row r="19140" spans="1:7" x14ac:dyDescent="0.25">
      <c r="A19140" t="s">
        <v>8</v>
      </c>
      <c r="B19140" s="1" t="str">
        <f>"000039658 - RICHS SWEET DOUGH-SODEXO"</f>
        <v>000039658 - RICHS SWEET DOUGH-SODEXO</v>
      </c>
      <c r="C19140" t="s">
        <v>137</v>
      </c>
      <c r="D19140" s="1" t="str">
        <f t="shared" si="516"/>
        <v>PRG-1046879</v>
      </c>
      <c r="E19140" t="s">
        <v>306</v>
      </c>
      <c r="F19140" t="s">
        <v>4</v>
      </c>
      <c r="G19140" t="str">
        <f>""</f>
        <v/>
      </c>
    </row>
    <row r="19141" spans="1:7" x14ac:dyDescent="0.25">
      <c r="A19141" t="s">
        <v>8</v>
      </c>
      <c r="B19141" s="1" t="str">
        <f>"000040565 - RICHS SWEET DOUGH-SODEXO"</f>
        <v>000040565 - RICHS SWEET DOUGH-SODEXO</v>
      </c>
      <c r="C19141" t="s">
        <v>137</v>
      </c>
      <c r="D19141" s="1" t="str">
        <f t="shared" si="516"/>
        <v>PRG-1046879</v>
      </c>
      <c r="E19141" t="s">
        <v>306</v>
      </c>
      <c r="F19141" t="s">
        <v>4</v>
      </c>
      <c r="G19141" t="str">
        <f>""</f>
        <v/>
      </c>
    </row>
    <row r="19142" spans="1:7" x14ac:dyDescent="0.25">
      <c r="A19142" t="s">
        <v>8</v>
      </c>
      <c r="B19142" s="1" t="str">
        <f>"000040853 - RICHS SWEET DOUGH-SODEXO"</f>
        <v>000040853 - RICHS SWEET DOUGH-SODEXO</v>
      </c>
      <c r="C19142" t="s">
        <v>137</v>
      </c>
      <c r="D19142" s="1" t="str">
        <f t="shared" si="516"/>
        <v>PRG-1046879</v>
      </c>
      <c r="E19142" t="s">
        <v>306</v>
      </c>
      <c r="F19142" t="s">
        <v>4</v>
      </c>
      <c r="G19142" t="str">
        <f>""</f>
        <v/>
      </c>
    </row>
    <row r="19143" spans="1:7" x14ac:dyDescent="0.25">
      <c r="A19143" t="s">
        <v>8</v>
      </c>
      <c r="B19143" s="1" t="str">
        <f>"000041467 - RICHS SWEET DOUGH-SODEXO"</f>
        <v>000041467 - RICHS SWEET DOUGH-SODEXO</v>
      </c>
      <c r="C19143" t="s">
        <v>137</v>
      </c>
      <c r="D19143" s="1" t="str">
        <f t="shared" si="516"/>
        <v>PRG-1046879</v>
      </c>
      <c r="E19143" t="s">
        <v>306</v>
      </c>
      <c r="F19143" t="s">
        <v>4</v>
      </c>
      <c r="G19143" t="str">
        <f>""</f>
        <v/>
      </c>
    </row>
    <row r="19144" spans="1:7" x14ac:dyDescent="0.25">
      <c r="A19144" t="s">
        <v>8</v>
      </c>
      <c r="B19144" s="1" t="str">
        <f>"000048968 - RICHS SWEET DOUGH-SODEXO"</f>
        <v>000048968 - RICHS SWEET DOUGH-SODEXO</v>
      </c>
      <c r="C19144" t="s">
        <v>137</v>
      </c>
      <c r="D19144" s="1" t="str">
        <f t="shared" si="516"/>
        <v>PRG-1046879</v>
      </c>
      <c r="E19144" t="s">
        <v>306</v>
      </c>
      <c r="F19144" t="s">
        <v>4</v>
      </c>
      <c r="G19144" t="str">
        <f>""</f>
        <v/>
      </c>
    </row>
    <row r="19145" spans="1:7" x14ac:dyDescent="0.25">
      <c r="A19145" t="s">
        <v>8</v>
      </c>
      <c r="B19145" s="1" t="str">
        <f>"000051419 - RICHS SWEET DOUGH-SODEXO"</f>
        <v>000051419 - RICHS SWEET DOUGH-SODEXO</v>
      </c>
      <c r="C19145" t="s">
        <v>137</v>
      </c>
      <c r="D19145" s="1" t="str">
        <f t="shared" si="516"/>
        <v>PRG-1046879</v>
      </c>
      <c r="E19145" t="s">
        <v>306</v>
      </c>
      <c r="F19145" t="s">
        <v>4</v>
      </c>
      <c r="G19145" t="str">
        <f>""</f>
        <v/>
      </c>
    </row>
    <row r="19146" spans="1:7" x14ac:dyDescent="0.25">
      <c r="A19146" t="s">
        <v>8</v>
      </c>
      <c r="B19146" s="1" t="str">
        <f>"000077615 - RICHS SWEET DOUGH-SODEXO"</f>
        <v>000077615 - RICHS SWEET DOUGH-SODEXO</v>
      </c>
      <c r="C19146" t="s">
        <v>137</v>
      </c>
      <c r="D19146" s="1" t="str">
        <f t="shared" si="516"/>
        <v>PRG-1046879</v>
      </c>
      <c r="E19146" t="s">
        <v>306</v>
      </c>
      <c r="F19146" t="s">
        <v>4</v>
      </c>
      <c r="G19146" t="str">
        <f>""</f>
        <v/>
      </c>
    </row>
    <row r="19147" spans="1:7" x14ac:dyDescent="0.25">
      <c r="A19147" t="s">
        <v>8</v>
      </c>
      <c r="B19147" s="1" t="str">
        <f>"000086220 - RICHS SWEET DOUGH-SODEXO"</f>
        <v>000086220 - RICHS SWEET DOUGH-SODEXO</v>
      </c>
      <c r="C19147" t="s">
        <v>137</v>
      </c>
      <c r="D19147" s="1" t="str">
        <f t="shared" si="516"/>
        <v>PRG-1046879</v>
      </c>
      <c r="E19147" t="s">
        <v>306</v>
      </c>
      <c r="F19147" t="s">
        <v>4</v>
      </c>
      <c r="G19147" t="str">
        <f>""</f>
        <v/>
      </c>
    </row>
    <row r="19148" spans="1:7" x14ac:dyDescent="0.25">
      <c r="A19148" t="s">
        <v>8</v>
      </c>
      <c r="B19148" s="1" t="str">
        <f>"000087837 - RICHS SWEET DOUGH-SODEXO"</f>
        <v>000087837 - RICHS SWEET DOUGH-SODEXO</v>
      </c>
      <c r="C19148" t="s">
        <v>137</v>
      </c>
      <c r="D19148" s="1" t="str">
        <f t="shared" si="516"/>
        <v>PRG-1046879</v>
      </c>
      <c r="E19148" t="s">
        <v>306</v>
      </c>
      <c r="F19148" t="s">
        <v>4</v>
      </c>
      <c r="G19148" t="str">
        <f>""</f>
        <v/>
      </c>
    </row>
    <row r="19149" spans="1:7" x14ac:dyDescent="0.25">
      <c r="A19149" t="s">
        <v>8</v>
      </c>
      <c r="B19149" s="1" t="str">
        <f>"000089903 - RICHS SWEET DOUGH-SODEXO"</f>
        <v>000089903 - RICHS SWEET DOUGH-SODEXO</v>
      </c>
      <c r="C19149" t="s">
        <v>137</v>
      </c>
      <c r="D19149" s="1" t="str">
        <f t="shared" si="516"/>
        <v>PRG-1046879</v>
      </c>
      <c r="E19149" t="s">
        <v>306</v>
      </c>
      <c r="F19149" t="s">
        <v>4</v>
      </c>
      <c r="G19149" t="str">
        <f>""</f>
        <v/>
      </c>
    </row>
    <row r="19150" spans="1:7" x14ac:dyDescent="0.25">
      <c r="A19150" t="s">
        <v>8</v>
      </c>
      <c r="B19150" s="1" t="str">
        <f>"000092672 - RICHS SWEET DOUGH-SODEXO"</f>
        <v>000092672 - RICHS SWEET DOUGH-SODEXO</v>
      </c>
      <c r="C19150" t="s">
        <v>137</v>
      </c>
      <c r="D19150" s="1" t="str">
        <f t="shared" si="516"/>
        <v>PRG-1046879</v>
      </c>
      <c r="E19150" t="s">
        <v>306</v>
      </c>
      <c r="F19150" t="s">
        <v>4</v>
      </c>
      <c r="G19150" t="str">
        <f>""</f>
        <v/>
      </c>
    </row>
    <row r="19151" spans="1:7" x14ac:dyDescent="0.25">
      <c r="A19151" t="s">
        <v>8</v>
      </c>
      <c r="B19151" s="1" t="str">
        <f>"000141499 - RICHS SWEET DOUGH-SODEXO"</f>
        <v>000141499 - RICHS SWEET DOUGH-SODEXO</v>
      </c>
      <c r="C19151" t="s">
        <v>137</v>
      </c>
      <c r="D19151" s="1" t="str">
        <f t="shared" si="516"/>
        <v>PRG-1046879</v>
      </c>
      <c r="E19151" t="s">
        <v>306</v>
      </c>
      <c r="F19151" t="s">
        <v>4</v>
      </c>
      <c r="G19151" t="str">
        <f>""</f>
        <v/>
      </c>
    </row>
    <row r="19152" spans="1:7" x14ac:dyDescent="0.25">
      <c r="A19152" t="s">
        <v>8</v>
      </c>
      <c r="B19152" s="1" t="str">
        <f>"000142995 - RICHS SWEET DOUGH-SODEXO"</f>
        <v>000142995 - RICHS SWEET DOUGH-SODEXO</v>
      </c>
      <c r="C19152" t="s">
        <v>137</v>
      </c>
      <c r="D19152" s="1" t="str">
        <f t="shared" si="516"/>
        <v>PRG-1046879</v>
      </c>
      <c r="E19152" t="s">
        <v>306</v>
      </c>
      <c r="F19152" t="s">
        <v>4</v>
      </c>
      <c r="G19152" t="str">
        <f>""</f>
        <v/>
      </c>
    </row>
    <row r="19153" spans="1:7" x14ac:dyDescent="0.25">
      <c r="A19153" t="s">
        <v>8</v>
      </c>
      <c r="B19153" s="1" t="str">
        <f>"000144849 - RICHS SWEET DOUGH-SODEXO"</f>
        <v>000144849 - RICHS SWEET DOUGH-SODEXO</v>
      </c>
      <c r="C19153" t="s">
        <v>137</v>
      </c>
      <c r="D19153" s="1" t="str">
        <f t="shared" si="516"/>
        <v>PRG-1046879</v>
      </c>
      <c r="E19153" t="s">
        <v>306</v>
      </c>
      <c r="F19153" t="s">
        <v>4</v>
      </c>
      <c r="G19153" t="str">
        <f>""</f>
        <v/>
      </c>
    </row>
    <row r="19154" spans="1:7" x14ac:dyDescent="0.25">
      <c r="A19154" t="s">
        <v>8</v>
      </c>
      <c r="B19154" s="1" t="str">
        <f>"000150873 - RICHS SWEET DOUGH-SODEXO"</f>
        <v>000150873 - RICHS SWEET DOUGH-SODEXO</v>
      </c>
      <c r="C19154" t="s">
        <v>137</v>
      </c>
      <c r="D19154" s="1" t="str">
        <f t="shared" si="516"/>
        <v>PRG-1046879</v>
      </c>
      <c r="E19154" t="s">
        <v>306</v>
      </c>
      <c r="F19154" t="s">
        <v>4</v>
      </c>
      <c r="G19154" t="str">
        <f>""</f>
        <v/>
      </c>
    </row>
    <row r="19155" spans="1:7" x14ac:dyDescent="0.25">
      <c r="A19155" t="s">
        <v>8</v>
      </c>
      <c r="B19155" s="1" t="str">
        <f>"000151869 - RICHS SWEET DOUGH-SODEXO"</f>
        <v>000151869 - RICHS SWEET DOUGH-SODEXO</v>
      </c>
      <c r="C19155" t="s">
        <v>137</v>
      </c>
      <c r="D19155" s="1" t="str">
        <f t="shared" si="516"/>
        <v>PRG-1046879</v>
      </c>
      <c r="E19155" t="s">
        <v>306</v>
      </c>
      <c r="F19155" t="s">
        <v>4</v>
      </c>
      <c r="G19155" t="str">
        <f>""</f>
        <v/>
      </c>
    </row>
    <row r="19156" spans="1:7" x14ac:dyDescent="0.25">
      <c r="A19156" t="s">
        <v>8</v>
      </c>
      <c r="B19156" s="1" t="str">
        <f>"000160098 - RICHS SWEET DOUGH-SODEXO"</f>
        <v>000160098 - RICHS SWEET DOUGH-SODEXO</v>
      </c>
      <c r="C19156" t="s">
        <v>137</v>
      </c>
      <c r="D19156" s="1" t="str">
        <f t="shared" si="516"/>
        <v>PRG-1046879</v>
      </c>
      <c r="E19156" t="s">
        <v>306</v>
      </c>
      <c r="F19156" t="s">
        <v>4</v>
      </c>
      <c r="G19156" t="str">
        <f>""</f>
        <v/>
      </c>
    </row>
    <row r="19157" spans="1:7" x14ac:dyDescent="0.25">
      <c r="A19157" t="s">
        <v>8</v>
      </c>
      <c r="B19157" s="1" t="str">
        <f>"000163125 - RICHS SWEET DOUGH-SODEXO"</f>
        <v>000163125 - RICHS SWEET DOUGH-SODEXO</v>
      </c>
      <c r="C19157" t="s">
        <v>137</v>
      </c>
      <c r="D19157" s="1" t="str">
        <f t="shared" si="516"/>
        <v>PRG-1046879</v>
      </c>
      <c r="E19157" t="s">
        <v>306</v>
      </c>
      <c r="F19157" t="s">
        <v>4</v>
      </c>
      <c r="G19157" t="str">
        <f>""</f>
        <v/>
      </c>
    </row>
    <row r="19158" spans="1:7" x14ac:dyDescent="0.25">
      <c r="A19158" t="s">
        <v>8</v>
      </c>
      <c r="B19158" s="1" t="str">
        <f>"000164855 - RICHS SWEET DOUGH-SODEXO"</f>
        <v>000164855 - RICHS SWEET DOUGH-SODEXO</v>
      </c>
      <c r="C19158" t="s">
        <v>137</v>
      </c>
      <c r="D19158" s="1" t="str">
        <f t="shared" si="516"/>
        <v>PRG-1046879</v>
      </c>
      <c r="E19158" t="s">
        <v>306</v>
      </c>
      <c r="F19158" t="s">
        <v>4</v>
      </c>
      <c r="G19158" t="str">
        <f>""</f>
        <v/>
      </c>
    </row>
    <row r="19159" spans="1:7" x14ac:dyDescent="0.25">
      <c r="A19159" t="s">
        <v>8</v>
      </c>
      <c r="B19159" s="1" t="str">
        <f>"000165184 - RICHS SWEET DOUGH-SODEXO"</f>
        <v>000165184 - RICHS SWEET DOUGH-SODEXO</v>
      </c>
      <c r="C19159" t="s">
        <v>137</v>
      </c>
      <c r="D19159" s="1" t="str">
        <f t="shared" si="516"/>
        <v>PRG-1046879</v>
      </c>
      <c r="E19159" t="s">
        <v>306</v>
      </c>
      <c r="F19159" t="s">
        <v>4</v>
      </c>
      <c r="G19159" t="str">
        <f>""</f>
        <v/>
      </c>
    </row>
    <row r="19160" spans="1:7" x14ac:dyDescent="0.25">
      <c r="A19160" t="s">
        <v>8</v>
      </c>
      <c r="B19160" s="1" t="str">
        <f>"000165415 - RICHS SWEET DOUGH-SODEXO"</f>
        <v>000165415 - RICHS SWEET DOUGH-SODEXO</v>
      </c>
      <c r="C19160" t="s">
        <v>137</v>
      </c>
      <c r="D19160" s="1" t="str">
        <f t="shared" si="516"/>
        <v>PRG-1046879</v>
      </c>
      <c r="E19160" t="s">
        <v>306</v>
      </c>
      <c r="F19160" t="s">
        <v>4</v>
      </c>
      <c r="G19160" t="str">
        <f>""</f>
        <v/>
      </c>
    </row>
    <row r="19161" spans="1:7" x14ac:dyDescent="0.25">
      <c r="A19161" t="s">
        <v>8</v>
      </c>
      <c r="B19161" s="1" t="str">
        <f>"000166598 - RICHS SWEET DOUGH-SODEXO"</f>
        <v>000166598 - RICHS SWEET DOUGH-SODEXO</v>
      </c>
      <c r="C19161" t="s">
        <v>137</v>
      </c>
      <c r="D19161" s="1" t="str">
        <f t="shared" si="516"/>
        <v>PRG-1046879</v>
      </c>
      <c r="E19161" t="s">
        <v>306</v>
      </c>
      <c r="F19161" t="s">
        <v>4</v>
      </c>
      <c r="G19161" t="str">
        <f>""</f>
        <v/>
      </c>
    </row>
    <row r="19162" spans="1:7" x14ac:dyDescent="0.25">
      <c r="A19162" t="s">
        <v>8</v>
      </c>
      <c r="B19162" s="1" t="str">
        <f>"000166771 - RICHS SWEET DOUGH-SODEXO"</f>
        <v>000166771 - RICHS SWEET DOUGH-SODEXO</v>
      </c>
      <c r="C19162" t="s">
        <v>137</v>
      </c>
      <c r="D19162" s="1" t="str">
        <f t="shared" si="516"/>
        <v>PRG-1046879</v>
      </c>
      <c r="E19162" t="s">
        <v>306</v>
      </c>
      <c r="F19162" t="s">
        <v>4</v>
      </c>
      <c r="G19162" t="str">
        <f>""</f>
        <v/>
      </c>
    </row>
    <row r="19163" spans="1:7" x14ac:dyDescent="0.25">
      <c r="A19163" t="s">
        <v>8</v>
      </c>
      <c r="B19163" s="1" t="str">
        <f>"000169378 - RICHS SWEET DOUGH-SODEXO"</f>
        <v>000169378 - RICHS SWEET DOUGH-SODEXO</v>
      </c>
      <c r="C19163" t="s">
        <v>137</v>
      </c>
      <c r="D19163" s="1" t="str">
        <f t="shared" si="516"/>
        <v>PRG-1046879</v>
      </c>
      <c r="E19163" t="s">
        <v>306</v>
      </c>
      <c r="F19163" t="s">
        <v>4</v>
      </c>
      <c r="G19163" t="str">
        <f>""</f>
        <v/>
      </c>
    </row>
    <row r="19164" spans="1:7" x14ac:dyDescent="0.25">
      <c r="A19164" t="s">
        <v>8</v>
      </c>
      <c r="B19164" s="1" t="str">
        <f>"000171710 - RICHS SWEET DOUGH-SODEXO"</f>
        <v>000171710 - RICHS SWEET DOUGH-SODEXO</v>
      </c>
      <c r="C19164" t="s">
        <v>137</v>
      </c>
      <c r="D19164" s="1" t="str">
        <f t="shared" si="516"/>
        <v>PRG-1046879</v>
      </c>
      <c r="E19164" t="s">
        <v>306</v>
      </c>
      <c r="F19164" t="s">
        <v>4</v>
      </c>
      <c r="G19164" t="str">
        <f>""</f>
        <v/>
      </c>
    </row>
    <row r="19165" spans="1:7" x14ac:dyDescent="0.25">
      <c r="A19165" t="s">
        <v>8</v>
      </c>
      <c r="B19165" s="1" t="str">
        <f>"000171938 - RICHS SWEET DOUGH-SODEXO"</f>
        <v>000171938 - RICHS SWEET DOUGH-SODEXO</v>
      </c>
      <c r="C19165" t="s">
        <v>137</v>
      </c>
      <c r="D19165" s="1" t="str">
        <f t="shared" si="516"/>
        <v>PRG-1046879</v>
      </c>
      <c r="E19165" t="s">
        <v>306</v>
      </c>
      <c r="F19165" t="s">
        <v>4</v>
      </c>
      <c r="G19165" t="str">
        <f>""</f>
        <v/>
      </c>
    </row>
    <row r="19166" spans="1:7" x14ac:dyDescent="0.25">
      <c r="A19166" t="s">
        <v>8</v>
      </c>
      <c r="B19166" s="1" t="str">
        <f>"000172013 - RICHS SWEET DOUGH-SODEXO"</f>
        <v>000172013 - RICHS SWEET DOUGH-SODEXO</v>
      </c>
      <c r="C19166" t="s">
        <v>137</v>
      </c>
      <c r="D19166" s="1" t="str">
        <f t="shared" si="516"/>
        <v>PRG-1046879</v>
      </c>
      <c r="E19166" t="s">
        <v>306</v>
      </c>
      <c r="F19166" t="s">
        <v>4</v>
      </c>
      <c r="G19166" t="str">
        <f>""</f>
        <v/>
      </c>
    </row>
    <row r="19167" spans="1:7" x14ac:dyDescent="0.25">
      <c r="A19167" t="s">
        <v>8</v>
      </c>
      <c r="B19167" s="1" t="str">
        <f>"000173464 - RICHS SWEET DOUGH-SODEXO"</f>
        <v>000173464 - RICHS SWEET DOUGH-SODEXO</v>
      </c>
      <c r="C19167" t="s">
        <v>137</v>
      </c>
      <c r="D19167" s="1" t="str">
        <f t="shared" si="516"/>
        <v>PRG-1046879</v>
      </c>
      <c r="E19167" t="s">
        <v>306</v>
      </c>
      <c r="F19167" t="s">
        <v>4</v>
      </c>
      <c r="G19167" t="str">
        <f>""</f>
        <v/>
      </c>
    </row>
    <row r="19168" spans="1:7" x14ac:dyDescent="0.25">
      <c r="A19168" t="s">
        <v>8</v>
      </c>
      <c r="B19168" s="1" t="str">
        <f>"000173983 - RICHS SWEET DOUGH-SODEXO"</f>
        <v>000173983 - RICHS SWEET DOUGH-SODEXO</v>
      </c>
      <c r="C19168" t="s">
        <v>137</v>
      </c>
      <c r="D19168" s="1" t="str">
        <f t="shared" si="516"/>
        <v>PRG-1046879</v>
      </c>
      <c r="E19168" t="s">
        <v>306</v>
      </c>
      <c r="F19168" t="s">
        <v>4</v>
      </c>
      <c r="G19168" t="str">
        <f>""</f>
        <v/>
      </c>
    </row>
    <row r="19169" spans="1:7" x14ac:dyDescent="0.25">
      <c r="A19169" t="s">
        <v>8</v>
      </c>
      <c r="B19169" s="1" t="str">
        <f>"000177537 - RICHS SWEET DOUGH-SODEXO"</f>
        <v>000177537 - RICHS SWEET DOUGH-SODEXO</v>
      </c>
      <c r="C19169" t="s">
        <v>137</v>
      </c>
      <c r="D19169" s="1" t="str">
        <f t="shared" si="516"/>
        <v>PRG-1046879</v>
      </c>
      <c r="E19169" t="s">
        <v>306</v>
      </c>
      <c r="F19169" t="s">
        <v>4</v>
      </c>
      <c r="G19169" t="str">
        <f>""</f>
        <v/>
      </c>
    </row>
    <row r="19170" spans="1:7" x14ac:dyDescent="0.25">
      <c r="A19170" t="s">
        <v>8</v>
      </c>
      <c r="B19170" s="1" t="str">
        <f>"000178997 - RICHS SWEET DOUGH-SODEXO"</f>
        <v>000178997 - RICHS SWEET DOUGH-SODEXO</v>
      </c>
      <c r="C19170" t="s">
        <v>137</v>
      </c>
      <c r="D19170" s="1" t="str">
        <f t="shared" si="516"/>
        <v>PRG-1046879</v>
      </c>
      <c r="E19170" t="s">
        <v>306</v>
      </c>
      <c r="F19170" t="s">
        <v>4</v>
      </c>
      <c r="G19170" t="str">
        <f>""</f>
        <v/>
      </c>
    </row>
    <row r="19171" spans="1:7" x14ac:dyDescent="0.25">
      <c r="A19171" t="s">
        <v>8</v>
      </c>
      <c r="B19171" s="1" t="str">
        <f>"000182344 - RICHS SWEET DOUGH-SODEXO"</f>
        <v>000182344 - RICHS SWEET DOUGH-SODEXO</v>
      </c>
      <c r="C19171" t="s">
        <v>137</v>
      </c>
      <c r="D19171" s="1" t="str">
        <f t="shared" si="516"/>
        <v>PRG-1046879</v>
      </c>
      <c r="E19171" t="s">
        <v>306</v>
      </c>
      <c r="F19171" t="s">
        <v>4</v>
      </c>
      <c r="G19171" t="str">
        <f>""</f>
        <v/>
      </c>
    </row>
    <row r="19172" spans="1:7" x14ac:dyDescent="0.25">
      <c r="A19172" t="s">
        <v>8</v>
      </c>
      <c r="B19172" s="1" t="str">
        <f>"000190653 - RICHS SWEET DOUGH-SODEXO"</f>
        <v>000190653 - RICHS SWEET DOUGH-SODEXO</v>
      </c>
      <c r="C19172" t="s">
        <v>137</v>
      </c>
      <c r="D19172" s="1" t="str">
        <f t="shared" si="516"/>
        <v>PRG-1046879</v>
      </c>
      <c r="E19172" t="s">
        <v>306</v>
      </c>
      <c r="F19172" t="s">
        <v>4</v>
      </c>
      <c r="G19172" t="str">
        <f>""</f>
        <v/>
      </c>
    </row>
    <row r="19173" spans="1:7" x14ac:dyDescent="0.25">
      <c r="A19173" t="s">
        <v>8</v>
      </c>
      <c r="B19173" s="1" t="str">
        <f>"000192307 - RICHS SWEET DOUGH-SODEXO"</f>
        <v>000192307 - RICHS SWEET DOUGH-SODEXO</v>
      </c>
      <c r="C19173" t="s">
        <v>137</v>
      </c>
      <c r="D19173" s="1" t="str">
        <f t="shared" si="516"/>
        <v>PRG-1046879</v>
      </c>
      <c r="E19173" t="s">
        <v>306</v>
      </c>
      <c r="F19173" t="s">
        <v>4</v>
      </c>
      <c r="G19173" t="str">
        <f>""</f>
        <v/>
      </c>
    </row>
    <row r="19174" spans="1:7" x14ac:dyDescent="0.25">
      <c r="A19174" t="s">
        <v>8</v>
      </c>
      <c r="B19174" s="1" t="str">
        <f>"000194058 - RICHS SWEET DOUGH-SODEXO"</f>
        <v>000194058 - RICHS SWEET DOUGH-SODEXO</v>
      </c>
      <c r="C19174" t="s">
        <v>137</v>
      </c>
      <c r="D19174" s="1" t="str">
        <f t="shared" si="516"/>
        <v>PRG-1046879</v>
      </c>
      <c r="E19174" t="s">
        <v>306</v>
      </c>
      <c r="F19174" t="s">
        <v>4</v>
      </c>
      <c r="G19174" t="str">
        <f>""</f>
        <v/>
      </c>
    </row>
    <row r="19175" spans="1:7" x14ac:dyDescent="0.25">
      <c r="A19175" t="s">
        <v>8</v>
      </c>
      <c r="B19175" s="1" t="str">
        <f>"000209055 - RICHS SWEET DOUGH-SODEXO"</f>
        <v>000209055 - RICHS SWEET DOUGH-SODEXO</v>
      </c>
      <c r="C19175" t="s">
        <v>137</v>
      </c>
      <c r="D19175" s="1" t="str">
        <f t="shared" si="516"/>
        <v>PRG-1046879</v>
      </c>
      <c r="E19175" t="s">
        <v>306</v>
      </c>
      <c r="F19175" t="s">
        <v>4</v>
      </c>
      <c r="G19175" t="str">
        <f>""</f>
        <v/>
      </c>
    </row>
    <row r="19176" spans="1:7" x14ac:dyDescent="0.25">
      <c r="A19176" t="s">
        <v>8</v>
      </c>
      <c r="B19176" s="1" t="str">
        <f>"000209848 - RICHS SWEET DOUGH-SODEXO"</f>
        <v>000209848 - RICHS SWEET DOUGH-SODEXO</v>
      </c>
      <c r="C19176" t="s">
        <v>137</v>
      </c>
      <c r="D19176" s="1" t="str">
        <f t="shared" ref="D19176:D19239" si="517">"PRG-1046879"</f>
        <v>PRG-1046879</v>
      </c>
      <c r="E19176" t="s">
        <v>306</v>
      </c>
      <c r="F19176" t="s">
        <v>4</v>
      </c>
      <c r="G19176" t="str">
        <f>""</f>
        <v/>
      </c>
    </row>
    <row r="19177" spans="1:7" x14ac:dyDescent="0.25">
      <c r="A19177" t="s">
        <v>8</v>
      </c>
      <c r="B19177" s="1" t="str">
        <f>"000209985 - RICHS SWEET DOUGH-SODEXO"</f>
        <v>000209985 - RICHS SWEET DOUGH-SODEXO</v>
      </c>
      <c r="C19177" t="s">
        <v>137</v>
      </c>
      <c r="D19177" s="1" t="str">
        <f t="shared" si="517"/>
        <v>PRG-1046879</v>
      </c>
      <c r="E19177" t="s">
        <v>306</v>
      </c>
      <c r="F19177" t="s">
        <v>4</v>
      </c>
      <c r="G19177" t="str">
        <f>""</f>
        <v/>
      </c>
    </row>
    <row r="19178" spans="1:7" x14ac:dyDescent="0.25">
      <c r="A19178" t="s">
        <v>8</v>
      </c>
      <c r="B19178" s="1" t="str">
        <f>"000210937 - RICHS SWEET DOUGH-SODEXO"</f>
        <v>000210937 - RICHS SWEET DOUGH-SODEXO</v>
      </c>
      <c r="C19178" t="s">
        <v>137</v>
      </c>
      <c r="D19178" s="1" t="str">
        <f t="shared" si="517"/>
        <v>PRG-1046879</v>
      </c>
      <c r="E19178" t="s">
        <v>306</v>
      </c>
      <c r="F19178" t="s">
        <v>4</v>
      </c>
      <c r="G19178" t="str">
        <f>""</f>
        <v/>
      </c>
    </row>
    <row r="19179" spans="1:7" x14ac:dyDescent="0.25">
      <c r="A19179" t="s">
        <v>8</v>
      </c>
      <c r="B19179" s="1" t="str">
        <f>"000212342 - RICHS SWEET DOUGH-SODEXO"</f>
        <v>000212342 - RICHS SWEET DOUGH-SODEXO</v>
      </c>
      <c r="C19179" t="s">
        <v>137</v>
      </c>
      <c r="D19179" s="1" t="str">
        <f t="shared" si="517"/>
        <v>PRG-1046879</v>
      </c>
      <c r="E19179" t="s">
        <v>306</v>
      </c>
      <c r="F19179" t="s">
        <v>4</v>
      </c>
      <c r="G19179" t="str">
        <f>""</f>
        <v/>
      </c>
    </row>
    <row r="19180" spans="1:7" x14ac:dyDescent="0.25">
      <c r="A19180" t="s">
        <v>8</v>
      </c>
      <c r="B19180" s="1" t="str">
        <f>"000217180 - RICHS SWEET DOUGH-SODEXO"</f>
        <v>000217180 - RICHS SWEET DOUGH-SODEXO</v>
      </c>
      <c r="C19180" t="s">
        <v>137</v>
      </c>
      <c r="D19180" s="1" t="str">
        <f t="shared" si="517"/>
        <v>PRG-1046879</v>
      </c>
      <c r="E19180" t="s">
        <v>306</v>
      </c>
      <c r="F19180" t="s">
        <v>4</v>
      </c>
      <c r="G19180" t="str">
        <f>""</f>
        <v/>
      </c>
    </row>
    <row r="19181" spans="1:7" x14ac:dyDescent="0.25">
      <c r="A19181" t="s">
        <v>8</v>
      </c>
      <c r="B19181" s="1" t="str">
        <f>"000226049 - RICHS SWEET DOUGH-SODEXO"</f>
        <v>000226049 - RICHS SWEET DOUGH-SODEXO</v>
      </c>
      <c r="C19181" t="s">
        <v>137</v>
      </c>
      <c r="D19181" s="1" t="str">
        <f t="shared" si="517"/>
        <v>PRG-1046879</v>
      </c>
      <c r="E19181" t="s">
        <v>306</v>
      </c>
      <c r="F19181" t="s">
        <v>4</v>
      </c>
      <c r="G19181" t="str">
        <f>""</f>
        <v/>
      </c>
    </row>
    <row r="19182" spans="1:7" x14ac:dyDescent="0.25">
      <c r="A19182" t="s">
        <v>8</v>
      </c>
      <c r="B19182" s="1" t="str">
        <f>"000233538 - RICHS SWEET DOUGH-SODEXO"</f>
        <v>000233538 - RICHS SWEET DOUGH-SODEXO</v>
      </c>
      <c r="C19182" t="s">
        <v>137</v>
      </c>
      <c r="D19182" s="1" t="str">
        <f t="shared" si="517"/>
        <v>PRG-1046879</v>
      </c>
      <c r="E19182" t="s">
        <v>306</v>
      </c>
      <c r="F19182" t="s">
        <v>4</v>
      </c>
      <c r="G19182" t="str">
        <f>""</f>
        <v/>
      </c>
    </row>
    <row r="19183" spans="1:7" x14ac:dyDescent="0.25">
      <c r="A19183" t="s">
        <v>8</v>
      </c>
      <c r="B19183" s="1" t="str">
        <f>"000235619 - RICHS SWEET DOUGH-SODEXO"</f>
        <v>000235619 - RICHS SWEET DOUGH-SODEXO</v>
      </c>
      <c r="C19183" t="s">
        <v>137</v>
      </c>
      <c r="D19183" s="1" t="str">
        <f t="shared" si="517"/>
        <v>PRG-1046879</v>
      </c>
      <c r="E19183" t="s">
        <v>306</v>
      </c>
      <c r="F19183" t="s">
        <v>4</v>
      </c>
      <c r="G19183" t="str">
        <f>""</f>
        <v/>
      </c>
    </row>
    <row r="19184" spans="1:7" x14ac:dyDescent="0.25">
      <c r="A19184" t="s">
        <v>8</v>
      </c>
      <c r="B19184" s="1" t="str">
        <f>"000237712 - RICHS SWEET DOUGH-SODEXO"</f>
        <v>000237712 - RICHS SWEET DOUGH-SODEXO</v>
      </c>
      <c r="C19184" t="s">
        <v>137</v>
      </c>
      <c r="D19184" s="1" t="str">
        <f t="shared" si="517"/>
        <v>PRG-1046879</v>
      </c>
      <c r="E19184" t="s">
        <v>306</v>
      </c>
      <c r="F19184" t="s">
        <v>4</v>
      </c>
      <c r="G19184" t="str">
        <f>""</f>
        <v/>
      </c>
    </row>
    <row r="19185" spans="1:7" x14ac:dyDescent="0.25">
      <c r="A19185" t="s">
        <v>8</v>
      </c>
      <c r="B19185" s="1" t="str">
        <f>"000239527 - RICHS SWEET DOUGH-SODEXO"</f>
        <v>000239527 - RICHS SWEET DOUGH-SODEXO</v>
      </c>
      <c r="C19185" t="s">
        <v>137</v>
      </c>
      <c r="D19185" s="1" t="str">
        <f t="shared" si="517"/>
        <v>PRG-1046879</v>
      </c>
      <c r="E19185" t="s">
        <v>306</v>
      </c>
      <c r="F19185" t="s">
        <v>4</v>
      </c>
      <c r="G19185" t="str">
        <f>""</f>
        <v/>
      </c>
    </row>
    <row r="19186" spans="1:7" x14ac:dyDescent="0.25">
      <c r="A19186" t="s">
        <v>8</v>
      </c>
      <c r="B19186" s="1" t="str">
        <f>"000239923 - RICHS SWEET DOUGH-SODEXO"</f>
        <v>000239923 - RICHS SWEET DOUGH-SODEXO</v>
      </c>
      <c r="C19186" t="s">
        <v>137</v>
      </c>
      <c r="D19186" s="1" t="str">
        <f t="shared" si="517"/>
        <v>PRG-1046879</v>
      </c>
      <c r="E19186" t="s">
        <v>306</v>
      </c>
      <c r="F19186" t="s">
        <v>4</v>
      </c>
      <c r="G19186" t="str">
        <f>""</f>
        <v/>
      </c>
    </row>
    <row r="19187" spans="1:7" x14ac:dyDescent="0.25">
      <c r="A19187" t="s">
        <v>8</v>
      </c>
      <c r="B19187" s="1" t="str">
        <f>"000241651 - RICHS SWEET DOUGH-SODEXO"</f>
        <v>000241651 - RICHS SWEET DOUGH-SODEXO</v>
      </c>
      <c r="C19187" t="s">
        <v>137</v>
      </c>
      <c r="D19187" s="1" t="str">
        <f t="shared" si="517"/>
        <v>PRG-1046879</v>
      </c>
      <c r="E19187" t="s">
        <v>306</v>
      </c>
      <c r="F19187" t="s">
        <v>4</v>
      </c>
      <c r="G19187" t="str">
        <f>""</f>
        <v/>
      </c>
    </row>
    <row r="19188" spans="1:7" x14ac:dyDescent="0.25">
      <c r="A19188" t="s">
        <v>8</v>
      </c>
      <c r="B19188" s="1" t="str">
        <f>"000241810 - RICHS SWEET DOUGH-SODEXO"</f>
        <v>000241810 - RICHS SWEET DOUGH-SODEXO</v>
      </c>
      <c r="C19188" t="s">
        <v>137</v>
      </c>
      <c r="D19188" s="1" t="str">
        <f t="shared" si="517"/>
        <v>PRG-1046879</v>
      </c>
      <c r="E19188" t="s">
        <v>306</v>
      </c>
      <c r="F19188" t="s">
        <v>4</v>
      </c>
      <c r="G19188" t="str">
        <f>""</f>
        <v/>
      </c>
    </row>
    <row r="19189" spans="1:7" x14ac:dyDescent="0.25">
      <c r="A19189" t="s">
        <v>8</v>
      </c>
      <c r="B19189" s="1" t="str">
        <f>"000243028 - RICHS SWEET DOUGH-SODEXO"</f>
        <v>000243028 - RICHS SWEET DOUGH-SODEXO</v>
      </c>
      <c r="C19189" t="s">
        <v>137</v>
      </c>
      <c r="D19189" s="1" t="str">
        <f t="shared" si="517"/>
        <v>PRG-1046879</v>
      </c>
      <c r="E19189" t="s">
        <v>306</v>
      </c>
      <c r="F19189" t="s">
        <v>4</v>
      </c>
      <c r="G19189" t="str">
        <f>""</f>
        <v/>
      </c>
    </row>
    <row r="19190" spans="1:7" x14ac:dyDescent="0.25">
      <c r="A19190" t="s">
        <v>8</v>
      </c>
      <c r="B19190" s="1" t="str">
        <f>"000245084 - RICHS SWEET DOUGH-SODEXO"</f>
        <v>000245084 - RICHS SWEET DOUGH-SODEXO</v>
      </c>
      <c r="C19190" t="s">
        <v>137</v>
      </c>
      <c r="D19190" s="1" t="str">
        <f t="shared" si="517"/>
        <v>PRG-1046879</v>
      </c>
      <c r="E19190" t="s">
        <v>306</v>
      </c>
      <c r="F19190" t="s">
        <v>4</v>
      </c>
      <c r="G19190" t="str">
        <f>""</f>
        <v/>
      </c>
    </row>
    <row r="19191" spans="1:7" x14ac:dyDescent="0.25">
      <c r="A19191" t="s">
        <v>8</v>
      </c>
      <c r="B19191" s="1" t="str">
        <f>"000245923 - RICHS SWEET DOUGH-SODEXO"</f>
        <v>000245923 - RICHS SWEET DOUGH-SODEXO</v>
      </c>
      <c r="C19191" t="s">
        <v>137</v>
      </c>
      <c r="D19191" s="1" t="str">
        <f t="shared" si="517"/>
        <v>PRG-1046879</v>
      </c>
      <c r="E19191" t="s">
        <v>306</v>
      </c>
      <c r="F19191" t="s">
        <v>4</v>
      </c>
      <c r="G19191" t="str">
        <f>""</f>
        <v/>
      </c>
    </row>
    <row r="19192" spans="1:7" x14ac:dyDescent="0.25">
      <c r="A19192" t="s">
        <v>8</v>
      </c>
      <c r="B19192" s="1" t="str">
        <f>"000246011 - RICHS SWEET DOUGH-SODEXO"</f>
        <v>000246011 - RICHS SWEET DOUGH-SODEXO</v>
      </c>
      <c r="C19192" t="s">
        <v>137</v>
      </c>
      <c r="D19192" s="1" t="str">
        <f t="shared" si="517"/>
        <v>PRG-1046879</v>
      </c>
      <c r="E19192" t="s">
        <v>306</v>
      </c>
      <c r="F19192" t="s">
        <v>4</v>
      </c>
      <c r="G19192" t="str">
        <f>""</f>
        <v/>
      </c>
    </row>
    <row r="19193" spans="1:7" x14ac:dyDescent="0.25">
      <c r="A19193" t="s">
        <v>8</v>
      </c>
      <c r="B19193" s="1" t="str">
        <f>"000247297 - RICHS SWEET DOUGH-SODEXO"</f>
        <v>000247297 - RICHS SWEET DOUGH-SODEXO</v>
      </c>
      <c r="C19193" t="s">
        <v>137</v>
      </c>
      <c r="D19193" s="1" t="str">
        <f t="shared" si="517"/>
        <v>PRG-1046879</v>
      </c>
      <c r="E19193" t="s">
        <v>306</v>
      </c>
      <c r="F19193" t="s">
        <v>4</v>
      </c>
      <c r="G19193" t="str">
        <f>""</f>
        <v/>
      </c>
    </row>
    <row r="19194" spans="1:7" x14ac:dyDescent="0.25">
      <c r="A19194" t="s">
        <v>8</v>
      </c>
      <c r="B19194" s="1" t="str">
        <f>"000248893 - RICHS SWEET DOUGH-SODEXO"</f>
        <v>000248893 - RICHS SWEET DOUGH-SODEXO</v>
      </c>
      <c r="C19194" t="s">
        <v>137</v>
      </c>
      <c r="D19194" s="1" t="str">
        <f t="shared" si="517"/>
        <v>PRG-1046879</v>
      </c>
      <c r="E19194" t="s">
        <v>306</v>
      </c>
      <c r="F19194" t="s">
        <v>4</v>
      </c>
      <c r="G19194" t="str">
        <f>""</f>
        <v/>
      </c>
    </row>
    <row r="19195" spans="1:7" x14ac:dyDescent="0.25">
      <c r="A19195" t="s">
        <v>8</v>
      </c>
      <c r="B19195" s="1" t="str">
        <f>"000252375 - RICHS SWEET DOUGH-SODEXO"</f>
        <v>000252375 - RICHS SWEET DOUGH-SODEXO</v>
      </c>
      <c r="C19195" t="s">
        <v>137</v>
      </c>
      <c r="D19195" s="1" t="str">
        <f t="shared" si="517"/>
        <v>PRG-1046879</v>
      </c>
      <c r="E19195" t="s">
        <v>306</v>
      </c>
      <c r="F19195" t="s">
        <v>4</v>
      </c>
      <c r="G19195" t="str">
        <f>""</f>
        <v/>
      </c>
    </row>
    <row r="19196" spans="1:7" x14ac:dyDescent="0.25">
      <c r="A19196" t="s">
        <v>8</v>
      </c>
      <c r="B19196" s="1" t="str">
        <f>"000254710 - RICHS SWEET DOUGH-SODEXO"</f>
        <v>000254710 - RICHS SWEET DOUGH-SODEXO</v>
      </c>
      <c r="C19196" t="s">
        <v>137</v>
      </c>
      <c r="D19196" s="1" t="str">
        <f t="shared" si="517"/>
        <v>PRG-1046879</v>
      </c>
      <c r="E19196" t="s">
        <v>306</v>
      </c>
      <c r="F19196" t="s">
        <v>4</v>
      </c>
      <c r="G19196" t="str">
        <f>""</f>
        <v/>
      </c>
    </row>
    <row r="19197" spans="1:7" x14ac:dyDescent="0.25">
      <c r="A19197" t="s">
        <v>8</v>
      </c>
      <c r="B19197" s="1" t="str">
        <f>"000255021 - RICHS SWEET DOUGH-SODEXO"</f>
        <v>000255021 - RICHS SWEET DOUGH-SODEXO</v>
      </c>
      <c r="C19197" t="s">
        <v>137</v>
      </c>
      <c r="D19197" s="1" t="str">
        <f t="shared" si="517"/>
        <v>PRG-1046879</v>
      </c>
      <c r="E19197" t="s">
        <v>306</v>
      </c>
      <c r="F19197" t="s">
        <v>4</v>
      </c>
      <c r="G19197" t="str">
        <f>""</f>
        <v/>
      </c>
    </row>
    <row r="19198" spans="1:7" x14ac:dyDescent="0.25">
      <c r="A19198" t="s">
        <v>8</v>
      </c>
      <c r="B19198" s="1" t="str">
        <f>"000257560 - RICHS SWEET DOUGH-SODEXO"</f>
        <v>000257560 - RICHS SWEET DOUGH-SODEXO</v>
      </c>
      <c r="C19198" t="s">
        <v>137</v>
      </c>
      <c r="D19198" s="1" t="str">
        <f t="shared" si="517"/>
        <v>PRG-1046879</v>
      </c>
      <c r="E19198" t="s">
        <v>306</v>
      </c>
      <c r="F19198" t="s">
        <v>4</v>
      </c>
      <c r="G19198" t="str">
        <f>""</f>
        <v/>
      </c>
    </row>
    <row r="19199" spans="1:7" x14ac:dyDescent="0.25">
      <c r="A19199" t="s">
        <v>8</v>
      </c>
      <c r="B19199" s="1" t="str">
        <f>"000257738 - RICHS SWEET DOUGH-SODEXO"</f>
        <v>000257738 - RICHS SWEET DOUGH-SODEXO</v>
      </c>
      <c r="C19199" t="s">
        <v>137</v>
      </c>
      <c r="D19199" s="1" t="str">
        <f t="shared" si="517"/>
        <v>PRG-1046879</v>
      </c>
      <c r="E19199" t="s">
        <v>306</v>
      </c>
      <c r="F19199" t="s">
        <v>4</v>
      </c>
      <c r="G19199" t="str">
        <f>""</f>
        <v/>
      </c>
    </row>
    <row r="19200" spans="1:7" x14ac:dyDescent="0.25">
      <c r="A19200" t="s">
        <v>8</v>
      </c>
      <c r="B19200" s="1" t="str">
        <f>"000262749 - RICHS SWEET DOUGH-SODEXO"</f>
        <v>000262749 - RICHS SWEET DOUGH-SODEXO</v>
      </c>
      <c r="C19200" t="s">
        <v>137</v>
      </c>
      <c r="D19200" s="1" t="str">
        <f t="shared" si="517"/>
        <v>PRG-1046879</v>
      </c>
      <c r="E19200" t="s">
        <v>306</v>
      </c>
      <c r="F19200" t="s">
        <v>4</v>
      </c>
      <c r="G19200" t="str">
        <f>""</f>
        <v/>
      </c>
    </row>
    <row r="19201" spans="1:7" x14ac:dyDescent="0.25">
      <c r="A19201" t="s">
        <v>8</v>
      </c>
      <c r="B19201" s="1" t="str">
        <f>"000263237 - RICHS SWEET DOUGH-SODEXO"</f>
        <v>000263237 - RICHS SWEET DOUGH-SODEXO</v>
      </c>
      <c r="C19201" t="s">
        <v>137</v>
      </c>
      <c r="D19201" s="1" t="str">
        <f t="shared" si="517"/>
        <v>PRG-1046879</v>
      </c>
      <c r="E19201" t="s">
        <v>306</v>
      </c>
      <c r="F19201" t="s">
        <v>4</v>
      </c>
      <c r="G19201" t="str">
        <f>""</f>
        <v/>
      </c>
    </row>
    <row r="19202" spans="1:7" x14ac:dyDescent="0.25">
      <c r="A19202" t="s">
        <v>8</v>
      </c>
      <c r="B19202" s="1" t="str">
        <f>"000263488 - RICHS SWEET DOUGH-SODEXO"</f>
        <v>000263488 - RICHS SWEET DOUGH-SODEXO</v>
      </c>
      <c r="C19202" t="s">
        <v>137</v>
      </c>
      <c r="D19202" s="1" t="str">
        <f t="shared" si="517"/>
        <v>PRG-1046879</v>
      </c>
      <c r="E19202" t="s">
        <v>306</v>
      </c>
      <c r="F19202" t="s">
        <v>4</v>
      </c>
      <c r="G19202" t="str">
        <f>""</f>
        <v/>
      </c>
    </row>
    <row r="19203" spans="1:7" x14ac:dyDescent="0.25">
      <c r="A19203" t="s">
        <v>8</v>
      </c>
      <c r="B19203" s="1" t="str">
        <f>"000264469 - RICHS SWEET DOUGH-SODEXO"</f>
        <v>000264469 - RICHS SWEET DOUGH-SODEXO</v>
      </c>
      <c r="C19203" t="s">
        <v>137</v>
      </c>
      <c r="D19203" s="1" t="str">
        <f t="shared" si="517"/>
        <v>PRG-1046879</v>
      </c>
      <c r="E19203" t="s">
        <v>306</v>
      </c>
      <c r="F19203" t="s">
        <v>4</v>
      </c>
      <c r="G19203" t="str">
        <f>""</f>
        <v/>
      </c>
    </row>
    <row r="19204" spans="1:7" x14ac:dyDescent="0.25">
      <c r="A19204" t="s">
        <v>8</v>
      </c>
      <c r="B19204" s="1" t="str">
        <f>"000264864 - RICHS SWEET DOUGH-SODEXO"</f>
        <v>000264864 - RICHS SWEET DOUGH-SODEXO</v>
      </c>
      <c r="C19204" t="s">
        <v>137</v>
      </c>
      <c r="D19204" s="1" t="str">
        <f t="shared" si="517"/>
        <v>PRG-1046879</v>
      </c>
      <c r="E19204" t="s">
        <v>306</v>
      </c>
      <c r="F19204" t="s">
        <v>4</v>
      </c>
      <c r="G19204" t="str">
        <f>""</f>
        <v/>
      </c>
    </row>
    <row r="19205" spans="1:7" x14ac:dyDescent="0.25">
      <c r="A19205" t="s">
        <v>8</v>
      </c>
      <c r="B19205" s="1" t="str">
        <f>"000265026 - RICHS SWEET DOUGH-SODEXO"</f>
        <v>000265026 - RICHS SWEET DOUGH-SODEXO</v>
      </c>
      <c r="C19205" t="s">
        <v>137</v>
      </c>
      <c r="D19205" s="1" t="str">
        <f t="shared" si="517"/>
        <v>PRG-1046879</v>
      </c>
      <c r="E19205" t="s">
        <v>306</v>
      </c>
      <c r="F19205" t="s">
        <v>4</v>
      </c>
      <c r="G19205" t="str">
        <f>""</f>
        <v/>
      </c>
    </row>
    <row r="19206" spans="1:7" x14ac:dyDescent="0.25">
      <c r="A19206" t="s">
        <v>8</v>
      </c>
      <c r="B19206" s="1" t="str">
        <f>"000265474 - RICHS SWEET DOUGH-SODEXO"</f>
        <v>000265474 - RICHS SWEET DOUGH-SODEXO</v>
      </c>
      <c r="C19206" t="s">
        <v>137</v>
      </c>
      <c r="D19206" s="1" t="str">
        <f t="shared" si="517"/>
        <v>PRG-1046879</v>
      </c>
      <c r="E19206" t="s">
        <v>306</v>
      </c>
      <c r="F19206" t="s">
        <v>4</v>
      </c>
      <c r="G19206" t="str">
        <f>""</f>
        <v/>
      </c>
    </row>
    <row r="19207" spans="1:7" x14ac:dyDescent="0.25">
      <c r="A19207" t="s">
        <v>8</v>
      </c>
      <c r="B19207" s="1" t="str">
        <f>"000266085 - RICHS SWEET DOUGH-SODEXO"</f>
        <v>000266085 - RICHS SWEET DOUGH-SODEXO</v>
      </c>
      <c r="C19207" t="s">
        <v>137</v>
      </c>
      <c r="D19207" s="1" t="str">
        <f t="shared" si="517"/>
        <v>PRG-1046879</v>
      </c>
      <c r="E19207" t="s">
        <v>306</v>
      </c>
      <c r="F19207" t="s">
        <v>4</v>
      </c>
      <c r="G19207" t="str">
        <f>""</f>
        <v/>
      </c>
    </row>
    <row r="19208" spans="1:7" x14ac:dyDescent="0.25">
      <c r="A19208" t="s">
        <v>8</v>
      </c>
      <c r="B19208" s="1" t="str">
        <f>"000266568 - RICHS SWEET DOUGH-SODEXO"</f>
        <v>000266568 - RICHS SWEET DOUGH-SODEXO</v>
      </c>
      <c r="C19208" t="s">
        <v>137</v>
      </c>
      <c r="D19208" s="1" t="str">
        <f t="shared" si="517"/>
        <v>PRG-1046879</v>
      </c>
      <c r="E19208" t="s">
        <v>306</v>
      </c>
      <c r="F19208" t="s">
        <v>4</v>
      </c>
      <c r="G19208" t="str">
        <f>""</f>
        <v/>
      </c>
    </row>
    <row r="19209" spans="1:7" x14ac:dyDescent="0.25">
      <c r="A19209" t="s">
        <v>8</v>
      </c>
      <c r="B19209" s="1" t="str">
        <f>"000266699 - RICHS SWEET DOUGH-SODEXO"</f>
        <v>000266699 - RICHS SWEET DOUGH-SODEXO</v>
      </c>
      <c r="C19209" t="s">
        <v>137</v>
      </c>
      <c r="D19209" s="1" t="str">
        <f t="shared" si="517"/>
        <v>PRG-1046879</v>
      </c>
      <c r="E19209" t="s">
        <v>306</v>
      </c>
      <c r="F19209" t="s">
        <v>4</v>
      </c>
      <c r="G19209" t="str">
        <f>""</f>
        <v/>
      </c>
    </row>
    <row r="19210" spans="1:7" x14ac:dyDescent="0.25">
      <c r="A19210" t="s">
        <v>8</v>
      </c>
      <c r="B19210" s="1" t="str">
        <f>"000268140 - RICHS SWEET DOUGH-SODEXO"</f>
        <v>000268140 - RICHS SWEET DOUGH-SODEXO</v>
      </c>
      <c r="C19210" t="s">
        <v>137</v>
      </c>
      <c r="D19210" s="1" t="str">
        <f t="shared" si="517"/>
        <v>PRG-1046879</v>
      </c>
      <c r="E19210" t="s">
        <v>306</v>
      </c>
      <c r="F19210" t="s">
        <v>4</v>
      </c>
      <c r="G19210" t="str">
        <f>""</f>
        <v/>
      </c>
    </row>
    <row r="19211" spans="1:7" x14ac:dyDescent="0.25">
      <c r="A19211" t="s">
        <v>8</v>
      </c>
      <c r="B19211" s="1" t="str">
        <f>"000268193 - RICHS SWEET DOUGH-SODEXO"</f>
        <v>000268193 - RICHS SWEET DOUGH-SODEXO</v>
      </c>
      <c r="C19211" t="s">
        <v>137</v>
      </c>
      <c r="D19211" s="1" t="str">
        <f t="shared" si="517"/>
        <v>PRG-1046879</v>
      </c>
      <c r="E19211" t="s">
        <v>306</v>
      </c>
      <c r="F19211" t="s">
        <v>4</v>
      </c>
      <c r="G19211" t="str">
        <f>""</f>
        <v/>
      </c>
    </row>
    <row r="19212" spans="1:7" x14ac:dyDescent="0.25">
      <c r="A19212" t="s">
        <v>8</v>
      </c>
      <c r="B19212" s="1" t="str">
        <f>"000268429 - RICHS SWEET DOUGH-SODEXO"</f>
        <v>000268429 - RICHS SWEET DOUGH-SODEXO</v>
      </c>
      <c r="C19212" t="s">
        <v>137</v>
      </c>
      <c r="D19212" s="1" t="str">
        <f t="shared" si="517"/>
        <v>PRG-1046879</v>
      </c>
      <c r="E19212" t="s">
        <v>306</v>
      </c>
      <c r="F19212" t="s">
        <v>4</v>
      </c>
      <c r="G19212" t="str">
        <f>""</f>
        <v/>
      </c>
    </row>
    <row r="19213" spans="1:7" x14ac:dyDescent="0.25">
      <c r="A19213" t="s">
        <v>8</v>
      </c>
      <c r="B19213" s="1" t="str">
        <f>"000269030 - RICHS SWEET DOUGH-SODEXO"</f>
        <v>000269030 - RICHS SWEET DOUGH-SODEXO</v>
      </c>
      <c r="C19213" t="s">
        <v>137</v>
      </c>
      <c r="D19213" s="1" t="str">
        <f t="shared" si="517"/>
        <v>PRG-1046879</v>
      </c>
      <c r="E19213" t="s">
        <v>306</v>
      </c>
      <c r="F19213" t="s">
        <v>4</v>
      </c>
      <c r="G19213" t="str">
        <f>""</f>
        <v/>
      </c>
    </row>
    <row r="19214" spans="1:7" x14ac:dyDescent="0.25">
      <c r="A19214" t="s">
        <v>8</v>
      </c>
      <c r="B19214" s="1" t="str">
        <f>"000269877 - RICHS SWEET DOUGH-SODEXO"</f>
        <v>000269877 - RICHS SWEET DOUGH-SODEXO</v>
      </c>
      <c r="C19214" t="s">
        <v>137</v>
      </c>
      <c r="D19214" s="1" t="str">
        <f t="shared" si="517"/>
        <v>PRG-1046879</v>
      </c>
      <c r="E19214" t="s">
        <v>306</v>
      </c>
      <c r="F19214" t="s">
        <v>4</v>
      </c>
      <c r="G19214" t="str">
        <f>""</f>
        <v/>
      </c>
    </row>
    <row r="19215" spans="1:7" x14ac:dyDescent="0.25">
      <c r="A19215" t="s">
        <v>8</v>
      </c>
      <c r="B19215" s="1" t="str">
        <f>"000270323 - RICHS SWEET DOUGH-SODEXO"</f>
        <v>000270323 - RICHS SWEET DOUGH-SODEXO</v>
      </c>
      <c r="C19215" t="s">
        <v>137</v>
      </c>
      <c r="D19215" s="1" t="str">
        <f t="shared" si="517"/>
        <v>PRG-1046879</v>
      </c>
      <c r="E19215" t="s">
        <v>306</v>
      </c>
      <c r="F19215" t="s">
        <v>4</v>
      </c>
      <c r="G19215" t="str">
        <f>""</f>
        <v/>
      </c>
    </row>
    <row r="19216" spans="1:7" x14ac:dyDescent="0.25">
      <c r="A19216" t="s">
        <v>8</v>
      </c>
      <c r="B19216" s="1" t="str">
        <f>"000270595 - RICHS SWEET DOUGH-SODEXO"</f>
        <v>000270595 - RICHS SWEET DOUGH-SODEXO</v>
      </c>
      <c r="C19216" t="s">
        <v>137</v>
      </c>
      <c r="D19216" s="1" t="str">
        <f t="shared" si="517"/>
        <v>PRG-1046879</v>
      </c>
      <c r="E19216" t="s">
        <v>306</v>
      </c>
      <c r="F19216" t="s">
        <v>4</v>
      </c>
      <c r="G19216" t="str">
        <f>""</f>
        <v/>
      </c>
    </row>
    <row r="19217" spans="1:7" x14ac:dyDescent="0.25">
      <c r="A19217" t="s">
        <v>8</v>
      </c>
      <c r="B19217" s="1" t="str">
        <f>"000270803 - RICHS SWEET DOUGH-SODEXO"</f>
        <v>000270803 - RICHS SWEET DOUGH-SODEXO</v>
      </c>
      <c r="C19217" t="s">
        <v>137</v>
      </c>
      <c r="D19217" s="1" t="str">
        <f t="shared" si="517"/>
        <v>PRG-1046879</v>
      </c>
      <c r="E19217" t="s">
        <v>306</v>
      </c>
      <c r="F19217" t="s">
        <v>4</v>
      </c>
      <c r="G19217" t="str">
        <f>""</f>
        <v/>
      </c>
    </row>
    <row r="19218" spans="1:7" x14ac:dyDescent="0.25">
      <c r="A19218" t="s">
        <v>8</v>
      </c>
      <c r="B19218" s="1" t="str">
        <f>"000270882 - RICHS SWEET DOUGH-SODEXO"</f>
        <v>000270882 - RICHS SWEET DOUGH-SODEXO</v>
      </c>
      <c r="C19218" t="s">
        <v>137</v>
      </c>
      <c r="D19218" s="1" t="str">
        <f t="shared" si="517"/>
        <v>PRG-1046879</v>
      </c>
      <c r="E19218" t="s">
        <v>306</v>
      </c>
      <c r="F19218" t="s">
        <v>4</v>
      </c>
      <c r="G19218" t="str">
        <f>""</f>
        <v/>
      </c>
    </row>
    <row r="19219" spans="1:7" x14ac:dyDescent="0.25">
      <c r="A19219" t="s">
        <v>8</v>
      </c>
      <c r="B19219" s="1" t="str">
        <f>"000271529 - RICHS SWEET DOUGH-SODEXO"</f>
        <v>000271529 - RICHS SWEET DOUGH-SODEXO</v>
      </c>
      <c r="C19219" t="s">
        <v>137</v>
      </c>
      <c r="D19219" s="1" t="str">
        <f t="shared" si="517"/>
        <v>PRG-1046879</v>
      </c>
      <c r="E19219" t="s">
        <v>306</v>
      </c>
      <c r="F19219" t="s">
        <v>4</v>
      </c>
      <c r="G19219" t="str">
        <f>""</f>
        <v/>
      </c>
    </row>
    <row r="19220" spans="1:7" x14ac:dyDescent="0.25">
      <c r="A19220" t="s">
        <v>8</v>
      </c>
      <c r="B19220" s="1" t="str">
        <f>"000271899 - RICHS SWEET DOUGH-SODEXO"</f>
        <v>000271899 - RICHS SWEET DOUGH-SODEXO</v>
      </c>
      <c r="C19220" t="s">
        <v>137</v>
      </c>
      <c r="D19220" s="1" t="str">
        <f t="shared" si="517"/>
        <v>PRG-1046879</v>
      </c>
      <c r="E19220" t="s">
        <v>306</v>
      </c>
      <c r="F19220" t="s">
        <v>4</v>
      </c>
      <c r="G19220" t="str">
        <f>""</f>
        <v/>
      </c>
    </row>
    <row r="19221" spans="1:7" x14ac:dyDescent="0.25">
      <c r="A19221" t="s">
        <v>8</v>
      </c>
      <c r="B19221" s="1" t="str">
        <f>"000272153 - RICHS SWEET DOUGH-SODEXO"</f>
        <v>000272153 - RICHS SWEET DOUGH-SODEXO</v>
      </c>
      <c r="C19221" t="s">
        <v>137</v>
      </c>
      <c r="D19221" s="1" t="str">
        <f t="shared" si="517"/>
        <v>PRG-1046879</v>
      </c>
      <c r="E19221" t="s">
        <v>306</v>
      </c>
      <c r="F19221" t="s">
        <v>4</v>
      </c>
      <c r="G19221" t="str">
        <f>""</f>
        <v/>
      </c>
    </row>
    <row r="19222" spans="1:7" x14ac:dyDescent="0.25">
      <c r="A19222" t="s">
        <v>8</v>
      </c>
      <c r="B19222" s="1" t="str">
        <f>"000273006 - RICHS SWEET DOUGH-SODEXO"</f>
        <v>000273006 - RICHS SWEET DOUGH-SODEXO</v>
      </c>
      <c r="C19222" t="s">
        <v>137</v>
      </c>
      <c r="D19222" s="1" t="str">
        <f t="shared" si="517"/>
        <v>PRG-1046879</v>
      </c>
      <c r="E19222" t="s">
        <v>306</v>
      </c>
      <c r="F19222" t="s">
        <v>4</v>
      </c>
      <c r="G19222" t="str">
        <f>""</f>
        <v/>
      </c>
    </row>
    <row r="19223" spans="1:7" x14ac:dyDescent="0.25">
      <c r="A19223" t="s">
        <v>8</v>
      </c>
      <c r="B19223" s="1" t="str">
        <f>"000273343 - RICHS SWEET DOUGH-SODEXO"</f>
        <v>000273343 - RICHS SWEET DOUGH-SODEXO</v>
      </c>
      <c r="C19223" t="s">
        <v>137</v>
      </c>
      <c r="D19223" s="1" t="str">
        <f t="shared" si="517"/>
        <v>PRG-1046879</v>
      </c>
      <c r="E19223" t="s">
        <v>306</v>
      </c>
      <c r="F19223" t="s">
        <v>4</v>
      </c>
      <c r="G19223" t="str">
        <f>""</f>
        <v/>
      </c>
    </row>
    <row r="19224" spans="1:7" x14ac:dyDescent="0.25">
      <c r="A19224" t="s">
        <v>8</v>
      </c>
      <c r="B19224" s="1" t="str">
        <f>"000273877 - RICHS SWEET DOUGH-SODEXO"</f>
        <v>000273877 - RICHS SWEET DOUGH-SODEXO</v>
      </c>
      <c r="C19224" t="s">
        <v>137</v>
      </c>
      <c r="D19224" s="1" t="str">
        <f t="shared" si="517"/>
        <v>PRG-1046879</v>
      </c>
      <c r="E19224" t="s">
        <v>306</v>
      </c>
      <c r="F19224" t="s">
        <v>4</v>
      </c>
      <c r="G19224" t="str">
        <f>""</f>
        <v/>
      </c>
    </row>
    <row r="19225" spans="1:7" x14ac:dyDescent="0.25">
      <c r="A19225" t="s">
        <v>8</v>
      </c>
      <c r="B19225" s="1" t="str">
        <f>"000274878 - RICHS SWEET DOUGH-SODEXO"</f>
        <v>000274878 - RICHS SWEET DOUGH-SODEXO</v>
      </c>
      <c r="C19225" t="s">
        <v>137</v>
      </c>
      <c r="D19225" s="1" t="str">
        <f t="shared" si="517"/>
        <v>PRG-1046879</v>
      </c>
      <c r="E19225" t="s">
        <v>306</v>
      </c>
      <c r="F19225" t="s">
        <v>4</v>
      </c>
      <c r="G19225" t="str">
        <f>""</f>
        <v/>
      </c>
    </row>
    <row r="19226" spans="1:7" x14ac:dyDescent="0.25">
      <c r="A19226" t="s">
        <v>8</v>
      </c>
      <c r="B19226" s="1" t="str">
        <f>"000275280 - RICHS SWEET DOUGH-SODEXO"</f>
        <v>000275280 - RICHS SWEET DOUGH-SODEXO</v>
      </c>
      <c r="C19226" t="s">
        <v>137</v>
      </c>
      <c r="D19226" s="1" t="str">
        <f t="shared" si="517"/>
        <v>PRG-1046879</v>
      </c>
      <c r="E19226" t="s">
        <v>306</v>
      </c>
      <c r="F19226" t="s">
        <v>4</v>
      </c>
      <c r="G19226" t="str">
        <f>""</f>
        <v/>
      </c>
    </row>
    <row r="19227" spans="1:7" x14ac:dyDescent="0.25">
      <c r="A19227" t="s">
        <v>8</v>
      </c>
      <c r="B19227" s="1" t="str">
        <f>"000276276 - RICHS SWEET DOUGH-SODEXO"</f>
        <v>000276276 - RICHS SWEET DOUGH-SODEXO</v>
      </c>
      <c r="C19227" t="s">
        <v>137</v>
      </c>
      <c r="D19227" s="1" t="str">
        <f t="shared" si="517"/>
        <v>PRG-1046879</v>
      </c>
      <c r="E19227" t="s">
        <v>306</v>
      </c>
      <c r="F19227" t="s">
        <v>4</v>
      </c>
      <c r="G19227" t="str">
        <f>""</f>
        <v/>
      </c>
    </row>
    <row r="19228" spans="1:7" x14ac:dyDescent="0.25">
      <c r="A19228" t="s">
        <v>8</v>
      </c>
      <c r="B19228" s="1" t="str">
        <f>"000279522 - RICHS SWEET DOUGH-SODEXO"</f>
        <v>000279522 - RICHS SWEET DOUGH-SODEXO</v>
      </c>
      <c r="C19228" t="s">
        <v>137</v>
      </c>
      <c r="D19228" s="1" t="str">
        <f t="shared" si="517"/>
        <v>PRG-1046879</v>
      </c>
      <c r="E19228" t="s">
        <v>306</v>
      </c>
      <c r="F19228" t="s">
        <v>4</v>
      </c>
      <c r="G19228" t="str">
        <f>""</f>
        <v/>
      </c>
    </row>
    <row r="19229" spans="1:7" x14ac:dyDescent="0.25">
      <c r="A19229" t="s">
        <v>8</v>
      </c>
      <c r="B19229" s="1" t="str">
        <f>"000279550 - RICHS SWEET DOUGH-SODEXO"</f>
        <v>000279550 - RICHS SWEET DOUGH-SODEXO</v>
      </c>
      <c r="C19229" t="s">
        <v>137</v>
      </c>
      <c r="D19229" s="1" t="str">
        <f t="shared" si="517"/>
        <v>PRG-1046879</v>
      </c>
      <c r="E19229" t="s">
        <v>306</v>
      </c>
      <c r="F19229" t="s">
        <v>4</v>
      </c>
      <c r="G19229" t="str">
        <f>""</f>
        <v/>
      </c>
    </row>
    <row r="19230" spans="1:7" x14ac:dyDescent="0.25">
      <c r="A19230" t="s">
        <v>8</v>
      </c>
      <c r="B19230" s="1" t="str">
        <f>"000280171 - RICHS SWEET DOUGH-SODEXO"</f>
        <v>000280171 - RICHS SWEET DOUGH-SODEXO</v>
      </c>
      <c r="C19230" t="s">
        <v>137</v>
      </c>
      <c r="D19230" s="1" t="str">
        <f t="shared" si="517"/>
        <v>PRG-1046879</v>
      </c>
      <c r="E19230" t="s">
        <v>306</v>
      </c>
      <c r="F19230" t="s">
        <v>4</v>
      </c>
      <c r="G19230" t="str">
        <f>""</f>
        <v/>
      </c>
    </row>
    <row r="19231" spans="1:7" x14ac:dyDescent="0.25">
      <c r="A19231" t="s">
        <v>8</v>
      </c>
      <c r="B19231" s="1" t="str">
        <f>"000281126 - RICHS SWEET DOUGH-SODEXO"</f>
        <v>000281126 - RICHS SWEET DOUGH-SODEXO</v>
      </c>
      <c r="C19231" t="s">
        <v>137</v>
      </c>
      <c r="D19231" s="1" t="str">
        <f t="shared" si="517"/>
        <v>PRG-1046879</v>
      </c>
      <c r="E19231" t="s">
        <v>306</v>
      </c>
      <c r="F19231" t="s">
        <v>4</v>
      </c>
      <c r="G19231" t="str">
        <f>""</f>
        <v/>
      </c>
    </row>
    <row r="19232" spans="1:7" x14ac:dyDescent="0.25">
      <c r="A19232" t="s">
        <v>8</v>
      </c>
      <c r="B19232" s="1" t="str">
        <f>"000281383 - RICHS SWEET DOUGH-SODEXO"</f>
        <v>000281383 - RICHS SWEET DOUGH-SODEXO</v>
      </c>
      <c r="C19232" t="s">
        <v>137</v>
      </c>
      <c r="D19232" s="1" t="str">
        <f t="shared" si="517"/>
        <v>PRG-1046879</v>
      </c>
      <c r="E19232" t="s">
        <v>306</v>
      </c>
      <c r="F19232" t="s">
        <v>4</v>
      </c>
      <c r="G19232" t="str">
        <f>""</f>
        <v/>
      </c>
    </row>
    <row r="19233" spans="1:7" x14ac:dyDescent="0.25">
      <c r="A19233" t="s">
        <v>8</v>
      </c>
      <c r="B19233" s="1" t="str">
        <f>"000281652 - RICHS SWEET DOUGH-SODEXO"</f>
        <v>000281652 - RICHS SWEET DOUGH-SODEXO</v>
      </c>
      <c r="C19233" t="s">
        <v>137</v>
      </c>
      <c r="D19233" s="1" t="str">
        <f t="shared" si="517"/>
        <v>PRG-1046879</v>
      </c>
      <c r="E19233" t="s">
        <v>306</v>
      </c>
      <c r="F19233" t="s">
        <v>4</v>
      </c>
      <c r="G19233" t="str">
        <f>""</f>
        <v/>
      </c>
    </row>
    <row r="19234" spans="1:7" x14ac:dyDescent="0.25">
      <c r="A19234" t="s">
        <v>8</v>
      </c>
      <c r="B19234" s="1" t="str">
        <f>"000282572 - RICHS SWEET DOUGH-SODEXO"</f>
        <v>000282572 - RICHS SWEET DOUGH-SODEXO</v>
      </c>
      <c r="C19234" t="s">
        <v>137</v>
      </c>
      <c r="D19234" s="1" t="str">
        <f t="shared" si="517"/>
        <v>PRG-1046879</v>
      </c>
      <c r="E19234" t="s">
        <v>306</v>
      </c>
      <c r="F19234" t="s">
        <v>4</v>
      </c>
      <c r="G19234" t="str">
        <f>""</f>
        <v/>
      </c>
    </row>
    <row r="19235" spans="1:7" x14ac:dyDescent="0.25">
      <c r="A19235" t="s">
        <v>8</v>
      </c>
      <c r="B19235" s="1" t="str">
        <f>"000283005 - RICHS SWEET DOUGH-SODEXO"</f>
        <v>000283005 - RICHS SWEET DOUGH-SODEXO</v>
      </c>
      <c r="C19235" t="s">
        <v>137</v>
      </c>
      <c r="D19235" s="1" t="str">
        <f t="shared" si="517"/>
        <v>PRG-1046879</v>
      </c>
      <c r="E19235" t="s">
        <v>306</v>
      </c>
      <c r="F19235" t="s">
        <v>4</v>
      </c>
      <c r="G19235" t="str">
        <f>""</f>
        <v/>
      </c>
    </row>
    <row r="19236" spans="1:7" x14ac:dyDescent="0.25">
      <c r="A19236" t="s">
        <v>8</v>
      </c>
      <c r="B19236" s="1" t="str">
        <f>"000283195 - RICHS SWEET DOUGH-SODEXO"</f>
        <v>000283195 - RICHS SWEET DOUGH-SODEXO</v>
      </c>
      <c r="C19236" t="s">
        <v>137</v>
      </c>
      <c r="D19236" s="1" t="str">
        <f t="shared" si="517"/>
        <v>PRG-1046879</v>
      </c>
      <c r="E19236" t="s">
        <v>306</v>
      </c>
      <c r="F19236" t="s">
        <v>4</v>
      </c>
      <c r="G19236" t="str">
        <f>""</f>
        <v/>
      </c>
    </row>
    <row r="19237" spans="1:7" x14ac:dyDescent="0.25">
      <c r="A19237" t="s">
        <v>8</v>
      </c>
      <c r="B19237" s="1" t="str">
        <f>"000283626 - RICHS SWEET DOUGH-SODEXO"</f>
        <v>000283626 - RICHS SWEET DOUGH-SODEXO</v>
      </c>
      <c r="C19237" t="s">
        <v>137</v>
      </c>
      <c r="D19237" s="1" t="str">
        <f t="shared" si="517"/>
        <v>PRG-1046879</v>
      </c>
      <c r="E19237" t="s">
        <v>306</v>
      </c>
      <c r="F19237" t="s">
        <v>4</v>
      </c>
      <c r="G19237" t="str">
        <f>""</f>
        <v/>
      </c>
    </row>
    <row r="19238" spans="1:7" x14ac:dyDescent="0.25">
      <c r="A19238" t="s">
        <v>8</v>
      </c>
      <c r="B19238" s="1" t="str">
        <f>"000283653 - RICHS SWEET DOUGH-SODEXO"</f>
        <v>000283653 - RICHS SWEET DOUGH-SODEXO</v>
      </c>
      <c r="C19238" t="s">
        <v>137</v>
      </c>
      <c r="D19238" s="1" t="str">
        <f t="shared" si="517"/>
        <v>PRG-1046879</v>
      </c>
      <c r="E19238" t="s">
        <v>306</v>
      </c>
      <c r="F19238" t="s">
        <v>4</v>
      </c>
      <c r="G19238" t="str">
        <f>""</f>
        <v/>
      </c>
    </row>
    <row r="19239" spans="1:7" x14ac:dyDescent="0.25">
      <c r="A19239" t="s">
        <v>8</v>
      </c>
      <c r="B19239" s="1" t="str">
        <f>"000284364 - RICHS SWEET DOUGH-SODEXO"</f>
        <v>000284364 - RICHS SWEET DOUGH-SODEXO</v>
      </c>
      <c r="C19239" t="s">
        <v>137</v>
      </c>
      <c r="D19239" s="1" t="str">
        <f t="shared" si="517"/>
        <v>PRG-1046879</v>
      </c>
      <c r="E19239" t="s">
        <v>306</v>
      </c>
      <c r="F19239" t="s">
        <v>4</v>
      </c>
      <c r="G19239" t="str">
        <f>""</f>
        <v/>
      </c>
    </row>
    <row r="19240" spans="1:7" x14ac:dyDescent="0.25">
      <c r="A19240" t="s">
        <v>8</v>
      </c>
      <c r="B19240" s="1" t="str">
        <f>"000285355 - RICHS SWEET DOUGH-SODEXO"</f>
        <v>000285355 - RICHS SWEET DOUGH-SODEXO</v>
      </c>
      <c r="C19240" t="s">
        <v>137</v>
      </c>
      <c r="D19240" s="1" t="str">
        <f t="shared" ref="D19240:D19303" si="518">"PRG-1046879"</f>
        <v>PRG-1046879</v>
      </c>
      <c r="E19240" t="s">
        <v>306</v>
      </c>
      <c r="F19240" t="s">
        <v>4</v>
      </c>
      <c r="G19240" t="str">
        <f>""</f>
        <v/>
      </c>
    </row>
    <row r="19241" spans="1:7" x14ac:dyDescent="0.25">
      <c r="A19241" t="s">
        <v>8</v>
      </c>
      <c r="B19241" s="1" t="str">
        <f>"000285473 - RICHS SWEET DOUGH-SODEXO"</f>
        <v>000285473 - RICHS SWEET DOUGH-SODEXO</v>
      </c>
      <c r="C19241" t="s">
        <v>137</v>
      </c>
      <c r="D19241" s="1" t="str">
        <f t="shared" si="518"/>
        <v>PRG-1046879</v>
      </c>
      <c r="E19241" t="s">
        <v>306</v>
      </c>
      <c r="F19241" t="s">
        <v>4</v>
      </c>
      <c r="G19241" t="str">
        <f>""</f>
        <v/>
      </c>
    </row>
    <row r="19242" spans="1:7" x14ac:dyDescent="0.25">
      <c r="A19242" t="s">
        <v>8</v>
      </c>
      <c r="B19242" s="1" t="str">
        <f>"000285867 - RICHS SWEET DOUGH-SODEXO"</f>
        <v>000285867 - RICHS SWEET DOUGH-SODEXO</v>
      </c>
      <c r="C19242" t="s">
        <v>137</v>
      </c>
      <c r="D19242" s="1" t="str">
        <f t="shared" si="518"/>
        <v>PRG-1046879</v>
      </c>
      <c r="E19242" t="s">
        <v>306</v>
      </c>
      <c r="F19242" t="s">
        <v>4</v>
      </c>
      <c r="G19242" t="str">
        <f>""</f>
        <v/>
      </c>
    </row>
    <row r="19243" spans="1:7" x14ac:dyDescent="0.25">
      <c r="A19243" t="s">
        <v>8</v>
      </c>
      <c r="B19243" s="1" t="str">
        <f>"000287073 - RICHS SWEET DOUGH-SODEXO"</f>
        <v>000287073 - RICHS SWEET DOUGH-SODEXO</v>
      </c>
      <c r="C19243" t="s">
        <v>137</v>
      </c>
      <c r="D19243" s="1" t="str">
        <f t="shared" si="518"/>
        <v>PRG-1046879</v>
      </c>
      <c r="E19243" t="s">
        <v>306</v>
      </c>
      <c r="F19243" t="s">
        <v>4</v>
      </c>
      <c r="G19243" t="str">
        <f>""</f>
        <v/>
      </c>
    </row>
    <row r="19244" spans="1:7" x14ac:dyDescent="0.25">
      <c r="A19244" t="s">
        <v>8</v>
      </c>
      <c r="B19244" s="1" t="str">
        <f>"000287744 - RICHS SWEET DOUGH-SODEXO"</f>
        <v>000287744 - RICHS SWEET DOUGH-SODEXO</v>
      </c>
      <c r="C19244" t="s">
        <v>137</v>
      </c>
      <c r="D19244" s="1" t="str">
        <f t="shared" si="518"/>
        <v>PRG-1046879</v>
      </c>
      <c r="E19244" t="s">
        <v>306</v>
      </c>
      <c r="F19244" t="s">
        <v>4</v>
      </c>
      <c r="G19244" t="str">
        <f>""</f>
        <v/>
      </c>
    </row>
    <row r="19245" spans="1:7" x14ac:dyDescent="0.25">
      <c r="A19245" t="s">
        <v>8</v>
      </c>
      <c r="B19245" s="1" t="str">
        <f>"000287919 - RICHS SWEET DOUGH-SODEXO"</f>
        <v>000287919 - RICHS SWEET DOUGH-SODEXO</v>
      </c>
      <c r="C19245" t="s">
        <v>137</v>
      </c>
      <c r="D19245" s="1" t="str">
        <f t="shared" si="518"/>
        <v>PRG-1046879</v>
      </c>
      <c r="E19245" t="s">
        <v>306</v>
      </c>
      <c r="F19245" t="s">
        <v>4</v>
      </c>
      <c r="G19245" t="str">
        <f>""</f>
        <v/>
      </c>
    </row>
    <row r="19246" spans="1:7" x14ac:dyDescent="0.25">
      <c r="A19246" t="s">
        <v>8</v>
      </c>
      <c r="B19246" s="1" t="str">
        <f>"000288005 - RICHS SWEET DOUGH-SODEXO"</f>
        <v>000288005 - RICHS SWEET DOUGH-SODEXO</v>
      </c>
      <c r="C19246" t="s">
        <v>137</v>
      </c>
      <c r="D19246" s="1" t="str">
        <f t="shared" si="518"/>
        <v>PRG-1046879</v>
      </c>
      <c r="E19246" t="s">
        <v>306</v>
      </c>
      <c r="F19246" t="s">
        <v>4</v>
      </c>
      <c r="G19246" t="str">
        <f>""</f>
        <v/>
      </c>
    </row>
    <row r="19247" spans="1:7" x14ac:dyDescent="0.25">
      <c r="A19247" t="s">
        <v>8</v>
      </c>
      <c r="B19247" s="1" t="str">
        <f>"000288104 - RICHS SWEET DOUGH-SODEXO"</f>
        <v>000288104 - RICHS SWEET DOUGH-SODEXO</v>
      </c>
      <c r="C19247" t="s">
        <v>137</v>
      </c>
      <c r="D19247" s="1" t="str">
        <f t="shared" si="518"/>
        <v>PRG-1046879</v>
      </c>
      <c r="E19247" t="s">
        <v>306</v>
      </c>
      <c r="F19247" t="s">
        <v>4</v>
      </c>
      <c r="G19247" t="str">
        <f>""</f>
        <v/>
      </c>
    </row>
    <row r="19248" spans="1:7" x14ac:dyDescent="0.25">
      <c r="A19248" t="s">
        <v>8</v>
      </c>
      <c r="B19248" s="1" t="str">
        <f>"000288485 - RICHS SWEET DOUGH-SODEXO"</f>
        <v>000288485 - RICHS SWEET DOUGH-SODEXO</v>
      </c>
      <c r="C19248" t="s">
        <v>137</v>
      </c>
      <c r="D19248" s="1" t="str">
        <f t="shared" si="518"/>
        <v>PRG-1046879</v>
      </c>
      <c r="E19248" t="s">
        <v>306</v>
      </c>
      <c r="F19248" t="s">
        <v>4</v>
      </c>
      <c r="G19248" t="str">
        <f>""</f>
        <v/>
      </c>
    </row>
    <row r="19249" spans="1:7" x14ac:dyDescent="0.25">
      <c r="A19249" t="s">
        <v>8</v>
      </c>
      <c r="B19249" s="1" t="str">
        <f>"000289627 - RICHS SWEET DOUGH-SODEXO"</f>
        <v>000289627 - RICHS SWEET DOUGH-SODEXO</v>
      </c>
      <c r="C19249" t="s">
        <v>137</v>
      </c>
      <c r="D19249" s="1" t="str">
        <f t="shared" si="518"/>
        <v>PRG-1046879</v>
      </c>
      <c r="E19249" t="s">
        <v>306</v>
      </c>
      <c r="F19249" t="s">
        <v>4</v>
      </c>
      <c r="G19249" t="str">
        <f>""</f>
        <v/>
      </c>
    </row>
    <row r="19250" spans="1:7" x14ac:dyDescent="0.25">
      <c r="A19250" t="s">
        <v>8</v>
      </c>
      <c r="B19250" s="1" t="str">
        <f>"000289941 - RICHS SWEET DOUGH-SODEXO"</f>
        <v>000289941 - RICHS SWEET DOUGH-SODEXO</v>
      </c>
      <c r="C19250" t="s">
        <v>137</v>
      </c>
      <c r="D19250" s="1" t="str">
        <f t="shared" si="518"/>
        <v>PRG-1046879</v>
      </c>
      <c r="E19250" t="s">
        <v>306</v>
      </c>
      <c r="F19250" t="s">
        <v>4</v>
      </c>
      <c r="G19250" t="str">
        <f>""</f>
        <v/>
      </c>
    </row>
    <row r="19251" spans="1:7" x14ac:dyDescent="0.25">
      <c r="A19251" t="s">
        <v>8</v>
      </c>
      <c r="B19251" s="1" t="str">
        <f>"000289952 - RICHS SWEET DOUGH-SODEXO"</f>
        <v>000289952 - RICHS SWEET DOUGH-SODEXO</v>
      </c>
      <c r="C19251" t="s">
        <v>137</v>
      </c>
      <c r="D19251" s="1" t="str">
        <f t="shared" si="518"/>
        <v>PRG-1046879</v>
      </c>
      <c r="E19251" t="s">
        <v>306</v>
      </c>
      <c r="F19251" t="s">
        <v>4</v>
      </c>
      <c r="G19251" t="str">
        <f>""</f>
        <v/>
      </c>
    </row>
    <row r="19252" spans="1:7" x14ac:dyDescent="0.25">
      <c r="A19252" t="s">
        <v>8</v>
      </c>
      <c r="B19252" s="1" t="str">
        <f>"000290545 - RICHS SWEET DOUGH-SODEXO"</f>
        <v>000290545 - RICHS SWEET DOUGH-SODEXO</v>
      </c>
      <c r="C19252" t="s">
        <v>137</v>
      </c>
      <c r="D19252" s="1" t="str">
        <f t="shared" si="518"/>
        <v>PRG-1046879</v>
      </c>
      <c r="E19252" t="s">
        <v>306</v>
      </c>
      <c r="F19252" t="s">
        <v>4</v>
      </c>
      <c r="G19252" t="str">
        <f>""</f>
        <v/>
      </c>
    </row>
    <row r="19253" spans="1:7" x14ac:dyDescent="0.25">
      <c r="A19253" t="s">
        <v>8</v>
      </c>
      <c r="B19253" s="1" t="str">
        <f>"000291049 - RICHS SWEET DOUGH-SODEXO"</f>
        <v>000291049 - RICHS SWEET DOUGH-SODEXO</v>
      </c>
      <c r="C19253" t="s">
        <v>137</v>
      </c>
      <c r="D19253" s="1" t="str">
        <f t="shared" si="518"/>
        <v>PRG-1046879</v>
      </c>
      <c r="E19253" t="s">
        <v>306</v>
      </c>
      <c r="F19253" t="s">
        <v>4</v>
      </c>
      <c r="G19253" t="str">
        <f>""</f>
        <v/>
      </c>
    </row>
    <row r="19254" spans="1:7" x14ac:dyDescent="0.25">
      <c r="A19254" t="s">
        <v>8</v>
      </c>
      <c r="B19254" s="1" t="str">
        <f>"000291643 - RICHS SWEET DOUGH-SODEXO"</f>
        <v>000291643 - RICHS SWEET DOUGH-SODEXO</v>
      </c>
      <c r="C19254" t="s">
        <v>137</v>
      </c>
      <c r="D19254" s="1" t="str">
        <f t="shared" si="518"/>
        <v>PRG-1046879</v>
      </c>
      <c r="E19254" t="s">
        <v>306</v>
      </c>
      <c r="F19254" t="s">
        <v>4</v>
      </c>
      <c r="G19254" t="str">
        <f>""</f>
        <v/>
      </c>
    </row>
    <row r="19255" spans="1:7" x14ac:dyDescent="0.25">
      <c r="A19255" t="s">
        <v>8</v>
      </c>
      <c r="B19255" s="1" t="str">
        <f>"000291683 - RICHS SWEET DOUGH-SODEXO"</f>
        <v>000291683 - RICHS SWEET DOUGH-SODEXO</v>
      </c>
      <c r="C19255" t="s">
        <v>137</v>
      </c>
      <c r="D19255" s="1" t="str">
        <f t="shared" si="518"/>
        <v>PRG-1046879</v>
      </c>
      <c r="E19255" t="s">
        <v>306</v>
      </c>
      <c r="F19255" t="s">
        <v>4</v>
      </c>
      <c r="G19255" t="str">
        <f>""</f>
        <v/>
      </c>
    </row>
    <row r="19256" spans="1:7" x14ac:dyDescent="0.25">
      <c r="A19256" t="s">
        <v>8</v>
      </c>
      <c r="B19256" s="1" t="str">
        <f>"000291714 - RICHS SWEET DOUGH-SODEXO"</f>
        <v>000291714 - RICHS SWEET DOUGH-SODEXO</v>
      </c>
      <c r="C19256" t="s">
        <v>137</v>
      </c>
      <c r="D19256" s="1" t="str">
        <f t="shared" si="518"/>
        <v>PRG-1046879</v>
      </c>
      <c r="E19256" t="s">
        <v>306</v>
      </c>
      <c r="F19256" t="s">
        <v>4</v>
      </c>
      <c r="G19256" t="str">
        <f>""</f>
        <v/>
      </c>
    </row>
    <row r="19257" spans="1:7" x14ac:dyDescent="0.25">
      <c r="A19257" t="s">
        <v>8</v>
      </c>
      <c r="B19257" s="1" t="str">
        <f>"000291886 - RICHS SWEET DOUGH-SODEXO"</f>
        <v>000291886 - RICHS SWEET DOUGH-SODEXO</v>
      </c>
      <c r="C19257" t="s">
        <v>137</v>
      </c>
      <c r="D19257" s="1" t="str">
        <f t="shared" si="518"/>
        <v>PRG-1046879</v>
      </c>
      <c r="E19257" t="s">
        <v>306</v>
      </c>
      <c r="F19257" t="s">
        <v>4</v>
      </c>
      <c r="G19257" t="str">
        <f>""</f>
        <v/>
      </c>
    </row>
    <row r="19258" spans="1:7" x14ac:dyDescent="0.25">
      <c r="A19258" t="s">
        <v>8</v>
      </c>
      <c r="B19258" s="1" t="str">
        <f>"000292199 - RICHS SWEET DOUGH-SODEXO"</f>
        <v>000292199 - RICHS SWEET DOUGH-SODEXO</v>
      </c>
      <c r="C19258" t="s">
        <v>137</v>
      </c>
      <c r="D19258" s="1" t="str">
        <f t="shared" si="518"/>
        <v>PRG-1046879</v>
      </c>
      <c r="E19258" t="s">
        <v>306</v>
      </c>
      <c r="F19258" t="s">
        <v>4</v>
      </c>
      <c r="G19258" t="str">
        <f>""</f>
        <v/>
      </c>
    </row>
    <row r="19259" spans="1:7" x14ac:dyDescent="0.25">
      <c r="A19259" t="s">
        <v>8</v>
      </c>
      <c r="B19259" s="1" t="str">
        <f>"000292847 - RICHS SWEET DOUGH-SODEXO"</f>
        <v>000292847 - RICHS SWEET DOUGH-SODEXO</v>
      </c>
      <c r="C19259" t="s">
        <v>137</v>
      </c>
      <c r="D19259" s="1" t="str">
        <f t="shared" si="518"/>
        <v>PRG-1046879</v>
      </c>
      <c r="E19259" t="s">
        <v>306</v>
      </c>
      <c r="F19259" t="s">
        <v>4</v>
      </c>
      <c r="G19259" t="str">
        <f>""</f>
        <v/>
      </c>
    </row>
    <row r="19260" spans="1:7" x14ac:dyDescent="0.25">
      <c r="A19260" t="s">
        <v>8</v>
      </c>
      <c r="B19260" s="1" t="str">
        <f>"000293200 - RICHS SWEET DOUGH-SODEXO"</f>
        <v>000293200 - RICHS SWEET DOUGH-SODEXO</v>
      </c>
      <c r="C19260" t="s">
        <v>137</v>
      </c>
      <c r="D19260" s="1" t="str">
        <f t="shared" si="518"/>
        <v>PRG-1046879</v>
      </c>
      <c r="E19260" t="s">
        <v>306</v>
      </c>
      <c r="F19260" t="s">
        <v>4</v>
      </c>
      <c r="G19260" t="str">
        <f>""</f>
        <v/>
      </c>
    </row>
    <row r="19261" spans="1:7" x14ac:dyDescent="0.25">
      <c r="A19261" t="s">
        <v>8</v>
      </c>
      <c r="B19261" s="1" t="str">
        <f>"000293212 - RICHS SWEET DOUGH-SODEXO"</f>
        <v>000293212 - RICHS SWEET DOUGH-SODEXO</v>
      </c>
      <c r="C19261" t="s">
        <v>137</v>
      </c>
      <c r="D19261" s="1" t="str">
        <f t="shared" si="518"/>
        <v>PRG-1046879</v>
      </c>
      <c r="E19261" t="s">
        <v>306</v>
      </c>
      <c r="F19261" t="s">
        <v>4</v>
      </c>
      <c r="G19261" t="str">
        <f>""</f>
        <v/>
      </c>
    </row>
    <row r="19262" spans="1:7" x14ac:dyDescent="0.25">
      <c r="A19262" t="s">
        <v>8</v>
      </c>
      <c r="B19262" s="1" t="str">
        <f>"000293802 - RICHS SWEET DOUGH-SODEXO"</f>
        <v>000293802 - RICHS SWEET DOUGH-SODEXO</v>
      </c>
      <c r="C19262" t="s">
        <v>137</v>
      </c>
      <c r="D19262" s="1" t="str">
        <f t="shared" si="518"/>
        <v>PRG-1046879</v>
      </c>
      <c r="E19262" t="s">
        <v>306</v>
      </c>
      <c r="F19262" t="s">
        <v>4</v>
      </c>
      <c r="G19262" t="str">
        <f>""</f>
        <v/>
      </c>
    </row>
    <row r="19263" spans="1:7" x14ac:dyDescent="0.25">
      <c r="A19263" t="s">
        <v>8</v>
      </c>
      <c r="B19263" s="1" t="str">
        <f>"000294139 - RICHS SWEET DOUGH-SODEXO"</f>
        <v>000294139 - RICHS SWEET DOUGH-SODEXO</v>
      </c>
      <c r="C19263" t="s">
        <v>137</v>
      </c>
      <c r="D19263" s="1" t="str">
        <f t="shared" si="518"/>
        <v>PRG-1046879</v>
      </c>
      <c r="E19263" t="s">
        <v>306</v>
      </c>
      <c r="F19263" t="s">
        <v>4</v>
      </c>
      <c r="G19263" t="str">
        <f>""</f>
        <v/>
      </c>
    </row>
    <row r="19264" spans="1:7" x14ac:dyDescent="0.25">
      <c r="A19264" t="s">
        <v>8</v>
      </c>
      <c r="B19264" s="1" t="str">
        <f>"000294816 - RICHS SWEET DOUGH-SODEXO"</f>
        <v>000294816 - RICHS SWEET DOUGH-SODEXO</v>
      </c>
      <c r="C19264" t="s">
        <v>137</v>
      </c>
      <c r="D19264" s="1" t="str">
        <f t="shared" si="518"/>
        <v>PRG-1046879</v>
      </c>
      <c r="E19264" t="s">
        <v>306</v>
      </c>
      <c r="F19264" t="s">
        <v>4</v>
      </c>
      <c r="G19264" t="str">
        <f>""</f>
        <v/>
      </c>
    </row>
    <row r="19265" spans="1:7" x14ac:dyDescent="0.25">
      <c r="A19265" t="s">
        <v>8</v>
      </c>
      <c r="B19265" s="1" t="str">
        <f>"000294984 - RICHS SWEET DOUGH-SODEXO"</f>
        <v>000294984 - RICHS SWEET DOUGH-SODEXO</v>
      </c>
      <c r="C19265" t="s">
        <v>137</v>
      </c>
      <c r="D19265" s="1" t="str">
        <f t="shared" si="518"/>
        <v>PRG-1046879</v>
      </c>
      <c r="E19265" t="s">
        <v>306</v>
      </c>
      <c r="F19265" t="s">
        <v>4</v>
      </c>
      <c r="G19265" t="str">
        <f>""</f>
        <v/>
      </c>
    </row>
    <row r="19266" spans="1:7" x14ac:dyDescent="0.25">
      <c r="A19266" t="s">
        <v>8</v>
      </c>
      <c r="B19266" s="1" t="str">
        <f>"000295394 - RICHS SWEET DOUGH-SODEXO"</f>
        <v>000295394 - RICHS SWEET DOUGH-SODEXO</v>
      </c>
      <c r="C19266" t="s">
        <v>137</v>
      </c>
      <c r="D19266" s="1" t="str">
        <f t="shared" si="518"/>
        <v>PRG-1046879</v>
      </c>
      <c r="E19266" t="s">
        <v>306</v>
      </c>
      <c r="F19266" t="s">
        <v>4</v>
      </c>
      <c r="G19266" t="str">
        <f>""</f>
        <v/>
      </c>
    </row>
    <row r="19267" spans="1:7" x14ac:dyDescent="0.25">
      <c r="A19267" t="s">
        <v>8</v>
      </c>
      <c r="B19267" s="1" t="str">
        <f>"000296571 - RICHS SWEET DOUGH-SODEXO"</f>
        <v>000296571 - RICHS SWEET DOUGH-SODEXO</v>
      </c>
      <c r="C19267" t="s">
        <v>137</v>
      </c>
      <c r="D19267" s="1" t="str">
        <f t="shared" si="518"/>
        <v>PRG-1046879</v>
      </c>
      <c r="E19267" t="s">
        <v>306</v>
      </c>
      <c r="F19267" t="s">
        <v>4</v>
      </c>
      <c r="G19267" t="str">
        <f>""</f>
        <v/>
      </c>
    </row>
    <row r="19268" spans="1:7" x14ac:dyDescent="0.25">
      <c r="A19268" t="s">
        <v>8</v>
      </c>
      <c r="B19268" s="1" t="str">
        <f>"000297015 - RICHS SWEET DOUGH-SODEXO"</f>
        <v>000297015 - RICHS SWEET DOUGH-SODEXO</v>
      </c>
      <c r="C19268" t="s">
        <v>137</v>
      </c>
      <c r="D19268" s="1" t="str">
        <f t="shared" si="518"/>
        <v>PRG-1046879</v>
      </c>
      <c r="E19268" t="s">
        <v>306</v>
      </c>
      <c r="F19268" t="s">
        <v>4</v>
      </c>
      <c r="G19268" t="str">
        <f>""</f>
        <v/>
      </c>
    </row>
    <row r="19269" spans="1:7" x14ac:dyDescent="0.25">
      <c r="A19269" t="s">
        <v>8</v>
      </c>
      <c r="B19269" s="1" t="str">
        <f>"000297077 - RICHS SWEET DOUGH-SODEXO"</f>
        <v>000297077 - RICHS SWEET DOUGH-SODEXO</v>
      </c>
      <c r="C19269" t="s">
        <v>137</v>
      </c>
      <c r="D19269" s="1" t="str">
        <f t="shared" si="518"/>
        <v>PRG-1046879</v>
      </c>
      <c r="E19269" t="s">
        <v>306</v>
      </c>
      <c r="F19269" t="s">
        <v>4</v>
      </c>
      <c r="G19269" t="str">
        <f>""</f>
        <v/>
      </c>
    </row>
    <row r="19270" spans="1:7" x14ac:dyDescent="0.25">
      <c r="A19270" t="s">
        <v>8</v>
      </c>
      <c r="B19270" s="1" t="str">
        <f>"000298124 - RICHS SWEET DOUGH-SODEXO"</f>
        <v>000298124 - RICHS SWEET DOUGH-SODEXO</v>
      </c>
      <c r="C19270" t="s">
        <v>137</v>
      </c>
      <c r="D19270" s="1" t="str">
        <f t="shared" si="518"/>
        <v>PRG-1046879</v>
      </c>
      <c r="E19270" t="s">
        <v>306</v>
      </c>
      <c r="F19270" t="s">
        <v>4</v>
      </c>
      <c r="G19270" t="str">
        <f>""</f>
        <v/>
      </c>
    </row>
    <row r="19271" spans="1:7" x14ac:dyDescent="0.25">
      <c r="A19271" t="s">
        <v>8</v>
      </c>
      <c r="B19271" s="1" t="str">
        <f>"000299928 - RICHS SWEET DOUGH-SODEXO"</f>
        <v>000299928 - RICHS SWEET DOUGH-SODEXO</v>
      </c>
      <c r="C19271" t="s">
        <v>137</v>
      </c>
      <c r="D19271" s="1" t="str">
        <f t="shared" si="518"/>
        <v>PRG-1046879</v>
      </c>
      <c r="E19271" t="s">
        <v>306</v>
      </c>
      <c r="F19271" t="s">
        <v>4</v>
      </c>
      <c r="G19271" t="str">
        <f>""</f>
        <v/>
      </c>
    </row>
    <row r="19272" spans="1:7" x14ac:dyDescent="0.25">
      <c r="A19272" t="s">
        <v>8</v>
      </c>
      <c r="B19272" s="1" t="str">
        <f>"000301518 - RICHS SWEET DOUGH-SODEXO"</f>
        <v>000301518 - RICHS SWEET DOUGH-SODEXO</v>
      </c>
      <c r="C19272" t="s">
        <v>137</v>
      </c>
      <c r="D19272" s="1" t="str">
        <f t="shared" si="518"/>
        <v>PRG-1046879</v>
      </c>
      <c r="E19272" t="s">
        <v>306</v>
      </c>
      <c r="F19272" t="s">
        <v>4</v>
      </c>
      <c r="G19272" t="str">
        <f>""</f>
        <v/>
      </c>
    </row>
    <row r="19273" spans="1:7" x14ac:dyDescent="0.25">
      <c r="A19273" t="s">
        <v>8</v>
      </c>
      <c r="B19273" s="1" t="str">
        <f>"000302645 - RICHS SWEET DOUGH-SODEXO"</f>
        <v>000302645 - RICHS SWEET DOUGH-SODEXO</v>
      </c>
      <c r="C19273" t="s">
        <v>137</v>
      </c>
      <c r="D19273" s="1" t="str">
        <f t="shared" si="518"/>
        <v>PRG-1046879</v>
      </c>
      <c r="E19273" t="s">
        <v>306</v>
      </c>
      <c r="F19273" t="s">
        <v>4</v>
      </c>
      <c r="G19273" t="str">
        <f>""</f>
        <v/>
      </c>
    </row>
    <row r="19274" spans="1:7" x14ac:dyDescent="0.25">
      <c r="A19274" t="s">
        <v>8</v>
      </c>
      <c r="B19274" s="1" t="str">
        <f>"000302856 - RICHS SWEET DOUGH-SODEXO"</f>
        <v>000302856 - RICHS SWEET DOUGH-SODEXO</v>
      </c>
      <c r="C19274" t="s">
        <v>137</v>
      </c>
      <c r="D19274" s="1" t="str">
        <f t="shared" si="518"/>
        <v>PRG-1046879</v>
      </c>
      <c r="E19274" t="s">
        <v>306</v>
      </c>
      <c r="F19274" t="s">
        <v>4</v>
      </c>
      <c r="G19274" t="str">
        <f>""</f>
        <v/>
      </c>
    </row>
    <row r="19275" spans="1:7" x14ac:dyDescent="0.25">
      <c r="A19275" t="s">
        <v>8</v>
      </c>
      <c r="B19275" s="1" t="str">
        <f>"000303904 - RICHS SWEET DOUGH-SODEXO"</f>
        <v>000303904 - RICHS SWEET DOUGH-SODEXO</v>
      </c>
      <c r="C19275" t="s">
        <v>137</v>
      </c>
      <c r="D19275" s="1" t="str">
        <f t="shared" si="518"/>
        <v>PRG-1046879</v>
      </c>
      <c r="E19275" t="s">
        <v>306</v>
      </c>
      <c r="F19275" t="s">
        <v>4</v>
      </c>
      <c r="G19275" t="str">
        <f>""</f>
        <v/>
      </c>
    </row>
    <row r="19276" spans="1:7" x14ac:dyDescent="0.25">
      <c r="A19276" t="s">
        <v>8</v>
      </c>
      <c r="B19276" s="1" t="str">
        <f>"000304751 - RICHS SWEET DOUGH-SODEXO"</f>
        <v>000304751 - RICHS SWEET DOUGH-SODEXO</v>
      </c>
      <c r="C19276" t="s">
        <v>137</v>
      </c>
      <c r="D19276" s="1" t="str">
        <f t="shared" si="518"/>
        <v>PRG-1046879</v>
      </c>
      <c r="E19276" t="s">
        <v>306</v>
      </c>
      <c r="F19276" t="s">
        <v>4</v>
      </c>
      <c r="G19276" t="str">
        <f>""</f>
        <v/>
      </c>
    </row>
    <row r="19277" spans="1:7" x14ac:dyDescent="0.25">
      <c r="A19277" t="s">
        <v>8</v>
      </c>
      <c r="B19277" s="1" t="str">
        <f>"000306236 - RICHS SWEET DOUGH-SODEXO"</f>
        <v>000306236 - RICHS SWEET DOUGH-SODEXO</v>
      </c>
      <c r="C19277" t="s">
        <v>137</v>
      </c>
      <c r="D19277" s="1" t="str">
        <f t="shared" si="518"/>
        <v>PRG-1046879</v>
      </c>
      <c r="E19277" t="s">
        <v>306</v>
      </c>
      <c r="F19277" t="s">
        <v>4</v>
      </c>
      <c r="G19277" t="str">
        <f>""</f>
        <v/>
      </c>
    </row>
    <row r="19278" spans="1:7" x14ac:dyDescent="0.25">
      <c r="A19278" t="s">
        <v>8</v>
      </c>
      <c r="B19278" s="1" t="str">
        <f>"000306444 - RICHS SWEET DOUGH-SODEXO"</f>
        <v>000306444 - RICHS SWEET DOUGH-SODEXO</v>
      </c>
      <c r="C19278" t="s">
        <v>137</v>
      </c>
      <c r="D19278" s="1" t="str">
        <f t="shared" si="518"/>
        <v>PRG-1046879</v>
      </c>
      <c r="E19278" t="s">
        <v>306</v>
      </c>
      <c r="F19278" t="s">
        <v>4</v>
      </c>
      <c r="G19278" t="str">
        <f>""</f>
        <v/>
      </c>
    </row>
    <row r="19279" spans="1:7" x14ac:dyDescent="0.25">
      <c r="A19279" t="s">
        <v>8</v>
      </c>
      <c r="B19279" s="1" t="str">
        <f>"000306728 - RICHS SWEET DOUGH-SODEXO"</f>
        <v>000306728 - RICHS SWEET DOUGH-SODEXO</v>
      </c>
      <c r="C19279" t="s">
        <v>137</v>
      </c>
      <c r="D19279" s="1" t="str">
        <f t="shared" si="518"/>
        <v>PRG-1046879</v>
      </c>
      <c r="E19279" t="s">
        <v>306</v>
      </c>
      <c r="F19279" t="s">
        <v>4</v>
      </c>
      <c r="G19279" t="str">
        <f>""</f>
        <v/>
      </c>
    </row>
    <row r="19280" spans="1:7" x14ac:dyDescent="0.25">
      <c r="A19280" t="s">
        <v>8</v>
      </c>
      <c r="B19280" s="1" t="str">
        <f>"000308793 - RICHS SWEET DOUGH-SODEXO"</f>
        <v>000308793 - RICHS SWEET DOUGH-SODEXO</v>
      </c>
      <c r="C19280" t="s">
        <v>137</v>
      </c>
      <c r="D19280" s="1" t="str">
        <f t="shared" si="518"/>
        <v>PRG-1046879</v>
      </c>
      <c r="E19280" t="s">
        <v>306</v>
      </c>
      <c r="F19280" t="s">
        <v>4</v>
      </c>
      <c r="G19280" t="str">
        <f>""</f>
        <v/>
      </c>
    </row>
    <row r="19281" spans="1:7" x14ac:dyDescent="0.25">
      <c r="A19281" t="s">
        <v>8</v>
      </c>
      <c r="B19281" s="1" t="str">
        <f>"000309921 - RICHS SWEET DOUGH-SODEXO"</f>
        <v>000309921 - RICHS SWEET DOUGH-SODEXO</v>
      </c>
      <c r="C19281" t="s">
        <v>137</v>
      </c>
      <c r="D19281" s="1" t="str">
        <f t="shared" si="518"/>
        <v>PRG-1046879</v>
      </c>
      <c r="E19281" t="s">
        <v>306</v>
      </c>
      <c r="F19281" t="s">
        <v>4</v>
      </c>
      <c r="G19281" t="str">
        <f>""</f>
        <v/>
      </c>
    </row>
    <row r="19282" spans="1:7" x14ac:dyDescent="0.25">
      <c r="A19282" t="s">
        <v>8</v>
      </c>
      <c r="B19282" s="1" t="str">
        <f>"000309993 - RICHS SWEET DOUGH-SODEXO"</f>
        <v>000309993 - RICHS SWEET DOUGH-SODEXO</v>
      </c>
      <c r="C19282" t="s">
        <v>137</v>
      </c>
      <c r="D19282" s="1" t="str">
        <f t="shared" si="518"/>
        <v>PRG-1046879</v>
      </c>
      <c r="E19282" t="s">
        <v>306</v>
      </c>
      <c r="F19282" t="s">
        <v>4</v>
      </c>
      <c r="G19282" t="str">
        <f>""</f>
        <v/>
      </c>
    </row>
    <row r="19283" spans="1:7" x14ac:dyDescent="0.25">
      <c r="A19283" t="s">
        <v>8</v>
      </c>
      <c r="B19283" s="1" t="str">
        <f>"000313519 - RICHS SWEET DOUGH-SODEXO"</f>
        <v>000313519 - RICHS SWEET DOUGH-SODEXO</v>
      </c>
      <c r="C19283" t="s">
        <v>137</v>
      </c>
      <c r="D19283" s="1" t="str">
        <f t="shared" si="518"/>
        <v>PRG-1046879</v>
      </c>
      <c r="E19283" t="s">
        <v>306</v>
      </c>
      <c r="F19283" t="s">
        <v>4</v>
      </c>
      <c r="G19283" t="str">
        <f>""</f>
        <v/>
      </c>
    </row>
    <row r="19284" spans="1:7" x14ac:dyDescent="0.25">
      <c r="A19284" t="s">
        <v>8</v>
      </c>
      <c r="B19284" s="1" t="str">
        <f>"000315628 - RICHS SWEET DOUGH-SODEXO"</f>
        <v>000315628 - RICHS SWEET DOUGH-SODEXO</v>
      </c>
      <c r="C19284" t="s">
        <v>137</v>
      </c>
      <c r="D19284" s="1" t="str">
        <f t="shared" si="518"/>
        <v>PRG-1046879</v>
      </c>
      <c r="E19284" t="s">
        <v>306</v>
      </c>
      <c r="F19284" t="s">
        <v>4</v>
      </c>
      <c r="G19284" t="str">
        <f>""</f>
        <v/>
      </c>
    </row>
    <row r="19285" spans="1:7" x14ac:dyDescent="0.25">
      <c r="A19285" t="s">
        <v>8</v>
      </c>
      <c r="B19285" s="1" t="str">
        <f>"000316852 - RICHS SWEET DOUGH-SODEXO"</f>
        <v>000316852 - RICHS SWEET DOUGH-SODEXO</v>
      </c>
      <c r="C19285" t="s">
        <v>137</v>
      </c>
      <c r="D19285" s="1" t="str">
        <f t="shared" si="518"/>
        <v>PRG-1046879</v>
      </c>
      <c r="E19285" t="s">
        <v>306</v>
      </c>
      <c r="F19285" t="s">
        <v>4</v>
      </c>
      <c r="G19285" t="str">
        <f>""</f>
        <v/>
      </c>
    </row>
    <row r="19286" spans="1:7" x14ac:dyDescent="0.25">
      <c r="A19286" t="s">
        <v>8</v>
      </c>
      <c r="B19286" s="1" t="str">
        <f>"000316887 - RICHS SWEET DOUGH-SODEXO"</f>
        <v>000316887 - RICHS SWEET DOUGH-SODEXO</v>
      </c>
      <c r="C19286" t="s">
        <v>137</v>
      </c>
      <c r="D19286" s="1" t="str">
        <f t="shared" si="518"/>
        <v>PRG-1046879</v>
      </c>
      <c r="E19286" t="s">
        <v>306</v>
      </c>
      <c r="F19286" t="s">
        <v>4</v>
      </c>
      <c r="G19286" t="str">
        <f>""</f>
        <v/>
      </c>
    </row>
    <row r="19287" spans="1:7" x14ac:dyDescent="0.25">
      <c r="A19287" t="s">
        <v>8</v>
      </c>
      <c r="B19287" s="1" t="str">
        <f>"000318475 - RICHS SWEET DOUGH-SODEXO"</f>
        <v>000318475 - RICHS SWEET DOUGH-SODEXO</v>
      </c>
      <c r="C19287" t="s">
        <v>137</v>
      </c>
      <c r="D19287" s="1" t="str">
        <f t="shared" si="518"/>
        <v>PRG-1046879</v>
      </c>
      <c r="E19287" t="s">
        <v>306</v>
      </c>
      <c r="F19287" t="s">
        <v>4</v>
      </c>
      <c r="G19287" t="str">
        <f>""</f>
        <v/>
      </c>
    </row>
    <row r="19288" spans="1:7" x14ac:dyDescent="0.25">
      <c r="A19288" t="s">
        <v>8</v>
      </c>
      <c r="B19288" s="1" t="str">
        <f>"000320511 - RICHS SWEET DOUGH-SODEXO"</f>
        <v>000320511 - RICHS SWEET DOUGH-SODEXO</v>
      </c>
      <c r="C19288" t="s">
        <v>137</v>
      </c>
      <c r="D19288" s="1" t="str">
        <f t="shared" si="518"/>
        <v>PRG-1046879</v>
      </c>
      <c r="E19288" t="s">
        <v>306</v>
      </c>
      <c r="F19288" t="s">
        <v>4</v>
      </c>
      <c r="G19288" t="str">
        <f>""</f>
        <v/>
      </c>
    </row>
    <row r="19289" spans="1:7" x14ac:dyDescent="0.25">
      <c r="A19289" t="s">
        <v>8</v>
      </c>
      <c r="B19289" s="1" t="str">
        <f>"000322401 - RICHS SWEET DOUGH-SODEXO"</f>
        <v>000322401 - RICHS SWEET DOUGH-SODEXO</v>
      </c>
      <c r="C19289" t="s">
        <v>137</v>
      </c>
      <c r="D19289" s="1" t="str">
        <f t="shared" si="518"/>
        <v>PRG-1046879</v>
      </c>
      <c r="E19289" t="s">
        <v>306</v>
      </c>
      <c r="F19289" t="s">
        <v>4</v>
      </c>
      <c r="G19289" t="str">
        <f>""</f>
        <v/>
      </c>
    </row>
    <row r="19290" spans="1:7" x14ac:dyDescent="0.25">
      <c r="A19290" t="s">
        <v>8</v>
      </c>
      <c r="B19290" s="1" t="str">
        <f>"000324951 - RICHS SWEET DOUGH-SODEXO"</f>
        <v>000324951 - RICHS SWEET DOUGH-SODEXO</v>
      </c>
      <c r="C19290" t="s">
        <v>137</v>
      </c>
      <c r="D19290" s="1" t="str">
        <f t="shared" si="518"/>
        <v>PRG-1046879</v>
      </c>
      <c r="E19290" t="s">
        <v>306</v>
      </c>
      <c r="F19290" t="s">
        <v>4</v>
      </c>
      <c r="G19290" t="str">
        <f>""</f>
        <v/>
      </c>
    </row>
    <row r="19291" spans="1:7" x14ac:dyDescent="0.25">
      <c r="A19291" t="s">
        <v>8</v>
      </c>
      <c r="B19291" s="1" t="str">
        <f>"000325643 - RICHS SWEET DOUGH-SODEXO"</f>
        <v>000325643 - RICHS SWEET DOUGH-SODEXO</v>
      </c>
      <c r="C19291" t="s">
        <v>137</v>
      </c>
      <c r="D19291" s="1" t="str">
        <f t="shared" si="518"/>
        <v>PRG-1046879</v>
      </c>
      <c r="E19291" t="s">
        <v>306</v>
      </c>
      <c r="F19291" t="s">
        <v>4</v>
      </c>
      <c r="G19291" t="str">
        <f>""</f>
        <v/>
      </c>
    </row>
    <row r="19292" spans="1:7" x14ac:dyDescent="0.25">
      <c r="A19292" t="s">
        <v>8</v>
      </c>
      <c r="B19292" s="1" t="str">
        <f>"000327143 - RICHS SWEET DOUGH-SODEXO"</f>
        <v>000327143 - RICHS SWEET DOUGH-SODEXO</v>
      </c>
      <c r="C19292" t="s">
        <v>137</v>
      </c>
      <c r="D19292" s="1" t="str">
        <f t="shared" si="518"/>
        <v>PRG-1046879</v>
      </c>
      <c r="E19292" t="s">
        <v>306</v>
      </c>
      <c r="F19292" t="s">
        <v>4</v>
      </c>
      <c r="G19292" t="str">
        <f>""</f>
        <v/>
      </c>
    </row>
    <row r="19293" spans="1:7" x14ac:dyDescent="0.25">
      <c r="A19293" t="s">
        <v>8</v>
      </c>
      <c r="B19293" s="1" t="str">
        <f>"000328426 - RICHS SWEET DOUGH-SODEXO"</f>
        <v>000328426 - RICHS SWEET DOUGH-SODEXO</v>
      </c>
      <c r="C19293" t="s">
        <v>137</v>
      </c>
      <c r="D19293" s="1" t="str">
        <f t="shared" si="518"/>
        <v>PRG-1046879</v>
      </c>
      <c r="E19293" t="s">
        <v>306</v>
      </c>
      <c r="F19293" t="s">
        <v>4</v>
      </c>
      <c r="G19293" t="str">
        <f>""</f>
        <v/>
      </c>
    </row>
    <row r="19294" spans="1:7" x14ac:dyDescent="0.25">
      <c r="A19294" t="s">
        <v>8</v>
      </c>
      <c r="B19294" s="1" t="str">
        <f>"000328775 - RICHS SWEET DOUGH-SODEXO"</f>
        <v>000328775 - RICHS SWEET DOUGH-SODEXO</v>
      </c>
      <c r="C19294" t="s">
        <v>137</v>
      </c>
      <c r="D19294" s="1" t="str">
        <f t="shared" si="518"/>
        <v>PRG-1046879</v>
      </c>
      <c r="E19294" t="s">
        <v>306</v>
      </c>
      <c r="F19294" t="s">
        <v>4</v>
      </c>
      <c r="G19294" t="str">
        <f>""</f>
        <v/>
      </c>
    </row>
    <row r="19295" spans="1:7" x14ac:dyDescent="0.25">
      <c r="A19295" t="s">
        <v>8</v>
      </c>
      <c r="B19295" s="1" t="str">
        <f>"000330536 - RICHS SWEET DOUGH-SODEXO"</f>
        <v>000330536 - RICHS SWEET DOUGH-SODEXO</v>
      </c>
      <c r="C19295" t="s">
        <v>137</v>
      </c>
      <c r="D19295" s="1" t="str">
        <f t="shared" si="518"/>
        <v>PRG-1046879</v>
      </c>
      <c r="E19295" t="s">
        <v>306</v>
      </c>
      <c r="F19295" t="s">
        <v>4</v>
      </c>
      <c r="G19295" t="str">
        <f>""</f>
        <v/>
      </c>
    </row>
    <row r="19296" spans="1:7" x14ac:dyDescent="0.25">
      <c r="A19296" t="s">
        <v>8</v>
      </c>
      <c r="B19296" s="1" t="str">
        <f>"000331016 - RICHS SWEET DOUGH-SODEXO"</f>
        <v>000331016 - RICHS SWEET DOUGH-SODEXO</v>
      </c>
      <c r="C19296" t="s">
        <v>137</v>
      </c>
      <c r="D19296" s="1" t="str">
        <f t="shared" si="518"/>
        <v>PRG-1046879</v>
      </c>
      <c r="E19296" t="s">
        <v>306</v>
      </c>
      <c r="F19296" t="s">
        <v>4</v>
      </c>
      <c r="G19296" t="str">
        <f>""</f>
        <v/>
      </c>
    </row>
    <row r="19297" spans="1:7" x14ac:dyDescent="0.25">
      <c r="A19297" t="s">
        <v>8</v>
      </c>
      <c r="B19297" s="1" t="str">
        <f>"000336024 - RICHS SWEET DOUGH-SODEXO"</f>
        <v>000336024 - RICHS SWEET DOUGH-SODEXO</v>
      </c>
      <c r="C19297" t="s">
        <v>137</v>
      </c>
      <c r="D19297" s="1" t="str">
        <f t="shared" si="518"/>
        <v>PRG-1046879</v>
      </c>
      <c r="E19297" t="s">
        <v>306</v>
      </c>
      <c r="F19297" t="s">
        <v>4</v>
      </c>
      <c r="G19297" t="str">
        <f>""</f>
        <v/>
      </c>
    </row>
    <row r="19298" spans="1:7" x14ac:dyDescent="0.25">
      <c r="A19298" t="s">
        <v>8</v>
      </c>
      <c r="B19298" s="1" t="str">
        <f>"000337149 - RICHS SWEET DOUGH-SODEXO"</f>
        <v>000337149 - RICHS SWEET DOUGH-SODEXO</v>
      </c>
      <c r="C19298" t="s">
        <v>137</v>
      </c>
      <c r="D19298" s="1" t="str">
        <f t="shared" si="518"/>
        <v>PRG-1046879</v>
      </c>
      <c r="E19298" t="s">
        <v>306</v>
      </c>
      <c r="F19298" t="s">
        <v>4</v>
      </c>
      <c r="G19298" t="str">
        <f>""</f>
        <v/>
      </c>
    </row>
    <row r="19299" spans="1:7" x14ac:dyDescent="0.25">
      <c r="A19299" t="s">
        <v>8</v>
      </c>
      <c r="B19299" s="1" t="str">
        <f>"000337548 - RICHS SWEET DOUGH-SODEXO"</f>
        <v>000337548 - RICHS SWEET DOUGH-SODEXO</v>
      </c>
      <c r="C19299" t="s">
        <v>137</v>
      </c>
      <c r="D19299" s="1" t="str">
        <f t="shared" si="518"/>
        <v>PRG-1046879</v>
      </c>
      <c r="E19299" t="s">
        <v>306</v>
      </c>
      <c r="F19299" t="s">
        <v>4</v>
      </c>
      <c r="G19299" t="str">
        <f>""</f>
        <v/>
      </c>
    </row>
    <row r="19300" spans="1:7" x14ac:dyDescent="0.25">
      <c r="A19300" t="s">
        <v>8</v>
      </c>
      <c r="B19300" s="1" t="str">
        <f>"000339317 - RICHS SWEET DOUGH-SODEXO"</f>
        <v>000339317 - RICHS SWEET DOUGH-SODEXO</v>
      </c>
      <c r="C19300" t="s">
        <v>137</v>
      </c>
      <c r="D19300" s="1" t="str">
        <f t="shared" si="518"/>
        <v>PRG-1046879</v>
      </c>
      <c r="E19300" t="s">
        <v>306</v>
      </c>
      <c r="F19300" t="s">
        <v>4</v>
      </c>
      <c r="G19300" t="str">
        <f>""</f>
        <v/>
      </c>
    </row>
    <row r="19301" spans="1:7" x14ac:dyDescent="0.25">
      <c r="A19301" t="s">
        <v>8</v>
      </c>
      <c r="B19301" s="1" t="str">
        <f>"000339828 - RICHS SWEET DOUGH-SODEXO"</f>
        <v>000339828 - RICHS SWEET DOUGH-SODEXO</v>
      </c>
      <c r="C19301" t="s">
        <v>137</v>
      </c>
      <c r="D19301" s="1" t="str">
        <f t="shared" si="518"/>
        <v>PRG-1046879</v>
      </c>
      <c r="E19301" t="s">
        <v>306</v>
      </c>
      <c r="F19301" t="s">
        <v>4</v>
      </c>
      <c r="G19301" t="str">
        <f>""</f>
        <v/>
      </c>
    </row>
    <row r="19302" spans="1:7" x14ac:dyDescent="0.25">
      <c r="A19302" t="s">
        <v>8</v>
      </c>
      <c r="B19302" s="1" t="str">
        <f>"000341187 - RICHS SWEET DOUGH-SODEXO"</f>
        <v>000341187 - RICHS SWEET DOUGH-SODEXO</v>
      </c>
      <c r="C19302" t="s">
        <v>137</v>
      </c>
      <c r="D19302" s="1" t="str">
        <f t="shared" si="518"/>
        <v>PRG-1046879</v>
      </c>
      <c r="E19302" t="s">
        <v>306</v>
      </c>
      <c r="F19302" t="s">
        <v>4</v>
      </c>
      <c r="G19302" t="str">
        <f>""</f>
        <v/>
      </c>
    </row>
    <row r="19303" spans="1:7" x14ac:dyDescent="0.25">
      <c r="A19303" t="s">
        <v>8</v>
      </c>
      <c r="B19303" s="1" t="str">
        <f>"000341249 - RICHS SWEET DOUGH-SODEXO"</f>
        <v>000341249 - RICHS SWEET DOUGH-SODEXO</v>
      </c>
      <c r="C19303" t="s">
        <v>137</v>
      </c>
      <c r="D19303" s="1" t="str">
        <f t="shared" si="518"/>
        <v>PRG-1046879</v>
      </c>
      <c r="E19303" t="s">
        <v>306</v>
      </c>
      <c r="F19303" t="s">
        <v>4</v>
      </c>
      <c r="G19303" t="str">
        <f>""</f>
        <v/>
      </c>
    </row>
    <row r="19304" spans="1:7" x14ac:dyDescent="0.25">
      <c r="A19304" t="s">
        <v>8</v>
      </c>
      <c r="B19304" s="1" t="str">
        <f>"000341634 - RICHS SWEET DOUGH-SODEXO"</f>
        <v>000341634 - RICHS SWEET DOUGH-SODEXO</v>
      </c>
      <c r="C19304" t="s">
        <v>137</v>
      </c>
      <c r="D19304" s="1" t="str">
        <f t="shared" ref="D19304:D19367" si="519">"PRG-1046879"</f>
        <v>PRG-1046879</v>
      </c>
      <c r="E19304" t="s">
        <v>306</v>
      </c>
      <c r="F19304" t="s">
        <v>4</v>
      </c>
      <c r="G19304" t="str">
        <f>""</f>
        <v/>
      </c>
    </row>
    <row r="19305" spans="1:7" x14ac:dyDescent="0.25">
      <c r="A19305" t="s">
        <v>8</v>
      </c>
      <c r="B19305" s="1" t="str">
        <f>"000347083 - RICHS SWEET DOUGH-SODEXO"</f>
        <v>000347083 - RICHS SWEET DOUGH-SODEXO</v>
      </c>
      <c r="C19305" t="s">
        <v>137</v>
      </c>
      <c r="D19305" s="1" t="str">
        <f t="shared" si="519"/>
        <v>PRG-1046879</v>
      </c>
      <c r="E19305" t="s">
        <v>306</v>
      </c>
      <c r="F19305" t="s">
        <v>4</v>
      </c>
      <c r="G19305" t="str">
        <f>""</f>
        <v/>
      </c>
    </row>
    <row r="19306" spans="1:7" x14ac:dyDescent="0.25">
      <c r="A19306" t="s">
        <v>8</v>
      </c>
      <c r="B19306" s="1" t="str">
        <f>"000347131 - RICHS SWEET DOUGH-SODEXO"</f>
        <v>000347131 - RICHS SWEET DOUGH-SODEXO</v>
      </c>
      <c r="C19306" t="s">
        <v>137</v>
      </c>
      <c r="D19306" s="1" t="str">
        <f t="shared" si="519"/>
        <v>PRG-1046879</v>
      </c>
      <c r="E19306" t="s">
        <v>306</v>
      </c>
      <c r="F19306" t="s">
        <v>4</v>
      </c>
      <c r="G19306" t="str">
        <f>""</f>
        <v/>
      </c>
    </row>
    <row r="19307" spans="1:7" x14ac:dyDescent="0.25">
      <c r="A19307" t="s">
        <v>8</v>
      </c>
      <c r="B19307" s="1" t="str">
        <f>"000348583 - RICHS SWEET DOUGH-SODEXO"</f>
        <v>000348583 - RICHS SWEET DOUGH-SODEXO</v>
      </c>
      <c r="C19307" t="s">
        <v>137</v>
      </c>
      <c r="D19307" s="1" t="str">
        <f t="shared" si="519"/>
        <v>PRG-1046879</v>
      </c>
      <c r="E19307" t="s">
        <v>306</v>
      </c>
      <c r="F19307" t="s">
        <v>4</v>
      </c>
      <c r="G19307" t="str">
        <f>""</f>
        <v/>
      </c>
    </row>
    <row r="19308" spans="1:7" x14ac:dyDescent="0.25">
      <c r="A19308" t="s">
        <v>8</v>
      </c>
      <c r="B19308" s="1" t="str">
        <f>"000348613 - RICHS SWEET DOUGH-SODEXO"</f>
        <v>000348613 - RICHS SWEET DOUGH-SODEXO</v>
      </c>
      <c r="C19308" t="s">
        <v>137</v>
      </c>
      <c r="D19308" s="1" t="str">
        <f t="shared" si="519"/>
        <v>PRG-1046879</v>
      </c>
      <c r="E19308" t="s">
        <v>306</v>
      </c>
      <c r="F19308" t="s">
        <v>4</v>
      </c>
      <c r="G19308" t="str">
        <f>""</f>
        <v/>
      </c>
    </row>
    <row r="19309" spans="1:7" x14ac:dyDescent="0.25">
      <c r="A19309" t="s">
        <v>8</v>
      </c>
      <c r="B19309" s="1" t="str">
        <f>"000349664 - RICHS SWEET DOUGH-SODEXO"</f>
        <v>000349664 - RICHS SWEET DOUGH-SODEXO</v>
      </c>
      <c r="C19309" t="s">
        <v>137</v>
      </c>
      <c r="D19309" s="1" t="str">
        <f t="shared" si="519"/>
        <v>PRG-1046879</v>
      </c>
      <c r="E19309" t="s">
        <v>306</v>
      </c>
      <c r="F19309" t="s">
        <v>4</v>
      </c>
      <c r="G19309" t="str">
        <f>""</f>
        <v/>
      </c>
    </row>
    <row r="19310" spans="1:7" x14ac:dyDescent="0.25">
      <c r="A19310" t="s">
        <v>8</v>
      </c>
      <c r="B19310" s="1" t="str">
        <f>"000350143 - RICHS SWEET DOUGH-SODEXO"</f>
        <v>000350143 - RICHS SWEET DOUGH-SODEXO</v>
      </c>
      <c r="C19310" t="s">
        <v>137</v>
      </c>
      <c r="D19310" s="1" t="str">
        <f t="shared" si="519"/>
        <v>PRG-1046879</v>
      </c>
      <c r="E19310" t="s">
        <v>306</v>
      </c>
      <c r="F19310" t="s">
        <v>4</v>
      </c>
      <c r="G19310" t="str">
        <f>""</f>
        <v/>
      </c>
    </row>
    <row r="19311" spans="1:7" x14ac:dyDescent="0.25">
      <c r="A19311" t="s">
        <v>8</v>
      </c>
      <c r="B19311" s="1" t="str">
        <f>"000350177 - RICHS SWEET DOUGH-SODEXO"</f>
        <v>000350177 - RICHS SWEET DOUGH-SODEXO</v>
      </c>
      <c r="C19311" t="s">
        <v>137</v>
      </c>
      <c r="D19311" s="1" t="str">
        <f t="shared" si="519"/>
        <v>PRG-1046879</v>
      </c>
      <c r="E19311" t="s">
        <v>306</v>
      </c>
      <c r="F19311" t="s">
        <v>4</v>
      </c>
      <c r="G19311" t="str">
        <f>""</f>
        <v/>
      </c>
    </row>
    <row r="19312" spans="1:7" x14ac:dyDescent="0.25">
      <c r="A19312" t="s">
        <v>8</v>
      </c>
      <c r="B19312" s="1" t="str">
        <f>"000350401 - RICHS SWEET DOUGH-SODEXO"</f>
        <v>000350401 - RICHS SWEET DOUGH-SODEXO</v>
      </c>
      <c r="C19312" t="s">
        <v>137</v>
      </c>
      <c r="D19312" s="1" t="str">
        <f t="shared" si="519"/>
        <v>PRG-1046879</v>
      </c>
      <c r="E19312" t="s">
        <v>306</v>
      </c>
      <c r="F19312" t="s">
        <v>4</v>
      </c>
      <c r="G19312" t="str">
        <f>""</f>
        <v/>
      </c>
    </row>
    <row r="19313" spans="1:7" x14ac:dyDescent="0.25">
      <c r="A19313" t="s">
        <v>8</v>
      </c>
      <c r="B19313" s="1" t="str">
        <f>"000350793 - RICHS SWEET DOUGH-SODEXO"</f>
        <v>000350793 - RICHS SWEET DOUGH-SODEXO</v>
      </c>
      <c r="C19313" t="s">
        <v>137</v>
      </c>
      <c r="D19313" s="1" t="str">
        <f t="shared" si="519"/>
        <v>PRG-1046879</v>
      </c>
      <c r="E19313" t="s">
        <v>306</v>
      </c>
      <c r="F19313" t="s">
        <v>4</v>
      </c>
      <c r="G19313" t="str">
        <f>""</f>
        <v/>
      </c>
    </row>
    <row r="19314" spans="1:7" x14ac:dyDescent="0.25">
      <c r="A19314" t="s">
        <v>8</v>
      </c>
      <c r="B19314" s="1" t="str">
        <f>"000351563 - RICHS SWEET DOUGH-SODEXO"</f>
        <v>000351563 - RICHS SWEET DOUGH-SODEXO</v>
      </c>
      <c r="C19314" t="s">
        <v>137</v>
      </c>
      <c r="D19314" s="1" t="str">
        <f t="shared" si="519"/>
        <v>PRG-1046879</v>
      </c>
      <c r="E19314" t="s">
        <v>306</v>
      </c>
      <c r="F19314" t="s">
        <v>4</v>
      </c>
      <c r="G19314" t="str">
        <f>""</f>
        <v/>
      </c>
    </row>
    <row r="19315" spans="1:7" x14ac:dyDescent="0.25">
      <c r="A19315" t="s">
        <v>8</v>
      </c>
      <c r="B19315" s="1" t="str">
        <f>"000352697 - RICHS SWEET DOUGH-SODEXO"</f>
        <v>000352697 - RICHS SWEET DOUGH-SODEXO</v>
      </c>
      <c r="C19315" t="s">
        <v>137</v>
      </c>
      <c r="D19315" s="1" t="str">
        <f t="shared" si="519"/>
        <v>PRG-1046879</v>
      </c>
      <c r="E19315" t="s">
        <v>306</v>
      </c>
      <c r="F19315" t="s">
        <v>4</v>
      </c>
      <c r="G19315" t="str">
        <f>""</f>
        <v/>
      </c>
    </row>
    <row r="19316" spans="1:7" x14ac:dyDescent="0.25">
      <c r="A19316" t="s">
        <v>8</v>
      </c>
      <c r="B19316" s="1" t="str">
        <f>"000352803 - RICHS SWEET DOUGH-SODEXO"</f>
        <v>000352803 - RICHS SWEET DOUGH-SODEXO</v>
      </c>
      <c r="C19316" t="s">
        <v>137</v>
      </c>
      <c r="D19316" s="1" t="str">
        <f t="shared" si="519"/>
        <v>PRG-1046879</v>
      </c>
      <c r="E19316" t="s">
        <v>306</v>
      </c>
      <c r="F19316" t="s">
        <v>4</v>
      </c>
      <c r="G19316" t="str">
        <f>""</f>
        <v/>
      </c>
    </row>
    <row r="19317" spans="1:7" x14ac:dyDescent="0.25">
      <c r="A19317" t="s">
        <v>8</v>
      </c>
      <c r="B19317" s="1" t="str">
        <f>"000353741 - RICHS SWEET DOUGH-SODEXO"</f>
        <v>000353741 - RICHS SWEET DOUGH-SODEXO</v>
      </c>
      <c r="C19317" t="s">
        <v>137</v>
      </c>
      <c r="D19317" s="1" t="str">
        <f t="shared" si="519"/>
        <v>PRG-1046879</v>
      </c>
      <c r="E19317" t="s">
        <v>306</v>
      </c>
      <c r="F19317" t="s">
        <v>4</v>
      </c>
      <c r="G19317" t="str">
        <f>""</f>
        <v/>
      </c>
    </row>
    <row r="19318" spans="1:7" x14ac:dyDescent="0.25">
      <c r="A19318" t="s">
        <v>8</v>
      </c>
      <c r="B19318" s="1" t="str">
        <f>"000356362 - RICHS SWEET DOUGH-SODEXO"</f>
        <v>000356362 - RICHS SWEET DOUGH-SODEXO</v>
      </c>
      <c r="C19318" t="s">
        <v>137</v>
      </c>
      <c r="D19318" s="1" t="str">
        <f t="shared" si="519"/>
        <v>PRG-1046879</v>
      </c>
      <c r="E19318" t="s">
        <v>306</v>
      </c>
      <c r="F19318" t="s">
        <v>4</v>
      </c>
      <c r="G19318" t="str">
        <f>""</f>
        <v/>
      </c>
    </row>
    <row r="19319" spans="1:7" x14ac:dyDescent="0.25">
      <c r="A19319" t="s">
        <v>8</v>
      </c>
      <c r="B19319" s="1" t="str">
        <f>"000356367 - RICHS SWEET DOUGH-SODEXO"</f>
        <v>000356367 - RICHS SWEET DOUGH-SODEXO</v>
      </c>
      <c r="C19319" t="s">
        <v>137</v>
      </c>
      <c r="D19319" s="1" t="str">
        <f t="shared" si="519"/>
        <v>PRG-1046879</v>
      </c>
      <c r="E19319" t="s">
        <v>306</v>
      </c>
      <c r="F19319" t="s">
        <v>4</v>
      </c>
      <c r="G19319" t="str">
        <f>""</f>
        <v/>
      </c>
    </row>
    <row r="19320" spans="1:7" x14ac:dyDescent="0.25">
      <c r="A19320" t="s">
        <v>8</v>
      </c>
      <c r="B19320" s="1" t="str">
        <f>"000357626 - RICHS SWEET DOUGH-SODEXO"</f>
        <v>000357626 - RICHS SWEET DOUGH-SODEXO</v>
      </c>
      <c r="C19320" t="s">
        <v>137</v>
      </c>
      <c r="D19320" s="1" t="str">
        <f t="shared" si="519"/>
        <v>PRG-1046879</v>
      </c>
      <c r="E19320" t="s">
        <v>306</v>
      </c>
      <c r="F19320" t="s">
        <v>4</v>
      </c>
      <c r="G19320" t="str">
        <f>""</f>
        <v/>
      </c>
    </row>
    <row r="19321" spans="1:7" x14ac:dyDescent="0.25">
      <c r="A19321" t="s">
        <v>8</v>
      </c>
      <c r="B19321" s="1" t="str">
        <f>"000360618 - RICHS SWEET DOUGH-SODEXO"</f>
        <v>000360618 - RICHS SWEET DOUGH-SODEXO</v>
      </c>
      <c r="C19321" t="s">
        <v>137</v>
      </c>
      <c r="D19321" s="1" t="str">
        <f t="shared" si="519"/>
        <v>PRG-1046879</v>
      </c>
      <c r="E19321" t="s">
        <v>306</v>
      </c>
      <c r="F19321" t="s">
        <v>4</v>
      </c>
      <c r="G19321" t="str">
        <f>""</f>
        <v/>
      </c>
    </row>
    <row r="19322" spans="1:7" x14ac:dyDescent="0.25">
      <c r="A19322" t="s">
        <v>8</v>
      </c>
      <c r="B19322" s="1" t="str">
        <f>"000362165 - RICHS SWEET DOUGH-SODEXO"</f>
        <v>000362165 - RICHS SWEET DOUGH-SODEXO</v>
      </c>
      <c r="C19322" t="s">
        <v>137</v>
      </c>
      <c r="D19322" s="1" t="str">
        <f t="shared" si="519"/>
        <v>PRG-1046879</v>
      </c>
      <c r="E19322" t="s">
        <v>306</v>
      </c>
      <c r="F19322" t="s">
        <v>4</v>
      </c>
      <c r="G19322" t="str">
        <f>""</f>
        <v/>
      </c>
    </row>
    <row r="19323" spans="1:7" x14ac:dyDescent="0.25">
      <c r="A19323" t="s">
        <v>8</v>
      </c>
      <c r="B19323" s="1" t="str">
        <f>"000363869 - RICHS SWEET DOUGH-SODEXO"</f>
        <v>000363869 - RICHS SWEET DOUGH-SODEXO</v>
      </c>
      <c r="C19323" t="s">
        <v>137</v>
      </c>
      <c r="D19323" s="1" t="str">
        <f t="shared" si="519"/>
        <v>PRG-1046879</v>
      </c>
      <c r="E19323" t="s">
        <v>306</v>
      </c>
      <c r="F19323" t="s">
        <v>4</v>
      </c>
      <c r="G19323" t="str">
        <f>""</f>
        <v/>
      </c>
    </row>
    <row r="19324" spans="1:7" x14ac:dyDescent="0.25">
      <c r="A19324" t="s">
        <v>8</v>
      </c>
      <c r="B19324" s="1" t="str">
        <f>"000364148 - RICHS SWEET DOUGH-SODEXO"</f>
        <v>000364148 - RICHS SWEET DOUGH-SODEXO</v>
      </c>
      <c r="C19324" t="s">
        <v>137</v>
      </c>
      <c r="D19324" s="1" t="str">
        <f t="shared" si="519"/>
        <v>PRG-1046879</v>
      </c>
      <c r="E19324" t="s">
        <v>306</v>
      </c>
      <c r="F19324" t="s">
        <v>4</v>
      </c>
      <c r="G19324" t="str">
        <f>""</f>
        <v/>
      </c>
    </row>
    <row r="19325" spans="1:7" x14ac:dyDescent="0.25">
      <c r="A19325" t="s">
        <v>8</v>
      </c>
      <c r="B19325" s="1" t="str">
        <f>"000364293 - RICHS SWEET DOUGH-SODEXO"</f>
        <v>000364293 - RICHS SWEET DOUGH-SODEXO</v>
      </c>
      <c r="C19325" t="s">
        <v>137</v>
      </c>
      <c r="D19325" s="1" t="str">
        <f t="shared" si="519"/>
        <v>PRG-1046879</v>
      </c>
      <c r="E19325" t="s">
        <v>306</v>
      </c>
      <c r="F19325" t="s">
        <v>4</v>
      </c>
      <c r="G19325" t="str">
        <f>""</f>
        <v/>
      </c>
    </row>
    <row r="19326" spans="1:7" x14ac:dyDescent="0.25">
      <c r="A19326" t="s">
        <v>8</v>
      </c>
      <c r="B19326" s="1" t="str">
        <f>"000364929 - RICHS SWEET DOUGH-SODEXO"</f>
        <v>000364929 - RICHS SWEET DOUGH-SODEXO</v>
      </c>
      <c r="C19326" t="s">
        <v>137</v>
      </c>
      <c r="D19326" s="1" t="str">
        <f t="shared" si="519"/>
        <v>PRG-1046879</v>
      </c>
      <c r="E19326" t="s">
        <v>306</v>
      </c>
      <c r="F19326" t="s">
        <v>4</v>
      </c>
      <c r="G19326" t="str">
        <f>""</f>
        <v/>
      </c>
    </row>
    <row r="19327" spans="1:7" x14ac:dyDescent="0.25">
      <c r="A19327" t="s">
        <v>8</v>
      </c>
      <c r="B19327" s="1" t="str">
        <f>"000365101 - RICHS SWEET DOUGH-SODEXO"</f>
        <v>000365101 - RICHS SWEET DOUGH-SODEXO</v>
      </c>
      <c r="C19327" t="s">
        <v>137</v>
      </c>
      <c r="D19327" s="1" t="str">
        <f t="shared" si="519"/>
        <v>PRG-1046879</v>
      </c>
      <c r="E19327" t="s">
        <v>306</v>
      </c>
      <c r="F19327" t="s">
        <v>4</v>
      </c>
      <c r="G19327" t="str">
        <f>""</f>
        <v/>
      </c>
    </row>
    <row r="19328" spans="1:7" x14ac:dyDescent="0.25">
      <c r="A19328" t="s">
        <v>8</v>
      </c>
      <c r="B19328" s="1" t="str">
        <f>"000365531 - RICHS SWEET DOUGH-SODEXO"</f>
        <v>000365531 - RICHS SWEET DOUGH-SODEXO</v>
      </c>
      <c r="C19328" t="s">
        <v>137</v>
      </c>
      <c r="D19328" s="1" t="str">
        <f t="shared" si="519"/>
        <v>PRG-1046879</v>
      </c>
      <c r="E19328" t="s">
        <v>306</v>
      </c>
      <c r="F19328" t="s">
        <v>4</v>
      </c>
      <c r="G19328" t="str">
        <f>""</f>
        <v/>
      </c>
    </row>
    <row r="19329" spans="1:7" x14ac:dyDescent="0.25">
      <c r="A19329" t="s">
        <v>8</v>
      </c>
      <c r="B19329" s="1" t="str">
        <f>"000365824 - RICHS SWEET DOUGH-SODEXO"</f>
        <v>000365824 - RICHS SWEET DOUGH-SODEXO</v>
      </c>
      <c r="C19329" t="s">
        <v>137</v>
      </c>
      <c r="D19329" s="1" t="str">
        <f t="shared" si="519"/>
        <v>PRG-1046879</v>
      </c>
      <c r="E19329" t="s">
        <v>306</v>
      </c>
      <c r="F19329" t="s">
        <v>4</v>
      </c>
      <c r="G19329" t="str">
        <f>""</f>
        <v/>
      </c>
    </row>
    <row r="19330" spans="1:7" x14ac:dyDescent="0.25">
      <c r="A19330" t="s">
        <v>8</v>
      </c>
      <c r="B19330" s="1" t="str">
        <f>"000366680 - RICHS SWEET DOUGH-SODEXO"</f>
        <v>000366680 - RICHS SWEET DOUGH-SODEXO</v>
      </c>
      <c r="C19330" t="s">
        <v>137</v>
      </c>
      <c r="D19330" s="1" t="str">
        <f t="shared" si="519"/>
        <v>PRG-1046879</v>
      </c>
      <c r="E19330" t="s">
        <v>306</v>
      </c>
      <c r="F19330" t="s">
        <v>4</v>
      </c>
      <c r="G19330" t="str">
        <f>""</f>
        <v/>
      </c>
    </row>
    <row r="19331" spans="1:7" x14ac:dyDescent="0.25">
      <c r="A19331" t="s">
        <v>8</v>
      </c>
      <c r="B19331" s="1" t="str">
        <f>"000368733 - RICHS SWEET DOUGH-SODEXO"</f>
        <v>000368733 - RICHS SWEET DOUGH-SODEXO</v>
      </c>
      <c r="C19331" t="s">
        <v>137</v>
      </c>
      <c r="D19331" s="1" t="str">
        <f t="shared" si="519"/>
        <v>PRG-1046879</v>
      </c>
      <c r="E19331" t="s">
        <v>306</v>
      </c>
      <c r="F19331" t="s">
        <v>4</v>
      </c>
      <c r="G19331" t="str">
        <f>""</f>
        <v/>
      </c>
    </row>
    <row r="19332" spans="1:7" x14ac:dyDescent="0.25">
      <c r="A19332" t="s">
        <v>8</v>
      </c>
      <c r="B19332" s="1" t="str">
        <f>"000370856 - RICHS SWEET DOUGH-SODEXO"</f>
        <v>000370856 - RICHS SWEET DOUGH-SODEXO</v>
      </c>
      <c r="C19332" t="s">
        <v>137</v>
      </c>
      <c r="D19332" s="1" t="str">
        <f t="shared" si="519"/>
        <v>PRG-1046879</v>
      </c>
      <c r="E19332" t="s">
        <v>306</v>
      </c>
      <c r="F19332" t="s">
        <v>4</v>
      </c>
      <c r="G19332" t="str">
        <f>""</f>
        <v/>
      </c>
    </row>
    <row r="19333" spans="1:7" x14ac:dyDescent="0.25">
      <c r="A19333" t="s">
        <v>8</v>
      </c>
      <c r="B19333" s="1" t="str">
        <f>"000371184 - RICHS SWEET DOUGH-SODEXO"</f>
        <v>000371184 - RICHS SWEET DOUGH-SODEXO</v>
      </c>
      <c r="C19333" t="s">
        <v>137</v>
      </c>
      <c r="D19333" s="1" t="str">
        <f t="shared" si="519"/>
        <v>PRG-1046879</v>
      </c>
      <c r="E19333" t="s">
        <v>306</v>
      </c>
      <c r="F19333" t="s">
        <v>4</v>
      </c>
      <c r="G19333" t="str">
        <f>""</f>
        <v/>
      </c>
    </row>
    <row r="19334" spans="1:7" x14ac:dyDescent="0.25">
      <c r="A19334" t="s">
        <v>8</v>
      </c>
      <c r="B19334" s="1" t="str">
        <f>"000371396 - RICHS SWEET DOUGH-SODEXO"</f>
        <v>000371396 - RICHS SWEET DOUGH-SODEXO</v>
      </c>
      <c r="C19334" t="s">
        <v>137</v>
      </c>
      <c r="D19334" s="1" t="str">
        <f t="shared" si="519"/>
        <v>PRG-1046879</v>
      </c>
      <c r="E19334" t="s">
        <v>306</v>
      </c>
      <c r="F19334" t="s">
        <v>4</v>
      </c>
      <c r="G19334" t="str">
        <f>""</f>
        <v/>
      </c>
    </row>
    <row r="19335" spans="1:7" x14ac:dyDescent="0.25">
      <c r="A19335" t="s">
        <v>8</v>
      </c>
      <c r="B19335" s="1" t="str">
        <f>"000372291 - RICHS SWEET DOUGH-SODEXO"</f>
        <v>000372291 - RICHS SWEET DOUGH-SODEXO</v>
      </c>
      <c r="C19335" t="s">
        <v>137</v>
      </c>
      <c r="D19335" s="1" t="str">
        <f t="shared" si="519"/>
        <v>PRG-1046879</v>
      </c>
      <c r="E19335" t="s">
        <v>306</v>
      </c>
      <c r="F19335" t="s">
        <v>4</v>
      </c>
      <c r="G19335" t="str">
        <f>""</f>
        <v/>
      </c>
    </row>
    <row r="19336" spans="1:7" x14ac:dyDescent="0.25">
      <c r="A19336" t="s">
        <v>8</v>
      </c>
      <c r="B19336" s="1" t="str">
        <f>"000372870 - RICHS SWEET DOUGH-SODEXO"</f>
        <v>000372870 - RICHS SWEET DOUGH-SODEXO</v>
      </c>
      <c r="C19336" t="s">
        <v>137</v>
      </c>
      <c r="D19336" s="1" t="str">
        <f t="shared" si="519"/>
        <v>PRG-1046879</v>
      </c>
      <c r="E19336" t="s">
        <v>306</v>
      </c>
      <c r="F19336" t="s">
        <v>4</v>
      </c>
      <c r="G19336" t="str">
        <f>""</f>
        <v/>
      </c>
    </row>
    <row r="19337" spans="1:7" x14ac:dyDescent="0.25">
      <c r="A19337" t="s">
        <v>8</v>
      </c>
      <c r="B19337" s="1" t="str">
        <f>"000373270 - RICHS SWEET DOUGH-SODEXO"</f>
        <v>000373270 - RICHS SWEET DOUGH-SODEXO</v>
      </c>
      <c r="C19337" t="s">
        <v>137</v>
      </c>
      <c r="D19337" s="1" t="str">
        <f t="shared" si="519"/>
        <v>PRG-1046879</v>
      </c>
      <c r="E19337" t="s">
        <v>306</v>
      </c>
      <c r="F19337" t="s">
        <v>4</v>
      </c>
      <c r="G19337" t="str">
        <f>""</f>
        <v/>
      </c>
    </row>
    <row r="19338" spans="1:7" x14ac:dyDescent="0.25">
      <c r="A19338" t="s">
        <v>8</v>
      </c>
      <c r="B19338" s="1" t="str">
        <f>"000373403 - RICHS SWEET DOUGH-SODEXO"</f>
        <v>000373403 - RICHS SWEET DOUGH-SODEXO</v>
      </c>
      <c r="C19338" t="s">
        <v>137</v>
      </c>
      <c r="D19338" s="1" t="str">
        <f t="shared" si="519"/>
        <v>PRG-1046879</v>
      </c>
      <c r="E19338" t="s">
        <v>306</v>
      </c>
      <c r="F19338" t="s">
        <v>4</v>
      </c>
      <c r="G19338" t="str">
        <f>""</f>
        <v/>
      </c>
    </row>
    <row r="19339" spans="1:7" x14ac:dyDescent="0.25">
      <c r="A19339" t="s">
        <v>8</v>
      </c>
      <c r="B19339" s="1" t="str">
        <f>"000373927 - RICHS SWEET DOUGH-SODEXO"</f>
        <v>000373927 - RICHS SWEET DOUGH-SODEXO</v>
      </c>
      <c r="C19339" t="s">
        <v>137</v>
      </c>
      <c r="D19339" s="1" t="str">
        <f t="shared" si="519"/>
        <v>PRG-1046879</v>
      </c>
      <c r="E19339" t="s">
        <v>306</v>
      </c>
      <c r="F19339" t="s">
        <v>4</v>
      </c>
      <c r="G19339" t="str">
        <f>""</f>
        <v/>
      </c>
    </row>
    <row r="19340" spans="1:7" x14ac:dyDescent="0.25">
      <c r="A19340" t="s">
        <v>8</v>
      </c>
      <c r="B19340" s="1" t="str">
        <f>"000375105 - RICHS SWEET DOUGH-SODEXO"</f>
        <v>000375105 - RICHS SWEET DOUGH-SODEXO</v>
      </c>
      <c r="C19340" t="s">
        <v>137</v>
      </c>
      <c r="D19340" s="1" t="str">
        <f t="shared" si="519"/>
        <v>PRG-1046879</v>
      </c>
      <c r="E19340" t="s">
        <v>306</v>
      </c>
      <c r="F19340" t="s">
        <v>4</v>
      </c>
      <c r="G19340" t="str">
        <f>""</f>
        <v/>
      </c>
    </row>
    <row r="19341" spans="1:7" x14ac:dyDescent="0.25">
      <c r="A19341" t="s">
        <v>8</v>
      </c>
      <c r="B19341" s="1" t="str">
        <f>"000375347 - RICHS SWEET DOUGH-SODEXO"</f>
        <v>000375347 - RICHS SWEET DOUGH-SODEXO</v>
      </c>
      <c r="C19341" t="s">
        <v>137</v>
      </c>
      <c r="D19341" s="1" t="str">
        <f t="shared" si="519"/>
        <v>PRG-1046879</v>
      </c>
      <c r="E19341" t="s">
        <v>306</v>
      </c>
      <c r="F19341" t="s">
        <v>4</v>
      </c>
      <c r="G19341" t="str">
        <f>""</f>
        <v/>
      </c>
    </row>
    <row r="19342" spans="1:7" x14ac:dyDescent="0.25">
      <c r="A19342" t="s">
        <v>8</v>
      </c>
      <c r="B19342" s="1" t="str">
        <f>"000375433 - RICHS SWEET DOUGH-SODEXO"</f>
        <v>000375433 - RICHS SWEET DOUGH-SODEXO</v>
      </c>
      <c r="C19342" t="s">
        <v>137</v>
      </c>
      <c r="D19342" s="1" t="str">
        <f t="shared" si="519"/>
        <v>PRG-1046879</v>
      </c>
      <c r="E19342" t="s">
        <v>306</v>
      </c>
      <c r="F19342" t="s">
        <v>4</v>
      </c>
      <c r="G19342" t="str">
        <f>""</f>
        <v/>
      </c>
    </row>
    <row r="19343" spans="1:7" x14ac:dyDescent="0.25">
      <c r="A19343" t="s">
        <v>8</v>
      </c>
      <c r="B19343" s="1" t="str">
        <f>"000376150 - RICHS SWEET DOUGH-SODEXO"</f>
        <v>000376150 - RICHS SWEET DOUGH-SODEXO</v>
      </c>
      <c r="C19343" t="s">
        <v>137</v>
      </c>
      <c r="D19343" s="1" t="str">
        <f t="shared" si="519"/>
        <v>PRG-1046879</v>
      </c>
      <c r="E19343" t="s">
        <v>306</v>
      </c>
      <c r="F19343" t="s">
        <v>4</v>
      </c>
      <c r="G19343" t="str">
        <f>""</f>
        <v/>
      </c>
    </row>
    <row r="19344" spans="1:7" x14ac:dyDescent="0.25">
      <c r="A19344" t="s">
        <v>8</v>
      </c>
      <c r="B19344" s="1" t="str">
        <f>"000376853 - RICHS SWEET DOUGH-SODEXO"</f>
        <v>000376853 - RICHS SWEET DOUGH-SODEXO</v>
      </c>
      <c r="C19344" t="s">
        <v>137</v>
      </c>
      <c r="D19344" s="1" t="str">
        <f t="shared" si="519"/>
        <v>PRG-1046879</v>
      </c>
      <c r="E19344" t="s">
        <v>306</v>
      </c>
      <c r="F19344" t="s">
        <v>4</v>
      </c>
      <c r="G19344" t="str">
        <f>""</f>
        <v/>
      </c>
    </row>
    <row r="19345" spans="1:7" x14ac:dyDescent="0.25">
      <c r="A19345" t="s">
        <v>8</v>
      </c>
      <c r="B19345" s="1" t="str">
        <f>"000377519 - RICHS SWEET DOUGH-SODEXO"</f>
        <v>000377519 - RICHS SWEET DOUGH-SODEXO</v>
      </c>
      <c r="C19345" t="s">
        <v>137</v>
      </c>
      <c r="D19345" s="1" t="str">
        <f t="shared" si="519"/>
        <v>PRG-1046879</v>
      </c>
      <c r="E19345" t="s">
        <v>306</v>
      </c>
      <c r="F19345" t="s">
        <v>4</v>
      </c>
      <c r="G19345" t="str">
        <f>""</f>
        <v/>
      </c>
    </row>
    <row r="19346" spans="1:7" x14ac:dyDescent="0.25">
      <c r="A19346" t="s">
        <v>8</v>
      </c>
      <c r="B19346" s="1" t="str">
        <f>"000378870 - RICHS SWEET DOUGH-SODEXO"</f>
        <v>000378870 - RICHS SWEET DOUGH-SODEXO</v>
      </c>
      <c r="C19346" t="s">
        <v>137</v>
      </c>
      <c r="D19346" s="1" t="str">
        <f t="shared" si="519"/>
        <v>PRG-1046879</v>
      </c>
      <c r="E19346" t="s">
        <v>306</v>
      </c>
      <c r="F19346" t="s">
        <v>4</v>
      </c>
      <c r="G19346" t="str">
        <f>""</f>
        <v/>
      </c>
    </row>
    <row r="19347" spans="1:7" x14ac:dyDescent="0.25">
      <c r="A19347" t="s">
        <v>8</v>
      </c>
      <c r="B19347" s="1" t="str">
        <f>"000383662 - RICHS SWEET DOUGH-SODEXO"</f>
        <v>000383662 - RICHS SWEET DOUGH-SODEXO</v>
      </c>
      <c r="C19347" t="s">
        <v>137</v>
      </c>
      <c r="D19347" s="1" t="str">
        <f t="shared" si="519"/>
        <v>PRG-1046879</v>
      </c>
      <c r="E19347" t="s">
        <v>306</v>
      </c>
      <c r="F19347" t="s">
        <v>4</v>
      </c>
      <c r="G19347" t="str">
        <f>""</f>
        <v/>
      </c>
    </row>
    <row r="19348" spans="1:7" x14ac:dyDescent="0.25">
      <c r="A19348" t="s">
        <v>8</v>
      </c>
      <c r="B19348" s="1" t="str">
        <f>"000384164 - RICHS SWEET DOUGH-SODEXO"</f>
        <v>000384164 - RICHS SWEET DOUGH-SODEXO</v>
      </c>
      <c r="C19348" t="s">
        <v>137</v>
      </c>
      <c r="D19348" s="1" t="str">
        <f t="shared" si="519"/>
        <v>PRG-1046879</v>
      </c>
      <c r="E19348" t="s">
        <v>306</v>
      </c>
      <c r="F19348" t="s">
        <v>4</v>
      </c>
      <c r="G19348" t="str">
        <f>""</f>
        <v/>
      </c>
    </row>
    <row r="19349" spans="1:7" x14ac:dyDescent="0.25">
      <c r="A19349" t="s">
        <v>8</v>
      </c>
      <c r="B19349" s="1" t="str">
        <f>"000384781 - RICHS SWEET DOUGH-SODEXO"</f>
        <v>000384781 - RICHS SWEET DOUGH-SODEXO</v>
      </c>
      <c r="C19349" t="s">
        <v>137</v>
      </c>
      <c r="D19349" s="1" t="str">
        <f t="shared" si="519"/>
        <v>PRG-1046879</v>
      </c>
      <c r="E19349" t="s">
        <v>306</v>
      </c>
      <c r="F19349" t="s">
        <v>4</v>
      </c>
      <c r="G19349" t="str">
        <f>""</f>
        <v/>
      </c>
    </row>
    <row r="19350" spans="1:7" x14ac:dyDescent="0.25">
      <c r="A19350" t="s">
        <v>8</v>
      </c>
      <c r="B19350" s="1" t="str">
        <f>"000385790 - RICHS SWEET DOUGH-SODEXO"</f>
        <v>000385790 - RICHS SWEET DOUGH-SODEXO</v>
      </c>
      <c r="C19350" t="s">
        <v>137</v>
      </c>
      <c r="D19350" s="1" t="str">
        <f t="shared" si="519"/>
        <v>PRG-1046879</v>
      </c>
      <c r="E19350" t="s">
        <v>306</v>
      </c>
      <c r="F19350" t="s">
        <v>4</v>
      </c>
      <c r="G19350" t="str">
        <f>""</f>
        <v/>
      </c>
    </row>
    <row r="19351" spans="1:7" x14ac:dyDescent="0.25">
      <c r="A19351" t="s">
        <v>8</v>
      </c>
      <c r="B19351" s="1" t="str">
        <f>"000385966 - RICHS SWEET DOUGH-SODEXO"</f>
        <v>000385966 - RICHS SWEET DOUGH-SODEXO</v>
      </c>
      <c r="C19351" t="s">
        <v>137</v>
      </c>
      <c r="D19351" s="1" t="str">
        <f t="shared" si="519"/>
        <v>PRG-1046879</v>
      </c>
      <c r="E19351" t="s">
        <v>306</v>
      </c>
      <c r="F19351" t="s">
        <v>4</v>
      </c>
      <c r="G19351" t="str">
        <f>""</f>
        <v/>
      </c>
    </row>
    <row r="19352" spans="1:7" x14ac:dyDescent="0.25">
      <c r="A19352" t="s">
        <v>8</v>
      </c>
      <c r="B19352" s="1" t="str">
        <f>"000387295 - RICHS SWEET DOUGH-SODEXO"</f>
        <v>000387295 - RICHS SWEET DOUGH-SODEXO</v>
      </c>
      <c r="C19352" t="s">
        <v>137</v>
      </c>
      <c r="D19352" s="1" t="str">
        <f t="shared" si="519"/>
        <v>PRG-1046879</v>
      </c>
      <c r="E19352" t="s">
        <v>306</v>
      </c>
      <c r="F19352" t="s">
        <v>4</v>
      </c>
      <c r="G19352" t="str">
        <f>""</f>
        <v/>
      </c>
    </row>
    <row r="19353" spans="1:7" x14ac:dyDescent="0.25">
      <c r="A19353" t="s">
        <v>8</v>
      </c>
      <c r="B19353" s="1" t="str">
        <f>"000389553 - RICHS SWEET DOUGH-SODEXO"</f>
        <v>000389553 - RICHS SWEET DOUGH-SODEXO</v>
      </c>
      <c r="C19353" t="s">
        <v>137</v>
      </c>
      <c r="D19353" s="1" t="str">
        <f t="shared" si="519"/>
        <v>PRG-1046879</v>
      </c>
      <c r="E19353" t="s">
        <v>306</v>
      </c>
      <c r="F19353" t="s">
        <v>4</v>
      </c>
      <c r="G19353" t="str">
        <f>""</f>
        <v/>
      </c>
    </row>
    <row r="19354" spans="1:7" x14ac:dyDescent="0.25">
      <c r="A19354" t="s">
        <v>8</v>
      </c>
      <c r="B19354" s="1" t="str">
        <f>"000390718 - RICHS SWEET DOUGH-SODEXO"</f>
        <v>000390718 - RICHS SWEET DOUGH-SODEXO</v>
      </c>
      <c r="C19354" t="s">
        <v>137</v>
      </c>
      <c r="D19354" s="1" t="str">
        <f t="shared" si="519"/>
        <v>PRG-1046879</v>
      </c>
      <c r="E19354" t="s">
        <v>306</v>
      </c>
      <c r="F19354" t="s">
        <v>4</v>
      </c>
      <c r="G19354" t="str">
        <f>""</f>
        <v/>
      </c>
    </row>
    <row r="19355" spans="1:7" x14ac:dyDescent="0.25">
      <c r="A19355" t="s">
        <v>8</v>
      </c>
      <c r="B19355" s="1" t="str">
        <f>"000393052 - RICHS SWEET DOUGH-SODEXO"</f>
        <v>000393052 - RICHS SWEET DOUGH-SODEXO</v>
      </c>
      <c r="C19355" t="s">
        <v>137</v>
      </c>
      <c r="D19355" s="1" t="str">
        <f t="shared" si="519"/>
        <v>PRG-1046879</v>
      </c>
      <c r="E19355" t="s">
        <v>306</v>
      </c>
      <c r="F19355" t="s">
        <v>4</v>
      </c>
      <c r="G19355" t="str">
        <f>""</f>
        <v/>
      </c>
    </row>
    <row r="19356" spans="1:7" x14ac:dyDescent="0.25">
      <c r="A19356" t="s">
        <v>8</v>
      </c>
      <c r="B19356" s="1" t="str">
        <f>"000393563 - RICHS SWEET DOUGH-SODEXO"</f>
        <v>000393563 - RICHS SWEET DOUGH-SODEXO</v>
      </c>
      <c r="C19356" t="s">
        <v>137</v>
      </c>
      <c r="D19356" s="1" t="str">
        <f t="shared" si="519"/>
        <v>PRG-1046879</v>
      </c>
      <c r="E19356" t="s">
        <v>306</v>
      </c>
      <c r="F19356" t="s">
        <v>4</v>
      </c>
      <c r="G19356" t="str">
        <f>""</f>
        <v/>
      </c>
    </row>
    <row r="19357" spans="1:7" x14ac:dyDescent="0.25">
      <c r="A19357" t="s">
        <v>8</v>
      </c>
      <c r="B19357" s="1" t="str">
        <f>"000397855 - RICHS SWEET DOUGH-SODEXO"</f>
        <v>000397855 - RICHS SWEET DOUGH-SODEXO</v>
      </c>
      <c r="C19357" t="s">
        <v>137</v>
      </c>
      <c r="D19357" s="1" t="str">
        <f t="shared" si="519"/>
        <v>PRG-1046879</v>
      </c>
      <c r="E19357" t="s">
        <v>306</v>
      </c>
      <c r="F19357" t="s">
        <v>4</v>
      </c>
      <c r="G19357" t="str">
        <f>""</f>
        <v/>
      </c>
    </row>
    <row r="19358" spans="1:7" x14ac:dyDescent="0.25">
      <c r="A19358" t="s">
        <v>8</v>
      </c>
      <c r="B19358" s="1" t="str">
        <f>"000399696 - RICHS SWEET DOUGH-SODEXO"</f>
        <v>000399696 - RICHS SWEET DOUGH-SODEXO</v>
      </c>
      <c r="C19358" t="s">
        <v>137</v>
      </c>
      <c r="D19358" s="1" t="str">
        <f t="shared" si="519"/>
        <v>PRG-1046879</v>
      </c>
      <c r="E19358" t="s">
        <v>306</v>
      </c>
      <c r="F19358" t="s">
        <v>4</v>
      </c>
      <c r="G19358" t="str">
        <f>""</f>
        <v/>
      </c>
    </row>
    <row r="19359" spans="1:7" x14ac:dyDescent="0.25">
      <c r="A19359" t="s">
        <v>8</v>
      </c>
      <c r="B19359" s="1" t="str">
        <f>"000400669 - RICHS SWEET DOUGH-SODEXO"</f>
        <v>000400669 - RICHS SWEET DOUGH-SODEXO</v>
      </c>
      <c r="C19359" t="s">
        <v>137</v>
      </c>
      <c r="D19359" s="1" t="str">
        <f t="shared" si="519"/>
        <v>PRG-1046879</v>
      </c>
      <c r="E19359" t="s">
        <v>306</v>
      </c>
      <c r="F19359" t="s">
        <v>4</v>
      </c>
      <c r="G19359" t="str">
        <f>""</f>
        <v/>
      </c>
    </row>
    <row r="19360" spans="1:7" x14ac:dyDescent="0.25">
      <c r="A19360" t="s">
        <v>8</v>
      </c>
      <c r="B19360" s="1" t="str">
        <f>"000400814 - RICHS SWEET DOUGH-SODEXO"</f>
        <v>000400814 - RICHS SWEET DOUGH-SODEXO</v>
      </c>
      <c r="C19360" t="s">
        <v>137</v>
      </c>
      <c r="D19360" s="1" t="str">
        <f t="shared" si="519"/>
        <v>PRG-1046879</v>
      </c>
      <c r="E19360" t="s">
        <v>306</v>
      </c>
      <c r="F19360" t="s">
        <v>4</v>
      </c>
      <c r="G19360" t="str">
        <f>""</f>
        <v/>
      </c>
    </row>
    <row r="19361" spans="1:7" x14ac:dyDescent="0.25">
      <c r="A19361" t="s">
        <v>8</v>
      </c>
      <c r="B19361" s="1" t="str">
        <f>"000401626 - RICHS SWEET DOUGH-SODEXO"</f>
        <v>000401626 - RICHS SWEET DOUGH-SODEXO</v>
      </c>
      <c r="C19361" t="s">
        <v>137</v>
      </c>
      <c r="D19361" s="1" t="str">
        <f t="shared" si="519"/>
        <v>PRG-1046879</v>
      </c>
      <c r="E19361" t="s">
        <v>306</v>
      </c>
      <c r="F19361" t="s">
        <v>4</v>
      </c>
      <c r="G19361" t="str">
        <f>""</f>
        <v/>
      </c>
    </row>
    <row r="19362" spans="1:7" x14ac:dyDescent="0.25">
      <c r="A19362" t="s">
        <v>8</v>
      </c>
      <c r="B19362" s="1" t="str">
        <f>"000403050 - RICHS SWEET DOUGH-SODEXO"</f>
        <v>000403050 - RICHS SWEET DOUGH-SODEXO</v>
      </c>
      <c r="C19362" t="s">
        <v>137</v>
      </c>
      <c r="D19362" s="1" t="str">
        <f t="shared" si="519"/>
        <v>PRG-1046879</v>
      </c>
      <c r="E19362" t="s">
        <v>306</v>
      </c>
      <c r="F19362" t="s">
        <v>4</v>
      </c>
      <c r="G19362" t="str">
        <f>""</f>
        <v/>
      </c>
    </row>
    <row r="19363" spans="1:7" x14ac:dyDescent="0.25">
      <c r="A19363" t="s">
        <v>8</v>
      </c>
      <c r="B19363" s="1" t="str">
        <f>"000405511 - RICHS SWEET DOUGH-SODEXO"</f>
        <v>000405511 - RICHS SWEET DOUGH-SODEXO</v>
      </c>
      <c r="C19363" t="s">
        <v>137</v>
      </c>
      <c r="D19363" s="1" t="str">
        <f t="shared" si="519"/>
        <v>PRG-1046879</v>
      </c>
      <c r="E19363" t="s">
        <v>306</v>
      </c>
      <c r="F19363" t="s">
        <v>4</v>
      </c>
      <c r="G19363" t="str">
        <f>""</f>
        <v/>
      </c>
    </row>
    <row r="19364" spans="1:7" x14ac:dyDescent="0.25">
      <c r="A19364" t="s">
        <v>8</v>
      </c>
      <c r="B19364" s="1" t="str">
        <f>"000406901 - RICHS SWEET DOUGH-SODEXO"</f>
        <v>000406901 - RICHS SWEET DOUGH-SODEXO</v>
      </c>
      <c r="C19364" t="s">
        <v>137</v>
      </c>
      <c r="D19364" s="1" t="str">
        <f t="shared" si="519"/>
        <v>PRG-1046879</v>
      </c>
      <c r="E19364" t="s">
        <v>306</v>
      </c>
      <c r="F19364" t="s">
        <v>4</v>
      </c>
      <c r="G19364" t="str">
        <f>""</f>
        <v/>
      </c>
    </row>
    <row r="19365" spans="1:7" x14ac:dyDescent="0.25">
      <c r="A19365" t="s">
        <v>8</v>
      </c>
      <c r="B19365" s="1" t="str">
        <f>"000414967 - RICHS SWEET DOUGH-SODEXO"</f>
        <v>000414967 - RICHS SWEET DOUGH-SODEXO</v>
      </c>
      <c r="C19365" t="s">
        <v>137</v>
      </c>
      <c r="D19365" s="1" t="str">
        <f t="shared" si="519"/>
        <v>PRG-1046879</v>
      </c>
      <c r="E19365" t="s">
        <v>306</v>
      </c>
      <c r="F19365" t="s">
        <v>4</v>
      </c>
      <c r="G19365" t="str">
        <f>""</f>
        <v/>
      </c>
    </row>
    <row r="19366" spans="1:7" x14ac:dyDescent="0.25">
      <c r="A19366" t="s">
        <v>8</v>
      </c>
      <c r="B19366" s="1" t="str">
        <f>"000418556 - RICHS SWEET DOUGH-SODEXO"</f>
        <v>000418556 - RICHS SWEET DOUGH-SODEXO</v>
      </c>
      <c r="C19366" t="s">
        <v>137</v>
      </c>
      <c r="D19366" s="1" t="str">
        <f t="shared" si="519"/>
        <v>PRG-1046879</v>
      </c>
      <c r="E19366" t="s">
        <v>306</v>
      </c>
      <c r="F19366" t="s">
        <v>4</v>
      </c>
      <c r="G19366" t="str">
        <f>""</f>
        <v/>
      </c>
    </row>
    <row r="19367" spans="1:7" x14ac:dyDescent="0.25">
      <c r="A19367" t="s">
        <v>8</v>
      </c>
      <c r="B19367" s="1" t="str">
        <f>"000430017 - RICHS SWEET DOUGH-SODEXO"</f>
        <v>000430017 - RICHS SWEET DOUGH-SODEXO</v>
      </c>
      <c r="C19367" t="s">
        <v>137</v>
      </c>
      <c r="D19367" s="1" t="str">
        <f t="shared" si="519"/>
        <v>PRG-1046879</v>
      </c>
      <c r="E19367" t="s">
        <v>306</v>
      </c>
      <c r="F19367" t="s">
        <v>4</v>
      </c>
      <c r="G19367" t="str">
        <f>""</f>
        <v/>
      </c>
    </row>
    <row r="19368" spans="1:7" x14ac:dyDescent="0.25">
      <c r="A19368" t="s">
        <v>8</v>
      </c>
      <c r="B19368" s="1" t="str">
        <f>"000002618 - RICH FOODS-MAIN ARAMARK"</f>
        <v>000002618 - RICH FOODS-MAIN ARAMARK</v>
      </c>
      <c r="C19368" t="s">
        <v>126</v>
      </c>
      <c r="D19368" s="1" t="str">
        <f t="shared" ref="D19368:D19431" si="520">"PRG-1046884"</f>
        <v>PRG-1046884</v>
      </c>
      <c r="E19368" t="s">
        <v>127</v>
      </c>
      <c r="F19368" t="s">
        <v>4</v>
      </c>
      <c r="G19368" t="str">
        <f>""</f>
        <v/>
      </c>
    </row>
    <row r="19369" spans="1:7" x14ac:dyDescent="0.25">
      <c r="A19369" t="s">
        <v>8</v>
      </c>
      <c r="B19369" s="1" t="str">
        <f>"000003105 - RICH FOODS-MAIN ARAMARK"</f>
        <v>000003105 - RICH FOODS-MAIN ARAMARK</v>
      </c>
      <c r="C19369" t="s">
        <v>126</v>
      </c>
      <c r="D19369" s="1" t="str">
        <f t="shared" si="520"/>
        <v>PRG-1046884</v>
      </c>
      <c r="E19369" t="s">
        <v>127</v>
      </c>
      <c r="F19369" t="s">
        <v>4</v>
      </c>
      <c r="G19369" t="str">
        <f>""</f>
        <v/>
      </c>
    </row>
    <row r="19370" spans="1:7" x14ac:dyDescent="0.25">
      <c r="A19370" t="s">
        <v>8</v>
      </c>
      <c r="B19370" s="1" t="str">
        <f>"000004667 - RICH FDS NCORE BB-MAIN ARAMARK"</f>
        <v>000004667 - RICH FDS NCORE BB-MAIN ARAMARK</v>
      </c>
      <c r="C19370" t="s">
        <v>194</v>
      </c>
      <c r="D19370" s="1" t="str">
        <f t="shared" si="520"/>
        <v>PRG-1046884</v>
      </c>
      <c r="E19370" t="s">
        <v>127</v>
      </c>
      <c r="F19370" t="s">
        <v>4</v>
      </c>
      <c r="G19370" t="str">
        <f>""</f>
        <v/>
      </c>
    </row>
    <row r="19371" spans="1:7" x14ac:dyDescent="0.25">
      <c r="A19371" t="s">
        <v>8</v>
      </c>
      <c r="B19371" s="1" t="str">
        <f>"000004668 - RICH FDS CORE BB-MAIN ARAMARK"</f>
        <v>000004668 - RICH FDS CORE BB-MAIN ARAMARK</v>
      </c>
      <c r="C19371" t="s">
        <v>196</v>
      </c>
      <c r="D19371" s="1" t="str">
        <f t="shared" si="520"/>
        <v>PRG-1046884</v>
      </c>
      <c r="E19371" t="s">
        <v>127</v>
      </c>
      <c r="F19371" t="s">
        <v>4</v>
      </c>
      <c r="G19371" t="str">
        <f>""</f>
        <v/>
      </c>
    </row>
    <row r="19372" spans="1:7" x14ac:dyDescent="0.25">
      <c r="A19372" t="s">
        <v>8</v>
      </c>
      <c r="B19372" s="1" t="str">
        <f>"000005534 - RICH FOODS-MAIN ARAMARK"</f>
        <v>000005534 - RICH FOODS-MAIN ARAMARK</v>
      </c>
      <c r="C19372" t="s">
        <v>126</v>
      </c>
      <c r="D19372" s="1" t="str">
        <f t="shared" si="520"/>
        <v>PRG-1046884</v>
      </c>
      <c r="E19372" t="s">
        <v>127</v>
      </c>
      <c r="F19372" t="s">
        <v>4</v>
      </c>
      <c r="G19372" t="str">
        <f>""</f>
        <v/>
      </c>
    </row>
    <row r="19373" spans="1:7" x14ac:dyDescent="0.25">
      <c r="A19373" t="s">
        <v>8</v>
      </c>
      <c r="B19373" s="1" t="str">
        <f>"000007545 - RICH FOODS-MAIN ARAMARK"</f>
        <v>000007545 - RICH FOODS-MAIN ARAMARK</v>
      </c>
      <c r="C19373" t="s">
        <v>126</v>
      </c>
      <c r="D19373" s="1" t="str">
        <f t="shared" si="520"/>
        <v>PRG-1046884</v>
      </c>
      <c r="E19373" t="s">
        <v>127</v>
      </c>
      <c r="F19373" t="s">
        <v>4</v>
      </c>
      <c r="G19373" t="str">
        <f>""</f>
        <v/>
      </c>
    </row>
    <row r="19374" spans="1:7" x14ac:dyDescent="0.25">
      <c r="A19374" t="s">
        <v>8</v>
      </c>
      <c r="B19374" s="1" t="str">
        <f>"000008983 - CASA DIBERTACCHI-MAIN ARAMARK"</f>
        <v>000008983 - CASA DIBERTACCHI-MAIN ARAMARK</v>
      </c>
      <c r="C19374" t="s">
        <v>148</v>
      </c>
      <c r="D19374" s="1" t="str">
        <f t="shared" si="520"/>
        <v>PRG-1046884</v>
      </c>
      <c r="E19374" t="s">
        <v>127</v>
      </c>
      <c r="F19374" t="s">
        <v>4</v>
      </c>
      <c r="G19374" t="str">
        <f>""</f>
        <v/>
      </c>
    </row>
    <row r="19375" spans="1:7" x14ac:dyDescent="0.25">
      <c r="A19375" t="s">
        <v>8</v>
      </c>
      <c r="B19375" s="1" t="str">
        <f>"000009798 - RICH FDS NCBB-MAIN ARAMARK"</f>
        <v>000009798 - RICH FDS NCBB-MAIN ARAMARK</v>
      </c>
      <c r="C19375" t="s">
        <v>185</v>
      </c>
      <c r="D19375" s="1" t="str">
        <f t="shared" si="520"/>
        <v>PRG-1046884</v>
      </c>
      <c r="E19375" t="s">
        <v>127</v>
      </c>
      <c r="F19375" t="s">
        <v>4</v>
      </c>
      <c r="G19375" t="str">
        <f>""</f>
        <v/>
      </c>
    </row>
    <row r="19376" spans="1:7" x14ac:dyDescent="0.25">
      <c r="A19376" t="s">
        <v>8</v>
      </c>
      <c r="B19376" s="1" t="str">
        <f>"000009799 - RICH FDS CBB-MAIN ARAMARK"</f>
        <v>000009799 - RICH FDS CBB-MAIN ARAMARK</v>
      </c>
      <c r="C19376" t="s">
        <v>187</v>
      </c>
      <c r="D19376" s="1" t="str">
        <f t="shared" si="520"/>
        <v>PRG-1046884</v>
      </c>
      <c r="E19376" t="s">
        <v>127</v>
      </c>
      <c r="F19376" t="s">
        <v>4</v>
      </c>
      <c r="G19376" t="str">
        <f>""</f>
        <v/>
      </c>
    </row>
    <row r="19377" spans="1:7" x14ac:dyDescent="0.25">
      <c r="A19377" t="s">
        <v>8</v>
      </c>
      <c r="B19377" s="1" t="str">
        <f>"000011109 - RICH FOODS-MAIN ARAMARK"</f>
        <v>000011109 - RICH FOODS-MAIN ARAMARK</v>
      </c>
      <c r="C19377" t="s">
        <v>126</v>
      </c>
      <c r="D19377" s="1" t="str">
        <f t="shared" si="520"/>
        <v>PRG-1046884</v>
      </c>
      <c r="E19377" t="s">
        <v>127</v>
      </c>
      <c r="F19377" t="s">
        <v>4</v>
      </c>
      <c r="G19377" t="str">
        <f>""</f>
        <v/>
      </c>
    </row>
    <row r="19378" spans="1:7" x14ac:dyDescent="0.25">
      <c r="A19378" t="s">
        <v>8</v>
      </c>
      <c r="B19378" s="1" t="str">
        <f>"000011112 - RICH FOODS BAPA-MAIN ARAMARK"</f>
        <v>000011112 - RICH FOODS BAPA-MAIN ARAMARK</v>
      </c>
      <c r="C19378" t="s">
        <v>320</v>
      </c>
      <c r="D19378" s="1" t="str">
        <f t="shared" si="520"/>
        <v>PRG-1046884</v>
      </c>
      <c r="E19378" t="s">
        <v>127</v>
      </c>
      <c r="F19378" t="s">
        <v>4</v>
      </c>
      <c r="G19378" t="str">
        <f>""</f>
        <v/>
      </c>
    </row>
    <row r="19379" spans="1:7" x14ac:dyDescent="0.25">
      <c r="A19379" t="s">
        <v>8</v>
      </c>
      <c r="B19379" s="1" t="str">
        <f>"000013054 - RICH FOODS BAPA-MAIN ARAMARK"</f>
        <v>000013054 - RICH FOODS BAPA-MAIN ARAMARK</v>
      </c>
      <c r="C19379" t="s">
        <v>320</v>
      </c>
      <c r="D19379" s="1" t="str">
        <f t="shared" si="520"/>
        <v>PRG-1046884</v>
      </c>
      <c r="E19379" t="s">
        <v>127</v>
      </c>
      <c r="F19379" t="s">
        <v>4</v>
      </c>
      <c r="G19379" t="str">
        <f>""</f>
        <v/>
      </c>
    </row>
    <row r="19380" spans="1:7" x14ac:dyDescent="0.25">
      <c r="A19380" t="s">
        <v>8</v>
      </c>
      <c r="B19380" s="1" t="str">
        <f>"000013488 - RICH FOODS-MAIN ARAMARK"</f>
        <v>000013488 - RICH FOODS-MAIN ARAMARK</v>
      </c>
      <c r="C19380" t="s">
        <v>126</v>
      </c>
      <c r="D19380" s="1" t="str">
        <f t="shared" si="520"/>
        <v>PRG-1046884</v>
      </c>
      <c r="E19380" t="s">
        <v>127</v>
      </c>
      <c r="F19380" t="s">
        <v>4</v>
      </c>
      <c r="G19380" t="str">
        <f>""</f>
        <v/>
      </c>
    </row>
    <row r="19381" spans="1:7" x14ac:dyDescent="0.25">
      <c r="A19381" t="s">
        <v>8</v>
      </c>
      <c r="B19381" s="1" t="str">
        <f>"000016140 - RICH FOODS-MAIN ARAMARK"</f>
        <v>000016140 - RICH FOODS-MAIN ARAMARK</v>
      </c>
      <c r="C19381" t="s">
        <v>126</v>
      </c>
      <c r="D19381" s="1" t="str">
        <f t="shared" si="520"/>
        <v>PRG-1046884</v>
      </c>
      <c r="E19381" t="s">
        <v>127</v>
      </c>
      <c r="F19381" t="s">
        <v>4</v>
      </c>
      <c r="G19381" t="str">
        <f>""</f>
        <v/>
      </c>
    </row>
    <row r="19382" spans="1:7" x14ac:dyDescent="0.25">
      <c r="A19382" t="s">
        <v>8</v>
      </c>
      <c r="B19382" s="1" t="str">
        <f>"000017306 - RICH FOODS-MAIN ARAMARK"</f>
        <v>000017306 - RICH FOODS-MAIN ARAMARK</v>
      </c>
      <c r="C19382" t="s">
        <v>126</v>
      </c>
      <c r="D19382" s="1" t="str">
        <f t="shared" si="520"/>
        <v>PRG-1046884</v>
      </c>
      <c r="E19382" t="s">
        <v>127</v>
      </c>
      <c r="F19382" t="s">
        <v>4</v>
      </c>
      <c r="G19382" t="str">
        <f>""</f>
        <v/>
      </c>
    </row>
    <row r="19383" spans="1:7" x14ac:dyDescent="0.25">
      <c r="A19383" t="s">
        <v>8</v>
      </c>
      <c r="B19383" s="1" t="str">
        <f>"000017370 - RICH FOODS BAPA ARAMARK"</f>
        <v>000017370 - RICH FOODS BAPA ARAMARK</v>
      </c>
      <c r="C19383" t="s">
        <v>358</v>
      </c>
      <c r="D19383" s="1" t="str">
        <f t="shared" si="520"/>
        <v>PRG-1046884</v>
      </c>
      <c r="E19383" t="s">
        <v>127</v>
      </c>
      <c r="F19383" t="s">
        <v>4</v>
      </c>
      <c r="G19383" t="str">
        <f>""</f>
        <v/>
      </c>
    </row>
    <row r="19384" spans="1:7" x14ac:dyDescent="0.25">
      <c r="A19384" t="s">
        <v>8</v>
      </c>
      <c r="B19384" s="1" t="str">
        <f>"000017730 - RICH FOODS-MAIN ARAMARK"</f>
        <v>000017730 - RICH FOODS-MAIN ARAMARK</v>
      </c>
      <c r="C19384" t="s">
        <v>126</v>
      </c>
      <c r="D19384" s="1" t="str">
        <f t="shared" si="520"/>
        <v>PRG-1046884</v>
      </c>
      <c r="E19384" t="s">
        <v>127</v>
      </c>
      <c r="F19384" t="s">
        <v>4</v>
      </c>
      <c r="G19384" t="str">
        <f>""</f>
        <v/>
      </c>
    </row>
    <row r="19385" spans="1:7" x14ac:dyDescent="0.25">
      <c r="A19385" t="s">
        <v>8</v>
      </c>
      <c r="B19385" s="1" t="str">
        <f>"000019101 - RICH FOODS-MAIN ARAMARK"</f>
        <v>000019101 - RICH FOODS-MAIN ARAMARK</v>
      </c>
      <c r="C19385" t="s">
        <v>126</v>
      </c>
      <c r="D19385" s="1" t="str">
        <f t="shared" si="520"/>
        <v>PRG-1046884</v>
      </c>
      <c r="E19385" t="s">
        <v>127</v>
      </c>
      <c r="F19385" t="s">
        <v>4</v>
      </c>
      <c r="G19385" t="str">
        <f>""</f>
        <v/>
      </c>
    </row>
    <row r="19386" spans="1:7" x14ac:dyDescent="0.25">
      <c r="A19386" t="s">
        <v>8</v>
      </c>
      <c r="B19386" s="1" t="str">
        <f>"000019215 - RICH FOODS BAPA-MAIN ARAMARK"</f>
        <v>000019215 - RICH FOODS BAPA-MAIN ARAMARK</v>
      </c>
      <c r="C19386" t="s">
        <v>320</v>
      </c>
      <c r="D19386" s="1" t="str">
        <f t="shared" si="520"/>
        <v>PRG-1046884</v>
      </c>
      <c r="E19386" t="s">
        <v>127</v>
      </c>
      <c r="F19386" t="s">
        <v>4</v>
      </c>
      <c r="G19386" t="str">
        <f>""</f>
        <v/>
      </c>
    </row>
    <row r="19387" spans="1:7" x14ac:dyDescent="0.25">
      <c r="A19387" t="s">
        <v>8</v>
      </c>
      <c r="B19387" s="1" t="str">
        <f>"000019293 - RICH FOODS-MAIN ARAMARK"</f>
        <v>000019293 - RICH FOODS-MAIN ARAMARK</v>
      </c>
      <c r="C19387" t="s">
        <v>126</v>
      </c>
      <c r="D19387" s="1" t="str">
        <f t="shared" si="520"/>
        <v>PRG-1046884</v>
      </c>
      <c r="E19387" t="s">
        <v>127</v>
      </c>
      <c r="F19387" t="s">
        <v>4</v>
      </c>
      <c r="G19387" t="str">
        <f>""</f>
        <v/>
      </c>
    </row>
    <row r="19388" spans="1:7" x14ac:dyDescent="0.25">
      <c r="A19388" t="s">
        <v>8</v>
      </c>
      <c r="B19388" s="1" t="str">
        <f>"000019324 - RICH FOODS BAPA-MAIN ARAMARK"</f>
        <v>000019324 - RICH FOODS BAPA-MAIN ARAMARK</v>
      </c>
      <c r="C19388" t="s">
        <v>320</v>
      </c>
      <c r="D19388" s="1" t="str">
        <f t="shared" si="520"/>
        <v>PRG-1046884</v>
      </c>
      <c r="E19388" t="s">
        <v>127</v>
      </c>
      <c r="F19388" t="s">
        <v>4</v>
      </c>
      <c r="G19388" t="str">
        <f>""</f>
        <v/>
      </c>
    </row>
    <row r="19389" spans="1:7" x14ac:dyDescent="0.25">
      <c r="A19389" t="s">
        <v>8</v>
      </c>
      <c r="B19389" s="1" t="str">
        <f>"000020252 - RICH FOODS-MAIN ARAMARK"</f>
        <v>000020252 - RICH FOODS-MAIN ARAMARK</v>
      </c>
      <c r="C19389" t="s">
        <v>126</v>
      </c>
      <c r="D19389" s="1" t="str">
        <f t="shared" si="520"/>
        <v>PRG-1046884</v>
      </c>
      <c r="E19389" t="s">
        <v>127</v>
      </c>
      <c r="F19389" t="s">
        <v>4</v>
      </c>
      <c r="G19389" t="str">
        <f>""</f>
        <v/>
      </c>
    </row>
    <row r="19390" spans="1:7" x14ac:dyDescent="0.25">
      <c r="A19390" t="s">
        <v>8</v>
      </c>
      <c r="B19390" s="1" t="str">
        <f>"000021243 - RICH FOODS BAPA-MAIN ARAMARK"</f>
        <v>000021243 - RICH FOODS BAPA-MAIN ARAMARK</v>
      </c>
      <c r="C19390" t="s">
        <v>320</v>
      </c>
      <c r="D19390" s="1" t="str">
        <f t="shared" si="520"/>
        <v>PRG-1046884</v>
      </c>
      <c r="E19390" t="s">
        <v>127</v>
      </c>
      <c r="F19390" t="s">
        <v>4</v>
      </c>
      <c r="G19390" t="str">
        <f>""</f>
        <v/>
      </c>
    </row>
    <row r="19391" spans="1:7" x14ac:dyDescent="0.25">
      <c r="A19391" t="s">
        <v>8</v>
      </c>
      <c r="B19391" s="1" t="str">
        <f>"000021342 - RICH FOODS BAPA-MAIN ARAMARK"</f>
        <v>000021342 - RICH FOODS BAPA-MAIN ARAMARK</v>
      </c>
      <c r="C19391" t="s">
        <v>320</v>
      </c>
      <c r="D19391" s="1" t="str">
        <f t="shared" si="520"/>
        <v>PRG-1046884</v>
      </c>
      <c r="E19391" t="s">
        <v>127</v>
      </c>
      <c r="F19391" t="s">
        <v>4</v>
      </c>
      <c r="G19391" t="str">
        <f>""</f>
        <v/>
      </c>
    </row>
    <row r="19392" spans="1:7" x14ac:dyDescent="0.25">
      <c r="A19392" t="s">
        <v>8</v>
      </c>
      <c r="B19392" s="1" t="str">
        <f>"000021599 - RICH FOODS BAPA-MAIN ARAMARK"</f>
        <v>000021599 - RICH FOODS BAPA-MAIN ARAMARK</v>
      </c>
      <c r="C19392" t="s">
        <v>320</v>
      </c>
      <c r="D19392" s="1" t="str">
        <f t="shared" si="520"/>
        <v>PRG-1046884</v>
      </c>
      <c r="E19392" t="s">
        <v>127</v>
      </c>
      <c r="F19392" t="s">
        <v>4</v>
      </c>
      <c r="G19392" t="str">
        <f>""</f>
        <v/>
      </c>
    </row>
    <row r="19393" spans="1:7" x14ac:dyDescent="0.25">
      <c r="A19393" t="s">
        <v>8</v>
      </c>
      <c r="B19393" s="1" t="str">
        <f>"000022304 - RICH FOODS BAPA-MAIN ARAMARK"</f>
        <v>000022304 - RICH FOODS BAPA-MAIN ARAMARK</v>
      </c>
      <c r="C19393" t="s">
        <v>320</v>
      </c>
      <c r="D19393" s="1" t="str">
        <f t="shared" si="520"/>
        <v>PRG-1046884</v>
      </c>
      <c r="E19393" t="s">
        <v>127</v>
      </c>
      <c r="F19393" t="s">
        <v>4</v>
      </c>
      <c r="G19393" t="str">
        <f>""</f>
        <v/>
      </c>
    </row>
    <row r="19394" spans="1:7" x14ac:dyDescent="0.25">
      <c r="A19394" t="s">
        <v>8</v>
      </c>
      <c r="B19394" s="1" t="str">
        <f>"000023246 - RICH FOODS BAPA-MAIN ARAMARK"</f>
        <v>000023246 - RICH FOODS BAPA-MAIN ARAMARK</v>
      </c>
      <c r="C19394" t="s">
        <v>320</v>
      </c>
      <c r="D19394" s="1" t="str">
        <f t="shared" si="520"/>
        <v>PRG-1046884</v>
      </c>
      <c r="E19394" t="s">
        <v>127</v>
      </c>
      <c r="F19394" t="s">
        <v>4</v>
      </c>
      <c r="G19394" t="str">
        <f>""</f>
        <v/>
      </c>
    </row>
    <row r="19395" spans="1:7" x14ac:dyDescent="0.25">
      <c r="A19395" t="s">
        <v>8</v>
      </c>
      <c r="B19395" s="1" t="str">
        <f>"000023703 - RICH FOODS-MAIN ARAMARK"</f>
        <v>000023703 - RICH FOODS-MAIN ARAMARK</v>
      </c>
      <c r="C19395" t="s">
        <v>126</v>
      </c>
      <c r="D19395" s="1" t="str">
        <f t="shared" si="520"/>
        <v>PRG-1046884</v>
      </c>
      <c r="E19395" t="s">
        <v>127</v>
      </c>
      <c r="F19395" t="s">
        <v>4</v>
      </c>
      <c r="G19395" t="str">
        <f>""</f>
        <v/>
      </c>
    </row>
    <row r="19396" spans="1:7" x14ac:dyDescent="0.25">
      <c r="A19396" t="s">
        <v>8</v>
      </c>
      <c r="B19396" s="1" t="str">
        <f>"000024194 - RICH FOODS BAPA ARAMARK"</f>
        <v>000024194 - RICH FOODS BAPA ARAMARK</v>
      </c>
      <c r="C19396" t="s">
        <v>358</v>
      </c>
      <c r="D19396" s="1" t="str">
        <f t="shared" si="520"/>
        <v>PRG-1046884</v>
      </c>
      <c r="E19396" t="s">
        <v>127</v>
      </c>
      <c r="F19396" t="s">
        <v>4</v>
      </c>
      <c r="G19396" t="str">
        <f>""</f>
        <v/>
      </c>
    </row>
    <row r="19397" spans="1:7" x14ac:dyDescent="0.25">
      <c r="A19397" t="s">
        <v>8</v>
      </c>
      <c r="B19397" s="1" t="str">
        <f>"000024319 - RICH FOODS BAPA-MAIN ARAMARK"</f>
        <v>000024319 - RICH FOODS BAPA-MAIN ARAMARK</v>
      </c>
      <c r="C19397" t="s">
        <v>320</v>
      </c>
      <c r="D19397" s="1" t="str">
        <f t="shared" si="520"/>
        <v>PRG-1046884</v>
      </c>
      <c r="E19397" t="s">
        <v>127</v>
      </c>
      <c r="F19397" t="s">
        <v>4</v>
      </c>
      <c r="G19397" t="str">
        <f>""</f>
        <v/>
      </c>
    </row>
    <row r="19398" spans="1:7" x14ac:dyDescent="0.25">
      <c r="A19398" t="s">
        <v>8</v>
      </c>
      <c r="B19398" s="1" t="str">
        <f>"000025128 - RICH FOODS BAPA-MAIN ARAMARK"</f>
        <v>000025128 - RICH FOODS BAPA-MAIN ARAMARK</v>
      </c>
      <c r="C19398" t="s">
        <v>320</v>
      </c>
      <c r="D19398" s="1" t="str">
        <f t="shared" si="520"/>
        <v>PRG-1046884</v>
      </c>
      <c r="E19398" t="s">
        <v>127</v>
      </c>
      <c r="F19398" t="s">
        <v>4</v>
      </c>
      <c r="G19398" t="str">
        <f>""</f>
        <v/>
      </c>
    </row>
    <row r="19399" spans="1:7" x14ac:dyDescent="0.25">
      <c r="A19399" t="s">
        <v>8</v>
      </c>
      <c r="B19399" s="1" t="str">
        <f>"000027879 - RICH FOODS BAPA-MAIN ARAMARK"</f>
        <v>000027879 - RICH FOODS BAPA-MAIN ARAMARK</v>
      </c>
      <c r="C19399" t="s">
        <v>320</v>
      </c>
      <c r="D19399" s="1" t="str">
        <f t="shared" si="520"/>
        <v>PRG-1046884</v>
      </c>
      <c r="E19399" t="s">
        <v>127</v>
      </c>
      <c r="F19399" t="s">
        <v>4</v>
      </c>
      <c r="G19399" t="str">
        <f>""</f>
        <v/>
      </c>
    </row>
    <row r="19400" spans="1:7" x14ac:dyDescent="0.25">
      <c r="A19400" t="s">
        <v>8</v>
      </c>
      <c r="B19400" s="1" t="str">
        <f>"000028977 - RICH FOODS BAPA-MAIN ARAMARK"</f>
        <v>000028977 - RICH FOODS BAPA-MAIN ARAMARK</v>
      </c>
      <c r="C19400" t="s">
        <v>320</v>
      </c>
      <c r="D19400" s="1" t="str">
        <f t="shared" si="520"/>
        <v>PRG-1046884</v>
      </c>
      <c r="E19400" t="s">
        <v>127</v>
      </c>
      <c r="F19400" t="s">
        <v>4</v>
      </c>
      <c r="G19400" t="str">
        <f>""</f>
        <v/>
      </c>
    </row>
    <row r="19401" spans="1:7" x14ac:dyDescent="0.25">
      <c r="A19401" t="s">
        <v>8</v>
      </c>
      <c r="B19401" s="1" t="str">
        <f>"000029663 - RICH FOODS BAPA-MAIN ARAMARK"</f>
        <v>000029663 - RICH FOODS BAPA-MAIN ARAMARK</v>
      </c>
      <c r="C19401" t="s">
        <v>320</v>
      </c>
      <c r="D19401" s="1" t="str">
        <f t="shared" si="520"/>
        <v>PRG-1046884</v>
      </c>
      <c r="E19401" t="s">
        <v>127</v>
      </c>
      <c r="F19401" t="s">
        <v>4</v>
      </c>
      <c r="G19401" t="str">
        <f>""</f>
        <v/>
      </c>
    </row>
    <row r="19402" spans="1:7" x14ac:dyDescent="0.25">
      <c r="A19402" t="s">
        <v>8</v>
      </c>
      <c r="B19402" s="1" t="str">
        <f>"000029877 - RICH FOODS BAPA-MAIN ARAMARK"</f>
        <v>000029877 - RICH FOODS BAPA-MAIN ARAMARK</v>
      </c>
      <c r="C19402" t="s">
        <v>320</v>
      </c>
      <c r="D19402" s="1" t="str">
        <f t="shared" si="520"/>
        <v>PRG-1046884</v>
      </c>
      <c r="E19402" t="s">
        <v>127</v>
      </c>
      <c r="F19402" t="s">
        <v>4</v>
      </c>
      <c r="G19402" t="str">
        <f>""</f>
        <v/>
      </c>
    </row>
    <row r="19403" spans="1:7" x14ac:dyDescent="0.25">
      <c r="A19403" t="s">
        <v>8</v>
      </c>
      <c r="B19403" s="1" t="str">
        <f>"000030119 - RICH FOODS BAPA-MAIN ARAMARK"</f>
        <v>000030119 - RICH FOODS BAPA-MAIN ARAMARK</v>
      </c>
      <c r="C19403" t="s">
        <v>320</v>
      </c>
      <c r="D19403" s="1" t="str">
        <f t="shared" si="520"/>
        <v>PRG-1046884</v>
      </c>
      <c r="E19403" t="s">
        <v>127</v>
      </c>
      <c r="F19403" t="s">
        <v>4</v>
      </c>
      <c r="G19403" t="str">
        <f>""</f>
        <v/>
      </c>
    </row>
    <row r="19404" spans="1:7" x14ac:dyDescent="0.25">
      <c r="A19404" t="s">
        <v>8</v>
      </c>
      <c r="B19404" s="1" t="str">
        <f>"000031178 - RICH FOODS BAPA-MAIN ARAMARK"</f>
        <v>000031178 - RICH FOODS BAPA-MAIN ARAMARK</v>
      </c>
      <c r="C19404" t="s">
        <v>320</v>
      </c>
      <c r="D19404" s="1" t="str">
        <f t="shared" si="520"/>
        <v>PRG-1046884</v>
      </c>
      <c r="E19404" t="s">
        <v>127</v>
      </c>
      <c r="F19404" t="s">
        <v>4</v>
      </c>
      <c r="G19404" t="str">
        <f>""</f>
        <v/>
      </c>
    </row>
    <row r="19405" spans="1:7" x14ac:dyDescent="0.25">
      <c r="A19405" t="s">
        <v>8</v>
      </c>
      <c r="B19405" s="1" t="str">
        <f>"000033562 - RICH FOODS BAPA-MAIN ARAMARK"</f>
        <v>000033562 - RICH FOODS BAPA-MAIN ARAMARK</v>
      </c>
      <c r="C19405" t="s">
        <v>320</v>
      </c>
      <c r="D19405" s="1" t="str">
        <f t="shared" si="520"/>
        <v>PRG-1046884</v>
      </c>
      <c r="E19405" t="s">
        <v>127</v>
      </c>
      <c r="F19405" t="s">
        <v>4</v>
      </c>
      <c r="G19405" t="str">
        <f>""</f>
        <v/>
      </c>
    </row>
    <row r="19406" spans="1:7" x14ac:dyDescent="0.25">
      <c r="A19406" t="s">
        <v>8</v>
      </c>
      <c r="B19406" s="1" t="str">
        <f>"000035345 - RICH FOODS-MAIN ARAMARK"</f>
        <v>000035345 - RICH FOODS-MAIN ARAMARK</v>
      </c>
      <c r="C19406" t="s">
        <v>126</v>
      </c>
      <c r="D19406" s="1" t="str">
        <f t="shared" si="520"/>
        <v>PRG-1046884</v>
      </c>
      <c r="E19406" t="s">
        <v>127</v>
      </c>
      <c r="F19406" t="s">
        <v>4</v>
      </c>
      <c r="G19406" t="str">
        <f>""</f>
        <v/>
      </c>
    </row>
    <row r="19407" spans="1:7" x14ac:dyDescent="0.25">
      <c r="A19407" t="s">
        <v>8</v>
      </c>
      <c r="B19407" s="1" t="str">
        <f>"000036048 - RICH FOODS-ARAMARK"</f>
        <v>000036048 - RICH FOODS-ARAMARK</v>
      </c>
      <c r="C19407" t="s">
        <v>534</v>
      </c>
      <c r="D19407" s="1" t="str">
        <f t="shared" si="520"/>
        <v>PRG-1046884</v>
      </c>
      <c r="E19407" t="s">
        <v>127</v>
      </c>
      <c r="F19407" t="s">
        <v>4</v>
      </c>
      <c r="G19407" t="str">
        <f>""</f>
        <v/>
      </c>
    </row>
    <row r="19408" spans="1:7" x14ac:dyDescent="0.25">
      <c r="A19408" t="s">
        <v>8</v>
      </c>
      <c r="B19408" s="1" t="str">
        <f>"000036933 - RICH FOODS BAPA-MAIN ARAMARK"</f>
        <v>000036933 - RICH FOODS BAPA-MAIN ARAMARK</v>
      </c>
      <c r="C19408" t="s">
        <v>320</v>
      </c>
      <c r="D19408" s="1" t="str">
        <f t="shared" si="520"/>
        <v>PRG-1046884</v>
      </c>
      <c r="E19408" t="s">
        <v>127</v>
      </c>
      <c r="F19408" t="s">
        <v>4</v>
      </c>
      <c r="G19408" t="str">
        <f>""</f>
        <v/>
      </c>
    </row>
    <row r="19409" spans="1:7" x14ac:dyDescent="0.25">
      <c r="A19409" t="s">
        <v>8</v>
      </c>
      <c r="B19409" s="1" t="str">
        <f>"000037349 - RICH FOODS BAPA-MAIN ARAMARK"</f>
        <v>000037349 - RICH FOODS BAPA-MAIN ARAMARK</v>
      </c>
      <c r="C19409" t="s">
        <v>320</v>
      </c>
      <c r="D19409" s="1" t="str">
        <f t="shared" si="520"/>
        <v>PRG-1046884</v>
      </c>
      <c r="E19409" t="s">
        <v>127</v>
      </c>
      <c r="F19409" t="s">
        <v>4</v>
      </c>
      <c r="G19409" t="str">
        <f>""</f>
        <v/>
      </c>
    </row>
    <row r="19410" spans="1:7" x14ac:dyDescent="0.25">
      <c r="A19410" t="s">
        <v>8</v>
      </c>
      <c r="B19410" s="1" t="str">
        <f>"000038721 - RICH FOODS BAPA-MAIN ARAMARK"</f>
        <v>000038721 - RICH FOODS BAPA-MAIN ARAMARK</v>
      </c>
      <c r="C19410" t="s">
        <v>320</v>
      </c>
      <c r="D19410" s="1" t="str">
        <f t="shared" si="520"/>
        <v>PRG-1046884</v>
      </c>
      <c r="E19410" t="s">
        <v>127</v>
      </c>
      <c r="F19410" t="s">
        <v>4</v>
      </c>
      <c r="G19410" t="str">
        <f>""</f>
        <v/>
      </c>
    </row>
    <row r="19411" spans="1:7" x14ac:dyDescent="0.25">
      <c r="A19411" t="s">
        <v>8</v>
      </c>
      <c r="B19411" s="1" t="str">
        <f>"000039932 - RICH FOODS-ARAMARK MAIN"</f>
        <v>000039932 - RICH FOODS-ARAMARK MAIN</v>
      </c>
      <c r="C19411" t="s">
        <v>574</v>
      </c>
      <c r="D19411" s="1" t="str">
        <f t="shared" si="520"/>
        <v>PRG-1046884</v>
      </c>
      <c r="E19411" t="s">
        <v>127</v>
      </c>
      <c r="F19411" t="s">
        <v>4</v>
      </c>
      <c r="G19411" t="str">
        <f>""</f>
        <v/>
      </c>
    </row>
    <row r="19412" spans="1:7" x14ac:dyDescent="0.25">
      <c r="A19412" t="s">
        <v>8</v>
      </c>
      <c r="B19412" s="1" t="str">
        <f>"000041954 - RICH FOODS BAPA-MAIN ARAMARK"</f>
        <v>000041954 - RICH FOODS BAPA-MAIN ARAMARK</v>
      </c>
      <c r="C19412" t="s">
        <v>320</v>
      </c>
      <c r="D19412" s="1" t="str">
        <f t="shared" si="520"/>
        <v>PRG-1046884</v>
      </c>
      <c r="E19412" t="s">
        <v>127</v>
      </c>
      <c r="F19412" t="s">
        <v>4</v>
      </c>
      <c r="G19412" t="str">
        <f>""</f>
        <v/>
      </c>
    </row>
    <row r="19413" spans="1:7" x14ac:dyDescent="0.25">
      <c r="A19413" t="s">
        <v>8</v>
      </c>
      <c r="B19413" s="1" t="str">
        <f>"000042429 - RICH FOODS-ARAMARK"</f>
        <v>000042429 - RICH FOODS-ARAMARK</v>
      </c>
      <c r="C19413" t="s">
        <v>534</v>
      </c>
      <c r="D19413" s="1" t="str">
        <f t="shared" si="520"/>
        <v>PRG-1046884</v>
      </c>
      <c r="E19413" t="s">
        <v>127</v>
      </c>
      <c r="F19413" t="s">
        <v>4</v>
      </c>
      <c r="G19413" t="str">
        <f>""</f>
        <v/>
      </c>
    </row>
    <row r="19414" spans="1:7" x14ac:dyDescent="0.25">
      <c r="A19414" t="s">
        <v>8</v>
      </c>
      <c r="B19414" s="1" t="str">
        <f>"000044119 - RICH FOODS-MAIN ARAMARK"</f>
        <v>000044119 - RICH FOODS-MAIN ARAMARK</v>
      </c>
      <c r="C19414" t="s">
        <v>126</v>
      </c>
      <c r="D19414" s="1" t="str">
        <f t="shared" si="520"/>
        <v>PRG-1046884</v>
      </c>
      <c r="E19414" t="s">
        <v>127</v>
      </c>
      <c r="F19414" t="s">
        <v>4</v>
      </c>
      <c r="G19414" t="str">
        <f>""</f>
        <v/>
      </c>
    </row>
    <row r="19415" spans="1:7" x14ac:dyDescent="0.25">
      <c r="A19415" t="s">
        <v>8</v>
      </c>
      <c r="B19415" s="1" t="str">
        <f>"000047079 - RICH FOODS-MAIN ARAMARK"</f>
        <v>000047079 - RICH FOODS-MAIN ARAMARK</v>
      </c>
      <c r="C19415" t="s">
        <v>126</v>
      </c>
      <c r="D19415" s="1" t="str">
        <f t="shared" si="520"/>
        <v>PRG-1046884</v>
      </c>
      <c r="E19415" t="s">
        <v>127</v>
      </c>
      <c r="F19415" t="s">
        <v>4</v>
      </c>
      <c r="G19415" t="str">
        <f>""</f>
        <v/>
      </c>
    </row>
    <row r="19416" spans="1:7" x14ac:dyDescent="0.25">
      <c r="A19416" t="s">
        <v>8</v>
      </c>
      <c r="B19416" s="1" t="str">
        <f>"000048812 - RICH FOODS-ARAMARK"</f>
        <v>000048812 - RICH FOODS-ARAMARK</v>
      </c>
      <c r="C19416" t="s">
        <v>534</v>
      </c>
      <c r="D19416" s="1" t="str">
        <f t="shared" si="520"/>
        <v>PRG-1046884</v>
      </c>
      <c r="E19416" t="s">
        <v>127</v>
      </c>
      <c r="F19416" t="s">
        <v>4</v>
      </c>
      <c r="G19416" t="str">
        <f>""</f>
        <v/>
      </c>
    </row>
    <row r="19417" spans="1:7" x14ac:dyDescent="0.25">
      <c r="A19417" t="s">
        <v>8</v>
      </c>
      <c r="B19417" s="1" t="str">
        <f>"000049415 - RICH FOODS-MAIN ARAMARK"</f>
        <v>000049415 - RICH FOODS-MAIN ARAMARK</v>
      </c>
      <c r="C19417" t="s">
        <v>126</v>
      </c>
      <c r="D19417" s="1" t="str">
        <f t="shared" si="520"/>
        <v>PRG-1046884</v>
      </c>
      <c r="E19417" t="s">
        <v>127</v>
      </c>
      <c r="F19417" t="s">
        <v>4</v>
      </c>
      <c r="G19417" t="str">
        <f>""</f>
        <v/>
      </c>
    </row>
    <row r="19418" spans="1:7" x14ac:dyDescent="0.25">
      <c r="A19418" t="s">
        <v>8</v>
      </c>
      <c r="B19418" s="1" t="str">
        <f>"000052068 - RICH FOODS-MAIN ARAMARK"</f>
        <v>000052068 - RICH FOODS-MAIN ARAMARK</v>
      </c>
      <c r="C19418" t="s">
        <v>126</v>
      </c>
      <c r="D19418" s="1" t="str">
        <f t="shared" si="520"/>
        <v>PRG-1046884</v>
      </c>
      <c r="E19418" t="s">
        <v>127</v>
      </c>
      <c r="F19418" t="s">
        <v>4</v>
      </c>
      <c r="G19418" t="str">
        <f>""</f>
        <v/>
      </c>
    </row>
    <row r="19419" spans="1:7" x14ac:dyDescent="0.25">
      <c r="A19419" t="s">
        <v>8</v>
      </c>
      <c r="B19419" s="1" t="str">
        <f>"000053525 - RICH FOODS-ARAMARK MAIN"</f>
        <v>000053525 - RICH FOODS-ARAMARK MAIN</v>
      </c>
      <c r="C19419" t="s">
        <v>574</v>
      </c>
      <c r="D19419" s="1" t="str">
        <f t="shared" si="520"/>
        <v>PRG-1046884</v>
      </c>
      <c r="E19419" t="s">
        <v>127</v>
      </c>
      <c r="F19419" t="s">
        <v>4</v>
      </c>
      <c r="G19419" t="str">
        <f>""</f>
        <v/>
      </c>
    </row>
    <row r="19420" spans="1:7" x14ac:dyDescent="0.25">
      <c r="A19420" t="s">
        <v>8</v>
      </c>
      <c r="B19420" s="1" t="str">
        <f>"000054646 - RICH FOODS-ARAMARK"</f>
        <v>000054646 - RICH FOODS-ARAMARK</v>
      </c>
      <c r="C19420" t="s">
        <v>534</v>
      </c>
      <c r="D19420" s="1" t="str">
        <f t="shared" si="520"/>
        <v>PRG-1046884</v>
      </c>
      <c r="E19420" t="s">
        <v>127</v>
      </c>
      <c r="F19420" t="s">
        <v>4</v>
      </c>
      <c r="G19420" t="str">
        <f>""</f>
        <v/>
      </c>
    </row>
    <row r="19421" spans="1:7" x14ac:dyDescent="0.25">
      <c r="A19421" t="s">
        <v>8</v>
      </c>
      <c r="B19421" s="1" t="str">
        <f>"000056416 - RICH FOODS-ARAMARK"</f>
        <v>000056416 - RICH FOODS-ARAMARK</v>
      </c>
      <c r="C19421" t="s">
        <v>534</v>
      </c>
      <c r="D19421" s="1" t="str">
        <f t="shared" si="520"/>
        <v>PRG-1046884</v>
      </c>
      <c r="E19421" t="s">
        <v>127</v>
      </c>
      <c r="F19421" t="s">
        <v>4</v>
      </c>
      <c r="G19421" t="str">
        <f>""</f>
        <v/>
      </c>
    </row>
    <row r="19422" spans="1:7" x14ac:dyDescent="0.25">
      <c r="A19422" t="s">
        <v>8</v>
      </c>
      <c r="B19422" s="1" t="str">
        <f>"000057265 - RICH FOODS-MAIN ARAMARK"</f>
        <v>000057265 - RICH FOODS-MAIN ARAMARK</v>
      </c>
      <c r="C19422" t="s">
        <v>126</v>
      </c>
      <c r="D19422" s="1" t="str">
        <f t="shared" si="520"/>
        <v>PRG-1046884</v>
      </c>
      <c r="E19422" t="s">
        <v>127</v>
      </c>
      <c r="F19422" t="s">
        <v>4</v>
      </c>
      <c r="G19422" t="str">
        <f>""</f>
        <v/>
      </c>
    </row>
    <row r="19423" spans="1:7" x14ac:dyDescent="0.25">
      <c r="A19423" t="s">
        <v>8</v>
      </c>
      <c r="B19423" s="1" t="str">
        <f>"000058118 - RICH FOODS-MAIN ARAMARK"</f>
        <v>000058118 - RICH FOODS-MAIN ARAMARK</v>
      </c>
      <c r="C19423" t="s">
        <v>126</v>
      </c>
      <c r="D19423" s="1" t="str">
        <f t="shared" si="520"/>
        <v>PRG-1046884</v>
      </c>
      <c r="E19423" t="s">
        <v>127</v>
      </c>
      <c r="F19423" t="s">
        <v>4</v>
      </c>
      <c r="G19423" t="str">
        <f>""</f>
        <v/>
      </c>
    </row>
    <row r="19424" spans="1:7" x14ac:dyDescent="0.25">
      <c r="A19424" t="s">
        <v>8</v>
      </c>
      <c r="B19424" s="1" t="str">
        <f>"000060758 - RICH FOODS-ARAMARK MAIN"</f>
        <v>000060758 - RICH FOODS-ARAMARK MAIN</v>
      </c>
      <c r="C19424" t="s">
        <v>574</v>
      </c>
      <c r="D19424" s="1" t="str">
        <f t="shared" si="520"/>
        <v>PRG-1046884</v>
      </c>
      <c r="E19424" t="s">
        <v>127</v>
      </c>
      <c r="F19424" t="s">
        <v>4</v>
      </c>
      <c r="G19424" t="str">
        <f>""</f>
        <v/>
      </c>
    </row>
    <row r="19425" spans="1:7" x14ac:dyDescent="0.25">
      <c r="A19425" t="s">
        <v>8</v>
      </c>
      <c r="B19425" s="1" t="str">
        <f>"000062652 - RICH FOODS-ARAMARK"</f>
        <v>000062652 - RICH FOODS-ARAMARK</v>
      </c>
      <c r="C19425" t="s">
        <v>534</v>
      </c>
      <c r="D19425" s="1" t="str">
        <f t="shared" si="520"/>
        <v>PRG-1046884</v>
      </c>
      <c r="E19425" t="s">
        <v>127</v>
      </c>
      <c r="F19425" t="s">
        <v>4</v>
      </c>
      <c r="G19425" t="str">
        <f>""</f>
        <v/>
      </c>
    </row>
    <row r="19426" spans="1:7" x14ac:dyDescent="0.25">
      <c r="A19426" t="s">
        <v>8</v>
      </c>
      <c r="B19426" s="1" t="str">
        <f>"000067380 - RICH FOODS-ARAMARK"</f>
        <v>000067380 - RICH FOODS-ARAMARK</v>
      </c>
      <c r="C19426" t="s">
        <v>534</v>
      </c>
      <c r="D19426" s="1" t="str">
        <f t="shared" si="520"/>
        <v>PRG-1046884</v>
      </c>
      <c r="E19426" t="s">
        <v>127</v>
      </c>
      <c r="F19426" t="s">
        <v>4</v>
      </c>
      <c r="G19426" t="str">
        <f>""</f>
        <v/>
      </c>
    </row>
    <row r="19427" spans="1:7" x14ac:dyDescent="0.25">
      <c r="A19427" t="s">
        <v>8</v>
      </c>
      <c r="B19427" s="1" t="str">
        <f>"000068643 - RICH FOODS-ARAMARK"</f>
        <v>000068643 - RICH FOODS-ARAMARK</v>
      </c>
      <c r="C19427" t="s">
        <v>534</v>
      </c>
      <c r="D19427" s="1" t="str">
        <f t="shared" si="520"/>
        <v>PRG-1046884</v>
      </c>
      <c r="E19427" t="s">
        <v>127</v>
      </c>
      <c r="F19427" t="s">
        <v>4</v>
      </c>
      <c r="G19427" t="str">
        <f>""</f>
        <v/>
      </c>
    </row>
    <row r="19428" spans="1:7" x14ac:dyDescent="0.25">
      <c r="A19428" t="s">
        <v>8</v>
      </c>
      <c r="B19428" s="1" t="str">
        <f>"000077261 - RICH FOODS BAPA-MAIN ARAMARK"</f>
        <v>000077261 - RICH FOODS BAPA-MAIN ARAMARK</v>
      </c>
      <c r="C19428" t="s">
        <v>320</v>
      </c>
      <c r="D19428" s="1" t="str">
        <f t="shared" si="520"/>
        <v>PRG-1046884</v>
      </c>
      <c r="E19428" t="s">
        <v>127</v>
      </c>
      <c r="F19428" t="s">
        <v>4</v>
      </c>
      <c r="G19428" t="str">
        <f>""</f>
        <v/>
      </c>
    </row>
    <row r="19429" spans="1:7" x14ac:dyDescent="0.25">
      <c r="A19429" t="s">
        <v>8</v>
      </c>
      <c r="B19429" s="1" t="str">
        <f>"000083367 - RICH FOODS-MAIN ARAMARK"</f>
        <v>000083367 - RICH FOODS-MAIN ARAMARK</v>
      </c>
      <c r="C19429" t="s">
        <v>126</v>
      </c>
      <c r="D19429" s="1" t="str">
        <f t="shared" si="520"/>
        <v>PRG-1046884</v>
      </c>
      <c r="E19429" t="s">
        <v>127</v>
      </c>
      <c r="F19429" t="s">
        <v>4</v>
      </c>
      <c r="G19429" t="str">
        <f>""</f>
        <v/>
      </c>
    </row>
    <row r="19430" spans="1:7" x14ac:dyDescent="0.25">
      <c r="A19430" t="s">
        <v>8</v>
      </c>
      <c r="B19430" s="1" t="str">
        <f>"000087099 - RICH FOODS BAPA-MAIN ARAMARK"</f>
        <v>000087099 - RICH FOODS BAPA-MAIN ARAMARK</v>
      </c>
      <c r="C19430" t="s">
        <v>320</v>
      </c>
      <c r="D19430" s="1" t="str">
        <f t="shared" si="520"/>
        <v>PRG-1046884</v>
      </c>
      <c r="E19430" t="s">
        <v>127</v>
      </c>
      <c r="F19430" t="s">
        <v>4</v>
      </c>
      <c r="G19430" t="str">
        <f>""</f>
        <v/>
      </c>
    </row>
    <row r="19431" spans="1:7" x14ac:dyDescent="0.25">
      <c r="A19431" t="s">
        <v>8</v>
      </c>
      <c r="B19431" s="1" t="str">
        <f>"000087905 - RICH FOODS-MAIN ARAMARK"</f>
        <v>000087905 - RICH FOODS-MAIN ARAMARK</v>
      </c>
      <c r="C19431" t="s">
        <v>126</v>
      </c>
      <c r="D19431" s="1" t="str">
        <f t="shared" si="520"/>
        <v>PRG-1046884</v>
      </c>
      <c r="E19431" t="s">
        <v>127</v>
      </c>
      <c r="F19431" t="s">
        <v>4</v>
      </c>
      <c r="G19431" t="str">
        <f>""</f>
        <v/>
      </c>
    </row>
    <row r="19432" spans="1:7" x14ac:dyDescent="0.25">
      <c r="A19432" t="s">
        <v>8</v>
      </c>
      <c r="B19432" s="1" t="str">
        <f>"000089006 - RICH FOODS BAPA-MAIN ARAMARK"</f>
        <v>000089006 - RICH FOODS BAPA-MAIN ARAMARK</v>
      </c>
      <c r="C19432" t="s">
        <v>320</v>
      </c>
      <c r="D19432" s="1" t="str">
        <f t="shared" ref="D19432:D19495" si="521">"PRG-1046884"</f>
        <v>PRG-1046884</v>
      </c>
      <c r="E19432" t="s">
        <v>127</v>
      </c>
      <c r="F19432" t="s">
        <v>4</v>
      </c>
      <c r="G19432" t="str">
        <f>""</f>
        <v/>
      </c>
    </row>
    <row r="19433" spans="1:7" x14ac:dyDescent="0.25">
      <c r="A19433" t="s">
        <v>8</v>
      </c>
      <c r="B19433" s="1" t="str">
        <f>"000094563 - RICH FOODS-ARAMARK"</f>
        <v>000094563 - RICH FOODS-ARAMARK</v>
      </c>
      <c r="C19433" t="s">
        <v>534</v>
      </c>
      <c r="D19433" s="1" t="str">
        <f t="shared" si="521"/>
        <v>PRG-1046884</v>
      </c>
      <c r="E19433" t="s">
        <v>127</v>
      </c>
      <c r="F19433" t="s">
        <v>4</v>
      </c>
      <c r="G19433" t="str">
        <f>""</f>
        <v/>
      </c>
    </row>
    <row r="19434" spans="1:7" x14ac:dyDescent="0.25">
      <c r="A19434" t="s">
        <v>8</v>
      </c>
      <c r="B19434" s="1" t="str">
        <f>"000097077 - RICH FOODS BAPA-MAIN ARAMARK"</f>
        <v>000097077 - RICH FOODS BAPA-MAIN ARAMARK</v>
      </c>
      <c r="C19434" t="s">
        <v>320</v>
      </c>
      <c r="D19434" s="1" t="str">
        <f t="shared" si="521"/>
        <v>PRG-1046884</v>
      </c>
      <c r="E19434" t="s">
        <v>127</v>
      </c>
      <c r="F19434" t="s">
        <v>4</v>
      </c>
      <c r="G19434" t="str">
        <f>""</f>
        <v/>
      </c>
    </row>
    <row r="19435" spans="1:7" x14ac:dyDescent="0.25">
      <c r="A19435" t="s">
        <v>8</v>
      </c>
      <c r="B19435" s="1" t="str">
        <f>"000099501 - RICH FOODS BAPA-MAIN ARAMARK"</f>
        <v>000099501 - RICH FOODS BAPA-MAIN ARAMARK</v>
      </c>
      <c r="C19435" t="s">
        <v>320</v>
      </c>
      <c r="D19435" s="1" t="str">
        <f t="shared" si="521"/>
        <v>PRG-1046884</v>
      </c>
      <c r="E19435" t="s">
        <v>127</v>
      </c>
      <c r="F19435" t="s">
        <v>4</v>
      </c>
      <c r="G19435" t="str">
        <f>""</f>
        <v/>
      </c>
    </row>
    <row r="19436" spans="1:7" x14ac:dyDescent="0.25">
      <c r="A19436" t="s">
        <v>8</v>
      </c>
      <c r="B19436" s="1" t="str">
        <f>"000100015 - RICH FOODS-ARAMARK"</f>
        <v>000100015 - RICH FOODS-ARAMARK</v>
      </c>
      <c r="C19436" t="s">
        <v>534</v>
      </c>
      <c r="D19436" s="1" t="str">
        <f t="shared" si="521"/>
        <v>PRG-1046884</v>
      </c>
      <c r="E19436" t="s">
        <v>127</v>
      </c>
      <c r="F19436" t="s">
        <v>4</v>
      </c>
      <c r="G19436" t="str">
        <f>""</f>
        <v/>
      </c>
    </row>
    <row r="19437" spans="1:7" x14ac:dyDescent="0.25">
      <c r="A19437" t="s">
        <v>8</v>
      </c>
      <c r="B19437" s="1" t="str">
        <f>"000104433 - RICH FOODS-ARAMARK MAIN"</f>
        <v>000104433 - RICH FOODS-ARAMARK MAIN</v>
      </c>
      <c r="C19437" t="s">
        <v>574</v>
      </c>
      <c r="D19437" s="1" t="str">
        <f t="shared" si="521"/>
        <v>PRG-1046884</v>
      </c>
      <c r="E19437" t="s">
        <v>127</v>
      </c>
      <c r="F19437" t="s">
        <v>4</v>
      </c>
      <c r="G19437" t="str">
        <f>""</f>
        <v/>
      </c>
    </row>
    <row r="19438" spans="1:7" x14ac:dyDescent="0.25">
      <c r="A19438" t="s">
        <v>8</v>
      </c>
      <c r="B19438" s="1" t="str">
        <f>"000110455 - RICH FOODS-MAIN ARAMARK"</f>
        <v>000110455 - RICH FOODS-MAIN ARAMARK</v>
      </c>
      <c r="C19438" t="s">
        <v>126</v>
      </c>
      <c r="D19438" s="1" t="str">
        <f t="shared" si="521"/>
        <v>PRG-1046884</v>
      </c>
      <c r="E19438" t="s">
        <v>127</v>
      </c>
      <c r="F19438" t="s">
        <v>4</v>
      </c>
      <c r="G19438" t="str">
        <f>""</f>
        <v/>
      </c>
    </row>
    <row r="19439" spans="1:7" x14ac:dyDescent="0.25">
      <c r="A19439" t="s">
        <v>8</v>
      </c>
      <c r="B19439" s="1" t="str">
        <f>"000117550 - RICH FOODS-ARAMARK"</f>
        <v>000117550 - RICH FOODS-ARAMARK</v>
      </c>
      <c r="C19439" t="s">
        <v>534</v>
      </c>
      <c r="D19439" s="1" t="str">
        <f t="shared" si="521"/>
        <v>PRG-1046884</v>
      </c>
      <c r="E19439" t="s">
        <v>127</v>
      </c>
      <c r="F19439" t="s">
        <v>4</v>
      </c>
      <c r="G19439" t="str">
        <f>""</f>
        <v/>
      </c>
    </row>
    <row r="19440" spans="1:7" x14ac:dyDescent="0.25">
      <c r="A19440" t="s">
        <v>8</v>
      </c>
      <c r="B19440" s="1" t="str">
        <f>"000122257 - RICH FOODS-ARAMARK MAIN"</f>
        <v>000122257 - RICH FOODS-ARAMARK MAIN</v>
      </c>
      <c r="C19440" t="s">
        <v>574</v>
      </c>
      <c r="D19440" s="1" t="str">
        <f t="shared" si="521"/>
        <v>PRG-1046884</v>
      </c>
      <c r="E19440" t="s">
        <v>127</v>
      </c>
      <c r="F19440" t="s">
        <v>4</v>
      </c>
      <c r="G19440" t="str">
        <f>""</f>
        <v/>
      </c>
    </row>
    <row r="19441" spans="1:7" x14ac:dyDescent="0.25">
      <c r="A19441" t="s">
        <v>8</v>
      </c>
      <c r="B19441" s="1" t="str">
        <f>"000142368 - RICH FOODS BAPA-MAIN ARAMARK"</f>
        <v>000142368 - RICH FOODS BAPA-MAIN ARAMARK</v>
      </c>
      <c r="C19441" t="s">
        <v>320</v>
      </c>
      <c r="D19441" s="1" t="str">
        <f t="shared" si="521"/>
        <v>PRG-1046884</v>
      </c>
      <c r="E19441" t="s">
        <v>127</v>
      </c>
      <c r="F19441" t="s">
        <v>4</v>
      </c>
      <c r="G19441" t="str">
        <f>""</f>
        <v/>
      </c>
    </row>
    <row r="19442" spans="1:7" x14ac:dyDescent="0.25">
      <c r="A19442" t="s">
        <v>8</v>
      </c>
      <c r="B19442" s="1" t="str">
        <f>"000143992 - RICH FOODS BAPA-MAIN ARAMARK"</f>
        <v>000143992 - RICH FOODS BAPA-MAIN ARAMARK</v>
      </c>
      <c r="C19442" t="s">
        <v>320</v>
      </c>
      <c r="D19442" s="1" t="str">
        <f t="shared" si="521"/>
        <v>PRG-1046884</v>
      </c>
      <c r="E19442" t="s">
        <v>127</v>
      </c>
      <c r="F19442" t="s">
        <v>4</v>
      </c>
      <c r="G19442" t="str">
        <f>""</f>
        <v/>
      </c>
    </row>
    <row r="19443" spans="1:7" x14ac:dyDescent="0.25">
      <c r="A19443" t="s">
        <v>8</v>
      </c>
      <c r="B19443" s="1" t="str">
        <f>"000149195 - RICH FOODS BAPA-MAIN ARAMARK"</f>
        <v>000149195 - RICH FOODS BAPA-MAIN ARAMARK</v>
      </c>
      <c r="C19443" t="s">
        <v>320</v>
      </c>
      <c r="D19443" s="1" t="str">
        <f t="shared" si="521"/>
        <v>PRG-1046884</v>
      </c>
      <c r="E19443" t="s">
        <v>127</v>
      </c>
      <c r="F19443" t="s">
        <v>4</v>
      </c>
      <c r="G19443" t="str">
        <f>""</f>
        <v/>
      </c>
    </row>
    <row r="19444" spans="1:7" x14ac:dyDescent="0.25">
      <c r="A19444" t="s">
        <v>8</v>
      </c>
      <c r="B19444" s="1" t="str">
        <f>"000150065 - CASA DIBERTACCHI-MAIN ARAMARK"</f>
        <v>000150065 - CASA DIBERTACCHI-MAIN ARAMARK</v>
      </c>
      <c r="C19444" t="s">
        <v>148</v>
      </c>
      <c r="D19444" s="1" t="str">
        <f t="shared" si="521"/>
        <v>PRG-1046884</v>
      </c>
      <c r="E19444" t="s">
        <v>127</v>
      </c>
      <c r="F19444" t="s">
        <v>4</v>
      </c>
      <c r="G19444" t="str">
        <f>""</f>
        <v/>
      </c>
    </row>
    <row r="19445" spans="1:7" x14ac:dyDescent="0.25">
      <c r="A19445" t="s">
        <v>8</v>
      </c>
      <c r="B19445" s="1" t="str">
        <f>"000153541 - RICH FOODS BAPA-MAIN ARAMARK"</f>
        <v>000153541 - RICH FOODS BAPA-MAIN ARAMARK</v>
      </c>
      <c r="C19445" t="s">
        <v>320</v>
      </c>
      <c r="D19445" s="1" t="str">
        <f t="shared" si="521"/>
        <v>PRG-1046884</v>
      </c>
      <c r="E19445" t="s">
        <v>127</v>
      </c>
      <c r="F19445" t="s">
        <v>4</v>
      </c>
      <c r="G19445" t="str">
        <f>""</f>
        <v/>
      </c>
    </row>
    <row r="19446" spans="1:7" x14ac:dyDescent="0.25">
      <c r="A19446" t="s">
        <v>8</v>
      </c>
      <c r="B19446" s="1" t="str">
        <f>"000157763 - RICH FOODS-MAIN ARAMARK"</f>
        <v>000157763 - RICH FOODS-MAIN ARAMARK</v>
      </c>
      <c r="C19446" t="s">
        <v>126</v>
      </c>
      <c r="D19446" s="1" t="str">
        <f t="shared" si="521"/>
        <v>PRG-1046884</v>
      </c>
      <c r="E19446" t="s">
        <v>127</v>
      </c>
      <c r="F19446" t="s">
        <v>4</v>
      </c>
      <c r="G19446" t="str">
        <f>""</f>
        <v/>
      </c>
    </row>
    <row r="19447" spans="1:7" x14ac:dyDescent="0.25">
      <c r="A19447" t="s">
        <v>8</v>
      </c>
      <c r="B19447" s="1" t="str">
        <f>"000161866 - RICH FOODS-MAIN ARAMARK"</f>
        <v>000161866 - RICH FOODS-MAIN ARAMARK</v>
      </c>
      <c r="C19447" t="s">
        <v>126</v>
      </c>
      <c r="D19447" s="1" t="str">
        <f t="shared" si="521"/>
        <v>PRG-1046884</v>
      </c>
      <c r="E19447" t="s">
        <v>127</v>
      </c>
      <c r="F19447" t="s">
        <v>4</v>
      </c>
      <c r="G19447" t="str">
        <f>""</f>
        <v/>
      </c>
    </row>
    <row r="19448" spans="1:7" x14ac:dyDescent="0.25">
      <c r="A19448" t="s">
        <v>8</v>
      </c>
      <c r="B19448" s="1" t="str">
        <f>"000162521 - RICH FOODS-MAIN ARAMARK"</f>
        <v>000162521 - RICH FOODS-MAIN ARAMARK</v>
      </c>
      <c r="C19448" t="s">
        <v>126</v>
      </c>
      <c r="D19448" s="1" t="str">
        <f t="shared" si="521"/>
        <v>PRG-1046884</v>
      </c>
      <c r="E19448" t="s">
        <v>127</v>
      </c>
      <c r="F19448" t="s">
        <v>4</v>
      </c>
      <c r="G19448" t="str">
        <f>""</f>
        <v/>
      </c>
    </row>
    <row r="19449" spans="1:7" x14ac:dyDescent="0.25">
      <c r="A19449" t="s">
        <v>8</v>
      </c>
      <c r="B19449" s="1" t="str">
        <f>"000164559 - RICH FOODS BAPA-MAIN ARAMARK"</f>
        <v>000164559 - RICH FOODS BAPA-MAIN ARAMARK</v>
      </c>
      <c r="C19449" t="s">
        <v>320</v>
      </c>
      <c r="D19449" s="1" t="str">
        <f t="shared" si="521"/>
        <v>PRG-1046884</v>
      </c>
      <c r="E19449" t="s">
        <v>127</v>
      </c>
      <c r="F19449" t="s">
        <v>4</v>
      </c>
      <c r="G19449" t="str">
        <f>""</f>
        <v/>
      </c>
    </row>
    <row r="19450" spans="1:7" x14ac:dyDescent="0.25">
      <c r="A19450" t="s">
        <v>8</v>
      </c>
      <c r="B19450" s="1" t="str">
        <f>"000165888 - RICH FOODS BAPA-MAIN ARAMARK"</f>
        <v>000165888 - RICH FOODS BAPA-MAIN ARAMARK</v>
      </c>
      <c r="C19450" t="s">
        <v>320</v>
      </c>
      <c r="D19450" s="1" t="str">
        <f t="shared" si="521"/>
        <v>PRG-1046884</v>
      </c>
      <c r="E19450" t="s">
        <v>127</v>
      </c>
      <c r="F19450" t="s">
        <v>4</v>
      </c>
      <c r="G19450" t="str">
        <f>""</f>
        <v/>
      </c>
    </row>
    <row r="19451" spans="1:7" x14ac:dyDescent="0.25">
      <c r="A19451" t="s">
        <v>8</v>
      </c>
      <c r="B19451" s="1" t="str">
        <f>"000165916 - RICH FOODS BAPA-MAIN ARAMARK"</f>
        <v>000165916 - RICH FOODS BAPA-MAIN ARAMARK</v>
      </c>
      <c r="C19451" t="s">
        <v>320</v>
      </c>
      <c r="D19451" s="1" t="str">
        <f t="shared" si="521"/>
        <v>PRG-1046884</v>
      </c>
      <c r="E19451" t="s">
        <v>127</v>
      </c>
      <c r="F19451" t="s">
        <v>4</v>
      </c>
      <c r="G19451" t="str">
        <f>""</f>
        <v/>
      </c>
    </row>
    <row r="19452" spans="1:7" x14ac:dyDescent="0.25">
      <c r="A19452" t="s">
        <v>8</v>
      </c>
      <c r="B19452" s="1" t="str">
        <f>"000166008 - RICH FOODS-ARAMARK"</f>
        <v>000166008 - RICH FOODS-ARAMARK</v>
      </c>
      <c r="C19452" t="s">
        <v>534</v>
      </c>
      <c r="D19452" s="1" t="str">
        <f t="shared" si="521"/>
        <v>PRG-1046884</v>
      </c>
      <c r="E19452" t="s">
        <v>127</v>
      </c>
      <c r="F19452" t="s">
        <v>4</v>
      </c>
      <c r="G19452" t="str">
        <f>""</f>
        <v/>
      </c>
    </row>
    <row r="19453" spans="1:7" x14ac:dyDescent="0.25">
      <c r="A19453" t="s">
        <v>8</v>
      </c>
      <c r="B19453" s="1" t="str">
        <f>"000169499 - RICH FOODS-ARAMARK MAIN"</f>
        <v>000169499 - RICH FOODS-ARAMARK MAIN</v>
      </c>
      <c r="C19453" t="s">
        <v>574</v>
      </c>
      <c r="D19453" s="1" t="str">
        <f t="shared" si="521"/>
        <v>PRG-1046884</v>
      </c>
      <c r="E19453" t="s">
        <v>127</v>
      </c>
      <c r="F19453" t="s">
        <v>4</v>
      </c>
      <c r="G19453" t="str">
        <f>""</f>
        <v/>
      </c>
    </row>
    <row r="19454" spans="1:7" x14ac:dyDescent="0.25">
      <c r="A19454" t="s">
        <v>8</v>
      </c>
      <c r="B19454" s="1" t="str">
        <f>"000169793 - RICH FOODS-ARAMARK"</f>
        <v>000169793 - RICH FOODS-ARAMARK</v>
      </c>
      <c r="C19454" t="s">
        <v>534</v>
      </c>
      <c r="D19454" s="1" t="str">
        <f t="shared" si="521"/>
        <v>PRG-1046884</v>
      </c>
      <c r="E19454" t="s">
        <v>127</v>
      </c>
      <c r="F19454" t="s">
        <v>4</v>
      </c>
      <c r="G19454" t="str">
        <f>""</f>
        <v/>
      </c>
    </row>
    <row r="19455" spans="1:7" x14ac:dyDescent="0.25">
      <c r="A19455" t="s">
        <v>8</v>
      </c>
      <c r="B19455" s="1" t="str">
        <f>"000171273 - RICH FOODS BAPA-MAIN ARAMARK"</f>
        <v>000171273 - RICH FOODS BAPA-MAIN ARAMARK</v>
      </c>
      <c r="C19455" t="s">
        <v>320</v>
      </c>
      <c r="D19455" s="1" t="str">
        <f t="shared" si="521"/>
        <v>PRG-1046884</v>
      </c>
      <c r="E19455" t="s">
        <v>127</v>
      </c>
      <c r="F19455" t="s">
        <v>4</v>
      </c>
      <c r="G19455" t="str">
        <f>""</f>
        <v/>
      </c>
    </row>
    <row r="19456" spans="1:7" x14ac:dyDescent="0.25">
      <c r="A19456" t="s">
        <v>8</v>
      </c>
      <c r="B19456" s="1" t="str">
        <f>"000171697 - RICH FOODS BAPA-MAIN ARAMARK"</f>
        <v>000171697 - RICH FOODS BAPA-MAIN ARAMARK</v>
      </c>
      <c r="C19456" t="s">
        <v>320</v>
      </c>
      <c r="D19456" s="1" t="str">
        <f t="shared" si="521"/>
        <v>PRG-1046884</v>
      </c>
      <c r="E19456" t="s">
        <v>127</v>
      </c>
      <c r="F19456" t="s">
        <v>4</v>
      </c>
      <c r="G19456" t="str">
        <f>""</f>
        <v/>
      </c>
    </row>
    <row r="19457" spans="1:7" x14ac:dyDescent="0.25">
      <c r="A19457" t="s">
        <v>8</v>
      </c>
      <c r="B19457" s="1" t="str">
        <f>"000172040 - CASA DIBERTACCHI-MAIN ARAMARK"</f>
        <v>000172040 - CASA DIBERTACCHI-MAIN ARAMARK</v>
      </c>
      <c r="C19457" t="s">
        <v>148</v>
      </c>
      <c r="D19457" s="1" t="str">
        <f t="shared" si="521"/>
        <v>PRG-1046884</v>
      </c>
      <c r="E19457" t="s">
        <v>127</v>
      </c>
      <c r="F19457" t="s">
        <v>4</v>
      </c>
      <c r="G19457" t="str">
        <f>""</f>
        <v/>
      </c>
    </row>
    <row r="19458" spans="1:7" x14ac:dyDescent="0.25">
      <c r="A19458" t="s">
        <v>8</v>
      </c>
      <c r="B19458" s="1" t="str">
        <f>"000173877 - RICH FOODS-ARAMARK MAIN"</f>
        <v>000173877 - RICH FOODS-ARAMARK MAIN</v>
      </c>
      <c r="C19458" t="s">
        <v>574</v>
      </c>
      <c r="D19458" s="1" t="str">
        <f t="shared" si="521"/>
        <v>PRG-1046884</v>
      </c>
      <c r="E19458" t="s">
        <v>127</v>
      </c>
      <c r="F19458" t="s">
        <v>4</v>
      </c>
      <c r="G19458" t="str">
        <f>""</f>
        <v/>
      </c>
    </row>
    <row r="19459" spans="1:7" x14ac:dyDescent="0.25">
      <c r="A19459" t="s">
        <v>8</v>
      </c>
      <c r="B19459" s="1" t="str">
        <f>"000181637 - RICH FOODS-MAIN ARAMARK"</f>
        <v>000181637 - RICH FOODS-MAIN ARAMARK</v>
      </c>
      <c r="C19459" t="s">
        <v>126</v>
      </c>
      <c r="D19459" s="1" t="str">
        <f t="shared" si="521"/>
        <v>PRG-1046884</v>
      </c>
      <c r="E19459" t="s">
        <v>127</v>
      </c>
      <c r="F19459" t="s">
        <v>4</v>
      </c>
      <c r="G19459" t="str">
        <f>""</f>
        <v/>
      </c>
    </row>
    <row r="19460" spans="1:7" x14ac:dyDescent="0.25">
      <c r="A19460" t="s">
        <v>8</v>
      </c>
      <c r="B19460" s="1" t="str">
        <f>"000191565 - RICH FOODS BAPA-MAIN ARAMARK"</f>
        <v>000191565 - RICH FOODS BAPA-MAIN ARAMARK</v>
      </c>
      <c r="C19460" t="s">
        <v>320</v>
      </c>
      <c r="D19460" s="1" t="str">
        <f t="shared" si="521"/>
        <v>PRG-1046884</v>
      </c>
      <c r="E19460" t="s">
        <v>127</v>
      </c>
      <c r="F19460" t="s">
        <v>4</v>
      </c>
      <c r="G19460" t="str">
        <f>""</f>
        <v/>
      </c>
    </row>
    <row r="19461" spans="1:7" x14ac:dyDescent="0.25">
      <c r="A19461" t="s">
        <v>8</v>
      </c>
      <c r="B19461" s="1" t="str">
        <f>"000193930 - RICH FOODS-ARAMARK"</f>
        <v>000193930 - RICH FOODS-ARAMARK</v>
      </c>
      <c r="C19461" t="s">
        <v>534</v>
      </c>
      <c r="D19461" s="1" t="str">
        <f t="shared" si="521"/>
        <v>PRG-1046884</v>
      </c>
      <c r="E19461" t="s">
        <v>127</v>
      </c>
      <c r="F19461" t="s">
        <v>4</v>
      </c>
      <c r="G19461" t="str">
        <f>""</f>
        <v/>
      </c>
    </row>
    <row r="19462" spans="1:7" x14ac:dyDescent="0.25">
      <c r="A19462" t="s">
        <v>8</v>
      </c>
      <c r="B19462" s="1" t="str">
        <f>"000198515 - RICH FOODS-ARAMARK MAIN"</f>
        <v>000198515 - RICH FOODS-ARAMARK MAIN</v>
      </c>
      <c r="C19462" t="s">
        <v>574</v>
      </c>
      <c r="D19462" s="1" t="str">
        <f t="shared" si="521"/>
        <v>PRG-1046884</v>
      </c>
      <c r="E19462" t="s">
        <v>127</v>
      </c>
      <c r="F19462" t="s">
        <v>4</v>
      </c>
      <c r="G19462" t="str">
        <f>""</f>
        <v/>
      </c>
    </row>
    <row r="19463" spans="1:7" x14ac:dyDescent="0.25">
      <c r="A19463" t="s">
        <v>8</v>
      </c>
      <c r="B19463" s="1" t="str">
        <f>"000210542 - RICH FOODS-MAIN ARAMARK"</f>
        <v>000210542 - RICH FOODS-MAIN ARAMARK</v>
      </c>
      <c r="C19463" t="s">
        <v>126</v>
      </c>
      <c r="D19463" s="1" t="str">
        <f t="shared" si="521"/>
        <v>PRG-1046884</v>
      </c>
      <c r="E19463" t="s">
        <v>127</v>
      </c>
      <c r="F19463" t="s">
        <v>4</v>
      </c>
      <c r="G19463" t="str">
        <f>""</f>
        <v/>
      </c>
    </row>
    <row r="19464" spans="1:7" x14ac:dyDescent="0.25">
      <c r="A19464" t="s">
        <v>8</v>
      </c>
      <c r="B19464" s="1" t="str">
        <f>"000216984 - RICH FOODS-ARAMARK"</f>
        <v>000216984 - RICH FOODS-ARAMARK</v>
      </c>
      <c r="C19464" t="s">
        <v>534</v>
      </c>
      <c r="D19464" s="1" t="str">
        <f t="shared" si="521"/>
        <v>PRG-1046884</v>
      </c>
      <c r="E19464" t="s">
        <v>127</v>
      </c>
      <c r="F19464" t="s">
        <v>4</v>
      </c>
      <c r="G19464" t="str">
        <f>""</f>
        <v/>
      </c>
    </row>
    <row r="19465" spans="1:7" x14ac:dyDescent="0.25">
      <c r="A19465" t="s">
        <v>8</v>
      </c>
      <c r="B19465" s="1" t="str">
        <f>"000219933 - CASA DIBERTACCHI-MAIN ARAMARK"</f>
        <v>000219933 - CASA DIBERTACCHI-MAIN ARAMARK</v>
      </c>
      <c r="C19465" t="s">
        <v>148</v>
      </c>
      <c r="D19465" s="1" t="str">
        <f t="shared" si="521"/>
        <v>PRG-1046884</v>
      </c>
      <c r="E19465" t="s">
        <v>127</v>
      </c>
      <c r="F19465" t="s">
        <v>4</v>
      </c>
      <c r="G19465" t="str">
        <f>""</f>
        <v/>
      </c>
    </row>
    <row r="19466" spans="1:7" x14ac:dyDescent="0.25">
      <c r="A19466" t="s">
        <v>8</v>
      </c>
      <c r="B19466" s="1" t="str">
        <f>"000234670 - RICH FOODS BAPA-MAIN ARAMARK"</f>
        <v>000234670 - RICH FOODS BAPA-MAIN ARAMARK</v>
      </c>
      <c r="C19466" t="s">
        <v>320</v>
      </c>
      <c r="D19466" s="1" t="str">
        <f t="shared" si="521"/>
        <v>PRG-1046884</v>
      </c>
      <c r="E19466" t="s">
        <v>127</v>
      </c>
      <c r="F19466" t="s">
        <v>4</v>
      </c>
      <c r="G19466" t="str">
        <f>""</f>
        <v/>
      </c>
    </row>
    <row r="19467" spans="1:7" x14ac:dyDescent="0.25">
      <c r="A19467" t="s">
        <v>8</v>
      </c>
      <c r="B19467" s="1" t="str">
        <f>"000235586 - RICH FOODS-MAIN ARAMARK"</f>
        <v>000235586 - RICH FOODS-MAIN ARAMARK</v>
      </c>
      <c r="C19467" t="s">
        <v>126</v>
      </c>
      <c r="D19467" s="1" t="str">
        <f t="shared" si="521"/>
        <v>PRG-1046884</v>
      </c>
      <c r="E19467" t="s">
        <v>127</v>
      </c>
      <c r="F19467" t="s">
        <v>4</v>
      </c>
      <c r="G19467" t="str">
        <f>""</f>
        <v/>
      </c>
    </row>
    <row r="19468" spans="1:7" x14ac:dyDescent="0.25">
      <c r="A19468" t="s">
        <v>8</v>
      </c>
      <c r="B19468" s="1" t="str">
        <f>"000236660 - RICH FOODS-MAIN ARAMARK"</f>
        <v>000236660 - RICH FOODS-MAIN ARAMARK</v>
      </c>
      <c r="C19468" t="s">
        <v>126</v>
      </c>
      <c r="D19468" s="1" t="str">
        <f t="shared" si="521"/>
        <v>PRG-1046884</v>
      </c>
      <c r="E19468" t="s">
        <v>127</v>
      </c>
      <c r="F19468" t="s">
        <v>4</v>
      </c>
      <c r="G19468" t="str">
        <f>""</f>
        <v/>
      </c>
    </row>
    <row r="19469" spans="1:7" x14ac:dyDescent="0.25">
      <c r="A19469" t="s">
        <v>8</v>
      </c>
      <c r="B19469" s="1" t="str">
        <f>"000238699 - RICH FOODS BAPA-MAIN ARAMARK"</f>
        <v>000238699 - RICH FOODS BAPA-MAIN ARAMARK</v>
      </c>
      <c r="C19469" t="s">
        <v>320</v>
      </c>
      <c r="D19469" s="1" t="str">
        <f t="shared" si="521"/>
        <v>PRG-1046884</v>
      </c>
      <c r="E19469" t="s">
        <v>127</v>
      </c>
      <c r="F19469" t="s">
        <v>4</v>
      </c>
      <c r="G19469" t="str">
        <f>""</f>
        <v/>
      </c>
    </row>
    <row r="19470" spans="1:7" x14ac:dyDescent="0.25">
      <c r="A19470" t="s">
        <v>8</v>
      </c>
      <c r="B19470" s="1" t="str">
        <f>"000238745 - RICH FOODS-MAIN ARAMARK"</f>
        <v>000238745 - RICH FOODS-MAIN ARAMARK</v>
      </c>
      <c r="C19470" t="s">
        <v>126</v>
      </c>
      <c r="D19470" s="1" t="str">
        <f t="shared" si="521"/>
        <v>PRG-1046884</v>
      </c>
      <c r="E19470" t="s">
        <v>127</v>
      </c>
      <c r="F19470" t="s">
        <v>4</v>
      </c>
      <c r="G19470" t="str">
        <f>""</f>
        <v/>
      </c>
    </row>
    <row r="19471" spans="1:7" x14ac:dyDescent="0.25">
      <c r="A19471" t="s">
        <v>8</v>
      </c>
      <c r="B19471" s="1" t="str">
        <f>"000240695 - RICH FOODS BAPA-MAIN ARAMARK"</f>
        <v>000240695 - RICH FOODS BAPA-MAIN ARAMARK</v>
      </c>
      <c r="C19471" t="s">
        <v>320</v>
      </c>
      <c r="D19471" s="1" t="str">
        <f t="shared" si="521"/>
        <v>PRG-1046884</v>
      </c>
      <c r="E19471" t="s">
        <v>127</v>
      </c>
      <c r="F19471" t="s">
        <v>4</v>
      </c>
      <c r="G19471" t="str">
        <f>""</f>
        <v/>
      </c>
    </row>
    <row r="19472" spans="1:7" x14ac:dyDescent="0.25">
      <c r="A19472" t="s">
        <v>8</v>
      </c>
      <c r="B19472" s="1" t="str">
        <f>"000240730 - Z RICH CORE BB-MAIN ARAMARK"</f>
        <v>000240730 - Z RICH CORE BB-MAIN ARAMARK</v>
      </c>
      <c r="C19472" t="s">
        <v>1912</v>
      </c>
      <c r="D19472" s="1" t="str">
        <f t="shared" si="521"/>
        <v>PRG-1046884</v>
      </c>
      <c r="E19472" t="s">
        <v>127</v>
      </c>
      <c r="F19472" t="s">
        <v>4</v>
      </c>
      <c r="G19472" t="str">
        <f>""</f>
        <v/>
      </c>
    </row>
    <row r="19473" spans="1:7" x14ac:dyDescent="0.25">
      <c r="A19473" t="s">
        <v>8</v>
      </c>
      <c r="B19473" s="1" t="str">
        <f>"000242679 - RICH FDS NCORE BB-MAIN ARAMARK"</f>
        <v>000242679 - RICH FDS NCORE BB-MAIN ARAMARK</v>
      </c>
      <c r="C19473" t="s">
        <v>194</v>
      </c>
      <c r="D19473" s="1" t="str">
        <f t="shared" si="521"/>
        <v>PRG-1046884</v>
      </c>
      <c r="E19473" t="s">
        <v>127</v>
      </c>
      <c r="F19473" t="s">
        <v>4</v>
      </c>
      <c r="G19473" t="str">
        <f>""</f>
        <v/>
      </c>
    </row>
    <row r="19474" spans="1:7" x14ac:dyDescent="0.25">
      <c r="A19474" t="s">
        <v>8</v>
      </c>
      <c r="B19474" s="1" t="str">
        <f>"000242680 - RICH FDS CORE BB-MAIN ARAMARK"</f>
        <v>000242680 - RICH FDS CORE BB-MAIN ARAMARK</v>
      </c>
      <c r="C19474" t="s">
        <v>196</v>
      </c>
      <c r="D19474" s="1" t="str">
        <f t="shared" si="521"/>
        <v>PRG-1046884</v>
      </c>
      <c r="E19474" t="s">
        <v>127</v>
      </c>
      <c r="F19474" t="s">
        <v>4</v>
      </c>
      <c r="G19474" t="str">
        <f>""</f>
        <v/>
      </c>
    </row>
    <row r="19475" spans="1:7" x14ac:dyDescent="0.25">
      <c r="A19475" t="s">
        <v>8</v>
      </c>
      <c r="B19475" s="1" t="str">
        <f>"000242831 - RICH FOODS BAPA-MAIN ARAMARK"</f>
        <v>000242831 - RICH FOODS BAPA-MAIN ARAMARK</v>
      </c>
      <c r="C19475" t="s">
        <v>320</v>
      </c>
      <c r="D19475" s="1" t="str">
        <f t="shared" si="521"/>
        <v>PRG-1046884</v>
      </c>
      <c r="E19475" t="s">
        <v>127</v>
      </c>
      <c r="F19475" t="s">
        <v>4</v>
      </c>
      <c r="G19475" t="str">
        <f>""</f>
        <v/>
      </c>
    </row>
    <row r="19476" spans="1:7" x14ac:dyDescent="0.25">
      <c r="A19476" t="s">
        <v>8</v>
      </c>
      <c r="B19476" s="1" t="str">
        <f>"000243886 - RICH FOODS-MAIN ARAMARK"</f>
        <v>000243886 - RICH FOODS-MAIN ARAMARK</v>
      </c>
      <c r="C19476" t="s">
        <v>126</v>
      </c>
      <c r="D19476" s="1" t="str">
        <f t="shared" si="521"/>
        <v>PRG-1046884</v>
      </c>
      <c r="E19476" t="s">
        <v>127</v>
      </c>
      <c r="F19476" t="s">
        <v>4</v>
      </c>
      <c r="G19476" t="str">
        <f>""</f>
        <v/>
      </c>
    </row>
    <row r="19477" spans="1:7" x14ac:dyDescent="0.25">
      <c r="A19477" t="s">
        <v>8</v>
      </c>
      <c r="B19477" s="1" t="str">
        <f>"000244876 - RICH FOODS BAPA-MAIN ARAMARK"</f>
        <v>000244876 - RICH FOODS BAPA-MAIN ARAMARK</v>
      </c>
      <c r="C19477" t="s">
        <v>320</v>
      </c>
      <c r="D19477" s="1" t="str">
        <f t="shared" si="521"/>
        <v>PRG-1046884</v>
      </c>
      <c r="E19477" t="s">
        <v>127</v>
      </c>
      <c r="F19477" t="s">
        <v>4</v>
      </c>
      <c r="G19477" t="str">
        <f>""</f>
        <v/>
      </c>
    </row>
    <row r="19478" spans="1:7" x14ac:dyDescent="0.25">
      <c r="A19478" t="s">
        <v>8</v>
      </c>
      <c r="B19478" s="1" t="str">
        <f>"000246175 - RICH FDS NCORE BB-MAIN ARAMARK"</f>
        <v>000246175 - RICH FDS NCORE BB-MAIN ARAMARK</v>
      </c>
      <c r="C19478" t="s">
        <v>194</v>
      </c>
      <c r="D19478" s="1" t="str">
        <f t="shared" si="521"/>
        <v>PRG-1046884</v>
      </c>
      <c r="E19478" t="s">
        <v>127</v>
      </c>
      <c r="F19478" t="s">
        <v>4</v>
      </c>
      <c r="G19478" t="str">
        <f>""</f>
        <v/>
      </c>
    </row>
    <row r="19479" spans="1:7" x14ac:dyDescent="0.25">
      <c r="A19479" t="s">
        <v>8</v>
      </c>
      <c r="B19479" s="1" t="str">
        <f>"000246176 - RICH FDS CORE BB-MAIN ARAMARK"</f>
        <v>000246176 - RICH FDS CORE BB-MAIN ARAMARK</v>
      </c>
      <c r="C19479" t="s">
        <v>196</v>
      </c>
      <c r="D19479" s="1" t="str">
        <f t="shared" si="521"/>
        <v>PRG-1046884</v>
      </c>
      <c r="E19479" t="s">
        <v>127</v>
      </c>
      <c r="F19479" t="s">
        <v>4</v>
      </c>
      <c r="G19479" t="str">
        <f>""</f>
        <v/>
      </c>
    </row>
    <row r="19480" spans="1:7" x14ac:dyDescent="0.25">
      <c r="A19480" t="s">
        <v>8</v>
      </c>
      <c r="B19480" s="1" t="str">
        <f>"000246354 - RICH FDS CORE BB-MAIN ARAMARK"</f>
        <v>000246354 - RICH FDS CORE BB-MAIN ARAMARK</v>
      </c>
      <c r="C19480" t="s">
        <v>196</v>
      </c>
      <c r="D19480" s="1" t="str">
        <f t="shared" si="521"/>
        <v>PRG-1046884</v>
      </c>
      <c r="E19480" t="s">
        <v>127</v>
      </c>
      <c r="F19480" t="s">
        <v>4</v>
      </c>
      <c r="G19480" t="str">
        <f>""</f>
        <v/>
      </c>
    </row>
    <row r="19481" spans="1:7" x14ac:dyDescent="0.25">
      <c r="A19481" t="s">
        <v>8</v>
      </c>
      <c r="B19481" s="1" t="str">
        <f>"000246355 - RICH FDS NCORE BB-MAIN ARAMARK"</f>
        <v>000246355 - RICH FDS NCORE BB-MAIN ARAMARK</v>
      </c>
      <c r="C19481" t="s">
        <v>194</v>
      </c>
      <c r="D19481" s="1" t="str">
        <f t="shared" si="521"/>
        <v>PRG-1046884</v>
      </c>
      <c r="E19481" t="s">
        <v>127</v>
      </c>
      <c r="F19481" t="s">
        <v>4</v>
      </c>
      <c r="G19481" t="str">
        <f>""</f>
        <v/>
      </c>
    </row>
    <row r="19482" spans="1:7" x14ac:dyDescent="0.25">
      <c r="A19482" t="s">
        <v>8</v>
      </c>
      <c r="B19482" s="1" t="str">
        <f>"000246706 - RICH FOODS BAPA-MAIN ARAMARK"</f>
        <v>000246706 - RICH FOODS BAPA-MAIN ARAMARK</v>
      </c>
      <c r="C19482" t="s">
        <v>320</v>
      </c>
      <c r="D19482" s="1" t="str">
        <f t="shared" si="521"/>
        <v>PRG-1046884</v>
      </c>
      <c r="E19482" t="s">
        <v>127</v>
      </c>
      <c r="F19482" t="s">
        <v>4</v>
      </c>
      <c r="G19482" t="str">
        <f>""</f>
        <v/>
      </c>
    </row>
    <row r="19483" spans="1:7" x14ac:dyDescent="0.25">
      <c r="A19483" t="s">
        <v>8</v>
      </c>
      <c r="B19483" s="1" t="str">
        <f>"000246844 - RICH FOODS BAPA-MAIN ARAMARK"</f>
        <v>000246844 - RICH FOODS BAPA-MAIN ARAMARK</v>
      </c>
      <c r="C19483" t="s">
        <v>320</v>
      </c>
      <c r="D19483" s="1" t="str">
        <f t="shared" si="521"/>
        <v>PRG-1046884</v>
      </c>
      <c r="E19483" t="s">
        <v>127</v>
      </c>
      <c r="F19483" t="s">
        <v>4</v>
      </c>
      <c r="G19483" t="str">
        <f>""</f>
        <v/>
      </c>
    </row>
    <row r="19484" spans="1:7" x14ac:dyDescent="0.25">
      <c r="A19484" t="s">
        <v>8</v>
      </c>
      <c r="B19484" s="1" t="str">
        <f>"000247165 - CASA DIBERTACCHI-MAIN ARAMARK"</f>
        <v>000247165 - CASA DIBERTACCHI-MAIN ARAMARK</v>
      </c>
      <c r="C19484" t="s">
        <v>148</v>
      </c>
      <c r="D19484" s="1" t="str">
        <f t="shared" si="521"/>
        <v>PRG-1046884</v>
      </c>
      <c r="E19484" t="s">
        <v>127</v>
      </c>
      <c r="F19484" t="s">
        <v>4</v>
      </c>
      <c r="G19484" t="str">
        <f>""</f>
        <v/>
      </c>
    </row>
    <row r="19485" spans="1:7" x14ac:dyDescent="0.25">
      <c r="A19485" t="s">
        <v>8</v>
      </c>
      <c r="B19485" s="1" t="str">
        <f>"000248141 - RICH FOODS BAPA-MAIN ARAMARK"</f>
        <v>000248141 - RICH FOODS BAPA-MAIN ARAMARK</v>
      </c>
      <c r="C19485" t="s">
        <v>320</v>
      </c>
      <c r="D19485" s="1" t="str">
        <f t="shared" si="521"/>
        <v>PRG-1046884</v>
      </c>
      <c r="E19485" t="s">
        <v>127</v>
      </c>
      <c r="F19485" t="s">
        <v>4</v>
      </c>
      <c r="G19485" t="str">
        <f>""</f>
        <v/>
      </c>
    </row>
    <row r="19486" spans="1:7" x14ac:dyDescent="0.25">
      <c r="A19486" t="s">
        <v>8</v>
      </c>
      <c r="B19486" s="1" t="str">
        <f>"000248990 - RICH FDS NCORE BB-MAIN ARAMARK"</f>
        <v>000248990 - RICH FDS NCORE BB-MAIN ARAMARK</v>
      </c>
      <c r="C19486" t="s">
        <v>194</v>
      </c>
      <c r="D19486" s="1" t="str">
        <f t="shared" si="521"/>
        <v>PRG-1046884</v>
      </c>
      <c r="E19486" t="s">
        <v>127</v>
      </c>
      <c r="F19486" t="s">
        <v>4</v>
      </c>
      <c r="G19486" t="str">
        <f>""</f>
        <v/>
      </c>
    </row>
    <row r="19487" spans="1:7" x14ac:dyDescent="0.25">
      <c r="A19487" t="s">
        <v>8</v>
      </c>
      <c r="B19487" s="1" t="str">
        <f>"000251586 - RICH FOODS BAPA-MAIN ARAMARK"</f>
        <v>000251586 - RICH FOODS BAPA-MAIN ARAMARK</v>
      </c>
      <c r="C19487" t="s">
        <v>320</v>
      </c>
      <c r="D19487" s="1" t="str">
        <f t="shared" si="521"/>
        <v>PRG-1046884</v>
      </c>
      <c r="E19487" t="s">
        <v>127</v>
      </c>
      <c r="F19487" t="s">
        <v>4</v>
      </c>
      <c r="G19487" t="str">
        <f>""</f>
        <v/>
      </c>
    </row>
    <row r="19488" spans="1:7" x14ac:dyDescent="0.25">
      <c r="A19488" t="s">
        <v>8</v>
      </c>
      <c r="B19488" s="1" t="str">
        <f>"000251872 - RICH FDS NCORE BB-MAIN ARAMARK"</f>
        <v>000251872 - RICH FDS NCORE BB-MAIN ARAMARK</v>
      </c>
      <c r="C19488" t="s">
        <v>194</v>
      </c>
      <c r="D19488" s="1" t="str">
        <f t="shared" si="521"/>
        <v>PRG-1046884</v>
      </c>
      <c r="E19488" t="s">
        <v>127</v>
      </c>
      <c r="F19488" t="s">
        <v>4</v>
      </c>
      <c r="G19488" t="str">
        <f>""</f>
        <v/>
      </c>
    </row>
    <row r="19489" spans="1:7" x14ac:dyDescent="0.25">
      <c r="A19489" t="s">
        <v>8</v>
      </c>
      <c r="B19489" s="1" t="str">
        <f>"000251873 - RICH FDS CORE BB-MAIN ARAMARK"</f>
        <v>000251873 - RICH FDS CORE BB-MAIN ARAMARK</v>
      </c>
      <c r="C19489" t="s">
        <v>196</v>
      </c>
      <c r="D19489" s="1" t="str">
        <f t="shared" si="521"/>
        <v>PRG-1046884</v>
      </c>
      <c r="E19489" t="s">
        <v>127</v>
      </c>
      <c r="F19489" t="s">
        <v>4</v>
      </c>
      <c r="G19489" t="str">
        <f>""</f>
        <v/>
      </c>
    </row>
    <row r="19490" spans="1:7" x14ac:dyDescent="0.25">
      <c r="A19490" t="s">
        <v>8</v>
      </c>
      <c r="B19490" s="1" t="str">
        <f>"000252113 - RICH FOODS BAPA-MAIN ARAMARK"</f>
        <v>000252113 - RICH FOODS BAPA-MAIN ARAMARK</v>
      </c>
      <c r="C19490" t="s">
        <v>320</v>
      </c>
      <c r="D19490" s="1" t="str">
        <f t="shared" si="521"/>
        <v>PRG-1046884</v>
      </c>
      <c r="E19490" t="s">
        <v>127</v>
      </c>
      <c r="F19490" t="s">
        <v>4</v>
      </c>
      <c r="G19490" t="str">
        <f>""</f>
        <v/>
      </c>
    </row>
    <row r="19491" spans="1:7" x14ac:dyDescent="0.25">
      <c r="A19491" t="s">
        <v>8</v>
      </c>
      <c r="B19491" s="1" t="str">
        <f>"000252540 - RICH FOODS BAPA-MAIN ARAMARK"</f>
        <v>000252540 - RICH FOODS BAPA-MAIN ARAMARK</v>
      </c>
      <c r="C19491" t="s">
        <v>320</v>
      </c>
      <c r="D19491" s="1" t="str">
        <f t="shared" si="521"/>
        <v>PRG-1046884</v>
      </c>
      <c r="E19491" t="s">
        <v>127</v>
      </c>
      <c r="F19491" t="s">
        <v>4</v>
      </c>
      <c r="G19491" t="str">
        <f>""</f>
        <v/>
      </c>
    </row>
    <row r="19492" spans="1:7" x14ac:dyDescent="0.25">
      <c r="A19492" t="s">
        <v>8</v>
      </c>
      <c r="B19492" s="1" t="str">
        <f>"000254126 - RICH FOODS BAPA-MAIN ARAMARK"</f>
        <v>000254126 - RICH FOODS BAPA-MAIN ARAMARK</v>
      </c>
      <c r="C19492" t="s">
        <v>320</v>
      </c>
      <c r="D19492" s="1" t="str">
        <f t="shared" si="521"/>
        <v>PRG-1046884</v>
      </c>
      <c r="E19492" t="s">
        <v>127</v>
      </c>
      <c r="F19492" t="s">
        <v>4</v>
      </c>
      <c r="G19492" t="str">
        <f>""</f>
        <v/>
      </c>
    </row>
    <row r="19493" spans="1:7" x14ac:dyDescent="0.25">
      <c r="A19493" t="s">
        <v>8</v>
      </c>
      <c r="B19493" s="1" t="str">
        <f>"000254368 - RICH FOODS BAPA-MAIN ARAMARK"</f>
        <v>000254368 - RICH FOODS BAPA-MAIN ARAMARK</v>
      </c>
      <c r="C19493" t="s">
        <v>320</v>
      </c>
      <c r="D19493" s="1" t="str">
        <f t="shared" si="521"/>
        <v>PRG-1046884</v>
      </c>
      <c r="E19493" t="s">
        <v>127</v>
      </c>
      <c r="F19493" t="s">
        <v>4</v>
      </c>
      <c r="G19493" t="str">
        <f>""</f>
        <v/>
      </c>
    </row>
    <row r="19494" spans="1:7" x14ac:dyDescent="0.25">
      <c r="A19494" t="s">
        <v>8</v>
      </c>
      <c r="B19494" s="1" t="str">
        <f>"000255167 - RICH FDS CBB-MAIN ARAMARK"</f>
        <v>000255167 - RICH FDS CBB-MAIN ARAMARK</v>
      </c>
      <c r="C19494" t="s">
        <v>187</v>
      </c>
      <c r="D19494" s="1" t="str">
        <f t="shared" si="521"/>
        <v>PRG-1046884</v>
      </c>
      <c r="E19494" t="s">
        <v>127</v>
      </c>
      <c r="F19494" t="s">
        <v>4</v>
      </c>
      <c r="G19494" t="str">
        <f>""</f>
        <v/>
      </c>
    </row>
    <row r="19495" spans="1:7" x14ac:dyDescent="0.25">
      <c r="A19495" t="s">
        <v>8</v>
      </c>
      <c r="B19495" s="1" t="str">
        <f>"000255807 - RICH FOODS BAPA-MAIN ARAMARK"</f>
        <v>000255807 - RICH FOODS BAPA-MAIN ARAMARK</v>
      </c>
      <c r="C19495" t="s">
        <v>320</v>
      </c>
      <c r="D19495" s="1" t="str">
        <f t="shared" si="521"/>
        <v>PRG-1046884</v>
      </c>
      <c r="E19495" t="s">
        <v>127</v>
      </c>
      <c r="F19495" t="s">
        <v>4</v>
      </c>
      <c r="G19495" t="str">
        <f>""</f>
        <v/>
      </c>
    </row>
    <row r="19496" spans="1:7" x14ac:dyDescent="0.25">
      <c r="A19496" t="s">
        <v>8</v>
      </c>
      <c r="B19496" s="1" t="str">
        <f>"000255981 - RICH FDS NCORE BB-MAIN ARAMARK"</f>
        <v>000255981 - RICH FDS NCORE BB-MAIN ARAMARK</v>
      </c>
      <c r="C19496" t="s">
        <v>194</v>
      </c>
      <c r="D19496" s="1" t="str">
        <f t="shared" ref="D19496:D19559" si="522">"PRG-1046884"</f>
        <v>PRG-1046884</v>
      </c>
      <c r="E19496" t="s">
        <v>127</v>
      </c>
      <c r="F19496" t="s">
        <v>4</v>
      </c>
      <c r="G19496" t="str">
        <f>""</f>
        <v/>
      </c>
    </row>
    <row r="19497" spans="1:7" x14ac:dyDescent="0.25">
      <c r="A19497" t="s">
        <v>8</v>
      </c>
      <c r="B19497" s="1" t="str">
        <f>"000255982 - RICH FDS CORE BB-MAIN ARAMARK"</f>
        <v>000255982 - RICH FDS CORE BB-MAIN ARAMARK</v>
      </c>
      <c r="C19497" t="s">
        <v>196</v>
      </c>
      <c r="D19497" s="1" t="str">
        <f t="shared" si="522"/>
        <v>PRG-1046884</v>
      </c>
      <c r="E19497" t="s">
        <v>127</v>
      </c>
      <c r="F19497" t="s">
        <v>4</v>
      </c>
      <c r="G19497" t="str">
        <f>""</f>
        <v/>
      </c>
    </row>
    <row r="19498" spans="1:7" x14ac:dyDescent="0.25">
      <c r="A19498" t="s">
        <v>8</v>
      </c>
      <c r="B19498" s="1" t="str">
        <f>"000256058 - RICH FDS NCORE BB-MAIN ARAMARK"</f>
        <v>000256058 - RICH FDS NCORE BB-MAIN ARAMARK</v>
      </c>
      <c r="C19498" t="s">
        <v>194</v>
      </c>
      <c r="D19498" s="1" t="str">
        <f t="shared" si="522"/>
        <v>PRG-1046884</v>
      </c>
      <c r="E19498" t="s">
        <v>127</v>
      </c>
      <c r="F19498" t="s">
        <v>4</v>
      </c>
      <c r="G19498" t="str">
        <f>""</f>
        <v/>
      </c>
    </row>
    <row r="19499" spans="1:7" x14ac:dyDescent="0.25">
      <c r="A19499" t="s">
        <v>8</v>
      </c>
      <c r="B19499" s="1" t="str">
        <f>"000256059 - RICH FDS CORE BB-MAIN ARAMARK"</f>
        <v>000256059 - RICH FDS CORE BB-MAIN ARAMARK</v>
      </c>
      <c r="C19499" t="s">
        <v>196</v>
      </c>
      <c r="D19499" s="1" t="str">
        <f t="shared" si="522"/>
        <v>PRG-1046884</v>
      </c>
      <c r="E19499" t="s">
        <v>127</v>
      </c>
      <c r="F19499" t="s">
        <v>4</v>
      </c>
      <c r="G19499" t="str">
        <f>""</f>
        <v/>
      </c>
    </row>
    <row r="19500" spans="1:7" x14ac:dyDescent="0.25">
      <c r="A19500" t="s">
        <v>8</v>
      </c>
      <c r="B19500" s="1" t="str">
        <f>"000256241 - RICH FOODS BAPA-MAIN ARAMARK"</f>
        <v>000256241 - RICH FOODS BAPA-MAIN ARAMARK</v>
      </c>
      <c r="C19500" t="s">
        <v>320</v>
      </c>
      <c r="D19500" s="1" t="str">
        <f t="shared" si="522"/>
        <v>PRG-1046884</v>
      </c>
      <c r="E19500" t="s">
        <v>127</v>
      </c>
      <c r="F19500" t="s">
        <v>4</v>
      </c>
      <c r="G19500" t="str">
        <f>""</f>
        <v/>
      </c>
    </row>
    <row r="19501" spans="1:7" x14ac:dyDescent="0.25">
      <c r="A19501" t="s">
        <v>8</v>
      </c>
      <c r="B19501" s="1" t="str">
        <f>"000256315 - RICH FOODS-MAIN ARAMARK"</f>
        <v>000256315 - RICH FOODS-MAIN ARAMARK</v>
      </c>
      <c r="C19501" t="s">
        <v>126</v>
      </c>
      <c r="D19501" s="1" t="str">
        <f t="shared" si="522"/>
        <v>PRG-1046884</v>
      </c>
      <c r="E19501" t="s">
        <v>127</v>
      </c>
      <c r="F19501" t="s">
        <v>4</v>
      </c>
      <c r="G19501" t="str">
        <f>""</f>
        <v/>
      </c>
    </row>
    <row r="19502" spans="1:7" x14ac:dyDescent="0.25">
      <c r="A19502" t="s">
        <v>8</v>
      </c>
      <c r="B19502" s="1" t="str">
        <f>"000256749 - RICH FDS CORE BB-MAIN ARAMARK"</f>
        <v>000256749 - RICH FDS CORE BB-MAIN ARAMARK</v>
      </c>
      <c r="C19502" t="s">
        <v>196</v>
      </c>
      <c r="D19502" s="1" t="str">
        <f t="shared" si="522"/>
        <v>PRG-1046884</v>
      </c>
      <c r="E19502" t="s">
        <v>127</v>
      </c>
      <c r="F19502" t="s">
        <v>4</v>
      </c>
      <c r="G19502" t="str">
        <f>""</f>
        <v/>
      </c>
    </row>
    <row r="19503" spans="1:7" x14ac:dyDescent="0.25">
      <c r="A19503" t="s">
        <v>8</v>
      </c>
      <c r="B19503" s="1" t="str">
        <f>"000256978 - RICH FDS CORE BB-MAIN ARAMARK"</f>
        <v>000256978 - RICH FDS CORE BB-MAIN ARAMARK</v>
      </c>
      <c r="C19503" t="s">
        <v>196</v>
      </c>
      <c r="D19503" s="1" t="str">
        <f t="shared" si="522"/>
        <v>PRG-1046884</v>
      </c>
      <c r="E19503" t="s">
        <v>127</v>
      </c>
      <c r="F19503" t="s">
        <v>4</v>
      </c>
      <c r="G19503" t="str">
        <f>""</f>
        <v/>
      </c>
    </row>
    <row r="19504" spans="1:7" x14ac:dyDescent="0.25">
      <c r="A19504" t="s">
        <v>8</v>
      </c>
      <c r="B19504" s="1" t="str">
        <f>"000257087 - RICH FOODS BAPA-MAIN ARAMARK"</f>
        <v>000257087 - RICH FOODS BAPA-MAIN ARAMARK</v>
      </c>
      <c r="C19504" t="s">
        <v>320</v>
      </c>
      <c r="D19504" s="1" t="str">
        <f t="shared" si="522"/>
        <v>PRG-1046884</v>
      </c>
      <c r="E19504" t="s">
        <v>127</v>
      </c>
      <c r="F19504" t="s">
        <v>4</v>
      </c>
      <c r="G19504" t="str">
        <f>""</f>
        <v/>
      </c>
    </row>
    <row r="19505" spans="1:7" x14ac:dyDescent="0.25">
      <c r="A19505" t="s">
        <v>8</v>
      </c>
      <c r="B19505" s="1" t="str">
        <f>"000257996 - CASA DIBERTACCHI-MAIN ARAMARK"</f>
        <v>000257996 - CASA DIBERTACCHI-MAIN ARAMARK</v>
      </c>
      <c r="C19505" t="s">
        <v>148</v>
      </c>
      <c r="D19505" s="1" t="str">
        <f t="shared" si="522"/>
        <v>PRG-1046884</v>
      </c>
      <c r="E19505" t="s">
        <v>127</v>
      </c>
      <c r="F19505" t="s">
        <v>4</v>
      </c>
      <c r="G19505" t="str">
        <f>""</f>
        <v/>
      </c>
    </row>
    <row r="19506" spans="1:7" x14ac:dyDescent="0.25">
      <c r="A19506" t="s">
        <v>8</v>
      </c>
      <c r="B19506" s="1" t="str">
        <f>"000259914 - RICH FDS NCORE BB-MAIN ARAMARK"</f>
        <v>000259914 - RICH FDS NCORE BB-MAIN ARAMARK</v>
      </c>
      <c r="C19506" t="s">
        <v>194</v>
      </c>
      <c r="D19506" s="1" t="str">
        <f t="shared" si="522"/>
        <v>PRG-1046884</v>
      </c>
      <c r="E19506" t="s">
        <v>127</v>
      </c>
      <c r="F19506" t="s">
        <v>4</v>
      </c>
      <c r="G19506" t="str">
        <f>""</f>
        <v/>
      </c>
    </row>
    <row r="19507" spans="1:7" x14ac:dyDescent="0.25">
      <c r="A19507" t="s">
        <v>8</v>
      </c>
      <c r="B19507" s="1" t="str">
        <f>"000259915 - RICH FDS CORE BB-MAIN ARAMARK"</f>
        <v>000259915 - RICH FDS CORE BB-MAIN ARAMARK</v>
      </c>
      <c r="C19507" t="s">
        <v>196</v>
      </c>
      <c r="D19507" s="1" t="str">
        <f t="shared" si="522"/>
        <v>PRG-1046884</v>
      </c>
      <c r="E19507" t="s">
        <v>127</v>
      </c>
      <c r="F19507" t="s">
        <v>4</v>
      </c>
      <c r="G19507" t="str">
        <f>""</f>
        <v/>
      </c>
    </row>
    <row r="19508" spans="1:7" x14ac:dyDescent="0.25">
      <c r="A19508" t="s">
        <v>8</v>
      </c>
      <c r="B19508" s="1" t="str">
        <f>"000260815 - RICH FDS NCORE BB-MAIN ARAMARK"</f>
        <v>000260815 - RICH FDS NCORE BB-MAIN ARAMARK</v>
      </c>
      <c r="C19508" t="s">
        <v>194</v>
      </c>
      <c r="D19508" s="1" t="str">
        <f t="shared" si="522"/>
        <v>PRG-1046884</v>
      </c>
      <c r="E19508" t="s">
        <v>127</v>
      </c>
      <c r="F19508" t="s">
        <v>4</v>
      </c>
      <c r="G19508" t="str">
        <f>""</f>
        <v/>
      </c>
    </row>
    <row r="19509" spans="1:7" x14ac:dyDescent="0.25">
      <c r="A19509" t="s">
        <v>8</v>
      </c>
      <c r="B19509" s="1" t="str">
        <f>"000262049 - RICH FOODS-MAIN ARAMARK"</f>
        <v>000262049 - RICH FOODS-MAIN ARAMARK</v>
      </c>
      <c r="C19509" t="s">
        <v>126</v>
      </c>
      <c r="D19509" s="1" t="str">
        <f t="shared" si="522"/>
        <v>PRG-1046884</v>
      </c>
      <c r="E19509" t="s">
        <v>127</v>
      </c>
      <c r="F19509" t="s">
        <v>4</v>
      </c>
      <c r="G19509" t="str">
        <f>""</f>
        <v/>
      </c>
    </row>
    <row r="19510" spans="1:7" x14ac:dyDescent="0.25">
      <c r="A19510" t="s">
        <v>8</v>
      </c>
      <c r="B19510" s="1" t="str">
        <f>"000262114 - RICH FOODS-ARAMARK"</f>
        <v>000262114 - RICH FOODS-ARAMARK</v>
      </c>
      <c r="C19510" t="s">
        <v>534</v>
      </c>
      <c r="D19510" s="1" t="str">
        <f t="shared" si="522"/>
        <v>PRG-1046884</v>
      </c>
      <c r="E19510" t="s">
        <v>127</v>
      </c>
      <c r="F19510" t="s">
        <v>4</v>
      </c>
      <c r="G19510" t="str">
        <f>""</f>
        <v/>
      </c>
    </row>
    <row r="19511" spans="1:7" x14ac:dyDescent="0.25">
      <c r="A19511" t="s">
        <v>8</v>
      </c>
      <c r="B19511" s="1" t="str">
        <f>"000262190 - RICH FOODS-MAIN ARAMARK"</f>
        <v>000262190 - RICH FOODS-MAIN ARAMARK</v>
      </c>
      <c r="C19511" t="s">
        <v>126</v>
      </c>
      <c r="D19511" s="1" t="str">
        <f t="shared" si="522"/>
        <v>PRG-1046884</v>
      </c>
      <c r="E19511" t="s">
        <v>127</v>
      </c>
      <c r="F19511" t="s">
        <v>4</v>
      </c>
      <c r="G19511" t="str">
        <f>""</f>
        <v/>
      </c>
    </row>
    <row r="19512" spans="1:7" x14ac:dyDescent="0.25">
      <c r="A19512" t="s">
        <v>8</v>
      </c>
      <c r="B19512" s="1" t="str">
        <f>"000262820 - RICH FOODS BAPA-MAIN ARAMARK"</f>
        <v>000262820 - RICH FOODS BAPA-MAIN ARAMARK</v>
      </c>
      <c r="C19512" t="s">
        <v>320</v>
      </c>
      <c r="D19512" s="1" t="str">
        <f t="shared" si="522"/>
        <v>PRG-1046884</v>
      </c>
      <c r="E19512" t="s">
        <v>127</v>
      </c>
      <c r="F19512" t="s">
        <v>4</v>
      </c>
      <c r="G19512" t="str">
        <f>""</f>
        <v/>
      </c>
    </row>
    <row r="19513" spans="1:7" x14ac:dyDescent="0.25">
      <c r="A19513" t="s">
        <v>8</v>
      </c>
      <c r="B19513" s="1" t="str">
        <f>"000262885 - RICH FOODS BAPA-MAIN ARAMARK"</f>
        <v>000262885 - RICH FOODS BAPA-MAIN ARAMARK</v>
      </c>
      <c r="C19513" t="s">
        <v>320</v>
      </c>
      <c r="D19513" s="1" t="str">
        <f t="shared" si="522"/>
        <v>PRG-1046884</v>
      </c>
      <c r="E19513" t="s">
        <v>127</v>
      </c>
      <c r="F19513" t="s">
        <v>4</v>
      </c>
      <c r="G19513" t="str">
        <f>""</f>
        <v/>
      </c>
    </row>
    <row r="19514" spans="1:7" x14ac:dyDescent="0.25">
      <c r="A19514" t="s">
        <v>8</v>
      </c>
      <c r="B19514" s="1" t="str">
        <f>"000265362 - RICH FOODS-MAIN ARAMARK"</f>
        <v>000265362 - RICH FOODS-MAIN ARAMARK</v>
      </c>
      <c r="C19514" t="s">
        <v>126</v>
      </c>
      <c r="D19514" s="1" t="str">
        <f t="shared" si="522"/>
        <v>PRG-1046884</v>
      </c>
      <c r="E19514" t="s">
        <v>127</v>
      </c>
      <c r="F19514" t="s">
        <v>4</v>
      </c>
      <c r="G19514" t="str">
        <f>""</f>
        <v/>
      </c>
    </row>
    <row r="19515" spans="1:7" x14ac:dyDescent="0.25">
      <c r="A19515" t="s">
        <v>8</v>
      </c>
      <c r="B19515" s="1" t="str">
        <f>"000265741 - RICH FOODS BAPA-MAIN ARAMARK"</f>
        <v>000265741 - RICH FOODS BAPA-MAIN ARAMARK</v>
      </c>
      <c r="C19515" t="s">
        <v>320</v>
      </c>
      <c r="D19515" s="1" t="str">
        <f t="shared" si="522"/>
        <v>PRG-1046884</v>
      </c>
      <c r="E19515" t="s">
        <v>127</v>
      </c>
      <c r="F19515" t="s">
        <v>4</v>
      </c>
      <c r="G19515" t="str">
        <f>""</f>
        <v/>
      </c>
    </row>
    <row r="19516" spans="1:7" x14ac:dyDescent="0.25">
      <c r="A19516" t="s">
        <v>8</v>
      </c>
      <c r="B19516" s="1" t="str">
        <f>"000266375 - RICH FOODS-ARAMARK MAIN"</f>
        <v>000266375 - RICH FOODS-ARAMARK MAIN</v>
      </c>
      <c r="C19516" t="s">
        <v>574</v>
      </c>
      <c r="D19516" s="1" t="str">
        <f t="shared" si="522"/>
        <v>PRG-1046884</v>
      </c>
      <c r="E19516" t="s">
        <v>127</v>
      </c>
      <c r="F19516" t="s">
        <v>4</v>
      </c>
      <c r="G19516" t="str">
        <f>""</f>
        <v/>
      </c>
    </row>
    <row r="19517" spans="1:7" x14ac:dyDescent="0.25">
      <c r="A19517" t="s">
        <v>8</v>
      </c>
      <c r="B19517" s="1" t="str">
        <f>"000267533 - RICH FOODS-ARAMARK"</f>
        <v>000267533 - RICH FOODS-ARAMARK</v>
      </c>
      <c r="C19517" t="s">
        <v>534</v>
      </c>
      <c r="D19517" s="1" t="str">
        <f t="shared" si="522"/>
        <v>PRG-1046884</v>
      </c>
      <c r="E19517" t="s">
        <v>127</v>
      </c>
      <c r="F19517" t="s">
        <v>4</v>
      </c>
      <c r="G19517" t="str">
        <f>""</f>
        <v/>
      </c>
    </row>
    <row r="19518" spans="1:7" x14ac:dyDescent="0.25">
      <c r="A19518" t="s">
        <v>8</v>
      </c>
      <c r="B19518" s="1" t="str">
        <f>"000267590 - RICH FOODS BAPA-MAIN ARAMARK"</f>
        <v>000267590 - RICH FOODS BAPA-MAIN ARAMARK</v>
      </c>
      <c r="C19518" t="s">
        <v>320</v>
      </c>
      <c r="D19518" s="1" t="str">
        <f t="shared" si="522"/>
        <v>PRG-1046884</v>
      </c>
      <c r="E19518" t="s">
        <v>127</v>
      </c>
      <c r="F19518" t="s">
        <v>4</v>
      </c>
      <c r="G19518" t="str">
        <f>""</f>
        <v/>
      </c>
    </row>
    <row r="19519" spans="1:7" x14ac:dyDescent="0.25">
      <c r="A19519" t="s">
        <v>8</v>
      </c>
      <c r="B19519" s="1" t="str">
        <f>"000268448 - RICH FOODS-MAIN ARAMARK"</f>
        <v>000268448 - RICH FOODS-MAIN ARAMARK</v>
      </c>
      <c r="C19519" t="s">
        <v>126</v>
      </c>
      <c r="D19519" s="1" t="str">
        <f t="shared" si="522"/>
        <v>PRG-1046884</v>
      </c>
      <c r="E19519" t="s">
        <v>127</v>
      </c>
      <c r="F19519" t="s">
        <v>4</v>
      </c>
      <c r="G19519" t="str">
        <f>""</f>
        <v/>
      </c>
    </row>
    <row r="19520" spans="1:7" x14ac:dyDescent="0.25">
      <c r="A19520" t="s">
        <v>8</v>
      </c>
      <c r="B19520" s="1" t="str">
        <f>"000269091 - RICH FOODS BAPA-MAIN ARAMARK"</f>
        <v>000269091 - RICH FOODS BAPA-MAIN ARAMARK</v>
      </c>
      <c r="C19520" t="s">
        <v>320</v>
      </c>
      <c r="D19520" s="1" t="str">
        <f t="shared" si="522"/>
        <v>PRG-1046884</v>
      </c>
      <c r="E19520" t="s">
        <v>127</v>
      </c>
      <c r="F19520" t="s">
        <v>4</v>
      </c>
      <c r="G19520" t="str">
        <f>""</f>
        <v/>
      </c>
    </row>
    <row r="19521" spans="1:7" x14ac:dyDescent="0.25">
      <c r="A19521" t="s">
        <v>8</v>
      </c>
      <c r="B19521" s="1" t="str">
        <f>"000269606 - RICH FOODS BAPA-MAIN ARAMARK"</f>
        <v>000269606 - RICH FOODS BAPA-MAIN ARAMARK</v>
      </c>
      <c r="C19521" t="s">
        <v>320</v>
      </c>
      <c r="D19521" s="1" t="str">
        <f t="shared" si="522"/>
        <v>PRG-1046884</v>
      </c>
      <c r="E19521" t="s">
        <v>127</v>
      </c>
      <c r="F19521" t="s">
        <v>4</v>
      </c>
      <c r="G19521" t="str">
        <f>""</f>
        <v/>
      </c>
    </row>
    <row r="19522" spans="1:7" x14ac:dyDescent="0.25">
      <c r="A19522" t="s">
        <v>8</v>
      </c>
      <c r="B19522" s="1" t="str">
        <f>"000269633 - RICH FDS NCBB-MAIN ARAMARK"</f>
        <v>000269633 - RICH FDS NCBB-MAIN ARAMARK</v>
      </c>
      <c r="C19522" t="s">
        <v>185</v>
      </c>
      <c r="D19522" s="1" t="str">
        <f t="shared" si="522"/>
        <v>PRG-1046884</v>
      </c>
      <c r="E19522" t="s">
        <v>127</v>
      </c>
      <c r="F19522" t="s">
        <v>4</v>
      </c>
      <c r="G19522" t="str">
        <f>""</f>
        <v/>
      </c>
    </row>
    <row r="19523" spans="1:7" x14ac:dyDescent="0.25">
      <c r="A19523" t="s">
        <v>8</v>
      </c>
      <c r="B19523" s="1" t="str">
        <f>"000269634 - RICH FDS CBB-MAIN ARAMARK"</f>
        <v>000269634 - RICH FDS CBB-MAIN ARAMARK</v>
      </c>
      <c r="C19523" t="s">
        <v>187</v>
      </c>
      <c r="D19523" s="1" t="str">
        <f t="shared" si="522"/>
        <v>PRG-1046884</v>
      </c>
      <c r="E19523" t="s">
        <v>127</v>
      </c>
      <c r="F19523" t="s">
        <v>4</v>
      </c>
      <c r="G19523" t="str">
        <f>""</f>
        <v/>
      </c>
    </row>
    <row r="19524" spans="1:7" x14ac:dyDescent="0.25">
      <c r="A19524" t="s">
        <v>8</v>
      </c>
      <c r="B19524" s="1" t="str">
        <f>"000269781 - RICH FDS CORE BB-MAIN ARAMARK"</f>
        <v>000269781 - RICH FDS CORE BB-MAIN ARAMARK</v>
      </c>
      <c r="C19524" t="s">
        <v>196</v>
      </c>
      <c r="D19524" s="1" t="str">
        <f t="shared" si="522"/>
        <v>PRG-1046884</v>
      </c>
      <c r="E19524" t="s">
        <v>127</v>
      </c>
      <c r="F19524" t="s">
        <v>4</v>
      </c>
      <c r="G19524" t="str">
        <f>""</f>
        <v/>
      </c>
    </row>
    <row r="19525" spans="1:7" x14ac:dyDescent="0.25">
      <c r="A19525" t="s">
        <v>8</v>
      </c>
      <c r="B19525" s="1" t="str">
        <f>"000269989 - RICH FDS NCORE BB-MAIN ARAMARK"</f>
        <v>000269989 - RICH FDS NCORE BB-MAIN ARAMARK</v>
      </c>
      <c r="C19525" t="s">
        <v>194</v>
      </c>
      <c r="D19525" s="1" t="str">
        <f t="shared" si="522"/>
        <v>PRG-1046884</v>
      </c>
      <c r="E19525" t="s">
        <v>127</v>
      </c>
      <c r="F19525" t="s">
        <v>4</v>
      </c>
      <c r="G19525" t="str">
        <f>""</f>
        <v/>
      </c>
    </row>
    <row r="19526" spans="1:7" x14ac:dyDescent="0.25">
      <c r="A19526" t="s">
        <v>8</v>
      </c>
      <c r="B19526" s="1" t="str">
        <f>"000269990 - RICH FDS CORE BB-MAIN ARAMARK"</f>
        <v>000269990 - RICH FDS CORE BB-MAIN ARAMARK</v>
      </c>
      <c r="C19526" t="s">
        <v>196</v>
      </c>
      <c r="D19526" s="1" t="str">
        <f t="shared" si="522"/>
        <v>PRG-1046884</v>
      </c>
      <c r="E19526" t="s">
        <v>127</v>
      </c>
      <c r="F19526" t="s">
        <v>4</v>
      </c>
      <c r="G19526" t="str">
        <f>""</f>
        <v/>
      </c>
    </row>
    <row r="19527" spans="1:7" x14ac:dyDescent="0.25">
      <c r="A19527" t="s">
        <v>8</v>
      </c>
      <c r="B19527" s="1" t="str">
        <f>"000270092 - RICH FOODS BAPA-MAIN ARAMARK"</f>
        <v>000270092 - RICH FOODS BAPA-MAIN ARAMARK</v>
      </c>
      <c r="C19527" t="s">
        <v>320</v>
      </c>
      <c r="D19527" s="1" t="str">
        <f t="shared" si="522"/>
        <v>PRG-1046884</v>
      </c>
      <c r="E19527" t="s">
        <v>127</v>
      </c>
      <c r="F19527" t="s">
        <v>4</v>
      </c>
      <c r="G19527" t="str">
        <f>""</f>
        <v/>
      </c>
    </row>
    <row r="19528" spans="1:7" x14ac:dyDescent="0.25">
      <c r="A19528" t="s">
        <v>8</v>
      </c>
      <c r="B19528" s="1" t="str">
        <f>"000270475 - RICH FOODS BAPA-MAIN ARAMARK"</f>
        <v>000270475 - RICH FOODS BAPA-MAIN ARAMARK</v>
      </c>
      <c r="C19528" t="s">
        <v>320</v>
      </c>
      <c r="D19528" s="1" t="str">
        <f t="shared" si="522"/>
        <v>PRG-1046884</v>
      </c>
      <c r="E19528" t="s">
        <v>127</v>
      </c>
      <c r="F19528" t="s">
        <v>4</v>
      </c>
      <c r="G19528" t="str">
        <f>""</f>
        <v/>
      </c>
    </row>
    <row r="19529" spans="1:7" x14ac:dyDescent="0.25">
      <c r="A19529" t="s">
        <v>8</v>
      </c>
      <c r="B19529" s="1" t="str">
        <f>"000271017 - RICH FOODS BAPA-MAIN ARAMARK"</f>
        <v>000271017 - RICH FOODS BAPA-MAIN ARAMARK</v>
      </c>
      <c r="C19529" t="s">
        <v>320</v>
      </c>
      <c r="D19529" s="1" t="str">
        <f t="shared" si="522"/>
        <v>PRG-1046884</v>
      </c>
      <c r="E19529" t="s">
        <v>127</v>
      </c>
      <c r="F19529" t="s">
        <v>4</v>
      </c>
      <c r="G19529" t="str">
        <f>""</f>
        <v/>
      </c>
    </row>
    <row r="19530" spans="1:7" x14ac:dyDescent="0.25">
      <c r="A19530" t="s">
        <v>8</v>
      </c>
      <c r="B19530" s="1" t="str">
        <f>"000271238 - RICH FOODS-ARAMARK"</f>
        <v>000271238 - RICH FOODS-ARAMARK</v>
      </c>
      <c r="C19530" t="s">
        <v>534</v>
      </c>
      <c r="D19530" s="1" t="str">
        <f t="shared" si="522"/>
        <v>PRG-1046884</v>
      </c>
      <c r="E19530" t="s">
        <v>127</v>
      </c>
      <c r="F19530" t="s">
        <v>4</v>
      </c>
      <c r="G19530" t="str">
        <f>""</f>
        <v/>
      </c>
    </row>
    <row r="19531" spans="1:7" x14ac:dyDescent="0.25">
      <c r="A19531" t="s">
        <v>8</v>
      </c>
      <c r="B19531" s="1" t="str">
        <f>"000271285 - RICH FOODS-MAIN ARAMARK"</f>
        <v>000271285 - RICH FOODS-MAIN ARAMARK</v>
      </c>
      <c r="C19531" t="s">
        <v>126</v>
      </c>
      <c r="D19531" s="1" t="str">
        <f t="shared" si="522"/>
        <v>PRG-1046884</v>
      </c>
      <c r="E19531" t="s">
        <v>127</v>
      </c>
      <c r="F19531" t="s">
        <v>4</v>
      </c>
      <c r="G19531" t="str">
        <f>""</f>
        <v/>
      </c>
    </row>
    <row r="19532" spans="1:7" x14ac:dyDescent="0.25">
      <c r="A19532" t="s">
        <v>8</v>
      </c>
      <c r="B19532" s="1" t="str">
        <f>"000271596 - RICH FOODS BAPA-MAIN ARAMARK"</f>
        <v>000271596 - RICH FOODS BAPA-MAIN ARAMARK</v>
      </c>
      <c r="C19532" t="s">
        <v>320</v>
      </c>
      <c r="D19532" s="1" t="str">
        <f t="shared" si="522"/>
        <v>PRG-1046884</v>
      </c>
      <c r="E19532" t="s">
        <v>127</v>
      </c>
      <c r="F19532" t="s">
        <v>4</v>
      </c>
      <c r="G19532" t="str">
        <f>""</f>
        <v/>
      </c>
    </row>
    <row r="19533" spans="1:7" x14ac:dyDescent="0.25">
      <c r="A19533" t="s">
        <v>8</v>
      </c>
      <c r="B19533" s="1" t="str">
        <f>"000271805 - RICH FOODS-MAIN ARAMARK"</f>
        <v>000271805 - RICH FOODS-MAIN ARAMARK</v>
      </c>
      <c r="C19533" t="s">
        <v>126</v>
      </c>
      <c r="D19533" s="1" t="str">
        <f t="shared" si="522"/>
        <v>PRG-1046884</v>
      </c>
      <c r="E19533" t="s">
        <v>127</v>
      </c>
      <c r="F19533" t="s">
        <v>4</v>
      </c>
      <c r="G19533" t="str">
        <f>""</f>
        <v/>
      </c>
    </row>
    <row r="19534" spans="1:7" x14ac:dyDescent="0.25">
      <c r="A19534" t="s">
        <v>8</v>
      </c>
      <c r="B19534" s="1" t="str">
        <f>"000272128 - RICH FOODS BAPA-MAIN ARAMARK"</f>
        <v>000272128 - RICH FOODS BAPA-MAIN ARAMARK</v>
      </c>
      <c r="C19534" t="s">
        <v>320</v>
      </c>
      <c r="D19534" s="1" t="str">
        <f t="shared" si="522"/>
        <v>PRG-1046884</v>
      </c>
      <c r="E19534" t="s">
        <v>127</v>
      </c>
      <c r="F19534" t="s">
        <v>4</v>
      </c>
      <c r="G19534" t="str">
        <f>""</f>
        <v/>
      </c>
    </row>
    <row r="19535" spans="1:7" x14ac:dyDescent="0.25">
      <c r="A19535" t="s">
        <v>8</v>
      </c>
      <c r="B19535" s="1" t="str">
        <f>"000273059 - RICH FOODS BAPA-MAIN ARAMARK"</f>
        <v>000273059 - RICH FOODS BAPA-MAIN ARAMARK</v>
      </c>
      <c r="C19535" t="s">
        <v>320</v>
      </c>
      <c r="D19535" s="1" t="str">
        <f t="shared" si="522"/>
        <v>PRG-1046884</v>
      </c>
      <c r="E19535" t="s">
        <v>127</v>
      </c>
      <c r="F19535" t="s">
        <v>4</v>
      </c>
      <c r="G19535" t="str">
        <f>""</f>
        <v/>
      </c>
    </row>
    <row r="19536" spans="1:7" x14ac:dyDescent="0.25">
      <c r="A19536" t="s">
        <v>8</v>
      </c>
      <c r="B19536" s="1" t="str">
        <f>"000274702 - RICH FOODS BAPA-MAIN ARAMARK"</f>
        <v>000274702 - RICH FOODS BAPA-MAIN ARAMARK</v>
      </c>
      <c r="C19536" t="s">
        <v>320</v>
      </c>
      <c r="D19536" s="1" t="str">
        <f t="shared" si="522"/>
        <v>PRG-1046884</v>
      </c>
      <c r="E19536" t="s">
        <v>127</v>
      </c>
      <c r="F19536" t="s">
        <v>4</v>
      </c>
      <c r="G19536" t="str">
        <f>""</f>
        <v/>
      </c>
    </row>
    <row r="19537" spans="1:7" x14ac:dyDescent="0.25">
      <c r="A19537" t="s">
        <v>8</v>
      </c>
      <c r="B19537" s="1" t="str">
        <f>"000274966 - RICH FOODS-ARAMARK"</f>
        <v>000274966 - RICH FOODS-ARAMARK</v>
      </c>
      <c r="C19537" t="s">
        <v>534</v>
      </c>
      <c r="D19537" s="1" t="str">
        <f t="shared" si="522"/>
        <v>PRG-1046884</v>
      </c>
      <c r="E19537" t="s">
        <v>127</v>
      </c>
      <c r="F19537" t="s">
        <v>4</v>
      </c>
      <c r="G19537" t="str">
        <f>""</f>
        <v/>
      </c>
    </row>
    <row r="19538" spans="1:7" x14ac:dyDescent="0.25">
      <c r="A19538" t="s">
        <v>8</v>
      </c>
      <c r="B19538" s="1" t="str">
        <f>"000274975 - RICH FOODS BAPA-MAIN ARAMARK"</f>
        <v>000274975 - RICH FOODS BAPA-MAIN ARAMARK</v>
      </c>
      <c r="C19538" t="s">
        <v>320</v>
      </c>
      <c r="D19538" s="1" t="str">
        <f t="shared" si="522"/>
        <v>PRG-1046884</v>
      </c>
      <c r="E19538" t="s">
        <v>127</v>
      </c>
      <c r="F19538" t="s">
        <v>4</v>
      </c>
      <c r="G19538" t="str">
        <f>""</f>
        <v/>
      </c>
    </row>
    <row r="19539" spans="1:7" x14ac:dyDescent="0.25">
      <c r="A19539" t="s">
        <v>8</v>
      </c>
      <c r="B19539" s="1" t="str">
        <f>"000275023 - RICH FOODS BAPA-MAIN ARAMARK"</f>
        <v>000275023 - RICH FOODS BAPA-MAIN ARAMARK</v>
      </c>
      <c r="C19539" t="s">
        <v>320</v>
      </c>
      <c r="D19539" s="1" t="str">
        <f t="shared" si="522"/>
        <v>PRG-1046884</v>
      </c>
      <c r="E19539" t="s">
        <v>127</v>
      </c>
      <c r="F19539" t="s">
        <v>4</v>
      </c>
      <c r="G19539" t="str">
        <f>""</f>
        <v/>
      </c>
    </row>
    <row r="19540" spans="1:7" x14ac:dyDescent="0.25">
      <c r="A19540" t="s">
        <v>8</v>
      </c>
      <c r="B19540" s="1" t="str">
        <f>"000276270 - RICH FOODS-ARAMARK MAIN"</f>
        <v>000276270 - RICH FOODS-ARAMARK MAIN</v>
      </c>
      <c r="C19540" t="s">
        <v>574</v>
      </c>
      <c r="D19540" s="1" t="str">
        <f t="shared" si="522"/>
        <v>PRG-1046884</v>
      </c>
      <c r="E19540" t="s">
        <v>127</v>
      </c>
      <c r="F19540" t="s">
        <v>4</v>
      </c>
      <c r="G19540" t="str">
        <f>""</f>
        <v/>
      </c>
    </row>
    <row r="19541" spans="1:7" x14ac:dyDescent="0.25">
      <c r="A19541" t="s">
        <v>8</v>
      </c>
      <c r="B19541" s="1" t="str">
        <f>"000276741 - RICH FOODS BAPA-MAIN ARAMARK"</f>
        <v>000276741 - RICH FOODS BAPA-MAIN ARAMARK</v>
      </c>
      <c r="C19541" t="s">
        <v>320</v>
      </c>
      <c r="D19541" s="1" t="str">
        <f t="shared" si="522"/>
        <v>PRG-1046884</v>
      </c>
      <c r="E19541" t="s">
        <v>127</v>
      </c>
      <c r="F19541" t="s">
        <v>4</v>
      </c>
      <c r="G19541" t="str">
        <f>""</f>
        <v/>
      </c>
    </row>
    <row r="19542" spans="1:7" x14ac:dyDescent="0.25">
      <c r="A19542" t="s">
        <v>8</v>
      </c>
      <c r="B19542" s="1" t="str">
        <f>"000276946 - RICH FOODS BAPA-MAIN ARAMARK"</f>
        <v>000276946 - RICH FOODS BAPA-MAIN ARAMARK</v>
      </c>
      <c r="C19542" t="s">
        <v>320</v>
      </c>
      <c r="D19542" s="1" t="str">
        <f t="shared" si="522"/>
        <v>PRG-1046884</v>
      </c>
      <c r="E19542" t="s">
        <v>127</v>
      </c>
      <c r="F19542" t="s">
        <v>4</v>
      </c>
      <c r="G19542" t="str">
        <f>""</f>
        <v/>
      </c>
    </row>
    <row r="19543" spans="1:7" x14ac:dyDescent="0.25">
      <c r="A19543" t="s">
        <v>8</v>
      </c>
      <c r="B19543" s="1" t="str">
        <f>"000277762 - RICH FOODS BAPA-MAIN ARAMARK"</f>
        <v>000277762 - RICH FOODS BAPA-MAIN ARAMARK</v>
      </c>
      <c r="C19543" t="s">
        <v>320</v>
      </c>
      <c r="D19543" s="1" t="str">
        <f t="shared" si="522"/>
        <v>PRG-1046884</v>
      </c>
      <c r="E19543" t="s">
        <v>127</v>
      </c>
      <c r="F19543" t="s">
        <v>4</v>
      </c>
      <c r="G19543" t="str">
        <f>""</f>
        <v/>
      </c>
    </row>
    <row r="19544" spans="1:7" x14ac:dyDescent="0.25">
      <c r="A19544" t="s">
        <v>8</v>
      </c>
      <c r="B19544" s="1" t="str">
        <f>"000277818 - RICH FOODS-ARAMARK"</f>
        <v>000277818 - RICH FOODS-ARAMARK</v>
      </c>
      <c r="C19544" t="s">
        <v>534</v>
      </c>
      <c r="D19544" s="1" t="str">
        <f t="shared" si="522"/>
        <v>PRG-1046884</v>
      </c>
      <c r="E19544" t="s">
        <v>127</v>
      </c>
      <c r="F19544" t="s">
        <v>4</v>
      </c>
      <c r="G19544" t="str">
        <f>""</f>
        <v/>
      </c>
    </row>
    <row r="19545" spans="1:7" x14ac:dyDescent="0.25">
      <c r="A19545" t="s">
        <v>8</v>
      </c>
      <c r="B19545" s="1" t="str">
        <f>"000278117 - RICH FOODS-MAIN ARAMARK"</f>
        <v>000278117 - RICH FOODS-MAIN ARAMARK</v>
      </c>
      <c r="C19545" t="s">
        <v>126</v>
      </c>
      <c r="D19545" s="1" t="str">
        <f t="shared" si="522"/>
        <v>PRG-1046884</v>
      </c>
      <c r="E19545" t="s">
        <v>127</v>
      </c>
      <c r="F19545" t="s">
        <v>4</v>
      </c>
      <c r="G19545" t="str">
        <f>""</f>
        <v/>
      </c>
    </row>
    <row r="19546" spans="1:7" x14ac:dyDescent="0.25">
      <c r="A19546" t="s">
        <v>8</v>
      </c>
      <c r="B19546" s="1" t="str">
        <f>"000278625 - RICH FOODS-MAIN ARAMARK"</f>
        <v>000278625 - RICH FOODS-MAIN ARAMARK</v>
      </c>
      <c r="C19546" t="s">
        <v>126</v>
      </c>
      <c r="D19546" s="1" t="str">
        <f t="shared" si="522"/>
        <v>PRG-1046884</v>
      </c>
      <c r="E19546" t="s">
        <v>127</v>
      </c>
      <c r="F19546" t="s">
        <v>4</v>
      </c>
      <c r="G19546" t="str">
        <f>""</f>
        <v/>
      </c>
    </row>
    <row r="19547" spans="1:7" x14ac:dyDescent="0.25">
      <c r="A19547" t="s">
        <v>8</v>
      </c>
      <c r="B19547" s="1" t="str">
        <f>"000279127 - RICH FOODS BAPA-MAIN ARAMARK"</f>
        <v>000279127 - RICH FOODS BAPA-MAIN ARAMARK</v>
      </c>
      <c r="C19547" t="s">
        <v>320</v>
      </c>
      <c r="D19547" s="1" t="str">
        <f t="shared" si="522"/>
        <v>PRG-1046884</v>
      </c>
      <c r="E19547" t="s">
        <v>127</v>
      </c>
      <c r="F19547" t="s">
        <v>4</v>
      </c>
      <c r="G19547" t="str">
        <f>""</f>
        <v/>
      </c>
    </row>
    <row r="19548" spans="1:7" x14ac:dyDescent="0.25">
      <c r="A19548" t="s">
        <v>8</v>
      </c>
      <c r="B19548" s="1" t="str">
        <f>"000279776 - RICH FOODS BAPA-MAIN ARAMARK"</f>
        <v>000279776 - RICH FOODS BAPA-MAIN ARAMARK</v>
      </c>
      <c r="C19548" t="s">
        <v>320</v>
      </c>
      <c r="D19548" s="1" t="str">
        <f t="shared" si="522"/>
        <v>PRG-1046884</v>
      </c>
      <c r="E19548" t="s">
        <v>127</v>
      </c>
      <c r="F19548" t="s">
        <v>4</v>
      </c>
      <c r="G19548" t="str">
        <f>""</f>
        <v/>
      </c>
    </row>
    <row r="19549" spans="1:7" x14ac:dyDescent="0.25">
      <c r="A19549" t="s">
        <v>8</v>
      </c>
      <c r="B19549" s="1" t="str">
        <f>"000279989 - RICH FDS NCORE BB-MAIN ARAMARK"</f>
        <v>000279989 - RICH FDS NCORE BB-MAIN ARAMARK</v>
      </c>
      <c r="C19549" t="s">
        <v>194</v>
      </c>
      <c r="D19549" s="1" t="str">
        <f t="shared" si="522"/>
        <v>PRG-1046884</v>
      </c>
      <c r="E19549" t="s">
        <v>127</v>
      </c>
      <c r="F19549" t="s">
        <v>4</v>
      </c>
      <c r="G19549" t="str">
        <f>""</f>
        <v/>
      </c>
    </row>
    <row r="19550" spans="1:7" x14ac:dyDescent="0.25">
      <c r="A19550" t="s">
        <v>8</v>
      </c>
      <c r="B19550" s="1" t="str">
        <f>"000279990 - RICH FDS CORE BB-MAIN ARAMARK"</f>
        <v>000279990 - RICH FDS CORE BB-MAIN ARAMARK</v>
      </c>
      <c r="C19550" t="s">
        <v>196</v>
      </c>
      <c r="D19550" s="1" t="str">
        <f t="shared" si="522"/>
        <v>PRG-1046884</v>
      </c>
      <c r="E19550" t="s">
        <v>127</v>
      </c>
      <c r="F19550" t="s">
        <v>4</v>
      </c>
      <c r="G19550" t="str">
        <f>""</f>
        <v/>
      </c>
    </row>
    <row r="19551" spans="1:7" x14ac:dyDescent="0.25">
      <c r="A19551" t="s">
        <v>8</v>
      </c>
      <c r="B19551" s="1" t="str">
        <f>"000280115 - RICH FOODS-ARAMARK MAIN"</f>
        <v>000280115 - RICH FOODS-ARAMARK MAIN</v>
      </c>
      <c r="C19551" t="s">
        <v>574</v>
      </c>
      <c r="D19551" s="1" t="str">
        <f t="shared" si="522"/>
        <v>PRG-1046884</v>
      </c>
      <c r="E19551" t="s">
        <v>127</v>
      </c>
      <c r="F19551" t="s">
        <v>4</v>
      </c>
      <c r="G19551" t="str">
        <f>""</f>
        <v/>
      </c>
    </row>
    <row r="19552" spans="1:7" x14ac:dyDescent="0.25">
      <c r="A19552" t="s">
        <v>8</v>
      </c>
      <c r="B19552" s="1" t="str">
        <f>"000281429 - RICH FOODS BAPA-MAIN ARAMARK"</f>
        <v>000281429 - RICH FOODS BAPA-MAIN ARAMARK</v>
      </c>
      <c r="C19552" t="s">
        <v>320</v>
      </c>
      <c r="D19552" s="1" t="str">
        <f t="shared" si="522"/>
        <v>PRG-1046884</v>
      </c>
      <c r="E19552" t="s">
        <v>127</v>
      </c>
      <c r="F19552" t="s">
        <v>4</v>
      </c>
      <c r="G19552" t="str">
        <f>""</f>
        <v/>
      </c>
    </row>
    <row r="19553" spans="1:7" x14ac:dyDescent="0.25">
      <c r="A19553" t="s">
        <v>8</v>
      </c>
      <c r="B19553" s="1" t="str">
        <f>"000281510 - RICH FOODS-MAIN ARAMARK"</f>
        <v>000281510 - RICH FOODS-MAIN ARAMARK</v>
      </c>
      <c r="C19553" t="s">
        <v>126</v>
      </c>
      <c r="D19553" s="1" t="str">
        <f t="shared" si="522"/>
        <v>PRG-1046884</v>
      </c>
      <c r="E19553" t="s">
        <v>127</v>
      </c>
      <c r="F19553" t="s">
        <v>4</v>
      </c>
      <c r="G19553" t="str">
        <f>""</f>
        <v/>
      </c>
    </row>
    <row r="19554" spans="1:7" x14ac:dyDescent="0.25">
      <c r="A19554" t="s">
        <v>8</v>
      </c>
      <c r="B19554" s="1" t="str">
        <f>"000281831 - RICH FOODS BAPA-MAIN ARAMARK"</f>
        <v>000281831 - RICH FOODS BAPA-MAIN ARAMARK</v>
      </c>
      <c r="C19554" t="s">
        <v>320</v>
      </c>
      <c r="D19554" s="1" t="str">
        <f t="shared" si="522"/>
        <v>PRG-1046884</v>
      </c>
      <c r="E19554" t="s">
        <v>127</v>
      </c>
      <c r="F19554" t="s">
        <v>4</v>
      </c>
      <c r="G19554" t="str">
        <f>""</f>
        <v/>
      </c>
    </row>
    <row r="19555" spans="1:7" x14ac:dyDescent="0.25">
      <c r="A19555" t="s">
        <v>8</v>
      </c>
      <c r="B19555" s="1" t="str">
        <f>"000282140 - RICH FOODS BAPA-MAIN ARAMARK"</f>
        <v>000282140 - RICH FOODS BAPA-MAIN ARAMARK</v>
      </c>
      <c r="C19555" t="s">
        <v>320</v>
      </c>
      <c r="D19555" s="1" t="str">
        <f t="shared" si="522"/>
        <v>PRG-1046884</v>
      </c>
      <c r="E19555" t="s">
        <v>127</v>
      </c>
      <c r="F19555" t="s">
        <v>4</v>
      </c>
      <c r="G19555" t="str">
        <f>""</f>
        <v/>
      </c>
    </row>
    <row r="19556" spans="1:7" x14ac:dyDescent="0.25">
      <c r="A19556" t="s">
        <v>8</v>
      </c>
      <c r="B19556" s="1" t="str">
        <f>"000282410 - RICH FOODS BAPA-MAIN ARAMARK"</f>
        <v>000282410 - RICH FOODS BAPA-MAIN ARAMARK</v>
      </c>
      <c r="C19556" t="s">
        <v>320</v>
      </c>
      <c r="D19556" s="1" t="str">
        <f t="shared" si="522"/>
        <v>PRG-1046884</v>
      </c>
      <c r="E19556" t="s">
        <v>127</v>
      </c>
      <c r="F19556" t="s">
        <v>4</v>
      </c>
      <c r="G19556" t="str">
        <f>""</f>
        <v/>
      </c>
    </row>
    <row r="19557" spans="1:7" x14ac:dyDescent="0.25">
      <c r="A19557" t="s">
        <v>8</v>
      </c>
      <c r="B19557" s="1" t="str">
        <f>"000282712 - RICH FOODS BAPA-MAIN ARAMARK"</f>
        <v>000282712 - RICH FOODS BAPA-MAIN ARAMARK</v>
      </c>
      <c r="C19557" t="s">
        <v>320</v>
      </c>
      <c r="D19557" s="1" t="str">
        <f t="shared" si="522"/>
        <v>PRG-1046884</v>
      </c>
      <c r="E19557" t="s">
        <v>127</v>
      </c>
      <c r="F19557" t="s">
        <v>4</v>
      </c>
      <c r="G19557" t="str">
        <f>""</f>
        <v/>
      </c>
    </row>
    <row r="19558" spans="1:7" x14ac:dyDescent="0.25">
      <c r="A19558" t="s">
        <v>8</v>
      </c>
      <c r="B19558" s="1" t="str">
        <f>"000283522 - RICH FOODS BAPA-MAIN ARAMARK"</f>
        <v>000283522 - RICH FOODS BAPA-MAIN ARAMARK</v>
      </c>
      <c r="C19558" t="s">
        <v>320</v>
      </c>
      <c r="D19558" s="1" t="str">
        <f t="shared" si="522"/>
        <v>PRG-1046884</v>
      </c>
      <c r="E19558" t="s">
        <v>127</v>
      </c>
      <c r="F19558" t="s">
        <v>4</v>
      </c>
      <c r="G19558" t="str">
        <f>""</f>
        <v/>
      </c>
    </row>
    <row r="19559" spans="1:7" x14ac:dyDescent="0.25">
      <c r="A19559" t="s">
        <v>8</v>
      </c>
      <c r="B19559" s="1" t="str">
        <f>"000284338 - RICH FOODS BAPA-MAIN ARAMARK"</f>
        <v>000284338 - RICH FOODS BAPA-MAIN ARAMARK</v>
      </c>
      <c r="C19559" t="s">
        <v>320</v>
      </c>
      <c r="D19559" s="1" t="str">
        <f t="shared" si="522"/>
        <v>PRG-1046884</v>
      </c>
      <c r="E19559" t="s">
        <v>127</v>
      </c>
      <c r="F19559" t="s">
        <v>4</v>
      </c>
      <c r="G19559" t="str">
        <f>""</f>
        <v/>
      </c>
    </row>
    <row r="19560" spans="1:7" x14ac:dyDescent="0.25">
      <c r="A19560" t="s">
        <v>8</v>
      </c>
      <c r="B19560" s="1" t="str">
        <f>"000284819 - RICH FDS NCORE BB-MAIN ARAMARK"</f>
        <v>000284819 - RICH FDS NCORE BB-MAIN ARAMARK</v>
      </c>
      <c r="C19560" t="s">
        <v>194</v>
      </c>
      <c r="D19560" s="1" t="str">
        <f t="shared" ref="D19560:D19623" si="523">"PRG-1046884"</f>
        <v>PRG-1046884</v>
      </c>
      <c r="E19560" t="s">
        <v>127</v>
      </c>
      <c r="F19560" t="s">
        <v>4</v>
      </c>
      <c r="G19560" t="str">
        <f>""</f>
        <v/>
      </c>
    </row>
    <row r="19561" spans="1:7" x14ac:dyDescent="0.25">
      <c r="A19561" t="s">
        <v>8</v>
      </c>
      <c r="B19561" s="1" t="str">
        <f>"000284820 - RICH FDS CORE BB-MAIN ARAMARK"</f>
        <v>000284820 - RICH FDS CORE BB-MAIN ARAMARK</v>
      </c>
      <c r="C19561" t="s">
        <v>196</v>
      </c>
      <c r="D19561" s="1" t="str">
        <f t="shared" si="523"/>
        <v>PRG-1046884</v>
      </c>
      <c r="E19561" t="s">
        <v>127</v>
      </c>
      <c r="F19561" t="s">
        <v>4</v>
      </c>
      <c r="G19561" t="str">
        <f>""</f>
        <v/>
      </c>
    </row>
    <row r="19562" spans="1:7" x14ac:dyDescent="0.25">
      <c r="A19562" t="s">
        <v>8</v>
      </c>
      <c r="B19562" s="1" t="str">
        <f>"000285189 - RICH FOODS BAPA-MAIN ARAMARK"</f>
        <v>000285189 - RICH FOODS BAPA-MAIN ARAMARK</v>
      </c>
      <c r="C19562" t="s">
        <v>320</v>
      </c>
      <c r="D19562" s="1" t="str">
        <f t="shared" si="523"/>
        <v>PRG-1046884</v>
      </c>
      <c r="E19562" t="s">
        <v>127</v>
      </c>
      <c r="F19562" t="s">
        <v>4</v>
      </c>
      <c r="G19562" t="str">
        <f>""</f>
        <v/>
      </c>
    </row>
    <row r="19563" spans="1:7" x14ac:dyDescent="0.25">
      <c r="A19563" t="s">
        <v>8</v>
      </c>
      <c r="B19563" s="1" t="str">
        <f>"000285987 - RICH FOODS-MAIN ARAMARK"</f>
        <v>000285987 - RICH FOODS-MAIN ARAMARK</v>
      </c>
      <c r="C19563" t="s">
        <v>126</v>
      </c>
      <c r="D19563" s="1" t="str">
        <f t="shared" si="523"/>
        <v>PRG-1046884</v>
      </c>
      <c r="E19563" t="s">
        <v>127</v>
      </c>
      <c r="F19563" t="s">
        <v>4</v>
      </c>
      <c r="G19563" t="str">
        <f>""</f>
        <v/>
      </c>
    </row>
    <row r="19564" spans="1:7" x14ac:dyDescent="0.25">
      <c r="A19564" t="s">
        <v>8</v>
      </c>
      <c r="B19564" s="1" t="str">
        <f>"000286875 - RICH FOODS-MAIN ARAMARK"</f>
        <v>000286875 - RICH FOODS-MAIN ARAMARK</v>
      </c>
      <c r="C19564" t="s">
        <v>126</v>
      </c>
      <c r="D19564" s="1" t="str">
        <f t="shared" si="523"/>
        <v>PRG-1046884</v>
      </c>
      <c r="E19564" t="s">
        <v>127</v>
      </c>
      <c r="F19564" t="s">
        <v>4</v>
      </c>
      <c r="G19564" t="str">
        <f>""</f>
        <v/>
      </c>
    </row>
    <row r="19565" spans="1:7" x14ac:dyDescent="0.25">
      <c r="A19565" t="s">
        <v>8</v>
      </c>
      <c r="B19565" s="1" t="str">
        <f>"000286890 - RICH FOODS BAPA-MAIN ARAMARK"</f>
        <v>000286890 - RICH FOODS BAPA-MAIN ARAMARK</v>
      </c>
      <c r="C19565" t="s">
        <v>320</v>
      </c>
      <c r="D19565" s="1" t="str">
        <f t="shared" si="523"/>
        <v>PRG-1046884</v>
      </c>
      <c r="E19565" t="s">
        <v>127</v>
      </c>
      <c r="F19565" t="s">
        <v>4</v>
      </c>
      <c r="G19565" t="str">
        <f>""</f>
        <v/>
      </c>
    </row>
    <row r="19566" spans="1:7" x14ac:dyDescent="0.25">
      <c r="A19566" t="s">
        <v>8</v>
      </c>
      <c r="B19566" s="1" t="str">
        <f>"000286936 - CASA DIBERTACCHI-MAIN ARAMARK"</f>
        <v>000286936 - CASA DIBERTACCHI-MAIN ARAMARK</v>
      </c>
      <c r="C19566" t="s">
        <v>148</v>
      </c>
      <c r="D19566" s="1" t="str">
        <f t="shared" si="523"/>
        <v>PRG-1046884</v>
      </c>
      <c r="E19566" t="s">
        <v>127</v>
      </c>
      <c r="F19566" t="s">
        <v>4</v>
      </c>
      <c r="G19566" t="str">
        <f>""</f>
        <v/>
      </c>
    </row>
    <row r="19567" spans="1:7" x14ac:dyDescent="0.25">
      <c r="A19567" t="s">
        <v>8</v>
      </c>
      <c r="B19567" s="1" t="str">
        <f>"000286988 - RICH FDS NCORE BB-MAIN ARAMARK"</f>
        <v>000286988 - RICH FDS NCORE BB-MAIN ARAMARK</v>
      </c>
      <c r="C19567" t="s">
        <v>194</v>
      </c>
      <c r="D19567" s="1" t="str">
        <f t="shared" si="523"/>
        <v>PRG-1046884</v>
      </c>
      <c r="E19567" t="s">
        <v>127</v>
      </c>
      <c r="F19567" t="s">
        <v>4</v>
      </c>
      <c r="G19567" t="str">
        <f>""</f>
        <v/>
      </c>
    </row>
    <row r="19568" spans="1:7" x14ac:dyDescent="0.25">
      <c r="A19568" t="s">
        <v>8</v>
      </c>
      <c r="B19568" s="1" t="str">
        <f>"000286990 - RICH FDS CORE BB-MAIN ARAMARK"</f>
        <v>000286990 - RICH FDS CORE BB-MAIN ARAMARK</v>
      </c>
      <c r="C19568" t="s">
        <v>196</v>
      </c>
      <c r="D19568" s="1" t="str">
        <f t="shared" si="523"/>
        <v>PRG-1046884</v>
      </c>
      <c r="E19568" t="s">
        <v>127</v>
      </c>
      <c r="F19568" t="s">
        <v>4</v>
      </c>
      <c r="G19568" t="str">
        <f>""</f>
        <v/>
      </c>
    </row>
    <row r="19569" spans="1:7" x14ac:dyDescent="0.25">
      <c r="A19569" t="s">
        <v>8</v>
      </c>
      <c r="B19569" s="1" t="str">
        <f>"000287163 - RICH FOODS BAPA-MAIN ARAMARK"</f>
        <v>000287163 - RICH FOODS BAPA-MAIN ARAMARK</v>
      </c>
      <c r="C19569" t="s">
        <v>320</v>
      </c>
      <c r="D19569" s="1" t="str">
        <f t="shared" si="523"/>
        <v>PRG-1046884</v>
      </c>
      <c r="E19569" t="s">
        <v>127</v>
      </c>
      <c r="F19569" t="s">
        <v>4</v>
      </c>
      <c r="G19569" t="str">
        <f>""</f>
        <v/>
      </c>
    </row>
    <row r="19570" spans="1:7" x14ac:dyDescent="0.25">
      <c r="A19570" t="s">
        <v>8</v>
      </c>
      <c r="B19570" s="1" t="str">
        <f>"000287222 - RICH FOODS BAPA-MAIN ARAMARK"</f>
        <v>000287222 - RICH FOODS BAPA-MAIN ARAMARK</v>
      </c>
      <c r="C19570" t="s">
        <v>320</v>
      </c>
      <c r="D19570" s="1" t="str">
        <f t="shared" si="523"/>
        <v>PRG-1046884</v>
      </c>
      <c r="E19570" t="s">
        <v>127</v>
      </c>
      <c r="F19570" t="s">
        <v>4</v>
      </c>
      <c r="G19570" t="str">
        <f>""</f>
        <v/>
      </c>
    </row>
    <row r="19571" spans="1:7" x14ac:dyDescent="0.25">
      <c r="A19571" t="s">
        <v>8</v>
      </c>
      <c r="B19571" s="1" t="str">
        <f>"000287727 - RICH FOODS-MAIN ARAMARK"</f>
        <v>000287727 - RICH FOODS-MAIN ARAMARK</v>
      </c>
      <c r="C19571" t="s">
        <v>126</v>
      </c>
      <c r="D19571" s="1" t="str">
        <f t="shared" si="523"/>
        <v>PRG-1046884</v>
      </c>
      <c r="E19571" t="s">
        <v>127</v>
      </c>
      <c r="F19571" t="s">
        <v>4</v>
      </c>
      <c r="G19571" t="str">
        <f>""</f>
        <v/>
      </c>
    </row>
    <row r="19572" spans="1:7" x14ac:dyDescent="0.25">
      <c r="A19572" t="s">
        <v>8</v>
      </c>
      <c r="B19572" s="1" t="str">
        <f>"000288893 - RICH FOODS BAPA-MAIN ARAMARK"</f>
        <v>000288893 - RICH FOODS BAPA-MAIN ARAMARK</v>
      </c>
      <c r="C19572" t="s">
        <v>320</v>
      </c>
      <c r="D19572" s="1" t="str">
        <f t="shared" si="523"/>
        <v>PRG-1046884</v>
      </c>
      <c r="E19572" t="s">
        <v>127</v>
      </c>
      <c r="F19572" t="s">
        <v>4</v>
      </c>
      <c r="G19572" t="str">
        <f>""</f>
        <v/>
      </c>
    </row>
    <row r="19573" spans="1:7" x14ac:dyDescent="0.25">
      <c r="A19573" t="s">
        <v>8</v>
      </c>
      <c r="B19573" s="1" t="str">
        <f>"000289058 - RICH FOODS-MAIN ARAMARK"</f>
        <v>000289058 - RICH FOODS-MAIN ARAMARK</v>
      </c>
      <c r="C19573" t="s">
        <v>126</v>
      </c>
      <c r="D19573" s="1" t="str">
        <f t="shared" si="523"/>
        <v>PRG-1046884</v>
      </c>
      <c r="E19573" t="s">
        <v>127</v>
      </c>
      <c r="F19573" t="s">
        <v>4</v>
      </c>
      <c r="G19573" t="str">
        <f>""</f>
        <v/>
      </c>
    </row>
    <row r="19574" spans="1:7" x14ac:dyDescent="0.25">
      <c r="A19574" t="s">
        <v>8</v>
      </c>
      <c r="B19574" s="1" t="str">
        <f>"000289267 - RICH FOODS BAPA-MAIN ARAMARK"</f>
        <v>000289267 - RICH FOODS BAPA-MAIN ARAMARK</v>
      </c>
      <c r="C19574" t="s">
        <v>320</v>
      </c>
      <c r="D19574" s="1" t="str">
        <f t="shared" si="523"/>
        <v>PRG-1046884</v>
      </c>
      <c r="E19574" t="s">
        <v>127</v>
      </c>
      <c r="F19574" t="s">
        <v>4</v>
      </c>
      <c r="G19574" t="str">
        <f>""</f>
        <v/>
      </c>
    </row>
    <row r="19575" spans="1:7" x14ac:dyDescent="0.25">
      <c r="A19575" t="s">
        <v>8</v>
      </c>
      <c r="B19575" s="1" t="str">
        <f>"000289308 - RICH FOODS BAPA-MAIN ARAMARK"</f>
        <v>000289308 - RICH FOODS BAPA-MAIN ARAMARK</v>
      </c>
      <c r="C19575" t="s">
        <v>320</v>
      </c>
      <c r="D19575" s="1" t="str">
        <f t="shared" si="523"/>
        <v>PRG-1046884</v>
      </c>
      <c r="E19575" t="s">
        <v>127</v>
      </c>
      <c r="F19575" t="s">
        <v>4</v>
      </c>
      <c r="G19575" t="str">
        <f>""</f>
        <v/>
      </c>
    </row>
    <row r="19576" spans="1:7" x14ac:dyDescent="0.25">
      <c r="A19576" t="s">
        <v>8</v>
      </c>
      <c r="B19576" s="1" t="str">
        <f>"000289313 - RICH FOODS BAPA-MAIN ARAMARK"</f>
        <v>000289313 - RICH FOODS BAPA-MAIN ARAMARK</v>
      </c>
      <c r="C19576" t="s">
        <v>320</v>
      </c>
      <c r="D19576" s="1" t="str">
        <f t="shared" si="523"/>
        <v>PRG-1046884</v>
      </c>
      <c r="E19576" t="s">
        <v>127</v>
      </c>
      <c r="F19576" t="s">
        <v>4</v>
      </c>
      <c r="G19576" t="str">
        <f>""</f>
        <v/>
      </c>
    </row>
    <row r="19577" spans="1:7" x14ac:dyDescent="0.25">
      <c r="A19577" t="s">
        <v>8</v>
      </c>
      <c r="B19577" s="1" t="str">
        <f>"000290267 - RICH FOODS-ARAMARK"</f>
        <v>000290267 - RICH FOODS-ARAMARK</v>
      </c>
      <c r="C19577" t="s">
        <v>534</v>
      </c>
      <c r="D19577" s="1" t="str">
        <f t="shared" si="523"/>
        <v>PRG-1046884</v>
      </c>
      <c r="E19577" t="s">
        <v>127</v>
      </c>
      <c r="F19577" t="s">
        <v>4</v>
      </c>
      <c r="G19577" t="str">
        <f>""</f>
        <v/>
      </c>
    </row>
    <row r="19578" spans="1:7" x14ac:dyDescent="0.25">
      <c r="A19578" t="s">
        <v>8</v>
      </c>
      <c r="B19578" s="1" t="str">
        <f>"000290301 - RICH FOODS-MAIN ARAMARK"</f>
        <v>000290301 - RICH FOODS-MAIN ARAMARK</v>
      </c>
      <c r="C19578" t="s">
        <v>126</v>
      </c>
      <c r="D19578" s="1" t="str">
        <f t="shared" si="523"/>
        <v>PRG-1046884</v>
      </c>
      <c r="E19578" t="s">
        <v>127</v>
      </c>
      <c r="F19578" t="s">
        <v>4</v>
      </c>
      <c r="G19578" t="str">
        <f>""</f>
        <v/>
      </c>
    </row>
    <row r="19579" spans="1:7" x14ac:dyDescent="0.25">
      <c r="A19579" t="s">
        <v>8</v>
      </c>
      <c r="B19579" s="1" t="str">
        <f>"000290480 - RICH FOODS BAPA-MAIN ARAMARK"</f>
        <v>000290480 - RICH FOODS BAPA-MAIN ARAMARK</v>
      </c>
      <c r="C19579" t="s">
        <v>320</v>
      </c>
      <c r="D19579" s="1" t="str">
        <f t="shared" si="523"/>
        <v>PRG-1046884</v>
      </c>
      <c r="E19579" t="s">
        <v>127</v>
      </c>
      <c r="F19579" t="s">
        <v>4</v>
      </c>
      <c r="G19579" t="str">
        <f>""</f>
        <v/>
      </c>
    </row>
    <row r="19580" spans="1:7" x14ac:dyDescent="0.25">
      <c r="A19580" t="s">
        <v>8</v>
      </c>
      <c r="B19580" s="1" t="str">
        <f>"000290554 - RICH FDS NCORE BB-MAIN ARAMARK"</f>
        <v>000290554 - RICH FDS NCORE BB-MAIN ARAMARK</v>
      </c>
      <c r="C19580" t="s">
        <v>194</v>
      </c>
      <c r="D19580" s="1" t="str">
        <f t="shared" si="523"/>
        <v>PRG-1046884</v>
      </c>
      <c r="E19580" t="s">
        <v>127</v>
      </c>
      <c r="F19580" t="s">
        <v>4</v>
      </c>
      <c r="G19580" t="str">
        <f>""</f>
        <v/>
      </c>
    </row>
    <row r="19581" spans="1:7" x14ac:dyDescent="0.25">
      <c r="A19581" t="s">
        <v>8</v>
      </c>
      <c r="B19581" s="1" t="str">
        <f>"000290555 - RICH FDS CORE BB-MAIN ARAMARK"</f>
        <v>000290555 - RICH FDS CORE BB-MAIN ARAMARK</v>
      </c>
      <c r="C19581" t="s">
        <v>196</v>
      </c>
      <c r="D19581" s="1" t="str">
        <f t="shared" si="523"/>
        <v>PRG-1046884</v>
      </c>
      <c r="E19581" t="s">
        <v>127</v>
      </c>
      <c r="F19581" t="s">
        <v>4</v>
      </c>
      <c r="G19581" t="str">
        <f>""</f>
        <v/>
      </c>
    </row>
    <row r="19582" spans="1:7" x14ac:dyDescent="0.25">
      <c r="A19582" t="s">
        <v>8</v>
      </c>
      <c r="B19582" s="1" t="str">
        <f>"000290658 - RICH FOODS BAPA-MAIN ARAMARK"</f>
        <v>000290658 - RICH FOODS BAPA-MAIN ARAMARK</v>
      </c>
      <c r="C19582" t="s">
        <v>320</v>
      </c>
      <c r="D19582" s="1" t="str">
        <f t="shared" si="523"/>
        <v>PRG-1046884</v>
      </c>
      <c r="E19582" t="s">
        <v>127</v>
      </c>
      <c r="F19582" t="s">
        <v>4</v>
      </c>
      <c r="G19582" t="str">
        <f>""</f>
        <v/>
      </c>
    </row>
    <row r="19583" spans="1:7" x14ac:dyDescent="0.25">
      <c r="A19583" t="s">
        <v>8</v>
      </c>
      <c r="B19583" s="1" t="str">
        <f>"000290735 - RICH FOODS BAPA-MAIN ARAMARK"</f>
        <v>000290735 - RICH FOODS BAPA-MAIN ARAMARK</v>
      </c>
      <c r="C19583" t="s">
        <v>320</v>
      </c>
      <c r="D19583" s="1" t="str">
        <f t="shared" si="523"/>
        <v>PRG-1046884</v>
      </c>
      <c r="E19583" t="s">
        <v>127</v>
      </c>
      <c r="F19583" t="s">
        <v>4</v>
      </c>
      <c r="G19583" t="str">
        <f>""</f>
        <v/>
      </c>
    </row>
    <row r="19584" spans="1:7" x14ac:dyDescent="0.25">
      <c r="A19584" t="s">
        <v>8</v>
      </c>
      <c r="B19584" s="1" t="str">
        <f>"000290820 - RICH FOODS BAPA-MAIN ARAMARK"</f>
        <v>000290820 - RICH FOODS BAPA-MAIN ARAMARK</v>
      </c>
      <c r="C19584" t="s">
        <v>320</v>
      </c>
      <c r="D19584" s="1" t="str">
        <f t="shared" si="523"/>
        <v>PRG-1046884</v>
      </c>
      <c r="E19584" t="s">
        <v>127</v>
      </c>
      <c r="F19584" t="s">
        <v>4</v>
      </c>
      <c r="G19584" t="str">
        <f>""</f>
        <v/>
      </c>
    </row>
    <row r="19585" spans="1:7" x14ac:dyDescent="0.25">
      <c r="A19585" t="s">
        <v>8</v>
      </c>
      <c r="B19585" s="1" t="str">
        <f>"000290999 - RICH FOODS BAPA-MAIN ARAMARK"</f>
        <v>000290999 - RICH FOODS BAPA-MAIN ARAMARK</v>
      </c>
      <c r="C19585" t="s">
        <v>320</v>
      </c>
      <c r="D19585" s="1" t="str">
        <f t="shared" si="523"/>
        <v>PRG-1046884</v>
      </c>
      <c r="E19585" t="s">
        <v>127</v>
      </c>
      <c r="F19585" t="s">
        <v>4</v>
      </c>
      <c r="G19585" t="str">
        <f>""</f>
        <v/>
      </c>
    </row>
    <row r="19586" spans="1:7" x14ac:dyDescent="0.25">
      <c r="A19586" t="s">
        <v>8</v>
      </c>
      <c r="B19586" s="1" t="str">
        <f>"000291240 - RICH FOODS BAPA-MAIN ARAMARK"</f>
        <v>000291240 - RICH FOODS BAPA-MAIN ARAMARK</v>
      </c>
      <c r="C19586" t="s">
        <v>320</v>
      </c>
      <c r="D19586" s="1" t="str">
        <f t="shared" si="523"/>
        <v>PRG-1046884</v>
      </c>
      <c r="E19586" t="s">
        <v>127</v>
      </c>
      <c r="F19586" t="s">
        <v>4</v>
      </c>
      <c r="G19586" t="str">
        <f>""</f>
        <v/>
      </c>
    </row>
    <row r="19587" spans="1:7" x14ac:dyDescent="0.25">
      <c r="A19587" t="s">
        <v>8</v>
      </c>
      <c r="B19587" s="1" t="str">
        <f>"000291446 - RICH FOODS BAPA-MAIN ARAMARK"</f>
        <v>000291446 - RICH FOODS BAPA-MAIN ARAMARK</v>
      </c>
      <c r="C19587" t="s">
        <v>320</v>
      </c>
      <c r="D19587" s="1" t="str">
        <f t="shared" si="523"/>
        <v>PRG-1046884</v>
      </c>
      <c r="E19587" t="s">
        <v>127</v>
      </c>
      <c r="F19587" t="s">
        <v>4</v>
      </c>
      <c r="G19587" t="str">
        <f>""</f>
        <v/>
      </c>
    </row>
    <row r="19588" spans="1:7" x14ac:dyDescent="0.25">
      <c r="A19588" t="s">
        <v>8</v>
      </c>
      <c r="B19588" s="1" t="str">
        <f>"000291877 - RICH FDS NCORE BB-MAIN ARAMARK"</f>
        <v>000291877 - RICH FDS NCORE BB-MAIN ARAMARK</v>
      </c>
      <c r="C19588" t="s">
        <v>194</v>
      </c>
      <c r="D19588" s="1" t="str">
        <f t="shared" si="523"/>
        <v>PRG-1046884</v>
      </c>
      <c r="E19588" t="s">
        <v>127</v>
      </c>
      <c r="F19588" t="s">
        <v>4</v>
      </c>
      <c r="G19588" t="str">
        <f>""</f>
        <v/>
      </c>
    </row>
    <row r="19589" spans="1:7" x14ac:dyDescent="0.25">
      <c r="A19589" t="s">
        <v>8</v>
      </c>
      <c r="B19589" s="1" t="str">
        <f>"000291970 - RICH FOODS BAPA-MAIN ARAMARK"</f>
        <v>000291970 - RICH FOODS BAPA-MAIN ARAMARK</v>
      </c>
      <c r="C19589" t="s">
        <v>320</v>
      </c>
      <c r="D19589" s="1" t="str">
        <f t="shared" si="523"/>
        <v>PRG-1046884</v>
      </c>
      <c r="E19589" t="s">
        <v>127</v>
      </c>
      <c r="F19589" t="s">
        <v>4</v>
      </c>
      <c r="G19589" t="str">
        <f>""</f>
        <v/>
      </c>
    </row>
    <row r="19590" spans="1:7" x14ac:dyDescent="0.25">
      <c r="A19590" t="s">
        <v>8</v>
      </c>
      <c r="B19590" s="1" t="str">
        <f>"000292314 - RICH FDS CORE BB-MAIN ARAMARK"</f>
        <v>000292314 - RICH FDS CORE BB-MAIN ARAMARK</v>
      </c>
      <c r="C19590" t="s">
        <v>196</v>
      </c>
      <c r="D19590" s="1" t="str">
        <f t="shared" si="523"/>
        <v>PRG-1046884</v>
      </c>
      <c r="E19590" t="s">
        <v>127</v>
      </c>
      <c r="F19590" t="s">
        <v>4</v>
      </c>
      <c r="G19590" t="str">
        <f>""</f>
        <v/>
      </c>
    </row>
    <row r="19591" spans="1:7" x14ac:dyDescent="0.25">
      <c r="A19591" t="s">
        <v>8</v>
      </c>
      <c r="B19591" s="1" t="str">
        <f>"000292315 - RICH FDS NCORE BB-MAIN ARAMARK"</f>
        <v>000292315 - RICH FDS NCORE BB-MAIN ARAMARK</v>
      </c>
      <c r="C19591" t="s">
        <v>194</v>
      </c>
      <c r="D19591" s="1" t="str">
        <f t="shared" si="523"/>
        <v>PRG-1046884</v>
      </c>
      <c r="E19591" t="s">
        <v>127</v>
      </c>
      <c r="F19591" t="s">
        <v>4</v>
      </c>
      <c r="G19591" t="str">
        <f>""</f>
        <v/>
      </c>
    </row>
    <row r="19592" spans="1:7" x14ac:dyDescent="0.25">
      <c r="A19592" t="s">
        <v>8</v>
      </c>
      <c r="B19592" s="1" t="str">
        <f>"000292478 - RICH FOODS-MAIN ARAMARK"</f>
        <v>000292478 - RICH FOODS-MAIN ARAMARK</v>
      </c>
      <c r="C19592" t="s">
        <v>126</v>
      </c>
      <c r="D19592" s="1" t="str">
        <f t="shared" si="523"/>
        <v>PRG-1046884</v>
      </c>
      <c r="E19592" t="s">
        <v>127</v>
      </c>
      <c r="F19592" t="s">
        <v>4</v>
      </c>
      <c r="G19592" t="str">
        <f>""</f>
        <v/>
      </c>
    </row>
    <row r="19593" spans="1:7" x14ac:dyDescent="0.25">
      <c r="A19593" t="s">
        <v>8</v>
      </c>
      <c r="B19593" s="1" t="str">
        <f>"000292730 - RICH FOODS-MAIN ARAMARK"</f>
        <v>000292730 - RICH FOODS-MAIN ARAMARK</v>
      </c>
      <c r="C19593" t="s">
        <v>126</v>
      </c>
      <c r="D19593" s="1" t="str">
        <f t="shared" si="523"/>
        <v>PRG-1046884</v>
      </c>
      <c r="E19593" t="s">
        <v>127</v>
      </c>
      <c r="F19593" t="s">
        <v>4</v>
      </c>
      <c r="G19593" t="str">
        <f>""</f>
        <v/>
      </c>
    </row>
    <row r="19594" spans="1:7" x14ac:dyDescent="0.25">
      <c r="A19594" t="s">
        <v>8</v>
      </c>
      <c r="B19594" s="1" t="str">
        <f>"000292839 - RICH FOODS-ARAMARK"</f>
        <v>000292839 - RICH FOODS-ARAMARK</v>
      </c>
      <c r="C19594" t="s">
        <v>534</v>
      </c>
      <c r="D19594" s="1" t="str">
        <f t="shared" si="523"/>
        <v>PRG-1046884</v>
      </c>
      <c r="E19594" t="s">
        <v>127</v>
      </c>
      <c r="F19594" t="s">
        <v>4</v>
      </c>
      <c r="G19594" t="str">
        <f>""</f>
        <v/>
      </c>
    </row>
    <row r="19595" spans="1:7" x14ac:dyDescent="0.25">
      <c r="A19595" t="s">
        <v>8</v>
      </c>
      <c r="B19595" s="1" t="str">
        <f>"000293243 - RICH FOODS BAPA-MAIN ARAMARK"</f>
        <v>000293243 - RICH FOODS BAPA-MAIN ARAMARK</v>
      </c>
      <c r="C19595" t="s">
        <v>320</v>
      </c>
      <c r="D19595" s="1" t="str">
        <f t="shared" si="523"/>
        <v>PRG-1046884</v>
      </c>
      <c r="E19595" t="s">
        <v>127</v>
      </c>
      <c r="F19595" t="s">
        <v>4</v>
      </c>
      <c r="G19595" t="str">
        <f>""</f>
        <v/>
      </c>
    </row>
    <row r="19596" spans="1:7" x14ac:dyDescent="0.25">
      <c r="A19596" t="s">
        <v>8</v>
      </c>
      <c r="B19596" s="1" t="str">
        <f>"000294269 - RICH FOODS BAPA-MAIN ARAMARK"</f>
        <v>000294269 - RICH FOODS BAPA-MAIN ARAMARK</v>
      </c>
      <c r="C19596" t="s">
        <v>320</v>
      </c>
      <c r="D19596" s="1" t="str">
        <f t="shared" si="523"/>
        <v>PRG-1046884</v>
      </c>
      <c r="E19596" t="s">
        <v>127</v>
      </c>
      <c r="F19596" t="s">
        <v>4</v>
      </c>
      <c r="G19596" t="str">
        <f>""</f>
        <v/>
      </c>
    </row>
    <row r="19597" spans="1:7" x14ac:dyDescent="0.25">
      <c r="A19597" t="s">
        <v>8</v>
      </c>
      <c r="B19597" s="1" t="str">
        <f>"000294311 - RICH FOODS-ARAMARK MAIN"</f>
        <v>000294311 - RICH FOODS-ARAMARK MAIN</v>
      </c>
      <c r="C19597" t="s">
        <v>574</v>
      </c>
      <c r="D19597" s="1" t="str">
        <f t="shared" si="523"/>
        <v>PRG-1046884</v>
      </c>
      <c r="E19597" t="s">
        <v>127</v>
      </c>
      <c r="F19597" t="s">
        <v>4</v>
      </c>
      <c r="G19597" t="str">
        <f>""</f>
        <v/>
      </c>
    </row>
    <row r="19598" spans="1:7" x14ac:dyDescent="0.25">
      <c r="A19598" t="s">
        <v>8</v>
      </c>
      <c r="B19598" s="1" t="str">
        <f>"000294693 - RICH FOODS-ARAMARK"</f>
        <v>000294693 - RICH FOODS-ARAMARK</v>
      </c>
      <c r="C19598" t="s">
        <v>534</v>
      </c>
      <c r="D19598" s="1" t="str">
        <f t="shared" si="523"/>
        <v>PRG-1046884</v>
      </c>
      <c r="E19598" t="s">
        <v>127</v>
      </c>
      <c r="F19598" t="s">
        <v>4</v>
      </c>
      <c r="G19598" t="str">
        <f>""</f>
        <v/>
      </c>
    </row>
    <row r="19599" spans="1:7" x14ac:dyDescent="0.25">
      <c r="A19599" t="s">
        <v>8</v>
      </c>
      <c r="B19599" s="1" t="str">
        <f>"000295645 - RICH FOODS BAPA-MAIN ARAMARK"</f>
        <v>000295645 - RICH FOODS BAPA-MAIN ARAMARK</v>
      </c>
      <c r="C19599" t="s">
        <v>320</v>
      </c>
      <c r="D19599" s="1" t="str">
        <f t="shared" si="523"/>
        <v>PRG-1046884</v>
      </c>
      <c r="E19599" t="s">
        <v>127</v>
      </c>
      <c r="F19599" t="s">
        <v>4</v>
      </c>
      <c r="G19599" t="str">
        <f>""</f>
        <v/>
      </c>
    </row>
    <row r="19600" spans="1:7" x14ac:dyDescent="0.25">
      <c r="A19600" t="s">
        <v>8</v>
      </c>
      <c r="B19600" s="1" t="str">
        <f>"000296064 - RICH FOODS BAPA-MAIN ARAMARK"</f>
        <v>000296064 - RICH FOODS BAPA-MAIN ARAMARK</v>
      </c>
      <c r="C19600" t="s">
        <v>320</v>
      </c>
      <c r="D19600" s="1" t="str">
        <f t="shared" si="523"/>
        <v>PRG-1046884</v>
      </c>
      <c r="E19600" t="s">
        <v>127</v>
      </c>
      <c r="F19600" t="s">
        <v>4</v>
      </c>
      <c r="G19600" t="str">
        <f>""</f>
        <v/>
      </c>
    </row>
    <row r="19601" spans="1:7" x14ac:dyDescent="0.25">
      <c r="A19601" t="s">
        <v>8</v>
      </c>
      <c r="B19601" s="1" t="str">
        <f>"000296306 - RICH FOODS BAPA-MAIN ARAMARK"</f>
        <v>000296306 - RICH FOODS BAPA-MAIN ARAMARK</v>
      </c>
      <c r="C19601" t="s">
        <v>320</v>
      </c>
      <c r="D19601" s="1" t="str">
        <f t="shared" si="523"/>
        <v>PRG-1046884</v>
      </c>
      <c r="E19601" t="s">
        <v>127</v>
      </c>
      <c r="F19601" t="s">
        <v>4</v>
      </c>
      <c r="G19601" t="str">
        <f>""</f>
        <v/>
      </c>
    </row>
    <row r="19602" spans="1:7" x14ac:dyDescent="0.25">
      <c r="A19602" t="s">
        <v>8</v>
      </c>
      <c r="B19602" s="1" t="str">
        <f>"000296382 - RICH FDS NCORE BB-MAIN ARAMARK"</f>
        <v>000296382 - RICH FDS NCORE BB-MAIN ARAMARK</v>
      </c>
      <c r="C19602" t="s">
        <v>194</v>
      </c>
      <c r="D19602" s="1" t="str">
        <f t="shared" si="523"/>
        <v>PRG-1046884</v>
      </c>
      <c r="E19602" t="s">
        <v>127</v>
      </c>
      <c r="F19602" t="s">
        <v>4</v>
      </c>
      <c r="G19602" t="str">
        <f>""</f>
        <v/>
      </c>
    </row>
    <row r="19603" spans="1:7" x14ac:dyDescent="0.25">
      <c r="A19603" t="s">
        <v>8</v>
      </c>
      <c r="B19603" s="1" t="str">
        <f>"000296383 - RICH FDS CORE BB-MAIN ARAMARK"</f>
        <v>000296383 - RICH FDS CORE BB-MAIN ARAMARK</v>
      </c>
      <c r="C19603" t="s">
        <v>196</v>
      </c>
      <c r="D19603" s="1" t="str">
        <f t="shared" si="523"/>
        <v>PRG-1046884</v>
      </c>
      <c r="E19603" t="s">
        <v>127</v>
      </c>
      <c r="F19603" t="s">
        <v>4</v>
      </c>
      <c r="G19603" t="str">
        <f>""</f>
        <v/>
      </c>
    </row>
    <row r="19604" spans="1:7" x14ac:dyDescent="0.25">
      <c r="A19604" t="s">
        <v>8</v>
      </c>
      <c r="B19604" s="1" t="str">
        <f>"000296716 - RICH FOODS BAPA-MAIN ARAMARK"</f>
        <v>000296716 - RICH FOODS BAPA-MAIN ARAMARK</v>
      </c>
      <c r="C19604" t="s">
        <v>320</v>
      </c>
      <c r="D19604" s="1" t="str">
        <f t="shared" si="523"/>
        <v>PRG-1046884</v>
      </c>
      <c r="E19604" t="s">
        <v>127</v>
      </c>
      <c r="F19604" t="s">
        <v>4</v>
      </c>
      <c r="G19604" t="str">
        <f>""</f>
        <v/>
      </c>
    </row>
    <row r="19605" spans="1:7" x14ac:dyDescent="0.25">
      <c r="A19605" t="s">
        <v>8</v>
      </c>
      <c r="B19605" s="1" t="str">
        <f>"000297140 - RICH FOODS BAPA-MAIN ARAMARK"</f>
        <v>000297140 - RICH FOODS BAPA-MAIN ARAMARK</v>
      </c>
      <c r="C19605" t="s">
        <v>320</v>
      </c>
      <c r="D19605" s="1" t="str">
        <f t="shared" si="523"/>
        <v>PRG-1046884</v>
      </c>
      <c r="E19605" t="s">
        <v>127</v>
      </c>
      <c r="F19605" t="s">
        <v>4</v>
      </c>
      <c r="G19605" t="str">
        <f>""</f>
        <v/>
      </c>
    </row>
    <row r="19606" spans="1:7" x14ac:dyDescent="0.25">
      <c r="A19606" t="s">
        <v>8</v>
      </c>
      <c r="B19606" s="1" t="str">
        <f>"000297160 - RICH FOODS-ARAMARK"</f>
        <v>000297160 - RICH FOODS-ARAMARK</v>
      </c>
      <c r="C19606" t="s">
        <v>534</v>
      </c>
      <c r="D19606" s="1" t="str">
        <f t="shared" si="523"/>
        <v>PRG-1046884</v>
      </c>
      <c r="E19606" t="s">
        <v>127</v>
      </c>
      <c r="F19606" t="s">
        <v>4</v>
      </c>
      <c r="G19606" t="str">
        <f>""</f>
        <v/>
      </c>
    </row>
    <row r="19607" spans="1:7" x14ac:dyDescent="0.25">
      <c r="A19607" t="s">
        <v>8</v>
      </c>
      <c r="B19607" s="1" t="str">
        <f>"000297397 - RICH FDS NCBB-MAIN ARAMARK"</f>
        <v>000297397 - RICH FDS NCBB-MAIN ARAMARK</v>
      </c>
      <c r="C19607" t="s">
        <v>185</v>
      </c>
      <c r="D19607" s="1" t="str">
        <f t="shared" si="523"/>
        <v>PRG-1046884</v>
      </c>
      <c r="E19607" t="s">
        <v>127</v>
      </c>
      <c r="F19607" t="s">
        <v>4</v>
      </c>
      <c r="G19607" t="str">
        <f>""</f>
        <v/>
      </c>
    </row>
    <row r="19608" spans="1:7" x14ac:dyDescent="0.25">
      <c r="A19608" t="s">
        <v>8</v>
      </c>
      <c r="B19608" s="1" t="str">
        <f>"000297414 - RICH FOODS-ARAMARK MAIN"</f>
        <v>000297414 - RICH FOODS-ARAMARK MAIN</v>
      </c>
      <c r="C19608" t="s">
        <v>574</v>
      </c>
      <c r="D19608" s="1" t="str">
        <f t="shared" si="523"/>
        <v>PRG-1046884</v>
      </c>
      <c r="E19608" t="s">
        <v>127</v>
      </c>
      <c r="F19608" t="s">
        <v>4</v>
      </c>
      <c r="G19608" t="str">
        <f>""</f>
        <v/>
      </c>
    </row>
    <row r="19609" spans="1:7" x14ac:dyDescent="0.25">
      <c r="A19609" t="s">
        <v>8</v>
      </c>
      <c r="B19609" s="1" t="str">
        <f>"000297515 - RICH FOODS-ARAMARK JMU BB"</f>
        <v>000297515 - RICH FOODS-ARAMARK JMU BB</v>
      </c>
      <c r="C19609" t="s">
        <v>2927</v>
      </c>
      <c r="D19609" s="1" t="str">
        <f t="shared" si="523"/>
        <v>PRG-1046884</v>
      </c>
      <c r="E19609" t="s">
        <v>127</v>
      </c>
      <c r="F19609" t="s">
        <v>4</v>
      </c>
      <c r="G19609" t="str">
        <f>""</f>
        <v/>
      </c>
    </row>
    <row r="19610" spans="1:7" x14ac:dyDescent="0.25">
      <c r="A19610" t="s">
        <v>8</v>
      </c>
      <c r="B19610" s="1" t="str">
        <f>"000297516 - RICH FOODS-ARAMARK JMU BB"</f>
        <v>000297516 - RICH FOODS-ARAMARK JMU BB</v>
      </c>
      <c r="C19610" t="s">
        <v>2927</v>
      </c>
      <c r="D19610" s="1" t="str">
        <f t="shared" si="523"/>
        <v>PRG-1046884</v>
      </c>
      <c r="E19610" t="s">
        <v>127</v>
      </c>
      <c r="F19610" t="s">
        <v>4</v>
      </c>
      <c r="G19610" t="str">
        <f>""</f>
        <v/>
      </c>
    </row>
    <row r="19611" spans="1:7" x14ac:dyDescent="0.25">
      <c r="A19611" t="s">
        <v>8</v>
      </c>
      <c r="B19611" s="1" t="str">
        <f>"000297517 - RICH FOODS-ARAMARK JMU BB"</f>
        <v>000297517 - RICH FOODS-ARAMARK JMU BB</v>
      </c>
      <c r="C19611" t="s">
        <v>2927</v>
      </c>
      <c r="D19611" s="1" t="str">
        <f t="shared" si="523"/>
        <v>PRG-1046884</v>
      </c>
      <c r="E19611" t="s">
        <v>127</v>
      </c>
      <c r="F19611" t="s">
        <v>4</v>
      </c>
      <c r="G19611" t="str">
        <f>""</f>
        <v/>
      </c>
    </row>
    <row r="19612" spans="1:7" x14ac:dyDescent="0.25">
      <c r="A19612" t="s">
        <v>8</v>
      </c>
      <c r="B19612" s="1" t="str">
        <f>"000297800 - CASA DIBERTACCHI-MAIN ARAMARK"</f>
        <v>000297800 - CASA DIBERTACCHI-MAIN ARAMARK</v>
      </c>
      <c r="C19612" t="s">
        <v>148</v>
      </c>
      <c r="D19612" s="1" t="str">
        <f t="shared" si="523"/>
        <v>PRG-1046884</v>
      </c>
      <c r="E19612" t="s">
        <v>127</v>
      </c>
      <c r="F19612" t="s">
        <v>4</v>
      </c>
      <c r="G19612" t="str">
        <f>""</f>
        <v/>
      </c>
    </row>
    <row r="19613" spans="1:7" x14ac:dyDescent="0.25">
      <c r="A19613" t="s">
        <v>8</v>
      </c>
      <c r="B19613" s="1" t="str">
        <f>"000298198 - RICH FOODS-ARAMARK"</f>
        <v>000298198 - RICH FOODS-ARAMARK</v>
      </c>
      <c r="C19613" t="s">
        <v>534</v>
      </c>
      <c r="D19613" s="1" t="str">
        <f t="shared" si="523"/>
        <v>PRG-1046884</v>
      </c>
      <c r="E19613" t="s">
        <v>127</v>
      </c>
      <c r="F19613" t="s">
        <v>4</v>
      </c>
      <c r="G19613" t="str">
        <f>""</f>
        <v/>
      </c>
    </row>
    <row r="19614" spans="1:7" x14ac:dyDescent="0.25">
      <c r="A19614" t="s">
        <v>8</v>
      </c>
      <c r="B19614" s="1" t="str">
        <f>"000298600 - RICH FOODS BAPA-MAIN ARAMARK"</f>
        <v>000298600 - RICH FOODS BAPA-MAIN ARAMARK</v>
      </c>
      <c r="C19614" t="s">
        <v>320</v>
      </c>
      <c r="D19614" s="1" t="str">
        <f t="shared" si="523"/>
        <v>PRG-1046884</v>
      </c>
      <c r="E19614" t="s">
        <v>127</v>
      </c>
      <c r="F19614" t="s">
        <v>4</v>
      </c>
      <c r="G19614" t="str">
        <f>""</f>
        <v/>
      </c>
    </row>
    <row r="19615" spans="1:7" x14ac:dyDescent="0.25">
      <c r="A19615" t="s">
        <v>8</v>
      </c>
      <c r="B19615" s="1" t="str">
        <f>"000298869 - RICH FOODS-MAIN ARAMARK"</f>
        <v>000298869 - RICH FOODS-MAIN ARAMARK</v>
      </c>
      <c r="C19615" t="s">
        <v>126</v>
      </c>
      <c r="D19615" s="1" t="str">
        <f t="shared" si="523"/>
        <v>PRG-1046884</v>
      </c>
      <c r="E19615" t="s">
        <v>127</v>
      </c>
      <c r="F19615" t="s">
        <v>4</v>
      </c>
      <c r="G19615" t="str">
        <f>""</f>
        <v/>
      </c>
    </row>
    <row r="19616" spans="1:7" x14ac:dyDescent="0.25">
      <c r="A19616" t="s">
        <v>8</v>
      </c>
      <c r="B19616" s="1" t="str">
        <f>"000299371 - RICH FOODS-ARAMARK MAIN"</f>
        <v>000299371 - RICH FOODS-ARAMARK MAIN</v>
      </c>
      <c r="C19616" t="s">
        <v>574</v>
      </c>
      <c r="D19616" s="1" t="str">
        <f t="shared" si="523"/>
        <v>PRG-1046884</v>
      </c>
      <c r="E19616" t="s">
        <v>127</v>
      </c>
      <c r="F19616" t="s">
        <v>4</v>
      </c>
      <c r="G19616" t="str">
        <f>""</f>
        <v/>
      </c>
    </row>
    <row r="19617" spans="1:7" x14ac:dyDescent="0.25">
      <c r="A19617" t="s">
        <v>8</v>
      </c>
      <c r="B19617" s="1" t="str">
        <f>"000299789 - RICH FOODS BAPA-MAIN ARAMARK"</f>
        <v>000299789 - RICH FOODS BAPA-MAIN ARAMARK</v>
      </c>
      <c r="C19617" t="s">
        <v>320</v>
      </c>
      <c r="D19617" s="1" t="str">
        <f t="shared" si="523"/>
        <v>PRG-1046884</v>
      </c>
      <c r="E19617" t="s">
        <v>127</v>
      </c>
      <c r="F19617" t="s">
        <v>4</v>
      </c>
      <c r="G19617" t="str">
        <f>""</f>
        <v/>
      </c>
    </row>
    <row r="19618" spans="1:7" x14ac:dyDescent="0.25">
      <c r="A19618" t="s">
        <v>8</v>
      </c>
      <c r="B19618" s="1" t="str">
        <f>"000300711 - RICH FOODS BAPA-MAIN ARAMARK"</f>
        <v>000300711 - RICH FOODS BAPA-MAIN ARAMARK</v>
      </c>
      <c r="C19618" t="s">
        <v>320</v>
      </c>
      <c r="D19618" s="1" t="str">
        <f t="shared" si="523"/>
        <v>PRG-1046884</v>
      </c>
      <c r="E19618" t="s">
        <v>127</v>
      </c>
      <c r="F19618" t="s">
        <v>4</v>
      </c>
      <c r="G19618" t="str">
        <f>""</f>
        <v/>
      </c>
    </row>
    <row r="19619" spans="1:7" x14ac:dyDescent="0.25">
      <c r="A19619" t="s">
        <v>8</v>
      </c>
      <c r="B19619" s="1" t="str">
        <f>"000301678 - RICH FOODS-ARAMARK"</f>
        <v>000301678 - RICH FOODS-ARAMARK</v>
      </c>
      <c r="C19619" t="s">
        <v>534</v>
      </c>
      <c r="D19619" s="1" t="str">
        <f t="shared" si="523"/>
        <v>PRG-1046884</v>
      </c>
      <c r="E19619" t="s">
        <v>127</v>
      </c>
      <c r="F19619" t="s">
        <v>4</v>
      </c>
      <c r="G19619" t="str">
        <f>""</f>
        <v/>
      </c>
    </row>
    <row r="19620" spans="1:7" x14ac:dyDescent="0.25">
      <c r="A19620" t="s">
        <v>8</v>
      </c>
      <c r="B19620" s="1" t="str">
        <f>"000301777 - RICH FDS NCORE BB-MAIN ARAMARK"</f>
        <v>000301777 - RICH FDS NCORE BB-MAIN ARAMARK</v>
      </c>
      <c r="C19620" t="s">
        <v>194</v>
      </c>
      <c r="D19620" s="1" t="str">
        <f t="shared" si="523"/>
        <v>PRG-1046884</v>
      </c>
      <c r="E19620" t="s">
        <v>127</v>
      </c>
      <c r="F19620" t="s">
        <v>4</v>
      </c>
      <c r="G19620" t="str">
        <f>""</f>
        <v/>
      </c>
    </row>
    <row r="19621" spans="1:7" x14ac:dyDescent="0.25">
      <c r="A19621" t="s">
        <v>8</v>
      </c>
      <c r="B19621" s="1" t="str">
        <f>"000301778 - RICH FDS CORE BB-MAIN ARAMARK"</f>
        <v>000301778 - RICH FDS CORE BB-MAIN ARAMARK</v>
      </c>
      <c r="C19621" t="s">
        <v>196</v>
      </c>
      <c r="D19621" s="1" t="str">
        <f t="shared" si="523"/>
        <v>PRG-1046884</v>
      </c>
      <c r="E19621" t="s">
        <v>127</v>
      </c>
      <c r="F19621" t="s">
        <v>4</v>
      </c>
      <c r="G19621" t="str">
        <f>""</f>
        <v/>
      </c>
    </row>
    <row r="19622" spans="1:7" x14ac:dyDescent="0.25">
      <c r="A19622" t="s">
        <v>8</v>
      </c>
      <c r="B19622" s="1" t="str">
        <f>"000301935 - RICH FOODS BAPA-MAIN ARAMARK"</f>
        <v>000301935 - RICH FOODS BAPA-MAIN ARAMARK</v>
      </c>
      <c r="C19622" t="s">
        <v>320</v>
      </c>
      <c r="D19622" s="1" t="str">
        <f t="shared" si="523"/>
        <v>PRG-1046884</v>
      </c>
      <c r="E19622" t="s">
        <v>127</v>
      </c>
      <c r="F19622" t="s">
        <v>4</v>
      </c>
      <c r="G19622" t="str">
        <f>""</f>
        <v/>
      </c>
    </row>
    <row r="19623" spans="1:7" x14ac:dyDescent="0.25">
      <c r="A19623" t="s">
        <v>8</v>
      </c>
      <c r="B19623" s="1" t="str">
        <f>"000302175 - RICH FOODS-ARAMARK MAIN"</f>
        <v>000302175 - RICH FOODS-ARAMARK MAIN</v>
      </c>
      <c r="C19623" t="s">
        <v>574</v>
      </c>
      <c r="D19623" s="1" t="str">
        <f t="shared" si="523"/>
        <v>PRG-1046884</v>
      </c>
      <c r="E19623" t="s">
        <v>127</v>
      </c>
      <c r="F19623" t="s">
        <v>4</v>
      </c>
      <c r="G19623" t="str">
        <f>""</f>
        <v/>
      </c>
    </row>
    <row r="19624" spans="1:7" x14ac:dyDescent="0.25">
      <c r="A19624" t="s">
        <v>8</v>
      </c>
      <c r="B19624" s="1" t="str">
        <f>"000302652 - RICH FOODS-ARAMARK MAIN"</f>
        <v>000302652 - RICH FOODS-ARAMARK MAIN</v>
      </c>
      <c r="C19624" t="s">
        <v>574</v>
      </c>
      <c r="D19624" s="1" t="str">
        <f t="shared" ref="D19624:D19687" si="524">"PRG-1046884"</f>
        <v>PRG-1046884</v>
      </c>
      <c r="E19624" t="s">
        <v>127</v>
      </c>
      <c r="F19624" t="s">
        <v>4</v>
      </c>
      <c r="G19624" t="str">
        <f>""</f>
        <v/>
      </c>
    </row>
    <row r="19625" spans="1:7" x14ac:dyDescent="0.25">
      <c r="A19625" t="s">
        <v>8</v>
      </c>
      <c r="B19625" s="1" t="str">
        <f>"000303013 - RICH FOODS-ARAMARK"</f>
        <v>000303013 - RICH FOODS-ARAMARK</v>
      </c>
      <c r="C19625" t="s">
        <v>534</v>
      </c>
      <c r="D19625" s="1" t="str">
        <f t="shared" si="524"/>
        <v>PRG-1046884</v>
      </c>
      <c r="E19625" t="s">
        <v>127</v>
      </c>
      <c r="F19625" t="s">
        <v>4</v>
      </c>
      <c r="G19625" t="str">
        <f>""</f>
        <v/>
      </c>
    </row>
    <row r="19626" spans="1:7" x14ac:dyDescent="0.25">
      <c r="A19626" t="s">
        <v>8</v>
      </c>
      <c r="B19626" s="1" t="str">
        <f>"000303668 - RICH FOODS-MAIN ARAMARK"</f>
        <v>000303668 - RICH FOODS-MAIN ARAMARK</v>
      </c>
      <c r="C19626" t="s">
        <v>126</v>
      </c>
      <c r="D19626" s="1" t="str">
        <f t="shared" si="524"/>
        <v>PRG-1046884</v>
      </c>
      <c r="E19626" t="s">
        <v>127</v>
      </c>
      <c r="F19626" t="s">
        <v>4</v>
      </c>
      <c r="G19626" t="str">
        <f>""</f>
        <v/>
      </c>
    </row>
    <row r="19627" spans="1:7" x14ac:dyDescent="0.25">
      <c r="A19627" t="s">
        <v>8</v>
      </c>
      <c r="B19627" s="1" t="str">
        <f>"000304289 - RICH FOODS BAPA-MAIN ARAMARK"</f>
        <v>000304289 - RICH FOODS BAPA-MAIN ARAMARK</v>
      </c>
      <c r="C19627" t="s">
        <v>320</v>
      </c>
      <c r="D19627" s="1" t="str">
        <f t="shared" si="524"/>
        <v>PRG-1046884</v>
      </c>
      <c r="E19627" t="s">
        <v>127</v>
      </c>
      <c r="F19627" t="s">
        <v>4</v>
      </c>
      <c r="G19627" t="str">
        <f>""</f>
        <v/>
      </c>
    </row>
    <row r="19628" spans="1:7" x14ac:dyDescent="0.25">
      <c r="A19628" t="s">
        <v>8</v>
      </c>
      <c r="B19628" s="1" t="str">
        <f>"000305212 - RICH'S FDS-MAIN ARAMARK EX-SSS"</f>
        <v>000305212 - RICH'S FDS-MAIN ARAMARK EX-SSS</v>
      </c>
      <c r="C19628" t="s">
        <v>540</v>
      </c>
      <c r="D19628" s="1" t="str">
        <f t="shared" si="524"/>
        <v>PRG-1046884</v>
      </c>
      <c r="E19628" t="s">
        <v>127</v>
      </c>
      <c r="F19628" t="s">
        <v>4</v>
      </c>
      <c r="G19628" t="str">
        <f>""</f>
        <v/>
      </c>
    </row>
    <row r="19629" spans="1:7" x14ac:dyDescent="0.25">
      <c r="A19629" t="s">
        <v>8</v>
      </c>
      <c r="B19629" s="1" t="str">
        <f>"000305827 - RICH FOODS-MAIN ARAMARK"</f>
        <v>000305827 - RICH FOODS-MAIN ARAMARK</v>
      </c>
      <c r="C19629" t="s">
        <v>126</v>
      </c>
      <c r="D19629" s="1" t="str">
        <f t="shared" si="524"/>
        <v>PRG-1046884</v>
      </c>
      <c r="E19629" t="s">
        <v>127</v>
      </c>
      <c r="F19629" t="s">
        <v>4</v>
      </c>
      <c r="G19629" t="str">
        <f>""</f>
        <v/>
      </c>
    </row>
    <row r="19630" spans="1:7" x14ac:dyDescent="0.25">
      <c r="A19630" t="s">
        <v>8</v>
      </c>
      <c r="B19630" s="1" t="str">
        <f>"000306178 - RICH FOODS BAPA-MAIN ARAMARK"</f>
        <v>000306178 - RICH FOODS BAPA-MAIN ARAMARK</v>
      </c>
      <c r="C19630" t="s">
        <v>320</v>
      </c>
      <c r="D19630" s="1" t="str">
        <f t="shared" si="524"/>
        <v>PRG-1046884</v>
      </c>
      <c r="E19630" t="s">
        <v>127</v>
      </c>
      <c r="F19630" t="s">
        <v>4</v>
      </c>
      <c r="G19630" t="str">
        <f>""</f>
        <v/>
      </c>
    </row>
    <row r="19631" spans="1:7" x14ac:dyDescent="0.25">
      <c r="A19631" t="s">
        <v>8</v>
      </c>
      <c r="B19631" s="1" t="str">
        <f>"000306253 - RICH FOODS BAPA-MAIN ARAMARK"</f>
        <v>000306253 - RICH FOODS BAPA-MAIN ARAMARK</v>
      </c>
      <c r="C19631" t="s">
        <v>320</v>
      </c>
      <c r="D19631" s="1" t="str">
        <f t="shared" si="524"/>
        <v>PRG-1046884</v>
      </c>
      <c r="E19631" t="s">
        <v>127</v>
      </c>
      <c r="F19631" t="s">
        <v>4</v>
      </c>
      <c r="G19631" t="str">
        <f>""</f>
        <v/>
      </c>
    </row>
    <row r="19632" spans="1:7" x14ac:dyDescent="0.25">
      <c r="A19632" t="s">
        <v>8</v>
      </c>
      <c r="B19632" s="1" t="str">
        <f>"000306840 - RICH FOODS-ARAMARK MAIN"</f>
        <v>000306840 - RICH FOODS-ARAMARK MAIN</v>
      </c>
      <c r="C19632" t="s">
        <v>574</v>
      </c>
      <c r="D19632" s="1" t="str">
        <f t="shared" si="524"/>
        <v>PRG-1046884</v>
      </c>
      <c r="E19632" t="s">
        <v>127</v>
      </c>
      <c r="F19632" t="s">
        <v>4</v>
      </c>
      <c r="G19632" t="str">
        <f>""</f>
        <v/>
      </c>
    </row>
    <row r="19633" spans="1:7" x14ac:dyDescent="0.25">
      <c r="A19633" t="s">
        <v>8</v>
      </c>
      <c r="B19633" s="1" t="str">
        <f>"000307014 - RICH FOODS-MAIN ARAMARK"</f>
        <v>000307014 - RICH FOODS-MAIN ARAMARK</v>
      </c>
      <c r="C19633" t="s">
        <v>126</v>
      </c>
      <c r="D19633" s="1" t="str">
        <f t="shared" si="524"/>
        <v>PRG-1046884</v>
      </c>
      <c r="E19633" t="s">
        <v>127</v>
      </c>
      <c r="F19633" t="s">
        <v>4</v>
      </c>
      <c r="G19633" t="str">
        <f>""</f>
        <v/>
      </c>
    </row>
    <row r="19634" spans="1:7" x14ac:dyDescent="0.25">
      <c r="A19634" t="s">
        <v>8</v>
      </c>
      <c r="B19634" s="1" t="str">
        <f>"000308372 - RICH FOODS-ARAMARK MAIN"</f>
        <v>000308372 - RICH FOODS-ARAMARK MAIN</v>
      </c>
      <c r="C19634" t="s">
        <v>574</v>
      </c>
      <c r="D19634" s="1" t="str">
        <f t="shared" si="524"/>
        <v>PRG-1046884</v>
      </c>
      <c r="E19634" t="s">
        <v>127</v>
      </c>
      <c r="F19634" t="s">
        <v>4</v>
      </c>
      <c r="G19634" t="str">
        <f>""</f>
        <v/>
      </c>
    </row>
    <row r="19635" spans="1:7" x14ac:dyDescent="0.25">
      <c r="A19635" t="s">
        <v>8</v>
      </c>
      <c r="B19635" s="1" t="str">
        <f>"000308586 - RICH FOODS BAPA-MAIN ARAMARK"</f>
        <v>000308586 - RICH FOODS BAPA-MAIN ARAMARK</v>
      </c>
      <c r="C19635" t="s">
        <v>320</v>
      </c>
      <c r="D19635" s="1" t="str">
        <f t="shared" si="524"/>
        <v>PRG-1046884</v>
      </c>
      <c r="E19635" t="s">
        <v>127</v>
      </c>
      <c r="F19635" t="s">
        <v>4</v>
      </c>
      <c r="G19635" t="str">
        <f>""</f>
        <v/>
      </c>
    </row>
    <row r="19636" spans="1:7" x14ac:dyDescent="0.25">
      <c r="A19636" t="s">
        <v>8</v>
      </c>
      <c r="B19636" s="1" t="str">
        <f>"000308745 - RICH FOODS-ARAMARK"</f>
        <v>000308745 - RICH FOODS-ARAMARK</v>
      </c>
      <c r="C19636" t="s">
        <v>534</v>
      </c>
      <c r="D19636" s="1" t="str">
        <f t="shared" si="524"/>
        <v>PRG-1046884</v>
      </c>
      <c r="E19636" t="s">
        <v>127</v>
      </c>
      <c r="F19636" t="s">
        <v>4</v>
      </c>
      <c r="G19636" t="str">
        <f>""</f>
        <v/>
      </c>
    </row>
    <row r="19637" spans="1:7" x14ac:dyDescent="0.25">
      <c r="A19637" t="s">
        <v>8</v>
      </c>
      <c r="B19637" s="1" t="str">
        <f>"000309183 - RICH FOODS BAPA-MAIN ARAMARK"</f>
        <v>000309183 - RICH FOODS BAPA-MAIN ARAMARK</v>
      </c>
      <c r="C19637" t="s">
        <v>320</v>
      </c>
      <c r="D19637" s="1" t="str">
        <f t="shared" si="524"/>
        <v>PRG-1046884</v>
      </c>
      <c r="E19637" t="s">
        <v>127</v>
      </c>
      <c r="F19637" t="s">
        <v>4</v>
      </c>
      <c r="G19637" t="str">
        <f>""</f>
        <v/>
      </c>
    </row>
    <row r="19638" spans="1:7" x14ac:dyDescent="0.25">
      <c r="A19638" t="s">
        <v>8</v>
      </c>
      <c r="B19638" s="1" t="str">
        <f>"000311042 - RICH FOODS BAPA-MAIN ARAMARK"</f>
        <v>000311042 - RICH FOODS BAPA-MAIN ARAMARK</v>
      </c>
      <c r="C19638" t="s">
        <v>320</v>
      </c>
      <c r="D19638" s="1" t="str">
        <f t="shared" si="524"/>
        <v>PRG-1046884</v>
      </c>
      <c r="E19638" t="s">
        <v>127</v>
      </c>
      <c r="F19638" t="s">
        <v>4</v>
      </c>
      <c r="G19638" t="str">
        <f>""</f>
        <v/>
      </c>
    </row>
    <row r="19639" spans="1:7" x14ac:dyDescent="0.25">
      <c r="A19639" t="s">
        <v>8</v>
      </c>
      <c r="B19639" s="1" t="str">
        <f>"000311745 - RICH FOODS-ARAMARK"</f>
        <v>000311745 - RICH FOODS-ARAMARK</v>
      </c>
      <c r="C19639" t="s">
        <v>534</v>
      </c>
      <c r="D19639" s="1" t="str">
        <f t="shared" si="524"/>
        <v>PRG-1046884</v>
      </c>
      <c r="E19639" t="s">
        <v>127</v>
      </c>
      <c r="F19639" t="s">
        <v>4</v>
      </c>
      <c r="G19639" t="str">
        <f>""</f>
        <v/>
      </c>
    </row>
    <row r="19640" spans="1:7" x14ac:dyDescent="0.25">
      <c r="A19640" t="s">
        <v>8</v>
      </c>
      <c r="B19640" s="1" t="str">
        <f>"000312623 - RICH FOODS-ARAMARK"</f>
        <v>000312623 - RICH FOODS-ARAMARK</v>
      </c>
      <c r="C19640" t="s">
        <v>534</v>
      </c>
      <c r="D19640" s="1" t="str">
        <f t="shared" si="524"/>
        <v>PRG-1046884</v>
      </c>
      <c r="E19640" t="s">
        <v>127</v>
      </c>
      <c r="F19640" t="s">
        <v>4</v>
      </c>
      <c r="G19640" t="str">
        <f>""</f>
        <v/>
      </c>
    </row>
    <row r="19641" spans="1:7" x14ac:dyDescent="0.25">
      <c r="A19641" t="s">
        <v>8</v>
      </c>
      <c r="B19641" s="1" t="str">
        <f>"000313097 - RICH FOODS-ARAMARK MAIN"</f>
        <v>000313097 - RICH FOODS-ARAMARK MAIN</v>
      </c>
      <c r="C19641" t="s">
        <v>574</v>
      </c>
      <c r="D19641" s="1" t="str">
        <f t="shared" si="524"/>
        <v>PRG-1046884</v>
      </c>
      <c r="E19641" t="s">
        <v>127</v>
      </c>
      <c r="F19641" t="s">
        <v>4</v>
      </c>
      <c r="G19641" t="str">
        <f>""</f>
        <v/>
      </c>
    </row>
    <row r="19642" spans="1:7" x14ac:dyDescent="0.25">
      <c r="A19642" t="s">
        <v>8</v>
      </c>
      <c r="B19642" s="1" t="str">
        <f>"000314033 - RICH FOODS-MAIN ARAMARK"</f>
        <v>000314033 - RICH FOODS-MAIN ARAMARK</v>
      </c>
      <c r="C19642" t="s">
        <v>126</v>
      </c>
      <c r="D19642" s="1" t="str">
        <f t="shared" si="524"/>
        <v>PRG-1046884</v>
      </c>
      <c r="E19642" t="s">
        <v>127</v>
      </c>
      <c r="F19642" t="s">
        <v>4</v>
      </c>
      <c r="G19642" t="str">
        <f>""</f>
        <v/>
      </c>
    </row>
    <row r="19643" spans="1:7" x14ac:dyDescent="0.25">
      <c r="A19643" t="s">
        <v>8</v>
      </c>
      <c r="B19643" s="1" t="str">
        <f>"000314725 - RICH FDS NCORE BB-MAIN ARAMARK"</f>
        <v>000314725 - RICH FDS NCORE BB-MAIN ARAMARK</v>
      </c>
      <c r="C19643" t="s">
        <v>194</v>
      </c>
      <c r="D19643" s="1" t="str">
        <f t="shared" si="524"/>
        <v>PRG-1046884</v>
      </c>
      <c r="E19643" t="s">
        <v>127</v>
      </c>
      <c r="F19643" t="s">
        <v>4</v>
      </c>
      <c r="G19643" t="str">
        <f>""</f>
        <v/>
      </c>
    </row>
    <row r="19644" spans="1:7" x14ac:dyDescent="0.25">
      <c r="A19644" t="s">
        <v>8</v>
      </c>
      <c r="B19644" s="1" t="str">
        <f>"000314726 - RICH FDS CORE BB-MAIN ARAMARK"</f>
        <v>000314726 - RICH FDS CORE BB-MAIN ARAMARK</v>
      </c>
      <c r="C19644" t="s">
        <v>196</v>
      </c>
      <c r="D19644" s="1" t="str">
        <f t="shared" si="524"/>
        <v>PRG-1046884</v>
      </c>
      <c r="E19644" t="s">
        <v>127</v>
      </c>
      <c r="F19644" t="s">
        <v>4</v>
      </c>
      <c r="G19644" t="str">
        <f>""</f>
        <v/>
      </c>
    </row>
    <row r="19645" spans="1:7" x14ac:dyDescent="0.25">
      <c r="A19645" t="s">
        <v>8</v>
      </c>
      <c r="B19645" s="1" t="str">
        <f>"000315890 - CASA DIBERTACCHI-MAIN ARAMARK"</f>
        <v>000315890 - CASA DIBERTACCHI-MAIN ARAMARK</v>
      </c>
      <c r="C19645" t="s">
        <v>148</v>
      </c>
      <c r="D19645" s="1" t="str">
        <f t="shared" si="524"/>
        <v>PRG-1046884</v>
      </c>
      <c r="E19645" t="s">
        <v>127</v>
      </c>
      <c r="F19645" t="s">
        <v>4</v>
      </c>
      <c r="G19645" t="str">
        <f>""</f>
        <v/>
      </c>
    </row>
    <row r="19646" spans="1:7" x14ac:dyDescent="0.25">
      <c r="A19646" t="s">
        <v>8</v>
      </c>
      <c r="B19646" s="1" t="str">
        <f>"000316825 - RICH FOODS-ARAMARK MAIN"</f>
        <v>000316825 - RICH FOODS-ARAMARK MAIN</v>
      </c>
      <c r="C19646" t="s">
        <v>574</v>
      </c>
      <c r="D19646" s="1" t="str">
        <f t="shared" si="524"/>
        <v>PRG-1046884</v>
      </c>
      <c r="E19646" t="s">
        <v>127</v>
      </c>
      <c r="F19646" t="s">
        <v>4</v>
      </c>
      <c r="G19646" t="str">
        <f>""</f>
        <v/>
      </c>
    </row>
    <row r="19647" spans="1:7" x14ac:dyDescent="0.25">
      <c r="A19647" t="s">
        <v>8</v>
      </c>
      <c r="B19647" s="1" t="str">
        <f>"000317225 - RICH FOODS-ARAMARK"</f>
        <v>000317225 - RICH FOODS-ARAMARK</v>
      </c>
      <c r="C19647" t="s">
        <v>534</v>
      </c>
      <c r="D19647" s="1" t="str">
        <f t="shared" si="524"/>
        <v>PRG-1046884</v>
      </c>
      <c r="E19647" t="s">
        <v>127</v>
      </c>
      <c r="F19647" t="s">
        <v>4</v>
      </c>
      <c r="G19647" t="str">
        <f>""</f>
        <v/>
      </c>
    </row>
    <row r="19648" spans="1:7" x14ac:dyDescent="0.25">
      <c r="A19648" t="s">
        <v>8</v>
      </c>
      <c r="B19648" s="1" t="str">
        <f>"000317603 - RICH FOODS-ARAMARK"</f>
        <v>000317603 - RICH FOODS-ARAMARK</v>
      </c>
      <c r="C19648" t="s">
        <v>534</v>
      </c>
      <c r="D19648" s="1" t="str">
        <f t="shared" si="524"/>
        <v>PRG-1046884</v>
      </c>
      <c r="E19648" t="s">
        <v>127</v>
      </c>
      <c r="F19648" t="s">
        <v>4</v>
      </c>
      <c r="G19648" t="str">
        <f>""</f>
        <v/>
      </c>
    </row>
    <row r="19649" spans="1:7" x14ac:dyDescent="0.25">
      <c r="A19649" t="s">
        <v>8</v>
      </c>
      <c r="B19649" s="1" t="str">
        <f>"000317610 - RICH FOODS-MAIN ARAMARK"</f>
        <v>000317610 - RICH FOODS-MAIN ARAMARK</v>
      </c>
      <c r="C19649" t="s">
        <v>126</v>
      </c>
      <c r="D19649" s="1" t="str">
        <f t="shared" si="524"/>
        <v>PRG-1046884</v>
      </c>
      <c r="E19649" t="s">
        <v>127</v>
      </c>
      <c r="F19649" t="s">
        <v>4</v>
      </c>
      <c r="G19649" t="str">
        <f>""</f>
        <v/>
      </c>
    </row>
    <row r="19650" spans="1:7" x14ac:dyDescent="0.25">
      <c r="A19650" t="s">
        <v>8</v>
      </c>
      <c r="B19650" s="1" t="str">
        <f>"000317742 - RICH FOODS BAPA-MAIN ARAMARK"</f>
        <v>000317742 - RICH FOODS BAPA-MAIN ARAMARK</v>
      </c>
      <c r="C19650" t="s">
        <v>320</v>
      </c>
      <c r="D19650" s="1" t="str">
        <f t="shared" si="524"/>
        <v>PRG-1046884</v>
      </c>
      <c r="E19650" t="s">
        <v>127</v>
      </c>
      <c r="F19650" t="s">
        <v>4</v>
      </c>
      <c r="G19650" t="str">
        <f>""</f>
        <v/>
      </c>
    </row>
    <row r="19651" spans="1:7" x14ac:dyDescent="0.25">
      <c r="A19651" t="s">
        <v>8</v>
      </c>
      <c r="B19651" s="1" t="str">
        <f>"000318104 - RICH FOODS-ARAMARK"</f>
        <v>000318104 - RICH FOODS-ARAMARK</v>
      </c>
      <c r="C19651" t="s">
        <v>534</v>
      </c>
      <c r="D19651" s="1" t="str">
        <f t="shared" si="524"/>
        <v>PRG-1046884</v>
      </c>
      <c r="E19651" t="s">
        <v>127</v>
      </c>
      <c r="F19651" t="s">
        <v>4</v>
      </c>
      <c r="G19651" t="str">
        <f>""</f>
        <v/>
      </c>
    </row>
    <row r="19652" spans="1:7" x14ac:dyDescent="0.25">
      <c r="A19652" t="s">
        <v>8</v>
      </c>
      <c r="B19652" s="1" t="str">
        <f>"000318273 - RICH FOODS-MAIN ARAMARK"</f>
        <v>000318273 - RICH FOODS-MAIN ARAMARK</v>
      </c>
      <c r="C19652" t="s">
        <v>126</v>
      </c>
      <c r="D19652" s="1" t="str">
        <f t="shared" si="524"/>
        <v>PRG-1046884</v>
      </c>
      <c r="E19652" t="s">
        <v>127</v>
      </c>
      <c r="F19652" t="s">
        <v>4</v>
      </c>
      <c r="G19652" t="str">
        <f>""</f>
        <v/>
      </c>
    </row>
    <row r="19653" spans="1:7" x14ac:dyDescent="0.25">
      <c r="A19653" t="s">
        <v>8</v>
      </c>
      <c r="B19653" s="1" t="str">
        <f>"000319137 - RICH FOODS-MAIN ARAMARK"</f>
        <v>000319137 - RICH FOODS-MAIN ARAMARK</v>
      </c>
      <c r="C19653" t="s">
        <v>126</v>
      </c>
      <c r="D19653" s="1" t="str">
        <f t="shared" si="524"/>
        <v>PRG-1046884</v>
      </c>
      <c r="E19653" t="s">
        <v>127</v>
      </c>
      <c r="F19653" t="s">
        <v>4</v>
      </c>
      <c r="G19653" t="str">
        <f>""</f>
        <v/>
      </c>
    </row>
    <row r="19654" spans="1:7" x14ac:dyDescent="0.25">
      <c r="A19654" t="s">
        <v>8</v>
      </c>
      <c r="B19654" s="1" t="str">
        <f>"000319181 - RICH FOODS-MAIN ARAMARK"</f>
        <v>000319181 - RICH FOODS-MAIN ARAMARK</v>
      </c>
      <c r="C19654" t="s">
        <v>126</v>
      </c>
      <c r="D19654" s="1" t="str">
        <f t="shared" si="524"/>
        <v>PRG-1046884</v>
      </c>
      <c r="E19654" t="s">
        <v>127</v>
      </c>
      <c r="F19654" t="s">
        <v>4</v>
      </c>
      <c r="G19654" t="str">
        <f>""</f>
        <v/>
      </c>
    </row>
    <row r="19655" spans="1:7" x14ac:dyDescent="0.25">
      <c r="A19655" t="s">
        <v>8</v>
      </c>
      <c r="B19655" s="1" t="str">
        <f>"000319307 - RICH FOODS-ARAMARK"</f>
        <v>000319307 - RICH FOODS-ARAMARK</v>
      </c>
      <c r="C19655" t="s">
        <v>534</v>
      </c>
      <c r="D19655" s="1" t="str">
        <f t="shared" si="524"/>
        <v>PRG-1046884</v>
      </c>
      <c r="E19655" t="s">
        <v>127</v>
      </c>
      <c r="F19655" t="s">
        <v>4</v>
      </c>
      <c r="G19655" t="str">
        <f>""</f>
        <v/>
      </c>
    </row>
    <row r="19656" spans="1:7" x14ac:dyDescent="0.25">
      <c r="A19656" t="s">
        <v>8</v>
      </c>
      <c r="B19656" s="1" t="str">
        <f>"000319604 - RICH FOODS BAPA-MAIN ARAMARK"</f>
        <v>000319604 - RICH FOODS BAPA-MAIN ARAMARK</v>
      </c>
      <c r="C19656" t="s">
        <v>320</v>
      </c>
      <c r="D19656" s="1" t="str">
        <f t="shared" si="524"/>
        <v>PRG-1046884</v>
      </c>
      <c r="E19656" t="s">
        <v>127</v>
      </c>
      <c r="F19656" t="s">
        <v>4</v>
      </c>
      <c r="G19656" t="str">
        <f>""</f>
        <v/>
      </c>
    </row>
    <row r="19657" spans="1:7" x14ac:dyDescent="0.25">
      <c r="A19657" t="s">
        <v>8</v>
      </c>
      <c r="B19657" s="1" t="str">
        <f>"000319716 - RICH FOODS BAPA-MAIN ARAMARK"</f>
        <v>000319716 - RICH FOODS BAPA-MAIN ARAMARK</v>
      </c>
      <c r="C19657" t="s">
        <v>320</v>
      </c>
      <c r="D19657" s="1" t="str">
        <f t="shared" si="524"/>
        <v>PRG-1046884</v>
      </c>
      <c r="E19657" t="s">
        <v>127</v>
      </c>
      <c r="F19657" t="s">
        <v>4</v>
      </c>
      <c r="G19657" t="str">
        <f>""</f>
        <v/>
      </c>
    </row>
    <row r="19658" spans="1:7" x14ac:dyDescent="0.25">
      <c r="A19658" t="s">
        <v>8</v>
      </c>
      <c r="B19658" s="1" t="str">
        <f>"000321254 - RICH FOODS-ARAMARK"</f>
        <v>000321254 - RICH FOODS-ARAMARK</v>
      </c>
      <c r="C19658" t="s">
        <v>534</v>
      </c>
      <c r="D19658" s="1" t="str">
        <f t="shared" si="524"/>
        <v>PRG-1046884</v>
      </c>
      <c r="E19658" t="s">
        <v>127</v>
      </c>
      <c r="F19658" t="s">
        <v>4</v>
      </c>
      <c r="G19658" t="str">
        <f>""</f>
        <v/>
      </c>
    </row>
    <row r="19659" spans="1:7" x14ac:dyDescent="0.25">
      <c r="A19659" t="s">
        <v>8</v>
      </c>
      <c r="B19659" s="1" t="str">
        <f>"000321589 - RICH FDS NCORE BB-MAIN ARAMARK"</f>
        <v>000321589 - RICH FDS NCORE BB-MAIN ARAMARK</v>
      </c>
      <c r="C19659" t="s">
        <v>194</v>
      </c>
      <c r="D19659" s="1" t="str">
        <f t="shared" si="524"/>
        <v>PRG-1046884</v>
      </c>
      <c r="E19659" t="s">
        <v>127</v>
      </c>
      <c r="F19659" t="s">
        <v>4</v>
      </c>
      <c r="G19659" t="str">
        <f>""</f>
        <v/>
      </c>
    </row>
    <row r="19660" spans="1:7" x14ac:dyDescent="0.25">
      <c r="A19660" t="s">
        <v>8</v>
      </c>
      <c r="B19660" s="1" t="str">
        <f>"000321685 - RICH FOODS-ARAMARK MAIN"</f>
        <v>000321685 - RICH FOODS-ARAMARK MAIN</v>
      </c>
      <c r="C19660" t="s">
        <v>574</v>
      </c>
      <c r="D19660" s="1" t="str">
        <f t="shared" si="524"/>
        <v>PRG-1046884</v>
      </c>
      <c r="E19660" t="s">
        <v>127</v>
      </c>
      <c r="F19660" t="s">
        <v>4</v>
      </c>
      <c r="G19660" t="str">
        <f>""</f>
        <v/>
      </c>
    </row>
    <row r="19661" spans="1:7" x14ac:dyDescent="0.25">
      <c r="A19661" t="s">
        <v>8</v>
      </c>
      <c r="B19661" s="1" t="str">
        <f>"000322025 - RICH FOODS-ARAMARK"</f>
        <v>000322025 - RICH FOODS-ARAMARK</v>
      </c>
      <c r="C19661" t="s">
        <v>534</v>
      </c>
      <c r="D19661" s="1" t="str">
        <f t="shared" si="524"/>
        <v>PRG-1046884</v>
      </c>
      <c r="E19661" t="s">
        <v>127</v>
      </c>
      <c r="F19661" t="s">
        <v>4</v>
      </c>
      <c r="G19661" t="str">
        <f>""</f>
        <v/>
      </c>
    </row>
    <row r="19662" spans="1:7" x14ac:dyDescent="0.25">
      <c r="A19662" t="s">
        <v>8</v>
      </c>
      <c r="B19662" s="1" t="str">
        <f>"000322046 - RICH FOODS-ARAMARK"</f>
        <v>000322046 - RICH FOODS-ARAMARK</v>
      </c>
      <c r="C19662" t="s">
        <v>534</v>
      </c>
      <c r="D19662" s="1" t="str">
        <f t="shared" si="524"/>
        <v>PRG-1046884</v>
      </c>
      <c r="E19662" t="s">
        <v>127</v>
      </c>
      <c r="F19662" t="s">
        <v>4</v>
      </c>
      <c r="G19662" t="str">
        <f>""</f>
        <v/>
      </c>
    </row>
    <row r="19663" spans="1:7" x14ac:dyDescent="0.25">
      <c r="A19663" t="s">
        <v>8</v>
      </c>
      <c r="B19663" s="1" t="str">
        <f>"000323198 - RICH FDS CORE BB MAIN ARAMARK"</f>
        <v>000323198 - RICH FDS CORE BB MAIN ARAMARK</v>
      </c>
      <c r="C19663" t="s">
        <v>640</v>
      </c>
      <c r="D19663" s="1" t="str">
        <f t="shared" si="524"/>
        <v>PRG-1046884</v>
      </c>
      <c r="E19663" t="s">
        <v>127</v>
      </c>
      <c r="F19663" t="s">
        <v>4</v>
      </c>
      <c r="G19663" t="str">
        <f>""</f>
        <v/>
      </c>
    </row>
    <row r="19664" spans="1:7" x14ac:dyDescent="0.25">
      <c r="A19664" t="s">
        <v>8</v>
      </c>
      <c r="B19664" s="1" t="str">
        <f>"000323199 - RICH NCORE BB MAIN ARAMARK"</f>
        <v>000323199 - RICH NCORE BB MAIN ARAMARK</v>
      </c>
      <c r="C19664" t="s">
        <v>3264</v>
      </c>
      <c r="D19664" s="1" t="str">
        <f t="shared" si="524"/>
        <v>PRG-1046884</v>
      </c>
      <c r="E19664" t="s">
        <v>127</v>
      </c>
      <c r="F19664" t="s">
        <v>4</v>
      </c>
      <c r="G19664" t="str">
        <f>""</f>
        <v/>
      </c>
    </row>
    <row r="19665" spans="1:7" x14ac:dyDescent="0.25">
      <c r="A19665" t="s">
        <v>8</v>
      </c>
      <c r="B19665" s="1" t="str">
        <f>"000323382 - RICH FOODS-ARAMARK MAIN"</f>
        <v>000323382 - RICH FOODS-ARAMARK MAIN</v>
      </c>
      <c r="C19665" t="s">
        <v>574</v>
      </c>
      <c r="D19665" s="1" t="str">
        <f t="shared" si="524"/>
        <v>PRG-1046884</v>
      </c>
      <c r="E19665" t="s">
        <v>127</v>
      </c>
      <c r="F19665" t="s">
        <v>4</v>
      </c>
      <c r="G19665" t="str">
        <f>""</f>
        <v/>
      </c>
    </row>
    <row r="19666" spans="1:7" x14ac:dyDescent="0.25">
      <c r="A19666" t="s">
        <v>8</v>
      </c>
      <c r="B19666" s="1" t="str">
        <f>"000323506 - RICH FOODS-MAIN ARAMARK"</f>
        <v>000323506 - RICH FOODS-MAIN ARAMARK</v>
      </c>
      <c r="C19666" t="s">
        <v>126</v>
      </c>
      <c r="D19666" s="1" t="str">
        <f t="shared" si="524"/>
        <v>PRG-1046884</v>
      </c>
      <c r="E19666" t="s">
        <v>127</v>
      </c>
      <c r="F19666" t="s">
        <v>4</v>
      </c>
      <c r="G19666" t="str">
        <f>""</f>
        <v/>
      </c>
    </row>
    <row r="19667" spans="1:7" x14ac:dyDescent="0.25">
      <c r="A19667" t="s">
        <v>8</v>
      </c>
      <c r="B19667" s="1" t="str">
        <f>"000324484 - RICH FOODS-ARAMARK MAIN"</f>
        <v>000324484 - RICH FOODS-ARAMARK MAIN</v>
      </c>
      <c r="C19667" t="s">
        <v>574</v>
      </c>
      <c r="D19667" s="1" t="str">
        <f t="shared" si="524"/>
        <v>PRG-1046884</v>
      </c>
      <c r="E19667" t="s">
        <v>127</v>
      </c>
      <c r="F19667" t="s">
        <v>4</v>
      </c>
      <c r="G19667" t="str">
        <f>""</f>
        <v/>
      </c>
    </row>
    <row r="19668" spans="1:7" x14ac:dyDescent="0.25">
      <c r="A19668" t="s">
        <v>8</v>
      </c>
      <c r="B19668" s="1" t="str">
        <f>"000324514 - RICH FOODS BAPA-MAIN ARAMARK"</f>
        <v>000324514 - RICH FOODS BAPA-MAIN ARAMARK</v>
      </c>
      <c r="C19668" t="s">
        <v>320</v>
      </c>
      <c r="D19668" s="1" t="str">
        <f t="shared" si="524"/>
        <v>PRG-1046884</v>
      </c>
      <c r="E19668" t="s">
        <v>127</v>
      </c>
      <c r="F19668" t="s">
        <v>4</v>
      </c>
      <c r="G19668" t="str">
        <f>""</f>
        <v/>
      </c>
    </row>
    <row r="19669" spans="1:7" x14ac:dyDescent="0.25">
      <c r="A19669" t="s">
        <v>8</v>
      </c>
      <c r="B19669" s="1" t="str">
        <f>"000324846 - RICH FDS CORE BB-MAIN ARAMARK"</f>
        <v>000324846 - RICH FDS CORE BB-MAIN ARAMARK</v>
      </c>
      <c r="C19669" t="s">
        <v>196</v>
      </c>
      <c r="D19669" s="1" t="str">
        <f t="shared" si="524"/>
        <v>PRG-1046884</v>
      </c>
      <c r="E19669" t="s">
        <v>127</v>
      </c>
      <c r="F19669" t="s">
        <v>4</v>
      </c>
      <c r="G19669" t="str">
        <f>""</f>
        <v/>
      </c>
    </row>
    <row r="19670" spans="1:7" x14ac:dyDescent="0.25">
      <c r="A19670" t="s">
        <v>8</v>
      </c>
      <c r="B19670" s="1" t="str">
        <f>"000324850 - RICH FDS NCORE BB-MAIN ARAMARK"</f>
        <v>000324850 - RICH FDS NCORE BB-MAIN ARAMARK</v>
      </c>
      <c r="C19670" t="s">
        <v>194</v>
      </c>
      <c r="D19670" s="1" t="str">
        <f t="shared" si="524"/>
        <v>PRG-1046884</v>
      </c>
      <c r="E19670" t="s">
        <v>127</v>
      </c>
      <c r="F19670" t="s">
        <v>4</v>
      </c>
      <c r="G19670" t="str">
        <f>""</f>
        <v/>
      </c>
    </row>
    <row r="19671" spans="1:7" x14ac:dyDescent="0.25">
      <c r="A19671" t="s">
        <v>8</v>
      </c>
      <c r="B19671" s="1" t="str">
        <f>"000325000 - RICH FOODS-ARAMARK"</f>
        <v>000325000 - RICH FOODS-ARAMARK</v>
      </c>
      <c r="C19671" t="s">
        <v>534</v>
      </c>
      <c r="D19671" s="1" t="str">
        <f t="shared" si="524"/>
        <v>PRG-1046884</v>
      </c>
      <c r="E19671" t="s">
        <v>127</v>
      </c>
      <c r="F19671" t="s">
        <v>4</v>
      </c>
      <c r="G19671" t="str">
        <f>""</f>
        <v/>
      </c>
    </row>
    <row r="19672" spans="1:7" x14ac:dyDescent="0.25">
      <c r="A19672" t="s">
        <v>8</v>
      </c>
      <c r="B19672" s="1" t="str">
        <f>"000325385 - RICH FOODS-ARAMARK MAIN"</f>
        <v>000325385 - RICH FOODS-ARAMARK MAIN</v>
      </c>
      <c r="C19672" t="s">
        <v>574</v>
      </c>
      <c r="D19672" s="1" t="str">
        <f t="shared" si="524"/>
        <v>PRG-1046884</v>
      </c>
      <c r="E19672" t="s">
        <v>127</v>
      </c>
      <c r="F19672" t="s">
        <v>4</v>
      </c>
      <c r="G19672" t="str">
        <f>""</f>
        <v/>
      </c>
    </row>
    <row r="19673" spans="1:7" x14ac:dyDescent="0.25">
      <c r="A19673" t="s">
        <v>8</v>
      </c>
      <c r="B19673" s="1" t="str">
        <f>"000325611 - RICH FOODS BAPA-MAIN ARAMARK"</f>
        <v>000325611 - RICH FOODS BAPA-MAIN ARAMARK</v>
      </c>
      <c r="C19673" t="s">
        <v>320</v>
      </c>
      <c r="D19673" s="1" t="str">
        <f t="shared" si="524"/>
        <v>PRG-1046884</v>
      </c>
      <c r="E19673" t="s">
        <v>127</v>
      </c>
      <c r="F19673" t="s">
        <v>4</v>
      </c>
      <c r="G19673" t="str">
        <f>""</f>
        <v/>
      </c>
    </row>
    <row r="19674" spans="1:7" x14ac:dyDescent="0.25">
      <c r="A19674" t="s">
        <v>8</v>
      </c>
      <c r="B19674" s="1" t="str">
        <f>"000325857 - RICH FOODS BAPA-MAIN ARAMARK"</f>
        <v>000325857 - RICH FOODS BAPA-MAIN ARAMARK</v>
      </c>
      <c r="C19674" t="s">
        <v>320</v>
      </c>
      <c r="D19674" s="1" t="str">
        <f t="shared" si="524"/>
        <v>PRG-1046884</v>
      </c>
      <c r="E19674" t="s">
        <v>127</v>
      </c>
      <c r="F19674" t="s">
        <v>4</v>
      </c>
      <c r="G19674" t="str">
        <f>""</f>
        <v/>
      </c>
    </row>
    <row r="19675" spans="1:7" x14ac:dyDescent="0.25">
      <c r="A19675" t="s">
        <v>8</v>
      </c>
      <c r="B19675" s="1" t="str">
        <f>"000326100 - RICH FOODS-ARAMARK"</f>
        <v>000326100 - RICH FOODS-ARAMARK</v>
      </c>
      <c r="C19675" t="s">
        <v>534</v>
      </c>
      <c r="D19675" s="1" t="str">
        <f t="shared" si="524"/>
        <v>PRG-1046884</v>
      </c>
      <c r="E19675" t="s">
        <v>127</v>
      </c>
      <c r="F19675" t="s">
        <v>4</v>
      </c>
      <c r="G19675" t="str">
        <f>""</f>
        <v/>
      </c>
    </row>
    <row r="19676" spans="1:7" x14ac:dyDescent="0.25">
      <c r="A19676" t="s">
        <v>8</v>
      </c>
      <c r="B19676" s="1" t="str">
        <f>"000326210 - RICH FOODS-ARAMARK"</f>
        <v>000326210 - RICH FOODS-ARAMARK</v>
      </c>
      <c r="C19676" t="s">
        <v>534</v>
      </c>
      <c r="D19676" s="1" t="str">
        <f t="shared" si="524"/>
        <v>PRG-1046884</v>
      </c>
      <c r="E19676" t="s">
        <v>127</v>
      </c>
      <c r="F19676" t="s">
        <v>4</v>
      </c>
      <c r="G19676" t="str">
        <f>""</f>
        <v/>
      </c>
    </row>
    <row r="19677" spans="1:7" x14ac:dyDescent="0.25">
      <c r="A19677" t="s">
        <v>8</v>
      </c>
      <c r="B19677" s="1" t="str">
        <f>"000327110 - RICH FOODS-ARAMARK MAIN"</f>
        <v>000327110 - RICH FOODS-ARAMARK MAIN</v>
      </c>
      <c r="C19677" t="s">
        <v>574</v>
      </c>
      <c r="D19677" s="1" t="str">
        <f t="shared" si="524"/>
        <v>PRG-1046884</v>
      </c>
      <c r="E19677" t="s">
        <v>127</v>
      </c>
      <c r="F19677" t="s">
        <v>4</v>
      </c>
      <c r="G19677" t="str">
        <f>""</f>
        <v/>
      </c>
    </row>
    <row r="19678" spans="1:7" x14ac:dyDescent="0.25">
      <c r="A19678" t="s">
        <v>8</v>
      </c>
      <c r="B19678" s="1" t="str">
        <f>"000327119 - RICH FOODS-ARAMARK"</f>
        <v>000327119 - RICH FOODS-ARAMARK</v>
      </c>
      <c r="C19678" t="s">
        <v>534</v>
      </c>
      <c r="D19678" s="1" t="str">
        <f t="shared" si="524"/>
        <v>PRG-1046884</v>
      </c>
      <c r="E19678" t="s">
        <v>127</v>
      </c>
      <c r="F19678" t="s">
        <v>4</v>
      </c>
      <c r="G19678" t="str">
        <f>""</f>
        <v/>
      </c>
    </row>
    <row r="19679" spans="1:7" x14ac:dyDescent="0.25">
      <c r="A19679" t="s">
        <v>8</v>
      </c>
      <c r="B19679" s="1" t="str">
        <f>"000327435 - RICH FOODS BAPA-MAIN ARAMARK"</f>
        <v>000327435 - RICH FOODS BAPA-MAIN ARAMARK</v>
      </c>
      <c r="C19679" t="s">
        <v>320</v>
      </c>
      <c r="D19679" s="1" t="str">
        <f t="shared" si="524"/>
        <v>PRG-1046884</v>
      </c>
      <c r="E19679" t="s">
        <v>127</v>
      </c>
      <c r="F19679" t="s">
        <v>4</v>
      </c>
      <c r="G19679" t="str">
        <f>""</f>
        <v/>
      </c>
    </row>
    <row r="19680" spans="1:7" x14ac:dyDescent="0.25">
      <c r="A19680" t="s">
        <v>8</v>
      </c>
      <c r="B19680" s="1" t="str">
        <f>"000327821 - RICH FOODS-MAIN ARAMARK"</f>
        <v>000327821 - RICH FOODS-MAIN ARAMARK</v>
      </c>
      <c r="C19680" t="s">
        <v>126</v>
      </c>
      <c r="D19680" s="1" t="str">
        <f t="shared" si="524"/>
        <v>PRG-1046884</v>
      </c>
      <c r="E19680" t="s">
        <v>127</v>
      </c>
      <c r="F19680" t="s">
        <v>4</v>
      </c>
      <c r="G19680" t="str">
        <f>""</f>
        <v/>
      </c>
    </row>
    <row r="19681" spans="1:7" x14ac:dyDescent="0.25">
      <c r="A19681" t="s">
        <v>8</v>
      </c>
      <c r="B19681" s="1" t="str">
        <f>"000329648 - RICH FDS NCORE BB-MAIN ARAMARK"</f>
        <v>000329648 - RICH FDS NCORE BB-MAIN ARAMARK</v>
      </c>
      <c r="C19681" t="s">
        <v>194</v>
      </c>
      <c r="D19681" s="1" t="str">
        <f t="shared" si="524"/>
        <v>PRG-1046884</v>
      </c>
      <c r="E19681" t="s">
        <v>127</v>
      </c>
      <c r="F19681" t="s">
        <v>4</v>
      </c>
      <c r="G19681" t="str">
        <f>""</f>
        <v/>
      </c>
    </row>
    <row r="19682" spans="1:7" x14ac:dyDescent="0.25">
      <c r="A19682" t="s">
        <v>8</v>
      </c>
      <c r="B19682" s="1" t="str">
        <f>"000329649 - RICH FDS CORE BB-MAIN ARAMARK"</f>
        <v>000329649 - RICH FDS CORE BB-MAIN ARAMARK</v>
      </c>
      <c r="C19682" t="s">
        <v>196</v>
      </c>
      <c r="D19682" s="1" t="str">
        <f t="shared" si="524"/>
        <v>PRG-1046884</v>
      </c>
      <c r="E19682" t="s">
        <v>127</v>
      </c>
      <c r="F19682" t="s">
        <v>4</v>
      </c>
      <c r="G19682" t="str">
        <f>""</f>
        <v/>
      </c>
    </row>
    <row r="19683" spans="1:7" x14ac:dyDescent="0.25">
      <c r="A19683" t="s">
        <v>8</v>
      </c>
      <c r="B19683" s="1" t="str">
        <f>"000329781 - RICH FOODS BAPA-MAIN ARAMARK"</f>
        <v>000329781 - RICH FOODS BAPA-MAIN ARAMARK</v>
      </c>
      <c r="C19683" t="s">
        <v>320</v>
      </c>
      <c r="D19683" s="1" t="str">
        <f t="shared" si="524"/>
        <v>PRG-1046884</v>
      </c>
      <c r="E19683" t="s">
        <v>127</v>
      </c>
      <c r="F19683" t="s">
        <v>4</v>
      </c>
      <c r="G19683" t="str">
        <f>""</f>
        <v/>
      </c>
    </row>
    <row r="19684" spans="1:7" x14ac:dyDescent="0.25">
      <c r="A19684" t="s">
        <v>8</v>
      </c>
      <c r="B19684" s="1" t="str">
        <f>"000330831 - RICH FOODS BAPA-MAIN ARAMARK"</f>
        <v>000330831 - RICH FOODS BAPA-MAIN ARAMARK</v>
      </c>
      <c r="C19684" t="s">
        <v>320</v>
      </c>
      <c r="D19684" s="1" t="str">
        <f t="shared" si="524"/>
        <v>PRG-1046884</v>
      </c>
      <c r="E19684" t="s">
        <v>127</v>
      </c>
      <c r="F19684" t="s">
        <v>4</v>
      </c>
      <c r="G19684" t="str">
        <f>""</f>
        <v/>
      </c>
    </row>
    <row r="19685" spans="1:7" x14ac:dyDescent="0.25">
      <c r="A19685" t="s">
        <v>8</v>
      </c>
      <c r="B19685" s="1" t="str">
        <f>"000331146 - RICH FOODS-ARAMARK MAIN"</f>
        <v>000331146 - RICH FOODS-ARAMARK MAIN</v>
      </c>
      <c r="C19685" t="s">
        <v>574</v>
      </c>
      <c r="D19685" s="1" t="str">
        <f t="shared" si="524"/>
        <v>PRG-1046884</v>
      </c>
      <c r="E19685" t="s">
        <v>127</v>
      </c>
      <c r="F19685" t="s">
        <v>4</v>
      </c>
      <c r="G19685" t="str">
        <f>""</f>
        <v/>
      </c>
    </row>
    <row r="19686" spans="1:7" x14ac:dyDescent="0.25">
      <c r="A19686" t="s">
        <v>8</v>
      </c>
      <c r="B19686" s="1" t="str">
        <f>"000331700 - RICH FDS NCORE BB-MAIN ARAMARK"</f>
        <v>000331700 - RICH FDS NCORE BB-MAIN ARAMARK</v>
      </c>
      <c r="C19686" t="s">
        <v>194</v>
      </c>
      <c r="D19686" s="1" t="str">
        <f t="shared" si="524"/>
        <v>PRG-1046884</v>
      </c>
      <c r="E19686" t="s">
        <v>127</v>
      </c>
      <c r="F19686" t="s">
        <v>4</v>
      </c>
      <c r="G19686" t="str">
        <f>""</f>
        <v/>
      </c>
    </row>
    <row r="19687" spans="1:7" x14ac:dyDescent="0.25">
      <c r="A19687" t="s">
        <v>8</v>
      </c>
      <c r="B19687" s="1" t="str">
        <f>"000331701 - RICH FDS CORE BB-MAIN ARAMARK"</f>
        <v>000331701 - RICH FDS CORE BB-MAIN ARAMARK</v>
      </c>
      <c r="C19687" t="s">
        <v>196</v>
      </c>
      <c r="D19687" s="1" t="str">
        <f t="shared" si="524"/>
        <v>PRG-1046884</v>
      </c>
      <c r="E19687" t="s">
        <v>127</v>
      </c>
      <c r="F19687" t="s">
        <v>4</v>
      </c>
      <c r="G19687" t="str">
        <f>""</f>
        <v/>
      </c>
    </row>
    <row r="19688" spans="1:7" x14ac:dyDescent="0.25">
      <c r="A19688" t="s">
        <v>8</v>
      </c>
      <c r="B19688" s="1" t="str">
        <f>"000331722 - RICH FDS NCORE BB-MAIN ARAMARK"</f>
        <v>000331722 - RICH FDS NCORE BB-MAIN ARAMARK</v>
      </c>
      <c r="C19688" t="s">
        <v>194</v>
      </c>
      <c r="D19688" s="1" t="str">
        <f t="shared" ref="D19688:D19751" si="525">"PRG-1046884"</f>
        <v>PRG-1046884</v>
      </c>
      <c r="E19688" t="s">
        <v>127</v>
      </c>
      <c r="F19688" t="s">
        <v>4</v>
      </c>
      <c r="G19688" t="str">
        <f>""</f>
        <v/>
      </c>
    </row>
    <row r="19689" spans="1:7" x14ac:dyDescent="0.25">
      <c r="A19689" t="s">
        <v>8</v>
      </c>
      <c r="B19689" s="1" t="str">
        <f>"000331725 - RICH FDS CORE BB-MAIN ARAMARK"</f>
        <v>000331725 - RICH FDS CORE BB-MAIN ARAMARK</v>
      </c>
      <c r="C19689" t="s">
        <v>196</v>
      </c>
      <c r="D19689" s="1" t="str">
        <f t="shared" si="525"/>
        <v>PRG-1046884</v>
      </c>
      <c r="E19689" t="s">
        <v>127</v>
      </c>
      <c r="F19689" t="s">
        <v>4</v>
      </c>
      <c r="G19689" t="str">
        <f>""</f>
        <v/>
      </c>
    </row>
    <row r="19690" spans="1:7" x14ac:dyDescent="0.25">
      <c r="A19690" t="s">
        <v>8</v>
      </c>
      <c r="B19690" s="1" t="str">
        <f>"000331728 - RICH FDS CORE BB-MAIN ARAMARK"</f>
        <v>000331728 - RICH FDS CORE BB-MAIN ARAMARK</v>
      </c>
      <c r="C19690" t="s">
        <v>196</v>
      </c>
      <c r="D19690" s="1" t="str">
        <f t="shared" si="525"/>
        <v>PRG-1046884</v>
      </c>
      <c r="E19690" t="s">
        <v>127</v>
      </c>
      <c r="F19690" t="s">
        <v>4</v>
      </c>
      <c r="G19690" t="str">
        <f>""</f>
        <v/>
      </c>
    </row>
    <row r="19691" spans="1:7" x14ac:dyDescent="0.25">
      <c r="A19691" t="s">
        <v>8</v>
      </c>
      <c r="B19691" s="1" t="str">
        <f>"000331729 - RICH FDS NCORE BB-MAIN ARAMARK"</f>
        <v>000331729 - RICH FDS NCORE BB-MAIN ARAMARK</v>
      </c>
      <c r="C19691" t="s">
        <v>194</v>
      </c>
      <c r="D19691" s="1" t="str">
        <f t="shared" si="525"/>
        <v>PRG-1046884</v>
      </c>
      <c r="E19691" t="s">
        <v>127</v>
      </c>
      <c r="F19691" t="s">
        <v>4</v>
      </c>
      <c r="G19691" t="str">
        <f>""</f>
        <v/>
      </c>
    </row>
    <row r="19692" spans="1:7" x14ac:dyDescent="0.25">
      <c r="A19692" t="s">
        <v>8</v>
      </c>
      <c r="B19692" s="1" t="str">
        <f>"000332338 - RICH FOODS-ARAMARK MAIN"</f>
        <v>000332338 - RICH FOODS-ARAMARK MAIN</v>
      </c>
      <c r="C19692" t="s">
        <v>574</v>
      </c>
      <c r="D19692" s="1" t="str">
        <f t="shared" si="525"/>
        <v>PRG-1046884</v>
      </c>
      <c r="E19692" t="s">
        <v>127</v>
      </c>
      <c r="F19692" t="s">
        <v>4</v>
      </c>
      <c r="G19692" t="str">
        <f>""</f>
        <v/>
      </c>
    </row>
    <row r="19693" spans="1:7" x14ac:dyDescent="0.25">
      <c r="A19693" t="s">
        <v>8</v>
      </c>
      <c r="B19693" s="1" t="str">
        <f>"000332390 - RICH FOODS-ARAMARK MAIN"</f>
        <v>000332390 - RICH FOODS-ARAMARK MAIN</v>
      </c>
      <c r="C19693" t="s">
        <v>574</v>
      </c>
      <c r="D19693" s="1" t="str">
        <f t="shared" si="525"/>
        <v>PRG-1046884</v>
      </c>
      <c r="E19693" t="s">
        <v>127</v>
      </c>
      <c r="F19693" t="s">
        <v>4</v>
      </c>
      <c r="G19693" t="str">
        <f>""</f>
        <v/>
      </c>
    </row>
    <row r="19694" spans="1:7" x14ac:dyDescent="0.25">
      <c r="A19694" t="s">
        <v>8</v>
      </c>
      <c r="B19694" s="1" t="str">
        <f>"000334133 - RICH FOODS-MAIN ARAMARK"</f>
        <v>000334133 - RICH FOODS-MAIN ARAMARK</v>
      </c>
      <c r="C19694" t="s">
        <v>126</v>
      </c>
      <c r="D19694" s="1" t="str">
        <f t="shared" si="525"/>
        <v>PRG-1046884</v>
      </c>
      <c r="E19694" t="s">
        <v>127</v>
      </c>
      <c r="F19694" t="s">
        <v>4</v>
      </c>
      <c r="G19694" t="str">
        <f>""</f>
        <v/>
      </c>
    </row>
    <row r="19695" spans="1:7" x14ac:dyDescent="0.25">
      <c r="A19695" t="s">
        <v>8</v>
      </c>
      <c r="B19695" s="1" t="str">
        <f>"000334661 - RICH FDS NCORE BB-MAIN ARAMARK"</f>
        <v>000334661 - RICH FDS NCORE BB-MAIN ARAMARK</v>
      </c>
      <c r="C19695" t="s">
        <v>194</v>
      </c>
      <c r="D19695" s="1" t="str">
        <f t="shared" si="525"/>
        <v>PRG-1046884</v>
      </c>
      <c r="E19695" t="s">
        <v>127</v>
      </c>
      <c r="F19695" t="s">
        <v>4</v>
      </c>
      <c r="G19695" t="str">
        <f>""</f>
        <v/>
      </c>
    </row>
    <row r="19696" spans="1:7" x14ac:dyDescent="0.25">
      <c r="A19696" t="s">
        <v>8</v>
      </c>
      <c r="B19696" s="1" t="str">
        <f>"000334662 - RICH FDS CORE BB-MAIN ARAMARK"</f>
        <v>000334662 - RICH FDS CORE BB-MAIN ARAMARK</v>
      </c>
      <c r="C19696" t="s">
        <v>196</v>
      </c>
      <c r="D19696" s="1" t="str">
        <f t="shared" si="525"/>
        <v>PRG-1046884</v>
      </c>
      <c r="E19696" t="s">
        <v>127</v>
      </c>
      <c r="F19696" t="s">
        <v>4</v>
      </c>
      <c r="G19696" t="str">
        <f>""</f>
        <v/>
      </c>
    </row>
    <row r="19697" spans="1:7" x14ac:dyDescent="0.25">
      <c r="A19697" t="s">
        <v>8</v>
      </c>
      <c r="B19697" s="1" t="str">
        <f>"000334806 - RICH'S(NCORE BB)MAIN ARAMARK"</f>
        <v>000334806 - RICH'S(NCORE BB)MAIN ARAMARK</v>
      </c>
      <c r="C19697" t="s">
        <v>3388</v>
      </c>
      <c r="D19697" s="1" t="str">
        <f t="shared" si="525"/>
        <v>PRG-1046884</v>
      </c>
      <c r="E19697" t="s">
        <v>127</v>
      </c>
      <c r="F19697" t="s">
        <v>4</v>
      </c>
      <c r="G19697" t="str">
        <f>""</f>
        <v/>
      </c>
    </row>
    <row r="19698" spans="1:7" x14ac:dyDescent="0.25">
      <c r="A19698" t="s">
        <v>8</v>
      </c>
      <c r="B19698" s="1" t="str">
        <f>"000334807 - RICH(CORE BB)MAIN ARAMARK"</f>
        <v>000334807 - RICH(CORE BB)MAIN ARAMARK</v>
      </c>
      <c r="C19698" t="s">
        <v>3389</v>
      </c>
      <c r="D19698" s="1" t="str">
        <f t="shared" si="525"/>
        <v>PRG-1046884</v>
      </c>
      <c r="E19698" t="s">
        <v>127</v>
      </c>
      <c r="F19698" t="s">
        <v>4</v>
      </c>
      <c r="G19698" t="str">
        <f>""</f>
        <v/>
      </c>
    </row>
    <row r="19699" spans="1:7" x14ac:dyDescent="0.25">
      <c r="A19699" t="s">
        <v>8</v>
      </c>
      <c r="B19699" s="1" t="str">
        <f>"000335031 - RICH FOODS BAPA-MAIN ARAMARK"</f>
        <v>000335031 - RICH FOODS BAPA-MAIN ARAMARK</v>
      </c>
      <c r="C19699" t="s">
        <v>320</v>
      </c>
      <c r="D19699" s="1" t="str">
        <f t="shared" si="525"/>
        <v>PRG-1046884</v>
      </c>
      <c r="E19699" t="s">
        <v>127</v>
      </c>
      <c r="F19699" t="s">
        <v>4</v>
      </c>
      <c r="G19699" t="str">
        <f>""</f>
        <v/>
      </c>
    </row>
    <row r="19700" spans="1:7" x14ac:dyDescent="0.25">
      <c r="A19700" t="s">
        <v>8</v>
      </c>
      <c r="B19700" s="1" t="str">
        <f>"000335299 - RICH FOODS-MAIN ARAMARK"</f>
        <v>000335299 - RICH FOODS-MAIN ARAMARK</v>
      </c>
      <c r="C19700" t="s">
        <v>126</v>
      </c>
      <c r="D19700" s="1" t="str">
        <f t="shared" si="525"/>
        <v>PRG-1046884</v>
      </c>
      <c r="E19700" t="s">
        <v>127</v>
      </c>
      <c r="F19700" t="s">
        <v>4</v>
      </c>
      <c r="G19700" t="str">
        <f>""</f>
        <v/>
      </c>
    </row>
    <row r="19701" spans="1:7" x14ac:dyDescent="0.25">
      <c r="A19701" t="s">
        <v>8</v>
      </c>
      <c r="B19701" s="1" t="str">
        <f>"000335469 - RICH(NCORE BB)MAIN ARAMARK"</f>
        <v>000335469 - RICH(NCORE BB)MAIN ARAMARK</v>
      </c>
      <c r="C19701" t="s">
        <v>3396</v>
      </c>
      <c r="D19701" s="1" t="str">
        <f t="shared" si="525"/>
        <v>PRG-1046884</v>
      </c>
      <c r="E19701" t="s">
        <v>127</v>
      </c>
      <c r="F19701" t="s">
        <v>4</v>
      </c>
      <c r="G19701" t="str">
        <f>""</f>
        <v/>
      </c>
    </row>
    <row r="19702" spans="1:7" x14ac:dyDescent="0.25">
      <c r="A19702" t="s">
        <v>8</v>
      </c>
      <c r="B19702" s="1" t="str">
        <f>"000335470 - RICH( CORE BB)MAIN ARAMARK"</f>
        <v>000335470 - RICH( CORE BB)MAIN ARAMARK</v>
      </c>
      <c r="C19702" t="s">
        <v>3397</v>
      </c>
      <c r="D19702" s="1" t="str">
        <f t="shared" si="525"/>
        <v>PRG-1046884</v>
      </c>
      <c r="E19702" t="s">
        <v>127</v>
      </c>
      <c r="F19702" t="s">
        <v>4</v>
      </c>
      <c r="G19702" t="str">
        <f>""</f>
        <v/>
      </c>
    </row>
    <row r="19703" spans="1:7" x14ac:dyDescent="0.25">
      <c r="A19703" t="s">
        <v>8</v>
      </c>
      <c r="B19703" s="1" t="str">
        <f>"000335969 - CASA DIBERTACCHI-MAIN ARAMARK"</f>
        <v>000335969 - CASA DIBERTACCHI-MAIN ARAMARK</v>
      </c>
      <c r="C19703" t="s">
        <v>148</v>
      </c>
      <c r="D19703" s="1" t="str">
        <f t="shared" si="525"/>
        <v>PRG-1046884</v>
      </c>
      <c r="E19703" t="s">
        <v>127</v>
      </c>
      <c r="F19703" t="s">
        <v>4</v>
      </c>
      <c r="G19703" t="str">
        <f>""</f>
        <v/>
      </c>
    </row>
    <row r="19704" spans="1:7" x14ac:dyDescent="0.25">
      <c r="A19704" t="s">
        <v>8</v>
      </c>
      <c r="B19704" s="1" t="str">
        <f>"000336717 - RICH FOODS BAPA-MAIN ARAMARK"</f>
        <v>000336717 - RICH FOODS BAPA-MAIN ARAMARK</v>
      </c>
      <c r="C19704" t="s">
        <v>320</v>
      </c>
      <c r="D19704" s="1" t="str">
        <f t="shared" si="525"/>
        <v>PRG-1046884</v>
      </c>
      <c r="E19704" t="s">
        <v>127</v>
      </c>
      <c r="F19704" t="s">
        <v>4</v>
      </c>
      <c r="G19704" t="str">
        <f>""</f>
        <v/>
      </c>
    </row>
    <row r="19705" spans="1:7" x14ac:dyDescent="0.25">
      <c r="A19705" t="s">
        <v>8</v>
      </c>
      <c r="B19705" s="1" t="str">
        <f>"000337686 - RICH FDS NCORE BB-MAIN ARAMARK"</f>
        <v>000337686 - RICH FDS NCORE BB-MAIN ARAMARK</v>
      </c>
      <c r="C19705" t="s">
        <v>194</v>
      </c>
      <c r="D19705" s="1" t="str">
        <f t="shared" si="525"/>
        <v>PRG-1046884</v>
      </c>
      <c r="E19705" t="s">
        <v>127</v>
      </c>
      <c r="F19705" t="s">
        <v>4</v>
      </c>
      <c r="G19705" t="str">
        <f>""</f>
        <v/>
      </c>
    </row>
    <row r="19706" spans="1:7" x14ac:dyDescent="0.25">
      <c r="A19706" t="s">
        <v>8</v>
      </c>
      <c r="B19706" s="1" t="str">
        <f>"000337687 - RICH FDS CORE BB-MAIN ARAMARK"</f>
        <v>000337687 - RICH FDS CORE BB-MAIN ARAMARK</v>
      </c>
      <c r="C19706" t="s">
        <v>196</v>
      </c>
      <c r="D19706" s="1" t="str">
        <f t="shared" si="525"/>
        <v>PRG-1046884</v>
      </c>
      <c r="E19706" t="s">
        <v>127</v>
      </c>
      <c r="F19706" t="s">
        <v>4</v>
      </c>
      <c r="G19706" t="str">
        <f>""</f>
        <v/>
      </c>
    </row>
    <row r="19707" spans="1:7" x14ac:dyDescent="0.25">
      <c r="A19707" t="s">
        <v>8</v>
      </c>
      <c r="B19707" s="1" t="str">
        <f>"000337874 - RICH FDS CORE BB-MAIN ARAMARK"</f>
        <v>000337874 - RICH FDS CORE BB-MAIN ARAMARK</v>
      </c>
      <c r="C19707" t="s">
        <v>196</v>
      </c>
      <c r="D19707" s="1" t="str">
        <f t="shared" si="525"/>
        <v>PRG-1046884</v>
      </c>
      <c r="E19707" t="s">
        <v>127</v>
      </c>
      <c r="F19707" t="s">
        <v>4</v>
      </c>
      <c r="G19707" t="str">
        <f>""</f>
        <v/>
      </c>
    </row>
    <row r="19708" spans="1:7" x14ac:dyDescent="0.25">
      <c r="A19708" t="s">
        <v>8</v>
      </c>
      <c r="B19708" s="1" t="str">
        <f>"000337875 - RICH FDS NCORE BB-MAIN ARAMARK"</f>
        <v>000337875 - RICH FDS NCORE BB-MAIN ARAMARK</v>
      </c>
      <c r="C19708" t="s">
        <v>194</v>
      </c>
      <c r="D19708" s="1" t="str">
        <f t="shared" si="525"/>
        <v>PRG-1046884</v>
      </c>
      <c r="E19708" t="s">
        <v>127</v>
      </c>
      <c r="F19708" t="s">
        <v>4</v>
      </c>
      <c r="G19708" t="str">
        <f>""</f>
        <v/>
      </c>
    </row>
    <row r="19709" spans="1:7" x14ac:dyDescent="0.25">
      <c r="A19709" t="s">
        <v>8</v>
      </c>
      <c r="B19709" s="1" t="str">
        <f>"000338640 - RICH FOODS BAPA-MAIN ARAMARK"</f>
        <v>000338640 - RICH FOODS BAPA-MAIN ARAMARK</v>
      </c>
      <c r="C19709" t="s">
        <v>320</v>
      </c>
      <c r="D19709" s="1" t="str">
        <f t="shared" si="525"/>
        <v>PRG-1046884</v>
      </c>
      <c r="E19709" t="s">
        <v>127</v>
      </c>
      <c r="F19709" t="s">
        <v>4</v>
      </c>
      <c r="G19709" t="str">
        <f>""</f>
        <v/>
      </c>
    </row>
    <row r="19710" spans="1:7" x14ac:dyDescent="0.25">
      <c r="A19710" t="s">
        <v>8</v>
      </c>
      <c r="B19710" s="1" t="str">
        <f>"000339057 - RICH FOODS BAPA-MAIN ARAMARK"</f>
        <v>000339057 - RICH FOODS BAPA-MAIN ARAMARK</v>
      </c>
      <c r="C19710" t="s">
        <v>320</v>
      </c>
      <c r="D19710" s="1" t="str">
        <f t="shared" si="525"/>
        <v>PRG-1046884</v>
      </c>
      <c r="E19710" t="s">
        <v>127</v>
      </c>
      <c r="F19710" t="s">
        <v>4</v>
      </c>
      <c r="G19710" t="str">
        <f>""</f>
        <v/>
      </c>
    </row>
    <row r="19711" spans="1:7" x14ac:dyDescent="0.25">
      <c r="A19711" t="s">
        <v>8</v>
      </c>
      <c r="B19711" s="1" t="str">
        <f>"000339324 - CASA DIBERTACCHI-MAIN ARAMARK"</f>
        <v>000339324 - CASA DIBERTACCHI-MAIN ARAMARK</v>
      </c>
      <c r="C19711" t="s">
        <v>148</v>
      </c>
      <c r="D19711" s="1" t="str">
        <f t="shared" si="525"/>
        <v>PRG-1046884</v>
      </c>
      <c r="E19711" t="s">
        <v>127</v>
      </c>
      <c r="F19711" t="s">
        <v>4</v>
      </c>
      <c r="G19711" t="str">
        <f>""</f>
        <v/>
      </c>
    </row>
    <row r="19712" spans="1:7" x14ac:dyDescent="0.25">
      <c r="A19712" t="s">
        <v>8</v>
      </c>
      <c r="B19712" s="1" t="str">
        <f>"000339504 - RICH FOODS BAPA-MAIN ARAMARK"</f>
        <v>000339504 - RICH FOODS BAPA-MAIN ARAMARK</v>
      </c>
      <c r="C19712" t="s">
        <v>320</v>
      </c>
      <c r="D19712" s="1" t="str">
        <f t="shared" si="525"/>
        <v>PRG-1046884</v>
      </c>
      <c r="E19712" t="s">
        <v>127</v>
      </c>
      <c r="F19712" t="s">
        <v>4</v>
      </c>
      <c r="G19712" t="str">
        <f>""</f>
        <v/>
      </c>
    </row>
    <row r="19713" spans="1:7" x14ac:dyDescent="0.25">
      <c r="A19713" t="s">
        <v>8</v>
      </c>
      <c r="B19713" s="1" t="str">
        <f>"000340615 - RICH FOODS BAPA-MAIN ARAMARK"</f>
        <v>000340615 - RICH FOODS BAPA-MAIN ARAMARK</v>
      </c>
      <c r="C19713" t="s">
        <v>320</v>
      </c>
      <c r="D19713" s="1" t="str">
        <f t="shared" si="525"/>
        <v>PRG-1046884</v>
      </c>
      <c r="E19713" t="s">
        <v>127</v>
      </c>
      <c r="F19713" t="s">
        <v>4</v>
      </c>
      <c r="G19713" t="str">
        <f>""</f>
        <v/>
      </c>
    </row>
    <row r="19714" spans="1:7" x14ac:dyDescent="0.25">
      <c r="A19714" t="s">
        <v>8</v>
      </c>
      <c r="B19714" s="1" t="str">
        <f>"000340623 - RICH FDS NCORE BB-MAIN ARAMARK"</f>
        <v>000340623 - RICH FDS NCORE BB-MAIN ARAMARK</v>
      </c>
      <c r="C19714" t="s">
        <v>194</v>
      </c>
      <c r="D19714" s="1" t="str">
        <f t="shared" si="525"/>
        <v>PRG-1046884</v>
      </c>
      <c r="E19714" t="s">
        <v>127</v>
      </c>
      <c r="F19714" t="s">
        <v>4</v>
      </c>
      <c r="G19714" t="str">
        <f>""</f>
        <v/>
      </c>
    </row>
    <row r="19715" spans="1:7" x14ac:dyDescent="0.25">
      <c r="A19715" t="s">
        <v>8</v>
      </c>
      <c r="B19715" s="1" t="str">
        <f>"000340655 - RICH FDS NCORE BB-MAIN ARAMARK"</f>
        <v>000340655 - RICH FDS NCORE BB-MAIN ARAMARK</v>
      </c>
      <c r="C19715" t="s">
        <v>194</v>
      </c>
      <c r="D19715" s="1" t="str">
        <f t="shared" si="525"/>
        <v>PRG-1046884</v>
      </c>
      <c r="E19715" t="s">
        <v>127</v>
      </c>
      <c r="F19715" t="s">
        <v>4</v>
      </c>
      <c r="G19715" t="str">
        <f>""</f>
        <v/>
      </c>
    </row>
    <row r="19716" spans="1:7" x14ac:dyDescent="0.25">
      <c r="A19716" t="s">
        <v>8</v>
      </c>
      <c r="B19716" s="1" t="str">
        <f>"000341860 - RICH FOODS-ARAMARK"</f>
        <v>000341860 - RICH FOODS-ARAMARK</v>
      </c>
      <c r="C19716" t="s">
        <v>534</v>
      </c>
      <c r="D19716" s="1" t="str">
        <f t="shared" si="525"/>
        <v>PRG-1046884</v>
      </c>
      <c r="E19716" t="s">
        <v>127</v>
      </c>
      <c r="F19716" t="s">
        <v>4</v>
      </c>
      <c r="G19716" t="str">
        <f>""</f>
        <v/>
      </c>
    </row>
    <row r="19717" spans="1:7" x14ac:dyDescent="0.25">
      <c r="A19717" t="s">
        <v>8</v>
      </c>
      <c r="B19717" s="1" t="str">
        <f>"000342783 - RICH FOODS-MAIN ARAMARK"</f>
        <v>000342783 - RICH FOODS-MAIN ARAMARK</v>
      </c>
      <c r="C19717" t="s">
        <v>126</v>
      </c>
      <c r="D19717" s="1" t="str">
        <f t="shared" si="525"/>
        <v>PRG-1046884</v>
      </c>
      <c r="E19717" t="s">
        <v>127</v>
      </c>
      <c r="F19717" t="s">
        <v>4</v>
      </c>
      <c r="G19717" t="str">
        <f>""</f>
        <v/>
      </c>
    </row>
    <row r="19718" spans="1:7" x14ac:dyDescent="0.25">
      <c r="A19718" t="s">
        <v>8</v>
      </c>
      <c r="B19718" s="1" t="str">
        <f>"000342911 - RICH FDS NCORE BB-MAIN ARAMARK"</f>
        <v>000342911 - RICH FDS NCORE BB-MAIN ARAMARK</v>
      </c>
      <c r="C19718" t="s">
        <v>194</v>
      </c>
      <c r="D19718" s="1" t="str">
        <f t="shared" si="525"/>
        <v>PRG-1046884</v>
      </c>
      <c r="E19718" t="s">
        <v>127</v>
      </c>
      <c r="F19718" t="s">
        <v>4</v>
      </c>
      <c r="G19718" t="str">
        <f>""</f>
        <v/>
      </c>
    </row>
    <row r="19719" spans="1:7" x14ac:dyDescent="0.25">
      <c r="A19719" t="s">
        <v>8</v>
      </c>
      <c r="B19719" s="1" t="str">
        <f>"000345507 - RICH FDS NCORE BB-MAIN ARAMARK"</f>
        <v>000345507 - RICH FDS NCORE BB-MAIN ARAMARK</v>
      </c>
      <c r="C19719" t="s">
        <v>194</v>
      </c>
      <c r="D19719" s="1" t="str">
        <f t="shared" si="525"/>
        <v>PRG-1046884</v>
      </c>
      <c r="E19719" t="s">
        <v>127</v>
      </c>
      <c r="F19719" t="s">
        <v>4</v>
      </c>
      <c r="G19719" t="str">
        <f>""</f>
        <v/>
      </c>
    </row>
    <row r="19720" spans="1:7" x14ac:dyDescent="0.25">
      <c r="A19720" t="s">
        <v>8</v>
      </c>
      <c r="B19720" s="1" t="str">
        <f>"000345508 - RICH FDS CORE BB-MAIN ARAMARK"</f>
        <v>000345508 - RICH FDS CORE BB-MAIN ARAMARK</v>
      </c>
      <c r="C19720" t="s">
        <v>196</v>
      </c>
      <c r="D19720" s="1" t="str">
        <f t="shared" si="525"/>
        <v>PRG-1046884</v>
      </c>
      <c r="E19720" t="s">
        <v>127</v>
      </c>
      <c r="F19720" t="s">
        <v>4</v>
      </c>
      <c r="G19720" t="str">
        <f>""</f>
        <v/>
      </c>
    </row>
    <row r="19721" spans="1:7" x14ac:dyDescent="0.25">
      <c r="A19721" t="s">
        <v>8</v>
      </c>
      <c r="B19721" s="1" t="str">
        <f>"000345645 - RICH FDS CORE BB-MAIN ARAMARK"</f>
        <v>000345645 - RICH FDS CORE BB-MAIN ARAMARK</v>
      </c>
      <c r="C19721" t="s">
        <v>196</v>
      </c>
      <c r="D19721" s="1" t="str">
        <f t="shared" si="525"/>
        <v>PRG-1046884</v>
      </c>
      <c r="E19721" t="s">
        <v>127</v>
      </c>
      <c r="F19721" t="s">
        <v>4</v>
      </c>
      <c r="G19721" t="str">
        <f>""</f>
        <v/>
      </c>
    </row>
    <row r="19722" spans="1:7" x14ac:dyDescent="0.25">
      <c r="A19722" t="s">
        <v>8</v>
      </c>
      <c r="B19722" s="1" t="str">
        <f>"000346641 - CASA DIBERTACCHI-MAIN ARAMARK"</f>
        <v>000346641 - CASA DIBERTACCHI-MAIN ARAMARK</v>
      </c>
      <c r="C19722" t="s">
        <v>148</v>
      </c>
      <c r="D19722" s="1" t="str">
        <f t="shared" si="525"/>
        <v>PRG-1046884</v>
      </c>
      <c r="E19722" t="s">
        <v>127</v>
      </c>
      <c r="F19722" t="s">
        <v>4</v>
      </c>
      <c r="G19722" t="str">
        <f>""</f>
        <v/>
      </c>
    </row>
    <row r="19723" spans="1:7" x14ac:dyDescent="0.25">
      <c r="A19723" t="s">
        <v>8</v>
      </c>
      <c r="B19723" s="1" t="str">
        <f>"000347590 - RICH FDS NCORE BB-MAIN ARAMARK"</f>
        <v>000347590 - RICH FDS NCORE BB-MAIN ARAMARK</v>
      </c>
      <c r="C19723" t="s">
        <v>194</v>
      </c>
      <c r="D19723" s="1" t="str">
        <f t="shared" si="525"/>
        <v>PRG-1046884</v>
      </c>
      <c r="E19723" t="s">
        <v>127</v>
      </c>
      <c r="F19723" t="s">
        <v>4</v>
      </c>
      <c r="G19723" t="str">
        <f>""</f>
        <v/>
      </c>
    </row>
    <row r="19724" spans="1:7" x14ac:dyDescent="0.25">
      <c r="A19724" t="s">
        <v>8</v>
      </c>
      <c r="B19724" s="1" t="str">
        <f>"000347591 - RICH FDS CORE BB-MAIN ARAMARK"</f>
        <v>000347591 - RICH FDS CORE BB-MAIN ARAMARK</v>
      </c>
      <c r="C19724" t="s">
        <v>196</v>
      </c>
      <c r="D19724" s="1" t="str">
        <f t="shared" si="525"/>
        <v>PRG-1046884</v>
      </c>
      <c r="E19724" t="s">
        <v>127</v>
      </c>
      <c r="F19724" t="s">
        <v>4</v>
      </c>
      <c r="G19724" t="str">
        <f>""</f>
        <v/>
      </c>
    </row>
    <row r="19725" spans="1:7" x14ac:dyDescent="0.25">
      <c r="A19725" t="s">
        <v>8</v>
      </c>
      <c r="B19725" s="1" t="str">
        <f>"000348509 - RICH FOODS BAPA-MAIN ARAMARK"</f>
        <v>000348509 - RICH FOODS BAPA-MAIN ARAMARK</v>
      </c>
      <c r="C19725" t="s">
        <v>320</v>
      </c>
      <c r="D19725" s="1" t="str">
        <f t="shared" si="525"/>
        <v>PRG-1046884</v>
      </c>
      <c r="E19725" t="s">
        <v>127</v>
      </c>
      <c r="F19725" t="s">
        <v>4</v>
      </c>
      <c r="G19725" t="str">
        <f>""</f>
        <v/>
      </c>
    </row>
    <row r="19726" spans="1:7" x14ac:dyDescent="0.25">
      <c r="A19726" t="s">
        <v>8</v>
      </c>
      <c r="B19726" s="1" t="str">
        <f>"000348795 - CASA DIBERTACCHI-MAIN ARAMARK"</f>
        <v>000348795 - CASA DIBERTACCHI-MAIN ARAMARK</v>
      </c>
      <c r="C19726" t="s">
        <v>148</v>
      </c>
      <c r="D19726" s="1" t="str">
        <f t="shared" si="525"/>
        <v>PRG-1046884</v>
      </c>
      <c r="E19726" t="s">
        <v>127</v>
      </c>
      <c r="F19726" t="s">
        <v>4</v>
      </c>
      <c r="G19726" t="str">
        <f>""</f>
        <v/>
      </c>
    </row>
    <row r="19727" spans="1:7" x14ac:dyDescent="0.25">
      <c r="A19727" t="s">
        <v>8</v>
      </c>
      <c r="B19727" s="1" t="str">
        <f>"000348970 - RICH FOODS-MAIN ARAMARK"</f>
        <v>000348970 - RICH FOODS-MAIN ARAMARK</v>
      </c>
      <c r="C19727" t="s">
        <v>126</v>
      </c>
      <c r="D19727" s="1" t="str">
        <f t="shared" si="525"/>
        <v>PRG-1046884</v>
      </c>
      <c r="E19727" t="s">
        <v>127</v>
      </c>
      <c r="F19727" t="s">
        <v>4</v>
      </c>
      <c r="G19727" t="str">
        <f>""</f>
        <v/>
      </c>
    </row>
    <row r="19728" spans="1:7" x14ac:dyDescent="0.25">
      <c r="A19728" t="s">
        <v>8</v>
      </c>
      <c r="B19728" s="1" t="str">
        <f>"000349003 - RICH FOODS-MAIN ARAMARK"</f>
        <v>000349003 - RICH FOODS-MAIN ARAMARK</v>
      </c>
      <c r="C19728" t="s">
        <v>126</v>
      </c>
      <c r="D19728" s="1" t="str">
        <f t="shared" si="525"/>
        <v>PRG-1046884</v>
      </c>
      <c r="E19728" t="s">
        <v>127</v>
      </c>
      <c r="F19728" t="s">
        <v>4</v>
      </c>
      <c r="G19728" t="str">
        <f>""</f>
        <v/>
      </c>
    </row>
    <row r="19729" spans="1:7" x14ac:dyDescent="0.25">
      <c r="A19729" t="s">
        <v>8</v>
      </c>
      <c r="B19729" s="1" t="str">
        <f>"000349890 - RICH FOODS BAPA-MAIN ARAMARK"</f>
        <v>000349890 - RICH FOODS BAPA-MAIN ARAMARK</v>
      </c>
      <c r="C19729" t="s">
        <v>320</v>
      </c>
      <c r="D19729" s="1" t="str">
        <f t="shared" si="525"/>
        <v>PRG-1046884</v>
      </c>
      <c r="E19729" t="s">
        <v>127</v>
      </c>
      <c r="F19729" t="s">
        <v>4</v>
      </c>
      <c r="G19729" t="str">
        <f>""</f>
        <v/>
      </c>
    </row>
    <row r="19730" spans="1:7" x14ac:dyDescent="0.25">
      <c r="A19730" t="s">
        <v>8</v>
      </c>
      <c r="B19730" s="1" t="str">
        <f>"000350081 - RICH FOODS-ARAMARK"</f>
        <v>000350081 - RICH FOODS-ARAMARK</v>
      </c>
      <c r="C19730" t="s">
        <v>534</v>
      </c>
      <c r="D19730" s="1" t="str">
        <f t="shared" si="525"/>
        <v>PRG-1046884</v>
      </c>
      <c r="E19730" t="s">
        <v>127</v>
      </c>
      <c r="F19730" t="s">
        <v>4</v>
      </c>
      <c r="G19730" t="str">
        <f>""</f>
        <v/>
      </c>
    </row>
    <row r="19731" spans="1:7" x14ac:dyDescent="0.25">
      <c r="A19731" t="s">
        <v>8</v>
      </c>
      <c r="B19731" s="1" t="str">
        <f>"000351322 - RICH FOODS BAPA-MAIN ARAMARK"</f>
        <v>000351322 - RICH FOODS BAPA-MAIN ARAMARK</v>
      </c>
      <c r="C19731" t="s">
        <v>320</v>
      </c>
      <c r="D19731" s="1" t="str">
        <f t="shared" si="525"/>
        <v>PRG-1046884</v>
      </c>
      <c r="E19731" t="s">
        <v>127</v>
      </c>
      <c r="F19731" t="s">
        <v>4</v>
      </c>
      <c r="G19731" t="str">
        <f>""</f>
        <v/>
      </c>
    </row>
    <row r="19732" spans="1:7" x14ac:dyDescent="0.25">
      <c r="A19732" t="s">
        <v>8</v>
      </c>
      <c r="B19732" s="1" t="str">
        <f>"000351386 - RICH FOODS-MAIN ARAMARK"</f>
        <v>000351386 - RICH FOODS-MAIN ARAMARK</v>
      </c>
      <c r="C19732" t="s">
        <v>126</v>
      </c>
      <c r="D19732" s="1" t="str">
        <f t="shared" si="525"/>
        <v>PRG-1046884</v>
      </c>
      <c r="E19732" t="s">
        <v>127</v>
      </c>
      <c r="F19732" t="s">
        <v>4</v>
      </c>
      <c r="G19732" t="str">
        <f>""</f>
        <v/>
      </c>
    </row>
    <row r="19733" spans="1:7" x14ac:dyDescent="0.25">
      <c r="A19733" t="s">
        <v>8</v>
      </c>
      <c r="B19733" s="1" t="str">
        <f>"000352543 - RICH FOODS BAPA-MAIN ARAMARK"</f>
        <v>000352543 - RICH FOODS BAPA-MAIN ARAMARK</v>
      </c>
      <c r="C19733" t="s">
        <v>320</v>
      </c>
      <c r="D19733" s="1" t="str">
        <f t="shared" si="525"/>
        <v>PRG-1046884</v>
      </c>
      <c r="E19733" t="s">
        <v>127</v>
      </c>
      <c r="F19733" t="s">
        <v>4</v>
      </c>
      <c r="G19733" t="str">
        <f>""</f>
        <v/>
      </c>
    </row>
    <row r="19734" spans="1:7" x14ac:dyDescent="0.25">
      <c r="A19734" t="s">
        <v>8</v>
      </c>
      <c r="B19734" s="1" t="str">
        <f>"000353262 - RICH FOODS-MAIN ARAMARK"</f>
        <v>000353262 - RICH FOODS-MAIN ARAMARK</v>
      </c>
      <c r="C19734" t="s">
        <v>126</v>
      </c>
      <c r="D19734" s="1" t="str">
        <f t="shared" si="525"/>
        <v>PRG-1046884</v>
      </c>
      <c r="E19734" t="s">
        <v>127</v>
      </c>
      <c r="F19734" t="s">
        <v>4</v>
      </c>
      <c r="G19734" t="str">
        <f>""</f>
        <v/>
      </c>
    </row>
    <row r="19735" spans="1:7" x14ac:dyDescent="0.25">
      <c r="A19735" t="s">
        <v>8</v>
      </c>
      <c r="B19735" s="1" t="str">
        <f>"000354976 - RICH FOODS-MAIN ARAMARK"</f>
        <v>000354976 - RICH FOODS-MAIN ARAMARK</v>
      </c>
      <c r="C19735" t="s">
        <v>126</v>
      </c>
      <c r="D19735" s="1" t="str">
        <f t="shared" si="525"/>
        <v>PRG-1046884</v>
      </c>
      <c r="E19735" t="s">
        <v>127</v>
      </c>
      <c r="F19735" t="s">
        <v>4</v>
      </c>
      <c r="G19735" t="str">
        <f>""</f>
        <v/>
      </c>
    </row>
    <row r="19736" spans="1:7" x14ac:dyDescent="0.25">
      <c r="A19736" t="s">
        <v>8</v>
      </c>
      <c r="B19736" s="1" t="str">
        <f>"000355993 - RICH FOODS-ARAMARK"</f>
        <v>000355993 - RICH FOODS-ARAMARK</v>
      </c>
      <c r="C19736" t="s">
        <v>534</v>
      </c>
      <c r="D19736" s="1" t="str">
        <f t="shared" si="525"/>
        <v>PRG-1046884</v>
      </c>
      <c r="E19736" t="s">
        <v>127</v>
      </c>
      <c r="F19736" t="s">
        <v>4</v>
      </c>
      <c r="G19736" t="str">
        <f>""</f>
        <v/>
      </c>
    </row>
    <row r="19737" spans="1:7" x14ac:dyDescent="0.25">
      <c r="A19737" t="s">
        <v>8</v>
      </c>
      <c r="B19737" s="1" t="str">
        <f>"000356991 - RICH FOODS-MAIN ARAMARK"</f>
        <v>000356991 - RICH FOODS-MAIN ARAMARK</v>
      </c>
      <c r="C19737" t="s">
        <v>126</v>
      </c>
      <c r="D19737" s="1" t="str">
        <f t="shared" si="525"/>
        <v>PRG-1046884</v>
      </c>
      <c r="E19737" t="s">
        <v>127</v>
      </c>
      <c r="F19737" t="s">
        <v>4</v>
      </c>
      <c r="G19737" t="str">
        <f>""</f>
        <v/>
      </c>
    </row>
    <row r="19738" spans="1:7" x14ac:dyDescent="0.25">
      <c r="A19738" t="s">
        <v>8</v>
      </c>
      <c r="B19738" s="1" t="str">
        <f>"000359221 - RICH FOODS-MAIN ARAMARK"</f>
        <v>000359221 - RICH FOODS-MAIN ARAMARK</v>
      </c>
      <c r="C19738" t="s">
        <v>126</v>
      </c>
      <c r="D19738" s="1" t="str">
        <f t="shared" si="525"/>
        <v>PRG-1046884</v>
      </c>
      <c r="E19738" t="s">
        <v>127</v>
      </c>
      <c r="F19738" t="s">
        <v>4</v>
      </c>
      <c r="G19738" t="str">
        <f>""</f>
        <v/>
      </c>
    </row>
    <row r="19739" spans="1:7" x14ac:dyDescent="0.25">
      <c r="A19739" t="s">
        <v>8</v>
      </c>
      <c r="B19739" s="1" t="str">
        <f>"000359332 - RICH FOODS-ARAMARK"</f>
        <v>000359332 - RICH FOODS-ARAMARK</v>
      </c>
      <c r="C19739" t="s">
        <v>534</v>
      </c>
      <c r="D19739" s="1" t="str">
        <f t="shared" si="525"/>
        <v>PRG-1046884</v>
      </c>
      <c r="E19739" t="s">
        <v>127</v>
      </c>
      <c r="F19739" t="s">
        <v>4</v>
      </c>
      <c r="G19739" t="str">
        <f>""</f>
        <v/>
      </c>
    </row>
    <row r="19740" spans="1:7" x14ac:dyDescent="0.25">
      <c r="A19740" t="s">
        <v>8</v>
      </c>
      <c r="B19740" s="1" t="str">
        <f>"000360267 - RICH FOODS-ARAMARK MAIN"</f>
        <v>000360267 - RICH FOODS-ARAMARK MAIN</v>
      </c>
      <c r="C19740" t="s">
        <v>574</v>
      </c>
      <c r="D19740" s="1" t="str">
        <f t="shared" si="525"/>
        <v>PRG-1046884</v>
      </c>
      <c r="E19740" t="s">
        <v>127</v>
      </c>
      <c r="F19740" t="s">
        <v>4</v>
      </c>
      <c r="G19740" t="str">
        <f>""</f>
        <v/>
      </c>
    </row>
    <row r="19741" spans="1:7" x14ac:dyDescent="0.25">
      <c r="A19741" t="s">
        <v>8</v>
      </c>
      <c r="B19741" s="1" t="str">
        <f>"000361379 - RICH FOODS-MAIN ARAMARK"</f>
        <v>000361379 - RICH FOODS-MAIN ARAMARK</v>
      </c>
      <c r="C19741" t="s">
        <v>126</v>
      </c>
      <c r="D19741" s="1" t="str">
        <f t="shared" si="525"/>
        <v>PRG-1046884</v>
      </c>
      <c r="E19741" t="s">
        <v>127</v>
      </c>
      <c r="F19741" t="s">
        <v>4</v>
      </c>
      <c r="G19741" t="str">
        <f>""</f>
        <v/>
      </c>
    </row>
    <row r="19742" spans="1:7" x14ac:dyDescent="0.25">
      <c r="A19742" t="s">
        <v>8</v>
      </c>
      <c r="B19742" s="1" t="str">
        <f>"000362212 - RICH FOODS-ARAMARK"</f>
        <v>000362212 - RICH FOODS-ARAMARK</v>
      </c>
      <c r="C19742" t="s">
        <v>534</v>
      </c>
      <c r="D19742" s="1" t="str">
        <f t="shared" si="525"/>
        <v>PRG-1046884</v>
      </c>
      <c r="E19742" t="s">
        <v>127</v>
      </c>
      <c r="F19742" t="s">
        <v>4</v>
      </c>
      <c r="G19742" t="str">
        <f>""</f>
        <v/>
      </c>
    </row>
    <row r="19743" spans="1:7" x14ac:dyDescent="0.25">
      <c r="A19743" t="s">
        <v>8</v>
      </c>
      <c r="B19743" s="1" t="str">
        <f>"000362508 - RICH FOODS-MAIN ARAMARK"</f>
        <v>000362508 - RICH FOODS-MAIN ARAMARK</v>
      </c>
      <c r="C19743" t="s">
        <v>126</v>
      </c>
      <c r="D19743" s="1" t="str">
        <f t="shared" si="525"/>
        <v>PRG-1046884</v>
      </c>
      <c r="E19743" t="s">
        <v>127</v>
      </c>
      <c r="F19743" t="s">
        <v>4</v>
      </c>
      <c r="G19743" t="str">
        <f>""</f>
        <v/>
      </c>
    </row>
    <row r="19744" spans="1:7" x14ac:dyDescent="0.25">
      <c r="A19744" t="s">
        <v>8</v>
      </c>
      <c r="B19744" s="1" t="str">
        <f>"000363283 - RICH FOODS-ARAMARK MAIN"</f>
        <v>000363283 - RICH FOODS-ARAMARK MAIN</v>
      </c>
      <c r="C19744" t="s">
        <v>574</v>
      </c>
      <c r="D19744" s="1" t="str">
        <f t="shared" si="525"/>
        <v>PRG-1046884</v>
      </c>
      <c r="E19744" t="s">
        <v>127</v>
      </c>
      <c r="F19744" t="s">
        <v>4</v>
      </c>
      <c r="G19744" t="str">
        <f>""</f>
        <v/>
      </c>
    </row>
    <row r="19745" spans="1:7" x14ac:dyDescent="0.25">
      <c r="A19745" t="s">
        <v>8</v>
      </c>
      <c r="B19745" s="1" t="str">
        <f>"000363826 - RICH FOODS-MAIN ARAMARK"</f>
        <v>000363826 - RICH FOODS-MAIN ARAMARK</v>
      </c>
      <c r="C19745" t="s">
        <v>126</v>
      </c>
      <c r="D19745" s="1" t="str">
        <f t="shared" si="525"/>
        <v>PRG-1046884</v>
      </c>
      <c r="E19745" t="s">
        <v>127</v>
      </c>
      <c r="F19745" t="s">
        <v>4</v>
      </c>
      <c r="G19745" t="str">
        <f>""</f>
        <v/>
      </c>
    </row>
    <row r="19746" spans="1:7" x14ac:dyDescent="0.25">
      <c r="A19746" t="s">
        <v>8</v>
      </c>
      <c r="B19746" s="1" t="str">
        <f>"000363866 - RICH FOODS BAPA-MAIN ARAMARK"</f>
        <v>000363866 - RICH FOODS BAPA-MAIN ARAMARK</v>
      </c>
      <c r="C19746" t="s">
        <v>320</v>
      </c>
      <c r="D19746" s="1" t="str">
        <f t="shared" si="525"/>
        <v>PRG-1046884</v>
      </c>
      <c r="E19746" t="s">
        <v>127</v>
      </c>
      <c r="F19746" t="s">
        <v>4</v>
      </c>
      <c r="G19746" t="str">
        <f>""</f>
        <v/>
      </c>
    </row>
    <row r="19747" spans="1:7" x14ac:dyDescent="0.25">
      <c r="A19747" t="s">
        <v>8</v>
      </c>
      <c r="B19747" s="1" t="str">
        <f>"000364870 - RICH FOODS-MAIN ARAMARK"</f>
        <v>000364870 - RICH FOODS-MAIN ARAMARK</v>
      </c>
      <c r="C19747" t="s">
        <v>126</v>
      </c>
      <c r="D19747" s="1" t="str">
        <f t="shared" si="525"/>
        <v>PRG-1046884</v>
      </c>
      <c r="E19747" t="s">
        <v>127</v>
      </c>
      <c r="F19747" t="s">
        <v>4</v>
      </c>
      <c r="G19747" t="str">
        <f>""</f>
        <v/>
      </c>
    </row>
    <row r="19748" spans="1:7" x14ac:dyDescent="0.25">
      <c r="A19748" t="s">
        <v>8</v>
      </c>
      <c r="B19748" s="1" t="str">
        <f>"000365211 - RICH FOODS BAPA-MAIN ARAMARK"</f>
        <v>000365211 - RICH FOODS BAPA-MAIN ARAMARK</v>
      </c>
      <c r="C19748" t="s">
        <v>320</v>
      </c>
      <c r="D19748" s="1" t="str">
        <f t="shared" si="525"/>
        <v>PRG-1046884</v>
      </c>
      <c r="E19748" t="s">
        <v>127</v>
      </c>
      <c r="F19748" t="s">
        <v>4</v>
      </c>
      <c r="G19748" t="str">
        <f>""</f>
        <v/>
      </c>
    </row>
    <row r="19749" spans="1:7" x14ac:dyDescent="0.25">
      <c r="A19749" t="s">
        <v>8</v>
      </c>
      <c r="B19749" s="1" t="str">
        <f>"000366821 - RICH FOODS-MAIN ARAMARK"</f>
        <v>000366821 - RICH FOODS-MAIN ARAMARK</v>
      </c>
      <c r="C19749" t="s">
        <v>126</v>
      </c>
      <c r="D19749" s="1" t="str">
        <f t="shared" si="525"/>
        <v>PRG-1046884</v>
      </c>
      <c r="E19749" t="s">
        <v>127</v>
      </c>
      <c r="F19749" t="s">
        <v>4</v>
      </c>
      <c r="G19749" t="str">
        <f>""</f>
        <v/>
      </c>
    </row>
    <row r="19750" spans="1:7" x14ac:dyDescent="0.25">
      <c r="A19750" t="s">
        <v>8</v>
      </c>
      <c r="B19750" s="1" t="str">
        <f>"000367807 - RICH FOODS BAPA-MAIN ARAMARK"</f>
        <v>000367807 - RICH FOODS BAPA-MAIN ARAMARK</v>
      </c>
      <c r="C19750" t="s">
        <v>320</v>
      </c>
      <c r="D19750" s="1" t="str">
        <f t="shared" si="525"/>
        <v>PRG-1046884</v>
      </c>
      <c r="E19750" t="s">
        <v>127</v>
      </c>
      <c r="F19750" t="s">
        <v>4</v>
      </c>
      <c r="G19750" t="str">
        <f>""</f>
        <v/>
      </c>
    </row>
    <row r="19751" spans="1:7" x14ac:dyDescent="0.25">
      <c r="A19751" t="s">
        <v>8</v>
      </c>
      <c r="B19751" s="1" t="str">
        <f>"000367826 - RICH FOODS-ARAMARK MAIN"</f>
        <v>000367826 - RICH FOODS-ARAMARK MAIN</v>
      </c>
      <c r="C19751" t="s">
        <v>574</v>
      </c>
      <c r="D19751" s="1" t="str">
        <f t="shared" si="525"/>
        <v>PRG-1046884</v>
      </c>
      <c r="E19751" t="s">
        <v>127</v>
      </c>
      <c r="F19751" t="s">
        <v>4</v>
      </c>
      <c r="G19751" t="str">
        <f>""</f>
        <v/>
      </c>
    </row>
    <row r="19752" spans="1:7" x14ac:dyDescent="0.25">
      <c r="A19752" t="s">
        <v>8</v>
      </c>
      <c r="B19752" s="1" t="str">
        <f>"000368128 - RICH FOODS-MAIN ARAMARK"</f>
        <v>000368128 - RICH FOODS-MAIN ARAMARK</v>
      </c>
      <c r="C19752" t="s">
        <v>126</v>
      </c>
      <c r="D19752" s="1" t="str">
        <f t="shared" ref="D19752:D19793" si="526">"PRG-1046884"</f>
        <v>PRG-1046884</v>
      </c>
      <c r="E19752" t="s">
        <v>127</v>
      </c>
      <c r="F19752" t="s">
        <v>4</v>
      </c>
      <c r="G19752" t="str">
        <f>""</f>
        <v/>
      </c>
    </row>
    <row r="19753" spans="1:7" x14ac:dyDescent="0.25">
      <c r="A19753" t="s">
        <v>8</v>
      </c>
      <c r="B19753" s="1" t="str">
        <f>"000368351 - RICH FOODS BAPA-MAIN ARAMARK"</f>
        <v>000368351 - RICH FOODS BAPA-MAIN ARAMARK</v>
      </c>
      <c r="C19753" t="s">
        <v>320</v>
      </c>
      <c r="D19753" s="1" t="str">
        <f t="shared" si="526"/>
        <v>PRG-1046884</v>
      </c>
      <c r="E19753" t="s">
        <v>127</v>
      </c>
      <c r="F19753" t="s">
        <v>4</v>
      </c>
      <c r="G19753" t="str">
        <f>""</f>
        <v/>
      </c>
    </row>
    <row r="19754" spans="1:7" x14ac:dyDescent="0.25">
      <c r="A19754" t="s">
        <v>8</v>
      </c>
      <c r="B19754" s="1" t="str">
        <f>"000368985 - RICH FOODS-MAIN ARAMARK"</f>
        <v>000368985 - RICH FOODS-MAIN ARAMARK</v>
      </c>
      <c r="C19754" t="s">
        <v>126</v>
      </c>
      <c r="D19754" s="1" t="str">
        <f t="shared" si="526"/>
        <v>PRG-1046884</v>
      </c>
      <c r="E19754" t="s">
        <v>127</v>
      </c>
      <c r="F19754" t="s">
        <v>4</v>
      </c>
      <c r="G19754" t="str">
        <f>""</f>
        <v/>
      </c>
    </row>
    <row r="19755" spans="1:7" x14ac:dyDescent="0.25">
      <c r="A19755" t="s">
        <v>8</v>
      </c>
      <c r="B19755" s="1" t="str">
        <f>"000370184 - RICH FOODS BAPA-MAIN ARAMARK"</f>
        <v>000370184 - RICH FOODS BAPA-MAIN ARAMARK</v>
      </c>
      <c r="C19755" t="s">
        <v>320</v>
      </c>
      <c r="D19755" s="1" t="str">
        <f t="shared" si="526"/>
        <v>PRG-1046884</v>
      </c>
      <c r="E19755" t="s">
        <v>127</v>
      </c>
      <c r="F19755" t="s">
        <v>4</v>
      </c>
      <c r="G19755" t="str">
        <f>""</f>
        <v/>
      </c>
    </row>
    <row r="19756" spans="1:7" x14ac:dyDescent="0.25">
      <c r="A19756" t="s">
        <v>8</v>
      </c>
      <c r="B19756" s="1" t="str">
        <f>"000371144 - RICH FOODS-MAIN ARAMARK"</f>
        <v>000371144 - RICH FOODS-MAIN ARAMARK</v>
      </c>
      <c r="C19756" t="s">
        <v>126</v>
      </c>
      <c r="D19756" s="1" t="str">
        <f t="shared" si="526"/>
        <v>PRG-1046884</v>
      </c>
      <c r="E19756" t="s">
        <v>127</v>
      </c>
      <c r="F19756" t="s">
        <v>4</v>
      </c>
      <c r="G19756" t="str">
        <f>""</f>
        <v/>
      </c>
    </row>
    <row r="19757" spans="1:7" x14ac:dyDescent="0.25">
      <c r="A19757" t="s">
        <v>8</v>
      </c>
      <c r="B19757" s="1" t="str">
        <f>"000372993 - RICH FOODS BAPA-MAIN ARAMARK"</f>
        <v>000372993 - RICH FOODS BAPA-MAIN ARAMARK</v>
      </c>
      <c r="C19757" t="s">
        <v>320</v>
      </c>
      <c r="D19757" s="1" t="str">
        <f t="shared" si="526"/>
        <v>PRG-1046884</v>
      </c>
      <c r="E19757" t="s">
        <v>127</v>
      </c>
      <c r="F19757" t="s">
        <v>4</v>
      </c>
      <c r="G19757" t="str">
        <f>""</f>
        <v/>
      </c>
    </row>
    <row r="19758" spans="1:7" x14ac:dyDescent="0.25">
      <c r="A19758" t="s">
        <v>8</v>
      </c>
      <c r="B19758" s="1" t="str">
        <f>"000373652 - RICH FOODS BAPA-MAIN ARAMARK"</f>
        <v>000373652 - RICH FOODS BAPA-MAIN ARAMARK</v>
      </c>
      <c r="C19758" t="s">
        <v>320</v>
      </c>
      <c r="D19758" s="1" t="str">
        <f t="shared" si="526"/>
        <v>PRG-1046884</v>
      </c>
      <c r="E19758" t="s">
        <v>127</v>
      </c>
      <c r="F19758" t="s">
        <v>4</v>
      </c>
      <c r="G19758" t="str">
        <f>""</f>
        <v/>
      </c>
    </row>
    <row r="19759" spans="1:7" x14ac:dyDescent="0.25">
      <c r="A19759" t="s">
        <v>8</v>
      </c>
      <c r="B19759" s="1" t="str">
        <f>"000374103 - RICH FOODS-ARAMARK"</f>
        <v>000374103 - RICH FOODS-ARAMARK</v>
      </c>
      <c r="C19759" t="s">
        <v>534</v>
      </c>
      <c r="D19759" s="1" t="str">
        <f t="shared" si="526"/>
        <v>PRG-1046884</v>
      </c>
      <c r="E19759" t="s">
        <v>127</v>
      </c>
      <c r="F19759" t="s">
        <v>4</v>
      </c>
      <c r="G19759" t="str">
        <f>""</f>
        <v/>
      </c>
    </row>
    <row r="19760" spans="1:7" x14ac:dyDescent="0.25">
      <c r="A19760" t="s">
        <v>8</v>
      </c>
      <c r="B19760" s="1" t="str">
        <f>"000375121 - RICH FOODS BAPA-MAIN ARAMARK"</f>
        <v>000375121 - RICH FOODS BAPA-MAIN ARAMARK</v>
      </c>
      <c r="C19760" t="s">
        <v>320</v>
      </c>
      <c r="D19760" s="1" t="str">
        <f t="shared" si="526"/>
        <v>PRG-1046884</v>
      </c>
      <c r="E19760" t="s">
        <v>127</v>
      </c>
      <c r="F19760" t="s">
        <v>4</v>
      </c>
      <c r="G19760" t="str">
        <f>""</f>
        <v/>
      </c>
    </row>
    <row r="19761" spans="1:7" x14ac:dyDescent="0.25">
      <c r="A19761" t="s">
        <v>8</v>
      </c>
      <c r="B19761" s="1" t="str">
        <f>"000376502 - RICH FOODS BAPA-MAIN ARAMARK"</f>
        <v>000376502 - RICH FOODS BAPA-MAIN ARAMARK</v>
      </c>
      <c r="C19761" t="s">
        <v>320</v>
      </c>
      <c r="D19761" s="1" t="str">
        <f t="shared" si="526"/>
        <v>PRG-1046884</v>
      </c>
      <c r="E19761" t="s">
        <v>127</v>
      </c>
      <c r="F19761" t="s">
        <v>4</v>
      </c>
      <c r="G19761" t="str">
        <f>""</f>
        <v/>
      </c>
    </row>
    <row r="19762" spans="1:7" x14ac:dyDescent="0.25">
      <c r="A19762" t="s">
        <v>8</v>
      </c>
      <c r="B19762" s="1" t="str">
        <f>"000376558 - RICH FOODS BAPA-MAIN ARAMARK"</f>
        <v>000376558 - RICH FOODS BAPA-MAIN ARAMARK</v>
      </c>
      <c r="C19762" t="s">
        <v>320</v>
      </c>
      <c r="D19762" s="1" t="str">
        <f t="shared" si="526"/>
        <v>PRG-1046884</v>
      </c>
      <c r="E19762" t="s">
        <v>127</v>
      </c>
      <c r="F19762" t="s">
        <v>4</v>
      </c>
      <c r="G19762" t="str">
        <f>""</f>
        <v/>
      </c>
    </row>
    <row r="19763" spans="1:7" x14ac:dyDescent="0.25">
      <c r="A19763" t="s">
        <v>8</v>
      </c>
      <c r="B19763" s="1" t="str">
        <f>"000377536 - RICH FOODS BAPA-MAIN ARAMARK"</f>
        <v>000377536 - RICH FOODS BAPA-MAIN ARAMARK</v>
      </c>
      <c r="C19763" t="s">
        <v>320</v>
      </c>
      <c r="D19763" s="1" t="str">
        <f t="shared" si="526"/>
        <v>PRG-1046884</v>
      </c>
      <c r="E19763" t="s">
        <v>127</v>
      </c>
      <c r="F19763" t="s">
        <v>4</v>
      </c>
      <c r="G19763" t="str">
        <f>""</f>
        <v/>
      </c>
    </row>
    <row r="19764" spans="1:7" x14ac:dyDescent="0.25">
      <c r="A19764" t="s">
        <v>8</v>
      </c>
      <c r="B19764" s="1" t="str">
        <f>"000377627 - RICH FOODS BAPA-MAIN ARAMARK"</f>
        <v>000377627 - RICH FOODS BAPA-MAIN ARAMARK</v>
      </c>
      <c r="C19764" t="s">
        <v>320</v>
      </c>
      <c r="D19764" s="1" t="str">
        <f t="shared" si="526"/>
        <v>PRG-1046884</v>
      </c>
      <c r="E19764" t="s">
        <v>127</v>
      </c>
      <c r="F19764" t="s">
        <v>4</v>
      </c>
      <c r="G19764" t="str">
        <f>""</f>
        <v/>
      </c>
    </row>
    <row r="19765" spans="1:7" x14ac:dyDescent="0.25">
      <c r="A19765" t="s">
        <v>8</v>
      </c>
      <c r="B19765" s="1" t="str">
        <f>"000378936 - RICH FOODS BAPA-MAIN ARAMARK"</f>
        <v>000378936 - RICH FOODS BAPA-MAIN ARAMARK</v>
      </c>
      <c r="C19765" t="s">
        <v>320</v>
      </c>
      <c r="D19765" s="1" t="str">
        <f t="shared" si="526"/>
        <v>PRG-1046884</v>
      </c>
      <c r="E19765" t="s">
        <v>127</v>
      </c>
      <c r="F19765" t="s">
        <v>4</v>
      </c>
      <c r="G19765" t="str">
        <f>""</f>
        <v/>
      </c>
    </row>
    <row r="19766" spans="1:7" x14ac:dyDescent="0.25">
      <c r="A19766" t="s">
        <v>8</v>
      </c>
      <c r="B19766" s="1" t="str">
        <f>"000382977 - RICH FOODS-MAIN ARAMARK"</f>
        <v>000382977 - RICH FOODS-MAIN ARAMARK</v>
      </c>
      <c r="C19766" t="s">
        <v>126</v>
      </c>
      <c r="D19766" s="1" t="str">
        <f t="shared" si="526"/>
        <v>PRG-1046884</v>
      </c>
      <c r="E19766" t="s">
        <v>127</v>
      </c>
      <c r="F19766" t="s">
        <v>4</v>
      </c>
      <c r="G19766" t="str">
        <f>""</f>
        <v/>
      </c>
    </row>
    <row r="19767" spans="1:7" x14ac:dyDescent="0.25">
      <c r="A19767" t="s">
        <v>8</v>
      </c>
      <c r="B19767" s="1" t="str">
        <f>"000383166 - RICH FOODS BAPA-MAIN ARAMARK"</f>
        <v>000383166 - RICH FOODS BAPA-MAIN ARAMARK</v>
      </c>
      <c r="C19767" t="s">
        <v>320</v>
      </c>
      <c r="D19767" s="1" t="str">
        <f t="shared" si="526"/>
        <v>PRG-1046884</v>
      </c>
      <c r="E19767" t="s">
        <v>127</v>
      </c>
      <c r="F19767" t="s">
        <v>4</v>
      </c>
      <c r="G19767" t="str">
        <f>""</f>
        <v/>
      </c>
    </row>
    <row r="19768" spans="1:7" x14ac:dyDescent="0.25">
      <c r="A19768" t="s">
        <v>8</v>
      </c>
      <c r="B19768" s="1" t="str">
        <f>"000383845 - RICH FOODS BAPA-MAIN ARAMARK"</f>
        <v>000383845 - RICH FOODS BAPA-MAIN ARAMARK</v>
      </c>
      <c r="C19768" t="s">
        <v>320</v>
      </c>
      <c r="D19768" s="1" t="str">
        <f t="shared" si="526"/>
        <v>PRG-1046884</v>
      </c>
      <c r="E19768" t="s">
        <v>127</v>
      </c>
      <c r="F19768" t="s">
        <v>4</v>
      </c>
      <c r="G19768" t="str">
        <f>""</f>
        <v/>
      </c>
    </row>
    <row r="19769" spans="1:7" x14ac:dyDescent="0.25">
      <c r="A19769" t="s">
        <v>8</v>
      </c>
      <c r="B19769" s="1" t="str">
        <f>"000390213 - RICH FOODS BAPA-MAIN ARAMARK"</f>
        <v>000390213 - RICH FOODS BAPA-MAIN ARAMARK</v>
      </c>
      <c r="C19769" t="s">
        <v>320</v>
      </c>
      <c r="D19769" s="1" t="str">
        <f t="shared" si="526"/>
        <v>PRG-1046884</v>
      </c>
      <c r="E19769" t="s">
        <v>127</v>
      </c>
      <c r="F19769" t="s">
        <v>4</v>
      </c>
      <c r="G19769" t="str">
        <f>""</f>
        <v/>
      </c>
    </row>
    <row r="19770" spans="1:7" x14ac:dyDescent="0.25">
      <c r="A19770" t="s">
        <v>8</v>
      </c>
      <c r="B19770" s="1" t="str">
        <f>"000390867 - RICH FOODS-MAIN ARAMARK"</f>
        <v>000390867 - RICH FOODS-MAIN ARAMARK</v>
      </c>
      <c r="C19770" t="s">
        <v>126</v>
      </c>
      <c r="D19770" s="1" t="str">
        <f t="shared" si="526"/>
        <v>PRG-1046884</v>
      </c>
      <c r="E19770" t="s">
        <v>127</v>
      </c>
      <c r="F19770" t="s">
        <v>4</v>
      </c>
      <c r="G19770" t="str">
        <f>""</f>
        <v/>
      </c>
    </row>
    <row r="19771" spans="1:7" x14ac:dyDescent="0.25">
      <c r="A19771" t="s">
        <v>8</v>
      </c>
      <c r="B19771" s="1" t="str">
        <f>"000392841 - RICH FOODS-ARAMARK"</f>
        <v>000392841 - RICH FOODS-ARAMARK</v>
      </c>
      <c r="C19771" t="s">
        <v>534</v>
      </c>
      <c r="D19771" s="1" t="str">
        <f t="shared" si="526"/>
        <v>PRG-1046884</v>
      </c>
      <c r="E19771" t="s">
        <v>127</v>
      </c>
      <c r="F19771" t="s">
        <v>4</v>
      </c>
      <c r="G19771" t="str">
        <f>""</f>
        <v/>
      </c>
    </row>
    <row r="19772" spans="1:7" x14ac:dyDescent="0.25">
      <c r="A19772" t="s">
        <v>8</v>
      </c>
      <c r="B19772" s="1" t="str">
        <f>"000392906 - RICH FOODS-ARAMARK"</f>
        <v>000392906 - RICH FOODS-ARAMARK</v>
      </c>
      <c r="C19772" t="s">
        <v>534</v>
      </c>
      <c r="D19772" s="1" t="str">
        <f t="shared" si="526"/>
        <v>PRG-1046884</v>
      </c>
      <c r="E19772" t="s">
        <v>127</v>
      </c>
      <c r="F19772" t="s">
        <v>4</v>
      </c>
      <c r="G19772" t="str">
        <f>""</f>
        <v/>
      </c>
    </row>
    <row r="19773" spans="1:7" x14ac:dyDescent="0.25">
      <c r="A19773" t="s">
        <v>8</v>
      </c>
      <c r="B19773" s="1" t="str">
        <f>"000393245 - RICH FOODS BAPA-MAIN ARAMARK"</f>
        <v>000393245 - RICH FOODS BAPA-MAIN ARAMARK</v>
      </c>
      <c r="C19773" t="s">
        <v>320</v>
      </c>
      <c r="D19773" s="1" t="str">
        <f t="shared" si="526"/>
        <v>PRG-1046884</v>
      </c>
      <c r="E19773" t="s">
        <v>127</v>
      </c>
      <c r="F19773" t="s">
        <v>4</v>
      </c>
      <c r="G19773" t="str">
        <f>""</f>
        <v/>
      </c>
    </row>
    <row r="19774" spans="1:7" x14ac:dyDescent="0.25">
      <c r="A19774" t="s">
        <v>8</v>
      </c>
      <c r="B19774" s="1" t="str">
        <f>"000393644 - RICH FOODS-MAIN ARAMARK"</f>
        <v>000393644 - RICH FOODS-MAIN ARAMARK</v>
      </c>
      <c r="C19774" t="s">
        <v>126</v>
      </c>
      <c r="D19774" s="1" t="str">
        <f t="shared" si="526"/>
        <v>PRG-1046884</v>
      </c>
      <c r="E19774" t="s">
        <v>127</v>
      </c>
      <c r="F19774" t="s">
        <v>4</v>
      </c>
      <c r="G19774" t="str">
        <f>""</f>
        <v/>
      </c>
    </row>
    <row r="19775" spans="1:7" x14ac:dyDescent="0.25">
      <c r="A19775" t="s">
        <v>8</v>
      </c>
      <c r="B19775" s="1" t="str">
        <f>"000395073 - RICH FOODS-ARAMARK"</f>
        <v>000395073 - RICH FOODS-ARAMARK</v>
      </c>
      <c r="C19775" t="s">
        <v>534</v>
      </c>
      <c r="D19775" s="1" t="str">
        <f t="shared" si="526"/>
        <v>PRG-1046884</v>
      </c>
      <c r="E19775" t="s">
        <v>127</v>
      </c>
      <c r="F19775" t="s">
        <v>4</v>
      </c>
      <c r="G19775" t="str">
        <f>""</f>
        <v/>
      </c>
    </row>
    <row r="19776" spans="1:7" x14ac:dyDescent="0.25">
      <c r="A19776" t="s">
        <v>8</v>
      </c>
      <c r="B19776" s="1" t="str">
        <f>"000398205 - RICH FOODS-ARAMARK MAIN"</f>
        <v>000398205 - RICH FOODS-ARAMARK MAIN</v>
      </c>
      <c r="C19776" t="s">
        <v>574</v>
      </c>
      <c r="D19776" s="1" t="str">
        <f t="shared" si="526"/>
        <v>PRG-1046884</v>
      </c>
      <c r="E19776" t="s">
        <v>127</v>
      </c>
      <c r="F19776" t="s">
        <v>4</v>
      </c>
      <c r="G19776" t="str">
        <f>""</f>
        <v/>
      </c>
    </row>
    <row r="19777" spans="1:7" x14ac:dyDescent="0.25">
      <c r="A19777" t="s">
        <v>8</v>
      </c>
      <c r="B19777" s="1" t="str">
        <f>"000398779 - RICH FOODS-ARAMARK MAIN"</f>
        <v>000398779 - RICH FOODS-ARAMARK MAIN</v>
      </c>
      <c r="C19777" t="s">
        <v>574</v>
      </c>
      <c r="D19777" s="1" t="str">
        <f t="shared" si="526"/>
        <v>PRG-1046884</v>
      </c>
      <c r="E19777" t="s">
        <v>127</v>
      </c>
      <c r="F19777" t="s">
        <v>4</v>
      </c>
      <c r="G19777" t="str">
        <f>""</f>
        <v/>
      </c>
    </row>
    <row r="19778" spans="1:7" x14ac:dyDescent="0.25">
      <c r="A19778" t="s">
        <v>8</v>
      </c>
      <c r="B19778" s="1" t="str">
        <f>"000400121 - RICH FOODS BAPA-MAIN ARAMARK"</f>
        <v>000400121 - RICH FOODS BAPA-MAIN ARAMARK</v>
      </c>
      <c r="C19778" t="s">
        <v>320</v>
      </c>
      <c r="D19778" s="1" t="str">
        <f t="shared" si="526"/>
        <v>PRG-1046884</v>
      </c>
      <c r="E19778" t="s">
        <v>127</v>
      </c>
      <c r="F19778" t="s">
        <v>4</v>
      </c>
      <c r="G19778" t="str">
        <f>""</f>
        <v/>
      </c>
    </row>
    <row r="19779" spans="1:7" x14ac:dyDescent="0.25">
      <c r="A19779" t="s">
        <v>8</v>
      </c>
      <c r="B19779" s="1" t="str">
        <f>"000400894 - RICH FOODS-ARAMARK"</f>
        <v>000400894 - RICH FOODS-ARAMARK</v>
      </c>
      <c r="C19779" t="s">
        <v>534</v>
      </c>
      <c r="D19779" s="1" t="str">
        <f t="shared" si="526"/>
        <v>PRG-1046884</v>
      </c>
      <c r="E19779" t="s">
        <v>127</v>
      </c>
      <c r="F19779" t="s">
        <v>4</v>
      </c>
      <c r="G19779" t="str">
        <f>""</f>
        <v/>
      </c>
    </row>
    <row r="19780" spans="1:7" x14ac:dyDescent="0.25">
      <c r="A19780" t="s">
        <v>8</v>
      </c>
      <c r="B19780" s="1" t="str">
        <f>"000401936 - RICH FOODS-ARAMARK MAIN"</f>
        <v>000401936 - RICH FOODS-ARAMARK MAIN</v>
      </c>
      <c r="C19780" t="s">
        <v>574</v>
      </c>
      <c r="D19780" s="1" t="str">
        <f t="shared" si="526"/>
        <v>PRG-1046884</v>
      </c>
      <c r="E19780" t="s">
        <v>127</v>
      </c>
      <c r="F19780" t="s">
        <v>4</v>
      </c>
      <c r="G19780" t="str">
        <f>""</f>
        <v/>
      </c>
    </row>
    <row r="19781" spans="1:7" x14ac:dyDescent="0.25">
      <c r="A19781" t="s">
        <v>8</v>
      </c>
      <c r="B19781" s="1" t="str">
        <f>"000404048 - RICH FOODS-ARAMARK"</f>
        <v>000404048 - RICH FOODS-ARAMARK</v>
      </c>
      <c r="C19781" t="s">
        <v>534</v>
      </c>
      <c r="D19781" s="1" t="str">
        <f t="shared" si="526"/>
        <v>PRG-1046884</v>
      </c>
      <c r="E19781" t="s">
        <v>127</v>
      </c>
      <c r="F19781" t="s">
        <v>4</v>
      </c>
      <c r="G19781" t="str">
        <f>""</f>
        <v/>
      </c>
    </row>
    <row r="19782" spans="1:7" x14ac:dyDescent="0.25">
      <c r="A19782" t="s">
        <v>8</v>
      </c>
      <c r="B19782" s="1" t="str">
        <f>"000405404 - RICH FOODS-ARAMARK"</f>
        <v>000405404 - RICH FOODS-ARAMARK</v>
      </c>
      <c r="C19782" t="s">
        <v>534</v>
      </c>
      <c r="D19782" s="1" t="str">
        <f t="shared" si="526"/>
        <v>PRG-1046884</v>
      </c>
      <c r="E19782" t="s">
        <v>127</v>
      </c>
      <c r="F19782" t="s">
        <v>4</v>
      </c>
      <c r="G19782" t="str">
        <f>""</f>
        <v/>
      </c>
    </row>
    <row r="19783" spans="1:7" x14ac:dyDescent="0.25">
      <c r="A19783" t="s">
        <v>8</v>
      </c>
      <c r="B19783" s="1" t="str">
        <f>"000406992 - RICH FOODS-ARAMARK"</f>
        <v>000406992 - RICH FOODS-ARAMARK</v>
      </c>
      <c r="C19783" t="s">
        <v>534</v>
      </c>
      <c r="D19783" s="1" t="str">
        <f t="shared" si="526"/>
        <v>PRG-1046884</v>
      </c>
      <c r="E19783" t="s">
        <v>127</v>
      </c>
      <c r="F19783" t="s">
        <v>4</v>
      </c>
      <c r="G19783" t="str">
        <f>""</f>
        <v/>
      </c>
    </row>
    <row r="19784" spans="1:7" x14ac:dyDescent="0.25">
      <c r="A19784" t="s">
        <v>8</v>
      </c>
      <c r="B19784" s="1" t="str">
        <f>"000407532 - RICH FOODS-ARAMARK MAIN"</f>
        <v>000407532 - RICH FOODS-ARAMARK MAIN</v>
      </c>
      <c r="C19784" t="s">
        <v>574</v>
      </c>
      <c r="D19784" s="1" t="str">
        <f t="shared" si="526"/>
        <v>PRG-1046884</v>
      </c>
      <c r="E19784" t="s">
        <v>127</v>
      </c>
      <c r="F19784" t="s">
        <v>4</v>
      </c>
      <c r="G19784" t="str">
        <f>""</f>
        <v/>
      </c>
    </row>
    <row r="19785" spans="1:7" x14ac:dyDescent="0.25">
      <c r="A19785" t="s">
        <v>8</v>
      </c>
      <c r="B19785" s="1" t="str">
        <f>"000408262 - RICH FOODS-ARAMARK"</f>
        <v>000408262 - RICH FOODS-ARAMARK</v>
      </c>
      <c r="C19785" t="s">
        <v>534</v>
      </c>
      <c r="D19785" s="1" t="str">
        <f t="shared" si="526"/>
        <v>PRG-1046884</v>
      </c>
      <c r="E19785" t="s">
        <v>127</v>
      </c>
      <c r="F19785" t="s">
        <v>4</v>
      </c>
      <c r="G19785" t="str">
        <f>""</f>
        <v/>
      </c>
    </row>
    <row r="19786" spans="1:7" x14ac:dyDescent="0.25">
      <c r="A19786" t="s">
        <v>8</v>
      </c>
      <c r="B19786" s="1" t="str">
        <f>"000410492 - RICH FOODS-ARAMARK MAIN"</f>
        <v>000410492 - RICH FOODS-ARAMARK MAIN</v>
      </c>
      <c r="C19786" t="s">
        <v>574</v>
      </c>
      <c r="D19786" s="1" t="str">
        <f t="shared" si="526"/>
        <v>PRG-1046884</v>
      </c>
      <c r="E19786" t="s">
        <v>127</v>
      </c>
      <c r="F19786" t="s">
        <v>4</v>
      </c>
      <c r="G19786" t="str">
        <f>""</f>
        <v/>
      </c>
    </row>
    <row r="19787" spans="1:7" x14ac:dyDescent="0.25">
      <c r="A19787" t="s">
        <v>8</v>
      </c>
      <c r="B19787" s="1" t="str">
        <f>"000414288 - RICH FOODS-ARAMARK MAIN"</f>
        <v>000414288 - RICH FOODS-ARAMARK MAIN</v>
      </c>
      <c r="C19787" t="s">
        <v>574</v>
      </c>
      <c r="D19787" s="1" t="str">
        <f t="shared" si="526"/>
        <v>PRG-1046884</v>
      </c>
      <c r="E19787" t="s">
        <v>127</v>
      </c>
      <c r="F19787" t="s">
        <v>4</v>
      </c>
      <c r="G19787" t="str">
        <f>""</f>
        <v/>
      </c>
    </row>
    <row r="19788" spans="1:7" x14ac:dyDescent="0.25">
      <c r="A19788" t="s">
        <v>8</v>
      </c>
      <c r="B19788" s="1" t="str">
        <f>"000416396 - RICH FOODS-MAIN ARAMARK"</f>
        <v>000416396 - RICH FOODS-MAIN ARAMARK</v>
      </c>
      <c r="C19788" t="s">
        <v>126</v>
      </c>
      <c r="D19788" s="1" t="str">
        <f t="shared" si="526"/>
        <v>PRG-1046884</v>
      </c>
      <c r="E19788" t="s">
        <v>127</v>
      </c>
      <c r="F19788" t="s">
        <v>4</v>
      </c>
      <c r="G19788" t="str">
        <f>""</f>
        <v/>
      </c>
    </row>
    <row r="19789" spans="1:7" x14ac:dyDescent="0.25">
      <c r="A19789" t="s">
        <v>8</v>
      </c>
      <c r="B19789" s="1" t="str">
        <f>"000418409 - RICH FOODS-ARAMARK"</f>
        <v>000418409 - RICH FOODS-ARAMARK</v>
      </c>
      <c r="C19789" t="s">
        <v>534</v>
      </c>
      <c r="D19789" s="1" t="str">
        <f t="shared" si="526"/>
        <v>PRG-1046884</v>
      </c>
      <c r="E19789" t="s">
        <v>127</v>
      </c>
      <c r="F19789" t="s">
        <v>4</v>
      </c>
      <c r="G19789" t="str">
        <f>""</f>
        <v/>
      </c>
    </row>
    <row r="19790" spans="1:7" x14ac:dyDescent="0.25">
      <c r="A19790" t="s">
        <v>8</v>
      </c>
      <c r="B19790" s="1" t="str">
        <f>"000418926 - RICH FOODS-ARAMARK"</f>
        <v>000418926 - RICH FOODS-ARAMARK</v>
      </c>
      <c r="C19790" t="s">
        <v>534</v>
      </c>
      <c r="D19790" s="1" t="str">
        <f t="shared" si="526"/>
        <v>PRG-1046884</v>
      </c>
      <c r="E19790" t="s">
        <v>127</v>
      </c>
      <c r="F19790" t="s">
        <v>4</v>
      </c>
      <c r="G19790" t="str">
        <f>""</f>
        <v/>
      </c>
    </row>
    <row r="19791" spans="1:7" x14ac:dyDescent="0.25">
      <c r="A19791" t="s">
        <v>8</v>
      </c>
      <c r="B19791" s="1" t="str">
        <f>"000424882 - RICH FOODS-ARAMARK MAIN"</f>
        <v>000424882 - RICH FOODS-ARAMARK MAIN</v>
      </c>
      <c r="C19791" t="s">
        <v>574</v>
      </c>
      <c r="D19791" s="1" t="str">
        <f t="shared" si="526"/>
        <v>PRG-1046884</v>
      </c>
      <c r="E19791" t="s">
        <v>127</v>
      </c>
      <c r="F19791" t="s">
        <v>4</v>
      </c>
      <c r="G19791" t="str">
        <f>""</f>
        <v/>
      </c>
    </row>
    <row r="19792" spans="1:7" x14ac:dyDescent="0.25">
      <c r="A19792" t="s">
        <v>8</v>
      </c>
      <c r="B19792" s="1" t="str">
        <f>"000425122 - RICH FOODS-ARAMARK"</f>
        <v>000425122 - RICH FOODS-ARAMARK</v>
      </c>
      <c r="C19792" t="s">
        <v>534</v>
      </c>
      <c r="D19792" s="1" t="str">
        <f t="shared" si="526"/>
        <v>PRG-1046884</v>
      </c>
      <c r="E19792" t="s">
        <v>127</v>
      </c>
      <c r="F19792" t="s">
        <v>4</v>
      </c>
      <c r="G19792" t="str">
        <f>""</f>
        <v/>
      </c>
    </row>
    <row r="19793" spans="1:7" x14ac:dyDescent="0.25">
      <c r="A19793" t="s">
        <v>8</v>
      </c>
      <c r="B19793" s="1" t="str">
        <f>"000425156 - RICH FOODS-ARAMARK MAIN"</f>
        <v>000425156 - RICH FOODS-ARAMARK MAIN</v>
      </c>
      <c r="C19793" t="s">
        <v>574</v>
      </c>
      <c r="D19793" s="1" t="str">
        <f t="shared" si="526"/>
        <v>PRG-1046884</v>
      </c>
      <c r="E19793" t="s">
        <v>127</v>
      </c>
      <c r="F19793" t="s">
        <v>4</v>
      </c>
      <c r="G19793" t="str">
        <f>""</f>
        <v/>
      </c>
    </row>
    <row r="19794" spans="1:7" x14ac:dyDescent="0.25">
      <c r="A19794" t="s">
        <v>8</v>
      </c>
      <c r="B19794" s="1" t="str">
        <f>"25201"</f>
        <v>25201</v>
      </c>
      <c r="C19794" t="s">
        <v>4574</v>
      </c>
      <c r="D19794" s="1" t="str">
        <f>"PRG-1046951"</f>
        <v>PRG-1046951</v>
      </c>
      <c r="E19794" t="s">
        <v>4575</v>
      </c>
      <c r="F19794" t="s">
        <v>7</v>
      </c>
      <c r="G19794" t="str">
        <f>""</f>
        <v/>
      </c>
    </row>
    <row r="19795" spans="1:7" x14ac:dyDescent="0.25">
      <c r="A19795" t="s">
        <v>8</v>
      </c>
      <c r="B19795" s="1" t="str">
        <f>"000264497 - RICHS CHESTER SCHLS"</f>
        <v>000264497 - RICHS CHESTER SCHLS</v>
      </c>
      <c r="C19795" t="s">
        <v>2367</v>
      </c>
      <c r="D19795" s="1" t="str">
        <f>"PRG-1046952"</f>
        <v>PRG-1046952</v>
      </c>
      <c r="E19795" t="s">
        <v>2368</v>
      </c>
      <c r="F19795" t="s">
        <v>4</v>
      </c>
      <c r="G19795" t="str">
        <f>""</f>
        <v/>
      </c>
    </row>
    <row r="19796" spans="1:7" x14ac:dyDescent="0.25">
      <c r="A19796" t="s">
        <v>8</v>
      </c>
      <c r="B19796" s="1" t="str">
        <f>"000290419 - RICH KATHY'S TABLE"</f>
        <v>000290419 - RICH KATHY'S TABLE</v>
      </c>
      <c r="C19796" t="s">
        <v>2826</v>
      </c>
      <c r="D19796" s="1" t="str">
        <f>"PRG-1046962"</f>
        <v>PRG-1046962</v>
      </c>
      <c r="E19796" t="s">
        <v>2827</v>
      </c>
      <c r="F19796" t="s">
        <v>4</v>
      </c>
      <c r="G19796" t="str">
        <f>""</f>
        <v/>
      </c>
    </row>
    <row r="19797" spans="1:7" x14ac:dyDescent="0.25">
      <c r="A19797" t="s">
        <v>8</v>
      </c>
      <c r="B19797" s="1" t="str">
        <f>"S9B01W20"</f>
        <v>S9B01W20</v>
      </c>
      <c r="C19797" t="s">
        <v>6316</v>
      </c>
      <c r="D19797" s="1" t="str">
        <f>"PRG-1047016"</f>
        <v>PRG-1047016</v>
      </c>
      <c r="E19797" t="s">
        <v>6317</v>
      </c>
      <c r="F19797" t="s">
        <v>5</v>
      </c>
      <c r="G19797" t="str">
        <f>""</f>
        <v/>
      </c>
    </row>
    <row r="19798" spans="1:7" x14ac:dyDescent="0.25">
      <c r="A19798" t="s">
        <v>8</v>
      </c>
      <c r="B19798" s="1" t="str">
        <f>"000288661 - RICHS JOHN &amp; NICKS"</f>
        <v>000288661 - RICHS JOHN &amp; NICKS</v>
      </c>
      <c r="C19798" t="s">
        <v>2783</v>
      </c>
      <c r="D19798" s="1" t="str">
        <f>"PRG-1047023"</f>
        <v>PRG-1047023</v>
      </c>
      <c r="E19798" t="s">
        <v>2784</v>
      </c>
      <c r="F19798" t="s">
        <v>4</v>
      </c>
      <c r="G19798" t="str">
        <f>""</f>
        <v/>
      </c>
    </row>
    <row r="19799" spans="1:7" x14ac:dyDescent="0.25">
      <c r="A19799" t="s">
        <v>8</v>
      </c>
      <c r="B19799" s="1" t="str">
        <f>"000290150 - RICHS JOHN &amp; NICKS"</f>
        <v>000290150 - RICHS JOHN &amp; NICKS</v>
      </c>
      <c r="C19799" t="s">
        <v>2783</v>
      </c>
      <c r="D19799" s="1" t="str">
        <f>"PRG-1047023"</f>
        <v>PRG-1047023</v>
      </c>
      <c r="E19799" t="s">
        <v>2784</v>
      </c>
      <c r="F19799" t="s">
        <v>4</v>
      </c>
      <c r="G19799" t="str">
        <f>""</f>
        <v/>
      </c>
    </row>
    <row r="19800" spans="1:7" x14ac:dyDescent="0.25">
      <c r="A19800" t="s">
        <v>8</v>
      </c>
      <c r="B19800" s="1" t="str">
        <f>"000310765 - RICH ROUTE 63 PZZA MILL"</f>
        <v>000310765 - RICH ROUTE 63 PZZA MILL</v>
      </c>
      <c r="C19800" t="s">
        <v>3110</v>
      </c>
      <c r="D19800" s="1" t="str">
        <f>"PRG-1047025"</f>
        <v>PRG-1047025</v>
      </c>
      <c r="E19800" t="s">
        <v>3111</v>
      </c>
      <c r="F19800" t="s">
        <v>4</v>
      </c>
      <c r="G19800" t="str">
        <f>""</f>
        <v/>
      </c>
    </row>
    <row r="19801" spans="1:7" x14ac:dyDescent="0.25">
      <c r="A19801" t="s">
        <v>8</v>
      </c>
      <c r="B19801" s="1" t="str">
        <f>"3170L320"</f>
        <v>3170L320</v>
      </c>
      <c r="C19801" t="s">
        <v>4753</v>
      </c>
      <c r="D19801" s="1" t="str">
        <f>"PRG-1047094"</f>
        <v>PRG-1047094</v>
      </c>
      <c r="E19801" t="s">
        <v>4754</v>
      </c>
      <c r="F19801" t="s">
        <v>5</v>
      </c>
      <c r="G19801" t="str">
        <f>""</f>
        <v/>
      </c>
    </row>
    <row r="19802" spans="1:7" x14ac:dyDescent="0.25">
      <c r="A19802" t="s">
        <v>8</v>
      </c>
      <c r="B19802" s="1" t="str">
        <f>"10033"</f>
        <v>10033</v>
      </c>
      <c r="C19802" t="s">
        <v>3761</v>
      </c>
      <c r="D19802" s="1" t="str">
        <f>"PRG-1047103"</f>
        <v>PRG-1047103</v>
      </c>
      <c r="E19802" t="s">
        <v>3762</v>
      </c>
      <c r="F19802" t="s">
        <v>7</v>
      </c>
      <c r="G19802" t="str">
        <f>""</f>
        <v/>
      </c>
    </row>
    <row r="19803" spans="1:7" x14ac:dyDescent="0.25">
      <c r="A19803" t="s">
        <v>8</v>
      </c>
      <c r="B19803" s="1" t="str">
        <f>"S1Z0OMZ0"</f>
        <v>S1Z0OMZ0</v>
      </c>
      <c r="C19803" t="s">
        <v>5428</v>
      </c>
      <c r="D19803" s="1" t="str">
        <f>"PRG-1047108"</f>
        <v>PRG-1047108</v>
      </c>
      <c r="E19803" t="s">
        <v>5428</v>
      </c>
      <c r="F19803" t="s">
        <v>5</v>
      </c>
      <c r="G19803" t="str">
        <f>""</f>
        <v/>
      </c>
    </row>
    <row r="19804" spans="1:7" x14ac:dyDescent="0.25">
      <c r="A19804" t="s">
        <v>8</v>
      </c>
      <c r="B19804" s="1" t="str">
        <f>"S9B01WG0"</f>
        <v>S9B01WG0</v>
      </c>
      <c r="C19804" t="s">
        <v>6318</v>
      </c>
      <c r="D19804" s="1" t="str">
        <f>"PRG-1047132"</f>
        <v>PRG-1047132</v>
      </c>
      <c r="E19804" t="s">
        <v>6319</v>
      </c>
      <c r="F19804" t="s">
        <v>5</v>
      </c>
      <c r="G19804" t="str">
        <f>""</f>
        <v/>
      </c>
    </row>
    <row r="19805" spans="1:7" x14ac:dyDescent="0.25">
      <c r="A19805" t="s">
        <v>8</v>
      </c>
      <c r="B19805" s="1" t="str">
        <f>"000060056 - RICH FOODS-CAESARS"</f>
        <v>000060056 - RICH FOODS-CAESARS</v>
      </c>
      <c r="C19805" t="s">
        <v>140</v>
      </c>
      <c r="D19805" s="1" t="str">
        <f t="shared" ref="D19805:D19814" si="527">"PRG-1047154"</f>
        <v>PRG-1047154</v>
      </c>
      <c r="E19805" t="s">
        <v>702</v>
      </c>
      <c r="F19805" t="s">
        <v>4</v>
      </c>
      <c r="G19805" t="str">
        <f>""</f>
        <v/>
      </c>
    </row>
    <row r="19806" spans="1:7" x14ac:dyDescent="0.25">
      <c r="A19806" t="s">
        <v>8</v>
      </c>
      <c r="B19806" s="1" t="str">
        <f>"000261906 - CAESARS--RICH PRODUCTS"</f>
        <v>000261906 - CAESARS--RICH PRODUCTS</v>
      </c>
      <c r="C19806" t="s">
        <v>2300</v>
      </c>
      <c r="D19806" s="1" t="str">
        <f t="shared" si="527"/>
        <v>PRG-1047154</v>
      </c>
      <c r="E19806" t="s">
        <v>702</v>
      </c>
      <c r="F19806" t="s">
        <v>4</v>
      </c>
      <c r="G19806" t="str">
        <f>""</f>
        <v/>
      </c>
    </row>
    <row r="19807" spans="1:7" x14ac:dyDescent="0.25">
      <c r="A19807" t="s">
        <v>8</v>
      </c>
      <c r="B19807" s="1" t="str">
        <f>"000266639 - RICH FOODS-CAESARS"</f>
        <v>000266639 - RICH FOODS-CAESARS</v>
      </c>
      <c r="C19807" t="s">
        <v>140</v>
      </c>
      <c r="D19807" s="1" t="str">
        <f t="shared" si="527"/>
        <v>PRG-1047154</v>
      </c>
      <c r="E19807" t="s">
        <v>702</v>
      </c>
      <c r="F19807" t="s">
        <v>4</v>
      </c>
      <c r="G19807" t="str">
        <f>""</f>
        <v/>
      </c>
    </row>
    <row r="19808" spans="1:7" x14ac:dyDescent="0.25">
      <c r="A19808" t="s">
        <v>8</v>
      </c>
      <c r="B19808" s="1" t="str">
        <f>"000302921 - RICH FOODS-CAESARS"</f>
        <v>000302921 - RICH FOODS-CAESARS</v>
      </c>
      <c r="C19808" t="s">
        <v>140</v>
      </c>
      <c r="D19808" s="1" t="str">
        <f t="shared" si="527"/>
        <v>PRG-1047154</v>
      </c>
      <c r="E19808" t="s">
        <v>702</v>
      </c>
      <c r="F19808" t="s">
        <v>4</v>
      </c>
      <c r="G19808" t="str">
        <f>""</f>
        <v/>
      </c>
    </row>
    <row r="19809" spans="1:7" x14ac:dyDescent="0.25">
      <c r="A19809" t="s">
        <v>8</v>
      </c>
      <c r="B19809" s="1" t="str">
        <f>"60310759"</f>
        <v>60310759</v>
      </c>
      <c r="C19809" t="s">
        <v>5270</v>
      </c>
      <c r="D19809" s="1" t="str">
        <f t="shared" si="527"/>
        <v>PRG-1047154</v>
      </c>
      <c r="E19809" t="s">
        <v>702</v>
      </c>
      <c r="F19809" t="s">
        <v>5</v>
      </c>
      <c r="G19809" t="str">
        <f>""</f>
        <v/>
      </c>
    </row>
    <row r="19810" spans="1:7" x14ac:dyDescent="0.25">
      <c r="A19810" t="s">
        <v>8</v>
      </c>
      <c r="B19810" s="1" t="str">
        <f>"60310763"</f>
        <v>60310763</v>
      </c>
      <c r="C19810" t="s">
        <v>5272</v>
      </c>
      <c r="D19810" s="1" t="str">
        <f t="shared" si="527"/>
        <v>PRG-1047154</v>
      </c>
      <c r="E19810" t="s">
        <v>702</v>
      </c>
      <c r="F19810" t="s">
        <v>5</v>
      </c>
      <c r="G19810" t="str">
        <f>""</f>
        <v/>
      </c>
    </row>
    <row r="19811" spans="1:7" x14ac:dyDescent="0.25">
      <c r="A19811" t="s">
        <v>8</v>
      </c>
      <c r="B19811" s="1" t="str">
        <f>"60310764"</f>
        <v>60310764</v>
      </c>
      <c r="C19811" t="s">
        <v>5273</v>
      </c>
      <c r="D19811" s="1" t="str">
        <f t="shared" si="527"/>
        <v>PRG-1047154</v>
      </c>
      <c r="E19811" t="s">
        <v>702</v>
      </c>
      <c r="F19811" t="s">
        <v>5</v>
      </c>
      <c r="G19811" t="str">
        <f>""</f>
        <v/>
      </c>
    </row>
    <row r="19812" spans="1:7" x14ac:dyDescent="0.25">
      <c r="A19812" t="s">
        <v>8</v>
      </c>
      <c r="B19812" s="1" t="str">
        <f>"60310766"</f>
        <v>60310766</v>
      </c>
      <c r="C19812" t="s">
        <v>5274</v>
      </c>
      <c r="D19812" s="1" t="str">
        <f t="shared" si="527"/>
        <v>PRG-1047154</v>
      </c>
      <c r="E19812" t="s">
        <v>702</v>
      </c>
      <c r="F19812" t="s">
        <v>5</v>
      </c>
      <c r="G19812" t="str">
        <f>""</f>
        <v/>
      </c>
    </row>
    <row r="19813" spans="1:7" x14ac:dyDescent="0.25">
      <c r="A19813" t="s">
        <v>8</v>
      </c>
      <c r="B19813" s="1" t="str">
        <f>"60310768"</f>
        <v>60310768</v>
      </c>
      <c r="C19813" t="s">
        <v>5275</v>
      </c>
      <c r="D19813" s="1" t="str">
        <f t="shared" si="527"/>
        <v>PRG-1047154</v>
      </c>
      <c r="E19813" t="s">
        <v>702</v>
      </c>
      <c r="F19813" t="s">
        <v>5</v>
      </c>
      <c r="G19813" t="str">
        <f>""</f>
        <v/>
      </c>
    </row>
    <row r="19814" spans="1:7" x14ac:dyDescent="0.25">
      <c r="A19814" t="s">
        <v>8</v>
      </c>
      <c r="B19814" s="1" t="str">
        <f>"60321666"</f>
        <v>60321666</v>
      </c>
      <c r="C19814" t="s">
        <v>5290</v>
      </c>
      <c r="D19814" s="1" t="str">
        <f t="shared" si="527"/>
        <v>PRG-1047154</v>
      </c>
      <c r="E19814" t="s">
        <v>702</v>
      </c>
      <c r="F19814" t="s">
        <v>5</v>
      </c>
      <c r="G19814" t="str">
        <f>""</f>
        <v/>
      </c>
    </row>
    <row r="19815" spans="1:7" x14ac:dyDescent="0.25">
      <c r="A19815" t="s">
        <v>8</v>
      </c>
      <c r="B19815" s="1" t="str">
        <f>"000311180 - RICH INDEPENDENT ALE HOUSE"</f>
        <v>000311180 - RICH INDEPENDENT ALE HOUSE</v>
      </c>
      <c r="C19815" t="s">
        <v>3114</v>
      </c>
      <c r="D19815" s="1" t="str">
        <f>"PRG-1047199"</f>
        <v>PRG-1047199</v>
      </c>
      <c r="E19815" t="s">
        <v>3115</v>
      </c>
      <c r="F19815" t="s">
        <v>4</v>
      </c>
      <c r="G19815" t="str">
        <f>""</f>
        <v/>
      </c>
    </row>
    <row r="19816" spans="1:7" x14ac:dyDescent="0.25">
      <c r="A19816" t="s">
        <v>8</v>
      </c>
      <c r="B19816" s="1" t="str">
        <f>"000007332 - "</f>
        <v xml:space="preserve">000007332 - </v>
      </c>
      <c r="D19816" s="1" t="str">
        <f t="shared" ref="D19816:D19834" si="528">"PRG-1047251"</f>
        <v>PRG-1047251</v>
      </c>
      <c r="E19816" t="s">
        <v>258</v>
      </c>
      <c r="F19816" t="s">
        <v>4</v>
      </c>
      <c r="G19816" t="str">
        <f>""</f>
        <v/>
      </c>
    </row>
    <row r="19817" spans="1:7" x14ac:dyDescent="0.25">
      <c r="A19817" t="s">
        <v>8</v>
      </c>
      <c r="B19817" s="1" t="str">
        <f>"000057236 - RICH FOODS-EL DORADO"</f>
        <v>000057236 - RICH FOODS-EL DORADO</v>
      </c>
      <c r="C19817" t="s">
        <v>520</v>
      </c>
      <c r="D19817" s="1" t="str">
        <f t="shared" si="528"/>
        <v>PRG-1047251</v>
      </c>
      <c r="E19817" t="s">
        <v>258</v>
      </c>
      <c r="F19817" t="s">
        <v>4</v>
      </c>
      <c r="G19817" t="str">
        <f>""</f>
        <v/>
      </c>
    </row>
    <row r="19818" spans="1:7" x14ac:dyDescent="0.25">
      <c r="A19818" t="s">
        <v>8</v>
      </c>
      <c r="B19818" s="1" t="str">
        <f>"000065345 - RICH FOODS-EL DORADO"</f>
        <v>000065345 - RICH FOODS-EL DORADO</v>
      </c>
      <c r="C19818" t="s">
        <v>520</v>
      </c>
      <c r="D19818" s="1" t="str">
        <f t="shared" si="528"/>
        <v>PRG-1047251</v>
      </c>
      <c r="E19818" t="s">
        <v>258</v>
      </c>
      <c r="F19818" t="s">
        <v>4</v>
      </c>
      <c r="G19818" t="str">
        <f>""</f>
        <v/>
      </c>
    </row>
    <row r="19819" spans="1:7" x14ac:dyDescent="0.25">
      <c r="A19819" t="s">
        <v>8</v>
      </c>
      <c r="B19819" s="1" t="str">
        <f>"000070577 - RICH FOODS-EL DORADO"</f>
        <v>000070577 - RICH FOODS-EL DORADO</v>
      </c>
      <c r="C19819" t="s">
        <v>520</v>
      </c>
      <c r="D19819" s="1" t="str">
        <f t="shared" si="528"/>
        <v>PRG-1047251</v>
      </c>
      <c r="E19819" t="s">
        <v>258</v>
      </c>
      <c r="F19819" t="s">
        <v>4</v>
      </c>
      <c r="G19819" t="str">
        <f>""</f>
        <v/>
      </c>
    </row>
    <row r="19820" spans="1:7" x14ac:dyDescent="0.25">
      <c r="A19820" t="s">
        <v>8</v>
      </c>
      <c r="B19820" s="1" t="str">
        <f>"000072605 - RICH FOODS-EL DORADO"</f>
        <v>000072605 - RICH FOODS-EL DORADO</v>
      </c>
      <c r="C19820" t="s">
        <v>520</v>
      </c>
      <c r="D19820" s="1" t="str">
        <f t="shared" si="528"/>
        <v>PRG-1047251</v>
      </c>
      <c r="E19820" t="s">
        <v>258</v>
      </c>
      <c r="F19820" t="s">
        <v>4</v>
      </c>
      <c r="G19820" t="str">
        <f>""</f>
        <v/>
      </c>
    </row>
    <row r="19821" spans="1:7" x14ac:dyDescent="0.25">
      <c r="A19821" t="s">
        <v>8</v>
      </c>
      <c r="B19821" s="1" t="str">
        <f>"000243648 - RICH FOODS-EL DORADO"</f>
        <v>000243648 - RICH FOODS-EL DORADO</v>
      </c>
      <c r="C19821" t="s">
        <v>520</v>
      </c>
      <c r="D19821" s="1" t="str">
        <f t="shared" si="528"/>
        <v>PRG-1047251</v>
      </c>
      <c r="E19821" t="s">
        <v>258</v>
      </c>
      <c r="F19821" t="s">
        <v>4</v>
      </c>
      <c r="G19821" t="str">
        <f>""</f>
        <v/>
      </c>
    </row>
    <row r="19822" spans="1:7" x14ac:dyDescent="0.25">
      <c r="A19822" t="s">
        <v>8</v>
      </c>
      <c r="B19822" s="1" t="str">
        <f>"000263676 - RICH FOODS-EL DORADO"</f>
        <v>000263676 - RICH FOODS-EL DORADO</v>
      </c>
      <c r="C19822" t="s">
        <v>520</v>
      </c>
      <c r="D19822" s="1" t="str">
        <f t="shared" si="528"/>
        <v>PRG-1047251</v>
      </c>
      <c r="E19822" t="s">
        <v>258</v>
      </c>
      <c r="F19822" t="s">
        <v>4</v>
      </c>
      <c r="G19822" t="str">
        <f>""</f>
        <v/>
      </c>
    </row>
    <row r="19823" spans="1:7" x14ac:dyDescent="0.25">
      <c r="A19823" t="s">
        <v>8</v>
      </c>
      <c r="B19823" s="1" t="str">
        <f>"000287665 - RICH FOODS-EL DORADO"</f>
        <v>000287665 - RICH FOODS-EL DORADO</v>
      </c>
      <c r="C19823" t="s">
        <v>520</v>
      </c>
      <c r="D19823" s="1" t="str">
        <f t="shared" si="528"/>
        <v>PRG-1047251</v>
      </c>
      <c r="E19823" t="s">
        <v>258</v>
      </c>
      <c r="F19823" t="s">
        <v>4</v>
      </c>
      <c r="G19823" t="str">
        <f>""</f>
        <v/>
      </c>
    </row>
    <row r="19824" spans="1:7" x14ac:dyDescent="0.25">
      <c r="A19824" t="s">
        <v>8</v>
      </c>
      <c r="B19824" s="1" t="str">
        <f>"000292047 - RICH FOODS-EL DORADO"</f>
        <v>000292047 - RICH FOODS-EL DORADO</v>
      </c>
      <c r="C19824" t="s">
        <v>520</v>
      </c>
      <c r="D19824" s="1" t="str">
        <f t="shared" si="528"/>
        <v>PRG-1047251</v>
      </c>
      <c r="E19824" t="s">
        <v>258</v>
      </c>
      <c r="F19824" t="s">
        <v>4</v>
      </c>
      <c r="G19824" t="str">
        <f>""</f>
        <v/>
      </c>
    </row>
    <row r="19825" spans="1:7" x14ac:dyDescent="0.25">
      <c r="A19825" t="s">
        <v>8</v>
      </c>
      <c r="B19825" s="1" t="str">
        <f>"000296814 - RICH FOODS-EL DORADO"</f>
        <v>000296814 - RICH FOODS-EL DORADO</v>
      </c>
      <c r="C19825" t="s">
        <v>520</v>
      </c>
      <c r="D19825" s="1" t="str">
        <f t="shared" si="528"/>
        <v>PRG-1047251</v>
      </c>
      <c r="E19825" t="s">
        <v>258</v>
      </c>
      <c r="F19825" t="s">
        <v>4</v>
      </c>
      <c r="G19825" t="str">
        <f>""</f>
        <v/>
      </c>
    </row>
    <row r="19826" spans="1:7" x14ac:dyDescent="0.25">
      <c r="A19826" t="s">
        <v>8</v>
      </c>
      <c r="B19826" s="1" t="str">
        <f>"000300576 - RICH FOODS-EL DORADO"</f>
        <v>000300576 - RICH FOODS-EL DORADO</v>
      </c>
      <c r="C19826" t="s">
        <v>520</v>
      </c>
      <c r="D19826" s="1" t="str">
        <f t="shared" si="528"/>
        <v>PRG-1047251</v>
      </c>
      <c r="E19826" t="s">
        <v>258</v>
      </c>
      <c r="F19826" t="s">
        <v>4</v>
      </c>
      <c r="G19826" t="str">
        <f>""</f>
        <v/>
      </c>
    </row>
    <row r="19827" spans="1:7" x14ac:dyDescent="0.25">
      <c r="A19827" t="s">
        <v>8</v>
      </c>
      <c r="B19827" s="1" t="str">
        <f>"000319607 - RICH FOODS-EL DORADO"</f>
        <v>000319607 - RICH FOODS-EL DORADO</v>
      </c>
      <c r="C19827" t="s">
        <v>520</v>
      </c>
      <c r="D19827" s="1" t="str">
        <f t="shared" si="528"/>
        <v>PRG-1047251</v>
      </c>
      <c r="E19827" t="s">
        <v>258</v>
      </c>
      <c r="F19827" t="s">
        <v>4</v>
      </c>
      <c r="G19827" t="str">
        <f>""</f>
        <v/>
      </c>
    </row>
    <row r="19828" spans="1:7" x14ac:dyDescent="0.25">
      <c r="A19828" t="s">
        <v>8</v>
      </c>
      <c r="B19828" s="1" t="str">
        <f>"000323872 - RICH FOODS-EL DORADO"</f>
        <v>000323872 - RICH FOODS-EL DORADO</v>
      </c>
      <c r="C19828" t="s">
        <v>520</v>
      </c>
      <c r="D19828" s="1" t="str">
        <f t="shared" si="528"/>
        <v>PRG-1047251</v>
      </c>
      <c r="E19828" t="s">
        <v>258</v>
      </c>
      <c r="F19828" t="s">
        <v>4</v>
      </c>
      <c r="G19828" t="str">
        <f>""</f>
        <v/>
      </c>
    </row>
    <row r="19829" spans="1:7" x14ac:dyDescent="0.25">
      <c r="A19829" t="s">
        <v>8</v>
      </c>
      <c r="B19829" s="1" t="str">
        <f>"000324746 - RICH FOODS-EL DORADO"</f>
        <v>000324746 - RICH FOODS-EL DORADO</v>
      </c>
      <c r="C19829" t="s">
        <v>520</v>
      </c>
      <c r="D19829" s="1" t="str">
        <f t="shared" si="528"/>
        <v>PRG-1047251</v>
      </c>
      <c r="E19829" t="s">
        <v>258</v>
      </c>
      <c r="F19829" t="s">
        <v>4</v>
      </c>
      <c r="G19829" t="str">
        <f>""</f>
        <v/>
      </c>
    </row>
    <row r="19830" spans="1:7" x14ac:dyDescent="0.25">
      <c r="A19830" t="s">
        <v>8</v>
      </c>
      <c r="B19830" s="1" t="str">
        <f>"000337935 - RICH FOODS-EL DORADO"</f>
        <v>000337935 - RICH FOODS-EL DORADO</v>
      </c>
      <c r="C19830" t="s">
        <v>520</v>
      </c>
      <c r="D19830" s="1" t="str">
        <f t="shared" si="528"/>
        <v>PRG-1047251</v>
      </c>
      <c r="E19830" t="s">
        <v>258</v>
      </c>
      <c r="F19830" t="s">
        <v>4</v>
      </c>
      <c r="G19830" t="str">
        <f>""</f>
        <v/>
      </c>
    </row>
    <row r="19831" spans="1:7" x14ac:dyDescent="0.25">
      <c r="A19831" t="s">
        <v>8</v>
      </c>
      <c r="B19831" s="1" t="str">
        <f>"000351937 - RICH FOODS-EL DORADO UHSD"</f>
        <v>000351937 - RICH FOODS-EL DORADO UHSD</v>
      </c>
      <c r="C19831" t="s">
        <v>3518</v>
      </c>
      <c r="D19831" s="1" t="str">
        <f t="shared" si="528"/>
        <v>PRG-1047251</v>
      </c>
      <c r="E19831" t="s">
        <v>258</v>
      </c>
      <c r="F19831" t="s">
        <v>4</v>
      </c>
      <c r="G19831" t="str">
        <f>""</f>
        <v/>
      </c>
    </row>
    <row r="19832" spans="1:7" x14ac:dyDescent="0.25">
      <c r="A19832" t="s">
        <v>8</v>
      </c>
      <c r="B19832" s="1" t="str">
        <f>"000365165 - RICH FOODS-EL DORADO"</f>
        <v>000365165 - RICH FOODS-EL DORADO</v>
      </c>
      <c r="C19832" t="s">
        <v>520</v>
      </c>
      <c r="D19832" s="1" t="str">
        <f t="shared" si="528"/>
        <v>PRG-1047251</v>
      </c>
      <c r="E19832" t="s">
        <v>258</v>
      </c>
      <c r="F19832" t="s">
        <v>4</v>
      </c>
      <c r="G19832" t="str">
        <f>""</f>
        <v/>
      </c>
    </row>
    <row r="19833" spans="1:7" x14ac:dyDescent="0.25">
      <c r="A19833" t="s">
        <v>8</v>
      </c>
      <c r="B19833" s="1" t="str">
        <f>"000398105 - RICH FOODS-EL DORADO"</f>
        <v>000398105 - RICH FOODS-EL DORADO</v>
      </c>
      <c r="C19833" t="s">
        <v>520</v>
      </c>
      <c r="D19833" s="1" t="str">
        <f t="shared" si="528"/>
        <v>PRG-1047251</v>
      </c>
      <c r="E19833" t="s">
        <v>258</v>
      </c>
      <c r="F19833" t="s">
        <v>4</v>
      </c>
      <c r="G19833" t="str">
        <f>""</f>
        <v/>
      </c>
    </row>
    <row r="19834" spans="1:7" x14ac:dyDescent="0.25">
      <c r="A19834" t="s">
        <v>8</v>
      </c>
      <c r="B19834" s="1" t="str">
        <f>"000407417 - RICH FOODS-EL DORADO"</f>
        <v>000407417 - RICH FOODS-EL DORADO</v>
      </c>
      <c r="C19834" t="s">
        <v>520</v>
      </c>
      <c r="D19834" s="1" t="str">
        <f t="shared" si="528"/>
        <v>PRG-1047251</v>
      </c>
      <c r="E19834" t="s">
        <v>258</v>
      </c>
      <c r="F19834" t="s">
        <v>4</v>
      </c>
      <c r="G19834" t="str">
        <f>""</f>
        <v/>
      </c>
    </row>
    <row r="19835" spans="1:7" x14ac:dyDescent="0.25">
      <c r="A19835" t="s">
        <v>8</v>
      </c>
      <c r="B19835" s="1" t="str">
        <f>"60277794"</f>
        <v>60277794</v>
      </c>
      <c r="C19835" t="s">
        <v>5195</v>
      </c>
      <c r="D19835" s="1" t="str">
        <f t="shared" ref="D19835:D19862" si="529">"PRG-1047303"</f>
        <v>PRG-1047303</v>
      </c>
      <c r="E19835" t="s">
        <v>5196</v>
      </c>
      <c r="F19835" t="s">
        <v>5</v>
      </c>
      <c r="G19835" t="str">
        <f>""</f>
        <v/>
      </c>
    </row>
    <row r="19836" spans="1:7" x14ac:dyDescent="0.25">
      <c r="A19836" t="s">
        <v>8</v>
      </c>
      <c r="B19836" s="1" t="str">
        <f>"60277795"</f>
        <v>60277795</v>
      </c>
      <c r="C19836" t="s">
        <v>5197</v>
      </c>
      <c r="D19836" s="1" t="str">
        <f t="shared" si="529"/>
        <v>PRG-1047303</v>
      </c>
      <c r="E19836" t="s">
        <v>5196</v>
      </c>
      <c r="F19836" t="s">
        <v>5</v>
      </c>
      <c r="G19836" t="str">
        <f>""</f>
        <v/>
      </c>
    </row>
    <row r="19837" spans="1:7" x14ac:dyDescent="0.25">
      <c r="A19837" t="s">
        <v>8</v>
      </c>
      <c r="B19837" s="1" t="str">
        <f>"60277796"</f>
        <v>60277796</v>
      </c>
      <c r="C19837" t="s">
        <v>5198</v>
      </c>
      <c r="D19837" s="1" t="str">
        <f t="shared" si="529"/>
        <v>PRG-1047303</v>
      </c>
      <c r="E19837" t="s">
        <v>5196</v>
      </c>
      <c r="F19837" t="s">
        <v>5</v>
      </c>
      <c r="G19837" t="str">
        <f>""</f>
        <v/>
      </c>
    </row>
    <row r="19838" spans="1:7" x14ac:dyDescent="0.25">
      <c r="A19838" t="s">
        <v>8</v>
      </c>
      <c r="B19838" s="1" t="str">
        <f>"60277797"</f>
        <v>60277797</v>
      </c>
      <c r="C19838" t="s">
        <v>5199</v>
      </c>
      <c r="D19838" s="1" t="str">
        <f t="shared" si="529"/>
        <v>PRG-1047303</v>
      </c>
      <c r="E19838" t="s">
        <v>5196</v>
      </c>
      <c r="F19838" t="s">
        <v>5</v>
      </c>
      <c r="G19838" t="str">
        <f>""</f>
        <v/>
      </c>
    </row>
    <row r="19839" spans="1:7" x14ac:dyDescent="0.25">
      <c r="A19839" t="s">
        <v>8</v>
      </c>
      <c r="B19839" s="1" t="str">
        <f>"60277798"</f>
        <v>60277798</v>
      </c>
      <c r="C19839" t="s">
        <v>5200</v>
      </c>
      <c r="D19839" s="1" t="str">
        <f t="shared" si="529"/>
        <v>PRG-1047303</v>
      </c>
      <c r="E19839" t="s">
        <v>5196</v>
      </c>
      <c r="F19839" t="s">
        <v>5</v>
      </c>
      <c r="G19839" t="str">
        <f>""</f>
        <v/>
      </c>
    </row>
    <row r="19840" spans="1:7" x14ac:dyDescent="0.25">
      <c r="A19840" t="s">
        <v>8</v>
      </c>
      <c r="B19840" s="1" t="str">
        <f>"60277800"</f>
        <v>60277800</v>
      </c>
      <c r="C19840" t="s">
        <v>5202</v>
      </c>
      <c r="D19840" s="1" t="str">
        <f t="shared" si="529"/>
        <v>PRG-1047303</v>
      </c>
      <c r="E19840" t="s">
        <v>5196</v>
      </c>
      <c r="F19840" t="s">
        <v>5</v>
      </c>
      <c r="G19840" t="str">
        <f>""</f>
        <v/>
      </c>
    </row>
    <row r="19841" spans="1:7" x14ac:dyDescent="0.25">
      <c r="A19841" t="s">
        <v>8</v>
      </c>
      <c r="B19841" s="1" t="str">
        <f>"60277801"</f>
        <v>60277801</v>
      </c>
      <c r="C19841" t="s">
        <v>5203</v>
      </c>
      <c r="D19841" s="1" t="str">
        <f t="shared" si="529"/>
        <v>PRG-1047303</v>
      </c>
      <c r="E19841" t="s">
        <v>5196</v>
      </c>
      <c r="F19841" t="s">
        <v>5</v>
      </c>
      <c r="G19841" t="str">
        <f>""</f>
        <v/>
      </c>
    </row>
    <row r="19842" spans="1:7" x14ac:dyDescent="0.25">
      <c r="A19842" t="s">
        <v>8</v>
      </c>
      <c r="B19842" s="1" t="str">
        <f>"60277802"</f>
        <v>60277802</v>
      </c>
      <c r="C19842" t="s">
        <v>5204</v>
      </c>
      <c r="D19842" s="1" t="str">
        <f t="shared" si="529"/>
        <v>PRG-1047303</v>
      </c>
      <c r="E19842" t="s">
        <v>5196</v>
      </c>
      <c r="F19842" t="s">
        <v>5</v>
      </c>
      <c r="G19842" t="str">
        <f>""</f>
        <v/>
      </c>
    </row>
    <row r="19843" spans="1:7" x14ac:dyDescent="0.25">
      <c r="A19843" t="s">
        <v>8</v>
      </c>
      <c r="B19843" s="1" t="str">
        <f>"60277803"</f>
        <v>60277803</v>
      </c>
      <c r="C19843" t="s">
        <v>5205</v>
      </c>
      <c r="D19843" s="1" t="str">
        <f t="shared" si="529"/>
        <v>PRG-1047303</v>
      </c>
      <c r="E19843" t="s">
        <v>5196</v>
      </c>
      <c r="F19843" t="s">
        <v>5</v>
      </c>
      <c r="G19843" t="str">
        <f>""</f>
        <v/>
      </c>
    </row>
    <row r="19844" spans="1:7" x14ac:dyDescent="0.25">
      <c r="A19844" t="s">
        <v>8</v>
      </c>
      <c r="B19844" s="1" t="str">
        <f>"60277804"</f>
        <v>60277804</v>
      </c>
      <c r="C19844" t="s">
        <v>5206</v>
      </c>
      <c r="D19844" s="1" t="str">
        <f t="shared" si="529"/>
        <v>PRG-1047303</v>
      </c>
      <c r="E19844" t="s">
        <v>5196</v>
      </c>
      <c r="F19844" t="s">
        <v>5</v>
      </c>
      <c r="G19844" t="str">
        <f>""</f>
        <v/>
      </c>
    </row>
    <row r="19845" spans="1:7" x14ac:dyDescent="0.25">
      <c r="A19845" t="s">
        <v>8</v>
      </c>
      <c r="B19845" s="1" t="str">
        <f>"60277805"</f>
        <v>60277805</v>
      </c>
      <c r="C19845" t="s">
        <v>5207</v>
      </c>
      <c r="D19845" s="1" t="str">
        <f t="shared" si="529"/>
        <v>PRG-1047303</v>
      </c>
      <c r="E19845" t="s">
        <v>5196</v>
      </c>
      <c r="F19845" t="s">
        <v>5</v>
      </c>
      <c r="G19845" t="str">
        <f>""</f>
        <v/>
      </c>
    </row>
    <row r="19846" spans="1:7" x14ac:dyDescent="0.25">
      <c r="A19846" t="s">
        <v>8</v>
      </c>
      <c r="B19846" s="1" t="str">
        <f>"60277806"</f>
        <v>60277806</v>
      </c>
      <c r="C19846" t="s">
        <v>5208</v>
      </c>
      <c r="D19846" s="1" t="str">
        <f t="shared" si="529"/>
        <v>PRG-1047303</v>
      </c>
      <c r="E19846" t="s">
        <v>5196</v>
      </c>
      <c r="F19846" t="s">
        <v>5</v>
      </c>
      <c r="G19846" t="str">
        <f>""</f>
        <v/>
      </c>
    </row>
    <row r="19847" spans="1:7" x14ac:dyDescent="0.25">
      <c r="A19847" t="s">
        <v>8</v>
      </c>
      <c r="B19847" s="1" t="str">
        <f>"60277807"</f>
        <v>60277807</v>
      </c>
      <c r="C19847" t="s">
        <v>5209</v>
      </c>
      <c r="D19847" s="1" t="str">
        <f t="shared" si="529"/>
        <v>PRG-1047303</v>
      </c>
      <c r="E19847" t="s">
        <v>5196</v>
      </c>
      <c r="F19847" t="s">
        <v>5</v>
      </c>
      <c r="G19847" t="str">
        <f>""</f>
        <v/>
      </c>
    </row>
    <row r="19848" spans="1:7" x14ac:dyDescent="0.25">
      <c r="A19848" t="s">
        <v>8</v>
      </c>
      <c r="B19848" s="1" t="str">
        <f>"60303201"</f>
        <v>60303201</v>
      </c>
      <c r="C19848" t="s">
        <v>5250</v>
      </c>
      <c r="D19848" s="1" t="str">
        <f t="shared" si="529"/>
        <v>PRG-1047303</v>
      </c>
      <c r="E19848" t="s">
        <v>5196</v>
      </c>
      <c r="F19848" t="s">
        <v>5</v>
      </c>
      <c r="G19848" t="str">
        <f>""</f>
        <v/>
      </c>
    </row>
    <row r="19849" spans="1:7" x14ac:dyDescent="0.25">
      <c r="A19849" t="s">
        <v>8</v>
      </c>
      <c r="B19849" s="1" t="str">
        <f>"60303263"</f>
        <v>60303263</v>
      </c>
      <c r="C19849" t="s">
        <v>5251</v>
      </c>
      <c r="D19849" s="1" t="str">
        <f t="shared" si="529"/>
        <v>PRG-1047303</v>
      </c>
      <c r="E19849" t="s">
        <v>5196</v>
      </c>
      <c r="F19849" t="s">
        <v>5</v>
      </c>
      <c r="G19849" t="str">
        <f>""</f>
        <v/>
      </c>
    </row>
    <row r="19850" spans="1:7" x14ac:dyDescent="0.25">
      <c r="A19850" t="s">
        <v>8</v>
      </c>
      <c r="B19850" s="1" t="str">
        <f>"60303936"</f>
        <v>60303936</v>
      </c>
      <c r="C19850" t="s">
        <v>5254</v>
      </c>
      <c r="D19850" s="1" t="str">
        <f t="shared" si="529"/>
        <v>PRG-1047303</v>
      </c>
      <c r="E19850" t="s">
        <v>5196</v>
      </c>
      <c r="F19850" t="s">
        <v>5</v>
      </c>
      <c r="G19850" t="str">
        <f>""</f>
        <v/>
      </c>
    </row>
    <row r="19851" spans="1:7" x14ac:dyDescent="0.25">
      <c r="A19851" t="s">
        <v>8</v>
      </c>
      <c r="B19851" s="1" t="str">
        <f>"60303937"</f>
        <v>60303937</v>
      </c>
      <c r="C19851" t="s">
        <v>5255</v>
      </c>
      <c r="D19851" s="1" t="str">
        <f t="shared" si="529"/>
        <v>PRG-1047303</v>
      </c>
      <c r="E19851" t="s">
        <v>5196</v>
      </c>
      <c r="F19851" t="s">
        <v>5</v>
      </c>
      <c r="G19851" t="str">
        <f>""</f>
        <v/>
      </c>
    </row>
    <row r="19852" spans="1:7" x14ac:dyDescent="0.25">
      <c r="A19852" t="s">
        <v>8</v>
      </c>
      <c r="B19852" s="1" t="str">
        <f>"60303938"</f>
        <v>60303938</v>
      </c>
      <c r="C19852" t="s">
        <v>5256</v>
      </c>
      <c r="D19852" s="1" t="str">
        <f t="shared" si="529"/>
        <v>PRG-1047303</v>
      </c>
      <c r="E19852" t="s">
        <v>5196</v>
      </c>
      <c r="F19852" t="s">
        <v>5</v>
      </c>
      <c r="G19852" t="str">
        <f>""</f>
        <v/>
      </c>
    </row>
    <row r="19853" spans="1:7" x14ac:dyDescent="0.25">
      <c r="A19853" t="s">
        <v>8</v>
      </c>
      <c r="B19853" s="1" t="str">
        <f>"60303939"</f>
        <v>60303939</v>
      </c>
      <c r="C19853" t="s">
        <v>5257</v>
      </c>
      <c r="D19853" s="1" t="str">
        <f t="shared" si="529"/>
        <v>PRG-1047303</v>
      </c>
      <c r="E19853" t="s">
        <v>5196</v>
      </c>
      <c r="F19853" t="s">
        <v>5</v>
      </c>
      <c r="G19853" t="str">
        <f>""</f>
        <v/>
      </c>
    </row>
    <row r="19854" spans="1:7" x14ac:dyDescent="0.25">
      <c r="A19854" t="s">
        <v>8</v>
      </c>
      <c r="B19854" s="1" t="str">
        <f>"60303940"</f>
        <v>60303940</v>
      </c>
      <c r="C19854" t="s">
        <v>5258</v>
      </c>
      <c r="D19854" s="1" t="str">
        <f t="shared" si="529"/>
        <v>PRG-1047303</v>
      </c>
      <c r="E19854" t="s">
        <v>5196</v>
      </c>
      <c r="F19854" t="s">
        <v>5</v>
      </c>
      <c r="G19854" t="str">
        <f>""</f>
        <v/>
      </c>
    </row>
    <row r="19855" spans="1:7" x14ac:dyDescent="0.25">
      <c r="A19855" t="s">
        <v>8</v>
      </c>
      <c r="B19855" s="1" t="str">
        <f>"60303941"</f>
        <v>60303941</v>
      </c>
      <c r="C19855" t="s">
        <v>5259</v>
      </c>
      <c r="D19855" s="1" t="str">
        <f t="shared" si="529"/>
        <v>PRG-1047303</v>
      </c>
      <c r="E19855" t="s">
        <v>5196</v>
      </c>
      <c r="F19855" t="s">
        <v>5</v>
      </c>
      <c r="G19855" t="str">
        <f>""</f>
        <v/>
      </c>
    </row>
    <row r="19856" spans="1:7" x14ac:dyDescent="0.25">
      <c r="A19856" t="s">
        <v>8</v>
      </c>
      <c r="B19856" s="1" t="str">
        <f>"60303943"</f>
        <v>60303943</v>
      </c>
      <c r="C19856" t="s">
        <v>5261</v>
      </c>
      <c r="D19856" s="1" t="str">
        <f t="shared" si="529"/>
        <v>PRG-1047303</v>
      </c>
      <c r="E19856" t="s">
        <v>5196</v>
      </c>
      <c r="F19856" t="s">
        <v>5</v>
      </c>
      <c r="G19856" t="str">
        <f>""</f>
        <v/>
      </c>
    </row>
    <row r="19857" spans="1:7" x14ac:dyDescent="0.25">
      <c r="A19857" t="s">
        <v>8</v>
      </c>
      <c r="B19857" s="1" t="str">
        <f>"60303944"</f>
        <v>60303944</v>
      </c>
      <c r="C19857" t="s">
        <v>5262</v>
      </c>
      <c r="D19857" s="1" t="str">
        <f t="shared" si="529"/>
        <v>PRG-1047303</v>
      </c>
      <c r="E19857" t="s">
        <v>5196</v>
      </c>
      <c r="F19857" t="s">
        <v>5</v>
      </c>
      <c r="G19857" t="str">
        <f>""</f>
        <v/>
      </c>
    </row>
    <row r="19858" spans="1:7" x14ac:dyDescent="0.25">
      <c r="A19858" t="s">
        <v>8</v>
      </c>
      <c r="B19858" s="1" t="str">
        <f>"60303945"</f>
        <v>60303945</v>
      </c>
      <c r="C19858" t="s">
        <v>5263</v>
      </c>
      <c r="D19858" s="1" t="str">
        <f t="shared" si="529"/>
        <v>PRG-1047303</v>
      </c>
      <c r="E19858" t="s">
        <v>5196</v>
      </c>
      <c r="F19858" t="s">
        <v>5</v>
      </c>
      <c r="G19858" t="str">
        <f>""</f>
        <v/>
      </c>
    </row>
    <row r="19859" spans="1:7" x14ac:dyDescent="0.25">
      <c r="A19859" t="s">
        <v>8</v>
      </c>
      <c r="B19859" s="1" t="str">
        <f>"60303946"</f>
        <v>60303946</v>
      </c>
      <c r="C19859" t="s">
        <v>5264</v>
      </c>
      <c r="D19859" s="1" t="str">
        <f t="shared" si="529"/>
        <v>PRG-1047303</v>
      </c>
      <c r="E19859" t="s">
        <v>5196</v>
      </c>
      <c r="F19859" t="s">
        <v>5</v>
      </c>
      <c r="G19859" t="str">
        <f>""</f>
        <v/>
      </c>
    </row>
    <row r="19860" spans="1:7" x14ac:dyDescent="0.25">
      <c r="A19860" t="s">
        <v>8</v>
      </c>
      <c r="B19860" s="1" t="str">
        <f>"60303947"</f>
        <v>60303947</v>
      </c>
      <c r="C19860" t="s">
        <v>5265</v>
      </c>
      <c r="D19860" s="1" t="str">
        <f t="shared" si="529"/>
        <v>PRG-1047303</v>
      </c>
      <c r="E19860" t="s">
        <v>5196</v>
      </c>
      <c r="F19860" t="s">
        <v>5</v>
      </c>
      <c r="G19860" t="str">
        <f>""</f>
        <v/>
      </c>
    </row>
    <row r="19861" spans="1:7" x14ac:dyDescent="0.25">
      <c r="A19861" t="s">
        <v>8</v>
      </c>
      <c r="B19861" s="1" t="str">
        <f>"S5Z00310"</f>
        <v>S5Z00310</v>
      </c>
      <c r="C19861" t="s">
        <v>5946</v>
      </c>
      <c r="D19861" s="1" t="str">
        <f t="shared" si="529"/>
        <v>PRG-1047303</v>
      </c>
      <c r="E19861" t="s">
        <v>5196</v>
      </c>
      <c r="F19861" t="s">
        <v>5</v>
      </c>
      <c r="G19861" t="str">
        <f>""</f>
        <v/>
      </c>
    </row>
    <row r="19862" spans="1:7" x14ac:dyDescent="0.25">
      <c r="A19862" t="s">
        <v>8</v>
      </c>
      <c r="B19862" s="1" t="str">
        <f>"S5Z00311"</f>
        <v>S5Z00311</v>
      </c>
      <c r="C19862" t="s">
        <v>5946</v>
      </c>
      <c r="D19862" s="1" t="str">
        <f t="shared" si="529"/>
        <v>PRG-1047303</v>
      </c>
      <c r="E19862" t="s">
        <v>5196</v>
      </c>
      <c r="F19862" t="s">
        <v>5</v>
      </c>
      <c r="G19862" t="str">
        <f>""</f>
        <v/>
      </c>
    </row>
    <row r="19863" spans="1:7" x14ac:dyDescent="0.25">
      <c r="A19863" t="s">
        <v>8</v>
      </c>
      <c r="B19863" s="1" t="str">
        <f>"000002382 - RICH (BB NCORE)-AFNAF"</f>
        <v>000002382 - RICH (BB NCORE)-AFNAF</v>
      </c>
      <c r="C19863" t="s">
        <v>116</v>
      </c>
      <c r="D19863" s="1" t="str">
        <f t="shared" ref="D19863:D19894" si="530">"PRG-1047307"</f>
        <v>PRG-1047307</v>
      </c>
      <c r="E19863" t="s">
        <v>12</v>
      </c>
      <c r="F19863" t="s">
        <v>4</v>
      </c>
      <c r="G19863" t="str">
        <f>""</f>
        <v/>
      </c>
    </row>
    <row r="19864" spans="1:7" x14ac:dyDescent="0.25">
      <c r="A19864" t="s">
        <v>8</v>
      </c>
      <c r="B19864" s="1" t="str">
        <f>"000002870 - RICH (BB CORE)-AFNAF"</f>
        <v>000002870 - RICH (BB CORE)-AFNAF</v>
      </c>
      <c r="C19864" t="s">
        <v>134</v>
      </c>
      <c r="D19864" s="1" t="str">
        <f t="shared" si="530"/>
        <v>PRG-1047307</v>
      </c>
      <c r="E19864" t="s">
        <v>12</v>
      </c>
      <c r="F19864" t="s">
        <v>4</v>
      </c>
      <c r="G19864" t="str">
        <f>""</f>
        <v/>
      </c>
    </row>
    <row r="19865" spans="1:7" x14ac:dyDescent="0.25">
      <c r="A19865" t="s">
        <v>8</v>
      </c>
      <c r="B19865" s="1" t="str">
        <f>"000002871 - RICH (BB NCORE)-AFNAF"</f>
        <v>000002871 - RICH (BB NCORE)-AFNAF</v>
      </c>
      <c r="C19865" t="s">
        <v>116</v>
      </c>
      <c r="D19865" s="1" t="str">
        <f t="shared" si="530"/>
        <v>PRG-1047307</v>
      </c>
      <c r="E19865" t="s">
        <v>12</v>
      </c>
      <c r="F19865" t="s">
        <v>4</v>
      </c>
      <c r="G19865" t="str">
        <f>""</f>
        <v/>
      </c>
    </row>
    <row r="19866" spans="1:7" x14ac:dyDescent="0.25">
      <c r="A19866" t="s">
        <v>8</v>
      </c>
      <c r="B19866" s="1" t="str">
        <f>"000010182 - RICH FOODS BB AFNAF DC"</f>
        <v>000010182 - RICH FOODS BB AFNAF DC</v>
      </c>
      <c r="C19866" t="s">
        <v>307</v>
      </c>
      <c r="D19866" s="1" t="str">
        <f t="shared" si="530"/>
        <v>PRG-1047307</v>
      </c>
      <c r="E19866" t="s">
        <v>12</v>
      </c>
      <c r="F19866" t="s">
        <v>4</v>
      </c>
      <c r="G19866" t="str">
        <f>""</f>
        <v/>
      </c>
    </row>
    <row r="19867" spans="1:7" x14ac:dyDescent="0.25">
      <c r="A19867" t="s">
        <v>8</v>
      </c>
      <c r="B19867" s="1" t="str">
        <f>"000016902 - RICHS BB-AFNAF"</f>
        <v>000016902 - RICHS BB-AFNAF</v>
      </c>
      <c r="C19867" t="s">
        <v>375</v>
      </c>
      <c r="D19867" s="1" t="str">
        <f t="shared" si="530"/>
        <v>PRG-1047307</v>
      </c>
      <c r="E19867" t="s">
        <v>12</v>
      </c>
      <c r="F19867" t="s">
        <v>4</v>
      </c>
      <c r="G19867" t="str">
        <f>""</f>
        <v/>
      </c>
    </row>
    <row r="19868" spans="1:7" x14ac:dyDescent="0.25">
      <c r="A19868" t="s">
        <v>8</v>
      </c>
      <c r="B19868" s="1" t="str">
        <f>"000019496 - RICH FOODS BB AFNAF DC"</f>
        <v>000019496 - RICH FOODS BB AFNAF DC</v>
      </c>
      <c r="C19868" t="s">
        <v>307</v>
      </c>
      <c r="D19868" s="1" t="str">
        <f t="shared" si="530"/>
        <v>PRG-1047307</v>
      </c>
      <c r="E19868" t="s">
        <v>12</v>
      </c>
      <c r="F19868" t="s">
        <v>4</v>
      </c>
      <c r="G19868" t="str">
        <f>""</f>
        <v/>
      </c>
    </row>
    <row r="19869" spans="1:7" x14ac:dyDescent="0.25">
      <c r="A19869" t="s">
        <v>8</v>
      </c>
      <c r="B19869" s="1" t="str">
        <f>"000026025 - RICHS BB-AFNAF"</f>
        <v>000026025 - RICHS BB-AFNAF</v>
      </c>
      <c r="C19869" t="s">
        <v>375</v>
      </c>
      <c r="D19869" s="1" t="str">
        <f t="shared" si="530"/>
        <v>PRG-1047307</v>
      </c>
      <c r="E19869" t="s">
        <v>12</v>
      </c>
      <c r="F19869" t="s">
        <v>4</v>
      </c>
      <c r="G19869" t="str">
        <f>""</f>
        <v/>
      </c>
    </row>
    <row r="19870" spans="1:7" x14ac:dyDescent="0.25">
      <c r="A19870" t="s">
        <v>8</v>
      </c>
      <c r="B19870" s="1" t="str">
        <f>"000031923 - RICHS BB-AFNAF"</f>
        <v>000031923 - RICHS BB-AFNAF</v>
      </c>
      <c r="C19870" t="s">
        <v>375</v>
      </c>
      <c r="D19870" s="1" t="str">
        <f t="shared" si="530"/>
        <v>PRG-1047307</v>
      </c>
      <c r="E19870" t="s">
        <v>12</v>
      </c>
      <c r="F19870" t="s">
        <v>4</v>
      </c>
      <c r="G19870" t="str">
        <f>""</f>
        <v/>
      </c>
    </row>
    <row r="19871" spans="1:7" x14ac:dyDescent="0.25">
      <c r="A19871" t="s">
        <v>8</v>
      </c>
      <c r="B19871" s="1" t="str">
        <f>"000034052 - RICHS BB-AFNAF"</f>
        <v>000034052 - RICHS BB-AFNAF</v>
      </c>
      <c r="C19871" t="s">
        <v>375</v>
      </c>
      <c r="D19871" s="1" t="str">
        <f t="shared" si="530"/>
        <v>PRG-1047307</v>
      </c>
      <c r="E19871" t="s">
        <v>12</v>
      </c>
      <c r="F19871" t="s">
        <v>4</v>
      </c>
      <c r="G19871" t="str">
        <f>""</f>
        <v/>
      </c>
    </row>
    <row r="19872" spans="1:7" x14ac:dyDescent="0.25">
      <c r="A19872" t="s">
        <v>8</v>
      </c>
      <c r="B19872" s="1" t="str">
        <f>"000049099 - RICH CBB-AFNAF"</f>
        <v>000049099 - RICH CBB-AFNAF</v>
      </c>
      <c r="C19872" t="s">
        <v>638</v>
      </c>
      <c r="D19872" s="1" t="str">
        <f t="shared" si="530"/>
        <v>PRG-1047307</v>
      </c>
      <c r="E19872" t="s">
        <v>12</v>
      </c>
      <c r="F19872" t="s">
        <v>4</v>
      </c>
      <c r="G19872" t="str">
        <f>""</f>
        <v/>
      </c>
    </row>
    <row r="19873" spans="1:7" x14ac:dyDescent="0.25">
      <c r="A19873" t="s">
        <v>8</v>
      </c>
      <c r="B19873" s="1" t="str">
        <f>"000050084 - RICH PRODUCTS CORP -DOD NAPA"</f>
        <v>000050084 - RICH PRODUCTS CORP -DOD NAPA</v>
      </c>
      <c r="C19873" t="s">
        <v>645</v>
      </c>
      <c r="D19873" s="1" t="str">
        <f t="shared" si="530"/>
        <v>PRG-1047307</v>
      </c>
      <c r="E19873" t="s">
        <v>12</v>
      </c>
      <c r="F19873" t="s">
        <v>4</v>
      </c>
      <c r="G19873" t="str">
        <f>""</f>
        <v/>
      </c>
    </row>
    <row r="19874" spans="1:7" x14ac:dyDescent="0.25">
      <c r="A19874" t="s">
        <v>8</v>
      </c>
      <c r="B19874" s="1" t="str">
        <f>"000060745 - RICH FOODS-DOD NAPA"</f>
        <v>000060745 - RICH FOODS-DOD NAPA</v>
      </c>
      <c r="C19874" t="s">
        <v>628</v>
      </c>
      <c r="D19874" s="1" t="str">
        <f t="shared" si="530"/>
        <v>PRG-1047307</v>
      </c>
      <c r="E19874" t="s">
        <v>12</v>
      </c>
      <c r="F19874" t="s">
        <v>4</v>
      </c>
      <c r="G19874" t="str">
        <f>""</f>
        <v/>
      </c>
    </row>
    <row r="19875" spans="1:7" x14ac:dyDescent="0.25">
      <c r="A19875" t="s">
        <v>8</v>
      </c>
      <c r="B19875" s="1" t="str">
        <f>"000156241 - RICH NCORE-AFNAF"</f>
        <v>000156241 - RICH NCORE-AFNAF</v>
      </c>
      <c r="C19875" t="s">
        <v>632</v>
      </c>
      <c r="D19875" s="1" t="str">
        <f t="shared" si="530"/>
        <v>PRG-1047307</v>
      </c>
      <c r="E19875" t="s">
        <v>12</v>
      </c>
      <c r="F19875" t="s">
        <v>4</v>
      </c>
      <c r="G19875" t="str">
        <f>""</f>
        <v/>
      </c>
    </row>
    <row r="19876" spans="1:7" x14ac:dyDescent="0.25">
      <c r="A19876" t="s">
        <v>8</v>
      </c>
      <c r="B19876" s="1" t="str">
        <f>"000159477 - RICH (BB NCORE)-AFNAF"</f>
        <v>000159477 - RICH (BB NCORE)-AFNAF</v>
      </c>
      <c r="C19876" t="s">
        <v>116</v>
      </c>
      <c r="D19876" s="1" t="str">
        <f t="shared" si="530"/>
        <v>PRG-1047307</v>
      </c>
      <c r="E19876" t="s">
        <v>12</v>
      </c>
      <c r="F19876" t="s">
        <v>4</v>
      </c>
      <c r="G19876" t="str">
        <f>""</f>
        <v/>
      </c>
    </row>
    <row r="19877" spans="1:7" x14ac:dyDescent="0.25">
      <c r="A19877" t="s">
        <v>8</v>
      </c>
      <c r="B19877" s="1" t="str">
        <f>"000159480 - RICH (BB CORE)-AFNAF"</f>
        <v>000159480 - RICH (BB CORE)-AFNAF</v>
      </c>
      <c r="C19877" t="s">
        <v>134</v>
      </c>
      <c r="D19877" s="1" t="str">
        <f t="shared" si="530"/>
        <v>PRG-1047307</v>
      </c>
      <c r="E19877" t="s">
        <v>12</v>
      </c>
      <c r="F19877" t="s">
        <v>4</v>
      </c>
      <c r="G19877" t="str">
        <f>""</f>
        <v/>
      </c>
    </row>
    <row r="19878" spans="1:7" x14ac:dyDescent="0.25">
      <c r="A19878" t="s">
        <v>8</v>
      </c>
      <c r="B19878" s="1" t="str">
        <f>"000160894 - RICHS (BB) NON CORE-AFNAF"</f>
        <v>000160894 - RICHS (BB) NON CORE-AFNAF</v>
      </c>
      <c r="C19878" t="s">
        <v>1042</v>
      </c>
      <c r="D19878" s="1" t="str">
        <f t="shared" si="530"/>
        <v>PRG-1047307</v>
      </c>
      <c r="E19878" t="s">
        <v>12</v>
      </c>
      <c r="F19878" t="s">
        <v>4</v>
      </c>
      <c r="G19878" t="str">
        <f>""</f>
        <v/>
      </c>
    </row>
    <row r="19879" spans="1:7" x14ac:dyDescent="0.25">
      <c r="A19879" t="s">
        <v>8</v>
      </c>
      <c r="B19879" s="1" t="str">
        <f>"000176905 - RICHS BB-AFNAF"</f>
        <v>000176905 - RICHS BB-AFNAF</v>
      </c>
      <c r="C19879" t="s">
        <v>375</v>
      </c>
      <c r="D19879" s="1" t="str">
        <f t="shared" si="530"/>
        <v>PRG-1047307</v>
      </c>
      <c r="E19879" t="s">
        <v>12</v>
      </c>
      <c r="F19879" t="s">
        <v>4</v>
      </c>
      <c r="G19879" t="str">
        <f>""</f>
        <v/>
      </c>
    </row>
    <row r="19880" spans="1:7" x14ac:dyDescent="0.25">
      <c r="A19880" t="s">
        <v>8</v>
      </c>
      <c r="B19880" s="1" t="str">
        <f>"000194390 - RICH PRODUCTS CORP -DOD NAPA"</f>
        <v>000194390 - RICH PRODUCTS CORP -DOD NAPA</v>
      </c>
      <c r="C19880" t="s">
        <v>645</v>
      </c>
      <c r="D19880" s="1" t="str">
        <f t="shared" si="530"/>
        <v>PRG-1047307</v>
      </c>
      <c r="E19880" t="s">
        <v>12</v>
      </c>
      <c r="F19880" t="s">
        <v>4</v>
      </c>
      <c r="G19880" t="str">
        <f>""</f>
        <v/>
      </c>
    </row>
    <row r="19881" spans="1:7" x14ac:dyDescent="0.25">
      <c r="A19881" t="s">
        <v>8</v>
      </c>
      <c r="B19881" s="1" t="str">
        <f>"000195189 - RICH PRODUCTS CORP -DOD NAPA"</f>
        <v>000195189 - RICH PRODUCTS CORP -DOD NAPA</v>
      </c>
      <c r="C19881" t="s">
        <v>645</v>
      </c>
      <c r="D19881" s="1" t="str">
        <f t="shared" si="530"/>
        <v>PRG-1047307</v>
      </c>
      <c r="E19881" t="s">
        <v>12</v>
      </c>
      <c r="F19881" t="s">
        <v>4</v>
      </c>
      <c r="G19881" t="str">
        <f>""</f>
        <v/>
      </c>
    </row>
    <row r="19882" spans="1:7" x14ac:dyDescent="0.25">
      <c r="A19882" t="s">
        <v>8</v>
      </c>
      <c r="B19882" s="1" t="str">
        <f>"000195754 - RICHS BB-AFNAF"</f>
        <v>000195754 - RICHS BB-AFNAF</v>
      </c>
      <c r="C19882" t="s">
        <v>375</v>
      </c>
      <c r="D19882" s="1" t="str">
        <f t="shared" si="530"/>
        <v>PRG-1047307</v>
      </c>
      <c r="E19882" t="s">
        <v>12</v>
      </c>
      <c r="F19882" t="s">
        <v>4</v>
      </c>
      <c r="G19882" t="str">
        <f>""</f>
        <v/>
      </c>
    </row>
    <row r="19883" spans="1:7" x14ac:dyDescent="0.25">
      <c r="A19883" t="s">
        <v>8</v>
      </c>
      <c r="B19883" s="1" t="str">
        <f>"000222872 - BB AFNAF RICHS"</f>
        <v>000222872 - BB AFNAF RICHS</v>
      </c>
      <c r="C19883" t="s">
        <v>1637</v>
      </c>
      <c r="D19883" s="1" t="str">
        <f t="shared" si="530"/>
        <v>PRG-1047307</v>
      </c>
      <c r="E19883" t="s">
        <v>12</v>
      </c>
      <c r="F19883" t="s">
        <v>4</v>
      </c>
      <c r="G19883" t="str">
        <f>""</f>
        <v/>
      </c>
    </row>
    <row r="19884" spans="1:7" x14ac:dyDescent="0.25">
      <c r="A19884" t="s">
        <v>8</v>
      </c>
      <c r="B19884" s="1" t="str">
        <f>"000226958 - RICH CBB-AFNAF"</f>
        <v>000226958 - RICH CBB-AFNAF</v>
      </c>
      <c r="C19884" t="s">
        <v>638</v>
      </c>
      <c r="D19884" s="1" t="str">
        <f t="shared" si="530"/>
        <v>PRG-1047307</v>
      </c>
      <c r="E19884" t="s">
        <v>12</v>
      </c>
      <c r="F19884" t="s">
        <v>4</v>
      </c>
      <c r="G19884" t="str">
        <f>""</f>
        <v/>
      </c>
    </row>
    <row r="19885" spans="1:7" x14ac:dyDescent="0.25">
      <c r="A19885" t="s">
        <v>8</v>
      </c>
      <c r="B19885" s="1" t="str">
        <f>"000230991 - RICH FOODS-DOD NAPA"</f>
        <v>000230991 - RICH FOODS-DOD NAPA</v>
      </c>
      <c r="C19885" t="s">
        <v>628</v>
      </c>
      <c r="D19885" s="1" t="str">
        <f t="shared" si="530"/>
        <v>PRG-1047307</v>
      </c>
      <c r="E19885" t="s">
        <v>12</v>
      </c>
      <c r="F19885" t="s">
        <v>4</v>
      </c>
      <c r="G19885" t="str">
        <f>""</f>
        <v/>
      </c>
    </row>
    <row r="19886" spans="1:7" x14ac:dyDescent="0.25">
      <c r="A19886" t="s">
        <v>8</v>
      </c>
      <c r="B19886" s="1" t="str">
        <f>"000233665 - RICH NCORE-AFNAF"</f>
        <v>000233665 - RICH NCORE-AFNAF</v>
      </c>
      <c r="C19886" t="s">
        <v>632</v>
      </c>
      <c r="D19886" s="1" t="str">
        <f t="shared" si="530"/>
        <v>PRG-1047307</v>
      </c>
      <c r="E19886" t="s">
        <v>12</v>
      </c>
      <c r="F19886" t="s">
        <v>4</v>
      </c>
      <c r="G19886" t="str">
        <f>""</f>
        <v/>
      </c>
    </row>
    <row r="19887" spans="1:7" x14ac:dyDescent="0.25">
      <c r="A19887" t="s">
        <v>8</v>
      </c>
      <c r="B19887" s="1" t="str">
        <f>"000246024 - RICHS BB-AFNAF"</f>
        <v>000246024 - RICHS BB-AFNAF</v>
      </c>
      <c r="C19887" t="s">
        <v>375</v>
      </c>
      <c r="D19887" s="1" t="str">
        <f t="shared" si="530"/>
        <v>PRG-1047307</v>
      </c>
      <c r="E19887" t="s">
        <v>12</v>
      </c>
      <c r="F19887" t="s">
        <v>4</v>
      </c>
      <c r="G19887" t="str">
        <f>""</f>
        <v/>
      </c>
    </row>
    <row r="19888" spans="1:7" x14ac:dyDescent="0.25">
      <c r="A19888" t="s">
        <v>8</v>
      </c>
      <c r="B19888" s="1" t="str">
        <f>"000251539 - RICH NCORE-AFNAF"</f>
        <v>000251539 - RICH NCORE-AFNAF</v>
      </c>
      <c r="C19888" t="s">
        <v>632</v>
      </c>
      <c r="D19888" s="1" t="str">
        <f t="shared" si="530"/>
        <v>PRG-1047307</v>
      </c>
      <c r="E19888" t="s">
        <v>12</v>
      </c>
      <c r="F19888" t="s">
        <v>4</v>
      </c>
      <c r="G19888" t="str">
        <f>""</f>
        <v/>
      </c>
    </row>
    <row r="19889" spans="1:7" x14ac:dyDescent="0.25">
      <c r="A19889" t="s">
        <v>8</v>
      </c>
      <c r="B19889" s="1" t="str">
        <f>"000252060 - RICHS BB-AFNAF"</f>
        <v>000252060 - RICHS BB-AFNAF</v>
      </c>
      <c r="C19889" t="s">
        <v>375</v>
      </c>
      <c r="D19889" s="1" t="str">
        <f t="shared" si="530"/>
        <v>PRG-1047307</v>
      </c>
      <c r="E19889" t="s">
        <v>12</v>
      </c>
      <c r="F19889" t="s">
        <v>4</v>
      </c>
      <c r="G19889" t="str">
        <f>""</f>
        <v/>
      </c>
    </row>
    <row r="19890" spans="1:7" x14ac:dyDescent="0.25">
      <c r="A19890" t="s">
        <v>8</v>
      </c>
      <c r="B19890" s="1" t="str">
        <f>"000261459 - RICH (BB CORE)-AFNAF"</f>
        <v>000261459 - RICH (BB CORE)-AFNAF</v>
      </c>
      <c r="C19890" t="s">
        <v>134</v>
      </c>
      <c r="D19890" s="1" t="str">
        <f t="shared" si="530"/>
        <v>PRG-1047307</v>
      </c>
      <c r="E19890" t="s">
        <v>12</v>
      </c>
      <c r="F19890" t="s">
        <v>4</v>
      </c>
      <c r="G19890" t="str">
        <f>""</f>
        <v/>
      </c>
    </row>
    <row r="19891" spans="1:7" x14ac:dyDescent="0.25">
      <c r="A19891" t="s">
        <v>8</v>
      </c>
      <c r="B19891" s="1" t="str">
        <f>"000264203 - RICH NCORE-AFNAF"</f>
        <v>000264203 - RICH NCORE-AFNAF</v>
      </c>
      <c r="C19891" t="s">
        <v>632</v>
      </c>
      <c r="D19891" s="1" t="str">
        <f t="shared" si="530"/>
        <v>PRG-1047307</v>
      </c>
      <c r="E19891" t="s">
        <v>12</v>
      </c>
      <c r="F19891" t="s">
        <v>4</v>
      </c>
      <c r="G19891" t="str">
        <f>""</f>
        <v/>
      </c>
    </row>
    <row r="19892" spans="1:7" x14ac:dyDescent="0.25">
      <c r="A19892" t="s">
        <v>8</v>
      </c>
      <c r="B19892" s="1" t="str">
        <f>"000272888 - RICH PRODUCTS CORP -DOD NAPA"</f>
        <v>000272888 - RICH PRODUCTS CORP -DOD NAPA</v>
      </c>
      <c r="C19892" t="s">
        <v>645</v>
      </c>
      <c r="D19892" s="1" t="str">
        <f t="shared" si="530"/>
        <v>PRG-1047307</v>
      </c>
      <c r="E19892" t="s">
        <v>12</v>
      </c>
      <c r="F19892" t="s">
        <v>4</v>
      </c>
      <c r="G19892" t="str">
        <f>""</f>
        <v/>
      </c>
    </row>
    <row r="19893" spans="1:7" x14ac:dyDescent="0.25">
      <c r="A19893" t="s">
        <v>8</v>
      </c>
      <c r="B19893" s="1" t="str">
        <f>"000274055 - RICH (BB NCORE)-AFNAF"</f>
        <v>000274055 - RICH (BB NCORE)-AFNAF</v>
      </c>
      <c r="C19893" t="s">
        <v>116</v>
      </c>
      <c r="D19893" s="1" t="str">
        <f t="shared" si="530"/>
        <v>PRG-1047307</v>
      </c>
      <c r="E19893" t="s">
        <v>12</v>
      </c>
      <c r="F19893" t="s">
        <v>4</v>
      </c>
      <c r="G19893" t="str">
        <f>""</f>
        <v/>
      </c>
    </row>
    <row r="19894" spans="1:7" x14ac:dyDescent="0.25">
      <c r="A19894" t="s">
        <v>8</v>
      </c>
      <c r="B19894" s="1" t="str">
        <f>"000274376 - RICH NCORE-AFNAF"</f>
        <v>000274376 - RICH NCORE-AFNAF</v>
      </c>
      <c r="C19894" t="s">
        <v>632</v>
      </c>
      <c r="D19894" s="1" t="str">
        <f t="shared" si="530"/>
        <v>PRG-1047307</v>
      </c>
      <c r="E19894" t="s">
        <v>12</v>
      </c>
      <c r="F19894" t="s">
        <v>4</v>
      </c>
      <c r="G19894" t="str">
        <f>""</f>
        <v/>
      </c>
    </row>
    <row r="19895" spans="1:7" x14ac:dyDescent="0.25">
      <c r="A19895" t="s">
        <v>8</v>
      </c>
      <c r="B19895" s="1" t="str">
        <f>"000275788 - RICHS BB-AFNAF"</f>
        <v>000275788 - RICHS BB-AFNAF</v>
      </c>
      <c r="C19895" t="s">
        <v>375</v>
      </c>
      <c r="D19895" s="1" t="str">
        <f t="shared" ref="D19895:D19926" si="531">"PRG-1047307"</f>
        <v>PRG-1047307</v>
      </c>
      <c r="E19895" t="s">
        <v>12</v>
      </c>
      <c r="F19895" t="s">
        <v>4</v>
      </c>
      <c r="G19895" t="str">
        <f>""</f>
        <v/>
      </c>
    </row>
    <row r="19896" spans="1:7" x14ac:dyDescent="0.25">
      <c r="A19896" t="s">
        <v>8</v>
      </c>
      <c r="B19896" s="1" t="str">
        <f>"000280547 - RICH (BB NCORE)-AFNAF"</f>
        <v>000280547 - RICH (BB NCORE)-AFNAF</v>
      </c>
      <c r="C19896" t="s">
        <v>116</v>
      </c>
      <c r="D19896" s="1" t="str">
        <f t="shared" si="531"/>
        <v>PRG-1047307</v>
      </c>
      <c r="E19896" t="s">
        <v>12</v>
      </c>
      <c r="F19896" t="s">
        <v>4</v>
      </c>
      <c r="G19896" t="str">
        <f>""</f>
        <v/>
      </c>
    </row>
    <row r="19897" spans="1:7" x14ac:dyDescent="0.25">
      <c r="A19897" t="s">
        <v>8</v>
      </c>
      <c r="B19897" s="1" t="str">
        <f>"000282376 - RICHS BB-AFNAF"</f>
        <v>000282376 - RICHS BB-AFNAF</v>
      </c>
      <c r="C19897" t="s">
        <v>375</v>
      </c>
      <c r="D19897" s="1" t="str">
        <f t="shared" si="531"/>
        <v>PRG-1047307</v>
      </c>
      <c r="E19897" t="s">
        <v>12</v>
      </c>
      <c r="F19897" t="s">
        <v>4</v>
      </c>
      <c r="G19897" t="str">
        <f>""</f>
        <v/>
      </c>
    </row>
    <row r="19898" spans="1:7" x14ac:dyDescent="0.25">
      <c r="A19898" t="s">
        <v>8</v>
      </c>
      <c r="B19898" s="1" t="str">
        <f>"000291923 - RICH NCORE-AFNAF"</f>
        <v>000291923 - RICH NCORE-AFNAF</v>
      </c>
      <c r="C19898" t="s">
        <v>632</v>
      </c>
      <c r="D19898" s="1" t="str">
        <f t="shared" si="531"/>
        <v>PRG-1047307</v>
      </c>
      <c r="E19898" t="s">
        <v>12</v>
      </c>
      <c r="F19898" t="s">
        <v>4</v>
      </c>
      <c r="G19898" t="str">
        <f>""</f>
        <v/>
      </c>
    </row>
    <row r="19899" spans="1:7" x14ac:dyDescent="0.25">
      <c r="A19899" t="s">
        <v>8</v>
      </c>
      <c r="B19899" s="1" t="str">
        <f>"000296641 - RICH FOODS-DOD NAPA"</f>
        <v>000296641 - RICH FOODS-DOD NAPA</v>
      </c>
      <c r="C19899" t="s">
        <v>628</v>
      </c>
      <c r="D19899" s="1" t="str">
        <f t="shared" si="531"/>
        <v>PRG-1047307</v>
      </c>
      <c r="E19899" t="s">
        <v>12</v>
      </c>
      <c r="F19899" t="s">
        <v>4</v>
      </c>
      <c r="G19899" t="str">
        <f>""</f>
        <v/>
      </c>
    </row>
    <row r="19900" spans="1:7" x14ac:dyDescent="0.25">
      <c r="A19900" t="s">
        <v>8</v>
      </c>
      <c r="B19900" s="1" t="str">
        <f>"000297484 - RICHS BB-AFNAF"</f>
        <v>000297484 - RICHS BB-AFNAF</v>
      </c>
      <c r="C19900" t="s">
        <v>375</v>
      </c>
      <c r="D19900" s="1" t="str">
        <f t="shared" si="531"/>
        <v>PRG-1047307</v>
      </c>
      <c r="E19900" t="s">
        <v>12</v>
      </c>
      <c r="F19900" t="s">
        <v>4</v>
      </c>
      <c r="G19900" t="str">
        <f>""</f>
        <v/>
      </c>
    </row>
    <row r="19901" spans="1:7" x14ac:dyDescent="0.25">
      <c r="A19901" t="s">
        <v>8</v>
      </c>
      <c r="B19901" s="1" t="str">
        <f>"000301973 - RICH FOODS-AFNAF"</f>
        <v>000301973 - RICH FOODS-AFNAF</v>
      </c>
      <c r="C19901" t="s">
        <v>425</v>
      </c>
      <c r="D19901" s="1" t="str">
        <f t="shared" si="531"/>
        <v>PRG-1047307</v>
      </c>
      <c r="E19901" t="s">
        <v>12</v>
      </c>
      <c r="F19901" t="s">
        <v>4</v>
      </c>
      <c r="G19901" t="str">
        <f>""</f>
        <v/>
      </c>
    </row>
    <row r="19902" spans="1:7" x14ac:dyDescent="0.25">
      <c r="A19902" t="s">
        <v>8</v>
      </c>
      <c r="B19902" s="1" t="str">
        <f>"000303069 - RICH PRODUCTS CORP -DOD NAPA"</f>
        <v>000303069 - RICH PRODUCTS CORP -DOD NAPA</v>
      </c>
      <c r="C19902" t="s">
        <v>645</v>
      </c>
      <c r="D19902" s="1" t="str">
        <f t="shared" si="531"/>
        <v>PRG-1047307</v>
      </c>
      <c r="E19902" t="s">
        <v>12</v>
      </c>
      <c r="F19902" t="s">
        <v>4</v>
      </c>
      <c r="G19902" t="str">
        <f>""</f>
        <v/>
      </c>
    </row>
    <row r="19903" spans="1:7" x14ac:dyDescent="0.25">
      <c r="A19903" t="s">
        <v>8</v>
      </c>
      <c r="B19903" s="1" t="str">
        <f>"000310085 - RICH FOODS-DOD NAPA"</f>
        <v>000310085 - RICH FOODS-DOD NAPA</v>
      </c>
      <c r="C19903" t="s">
        <v>628</v>
      </c>
      <c r="D19903" s="1" t="str">
        <f t="shared" si="531"/>
        <v>PRG-1047307</v>
      </c>
      <c r="E19903" t="s">
        <v>12</v>
      </c>
      <c r="F19903" t="s">
        <v>4</v>
      </c>
      <c r="G19903" t="str">
        <f>""</f>
        <v/>
      </c>
    </row>
    <row r="19904" spans="1:7" x14ac:dyDescent="0.25">
      <c r="A19904" t="s">
        <v>8</v>
      </c>
      <c r="B19904" s="1" t="str">
        <f>"000311733 - RICH CBB-AFNAF"</f>
        <v>000311733 - RICH CBB-AFNAF</v>
      </c>
      <c r="C19904" t="s">
        <v>638</v>
      </c>
      <c r="D19904" s="1" t="str">
        <f t="shared" si="531"/>
        <v>PRG-1047307</v>
      </c>
      <c r="E19904" t="s">
        <v>12</v>
      </c>
      <c r="F19904" t="s">
        <v>4</v>
      </c>
      <c r="G19904" t="str">
        <f>""</f>
        <v/>
      </c>
    </row>
    <row r="19905" spans="1:7" x14ac:dyDescent="0.25">
      <c r="A19905" t="s">
        <v>8</v>
      </c>
      <c r="B19905" s="1" t="str">
        <f>"000313890 - RICHS NCBB-AFNAF"</f>
        <v>000313890 - RICHS NCBB-AFNAF</v>
      </c>
      <c r="C19905" t="s">
        <v>609</v>
      </c>
      <c r="D19905" s="1" t="str">
        <f t="shared" si="531"/>
        <v>PRG-1047307</v>
      </c>
      <c r="E19905" t="s">
        <v>12</v>
      </c>
      <c r="F19905" t="s">
        <v>4</v>
      </c>
      <c r="G19905" t="str">
        <f>""</f>
        <v/>
      </c>
    </row>
    <row r="19906" spans="1:7" x14ac:dyDescent="0.25">
      <c r="A19906" t="s">
        <v>8</v>
      </c>
      <c r="B19906" s="1" t="str">
        <f>"000314022 - RICH CBB-AFNAF"</f>
        <v>000314022 - RICH CBB-AFNAF</v>
      </c>
      <c r="C19906" t="s">
        <v>638</v>
      </c>
      <c r="D19906" s="1" t="str">
        <f t="shared" si="531"/>
        <v>PRG-1047307</v>
      </c>
      <c r="E19906" t="s">
        <v>12</v>
      </c>
      <c r="F19906" t="s">
        <v>4</v>
      </c>
      <c r="G19906" t="str">
        <f>""</f>
        <v/>
      </c>
    </row>
    <row r="19907" spans="1:7" x14ac:dyDescent="0.25">
      <c r="A19907" t="s">
        <v>8</v>
      </c>
      <c r="B19907" s="1" t="str">
        <f>"000314859 - RICH NCORE-AFNAF"</f>
        <v>000314859 - RICH NCORE-AFNAF</v>
      </c>
      <c r="C19907" t="s">
        <v>632</v>
      </c>
      <c r="D19907" s="1" t="str">
        <f t="shared" si="531"/>
        <v>PRG-1047307</v>
      </c>
      <c r="E19907" t="s">
        <v>12</v>
      </c>
      <c r="F19907" t="s">
        <v>4</v>
      </c>
      <c r="G19907" t="str">
        <f>""</f>
        <v/>
      </c>
    </row>
    <row r="19908" spans="1:7" x14ac:dyDescent="0.25">
      <c r="A19908" t="s">
        <v>8</v>
      </c>
      <c r="B19908" s="1" t="str">
        <f>"000314860 - RICH CBB-AFNAF"</f>
        <v>000314860 - RICH CBB-AFNAF</v>
      </c>
      <c r="C19908" t="s">
        <v>638</v>
      </c>
      <c r="D19908" s="1" t="str">
        <f t="shared" si="531"/>
        <v>PRG-1047307</v>
      </c>
      <c r="E19908" t="s">
        <v>12</v>
      </c>
      <c r="F19908" t="s">
        <v>4</v>
      </c>
      <c r="G19908" t="str">
        <f>""</f>
        <v/>
      </c>
    </row>
    <row r="19909" spans="1:7" x14ac:dyDescent="0.25">
      <c r="A19909" t="s">
        <v>8</v>
      </c>
      <c r="B19909" s="1" t="str">
        <f>"000316335 - RICHS BB-AFNAF"</f>
        <v>000316335 - RICHS BB-AFNAF</v>
      </c>
      <c r="C19909" t="s">
        <v>375</v>
      </c>
      <c r="D19909" s="1" t="str">
        <f t="shared" si="531"/>
        <v>PRG-1047307</v>
      </c>
      <c r="E19909" t="s">
        <v>12</v>
      </c>
      <c r="F19909" t="s">
        <v>4</v>
      </c>
      <c r="G19909" t="str">
        <f>""</f>
        <v/>
      </c>
    </row>
    <row r="19910" spans="1:7" x14ac:dyDescent="0.25">
      <c r="A19910" t="s">
        <v>8</v>
      </c>
      <c r="B19910" s="1" t="str">
        <f>"000322175 - RICHS (BB) NON CORE-AFNAF"</f>
        <v>000322175 - RICHS (BB) NON CORE-AFNAF</v>
      </c>
      <c r="C19910" t="s">
        <v>1042</v>
      </c>
      <c r="D19910" s="1" t="str">
        <f t="shared" si="531"/>
        <v>PRG-1047307</v>
      </c>
      <c r="E19910" t="s">
        <v>12</v>
      </c>
      <c r="F19910" t="s">
        <v>4</v>
      </c>
      <c r="G19910" t="str">
        <f>""</f>
        <v/>
      </c>
    </row>
    <row r="19911" spans="1:7" x14ac:dyDescent="0.25">
      <c r="A19911" t="s">
        <v>8</v>
      </c>
      <c r="B19911" s="1" t="str">
        <f>"000322279 - RICHS(BB)CORE-AFNAF"</f>
        <v>000322279 - RICHS(BB)CORE-AFNAF</v>
      </c>
      <c r="C19911" t="s">
        <v>3255</v>
      </c>
      <c r="D19911" s="1" t="str">
        <f t="shared" si="531"/>
        <v>PRG-1047307</v>
      </c>
      <c r="E19911" t="s">
        <v>12</v>
      </c>
      <c r="F19911" t="s">
        <v>4</v>
      </c>
      <c r="G19911" t="str">
        <f>""</f>
        <v/>
      </c>
    </row>
    <row r="19912" spans="1:7" x14ac:dyDescent="0.25">
      <c r="A19912" t="s">
        <v>8</v>
      </c>
      <c r="B19912" s="1" t="str">
        <f>"000323155 - RICHS (BB) CORE-AFNAF"</f>
        <v>000323155 - RICHS (BB) CORE-AFNAF</v>
      </c>
      <c r="C19912" t="s">
        <v>674</v>
      </c>
      <c r="D19912" s="1" t="str">
        <f t="shared" si="531"/>
        <v>PRG-1047307</v>
      </c>
      <c r="E19912" t="s">
        <v>12</v>
      </c>
      <c r="F19912" t="s">
        <v>4</v>
      </c>
      <c r="G19912" t="str">
        <f>""</f>
        <v/>
      </c>
    </row>
    <row r="19913" spans="1:7" x14ac:dyDescent="0.25">
      <c r="A19913" t="s">
        <v>8</v>
      </c>
      <c r="B19913" s="1" t="str">
        <f>"000324755 - RICHS BB-AFNAF"</f>
        <v>000324755 - RICHS BB-AFNAF</v>
      </c>
      <c r="C19913" t="s">
        <v>375</v>
      </c>
      <c r="D19913" s="1" t="str">
        <f t="shared" si="531"/>
        <v>PRG-1047307</v>
      </c>
      <c r="E19913" t="s">
        <v>12</v>
      </c>
      <c r="F19913" t="s">
        <v>4</v>
      </c>
      <c r="G19913" t="str">
        <f>""</f>
        <v/>
      </c>
    </row>
    <row r="19914" spans="1:7" x14ac:dyDescent="0.25">
      <c r="A19914" t="s">
        <v>8</v>
      </c>
      <c r="B19914" s="1" t="str">
        <f>"000334757 - RICH (BB CORE)-AFNAF"</f>
        <v>000334757 - RICH (BB CORE)-AFNAF</v>
      </c>
      <c r="C19914" t="s">
        <v>134</v>
      </c>
      <c r="D19914" s="1" t="str">
        <f t="shared" si="531"/>
        <v>PRG-1047307</v>
      </c>
      <c r="E19914" t="s">
        <v>12</v>
      </c>
      <c r="F19914" t="s">
        <v>4</v>
      </c>
      <c r="G19914" t="str">
        <f>""</f>
        <v/>
      </c>
    </row>
    <row r="19915" spans="1:7" x14ac:dyDescent="0.25">
      <c r="A19915" t="s">
        <v>8</v>
      </c>
      <c r="B19915" s="1" t="str">
        <f>"000339092 - RICH NCORE(DPMRETRO)-AFNAF"</f>
        <v>000339092 - RICH NCORE(DPMRETRO)-AFNAF</v>
      </c>
      <c r="C19915" t="s">
        <v>3431</v>
      </c>
      <c r="D19915" s="1" t="str">
        <f t="shared" si="531"/>
        <v>PRG-1047307</v>
      </c>
      <c r="E19915" t="s">
        <v>12</v>
      </c>
      <c r="F19915" t="s">
        <v>4</v>
      </c>
      <c r="G19915" t="str">
        <f>""</f>
        <v/>
      </c>
    </row>
    <row r="19916" spans="1:7" x14ac:dyDescent="0.25">
      <c r="A19916" t="s">
        <v>8</v>
      </c>
      <c r="B19916" s="1" t="str">
        <f>"000340290 - RICH NCORE-AFNAF"</f>
        <v>000340290 - RICH NCORE-AFNAF</v>
      </c>
      <c r="C19916" t="s">
        <v>632</v>
      </c>
      <c r="D19916" s="1" t="str">
        <f t="shared" si="531"/>
        <v>PRG-1047307</v>
      </c>
      <c r="E19916" t="s">
        <v>12</v>
      </c>
      <c r="F19916" t="s">
        <v>4</v>
      </c>
      <c r="G19916" t="str">
        <f>""</f>
        <v/>
      </c>
    </row>
    <row r="19917" spans="1:7" x14ac:dyDescent="0.25">
      <c r="A19917" t="s">
        <v>8</v>
      </c>
      <c r="B19917" s="1" t="str">
        <f>"000343193 - RICHS NCBB-AFNAF"</f>
        <v>000343193 - RICHS NCBB-AFNAF</v>
      </c>
      <c r="C19917" t="s">
        <v>609</v>
      </c>
      <c r="D19917" s="1" t="str">
        <f t="shared" si="531"/>
        <v>PRG-1047307</v>
      </c>
      <c r="E19917" t="s">
        <v>12</v>
      </c>
      <c r="F19917" t="s">
        <v>4</v>
      </c>
      <c r="G19917" t="str">
        <f>""</f>
        <v/>
      </c>
    </row>
    <row r="19918" spans="1:7" x14ac:dyDescent="0.25">
      <c r="A19918" t="s">
        <v>8</v>
      </c>
      <c r="B19918" s="1" t="str">
        <f>"000348709 - RICH (BB NCORE)-AFNAF"</f>
        <v>000348709 - RICH (BB NCORE)-AFNAF</v>
      </c>
      <c r="C19918" t="s">
        <v>116</v>
      </c>
      <c r="D19918" s="1" t="str">
        <f t="shared" si="531"/>
        <v>PRG-1047307</v>
      </c>
      <c r="E19918" t="s">
        <v>12</v>
      </c>
      <c r="F19918" t="s">
        <v>4</v>
      </c>
      <c r="G19918" t="str">
        <f>""</f>
        <v/>
      </c>
    </row>
    <row r="19919" spans="1:7" x14ac:dyDescent="0.25">
      <c r="A19919" t="s">
        <v>8</v>
      </c>
      <c r="B19919" s="1" t="str">
        <f>"000354540 - RICH FOODS-DOD NAPA"</f>
        <v>000354540 - RICH FOODS-DOD NAPA</v>
      </c>
      <c r="C19919" t="s">
        <v>628</v>
      </c>
      <c r="D19919" s="1" t="str">
        <f t="shared" si="531"/>
        <v>PRG-1047307</v>
      </c>
      <c r="E19919" t="s">
        <v>12</v>
      </c>
      <c r="F19919" t="s">
        <v>4</v>
      </c>
      <c r="G19919" t="str">
        <f>""</f>
        <v/>
      </c>
    </row>
    <row r="19920" spans="1:7" x14ac:dyDescent="0.25">
      <c r="A19920" t="s">
        <v>8</v>
      </c>
      <c r="B19920" s="1" t="str">
        <f>"000357853 - RICH CBB-AFNAF"</f>
        <v>000357853 - RICH CBB-AFNAF</v>
      </c>
      <c r="C19920" t="s">
        <v>638</v>
      </c>
      <c r="D19920" s="1" t="str">
        <f t="shared" si="531"/>
        <v>PRG-1047307</v>
      </c>
      <c r="E19920" t="s">
        <v>12</v>
      </c>
      <c r="F19920" t="s">
        <v>4</v>
      </c>
      <c r="G19920" t="str">
        <f>""</f>
        <v/>
      </c>
    </row>
    <row r="19921" spans="1:7" x14ac:dyDescent="0.25">
      <c r="A19921" t="s">
        <v>8</v>
      </c>
      <c r="B19921" s="1" t="str">
        <f>"000357854 - RICH NCORE-AFNAF"</f>
        <v>000357854 - RICH NCORE-AFNAF</v>
      </c>
      <c r="C19921" t="s">
        <v>632</v>
      </c>
      <c r="D19921" s="1" t="str">
        <f t="shared" si="531"/>
        <v>PRG-1047307</v>
      </c>
      <c r="E19921" t="s">
        <v>12</v>
      </c>
      <c r="F19921" t="s">
        <v>4</v>
      </c>
      <c r="G19921" t="str">
        <f>""</f>
        <v/>
      </c>
    </row>
    <row r="19922" spans="1:7" x14ac:dyDescent="0.25">
      <c r="A19922" t="s">
        <v>8</v>
      </c>
      <c r="B19922" s="1" t="str">
        <f>"000360032 - RICH NCORE-AFNAF"</f>
        <v>000360032 - RICH NCORE-AFNAF</v>
      </c>
      <c r="C19922" t="s">
        <v>632</v>
      </c>
      <c r="D19922" s="1" t="str">
        <f t="shared" si="531"/>
        <v>PRG-1047307</v>
      </c>
      <c r="E19922" t="s">
        <v>12</v>
      </c>
      <c r="F19922" t="s">
        <v>4</v>
      </c>
      <c r="G19922" t="str">
        <f>""</f>
        <v/>
      </c>
    </row>
    <row r="19923" spans="1:7" x14ac:dyDescent="0.25">
      <c r="A19923" t="s">
        <v>8</v>
      </c>
      <c r="B19923" s="1" t="str">
        <f>"000360033 - RICH CBB-AFNAF"</f>
        <v>000360033 - RICH CBB-AFNAF</v>
      </c>
      <c r="C19923" t="s">
        <v>638</v>
      </c>
      <c r="D19923" s="1" t="str">
        <f t="shared" si="531"/>
        <v>PRG-1047307</v>
      </c>
      <c r="E19923" t="s">
        <v>12</v>
      </c>
      <c r="F19923" t="s">
        <v>4</v>
      </c>
      <c r="G19923" t="str">
        <f>""</f>
        <v/>
      </c>
    </row>
    <row r="19924" spans="1:7" x14ac:dyDescent="0.25">
      <c r="A19924" t="s">
        <v>8</v>
      </c>
      <c r="B19924" s="1" t="str">
        <f>"000364642 - RICH (BB CORE)-AFNAF"</f>
        <v>000364642 - RICH (BB CORE)-AFNAF</v>
      </c>
      <c r="C19924" t="s">
        <v>134</v>
      </c>
      <c r="D19924" s="1" t="str">
        <f t="shared" si="531"/>
        <v>PRG-1047307</v>
      </c>
      <c r="E19924" t="s">
        <v>12</v>
      </c>
      <c r="F19924" t="s">
        <v>4</v>
      </c>
      <c r="G19924" t="str">
        <f>""</f>
        <v/>
      </c>
    </row>
    <row r="19925" spans="1:7" x14ac:dyDescent="0.25">
      <c r="A19925" t="s">
        <v>8</v>
      </c>
      <c r="B19925" s="1" t="str">
        <f>"000364643 - RICH (BB NCORE)-AFNAF"</f>
        <v>000364643 - RICH (BB NCORE)-AFNAF</v>
      </c>
      <c r="C19925" t="s">
        <v>116</v>
      </c>
      <c r="D19925" s="1" t="str">
        <f t="shared" si="531"/>
        <v>PRG-1047307</v>
      </c>
      <c r="E19925" t="s">
        <v>12</v>
      </c>
      <c r="F19925" t="s">
        <v>4</v>
      </c>
      <c r="G19925" t="str">
        <f>""</f>
        <v/>
      </c>
    </row>
    <row r="19926" spans="1:7" x14ac:dyDescent="0.25">
      <c r="A19926" t="s">
        <v>8</v>
      </c>
      <c r="B19926" s="1" t="str">
        <f>"000365917 - RICHS (BB) NON CORE-AFNAF"</f>
        <v>000365917 - RICHS (BB) NON CORE-AFNAF</v>
      </c>
      <c r="C19926" t="s">
        <v>1042</v>
      </c>
      <c r="D19926" s="1" t="str">
        <f t="shared" si="531"/>
        <v>PRG-1047307</v>
      </c>
      <c r="E19926" t="s">
        <v>12</v>
      </c>
      <c r="F19926" t="s">
        <v>4</v>
      </c>
      <c r="G19926" t="str">
        <f>""</f>
        <v/>
      </c>
    </row>
    <row r="19927" spans="1:7" x14ac:dyDescent="0.25">
      <c r="A19927" t="s">
        <v>8</v>
      </c>
      <c r="B19927" s="1" t="str">
        <f>"000369629 - RICHS BB-AFNAF"</f>
        <v>000369629 - RICHS BB-AFNAF</v>
      </c>
      <c r="C19927" t="s">
        <v>375</v>
      </c>
      <c r="D19927" s="1" t="str">
        <f t="shared" ref="D19927:D19947" si="532">"PRG-1047307"</f>
        <v>PRG-1047307</v>
      </c>
      <c r="E19927" t="s">
        <v>12</v>
      </c>
      <c r="F19927" t="s">
        <v>4</v>
      </c>
      <c r="G19927" t="str">
        <f>""</f>
        <v/>
      </c>
    </row>
    <row r="19928" spans="1:7" x14ac:dyDescent="0.25">
      <c r="A19928" t="s">
        <v>8</v>
      </c>
      <c r="B19928" s="1" t="str">
        <f>"000374658 - RICH (BB CORE)-AFNAF"</f>
        <v>000374658 - RICH (BB CORE)-AFNAF</v>
      </c>
      <c r="C19928" t="s">
        <v>134</v>
      </c>
      <c r="D19928" s="1" t="str">
        <f t="shared" si="532"/>
        <v>PRG-1047307</v>
      </c>
      <c r="E19928" t="s">
        <v>12</v>
      </c>
      <c r="F19928" t="s">
        <v>4</v>
      </c>
      <c r="G19928" t="str">
        <f>""</f>
        <v/>
      </c>
    </row>
    <row r="19929" spans="1:7" x14ac:dyDescent="0.25">
      <c r="A19929" t="s">
        <v>8</v>
      </c>
      <c r="B19929" s="1" t="str">
        <f>"000376473 - RICHS BB-AFNAF"</f>
        <v>000376473 - RICHS BB-AFNAF</v>
      </c>
      <c r="C19929" t="s">
        <v>375</v>
      </c>
      <c r="D19929" s="1" t="str">
        <f t="shared" si="532"/>
        <v>PRG-1047307</v>
      </c>
      <c r="E19929" t="s">
        <v>12</v>
      </c>
      <c r="F19929" t="s">
        <v>4</v>
      </c>
      <c r="G19929" t="str">
        <f>""</f>
        <v/>
      </c>
    </row>
    <row r="19930" spans="1:7" x14ac:dyDescent="0.25">
      <c r="A19930" t="s">
        <v>8</v>
      </c>
      <c r="B19930" s="1" t="str">
        <f>"000385626 - RICHS BB-AFNAF"</f>
        <v>000385626 - RICHS BB-AFNAF</v>
      </c>
      <c r="C19930" t="s">
        <v>375</v>
      </c>
      <c r="D19930" s="1" t="str">
        <f t="shared" si="532"/>
        <v>PRG-1047307</v>
      </c>
      <c r="E19930" t="s">
        <v>12</v>
      </c>
      <c r="F19930" t="s">
        <v>4</v>
      </c>
      <c r="G19930" t="str">
        <f>""</f>
        <v/>
      </c>
    </row>
    <row r="19931" spans="1:7" x14ac:dyDescent="0.25">
      <c r="A19931" t="s">
        <v>8</v>
      </c>
      <c r="B19931" s="1" t="str">
        <f>"000396862 - RICH PRODUCTS CORP -DOD NAPA"</f>
        <v>000396862 - RICH PRODUCTS CORP -DOD NAPA</v>
      </c>
      <c r="C19931" t="s">
        <v>645</v>
      </c>
      <c r="D19931" s="1" t="str">
        <f t="shared" si="532"/>
        <v>PRG-1047307</v>
      </c>
      <c r="E19931" t="s">
        <v>12</v>
      </c>
      <c r="F19931" t="s">
        <v>4</v>
      </c>
      <c r="G19931" t="str">
        <f>""</f>
        <v/>
      </c>
    </row>
    <row r="19932" spans="1:7" x14ac:dyDescent="0.25">
      <c r="A19932" t="s">
        <v>8</v>
      </c>
      <c r="B19932" s="1" t="str">
        <f>"000398628 - RICH FOODS-DOD NAPA"</f>
        <v>000398628 - RICH FOODS-DOD NAPA</v>
      </c>
      <c r="C19932" t="s">
        <v>628</v>
      </c>
      <c r="D19932" s="1" t="str">
        <f t="shared" si="532"/>
        <v>PRG-1047307</v>
      </c>
      <c r="E19932" t="s">
        <v>12</v>
      </c>
      <c r="F19932" t="s">
        <v>4</v>
      </c>
      <c r="G19932" t="str">
        <f>""</f>
        <v/>
      </c>
    </row>
    <row r="19933" spans="1:7" x14ac:dyDescent="0.25">
      <c r="A19933" t="s">
        <v>8</v>
      </c>
      <c r="B19933" s="1" t="str">
        <f>"000403582 - RICHS BB-AFNAF"</f>
        <v>000403582 - RICHS BB-AFNAF</v>
      </c>
      <c r="C19933" t="s">
        <v>375</v>
      </c>
      <c r="D19933" s="1" t="str">
        <f t="shared" si="532"/>
        <v>PRG-1047307</v>
      </c>
      <c r="E19933" t="s">
        <v>12</v>
      </c>
      <c r="F19933" t="s">
        <v>4</v>
      </c>
      <c r="G19933" t="str">
        <f>""</f>
        <v/>
      </c>
    </row>
    <row r="19934" spans="1:7" x14ac:dyDescent="0.25">
      <c r="A19934" t="s">
        <v>8</v>
      </c>
      <c r="B19934" s="1" t="str">
        <f>"000408433 - RICH PRODUCTS CORP -DOD NAPA"</f>
        <v>000408433 - RICH PRODUCTS CORP -DOD NAPA</v>
      </c>
      <c r="C19934" t="s">
        <v>645</v>
      </c>
      <c r="D19934" s="1" t="str">
        <f t="shared" si="532"/>
        <v>PRG-1047307</v>
      </c>
      <c r="E19934" t="s">
        <v>12</v>
      </c>
      <c r="F19934" t="s">
        <v>4</v>
      </c>
      <c r="G19934" t="str">
        <f>""</f>
        <v/>
      </c>
    </row>
    <row r="19935" spans="1:7" x14ac:dyDescent="0.25">
      <c r="A19935" t="s">
        <v>8</v>
      </c>
      <c r="B19935" s="1" t="str">
        <f>"000409844 - RICH PRODUCTS CORP -DOD NAPA"</f>
        <v>000409844 - RICH PRODUCTS CORP -DOD NAPA</v>
      </c>
      <c r="C19935" t="s">
        <v>645</v>
      </c>
      <c r="D19935" s="1" t="str">
        <f t="shared" si="532"/>
        <v>PRG-1047307</v>
      </c>
      <c r="E19935" t="s">
        <v>12</v>
      </c>
      <c r="F19935" t="s">
        <v>4</v>
      </c>
      <c r="G19935" t="str">
        <f>""</f>
        <v/>
      </c>
    </row>
    <row r="19936" spans="1:7" x14ac:dyDescent="0.25">
      <c r="A19936" t="s">
        <v>8</v>
      </c>
      <c r="B19936" s="1" t="str">
        <f>"000410508 - RICHS NCBB-AFNAF"</f>
        <v>000410508 - RICHS NCBB-AFNAF</v>
      </c>
      <c r="C19936" t="s">
        <v>609</v>
      </c>
      <c r="D19936" s="1" t="str">
        <f t="shared" si="532"/>
        <v>PRG-1047307</v>
      </c>
      <c r="E19936" t="s">
        <v>12</v>
      </c>
      <c r="F19936" t="s">
        <v>4</v>
      </c>
      <c r="G19936" t="str">
        <f>""</f>
        <v/>
      </c>
    </row>
    <row r="19937" spans="1:7" x14ac:dyDescent="0.25">
      <c r="A19937" t="s">
        <v>8</v>
      </c>
      <c r="B19937" s="1" t="str">
        <f>"000420915 - RICHS NCBB-AFNAF"</f>
        <v>000420915 - RICHS NCBB-AFNAF</v>
      </c>
      <c r="C19937" t="s">
        <v>609</v>
      </c>
      <c r="D19937" s="1" t="str">
        <f t="shared" si="532"/>
        <v>PRG-1047307</v>
      </c>
      <c r="E19937" t="s">
        <v>12</v>
      </c>
      <c r="F19937" t="s">
        <v>4</v>
      </c>
      <c r="G19937" t="str">
        <f>""</f>
        <v/>
      </c>
    </row>
    <row r="19938" spans="1:7" x14ac:dyDescent="0.25">
      <c r="A19938" t="s">
        <v>8</v>
      </c>
      <c r="B19938" s="1" t="str">
        <f>"10699"</f>
        <v>10699</v>
      </c>
      <c r="C19938" t="s">
        <v>3797</v>
      </c>
      <c r="D19938" s="1" t="str">
        <f t="shared" si="532"/>
        <v>PRG-1047307</v>
      </c>
      <c r="E19938" t="s">
        <v>12</v>
      </c>
      <c r="F19938" t="s">
        <v>7</v>
      </c>
      <c r="G19938" t="str">
        <f>""</f>
        <v/>
      </c>
    </row>
    <row r="19939" spans="1:7" x14ac:dyDescent="0.25">
      <c r="A19939" t="s">
        <v>8</v>
      </c>
      <c r="B19939" s="1" t="str">
        <f>"31703891"</f>
        <v>31703891</v>
      </c>
      <c r="C19939" t="s">
        <v>4699</v>
      </c>
      <c r="D19939" s="1" t="str">
        <f t="shared" si="532"/>
        <v>PRG-1047307</v>
      </c>
      <c r="E19939" t="s">
        <v>12</v>
      </c>
      <c r="F19939" t="s">
        <v>5</v>
      </c>
      <c r="G19939" t="str">
        <f>""</f>
        <v/>
      </c>
    </row>
    <row r="19940" spans="1:7" x14ac:dyDescent="0.25">
      <c r="A19940" t="s">
        <v>8</v>
      </c>
      <c r="B19940" s="1" t="str">
        <f>"S4C003P0"</f>
        <v>S4C003P0</v>
      </c>
      <c r="C19940" t="s">
        <v>5695</v>
      </c>
      <c r="D19940" s="1" t="str">
        <f t="shared" si="532"/>
        <v>PRG-1047307</v>
      </c>
      <c r="E19940" t="s">
        <v>12</v>
      </c>
      <c r="F19940" t="s">
        <v>5</v>
      </c>
      <c r="G19940" t="str">
        <f>""</f>
        <v/>
      </c>
    </row>
    <row r="19941" spans="1:7" x14ac:dyDescent="0.25">
      <c r="A19941" t="s">
        <v>8</v>
      </c>
      <c r="B19941" s="1" t="str">
        <f>"S4C00580"</f>
        <v>S4C00580</v>
      </c>
      <c r="C19941" t="s">
        <v>5696</v>
      </c>
      <c r="D19941" s="1" t="str">
        <f t="shared" si="532"/>
        <v>PRG-1047307</v>
      </c>
      <c r="E19941" t="s">
        <v>12</v>
      </c>
      <c r="F19941" t="s">
        <v>5</v>
      </c>
      <c r="G19941" t="str">
        <f>""</f>
        <v/>
      </c>
    </row>
    <row r="19942" spans="1:7" x14ac:dyDescent="0.25">
      <c r="A19942" t="s">
        <v>8</v>
      </c>
      <c r="B19942" s="1" t="str">
        <f>"S4C00581"</f>
        <v>S4C00581</v>
      </c>
      <c r="C19942" t="s">
        <v>5696</v>
      </c>
      <c r="D19942" s="1" t="str">
        <f t="shared" si="532"/>
        <v>PRG-1047307</v>
      </c>
      <c r="E19942" t="s">
        <v>12</v>
      </c>
      <c r="F19942" t="s">
        <v>5</v>
      </c>
      <c r="G19942" t="str">
        <f>""</f>
        <v/>
      </c>
    </row>
    <row r="19943" spans="1:7" x14ac:dyDescent="0.25">
      <c r="A19943" t="s">
        <v>8</v>
      </c>
      <c r="B19943" s="1" t="str">
        <f>"S4C006X0"</f>
        <v>S4C006X0</v>
      </c>
      <c r="C19943" t="s">
        <v>5697</v>
      </c>
      <c r="D19943" s="1" t="str">
        <f t="shared" si="532"/>
        <v>PRG-1047307</v>
      </c>
      <c r="E19943" t="s">
        <v>12</v>
      </c>
      <c r="F19943" t="s">
        <v>5</v>
      </c>
      <c r="G19943" t="str">
        <f>""</f>
        <v/>
      </c>
    </row>
    <row r="19944" spans="1:7" x14ac:dyDescent="0.25">
      <c r="A19944" t="s">
        <v>8</v>
      </c>
      <c r="B19944" s="1" t="str">
        <f>"S4C006X1"</f>
        <v>S4C006X1</v>
      </c>
      <c r="C19944" t="s">
        <v>5697</v>
      </c>
      <c r="D19944" s="1" t="str">
        <f t="shared" si="532"/>
        <v>PRG-1047307</v>
      </c>
      <c r="E19944" t="s">
        <v>12</v>
      </c>
      <c r="F19944" t="s">
        <v>5</v>
      </c>
      <c r="G19944" t="str">
        <f>""</f>
        <v/>
      </c>
    </row>
    <row r="19945" spans="1:7" x14ac:dyDescent="0.25">
      <c r="A19945" t="s">
        <v>8</v>
      </c>
      <c r="B19945" s="1" t="str">
        <f>"S5D06WG0"</f>
        <v>S5D06WG0</v>
      </c>
      <c r="C19945" t="s">
        <v>5814</v>
      </c>
      <c r="D19945" s="1" t="str">
        <f t="shared" si="532"/>
        <v>PRG-1047307</v>
      </c>
      <c r="E19945" t="s">
        <v>12</v>
      </c>
      <c r="F19945" t="s">
        <v>5</v>
      </c>
      <c r="G19945" t="str">
        <f>""</f>
        <v/>
      </c>
    </row>
    <row r="19946" spans="1:7" x14ac:dyDescent="0.25">
      <c r="A19946" t="s">
        <v>8</v>
      </c>
      <c r="B19946" s="1" t="str">
        <f>"S5D06WG1"</f>
        <v>S5D06WG1</v>
      </c>
      <c r="C19946" t="s">
        <v>5814</v>
      </c>
      <c r="D19946" s="1" t="str">
        <f t="shared" si="532"/>
        <v>PRG-1047307</v>
      </c>
      <c r="E19946" t="s">
        <v>12</v>
      </c>
      <c r="F19946" t="s">
        <v>5</v>
      </c>
      <c r="G19946" t="str">
        <f>""</f>
        <v/>
      </c>
    </row>
    <row r="19947" spans="1:7" x14ac:dyDescent="0.25">
      <c r="A19947" t="s">
        <v>8</v>
      </c>
      <c r="B19947" s="1" t="str">
        <f>"S8U001N0"</f>
        <v>S8U001N0</v>
      </c>
      <c r="C19947" t="s">
        <v>6279</v>
      </c>
      <c r="D19947" s="1" t="str">
        <f t="shared" si="532"/>
        <v>PRG-1047307</v>
      </c>
      <c r="E19947" t="s">
        <v>12</v>
      </c>
      <c r="F19947" t="s">
        <v>5</v>
      </c>
      <c r="G19947" t="str">
        <f>""</f>
        <v/>
      </c>
    </row>
    <row r="19948" spans="1:7" x14ac:dyDescent="0.25">
      <c r="A19948" t="s">
        <v>8</v>
      </c>
      <c r="B19948" s="1" t="str">
        <f>"000411637 - RICH PRODUCTS DC CITY FIRE"</f>
        <v>000411637 - RICH PRODUCTS DC CITY FIRE</v>
      </c>
      <c r="C19948" t="s">
        <v>3658</v>
      </c>
      <c r="D19948" s="1" t="str">
        <f>"PRG-1047324"</f>
        <v>PRG-1047324</v>
      </c>
      <c r="E19948" t="s">
        <v>2567</v>
      </c>
      <c r="F19948" t="s">
        <v>4</v>
      </c>
      <c r="G19948" t="str">
        <f>""</f>
        <v/>
      </c>
    </row>
    <row r="19949" spans="1:7" x14ac:dyDescent="0.25">
      <c r="A19949" t="s">
        <v>8</v>
      </c>
      <c r="B19949" s="1" t="str">
        <f>"000033174 - RICH FOODS-MGM"</f>
        <v>000033174 - RICH FOODS-MGM</v>
      </c>
      <c r="C19949" t="s">
        <v>509</v>
      </c>
      <c r="D19949" s="1" t="str">
        <f>"PRG-1047333"</f>
        <v>PRG-1047333</v>
      </c>
      <c r="E19949" t="s">
        <v>63</v>
      </c>
      <c r="F19949" t="s">
        <v>4</v>
      </c>
      <c r="G19949" t="str">
        <f>""</f>
        <v/>
      </c>
    </row>
    <row r="19950" spans="1:7" x14ac:dyDescent="0.25">
      <c r="A19950" t="s">
        <v>8</v>
      </c>
      <c r="B19950" s="1" t="str">
        <f>"41001623"</f>
        <v>41001623</v>
      </c>
      <c r="C19950" t="s">
        <v>4930</v>
      </c>
      <c r="D19950" s="1" t="str">
        <f>"PRG-1047333"</f>
        <v>PRG-1047333</v>
      </c>
      <c r="E19950" t="s">
        <v>63</v>
      </c>
      <c r="F19950" t="s">
        <v>5</v>
      </c>
      <c r="G19950" t="str">
        <f>""</f>
        <v/>
      </c>
    </row>
    <row r="19951" spans="1:7" x14ac:dyDescent="0.25">
      <c r="A19951" t="s">
        <v>8</v>
      </c>
      <c r="B19951" s="1" t="str">
        <f>"6026VU93"</f>
        <v>6026VU93</v>
      </c>
      <c r="C19951" t="s">
        <v>5167</v>
      </c>
      <c r="D19951" s="1" t="str">
        <f t="shared" ref="D19951:D19960" si="533">"PRG-1047335"</f>
        <v>PRG-1047335</v>
      </c>
      <c r="E19951" t="s">
        <v>87</v>
      </c>
      <c r="F19951" t="s">
        <v>5</v>
      </c>
      <c r="G19951" t="str">
        <f>""</f>
        <v/>
      </c>
    </row>
    <row r="19952" spans="1:7" x14ac:dyDescent="0.25">
      <c r="A19952" t="s">
        <v>8</v>
      </c>
      <c r="B19952" s="1" t="str">
        <f>"S1Z0A9V0"</f>
        <v>S1Z0A9V0</v>
      </c>
      <c r="C19952" t="s">
        <v>5366</v>
      </c>
      <c r="D19952" s="1" t="str">
        <f t="shared" si="533"/>
        <v>PRG-1047335</v>
      </c>
      <c r="E19952" t="s">
        <v>87</v>
      </c>
      <c r="F19952" t="s">
        <v>5</v>
      </c>
      <c r="G19952" t="str">
        <f>""</f>
        <v/>
      </c>
    </row>
    <row r="19953" spans="1:7" x14ac:dyDescent="0.25">
      <c r="A19953" t="s">
        <v>8</v>
      </c>
      <c r="B19953" s="1" t="str">
        <f>"S1Z0Z1Y0"</f>
        <v>S1Z0Z1Y0</v>
      </c>
      <c r="C19953" t="s">
        <v>5457</v>
      </c>
      <c r="D19953" s="1" t="str">
        <f t="shared" si="533"/>
        <v>PRG-1047335</v>
      </c>
      <c r="E19953" t="s">
        <v>87</v>
      </c>
      <c r="F19953" t="s">
        <v>5</v>
      </c>
      <c r="G19953" t="str">
        <f>""</f>
        <v/>
      </c>
    </row>
    <row r="19954" spans="1:7" x14ac:dyDescent="0.25">
      <c r="A19954" t="s">
        <v>8</v>
      </c>
      <c r="B19954" s="1" t="str">
        <f>"S1Z0ZRY0"</f>
        <v>S1Z0ZRY0</v>
      </c>
      <c r="C19954" t="s">
        <v>5460</v>
      </c>
      <c r="D19954" s="1" t="str">
        <f t="shared" si="533"/>
        <v>PRG-1047335</v>
      </c>
      <c r="E19954" t="s">
        <v>87</v>
      </c>
      <c r="F19954" t="s">
        <v>5</v>
      </c>
      <c r="G19954" t="str">
        <f>""</f>
        <v/>
      </c>
    </row>
    <row r="19955" spans="1:7" x14ac:dyDescent="0.25">
      <c r="A19955" t="s">
        <v>8</v>
      </c>
      <c r="B19955" s="1" t="str">
        <f>"S4I003S0"</f>
        <v>S4I003S0</v>
      </c>
      <c r="C19955" t="s">
        <v>5724</v>
      </c>
      <c r="D19955" s="1" t="str">
        <f t="shared" si="533"/>
        <v>PRG-1047335</v>
      </c>
      <c r="E19955" t="s">
        <v>87</v>
      </c>
      <c r="F19955" t="s">
        <v>5</v>
      </c>
      <c r="G19955" t="str">
        <f>""</f>
        <v/>
      </c>
    </row>
    <row r="19956" spans="1:7" x14ac:dyDescent="0.25">
      <c r="A19956" t="s">
        <v>8</v>
      </c>
      <c r="B19956" s="1" t="str">
        <f>"S5G000E0"</f>
        <v>S5G000E0</v>
      </c>
      <c r="C19956" t="s">
        <v>5822</v>
      </c>
      <c r="D19956" s="1" t="str">
        <f t="shared" si="533"/>
        <v>PRG-1047335</v>
      </c>
      <c r="E19956" t="s">
        <v>87</v>
      </c>
      <c r="F19956" t="s">
        <v>5</v>
      </c>
      <c r="G19956" t="str">
        <f>""</f>
        <v/>
      </c>
    </row>
    <row r="19957" spans="1:7" x14ac:dyDescent="0.25">
      <c r="A19957" t="s">
        <v>8</v>
      </c>
      <c r="B19957" s="1" t="str">
        <f>"S5O009B0"</f>
        <v>S5O009B0</v>
      </c>
      <c r="C19957" t="s">
        <v>5913</v>
      </c>
      <c r="D19957" s="1" t="str">
        <f t="shared" si="533"/>
        <v>PRG-1047335</v>
      </c>
      <c r="E19957" t="s">
        <v>87</v>
      </c>
      <c r="F19957" t="s">
        <v>5</v>
      </c>
      <c r="G19957" t="str">
        <f>""</f>
        <v/>
      </c>
    </row>
    <row r="19958" spans="1:7" x14ac:dyDescent="0.25">
      <c r="A19958" t="s">
        <v>8</v>
      </c>
      <c r="B19958" s="1" t="str">
        <f>"S5O00DR0"</f>
        <v>S5O00DR0</v>
      </c>
      <c r="C19958" t="s">
        <v>5915</v>
      </c>
      <c r="D19958" s="1" t="str">
        <f t="shared" si="533"/>
        <v>PRG-1047335</v>
      </c>
      <c r="E19958" t="s">
        <v>87</v>
      </c>
      <c r="F19958" t="s">
        <v>5</v>
      </c>
      <c r="G19958" t="str">
        <f>""</f>
        <v/>
      </c>
    </row>
    <row r="19959" spans="1:7" x14ac:dyDescent="0.25">
      <c r="A19959" t="s">
        <v>8</v>
      </c>
      <c r="B19959" s="1" t="str">
        <f>"S5O00DR1"</f>
        <v>S5O00DR1</v>
      </c>
      <c r="C19959" t="s">
        <v>5915</v>
      </c>
      <c r="D19959" s="1" t="str">
        <f t="shared" si="533"/>
        <v>PRG-1047335</v>
      </c>
      <c r="E19959" t="s">
        <v>87</v>
      </c>
      <c r="F19959" t="s">
        <v>5</v>
      </c>
      <c r="G19959" t="str">
        <f>""</f>
        <v/>
      </c>
    </row>
    <row r="19960" spans="1:7" x14ac:dyDescent="0.25">
      <c r="A19960" t="s">
        <v>8</v>
      </c>
      <c r="B19960" s="1" t="str">
        <f>"S5O00UD0"</f>
        <v>S5O00UD0</v>
      </c>
      <c r="C19960" t="s">
        <v>5924</v>
      </c>
      <c r="D19960" s="1" t="str">
        <f t="shared" si="533"/>
        <v>PRG-1047335</v>
      </c>
      <c r="E19960" t="s">
        <v>87</v>
      </c>
      <c r="F19960" t="s">
        <v>5</v>
      </c>
      <c r="G19960" t="str">
        <f>""</f>
        <v/>
      </c>
    </row>
    <row r="19961" spans="1:7" x14ac:dyDescent="0.25">
      <c r="A19961" t="s">
        <v>8</v>
      </c>
      <c r="B19961" s="1" t="str">
        <f>"000401353 - RICHS(DC) BIG CEDAR LODGE"</f>
        <v>000401353 - RICHS(DC) BIG CEDAR LODGE</v>
      </c>
      <c r="C19961" t="s">
        <v>3718</v>
      </c>
      <c r="D19961" s="1" t="str">
        <f>"PRG-1047404"</f>
        <v>PRG-1047404</v>
      </c>
      <c r="E19961" t="s">
        <v>3719</v>
      </c>
      <c r="F19961" t="s">
        <v>4</v>
      </c>
      <c r="G19961" t="str">
        <f>""</f>
        <v/>
      </c>
    </row>
    <row r="19962" spans="1:7" x14ac:dyDescent="0.25">
      <c r="A19962" t="s">
        <v>8</v>
      </c>
      <c r="B19962" s="1" t="str">
        <f>"S1Z0JKI0"</f>
        <v>S1Z0JKI0</v>
      </c>
      <c r="C19962" t="s">
        <v>5405</v>
      </c>
      <c r="D19962" s="1" t="str">
        <f>"PRG-1047406"</f>
        <v>PRG-1047406</v>
      </c>
      <c r="E19962" t="s">
        <v>4106</v>
      </c>
      <c r="F19962" t="s">
        <v>5</v>
      </c>
      <c r="G19962" t="str">
        <f>""</f>
        <v/>
      </c>
    </row>
    <row r="19963" spans="1:7" x14ac:dyDescent="0.25">
      <c r="A19963" t="s">
        <v>8</v>
      </c>
      <c r="B19963" s="1" t="str">
        <f>"S1Z0VPB0"</f>
        <v>S1Z0VPB0</v>
      </c>
      <c r="C19963" t="s">
        <v>5449</v>
      </c>
      <c r="D19963" s="1" t="str">
        <f>"PRG-1047414"</f>
        <v>PRG-1047414</v>
      </c>
      <c r="E19963" t="s">
        <v>5450</v>
      </c>
      <c r="F19963" t="s">
        <v>5</v>
      </c>
      <c r="G19963" t="str">
        <f>""</f>
        <v/>
      </c>
    </row>
    <row r="19964" spans="1:7" x14ac:dyDescent="0.25">
      <c r="A19964" t="s">
        <v>8</v>
      </c>
      <c r="B19964" s="1" t="str">
        <f>"S3V00XU0"</f>
        <v>S3V00XU0</v>
      </c>
      <c r="C19964" t="s">
        <v>5679</v>
      </c>
      <c r="D19964" s="1" t="str">
        <f>"PRG-1047430"</f>
        <v>PRG-1047430</v>
      </c>
      <c r="E19964" t="s">
        <v>5680</v>
      </c>
      <c r="F19964" t="s">
        <v>5</v>
      </c>
      <c r="G19964" t="str">
        <f>""</f>
        <v/>
      </c>
    </row>
    <row r="19965" spans="1:7" x14ac:dyDescent="0.25">
      <c r="A19965" t="s">
        <v>8</v>
      </c>
      <c r="B19965" s="1" t="str">
        <f>"000136846 - RICH FOODS NC-GRANITE CITY"</f>
        <v>000136846 - RICH FOODS NC-GRANITE CITY</v>
      </c>
      <c r="C19965" t="s">
        <v>864</v>
      </c>
      <c r="D19965" s="1" t="str">
        <f t="shared" ref="D19965:D19996" si="534">"PRG-1047433"</f>
        <v>PRG-1047433</v>
      </c>
      <c r="E19965" t="s">
        <v>846</v>
      </c>
      <c r="F19965" t="s">
        <v>4</v>
      </c>
      <c r="G19965" t="str">
        <f>""</f>
        <v/>
      </c>
    </row>
    <row r="19966" spans="1:7" x14ac:dyDescent="0.25">
      <c r="A19966" t="s">
        <v>8</v>
      </c>
      <c r="B19966" s="1" t="str">
        <f>"000136847 - RICH FOODS C-GRANITE CITY"</f>
        <v>000136847 - RICH FOODS C-GRANITE CITY</v>
      </c>
      <c r="C19966" t="s">
        <v>865</v>
      </c>
      <c r="D19966" s="1" t="str">
        <f t="shared" si="534"/>
        <v>PRG-1047433</v>
      </c>
      <c r="E19966" t="s">
        <v>846</v>
      </c>
      <c r="F19966" t="s">
        <v>4</v>
      </c>
      <c r="G19966" t="str">
        <f>""</f>
        <v/>
      </c>
    </row>
    <row r="19967" spans="1:7" x14ac:dyDescent="0.25">
      <c r="A19967" t="s">
        <v>8</v>
      </c>
      <c r="B19967" s="1" t="str">
        <f>"000139604 - RICH FOODS NC-GRANITE CITY"</f>
        <v>000139604 - RICH FOODS NC-GRANITE CITY</v>
      </c>
      <c r="C19967" t="s">
        <v>864</v>
      </c>
      <c r="D19967" s="1" t="str">
        <f t="shared" si="534"/>
        <v>PRG-1047433</v>
      </c>
      <c r="E19967" t="s">
        <v>846</v>
      </c>
      <c r="F19967" t="s">
        <v>4</v>
      </c>
      <c r="G19967" t="str">
        <f>""</f>
        <v/>
      </c>
    </row>
    <row r="19968" spans="1:7" x14ac:dyDescent="0.25">
      <c r="A19968" t="s">
        <v>8</v>
      </c>
      <c r="B19968" s="1" t="str">
        <f>"000139605 - RICH FOODS C-GRANITE CITY"</f>
        <v>000139605 - RICH FOODS C-GRANITE CITY</v>
      </c>
      <c r="C19968" t="s">
        <v>865</v>
      </c>
      <c r="D19968" s="1" t="str">
        <f t="shared" si="534"/>
        <v>PRG-1047433</v>
      </c>
      <c r="E19968" t="s">
        <v>846</v>
      </c>
      <c r="F19968" t="s">
        <v>4</v>
      </c>
      <c r="G19968" t="str">
        <f>""</f>
        <v/>
      </c>
    </row>
    <row r="19969" spans="1:7" x14ac:dyDescent="0.25">
      <c r="A19969" t="s">
        <v>8</v>
      </c>
      <c r="B19969" s="1" t="str">
        <f>"000140898 - RICH FOODS NC-GRANITE CITY"</f>
        <v>000140898 - RICH FOODS NC-GRANITE CITY</v>
      </c>
      <c r="C19969" t="s">
        <v>864</v>
      </c>
      <c r="D19969" s="1" t="str">
        <f t="shared" si="534"/>
        <v>PRG-1047433</v>
      </c>
      <c r="E19969" t="s">
        <v>846</v>
      </c>
      <c r="F19969" t="s">
        <v>4</v>
      </c>
      <c r="G19969" t="str">
        <f>""</f>
        <v/>
      </c>
    </row>
    <row r="19970" spans="1:7" x14ac:dyDescent="0.25">
      <c r="A19970" t="s">
        <v>8</v>
      </c>
      <c r="B19970" s="1" t="str">
        <f>"000140899 - RICH FOODS C-GRANITE CITY"</f>
        <v>000140899 - RICH FOODS C-GRANITE CITY</v>
      </c>
      <c r="C19970" t="s">
        <v>865</v>
      </c>
      <c r="D19970" s="1" t="str">
        <f t="shared" si="534"/>
        <v>PRG-1047433</v>
      </c>
      <c r="E19970" t="s">
        <v>846</v>
      </c>
      <c r="F19970" t="s">
        <v>4</v>
      </c>
      <c r="G19970" t="str">
        <f>""</f>
        <v/>
      </c>
    </row>
    <row r="19971" spans="1:7" x14ac:dyDescent="0.25">
      <c r="A19971" t="s">
        <v>8</v>
      </c>
      <c r="B19971" s="1" t="str">
        <f>"000166878 - RICH FOODS-GRANITE CITY"</f>
        <v>000166878 - RICH FOODS-GRANITE CITY</v>
      </c>
      <c r="C19971" t="s">
        <v>820</v>
      </c>
      <c r="D19971" s="1" t="str">
        <f t="shared" si="534"/>
        <v>PRG-1047433</v>
      </c>
      <c r="E19971" t="s">
        <v>846</v>
      </c>
      <c r="F19971" t="s">
        <v>4</v>
      </c>
      <c r="G19971" t="str">
        <f>""</f>
        <v/>
      </c>
    </row>
    <row r="19972" spans="1:7" x14ac:dyDescent="0.25">
      <c r="A19972" t="s">
        <v>8</v>
      </c>
      <c r="B19972" s="1" t="str">
        <f>"000203113 - RICH FOODS NC-GRANITE CITY"</f>
        <v>000203113 - RICH FOODS NC-GRANITE CITY</v>
      </c>
      <c r="C19972" t="s">
        <v>864</v>
      </c>
      <c r="D19972" s="1" t="str">
        <f t="shared" si="534"/>
        <v>PRG-1047433</v>
      </c>
      <c r="E19972" t="s">
        <v>846</v>
      </c>
      <c r="F19972" t="s">
        <v>4</v>
      </c>
      <c r="G19972" t="str">
        <f>""</f>
        <v/>
      </c>
    </row>
    <row r="19973" spans="1:7" x14ac:dyDescent="0.25">
      <c r="A19973" t="s">
        <v>8</v>
      </c>
      <c r="B19973" s="1" t="str">
        <f>"000203114 - RICH FOODS C-GRANITE CITY"</f>
        <v>000203114 - RICH FOODS C-GRANITE CITY</v>
      </c>
      <c r="C19973" t="s">
        <v>865</v>
      </c>
      <c r="D19973" s="1" t="str">
        <f t="shared" si="534"/>
        <v>PRG-1047433</v>
      </c>
      <c r="E19973" t="s">
        <v>846</v>
      </c>
      <c r="F19973" t="s">
        <v>4</v>
      </c>
      <c r="G19973" t="str">
        <f>""</f>
        <v/>
      </c>
    </row>
    <row r="19974" spans="1:7" x14ac:dyDescent="0.25">
      <c r="A19974" t="s">
        <v>8</v>
      </c>
      <c r="B19974" s="1" t="str">
        <f>"000206577 - RICH FOODS C-GRANITE CITY"</f>
        <v>000206577 - RICH FOODS C-GRANITE CITY</v>
      </c>
      <c r="C19974" t="s">
        <v>865</v>
      </c>
      <c r="D19974" s="1" t="str">
        <f t="shared" si="534"/>
        <v>PRG-1047433</v>
      </c>
      <c r="E19974" t="s">
        <v>846</v>
      </c>
      <c r="F19974" t="s">
        <v>4</v>
      </c>
      <c r="G19974" t="str">
        <f>""</f>
        <v/>
      </c>
    </row>
    <row r="19975" spans="1:7" x14ac:dyDescent="0.25">
      <c r="A19975" t="s">
        <v>8</v>
      </c>
      <c r="B19975" s="1" t="str">
        <f>"000208410 - RICH FOODS NC-GRANITE CITY"</f>
        <v>000208410 - RICH FOODS NC-GRANITE CITY</v>
      </c>
      <c r="C19975" t="s">
        <v>864</v>
      </c>
      <c r="D19975" s="1" t="str">
        <f t="shared" si="534"/>
        <v>PRG-1047433</v>
      </c>
      <c r="E19975" t="s">
        <v>846</v>
      </c>
      <c r="F19975" t="s">
        <v>4</v>
      </c>
      <c r="G19975" t="str">
        <f>""</f>
        <v/>
      </c>
    </row>
    <row r="19976" spans="1:7" x14ac:dyDescent="0.25">
      <c r="A19976" t="s">
        <v>8</v>
      </c>
      <c r="B19976" s="1" t="str">
        <f>"000208411 - RICH FOODS C-GRANITE CITY"</f>
        <v>000208411 - RICH FOODS C-GRANITE CITY</v>
      </c>
      <c r="C19976" t="s">
        <v>865</v>
      </c>
      <c r="D19976" s="1" t="str">
        <f t="shared" si="534"/>
        <v>PRG-1047433</v>
      </c>
      <c r="E19976" t="s">
        <v>846</v>
      </c>
      <c r="F19976" t="s">
        <v>4</v>
      </c>
      <c r="G19976" t="str">
        <f>""</f>
        <v/>
      </c>
    </row>
    <row r="19977" spans="1:7" x14ac:dyDescent="0.25">
      <c r="A19977" t="s">
        <v>8</v>
      </c>
      <c r="B19977" s="1" t="str">
        <f>"000216214 - RICH FOODS C-GRANITE CITY"</f>
        <v>000216214 - RICH FOODS C-GRANITE CITY</v>
      </c>
      <c r="C19977" t="s">
        <v>865</v>
      </c>
      <c r="D19977" s="1" t="str">
        <f t="shared" si="534"/>
        <v>PRG-1047433</v>
      </c>
      <c r="E19977" t="s">
        <v>846</v>
      </c>
      <c r="F19977" t="s">
        <v>4</v>
      </c>
      <c r="G19977" t="str">
        <f>""</f>
        <v/>
      </c>
    </row>
    <row r="19978" spans="1:7" x14ac:dyDescent="0.25">
      <c r="A19978" t="s">
        <v>8</v>
      </c>
      <c r="B19978" s="1" t="str">
        <f>"000222295 - RICH FOODS C-GRANITE CITY"</f>
        <v>000222295 - RICH FOODS C-GRANITE CITY</v>
      </c>
      <c r="C19978" t="s">
        <v>865</v>
      </c>
      <c r="D19978" s="1" t="str">
        <f t="shared" si="534"/>
        <v>PRG-1047433</v>
      </c>
      <c r="E19978" t="s">
        <v>846</v>
      </c>
      <c r="F19978" t="s">
        <v>4</v>
      </c>
      <c r="G19978" t="str">
        <f>""</f>
        <v/>
      </c>
    </row>
    <row r="19979" spans="1:7" x14ac:dyDescent="0.25">
      <c r="A19979" t="s">
        <v>8</v>
      </c>
      <c r="B19979" s="1" t="str">
        <f>"000226697 - RICH FOODS NC-GRANITE CITY"</f>
        <v>000226697 - RICH FOODS NC-GRANITE CITY</v>
      </c>
      <c r="C19979" t="s">
        <v>864</v>
      </c>
      <c r="D19979" s="1" t="str">
        <f t="shared" si="534"/>
        <v>PRG-1047433</v>
      </c>
      <c r="E19979" t="s">
        <v>846</v>
      </c>
      <c r="F19979" t="s">
        <v>4</v>
      </c>
      <c r="G19979" t="str">
        <f>""</f>
        <v/>
      </c>
    </row>
    <row r="19980" spans="1:7" x14ac:dyDescent="0.25">
      <c r="A19980" t="s">
        <v>8</v>
      </c>
      <c r="B19980" s="1" t="str">
        <f>"000226698 - RICH FOODS C-GRANITE CITY"</f>
        <v>000226698 - RICH FOODS C-GRANITE CITY</v>
      </c>
      <c r="C19980" t="s">
        <v>865</v>
      </c>
      <c r="D19980" s="1" t="str">
        <f t="shared" si="534"/>
        <v>PRG-1047433</v>
      </c>
      <c r="E19980" t="s">
        <v>846</v>
      </c>
      <c r="F19980" t="s">
        <v>4</v>
      </c>
      <c r="G19980" t="str">
        <f>""</f>
        <v/>
      </c>
    </row>
    <row r="19981" spans="1:7" x14ac:dyDescent="0.25">
      <c r="A19981" t="s">
        <v>8</v>
      </c>
      <c r="B19981" s="1" t="str">
        <f>"000232106 - RICH FOODS NC-GRANITE CITY"</f>
        <v>000232106 - RICH FOODS NC-GRANITE CITY</v>
      </c>
      <c r="C19981" t="s">
        <v>864</v>
      </c>
      <c r="D19981" s="1" t="str">
        <f t="shared" si="534"/>
        <v>PRG-1047433</v>
      </c>
      <c r="E19981" t="s">
        <v>846</v>
      </c>
      <c r="F19981" t="s">
        <v>4</v>
      </c>
      <c r="G19981" t="str">
        <f>""</f>
        <v/>
      </c>
    </row>
    <row r="19982" spans="1:7" x14ac:dyDescent="0.25">
      <c r="A19982" t="s">
        <v>8</v>
      </c>
      <c r="B19982" s="1" t="str">
        <f>"000232107 - RICH FOODS C-GRANITE CITY"</f>
        <v>000232107 - RICH FOODS C-GRANITE CITY</v>
      </c>
      <c r="C19982" t="s">
        <v>865</v>
      </c>
      <c r="D19982" s="1" t="str">
        <f t="shared" si="534"/>
        <v>PRG-1047433</v>
      </c>
      <c r="E19982" t="s">
        <v>846</v>
      </c>
      <c r="F19982" t="s">
        <v>4</v>
      </c>
      <c r="G19982" t="str">
        <f>""</f>
        <v/>
      </c>
    </row>
    <row r="19983" spans="1:7" x14ac:dyDescent="0.25">
      <c r="A19983" t="s">
        <v>8</v>
      </c>
      <c r="B19983" s="1" t="str">
        <f>"000235114 - RICH FOODS NC-GRANITE CITY"</f>
        <v>000235114 - RICH FOODS NC-GRANITE CITY</v>
      </c>
      <c r="C19983" t="s">
        <v>864</v>
      </c>
      <c r="D19983" s="1" t="str">
        <f t="shared" si="534"/>
        <v>PRG-1047433</v>
      </c>
      <c r="E19983" t="s">
        <v>846</v>
      </c>
      <c r="F19983" t="s">
        <v>4</v>
      </c>
      <c r="G19983" t="str">
        <f>""</f>
        <v/>
      </c>
    </row>
    <row r="19984" spans="1:7" x14ac:dyDescent="0.25">
      <c r="A19984" t="s">
        <v>8</v>
      </c>
      <c r="B19984" s="1" t="str">
        <f>"000235115 - RICH FOODS C-GRANITE CITY"</f>
        <v>000235115 - RICH FOODS C-GRANITE CITY</v>
      </c>
      <c r="C19984" t="s">
        <v>865</v>
      </c>
      <c r="D19984" s="1" t="str">
        <f t="shared" si="534"/>
        <v>PRG-1047433</v>
      </c>
      <c r="E19984" t="s">
        <v>846</v>
      </c>
      <c r="F19984" t="s">
        <v>4</v>
      </c>
      <c r="G19984" t="str">
        <f>""</f>
        <v/>
      </c>
    </row>
    <row r="19985" spans="1:7" x14ac:dyDescent="0.25">
      <c r="A19985" t="s">
        <v>8</v>
      </c>
      <c r="B19985" s="1" t="str">
        <f>"000251086 - RICH FOODS NC-GRANITE CITY"</f>
        <v>000251086 - RICH FOODS NC-GRANITE CITY</v>
      </c>
      <c r="C19985" t="s">
        <v>864</v>
      </c>
      <c r="D19985" s="1" t="str">
        <f t="shared" si="534"/>
        <v>PRG-1047433</v>
      </c>
      <c r="E19985" t="s">
        <v>846</v>
      </c>
      <c r="F19985" t="s">
        <v>4</v>
      </c>
      <c r="G19985" t="str">
        <f>""</f>
        <v/>
      </c>
    </row>
    <row r="19986" spans="1:7" x14ac:dyDescent="0.25">
      <c r="A19986" t="s">
        <v>8</v>
      </c>
      <c r="B19986" s="1" t="str">
        <f>"000252770 - RICH FOODS C-GRANITE CITY"</f>
        <v>000252770 - RICH FOODS C-GRANITE CITY</v>
      </c>
      <c r="C19986" t="s">
        <v>865</v>
      </c>
      <c r="D19986" s="1" t="str">
        <f t="shared" si="534"/>
        <v>PRG-1047433</v>
      </c>
      <c r="E19986" t="s">
        <v>846</v>
      </c>
      <c r="F19986" t="s">
        <v>4</v>
      </c>
      <c r="G19986" t="str">
        <f>""</f>
        <v/>
      </c>
    </row>
    <row r="19987" spans="1:7" x14ac:dyDescent="0.25">
      <c r="A19987" t="s">
        <v>8</v>
      </c>
      <c r="B19987" s="1" t="str">
        <f>"000256185 - RICH FOODS C-GRANITE CITY"</f>
        <v>000256185 - RICH FOODS C-GRANITE CITY</v>
      </c>
      <c r="C19987" t="s">
        <v>865</v>
      </c>
      <c r="D19987" s="1" t="str">
        <f t="shared" si="534"/>
        <v>PRG-1047433</v>
      </c>
      <c r="E19987" t="s">
        <v>846</v>
      </c>
      <c r="F19987" t="s">
        <v>4</v>
      </c>
      <c r="G19987" t="str">
        <f>""</f>
        <v/>
      </c>
    </row>
    <row r="19988" spans="1:7" x14ac:dyDescent="0.25">
      <c r="A19988" t="s">
        <v>8</v>
      </c>
      <c r="B19988" s="1" t="str">
        <f>"000265511 - RICH FOODS NC-GRANITE CITY"</f>
        <v>000265511 - RICH FOODS NC-GRANITE CITY</v>
      </c>
      <c r="C19988" t="s">
        <v>864</v>
      </c>
      <c r="D19988" s="1" t="str">
        <f t="shared" si="534"/>
        <v>PRG-1047433</v>
      </c>
      <c r="E19988" t="s">
        <v>846</v>
      </c>
      <c r="F19988" t="s">
        <v>4</v>
      </c>
      <c r="G19988" t="str">
        <f>""</f>
        <v/>
      </c>
    </row>
    <row r="19989" spans="1:7" x14ac:dyDescent="0.25">
      <c r="A19989" t="s">
        <v>8</v>
      </c>
      <c r="B19989" s="1" t="str">
        <f>"000265512 - RICH FOODS C-GRANITE CITY"</f>
        <v>000265512 - RICH FOODS C-GRANITE CITY</v>
      </c>
      <c r="C19989" t="s">
        <v>865</v>
      </c>
      <c r="D19989" s="1" t="str">
        <f t="shared" si="534"/>
        <v>PRG-1047433</v>
      </c>
      <c r="E19989" t="s">
        <v>846</v>
      </c>
      <c r="F19989" t="s">
        <v>4</v>
      </c>
      <c r="G19989" t="str">
        <f>""</f>
        <v/>
      </c>
    </row>
    <row r="19990" spans="1:7" x14ac:dyDescent="0.25">
      <c r="A19990" t="s">
        <v>8</v>
      </c>
      <c r="B19990" s="1" t="str">
        <f>"000269780 - RICH FOODS NC-GRANITE CITY"</f>
        <v>000269780 - RICH FOODS NC-GRANITE CITY</v>
      </c>
      <c r="C19990" t="s">
        <v>864</v>
      </c>
      <c r="D19990" s="1" t="str">
        <f t="shared" si="534"/>
        <v>PRG-1047433</v>
      </c>
      <c r="E19990" t="s">
        <v>846</v>
      </c>
      <c r="F19990" t="s">
        <v>4</v>
      </c>
      <c r="G19990" t="str">
        <f>""</f>
        <v/>
      </c>
    </row>
    <row r="19991" spans="1:7" x14ac:dyDescent="0.25">
      <c r="A19991" t="s">
        <v>8</v>
      </c>
      <c r="B19991" s="1" t="str">
        <f>"000269783 - RICH FOODS C-GRANITE CITY"</f>
        <v>000269783 - RICH FOODS C-GRANITE CITY</v>
      </c>
      <c r="C19991" t="s">
        <v>865</v>
      </c>
      <c r="D19991" s="1" t="str">
        <f t="shared" si="534"/>
        <v>PRG-1047433</v>
      </c>
      <c r="E19991" t="s">
        <v>846</v>
      </c>
      <c r="F19991" t="s">
        <v>4</v>
      </c>
      <c r="G19991" t="str">
        <f>""</f>
        <v/>
      </c>
    </row>
    <row r="19992" spans="1:7" x14ac:dyDescent="0.25">
      <c r="A19992" t="s">
        <v>8</v>
      </c>
      <c r="B19992" s="1" t="str">
        <f>"000276376 - RICH FOODS-GRANITE CITY"</f>
        <v>000276376 - RICH FOODS-GRANITE CITY</v>
      </c>
      <c r="C19992" t="s">
        <v>820</v>
      </c>
      <c r="D19992" s="1" t="str">
        <f t="shared" si="534"/>
        <v>PRG-1047433</v>
      </c>
      <c r="E19992" t="s">
        <v>846</v>
      </c>
      <c r="F19992" t="s">
        <v>4</v>
      </c>
      <c r="G19992" t="str">
        <f>""</f>
        <v/>
      </c>
    </row>
    <row r="19993" spans="1:7" x14ac:dyDescent="0.25">
      <c r="A19993" t="s">
        <v>8</v>
      </c>
      <c r="B19993" s="1" t="str">
        <f>"000277728 - RICH FOODS C-GRANITE CITY"</f>
        <v>000277728 - RICH FOODS C-GRANITE CITY</v>
      </c>
      <c r="C19993" t="s">
        <v>865</v>
      </c>
      <c r="D19993" s="1" t="str">
        <f t="shared" si="534"/>
        <v>PRG-1047433</v>
      </c>
      <c r="E19993" t="s">
        <v>846</v>
      </c>
      <c r="F19993" t="s">
        <v>4</v>
      </c>
      <c r="G19993" t="str">
        <f>""</f>
        <v/>
      </c>
    </row>
    <row r="19994" spans="1:7" x14ac:dyDescent="0.25">
      <c r="A19994" t="s">
        <v>8</v>
      </c>
      <c r="B19994" s="1" t="str">
        <f>"000281090 - RICH FOODS - GRANITE CITY"</f>
        <v>000281090 - RICH FOODS - GRANITE CITY</v>
      </c>
      <c r="C19994" t="s">
        <v>1096</v>
      </c>
      <c r="D19994" s="1" t="str">
        <f t="shared" si="534"/>
        <v>PRG-1047433</v>
      </c>
      <c r="E19994" t="s">
        <v>846</v>
      </c>
      <c r="F19994" t="s">
        <v>4</v>
      </c>
      <c r="G19994" t="str">
        <f>""</f>
        <v/>
      </c>
    </row>
    <row r="19995" spans="1:7" x14ac:dyDescent="0.25">
      <c r="A19995" t="s">
        <v>8</v>
      </c>
      <c r="B19995" s="1" t="str">
        <f>"000281622 - RICH FOODS NC-GRANITE CITY"</f>
        <v>000281622 - RICH FOODS NC-GRANITE CITY</v>
      </c>
      <c r="C19995" t="s">
        <v>864</v>
      </c>
      <c r="D19995" s="1" t="str">
        <f t="shared" si="534"/>
        <v>PRG-1047433</v>
      </c>
      <c r="E19995" t="s">
        <v>846</v>
      </c>
      <c r="F19995" t="s">
        <v>4</v>
      </c>
      <c r="G19995" t="str">
        <f>""</f>
        <v/>
      </c>
    </row>
    <row r="19996" spans="1:7" x14ac:dyDescent="0.25">
      <c r="A19996" t="s">
        <v>8</v>
      </c>
      <c r="B19996" s="1" t="str">
        <f>"000281623 - RICH FOODS C-GRANITE CITY"</f>
        <v>000281623 - RICH FOODS C-GRANITE CITY</v>
      </c>
      <c r="C19996" t="s">
        <v>865</v>
      </c>
      <c r="D19996" s="1" t="str">
        <f t="shared" si="534"/>
        <v>PRG-1047433</v>
      </c>
      <c r="E19996" t="s">
        <v>846</v>
      </c>
      <c r="F19996" t="s">
        <v>4</v>
      </c>
      <c r="G19996" t="str">
        <f>""</f>
        <v/>
      </c>
    </row>
    <row r="19997" spans="1:7" x14ac:dyDescent="0.25">
      <c r="A19997" t="s">
        <v>8</v>
      </c>
      <c r="B19997" s="1" t="str">
        <f>"000290719 - RICH FOODS-GRANITE CITY"</f>
        <v>000290719 - RICH FOODS-GRANITE CITY</v>
      </c>
      <c r="C19997" t="s">
        <v>820</v>
      </c>
      <c r="D19997" s="1" t="str">
        <f t="shared" ref="D19997:D20022" si="535">"PRG-1047433"</f>
        <v>PRG-1047433</v>
      </c>
      <c r="E19997" t="s">
        <v>846</v>
      </c>
      <c r="F19997" t="s">
        <v>4</v>
      </c>
      <c r="G19997" t="str">
        <f>""</f>
        <v/>
      </c>
    </row>
    <row r="19998" spans="1:7" x14ac:dyDescent="0.25">
      <c r="A19998" t="s">
        <v>8</v>
      </c>
      <c r="B19998" s="1" t="str">
        <f>"000291337 - RICH FOODS-GRANITE CITY"</f>
        <v>000291337 - RICH FOODS-GRANITE CITY</v>
      </c>
      <c r="C19998" t="s">
        <v>820</v>
      </c>
      <c r="D19998" s="1" t="str">
        <f t="shared" si="535"/>
        <v>PRG-1047433</v>
      </c>
      <c r="E19998" t="s">
        <v>846</v>
      </c>
      <c r="F19998" t="s">
        <v>4</v>
      </c>
      <c r="G19998" t="str">
        <f>""</f>
        <v/>
      </c>
    </row>
    <row r="19999" spans="1:7" x14ac:dyDescent="0.25">
      <c r="A19999" t="s">
        <v>8</v>
      </c>
      <c r="B19999" s="1" t="str">
        <f>"000293983 - RICH FOODS-GRANITE CITY"</f>
        <v>000293983 - RICH FOODS-GRANITE CITY</v>
      </c>
      <c r="C19999" t="s">
        <v>820</v>
      </c>
      <c r="D19999" s="1" t="str">
        <f t="shared" si="535"/>
        <v>PRG-1047433</v>
      </c>
      <c r="E19999" t="s">
        <v>846</v>
      </c>
      <c r="F19999" t="s">
        <v>4</v>
      </c>
      <c r="G19999" t="str">
        <f>""</f>
        <v/>
      </c>
    </row>
    <row r="20000" spans="1:7" x14ac:dyDescent="0.25">
      <c r="A20000" t="s">
        <v>8</v>
      </c>
      <c r="B20000" s="1" t="str">
        <f>"000295013 - RICH FOODS - GRANITE CITY"</f>
        <v>000295013 - RICH FOODS - GRANITE CITY</v>
      </c>
      <c r="C20000" t="s">
        <v>1096</v>
      </c>
      <c r="D20000" s="1" t="str">
        <f t="shared" si="535"/>
        <v>PRG-1047433</v>
      </c>
      <c r="E20000" t="s">
        <v>846</v>
      </c>
      <c r="F20000" t="s">
        <v>4</v>
      </c>
      <c r="G20000" t="str">
        <f>""</f>
        <v/>
      </c>
    </row>
    <row r="20001" spans="1:7" x14ac:dyDescent="0.25">
      <c r="A20001" t="s">
        <v>8</v>
      </c>
      <c r="B20001" s="1" t="str">
        <f>"000295951 - RICH FOODS-GRANITE CITY"</f>
        <v>000295951 - RICH FOODS-GRANITE CITY</v>
      </c>
      <c r="C20001" t="s">
        <v>820</v>
      </c>
      <c r="D20001" s="1" t="str">
        <f t="shared" si="535"/>
        <v>PRG-1047433</v>
      </c>
      <c r="E20001" t="s">
        <v>846</v>
      </c>
      <c r="F20001" t="s">
        <v>4</v>
      </c>
      <c r="G20001" t="str">
        <f>""</f>
        <v/>
      </c>
    </row>
    <row r="20002" spans="1:7" x14ac:dyDescent="0.25">
      <c r="A20002" t="s">
        <v>8</v>
      </c>
      <c r="B20002" s="1" t="str">
        <f>"000298521 - RICH FOODS-GRANITE CITY"</f>
        <v>000298521 - RICH FOODS-GRANITE CITY</v>
      </c>
      <c r="C20002" t="s">
        <v>820</v>
      </c>
      <c r="D20002" s="1" t="str">
        <f t="shared" si="535"/>
        <v>PRG-1047433</v>
      </c>
      <c r="E20002" t="s">
        <v>846</v>
      </c>
      <c r="F20002" t="s">
        <v>4</v>
      </c>
      <c r="G20002" t="str">
        <f>""</f>
        <v/>
      </c>
    </row>
    <row r="20003" spans="1:7" x14ac:dyDescent="0.25">
      <c r="A20003" t="s">
        <v>8</v>
      </c>
      <c r="B20003" s="1" t="str">
        <f>"000300281 - RICH FOODS - GRANITE CITY"</f>
        <v>000300281 - RICH FOODS - GRANITE CITY</v>
      </c>
      <c r="C20003" t="s">
        <v>1096</v>
      </c>
      <c r="D20003" s="1" t="str">
        <f t="shared" si="535"/>
        <v>PRG-1047433</v>
      </c>
      <c r="E20003" t="s">
        <v>846</v>
      </c>
      <c r="F20003" t="s">
        <v>4</v>
      </c>
      <c r="G20003" t="str">
        <f>""</f>
        <v/>
      </c>
    </row>
    <row r="20004" spans="1:7" x14ac:dyDescent="0.25">
      <c r="A20004" t="s">
        <v>8</v>
      </c>
      <c r="B20004" s="1" t="str">
        <f>"000310161 - RICH FOODS-GRANITE CITY"</f>
        <v>000310161 - RICH FOODS-GRANITE CITY</v>
      </c>
      <c r="C20004" t="s">
        <v>820</v>
      </c>
      <c r="D20004" s="1" t="str">
        <f t="shared" si="535"/>
        <v>PRG-1047433</v>
      </c>
      <c r="E20004" t="s">
        <v>846</v>
      </c>
      <c r="F20004" t="s">
        <v>4</v>
      </c>
      <c r="G20004" t="str">
        <f>""</f>
        <v/>
      </c>
    </row>
    <row r="20005" spans="1:7" x14ac:dyDescent="0.25">
      <c r="A20005" t="s">
        <v>8</v>
      </c>
      <c r="B20005" s="1" t="str">
        <f>"000313683 - RICH FOODS-GRANITE CITY"</f>
        <v>000313683 - RICH FOODS-GRANITE CITY</v>
      </c>
      <c r="C20005" t="s">
        <v>820</v>
      </c>
      <c r="D20005" s="1" t="str">
        <f t="shared" si="535"/>
        <v>PRG-1047433</v>
      </c>
      <c r="E20005" t="s">
        <v>846</v>
      </c>
      <c r="F20005" t="s">
        <v>4</v>
      </c>
      <c r="G20005" t="str">
        <f>""</f>
        <v/>
      </c>
    </row>
    <row r="20006" spans="1:7" x14ac:dyDescent="0.25">
      <c r="A20006" t="s">
        <v>8</v>
      </c>
      <c r="B20006" s="1" t="str">
        <f>"000314272 - RICH FOODS NC-GRANITE CITY"</f>
        <v>000314272 - RICH FOODS NC-GRANITE CITY</v>
      </c>
      <c r="C20006" t="s">
        <v>864</v>
      </c>
      <c r="D20006" s="1" t="str">
        <f t="shared" si="535"/>
        <v>PRG-1047433</v>
      </c>
      <c r="E20006" t="s">
        <v>846</v>
      </c>
      <c r="F20006" t="s">
        <v>4</v>
      </c>
      <c r="G20006" t="str">
        <f>""</f>
        <v/>
      </c>
    </row>
    <row r="20007" spans="1:7" x14ac:dyDescent="0.25">
      <c r="A20007" t="s">
        <v>8</v>
      </c>
      <c r="B20007" s="1" t="str">
        <f>"000314273 - RICH FOODS C-GRANITE CITY"</f>
        <v>000314273 - RICH FOODS C-GRANITE CITY</v>
      </c>
      <c r="C20007" t="s">
        <v>865</v>
      </c>
      <c r="D20007" s="1" t="str">
        <f t="shared" si="535"/>
        <v>PRG-1047433</v>
      </c>
      <c r="E20007" t="s">
        <v>846</v>
      </c>
      <c r="F20007" t="s">
        <v>4</v>
      </c>
      <c r="G20007" t="str">
        <f>""</f>
        <v/>
      </c>
    </row>
    <row r="20008" spans="1:7" x14ac:dyDescent="0.25">
      <c r="A20008" t="s">
        <v>8</v>
      </c>
      <c r="B20008" s="1" t="str">
        <f>"000314581 - RICH FOODS-GRANITE CITY"</f>
        <v>000314581 - RICH FOODS-GRANITE CITY</v>
      </c>
      <c r="C20008" t="s">
        <v>820</v>
      </c>
      <c r="D20008" s="1" t="str">
        <f t="shared" si="535"/>
        <v>PRG-1047433</v>
      </c>
      <c r="E20008" t="s">
        <v>846</v>
      </c>
      <c r="F20008" t="s">
        <v>4</v>
      </c>
      <c r="G20008" t="str">
        <f>""</f>
        <v/>
      </c>
    </row>
    <row r="20009" spans="1:7" x14ac:dyDescent="0.25">
      <c r="A20009" t="s">
        <v>8</v>
      </c>
      <c r="B20009" s="1" t="str">
        <f>"000318364 - RICH FOODS-GRANITE CITY"</f>
        <v>000318364 - RICH FOODS-GRANITE CITY</v>
      </c>
      <c r="C20009" t="s">
        <v>820</v>
      </c>
      <c r="D20009" s="1" t="str">
        <f t="shared" si="535"/>
        <v>PRG-1047433</v>
      </c>
      <c r="E20009" t="s">
        <v>846</v>
      </c>
      <c r="F20009" t="s">
        <v>4</v>
      </c>
      <c r="G20009" t="str">
        <f>""</f>
        <v/>
      </c>
    </row>
    <row r="20010" spans="1:7" x14ac:dyDescent="0.25">
      <c r="A20010" t="s">
        <v>8</v>
      </c>
      <c r="B20010" s="1" t="str">
        <f>"000318589 - RICH FOODS NC-GRANITE CITY"</f>
        <v>000318589 - RICH FOODS NC-GRANITE CITY</v>
      </c>
      <c r="C20010" t="s">
        <v>864</v>
      </c>
      <c r="D20010" s="1" t="str">
        <f t="shared" si="535"/>
        <v>PRG-1047433</v>
      </c>
      <c r="E20010" t="s">
        <v>846</v>
      </c>
      <c r="F20010" t="s">
        <v>4</v>
      </c>
      <c r="G20010" t="str">
        <f>""</f>
        <v/>
      </c>
    </row>
    <row r="20011" spans="1:7" x14ac:dyDescent="0.25">
      <c r="A20011" t="s">
        <v>8</v>
      </c>
      <c r="B20011" s="1" t="str">
        <f>"000318590 - RICH FOODS C-GRANITE CITY"</f>
        <v>000318590 - RICH FOODS C-GRANITE CITY</v>
      </c>
      <c r="C20011" t="s">
        <v>865</v>
      </c>
      <c r="D20011" s="1" t="str">
        <f t="shared" si="535"/>
        <v>PRG-1047433</v>
      </c>
      <c r="E20011" t="s">
        <v>846</v>
      </c>
      <c r="F20011" t="s">
        <v>4</v>
      </c>
      <c r="G20011" t="str">
        <f>""</f>
        <v/>
      </c>
    </row>
    <row r="20012" spans="1:7" x14ac:dyDescent="0.25">
      <c r="A20012" t="s">
        <v>8</v>
      </c>
      <c r="B20012" s="1" t="str">
        <f>"000342966 - RICH FOODS-GRANITE CITY"</f>
        <v>000342966 - RICH FOODS-GRANITE CITY</v>
      </c>
      <c r="C20012" t="s">
        <v>820</v>
      </c>
      <c r="D20012" s="1" t="str">
        <f t="shared" si="535"/>
        <v>PRG-1047433</v>
      </c>
      <c r="E20012" t="s">
        <v>846</v>
      </c>
      <c r="F20012" t="s">
        <v>4</v>
      </c>
      <c r="G20012" t="str">
        <f>""</f>
        <v/>
      </c>
    </row>
    <row r="20013" spans="1:7" x14ac:dyDescent="0.25">
      <c r="A20013" t="s">
        <v>8</v>
      </c>
      <c r="B20013" s="1" t="str">
        <f>"000344511 - RICH FOODS C-GRANITE CITY"</f>
        <v>000344511 - RICH FOODS C-GRANITE CITY</v>
      </c>
      <c r="C20013" t="s">
        <v>865</v>
      </c>
      <c r="D20013" s="1" t="str">
        <f t="shared" si="535"/>
        <v>PRG-1047433</v>
      </c>
      <c r="E20013" t="s">
        <v>846</v>
      </c>
      <c r="F20013" t="s">
        <v>4</v>
      </c>
      <c r="G20013" t="str">
        <f>""</f>
        <v/>
      </c>
    </row>
    <row r="20014" spans="1:7" x14ac:dyDescent="0.25">
      <c r="A20014" t="s">
        <v>8</v>
      </c>
      <c r="B20014" s="1" t="str">
        <f>"000346629 - RICH FOODS-GRANITE CITY"</f>
        <v>000346629 - RICH FOODS-GRANITE CITY</v>
      </c>
      <c r="C20014" t="s">
        <v>820</v>
      </c>
      <c r="D20014" s="1" t="str">
        <f t="shared" si="535"/>
        <v>PRG-1047433</v>
      </c>
      <c r="E20014" t="s">
        <v>846</v>
      </c>
      <c r="F20014" t="s">
        <v>4</v>
      </c>
      <c r="G20014" t="str">
        <f>""</f>
        <v/>
      </c>
    </row>
    <row r="20015" spans="1:7" x14ac:dyDescent="0.25">
      <c r="A20015" t="s">
        <v>8</v>
      </c>
      <c r="B20015" s="1" t="str">
        <f>"000347538 - RICH FOODS - GRANITE CITY"</f>
        <v>000347538 - RICH FOODS - GRANITE CITY</v>
      </c>
      <c r="C20015" t="s">
        <v>1096</v>
      </c>
      <c r="D20015" s="1" t="str">
        <f t="shared" si="535"/>
        <v>PRG-1047433</v>
      </c>
      <c r="E20015" t="s">
        <v>846</v>
      </c>
      <c r="F20015" t="s">
        <v>4</v>
      </c>
      <c r="G20015" t="str">
        <f>""</f>
        <v/>
      </c>
    </row>
    <row r="20016" spans="1:7" x14ac:dyDescent="0.25">
      <c r="A20016" t="s">
        <v>8</v>
      </c>
      <c r="B20016" s="1" t="str">
        <f>"000351410 - RICH FOODS-GRANITE CITY"</f>
        <v>000351410 - RICH FOODS-GRANITE CITY</v>
      </c>
      <c r="C20016" t="s">
        <v>820</v>
      </c>
      <c r="D20016" s="1" t="str">
        <f t="shared" si="535"/>
        <v>PRG-1047433</v>
      </c>
      <c r="E20016" t="s">
        <v>846</v>
      </c>
      <c r="F20016" t="s">
        <v>4</v>
      </c>
      <c r="G20016" t="str">
        <f>""</f>
        <v/>
      </c>
    </row>
    <row r="20017" spans="1:7" x14ac:dyDescent="0.25">
      <c r="A20017" t="s">
        <v>8</v>
      </c>
      <c r="B20017" s="1" t="str">
        <f>"000402721 - RICH FOODS-GRANITE CITY"</f>
        <v>000402721 - RICH FOODS-GRANITE CITY</v>
      </c>
      <c r="C20017" t="s">
        <v>820</v>
      </c>
      <c r="D20017" s="1" t="str">
        <f t="shared" si="535"/>
        <v>PRG-1047433</v>
      </c>
      <c r="E20017" t="s">
        <v>846</v>
      </c>
      <c r="F20017" t="s">
        <v>4</v>
      </c>
      <c r="G20017" t="str">
        <f>""</f>
        <v/>
      </c>
    </row>
    <row r="20018" spans="1:7" x14ac:dyDescent="0.25">
      <c r="A20018" t="s">
        <v>8</v>
      </c>
      <c r="B20018" s="1" t="str">
        <f>"000405748 - RICH FOODS-GRANITE CITY"</f>
        <v>000405748 - RICH FOODS-GRANITE CITY</v>
      </c>
      <c r="C20018" t="s">
        <v>820</v>
      </c>
      <c r="D20018" s="1" t="str">
        <f t="shared" si="535"/>
        <v>PRG-1047433</v>
      </c>
      <c r="E20018" t="s">
        <v>846</v>
      </c>
      <c r="F20018" t="s">
        <v>4</v>
      </c>
      <c r="G20018" t="str">
        <f>""</f>
        <v/>
      </c>
    </row>
    <row r="20019" spans="1:7" x14ac:dyDescent="0.25">
      <c r="A20019" t="s">
        <v>8</v>
      </c>
      <c r="B20019" s="1" t="str">
        <f>"000408723 - RICH FOODS - GRANITE CITY"</f>
        <v>000408723 - RICH FOODS - GRANITE CITY</v>
      </c>
      <c r="C20019" t="s">
        <v>1096</v>
      </c>
      <c r="D20019" s="1" t="str">
        <f t="shared" si="535"/>
        <v>PRG-1047433</v>
      </c>
      <c r="E20019" t="s">
        <v>846</v>
      </c>
      <c r="F20019" t="s">
        <v>4</v>
      </c>
      <c r="G20019" t="str">
        <f>""</f>
        <v/>
      </c>
    </row>
    <row r="20020" spans="1:7" x14ac:dyDescent="0.25">
      <c r="A20020" t="s">
        <v>8</v>
      </c>
      <c r="B20020" s="1" t="str">
        <f>"000411798 - RICH FOODS - GRANITE CITY"</f>
        <v>000411798 - RICH FOODS - GRANITE CITY</v>
      </c>
      <c r="C20020" t="s">
        <v>1096</v>
      </c>
      <c r="D20020" s="1" t="str">
        <f t="shared" si="535"/>
        <v>PRG-1047433</v>
      </c>
      <c r="E20020" t="s">
        <v>846</v>
      </c>
      <c r="F20020" t="s">
        <v>4</v>
      </c>
      <c r="G20020" t="str">
        <f>""</f>
        <v/>
      </c>
    </row>
    <row r="20021" spans="1:7" x14ac:dyDescent="0.25">
      <c r="A20021" t="s">
        <v>8</v>
      </c>
      <c r="B20021" s="1" t="str">
        <f>"000426454 - RICH FOODS-GRANITE CITY"</f>
        <v>000426454 - RICH FOODS-GRANITE CITY</v>
      </c>
      <c r="C20021" t="s">
        <v>820</v>
      </c>
      <c r="D20021" s="1" t="str">
        <f t="shared" si="535"/>
        <v>PRG-1047433</v>
      </c>
      <c r="E20021" t="s">
        <v>846</v>
      </c>
      <c r="F20021" t="s">
        <v>4</v>
      </c>
      <c r="G20021" t="str">
        <f>""</f>
        <v/>
      </c>
    </row>
    <row r="20022" spans="1:7" x14ac:dyDescent="0.25">
      <c r="A20022" t="s">
        <v>8</v>
      </c>
      <c r="B20022" s="1" t="str">
        <f>"000431711 - RICH FOODS - GRANITE CITY"</f>
        <v>000431711 - RICH FOODS - GRANITE CITY</v>
      </c>
      <c r="C20022" t="s">
        <v>1096</v>
      </c>
      <c r="D20022" s="1" t="str">
        <f t="shared" si="535"/>
        <v>PRG-1047433</v>
      </c>
      <c r="E20022" t="s">
        <v>846</v>
      </c>
      <c r="F20022" t="s">
        <v>4</v>
      </c>
      <c r="G20022" t="str">
        <f>""</f>
        <v/>
      </c>
    </row>
    <row r="20023" spans="1:7" x14ac:dyDescent="0.25">
      <c r="A20023" t="s">
        <v>8</v>
      </c>
      <c r="B20023" s="1" t="str">
        <f>"000320600 - RICH'S BAKERS DOZEN DONUTS"</f>
        <v>000320600 - RICH'S BAKERS DOZEN DONUTS</v>
      </c>
      <c r="C20023" t="s">
        <v>2908</v>
      </c>
      <c r="D20023" s="1" t="str">
        <f>"PRG-1047438"</f>
        <v>PRG-1047438</v>
      </c>
      <c r="E20023" t="s">
        <v>2909</v>
      </c>
      <c r="F20023" t="s">
        <v>4</v>
      </c>
      <c r="G20023" t="str">
        <f>""</f>
        <v/>
      </c>
    </row>
    <row r="20024" spans="1:7" x14ac:dyDescent="0.25">
      <c r="A20024" t="s">
        <v>8</v>
      </c>
      <c r="B20024" s="1" t="str">
        <f>"000396204 - RICHS-DC PASTA CO"</f>
        <v>000396204 - RICHS-DC PASTA CO</v>
      </c>
      <c r="C20024" t="s">
        <v>3575</v>
      </c>
      <c r="D20024" s="1" t="str">
        <f>"PRG-1047441"</f>
        <v>PRG-1047441</v>
      </c>
      <c r="E20024" t="s">
        <v>3576</v>
      </c>
      <c r="F20024" t="s">
        <v>4</v>
      </c>
      <c r="G20024" t="str">
        <f>""</f>
        <v/>
      </c>
    </row>
    <row r="20025" spans="1:7" x14ac:dyDescent="0.25">
      <c r="A20025" t="s">
        <v>8</v>
      </c>
      <c r="B20025" s="1" t="str">
        <f>"S9B01NY0"</f>
        <v>S9B01NY0</v>
      </c>
      <c r="C20025" t="s">
        <v>6312</v>
      </c>
      <c r="D20025" s="1" t="str">
        <f>"PRG-1047442"</f>
        <v>PRG-1047442</v>
      </c>
      <c r="E20025" t="s">
        <v>6313</v>
      </c>
      <c r="F20025" t="s">
        <v>5</v>
      </c>
      <c r="G20025" t="str">
        <f>""</f>
        <v/>
      </c>
    </row>
    <row r="20026" spans="1:7" x14ac:dyDescent="0.25">
      <c r="A20026" t="s">
        <v>8</v>
      </c>
      <c r="B20026" s="1" t="str">
        <f>"000302024 - RICH DC-ABEETZ FLATBREAD PIZZA"</f>
        <v>000302024 - RICH DC-ABEETZ FLATBREAD PIZZA</v>
      </c>
      <c r="C20026" t="s">
        <v>2989</v>
      </c>
      <c r="D20026" s="1" t="str">
        <f>"PRG-1047444"</f>
        <v>PRG-1047444</v>
      </c>
      <c r="E20026" t="s">
        <v>2990</v>
      </c>
      <c r="F20026" t="s">
        <v>4</v>
      </c>
      <c r="G20026" t="str">
        <f>""</f>
        <v/>
      </c>
    </row>
    <row r="20027" spans="1:7" x14ac:dyDescent="0.25">
      <c r="A20027" t="s">
        <v>8</v>
      </c>
      <c r="B20027" s="1" t="str">
        <f>"S1Z0N0I0"</f>
        <v>S1Z0N0I0</v>
      </c>
      <c r="C20027" t="s">
        <v>5416</v>
      </c>
      <c r="D20027" s="1" t="str">
        <f>"PRG-1047446"</f>
        <v>PRG-1047446</v>
      </c>
      <c r="E20027" t="s">
        <v>5417</v>
      </c>
      <c r="F20027" t="s">
        <v>5</v>
      </c>
      <c r="G20027" t="str">
        <f>""</f>
        <v/>
      </c>
    </row>
    <row r="20028" spans="1:7" x14ac:dyDescent="0.25">
      <c r="A20028" t="s">
        <v>8</v>
      </c>
      <c r="B20028" s="1" t="str">
        <f>"S1Z0N0Q0"</f>
        <v>S1Z0N0Q0</v>
      </c>
      <c r="C20028" t="s">
        <v>5418</v>
      </c>
      <c r="D20028" s="1" t="str">
        <f>"PRG-1047446"</f>
        <v>PRG-1047446</v>
      </c>
      <c r="E20028" t="s">
        <v>5417</v>
      </c>
      <c r="F20028" t="s">
        <v>5</v>
      </c>
      <c r="G20028" t="str">
        <f>""</f>
        <v/>
      </c>
    </row>
    <row r="20029" spans="1:7" x14ac:dyDescent="0.25">
      <c r="A20029" t="s">
        <v>8</v>
      </c>
      <c r="B20029" s="1" t="str">
        <f>"S1Z0N0X0"</f>
        <v>S1Z0N0X0</v>
      </c>
      <c r="C20029" t="s">
        <v>5419</v>
      </c>
      <c r="D20029" s="1" t="str">
        <f>"PRG-1047446"</f>
        <v>PRG-1047446</v>
      </c>
      <c r="E20029" t="s">
        <v>5417</v>
      </c>
      <c r="F20029" t="s">
        <v>5</v>
      </c>
      <c r="G20029" t="str">
        <f>""</f>
        <v/>
      </c>
    </row>
    <row r="20030" spans="1:7" x14ac:dyDescent="0.25">
      <c r="A20030" t="s">
        <v>8</v>
      </c>
      <c r="B20030" s="1" t="str">
        <f>"S1Z0N130"</f>
        <v>S1Z0N130</v>
      </c>
      <c r="C20030" t="s">
        <v>5420</v>
      </c>
      <c r="D20030" s="1" t="str">
        <f>"PRG-1047446"</f>
        <v>PRG-1047446</v>
      </c>
      <c r="E20030" t="s">
        <v>5417</v>
      </c>
      <c r="F20030" t="s">
        <v>5</v>
      </c>
      <c r="G20030" t="str">
        <f>""</f>
        <v/>
      </c>
    </row>
    <row r="20031" spans="1:7" x14ac:dyDescent="0.25">
      <c r="A20031" t="s">
        <v>8</v>
      </c>
      <c r="B20031" s="1" t="str">
        <f>"000055596 - GUSTAVUS RICHS PRODUCTS"</f>
        <v>000055596 - GUSTAVUS RICHS PRODUCTS</v>
      </c>
      <c r="C20031" t="s">
        <v>598</v>
      </c>
      <c r="D20031" s="1" t="str">
        <f>"PRG-1047457"</f>
        <v>PRG-1047457</v>
      </c>
      <c r="E20031" t="s">
        <v>599</v>
      </c>
      <c r="F20031" t="s">
        <v>4</v>
      </c>
      <c r="G20031" t="str">
        <f>""</f>
        <v/>
      </c>
    </row>
    <row r="20032" spans="1:7" x14ac:dyDescent="0.25">
      <c r="A20032" t="s">
        <v>8</v>
      </c>
      <c r="B20032" s="1" t="str">
        <f>"000021359 - CLEARWATER TRAVEL RICHS PROD"</f>
        <v>000021359 - CLEARWATER TRAVEL RICHS PROD</v>
      </c>
      <c r="C20032" t="s">
        <v>413</v>
      </c>
      <c r="D20032" s="1" t="str">
        <f>"PRG-1047459"</f>
        <v>PRG-1047459</v>
      </c>
      <c r="E20032" t="s">
        <v>172</v>
      </c>
      <c r="F20032" t="s">
        <v>4</v>
      </c>
      <c r="G20032" t="str">
        <f>""</f>
        <v/>
      </c>
    </row>
    <row r="20033" spans="1:7" x14ac:dyDescent="0.25">
      <c r="A20033" t="s">
        <v>8</v>
      </c>
      <c r="B20033" s="1" t="str">
        <f>"000055598 - CLEARWATER TRAVEL RICHS PROD"</f>
        <v>000055598 - CLEARWATER TRAVEL RICHS PROD</v>
      </c>
      <c r="C20033" t="s">
        <v>413</v>
      </c>
      <c r="D20033" s="1" t="str">
        <f>"PRG-1047459"</f>
        <v>PRG-1047459</v>
      </c>
      <c r="E20033" t="s">
        <v>172</v>
      </c>
      <c r="F20033" t="s">
        <v>4</v>
      </c>
      <c r="G20033" t="str">
        <f>""</f>
        <v/>
      </c>
    </row>
    <row r="20034" spans="1:7" x14ac:dyDescent="0.25">
      <c r="A20034" t="s">
        <v>8</v>
      </c>
      <c r="B20034" s="1" t="str">
        <f>"000055599 - MCMILLAN'S RICHS PRODUCTS"</f>
        <v>000055599 - MCMILLAN'S RICHS PRODUCTS</v>
      </c>
      <c r="C20034" t="s">
        <v>412</v>
      </c>
      <c r="D20034" s="1" t="str">
        <f>"PRG-1047461"</f>
        <v>PRG-1047461</v>
      </c>
      <c r="E20034" t="s">
        <v>164</v>
      </c>
      <c r="F20034" t="s">
        <v>4</v>
      </c>
      <c r="G20034" t="str">
        <f>""</f>
        <v/>
      </c>
    </row>
    <row r="20035" spans="1:7" x14ac:dyDescent="0.25">
      <c r="A20035" t="s">
        <v>8</v>
      </c>
      <c r="B20035" s="1" t="str">
        <f>"000002635 - RICH FOODS-LA MADELEINE"</f>
        <v>000002635 - RICH FOODS-LA MADELEINE</v>
      </c>
      <c r="C20035" t="s">
        <v>130</v>
      </c>
      <c r="D20035" s="1" t="str">
        <f t="shared" ref="D20035:D20053" si="536">"PRG-1047468"</f>
        <v>PRG-1047468</v>
      </c>
      <c r="E20035" t="s">
        <v>131</v>
      </c>
      <c r="F20035" t="s">
        <v>4</v>
      </c>
      <c r="G20035" t="str">
        <f>""</f>
        <v/>
      </c>
    </row>
    <row r="20036" spans="1:7" x14ac:dyDescent="0.25">
      <c r="A20036" t="s">
        <v>8</v>
      </c>
      <c r="B20036" s="1" t="str">
        <f>"000002760 - RICH PRODUCTS-LA MADELEINE"</f>
        <v>000002760 - RICH PRODUCTS-LA MADELEINE</v>
      </c>
      <c r="C20036" t="s">
        <v>139</v>
      </c>
      <c r="D20036" s="1" t="str">
        <f t="shared" si="536"/>
        <v>PRG-1047468</v>
      </c>
      <c r="E20036" t="s">
        <v>131</v>
      </c>
      <c r="F20036" t="s">
        <v>4</v>
      </c>
      <c r="G20036" t="str">
        <f>""</f>
        <v/>
      </c>
    </row>
    <row r="20037" spans="1:7" x14ac:dyDescent="0.25">
      <c r="A20037" t="s">
        <v>8</v>
      </c>
      <c r="B20037" s="1" t="str">
        <f>"000011489 - RICH FOODS-LA MADELEINE"</f>
        <v>000011489 - RICH FOODS-LA MADELEINE</v>
      </c>
      <c r="C20037" t="s">
        <v>130</v>
      </c>
      <c r="D20037" s="1" t="str">
        <f t="shared" si="536"/>
        <v>PRG-1047468</v>
      </c>
      <c r="E20037" t="s">
        <v>131</v>
      </c>
      <c r="F20037" t="s">
        <v>4</v>
      </c>
      <c r="G20037" t="str">
        <f>""</f>
        <v/>
      </c>
    </row>
    <row r="20038" spans="1:7" x14ac:dyDescent="0.25">
      <c r="A20038" t="s">
        <v>8</v>
      </c>
      <c r="B20038" s="1" t="str">
        <f>"000051631 - RICH FOODS-LA MADELEINE"</f>
        <v>000051631 - RICH FOODS-LA MADELEINE</v>
      </c>
      <c r="C20038" t="s">
        <v>130</v>
      </c>
      <c r="D20038" s="1" t="str">
        <f t="shared" si="536"/>
        <v>PRG-1047468</v>
      </c>
      <c r="E20038" t="s">
        <v>131</v>
      </c>
      <c r="F20038" t="s">
        <v>4</v>
      </c>
      <c r="G20038" t="str">
        <f>""</f>
        <v/>
      </c>
    </row>
    <row r="20039" spans="1:7" x14ac:dyDescent="0.25">
      <c r="A20039" t="s">
        <v>8</v>
      </c>
      <c r="B20039" s="1" t="str">
        <f>"000054335 - RICH FOODS-LA MADELEINE"</f>
        <v>000054335 - RICH FOODS-LA MADELEINE</v>
      </c>
      <c r="C20039" t="s">
        <v>130</v>
      </c>
      <c r="D20039" s="1" t="str">
        <f t="shared" si="536"/>
        <v>PRG-1047468</v>
      </c>
      <c r="E20039" t="s">
        <v>131</v>
      </c>
      <c r="F20039" t="s">
        <v>4</v>
      </c>
      <c r="G20039" t="str">
        <f>""</f>
        <v/>
      </c>
    </row>
    <row r="20040" spans="1:7" x14ac:dyDescent="0.25">
      <c r="A20040" t="s">
        <v>8</v>
      </c>
      <c r="B20040" s="1" t="str">
        <f>"000234763 - RICH PRODUCTS-LA MADELEINE"</f>
        <v>000234763 - RICH PRODUCTS-LA MADELEINE</v>
      </c>
      <c r="C20040" t="s">
        <v>139</v>
      </c>
      <c r="D20040" s="1" t="str">
        <f t="shared" si="536"/>
        <v>PRG-1047468</v>
      </c>
      <c r="E20040" t="s">
        <v>131</v>
      </c>
      <c r="F20040" t="s">
        <v>4</v>
      </c>
      <c r="G20040" t="str">
        <f>""</f>
        <v/>
      </c>
    </row>
    <row r="20041" spans="1:7" x14ac:dyDescent="0.25">
      <c r="A20041" t="s">
        <v>8</v>
      </c>
      <c r="B20041" s="1" t="str">
        <f>"000277083 - RICH FOODS-LA MADELEINE"</f>
        <v>000277083 - RICH FOODS-LA MADELEINE</v>
      </c>
      <c r="C20041" t="s">
        <v>130</v>
      </c>
      <c r="D20041" s="1" t="str">
        <f t="shared" si="536"/>
        <v>PRG-1047468</v>
      </c>
      <c r="E20041" t="s">
        <v>131</v>
      </c>
      <c r="F20041" t="s">
        <v>4</v>
      </c>
      <c r="G20041" t="str">
        <f>""</f>
        <v/>
      </c>
    </row>
    <row r="20042" spans="1:7" x14ac:dyDescent="0.25">
      <c r="A20042" t="s">
        <v>8</v>
      </c>
      <c r="B20042" s="1" t="str">
        <f>"000306740 - RICH PRODUCTS-LA MADELEINE"</f>
        <v>000306740 - RICH PRODUCTS-LA MADELEINE</v>
      </c>
      <c r="C20042" t="s">
        <v>139</v>
      </c>
      <c r="D20042" s="1" t="str">
        <f t="shared" si="536"/>
        <v>PRG-1047468</v>
      </c>
      <c r="E20042" t="s">
        <v>131</v>
      </c>
      <c r="F20042" t="s">
        <v>4</v>
      </c>
      <c r="G20042" t="str">
        <f>""</f>
        <v/>
      </c>
    </row>
    <row r="20043" spans="1:7" x14ac:dyDescent="0.25">
      <c r="A20043" t="s">
        <v>8</v>
      </c>
      <c r="B20043" s="1" t="str">
        <f>"000313222 - RICH PRODUCTS-LA MADELEINE"</f>
        <v>000313222 - RICH PRODUCTS-LA MADELEINE</v>
      </c>
      <c r="C20043" t="s">
        <v>139</v>
      </c>
      <c r="D20043" s="1" t="str">
        <f t="shared" si="536"/>
        <v>PRG-1047468</v>
      </c>
      <c r="E20043" t="s">
        <v>131</v>
      </c>
      <c r="F20043" t="s">
        <v>4</v>
      </c>
      <c r="G20043" t="str">
        <f>""</f>
        <v/>
      </c>
    </row>
    <row r="20044" spans="1:7" x14ac:dyDescent="0.25">
      <c r="A20044" t="s">
        <v>8</v>
      </c>
      <c r="B20044" s="1" t="str">
        <f>"000316412 - RICH PRODUCTS-LA MADELEINE"</f>
        <v>000316412 - RICH PRODUCTS-LA MADELEINE</v>
      </c>
      <c r="C20044" t="s">
        <v>139</v>
      </c>
      <c r="D20044" s="1" t="str">
        <f t="shared" si="536"/>
        <v>PRG-1047468</v>
      </c>
      <c r="E20044" t="s">
        <v>131</v>
      </c>
      <c r="F20044" t="s">
        <v>4</v>
      </c>
      <c r="G20044" t="str">
        <f>""</f>
        <v/>
      </c>
    </row>
    <row r="20045" spans="1:7" x14ac:dyDescent="0.25">
      <c r="A20045" t="s">
        <v>8</v>
      </c>
      <c r="B20045" s="1" t="str">
        <f>"000317085 - RICH FOODS-LA MADELEINE"</f>
        <v>000317085 - RICH FOODS-LA MADELEINE</v>
      </c>
      <c r="C20045" t="s">
        <v>130</v>
      </c>
      <c r="D20045" s="1" t="str">
        <f t="shared" si="536"/>
        <v>PRG-1047468</v>
      </c>
      <c r="E20045" t="s">
        <v>131</v>
      </c>
      <c r="F20045" t="s">
        <v>4</v>
      </c>
      <c r="G20045" t="str">
        <f>""</f>
        <v/>
      </c>
    </row>
    <row r="20046" spans="1:7" x14ac:dyDescent="0.25">
      <c r="A20046" t="s">
        <v>8</v>
      </c>
      <c r="B20046" s="1" t="str">
        <f>"000334206 - RICH FOODS-LA MADELEINE"</f>
        <v>000334206 - RICH FOODS-LA MADELEINE</v>
      </c>
      <c r="C20046" t="s">
        <v>130</v>
      </c>
      <c r="D20046" s="1" t="str">
        <f t="shared" si="536"/>
        <v>PRG-1047468</v>
      </c>
      <c r="E20046" t="s">
        <v>131</v>
      </c>
      <c r="F20046" t="s">
        <v>4</v>
      </c>
      <c r="G20046" t="str">
        <f>""</f>
        <v/>
      </c>
    </row>
    <row r="20047" spans="1:7" x14ac:dyDescent="0.25">
      <c r="A20047" t="s">
        <v>8</v>
      </c>
      <c r="B20047" s="1" t="str">
        <f>"000365059 - RICH FOODS-LA MADELEINE"</f>
        <v>000365059 - RICH FOODS-LA MADELEINE</v>
      </c>
      <c r="C20047" t="s">
        <v>130</v>
      </c>
      <c r="D20047" s="1" t="str">
        <f t="shared" si="536"/>
        <v>PRG-1047468</v>
      </c>
      <c r="E20047" t="s">
        <v>131</v>
      </c>
      <c r="F20047" t="s">
        <v>4</v>
      </c>
      <c r="G20047" t="str">
        <f>""</f>
        <v/>
      </c>
    </row>
    <row r="20048" spans="1:7" x14ac:dyDescent="0.25">
      <c r="A20048" t="s">
        <v>8</v>
      </c>
      <c r="B20048" s="1" t="str">
        <f>"000390351 - RICH FOODS-LA MADELEINE"</f>
        <v>000390351 - RICH FOODS-LA MADELEINE</v>
      </c>
      <c r="C20048" t="s">
        <v>130</v>
      </c>
      <c r="D20048" s="1" t="str">
        <f t="shared" si="536"/>
        <v>PRG-1047468</v>
      </c>
      <c r="E20048" t="s">
        <v>131</v>
      </c>
      <c r="F20048" t="s">
        <v>4</v>
      </c>
      <c r="G20048" t="str">
        <f>""</f>
        <v/>
      </c>
    </row>
    <row r="20049" spans="1:7" x14ac:dyDescent="0.25">
      <c r="A20049" t="s">
        <v>8</v>
      </c>
      <c r="B20049" s="1" t="str">
        <f>"000392472 - RICH FOODS-LA MADELEINE"</f>
        <v>000392472 - RICH FOODS-LA MADELEINE</v>
      </c>
      <c r="C20049" t="s">
        <v>130</v>
      </c>
      <c r="D20049" s="1" t="str">
        <f t="shared" si="536"/>
        <v>PRG-1047468</v>
      </c>
      <c r="E20049" t="s">
        <v>131</v>
      </c>
      <c r="F20049" t="s">
        <v>4</v>
      </c>
      <c r="G20049" t="str">
        <f>""</f>
        <v/>
      </c>
    </row>
    <row r="20050" spans="1:7" x14ac:dyDescent="0.25">
      <c r="A20050" t="s">
        <v>8</v>
      </c>
      <c r="B20050" s="1" t="str">
        <f>"000392560 - RICH FOODS-LA MADELEINE"</f>
        <v>000392560 - RICH FOODS-LA MADELEINE</v>
      </c>
      <c r="C20050" t="s">
        <v>130</v>
      </c>
      <c r="D20050" s="1" t="str">
        <f t="shared" si="536"/>
        <v>PRG-1047468</v>
      </c>
      <c r="E20050" t="s">
        <v>131</v>
      </c>
      <c r="F20050" t="s">
        <v>4</v>
      </c>
      <c r="G20050" t="str">
        <f>""</f>
        <v/>
      </c>
    </row>
    <row r="20051" spans="1:7" x14ac:dyDescent="0.25">
      <c r="A20051" t="s">
        <v>8</v>
      </c>
      <c r="B20051" s="1" t="str">
        <f>"000394545 - RICH FOODS-LA MADELEINE"</f>
        <v>000394545 - RICH FOODS-LA MADELEINE</v>
      </c>
      <c r="C20051" t="s">
        <v>130</v>
      </c>
      <c r="D20051" s="1" t="str">
        <f t="shared" si="536"/>
        <v>PRG-1047468</v>
      </c>
      <c r="E20051" t="s">
        <v>131</v>
      </c>
      <c r="F20051" t="s">
        <v>4</v>
      </c>
      <c r="G20051" t="str">
        <f>""</f>
        <v/>
      </c>
    </row>
    <row r="20052" spans="1:7" x14ac:dyDescent="0.25">
      <c r="A20052" t="s">
        <v>8</v>
      </c>
      <c r="B20052" s="1" t="str">
        <f>"000417925 - RICH FOODS-LA MADELEINE"</f>
        <v>000417925 - RICH FOODS-LA MADELEINE</v>
      </c>
      <c r="C20052" t="s">
        <v>130</v>
      </c>
      <c r="D20052" s="1" t="str">
        <f t="shared" si="536"/>
        <v>PRG-1047468</v>
      </c>
      <c r="E20052" t="s">
        <v>131</v>
      </c>
      <c r="F20052" t="s">
        <v>4</v>
      </c>
      <c r="G20052" t="str">
        <f>""</f>
        <v/>
      </c>
    </row>
    <row r="20053" spans="1:7" x14ac:dyDescent="0.25">
      <c r="A20053" t="s">
        <v>8</v>
      </c>
      <c r="B20053" s="1" t="str">
        <f>"000418479 - RICH FOODS-LA MADELEINE"</f>
        <v>000418479 - RICH FOODS-LA MADELEINE</v>
      </c>
      <c r="C20053" t="s">
        <v>130</v>
      </c>
      <c r="D20053" s="1" t="str">
        <f t="shared" si="536"/>
        <v>PRG-1047468</v>
      </c>
      <c r="E20053" t="s">
        <v>131</v>
      </c>
      <c r="F20053" t="s">
        <v>4</v>
      </c>
      <c r="G20053" t="str">
        <f>""</f>
        <v/>
      </c>
    </row>
    <row r="20054" spans="1:7" x14ac:dyDescent="0.25">
      <c r="A20054" t="s">
        <v>8</v>
      </c>
      <c r="B20054" s="1" t="str">
        <f>"000062333 - RICH FOODS- MIMI"</f>
        <v>000062333 - RICH FOODS- MIMI</v>
      </c>
      <c r="C20054" t="s">
        <v>281</v>
      </c>
      <c r="D20054" s="1" t="str">
        <f t="shared" ref="D20054:D20061" si="537">"PRG-1047469"</f>
        <v>PRG-1047469</v>
      </c>
      <c r="E20054" t="s">
        <v>218</v>
      </c>
      <c r="F20054" t="s">
        <v>4</v>
      </c>
      <c r="G20054" t="str">
        <f>""</f>
        <v/>
      </c>
    </row>
    <row r="20055" spans="1:7" x14ac:dyDescent="0.25">
      <c r="A20055" t="s">
        <v>8</v>
      </c>
      <c r="B20055" s="1" t="str">
        <f>"000068078 - RICH FOODS- MIMI"</f>
        <v>000068078 - RICH FOODS- MIMI</v>
      </c>
      <c r="C20055" t="s">
        <v>281</v>
      </c>
      <c r="D20055" s="1" t="str">
        <f t="shared" si="537"/>
        <v>PRG-1047469</v>
      </c>
      <c r="E20055" t="s">
        <v>218</v>
      </c>
      <c r="F20055" t="s">
        <v>4</v>
      </c>
      <c r="G20055" t="str">
        <f>""</f>
        <v/>
      </c>
    </row>
    <row r="20056" spans="1:7" x14ac:dyDescent="0.25">
      <c r="A20056" t="s">
        <v>8</v>
      </c>
      <c r="B20056" s="1" t="str">
        <f>"000317089 - RICH FOODS- MIMI"</f>
        <v>000317089 - RICH FOODS- MIMI</v>
      </c>
      <c r="C20056" t="s">
        <v>281</v>
      </c>
      <c r="D20056" s="1" t="str">
        <f t="shared" si="537"/>
        <v>PRG-1047469</v>
      </c>
      <c r="E20056" t="s">
        <v>218</v>
      </c>
      <c r="F20056" t="s">
        <v>4</v>
      </c>
      <c r="G20056" t="str">
        <f>""</f>
        <v/>
      </c>
    </row>
    <row r="20057" spans="1:7" x14ac:dyDescent="0.25">
      <c r="A20057" t="s">
        <v>8</v>
      </c>
      <c r="B20057" s="1" t="str">
        <f>"000321663 - RICH FOODS- MIMI"</f>
        <v>000321663 - RICH FOODS- MIMI</v>
      </c>
      <c r="C20057" t="s">
        <v>281</v>
      </c>
      <c r="D20057" s="1" t="str">
        <f t="shared" si="537"/>
        <v>PRG-1047469</v>
      </c>
      <c r="E20057" t="s">
        <v>218</v>
      </c>
      <c r="F20057" t="s">
        <v>4</v>
      </c>
      <c r="G20057" t="str">
        <f>""</f>
        <v/>
      </c>
    </row>
    <row r="20058" spans="1:7" x14ac:dyDescent="0.25">
      <c r="A20058" t="s">
        <v>8</v>
      </c>
      <c r="B20058" s="1" t="str">
        <f>"000341533 - RICH FOODS- MIMI"</f>
        <v>000341533 - RICH FOODS- MIMI</v>
      </c>
      <c r="C20058" t="s">
        <v>281</v>
      </c>
      <c r="D20058" s="1" t="str">
        <f t="shared" si="537"/>
        <v>PRG-1047469</v>
      </c>
      <c r="E20058" t="s">
        <v>218</v>
      </c>
      <c r="F20058" t="s">
        <v>4</v>
      </c>
      <c r="G20058" t="str">
        <f>""</f>
        <v/>
      </c>
    </row>
    <row r="20059" spans="1:7" x14ac:dyDescent="0.25">
      <c r="A20059" t="s">
        <v>8</v>
      </c>
      <c r="B20059" s="1" t="str">
        <f>"000361810 - RICH FOODS- MIMI"</f>
        <v>000361810 - RICH FOODS- MIMI</v>
      </c>
      <c r="C20059" t="s">
        <v>281</v>
      </c>
      <c r="D20059" s="1" t="str">
        <f t="shared" si="537"/>
        <v>PRG-1047469</v>
      </c>
      <c r="E20059" t="s">
        <v>218</v>
      </c>
      <c r="F20059" t="s">
        <v>4</v>
      </c>
      <c r="G20059" t="str">
        <f>""</f>
        <v/>
      </c>
    </row>
    <row r="20060" spans="1:7" x14ac:dyDescent="0.25">
      <c r="A20060" t="s">
        <v>8</v>
      </c>
      <c r="B20060" s="1" t="str">
        <f>"000390353 - RICH FOODS- MIMI"</f>
        <v>000390353 - RICH FOODS- MIMI</v>
      </c>
      <c r="C20060" t="s">
        <v>281</v>
      </c>
      <c r="D20060" s="1" t="str">
        <f t="shared" si="537"/>
        <v>PRG-1047469</v>
      </c>
      <c r="E20060" t="s">
        <v>218</v>
      </c>
      <c r="F20060" t="s">
        <v>4</v>
      </c>
      <c r="G20060" t="str">
        <f>""</f>
        <v/>
      </c>
    </row>
    <row r="20061" spans="1:7" x14ac:dyDescent="0.25">
      <c r="A20061" t="s">
        <v>8</v>
      </c>
      <c r="B20061" s="1" t="str">
        <f>"000438830 - RICH FOODS- MIMI"</f>
        <v>000438830 - RICH FOODS- MIMI</v>
      </c>
      <c r="C20061" t="s">
        <v>281</v>
      </c>
      <c r="D20061" s="1" t="str">
        <f t="shared" si="537"/>
        <v>PRG-1047469</v>
      </c>
      <c r="E20061" t="s">
        <v>218</v>
      </c>
      <c r="F20061" t="s">
        <v>4</v>
      </c>
      <c r="G20061" t="str">
        <f>""</f>
        <v/>
      </c>
    </row>
    <row r="20062" spans="1:7" x14ac:dyDescent="0.25">
      <c r="A20062" t="s">
        <v>8</v>
      </c>
      <c r="B20062" s="1" t="str">
        <f>"000055639 - HOMESTYLE DINING RICH'S PRODUC"</f>
        <v>000055639 - HOMESTYLE DINING RICH'S PRODUC</v>
      </c>
      <c r="C20062" t="s">
        <v>404</v>
      </c>
      <c r="D20062" s="1" t="str">
        <f>"PRG-1047470"</f>
        <v>PRG-1047470</v>
      </c>
      <c r="E20062" t="s">
        <v>680</v>
      </c>
      <c r="F20062" t="s">
        <v>4</v>
      </c>
      <c r="G20062" t="str">
        <f>""</f>
        <v/>
      </c>
    </row>
    <row r="20063" spans="1:7" x14ac:dyDescent="0.25">
      <c r="A20063" t="s">
        <v>8</v>
      </c>
      <c r="B20063" s="1" t="str">
        <f>"000340746 - TCBY RICH'S"</f>
        <v>000340746 - TCBY RICH'S</v>
      </c>
      <c r="C20063" t="s">
        <v>3182</v>
      </c>
      <c r="D20063" s="1" t="str">
        <f>"PRG-1047471"</f>
        <v>PRG-1047471</v>
      </c>
      <c r="E20063" t="s">
        <v>2874</v>
      </c>
      <c r="F20063" t="s">
        <v>4</v>
      </c>
      <c r="G20063" t="str">
        <f>""</f>
        <v/>
      </c>
    </row>
    <row r="20064" spans="1:7" x14ac:dyDescent="0.25">
      <c r="A20064" t="s">
        <v>8</v>
      </c>
      <c r="B20064" s="1" t="str">
        <f>"6026F991"</f>
        <v>6026F991</v>
      </c>
      <c r="C20064" t="s">
        <v>5066</v>
      </c>
      <c r="D20064" s="1" t="str">
        <f>"PRG-1047473"</f>
        <v>PRG-1047473</v>
      </c>
      <c r="E20064" t="s">
        <v>5067</v>
      </c>
      <c r="F20064" t="s">
        <v>5</v>
      </c>
      <c r="G20064" t="str">
        <f>""</f>
        <v/>
      </c>
    </row>
    <row r="20065" spans="1:7" x14ac:dyDescent="0.25">
      <c r="A20065" t="s">
        <v>8</v>
      </c>
      <c r="B20065" s="1" t="str">
        <f>"000266477 - RICH DC PERKINS"</f>
        <v>000266477 - RICH DC PERKINS</v>
      </c>
      <c r="C20065" t="s">
        <v>2407</v>
      </c>
      <c r="D20065" s="1" t="str">
        <f>"PRG-1047482"</f>
        <v>PRG-1047482</v>
      </c>
      <c r="E20065" t="s">
        <v>2408</v>
      </c>
      <c r="F20065" t="s">
        <v>4</v>
      </c>
      <c r="G20065" t="str">
        <f>""</f>
        <v/>
      </c>
    </row>
    <row r="20066" spans="1:7" x14ac:dyDescent="0.25">
      <c r="A20066" t="s">
        <v>8</v>
      </c>
      <c r="B20066" s="1" t="str">
        <f>"6026DB32"</f>
        <v>6026DB32</v>
      </c>
      <c r="C20066" t="s">
        <v>5048</v>
      </c>
      <c r="D20066" s="1" t="str">
        <f>"PRG-1047488"</f>
        <v>PRG-1047488</v>
      </c>
      <c r="E20066" t="s">
        <v>5049</v>
      </c>
      <c r="F20066" t="s">
        <v>5</v>
      </c>
      <c r="G20066" t="str">
        <f>""</f>
        <v/>
      </c>
    </row>
    <row r="20067" spans="1:7" x14ac:dyDescent="0.25">
      <c r="A20067" t="s">
        <v>8</v>
      </c>
      <c r="B20067" s="1" t="str">
        <f>"000286083 - RICH'S JOHNNY V'S"</f>
        <v>000286083 - RICH'S JOHNNY V'S</v>
      </c>
      <c r="C20067" t="s">
        <v>1293</v>
      </c>
      <c r="D20067" s="1" t="str">
        <f>"PRG-1047503"</f>
        <v>PRG-1047503</v>
      </c>
      <c r="E20067" t="s">
        <v>2737</v>
      </c>
      <c r="F20067" t="s">
        <v>4</v>
      </c>
      <c r="G20067" t="str">
        <f>""</f>
        <v/>
      </c>
    </row>
    <row r="20068" spans="1:7" x14ac:dyDescent="0.25">
      <c r="A20068" t="s">
        <v>8</v>
      </c>
      <c r="B20068" s="1" t="str">
        <f>"11064019"</f>
        <v>11064019</v>
      </c>
      <c r="C20068" t="s">
        <v>3809</v>
      </c>
      <c r="D20068" s="1" t="str">
        <f>"PRG-1047504"</f>
        <v>PRG-1047504</v>
      </c>
      <c r="E20068" t="s">
        <v>3810</v>
      </c>
      <c r="F20068" t="s">
        <v>5</v>
      </c>
      <c r="G20068" t="str">
        <f>""</f>
        <v/>
      </c>
    </row>
    <row r="20069" spans="1:7" x14ac:dyDescent="0.25">
      <c r="A20069" t="s">
        <v>8</v>
      </c>
      <c r="B20069" s="1" t="str">
        <f>"000067321 - RICH-BAHAMA BUCKS"</f>
        <v>000067321 - RICH-BAHAMA BUCKS</v>
      </c>
      <c r="C20069" t="s">
        <v>448</v>
      </c>
      <c r="D20069" s="1" t="str">
        <f>"PRG-1047513"</f>
        <v>PRG-1047513</v>
      </c>
      <c r="E20069" t="s">
        <v>67</v>
      </c>
      <c r="F20069" t="s">
        <v>4</v>
      </c>
      <c r="G20069" t="str">
        <f>""</f>
        <v/>
      </c>
    </row>
    <row r="20070" spans="1:7" x14ac:dyDescent="0.25">
      <c r="A20070" t="s">
        <v>8</v>
      </c>
      <c r="B20070" s="1" t="str">
        <f>"000393701 - RICH-BAHAMA BUCKS"</f>
        <v>000393701 - RICH-BAHAMA BUCKS</v>
      </c>
      <c r="C20070" t="s">
        <v>448</v>
      </c>
      <c r="D20070" s="1" t="str">
        <f>"PRG-1047513"</f>
        <v>PRG-1047513</v>
      </c>
      <c r="E20070" t="s">
        <v>67</v>
      </c>
      <c r="F20070" t="s">
        <v>4</v>
      </c>
      <c r="G20070" t="str">
        <f>""</f>
        <v/>
      </c>
    </row>
    <row r="20071" spans="1:7" x14ac:dyDescent="0.25">
      <c r="A20071" t="s">
        <v>8</v>
      </c>
      <c r="B20071" s="1" t="str">
        <f>"000393703 - RICH(R)-BAHAMA BUCKS"</f>
        <v>000393703 - RICH(R)-BAHAMA BUCKS</v>
      </c>
      <c r="C20071" t="s">
        <v>3627</v>
      </c>
      <c r="D20071" s="1" t="str">
        <f>"PRG-1047513"</f>
        <v>PRG-1047513</v>
      </c>
      <c r="E20071" t="s">
        <v>67</v>
      </c>
      <c r="F20071" t="s">
        <v>4</v>
      </c>
      <c r="G20071" t="str">
        <f>""</f>
        <v/>
      </c>
    </row>
    <row r="20072" spans="1:7" x14ac:dyDescent="0.25">
      <c r="A20072" t="s">
        <v>8</v>
      </c>
      <c r="B20072" s="1" t="str">
        <f>"000427241 - RICH'S BAHAMA BUCKS"</f>
        <v>000427241 - RICH'S BAHAMA BUCKS</v>
      </c>
      <c r="C20072" t="s">
        <v>2452</v>
      </c>
      <c r="D20072" s="1" t="str">
        <f>"PRG-1047513"</f>
        <v>PRG-1047513</v>
      </c>
      <c r="E20072" t="s">
        <v>67</v>
      </c>
      <c r="F20072" t="s">
        <v>4</v>
      </c>
      <c r="G20072" t="str">
        <f>""</f>
        <v/>
      </c>
    </row>
    <row r="20073" spans="1:7" x14ac:dyDescent="0.25">
      <c r="A20073" t="s">
        <v>8</v>
      </c>
      <c r="B20073" s="1" t="str">
        <f>"S3M02B20"</f>
        <v>S3M02B20</v>
      </c>
      <c r="C20073" t="s">
        <v>5625</v>
      </c>
      <c r="D20073" s="1" t="str">
        <f>"PRG-1047513"</f>
        <v>PRG-1047513</v>
      </c>
      <c r="E20073" t="s">
        <v>67</v>
      </c>
      <c r="F20073" t="s">
        <v>5</v>
      </c>
      <c r="G20073" t="str">
        <f>""</f>
        <v/>
      </c>
    </row>
    <row r="20074" spans="1:7" x14ac:dyDescent="0.25">
      <c r="A20074" t="s">
        <v>8</v>
      </c>
      <c r="B20074" s="1" t="str">
        <f>"000006462 - RICH PDCTS-BURGERFI (CAKE)"</f>
        <v>000006462 - RICH PDCTS-BURGERFI (CAKE)</v>
      </c>
      <c r="C20074" t="s">
        <v>241</v>
      </c>
      <c r="D20074" s="1" t="str">
        <f t="shared" ref="D20074:D20095" si="538">"PRG-1047518"</f>
        <v>PRG-1047518</v>
      </c>
      <c r="E20074" t="s">
        <v>152</v>
      </c>
      <c r="F20074" t="s">
        <v>4</v>
      </c>
      <c r="G20074" t="str">
        <f>""</f>
        <v/>
      </c>
    </row>
    <row r="20075" spans="1:7" x14ac:dyDescent="0.25">
      <c r="A20075" t="s">
        <v>8</v>
      </c>
      <c r="B20075" s="1" t="str">
        <f>"000032935 - RICH FOODS-BURGERFI"</f>
        <v>000032935 - RICH FOODS-BURGERFI</v>
      </c>
      <c r="C20075" t="s">
        <v>508</v>
      </c>
      <c r="D20075" s="1" t="str">
        <f t="shared" si="538"/>
        <v>PRG-1047518</v>
      </c>
      <c r="E20075" t="s">
        <v>152</v>
      </c>
      <c r="F20075" t="s">
        <v>4</v>
      </c>
      <c r="G20075" t="str">
        <f>""</f>
        <v/>
      </c>
    </row>
    <row r="20076" spans="1:7" x14ac:dyDescent="0.25">
      <c r="A20076" t="s">
        <v>8</v>
      </c>
      <c r="B20076" s="1" t="str">
        <f>"000034580 - RICH FOODS-BURGERFI"</f>
        <v>000034580 - RICH FOODS-BURGERFI</v>
      </c>
      <c r="C20076" t="s">
        <v>508</v>
      </c>
      <c r="D20076" s="1" t="str">
        <f t="shared" si="538"/>
        <v>PRG-1047518</v>
      </c>
      <c r="E20076" t="s">
        <v>152</v>
      </c>
      <c r="F20076" t="s">
        <v>4</v>
      </c>
      <c r="G20076" t="str">
        <f>""</f>
        <v/>
      </c>
    </row>
    <row r="20077" spans="1:7" x14ac:dyDescent="0.25">
      <c r="A20077" t="s">
        <v>8</v>
      </c>
      <c r="B20077" s="1" t="str">
        <f>"000149064 - RICH FOODS-BURGERFI"</f>
        <v>000149064 - RICH FOODS-BURGERFI</v>
      </c>
      <c r="C20077" t="s">
        <v>508</v>
      </c>
      <c r="D20077" s="1" t="str">
        <f t="shared" si="538"/>
        <v>PRG-1047518</v>
      </c>
      <c r="E20077" t="s">
        <v>152</v>
      </c>
      <c r="F20077" t="s">
        <v>4</v>
      </c>
      <c r="G20077" t="str">
        <f>""</f>
        <v/>
      </c>
    </row>
    <row r="20078" spans="1:7" x14ac:dyDescent="0.25">
      <c r="A20078" t="s">
        <v>8</v>
      </c>
      <c r="B20078" s="1" t="str">
        <f>"000196227 - RICH FOODS-BURGERFI"</f>
        <v>000196227 - RICH FOODS-BURGERFI</v>
      </c>
      <c r="C20078" t="s">
        <v>508</v>
      </c>
      <c r="D20078" s="1" t="str">
        <f t="shared" si="538"/>
        <v>PRG-1047518</v>
      </c>
      <c r="E20078" t="s">
        <v>152</v>
      </c>
      <c r="F20078" t="s">
        <v>4</v>
      </c>
      <c r="G20078" t="str">
        <f>""</f>
        <v/>
      </c>
    </row>
    <row r="20079" spans="1:7" x14ac:dyDescent="0.25">
      <c r="A20079" t="s">
        <v>8</v>
      </c>
      <c r="B20079" s="1" t="str">
        <f>"000216878 - RICH PDCTS-BURGERFI (CAKE)"</f>
        <v>000216878 - RICH PDCTS-BURGERFI (CAKE)</v>
      </c>
      <c r="C20079" t="s">
        <v>241</v>
      </c>
      <c r="D20079" s="1" t="str">
        <f t="shared" si="538"/>
        <v>PRG-1047518</v>
      </c>
      <c r="E20079" t="s">
        <v>152</v>
      </c>
      <c r="F20079" t="s">
        <v>4</v>
      </c>
      <c r="G20079" t="str">
        <f>""</f>
        <v/>
      </c>
    </row>
    <row r="20080" spans="1:7" x14ac:dyDescent="0.25">
      <c r="A20080" t="s">
        <v>8</v>
      </c>
      <c r="B20080" s="1" t="str">
        <f>"000263032 - RICH PDCTS-BURGERFI (CAKE)"</f>
        <v>000263032 - RICH PDCTS-BURGERFI (CAKE)</v>
      </c>
      <c r="C20080" t="s">
        <v>241</v>
      </c>
      <c r="D20080" s="1" t="str">
        <f t="shared" si="538"/>
        <v>PRG-1047518</v>
      </c>
      <c r="E20080" t="s">
        <v>152</v>
      </c>
      <c r="F20080" t="s">
        <v>4</v>
      </c>
      <c r="G20080" t="str">
        <f>""</f>
        <v/>
      </c>
    </row>
    <row r="20081" spans="1:7" x14ac:dyDescent="0.25">
      <c r="A20081" t="s">
        <v>8</v>
      </c>
      <c r="B20081" s="1" t="str">
        <f>"000269350 - RICH PDCTS-BURGERFI (CAKE)"</f>
        <v>000269350 - RICH PDCTS-BURGERFI (CAKE)</v>
      </c>
      <c r="C20081" t="s">
        <v>241</v>
      </c>
      <c r="D20081" s="1" t="str">
        <f t="shared" si="538"/>
        <v>PRG-1047518</v>
      </c>
      <c r="E20081" t="s">
        <v>152</v>
      </c>
      <c r="F20081" t="s">
        <v>4</v>
      </c>
      <c r="G20081" t="str">
        <f>""</f>
        <v/>
      </c>
    </row>
    <row r="20082" spans="1:7" x14ac:dyDescent="0.25">
      <c r="A20082" t="s">
        <v>8</v>
      </c>
      <c r="B20082" s="1" t="str">
        <f>"000271748 - RICH FOODS-BURGERFI"</f>
        <v>000271748 - RICH FOODS-BURGERFI</v>
      </c>
      <c r="C20082" t="s">
        <v>508</v>
      </c>
      <c r="D20082" s="1" t="str">
        <f t="shared" si="538"/>
        <v>PRG-1047518</v>
      </c>
      <c r="E20082" t="s">
        <v>152</v>
      </c>
      <c r="F20082" t="s">
        <v>4</v>
      </c>
      <c r="G20082" t="str">
        <f>""</f>
        <v/>
      </c>
    </row>
    <row r="20083" spans="1:7" x14ac:dyDescent="0.25">
      <c r="A20083" t="s">
        <v>8</v>
      </c>
      <c r="B20083" s="1" t="str">
        <f>"000283308 - RICH FOODS-BURGERFI"</f>
        <v>000283308 - RICH FOODS-BURGERFI</v>
      </c>
      <c r="C20083" t="s">
        <v>508</v>
      </c>
      <c r="D20083" s="1" t="str">
        <f t="shared" si="538"/>
        <v>PRG-1047518</v>
      </c>
      <c r="E20083" t="s">
        <v>152</v>
      </c>
      <c r="F20083" t="s">
        <v>4</v>
      </c>
      <c r="G20083" t="str">
        <f>""</f>
        <v/>
      </c>
    </row>
    <row r="20084" spans="1:7" x14ac:dyDescent="0.25">
      <c r="A20084" t="s">
        <v>8</v>
      </c>
      <c r="B20084" s="1" t="str">
        <f>"000298025 - RICH PRODUCTS-BAPA B198"</f>
        <v>000298025 - RICH PRODUCTS-BAPA B198</v>
      </c>
      <c r="C20084" t="s">
        <v>2158</v>
      </c>
      <c r="D20084" s="1" t="str">
        <f t="shared" si="538"/>
        <v>PRG-1047518</v>
      </c>
      <c r="E20084" t="s">
        <v>152</v>
      </c>
      <c r="F20084" t="s">
        <v>4</v>
      </c>
      <c r="G20084" t="str">
        <f>""</f>
        <v/>
      </c>
    </row>
    <row r="20085" spans="1:7" x14ac:dyDescent="0.25">
      <c r="A20085" t="s">
        <v>8</v>
      </c>
      <c r="B20085" s="1" t="str">
        <f>"000317046 - RICH FOODS-BURGERFI"</f>
        <v>000317046 - RICH FOODS-BURGERFI</v>
      </c>
      <c r="C20085" t="s">
        <v>508</v>
      </c>
      <c r="D20085" s="1" t="str">
        <f t="shared" si="538"/>
        <v>PRG-1047518</v>
      </c>
      <c r="E20085" t="s">
        <v>152</v>
      </c>
      <c r="F20085" t="s">
        <v>4</v>
      </c>
      <c r="G20085" t="str">
        <f>""</f>
        <v/>
      </c>
    </row>
    <row r="20086" spans="1:7" x14ac:dyDescent="0.25">
      <c r="A20086" t="s">
        <v>8</v>
      </c>
      <c r="B20086" s="1" t="str">
        <f>"000321617 - RICH FOODS-BURGERFI"</f>
        <v>000321617 - RICH FOODS-BURGERFI</v>
      </c>
      <c r="C20086" t="s">
        <v>508</v>
      </c>
      <c r="D20086" s="1" t="str">
        <f t="shared" si="538"/>
        <v>PRG-1047518</v>
      </c>
      <c r="E20086" t="s">
        <v>152</v>
      </c>
      <c r="F20086" t="s">
        <v>4</v>
      </c>
      <c r="G20086" t="str">
        <f>""</f>
        <v/>
      </c>
    </row>
    <row r="20087" spans="1:7" x14ac:dyDescent="0.25">
      <c r="A20087" t="s">
        <v>8</v>
      </c>
      <c r="B20087" s="1" t="str">
        <f>"000324349 - RICH PDCTS-BURGERFI (CAKE)"</f>
        <v>000324349 - RICH PDCTS-BURGERFI (CAKE)</v>
      </c>
      <c r="C20087" t="s">
        <v>241</v>
      </c>
      <c r="D20087" s="1" t="str">
        <f t="shared" si="538"/>
        <v>PRG-1047518</v>
      </c>
      <c r="E20087" t="s">
        <v>152</v>
      </c>
      <c r="F20087" t="s">
        <v>4</v>
      </c>
      <c r="G20087" t="str">
        <f>""</f>
        <v/>
      </c>
    </row>
    <row r="20088" spans="1:7" x14ac:dyDescent="0.25">
      <c r="A20088" t="s">
        <v>8</v>
      </c>
      <c r="B20088" s="1" t="str">
        <f>"000366278 - RICH PDCTS-BURGERFI (CAKE)"</f>
        <v>000366278 - RICH PDCTS-BURGERFI (CAKE)</v>
      </c>
      <c r="C20088" t="s">
        <v>241</v>
      </c>
      <c r="D20088" s="1" t="str">
        <f t="shared" si="538"/>
        <v>PRG-1047518</v>
      </c>
      <c r="E20088" t="s">
        <v>152</v>
      </c>
      <c r="F20088" t="s">
        <v>4</v>
      </c>
      <c r="G20088" t="str">
        <f>""</f>
        <v/>
      </c>
    </row>
    <row r="20089" spans="1:7" x14ac:dyDescent="0.25">
      <c r="A20089" t="s">
        <v>8</v>
      </c>
      <c r="B20089" s="1" t="str">
        <f>"000367752 - RICH FOODS-BURGERFI"</f>
        <v>000367752 - RICH FOODS-BURGERFI</v>
      </c>
      <c r="C20089" t="s">
        <v>508</v>
      </c>
      <c r="D20089" s="1" t="str">
        <f t="shared" si="538"/>
        <v>PRG-1047518</v>
      </c>
      <c r="E20089" t="s">
        <v>152</v>
      </c>
      <c r="F20089" t="s">
        <v>4</v>
      </c>
      <c r="G20089" t="str">
        <f>""</f>
        <v/>
      </c>
    </row>
    <row r="20090" spans="1:7" x14ac:dyDescent="0.25">
      <c r="A20090" t="s">
        <v>8</v>
      </c>
      <c r="B20090" s="1" t="str">
        <f>"000370442 - RICH FOODS-BURGERFI"</f>
        <v>000370442 - RICH FOODS-BURGERFI</v>
      </c>
      <c r="C20090" t="s">
        <v>508</v>
      </c>
      <c r="D20090" s="1" t="str">
        <f t="shared" si="538"/>
        <v>PRG-1047518</v>
      </c>
      <c r="E20090" t="s">
        <v>152</v>
      </c>
      <c r="F20090" t="s">
        <v>4</v>
      </c>
      <c r="G20090" t="str">
        <f>""</f>
        <v/>
      </c>
    </row>
    <row r="20091" spans="1:7" x14ac:dyDescent="0.25">
      <c r="A20091" t="s">
        <v>8</v>
      </c>
      <c r="B20091" s="1" t="str">
        <f>"000371084 - RICH FOODS-BURGERFI"</f>
        <v>000371084 - RICH FOODS-BURGERFI</v>
      </c>
      <c r="C20091" t="s">
        <v>508</v>
      </c>
      <c r="D20091" s="1" t="str">
        <f t="shared" si="538"/>
        <v>PRG-1047518</v>
      </c>
      <c r="E20091" t="s">
        <v>152</v>
      </c>
      <c r="F20091" t="s">
        <v>4</v>
      </c>
      <c r="G20091" t="str">
        <f>""</f>
        <v/>
      </c>
    </row>
    <row r="20092" spans="1:7" x14ac:dyDescent="0.25">
      <c r="A20092" t="s">
        <v>8</v>
      </c>
      <c r="B20092" s="1" t="str">
        <f>"000390298 - RICH FOODS-BURGERFI"</f>
        <v>000390298 - RICH FOODS-BURGERFI</v>
      </c>
      <c r="C20092" t="s">
        <v>508</v>
      </c>
      <c r="D20092" s="1" t="str">
        <f t="shared" si="538"/>
        <v>PRG-1047518</v>
      </c>
      <c r="E20092" t="s">
        <v>152</v>
      </c>
      <c r="F20092" t="s">
        <v>4</v>
      </c>
      <c r="G20092" t="str">
        <f>""</f>
        <v/>
      </c>
    </row>
    <row r="20093" spans="1:7" x14ac:dyDescent="0.25">
      <c r="A20093" t="s">
        <v>8</v>
      </c>
      <c r="B20093" s="1" t="str">
        <f>"000407732 - RICH FOODS-BURGERFI"</f>
        <v>000407732 - RICH FOODS-BURGERFI</v>
      </c>
      <c r="C20093" t="s">
        <v>508</v>
      </c>
      <c r="D20093" s="1" t="str">
        <f t="shared" si="538"/>
        <v>PRG-1047518</v>
      </c>
      <c r="E20093" t="s">
        <v>152</v>
      </c>
      <c r="F20093" t="s">
        <v>4</v>
      </c>
      <c r="G20093" t="str">
        <f>""</f>
        <v/>
      </c>
    </row>
    <row r="20094" spans="1:7" x14ac:dyDescent="0.25">
      <c r="A20094" t="s">
        <v>8</v>
      </c>
      <c r="B20094" s="1" t="str">
        <f>"2000373856 - RICH FOODS-BURGERFI"</f>
        <v>2000373856 - RICH FOODS-BURGERFI</v>
      </c>
      <c r="C20094" t="s">
        <v>508</v>
      </c>
      <c r="D20094" s="1" t="str">
        <f t="shared" si="538"/>
        <v>PRG-1047518</v>
      </c>
      <c r="E20094" t="s">
        <v>152</v>
      </c>
      <c r="F20094" t="s">
        <v>4</v>
      </c>
      <c r="G20094" t="str">
        <f>""</f>
        <v/>
      </c>
    </row>
    <row r="20095" spans="1:7" x14ac:dyDescent="0.25">
      <c r="A20095" t="s">
        <v>8</v>
      </c>
      <c r="B20095" s="1" t="str">
        <f>"2000428963 - RICH FOODS-BURGERFI"</f>
        <v>2000428963 - RICH FOODS-BURGERFI</v>
      </c>
      <c r="C20095" t="s">
        <v>508</v>
      </c>
      <c r="D20095" s="1" t="str">
        <f t="shared" si="538"/>
        <v>PRG-1047518</v>
      </c>
      <c r="E20095" t="s">
        <v>152</v>
      </c>
      <c r="F20095" t="s">
        <v>4</v>
      </c>
      <c r="G20095" t="str">
        <f>""</f>
        <v/>
      </c>
    </row>
    <row r="20096" spans="1:7" x14ac:dyDescent="0.25">
      <c r="A20096" t="s">
        <v>8</v>
      </c>
      <c r="B20096" s="1" t="str">
        <f>"000021711 - RICH FOODS-PINNACLE"</f>
        <v>000021711 - RICH FOODS-PINNACLE</v>
      </c>
      <c r="C20096" t="s">
        <v>313</v>
      </c>
      <c r="D20096" s="1" t="str">
        <f t="shared" ref="D20096:D20104" si="539">"PRG-1047520"</f>
        <v>PRG-1047520</v>
      </c>
      <c r="E20096" t="s">
        <v>418</v>
      </c>
      <c r="F20096" t="s">
        <v>4</v>
      </c>
      <c r="G20096" t="str">
        <f>""</f>
        <v/>
      </c>
    </row>
    <row r="20097" spans="1:7" x14ac:dyDescent="0.25">
      <c r="A20097" t="s">
        <v>8</v>
      </c>
      <c r="B20097" s="1" t="str">
        <f>"000023365 - RICH FOODS-PINNACLE"</f>
        <v>000023365 - RICH FOODS-PINNACLE</v>
      </c>
      <c r="C20097" t="s">
        <v>313</v>
      </c>
      <c r="D20097" s="1" t="str">
        <f t="shared" si="539"/>
        <v>PRG-1047520</v>
      </c>
      <c r="E20097" t="s">
        <v>418</v>
      </c>
      <c r="F20097" t="s">
        <v>4</v>
      </c>
      <c r="G20097" t="str">
        <f>""</f>
        <v/>
      </c>
    </row>
    <row r="20098" spans="1:7" x14ac:dyDescent="0.25">
      <c r="A20098" t="s">
        <v>8</v>
      </c>
      <c r="B20098" s="1" t="str">
        <f>"000055820 - RICH FOODS-PINNACLE"</f>
        <v>000055820 - RICH FOODS-PINNACLE</v>
      </c>
      <c r="C20098" t="s">
        <v>313</v>
      </c>
      <c r="D20098" s="1" t="str">
        <f t="shared" si="539"/>
        <v>PRG-1047520</v>
      </c>
      <c r="E20098" t="s">
        <v>418</v>
      </c>
      <c r="F20098" t="s">
        <v>4</v>
      </c>
      <c r="G20098" t="str">
        <f>""</f>
        <v/>
      </c>
    </row>
    <row r="20099" spans="1:7" x14ac:dyDescent="0.25">
      <c r="A20099" t="s">
        <v>8</v>
      </c>
      <c r="B20099" s="1" t="str">
        <f>"000070594 - RICH FOODS-PINNACLE"</f>
        <v>000070594 - RICH FOODS-PINNACLE</v>
      </c>
      <c r="C20099" t="s">
        <v>313</v>
      </c>
      <c r="D20099" s="1" t="str">
        <f t="shared" si="539"/>
        <v>PRG-1047520</v>
      </c>
      <c r="E20099" t="s">
        <v>418</v>
      </c>
      <c r="F20099" t="s">
        <v>4</v>
      </c>
      <c r="G20099" t="str">
        <f>""</f>
        <v/>
      </c>
    </row>
    <row r="20100" spans="1:7" x14ac:dyDescent="0.25">
      <c r="A20100" t="s">
        <v>8</v>
      </c>
      <c r="B20100" s="1" t="str">
        <f>"000255885 - RICH FOODS-PINNACLE"</f>
        <v>000255885 - RICH FOODS-PINNACLE</v>
      </c>
      <c r="C20100" t="s">
        <v>313</v>
      </c>
      <c r="D20100" s="1" t="str">
        <f t="shared" si="539"/>
        <v>PRG-1047520</v>
      </c>
      <c r="E20100" t="s">
        <v>418</v>
      </c>
      <c r="F20100" t="s">
        <v>4</v>
      </c>
      <c r="G20100" t="str">
        <f>""</f>
        <v/>
      </c>
    </row>
    <row r="20101" spans="1:7" x14ac:dyDescent="0.25">
      <c r="A20101" t="s">
        <v>8</v>
      </c>
      <c r="B20101" s="1" t="str">
        <f>"000278574 - RICH FOODS-PINNACLE"</f>
        <v>000278574 - RICH FOODS-PINNACLE</v>
      </c>
      <c r="C20101" t="s">
        <v>313</v>
      </c>
      <c r="D20101" s="1" t="str">
        <f t="shared" si="539"/>
        <v>PRG-1047520</v>
      </c>
      <c r="E20101" t="s">
        <v>418</v>
      </c>
      <c r="F20101" t="s">
        <v>4</v>
      </c>
      <c r="G20101" t="str">
        <f>""</f>
        <v/>
      </c>
    </row>
    <row r="20102" spans="1:7" x14ac:dyDescent="0.25">
      <c r="A20102" t="s">
        <v>8</v>
      </c>
      <c r="B20102" s="1" t="str">
        <f>"000290628 - RICH FOODS-PINNACLE"</f>
        <v>000290628 - RICH FOODS-PINNACLE</v>
      </c>
      <c r="C20102" t="s">
        <v>313</v>
      </c>
      <c r="D20102" s="1" t="str">
        <f t="shared" si="539"/>
        <v>PRG-1047520</v>
      </c>
      <c r="E20102" t="s">
        <v>418</v>
      </c>
      <c r="F20102" t="s">
        <v>4</v>
      </c>
      <c r="G20102" t="str">
        <f>""</f>
        <v/>
      </c>
    </row>
    <row r="20103" spans="1:7" x14ac:dyDescent="0.25">
      <c r="A20103" t="s">
        <v>8</v>
      </c>
      <c r="B20103" s="1" t="str">
        <f>"000323288 - RICH FOODS-PINNACLE"</f>
        <v>000323288 - RICH FOODS-PINNACLE</v>
      </c>
      <c r="C20103" t="s">
        <v>313</v>
      </c>
      <c r="D20103" s="1" t="str">
        <f t="shared" si="539"/>
        <v>PRG-1047520</v>
      </c>
      <c r="E20103" t="s">
        <v>418</v>
      </c>
      <c r="F20103" t="s">
        <v>4</v>
      </c>
      <c r="G20103" t="str">
        <f>""</f>
        <v/>
      </c>
    </row>
    <row r="20104" spans="1:7" x14ac:dyDescent="0.25">
      <c r="A20104" t="s">
        <v>8</v>
      </c>
      <c r="B20104" s="1" t="str">
        <f>"000405625 - RICH FOODS-PINNACLE"</f>
        <v>000405625 - RICH FOODS-PINNACLE</v>
      </c>
      <c r="C20104" t="s">
        <v>313</v>
      </c>
      <c r="D20104" s="1" t="str">
        <f t="shared" si="539"/>
        <v>PRG-1047520</v>
      </c>
      <c r="E20104" t="s">
        <v>418</v>
      </c>
      <c r="F20104" t="s">
        <v>4</v>
      </c>
      <c r="G20104" t="str">
        <f>""</f>
        <v/>
      </c>
    </row>
    <row r="20105" spans="1:7" x14ac:dyDescent="0.25">
      <c r="A20105" t="s">
        <v>8</v>
      </c>
      <c r="B20105" s="1" t="str">
        <f>"6026WA24"</f>
        <v>6026WA24</v>
      </c>
      <c r="C20105" t="s">
        <v>5170</v>
      </c>
      <c r="D20105" s="1" t="str">
        <f>"PRG-1047524"</f>
        <v>PRG-1047524</v>
      </c>
      <c r="E20105" t="s">
        <v>5171</v>
      </c>
      <c r="F20105" t="s">
        <v>5</v>
      </c>
      <c r="G20105" t="str">
        <f>""</f>
        <v/>
      </c>
    </row>
    <row r="20106" spans="1:7" x14ac:dyDescent="0.25">
      <c r="A20106" t="s">
        <v>8</v>
      </c>
      <c r="B20106" s="1" t="str">
        <f>"41001625"</f>
        <v>41001625</v>
      </c>
      <c r="C20106" t="s">
        <v>4931</v>
      </c>
      <c r="D20106" s="1" t="str">
        <f>"PRG-1047538"</f>
        <v>PRG-1047538</v>
      </c>
      <c r="E20106" t="s">
        <v>4932</v>
      </c>
      <c r="F20106" t="s">
        <v>5</v>
      </c>
      <c r="G20106" t="str">
        <f>""</f>
        <v/>
      </c>
    </row>
    <row r="20107" spans="1:7" x14ac:dyDescent="0.25">
      <c r="A20107" t="s">
        <v>8</v>
      </c>
      <c r="B20107" s="1" t="str">
        <f>"S3Y00YL0"</f>
        <v>S3Y00YL0</v>
      </c>
      <c r="C20107" t="s">
        <v>5692</v>
      </c>
      <c r="D20107" s="1" t="str">
        <f>"PRG-1047538"</f>
        <v>PRG-1047538</v>
      </c>
      <c r="E20107" t="s">
        <v>4932</v>
      </c>
      <c r="F20107" t="s">
        <v>5</v>
      </c>
      <c r="G20107" t="str">
        <f>""</f>
        <v/>
      </c>
    </row>
    <row r="20108" spans="1:7" x14ac:dyDescent="0.25">
      <c r="A20108" t="s">
        <v>8</v>
      </c>
      <c r="B20108" s="1" t="str">
        <f>"S1Z01DE0"</f>
        <v>S1Z01DE0</v>
      </c>
      <c r="C20108" t="s">
        <v>5331</v>
      </c>
      <c r="D20108" s="1" t="str">
        <f>"PRG-1047539"</f>
        <v>PRG-1047539</v>
      </c>
      <c r="E20108" t="s">
        <v>781</v>
      </c>
      <c r="F20108" t="s">
        <v>5</v>
      </c>
      <c r="G20108" t="str">
        <f>""</f>
        <v/>
      </c>
    </row>
    <row r="20109" spans="1:7" x14ac:dyDescent="0.25">
      <c r="A20109" t="s">
        <v>8</v>
      </c>
      <c r="B20109" s="1" t="str">
        <f>"000070681 - RICH'S-COUNTRY KITCHEN"</f>
        <v>000070681 - RICH'S-COUNTRY KITCHEN</v>
      </c>
      <c r="C20109" t="s">
        <v>212</v>
      </c>
      <c r="D20109" s="1" t="str">
        <f t="shared" ref="D20109:D20117" si="540">"PRG-1047545"</f>
        <v>PRG-1047545</v>
      </c>
      <c r="E20109" t="s">
        <v>213</v>
      </c>
      <c r="F20109" t="s">
        <v>4</v>
      </c>
      <c r="G20109" t="str">
        <f>""</f>
        <v/>
      </c>
    </row>
    <row r="20110" spans="1:7" x14ac:dyDescent="0.25">
      <c r="A20110" t="s">
        <v>8</v>
      </c>
      <c r="B20110" s="1" t="str">
        <f>"000101108 - RICH'S-COUNTRY KITCHEN"</f>
        <v>000101108 - RICH'S-COUNTRY KITCHEN</v>
      </c>
      <c r="C20110" t="s">
        <v>212</v>
      </c>
      <c r="D20110" s="1" t="str">
        <f t="shared" si="540"/>
        <v>PRG-1047545</v>
      </c>
      <c r="E20110" t="s">
        <v>213</v>
      </c>
      <c r="F20110" t="s">
        <v>4</v>
      </c>
      <c r="G20110" t="str">
        <f>""</f>
        <v/>
      </c>
    </row>
    <row r="20111" spans="1:7" x14ac:dyDescent="0.25">
      <c r="A20111" t="s">
        <v>8</v>
      </c>
      <c r="B20111" s="1" t="str">
        <f>"000118681 - RICH'S-COUNTRY KITCHEN"</f>
        <v>000118681 - RICH'S-COUNTRY KITCHEN</v>
      </c>
      <c r="C20111" t="s">
        <v>212</v>
      </c>
      <c r="D20111" s="1" t="str">
        <f t="shared" si="540"/>
        <v>PRG-1047545</v>
      </c>
      <c r="E20111" t="s">
        <v>213</v>
      </c>
      <c r="F20111" t="s">
        <v>4</v>
      </c>
      <c r="G20111" t="str">
        <f>""</f>
        <v/>
      </c>
    </row>
    <row r="20112" spans="1:7" x14ac:dyDescent="0.25">
      <c r="A20112" t="s">
        <v>8</v>
      </c>
      <c r="B20112" s="1" t="str">
        <f>"000260919 - RICH'S-COUNTRY KITCHEN"</f>
        <v>000260919 - RICH'S-COUNTRY KITCHEN</v>
      </c>
      <c r="C20112" t="s">
        <v>212</v>
      </c>
      <c r="D20112" s="1" t="str">
        <f t="shared" si="540"/>
        <v>PRG-1047545</v>
      </c>
      <c r="E20112" t="s">
        <v>213</v>
      </c>
      <c r="F20112" t="s">
        <v>4</v>
      </c>
      <c r="G20112" t="str">
        <f>""</f>
        <v/>
      </c>
    </row>
    <row r="20113" spans="1:7" x14ac:dyDescent="0.25">
      <c r="A20113" t="s">
        <v>8</v>
      </c>
      <c r="B20113" s="1" t="str">
        <f>"000264298 - RICH'S-COUNTRY KITCHEN"</f>
        <v>000264298 - RICH'S-COUNTRY KITCHEN</v>
      </c>
      <c r="C20113" t="s">
        <v>212</v>
      </c>
      <c r="D20113" s="1" t="str">
        <f t="shared" si="540"/>
        <v>PRG-1047545</v>
      </c>
      <c r="E20113" t="s">
        <v>213</v>
      </c>
      <c r="F20113" t="s">
        <v>4</v>
      </c>
      <c r="G20113" t="str">
        <f>""</f>
        <v/>
      </c>
    </row>
    <row r="20114" spans="1:7" x14ac:dyDescent="0.25">
      <c r="A20114" t="s">
        <v>8</v>
      </c>
      <c r="B20114" s="1" t="str">
        <f>"000323348 - RICH'S-COUNTRY KITCHEN"</f>
        <v>000323348 - RICH'S-COUNTRY KITCHEN</v>
      </c>
      <c r="C20114" t="s">
        <v>212</v>
      </c>
      <c r="D20114" s="1" t="str">
        <f t="shared" si="540"/>
        <v>PRG-1047545</v>
      </c>
      <c r="E20114" t="s">
        <v>213</v>
      </c>
      <c r="F20114" t="s">
        <v>4</v>
      </c>
      <c r="G20114" t="str">
        <f>""</f>
        <v/>
      </c>
    </row>
    <row r="20115" spans="1:7" x14ac:dyDescent="0.25">
      <c r="A20115" t="s">
        <v>8</v>
      </c>
      <c r="B20115" s="1" t="str">
        <f>"000335731 - RICH'S-COUNTRY KITCHEN"</f>
        <v>000335731 - RICH'S-COUNTRY KITCHEN</v>
      </c>
      <c r="C20115" t="s">
        <v>212</v>
      </c>
      <c r="D20115" s="1" t="str">
        <f t="shared" si="540"/>
        <v>PRG-1047545</v>
      </c>
      <c r="E20115" t="s">
        <v>213</v>
      </c>
      <c r="F20115" t="s">
        <v>4</v>
      </c>
      <c r="G20115" t="str">
        <f>""</f>
        <v/>
      </c>
    </row>
    <row r="20116" spans="1:7" x14ac:dyDescent="0.25">
      <c r="A20116" t="s">
        <v>8</v>
      </c>
      <c r="B20116" s="1" t="str">
        <f>"000357204 - RICH'S-COUNTRY KITCHEN"</f>
        <v>000357204 - RICH'S-COUNTRY KITCHEN</v>
      </c>
      <c r="C20116" t="s">
        <v>212</v>
      </c>
      <c r="D20116" s="1" t="str">
        <f t="shared" si="540"/>
        <v>PRG-1047545</v>
      </c>
      <c r="E20116" t="s">
        <v>213</v>
      </c>
      <c r="F20116" t="s">
        <v>4</v>
      </c>
      <c r="G20116" t="str">
        <f>""</f>
        <v/>
      </c>
    </row>
    <row r="20117" spans="1:7" x14ac:dyDescent="0.25">
      <c r="A20117" t="s">
        <v>8</v>
      </c>
      <c r="B20117" s="1" t="str">
        <f>"000402680 - RICH'S-COUNTRY KITCHEN"</f>
        <v>000402680 - RICH'S-COUNTRY KITCHEN</v>
      </c>
      <c r="C20117" t="s">
        <v>212</v>
      </c>
      <c r="D20117" s="1" t="str">
        <f t="shared" si="540"/>
        <v>PRG-1047545</v>
      </c>
      <c r="E20117" t="s">
        <v>213</v>
      </c>
      <c r="F20117" t="s">
        <v>4</v>
      </c>
      <c r="G20117" t="str">
        <f>""</f>
        <v/>
      </c>
    </row>
    <row r="20118" spans="1:7" x14ac:dyDescent="0.25">
      <c r="A20118" t="s">
        <v>8</v>
      </c>
      <c r="B20118" s="1" t="str">
        <f>"000065975 - RICH FOODS-AVI"</f>
        <v>000065975 - RICH FOODS-AVI</v>
      </c>
      <c r="C20118" t="s">
        <v>713</v>
      </c>
      <c r="D20118" s="1" t="str">
        <f t="shared" ref="D20118:D20156" si="541">"PRG-1047546"</f>
        <v>PRG-1047546</v>
      </c>
      <c r="E20118" t="s">
        <v>714</v>
      </c>
      <c r="F20118" t="s">
        <v>4</v>
      </c>
      <c r="G20118" t="str">
        <f>""</f>
        <v/>
      </c>
    </row>
    <row r="20119" spans="1:7" x14ac:dyDescent="0.25">
      <c r="A20119" t="s">
        <v>8</v>
      </c>
      <c r="B20119" s="1" t="str">
        <f>"000073986 - RICH FOODS-AVI"</f>
        <v>000073986 - RICH FOODS-AVI</v>
      </c>
      <c r="C20119" t="s">
        <v>713</v>
      </c>
      <c r="D20119" s="1" t="str">
        <f t="shared" si="541"/>
        <v>PRG-1047546</v>
      </c>
      <c r="E20119" t="s">
        <v>714</v>
      </c>
      <c r="F20119" t="s">
        <v>4</v>
      </c>
      <c r="G20119" t="str">
        <f>""</f>
        <v/>
      </c>
    </row>
    <row r="20120" spans="1:7" x14ac:dyDescent="0.25">
      <c r="A20120" t="s">
        <v>8</v>
      </c>
      <c r="B20120" s="1" t="str">
        <f>"000103152 - RICH FOODS-AVI"</f>
        <v>000103152 - RICH FOODS-AVI</v>
      </c>
      <c r="C20120" t="s">
        <v>713</v>
      </c>
      <c r="D20120" s="1" t="str">
        <f t="shared" si="541"/>
        <v>PRG-1047546</v>
      </c>
      <c r="E20120" t="s">
        <v>714</v>
      </c>
      <c r="F20120" t="s">
        <v>4</v>
      </c>
      <c r="G20120" t="str">
        <f>""</f>
        <v/>
      </c>
    </row>
    <row r="20121" spans="1:7" x14ac:dyDescent="0.25">
      <c r="A20121" t="s">
        <v>8</v>
      </c>
      <c r="B20121" s="1" t="str">
        <f>"000104945 - RICH FOODS-AVI"</f>
        <v>000104945 - RICH FOODS-AVI</v>
      </c>
      <c r="C20121" t="s">
        <v>713</v>
      </c>
      <c r="D20121" s="1" t="str">
        <f t="shared" si="541"/>
        <v>PRG-1047546</v>
      </c>
      <c r="E20121" t="s">
        <v>714</v>
      </c>
      <c r="F20121" t="s">
        <v>4</v>
      </c>
      <c r="G20121" t="str">
        <f>""</f>
        <v/>
      </c>
    </row>
    <row r="20122" spans="1:7" x14ac:dyDescent="0.25">
      <c r="A20122" t="s">
        <v>8</v>
      </c>
      <c r="B20122" s="1" t="str">
        <f>"000269998 - RICH FOODS-AVI"</f>
        <v>000269998 - RICH FOODS-AVI</v>
      </c>
      <c r="C20122" t="s">
        <v>713</v>
      </c>
      <c r="D20122" s="1" t="str">
        <f t="shared" si="541"/>
        <v>PRG-1047546</v>
      </c>
      <c r="E20122" t="s">
        <v>714</v>
      </c>
      <c r="F20122" t="s">
        <v>4</v>
      </c>
      <c r="G20122" t="str">
        <f>""</f>
        <v/>
      </c>
    </row>
    <row r="20123" spans="1:7" x14ac:dyDescent="0.25">
      <c r="A20123" t="s">
        <v>8</v>
      </c>
      <c r="B20123" s="1" t="str">
        <f>"000271324 - RICH FOODS-AVI"</f>
        <v>000271324 - RICH FOODS-AVI</v>
      </c>
      <c r="C20123" t="s">
        <v>713</v>
      </c>
      <c r="D20123" s="1" t="str">
        <f t="shared" si="541"/>
        <v>PRG-1047546</v>
      </c>
      <c r="E20123" t="s">
        <v>714</v>
      </c>
      <c r="F20123" t="s">
        <v>4</v>
      </c>
      <c r="G20123" t="str">
        <f>""</f>
        <v/>
      </c>
    </row>
    <row r="20124" spans="1:7" x14ac:dyDescent="0.25">
      <c r="A20124" t="s">
        <v>8</v>
      </c>
      <c r="B20124" s="1" t="str">
        <f>"000276802 - RICH FOODS-AVI"</f>
        <v>000276802 - RICH FOODS-AVI</v>
      </c>
      <c r="C20124" t="s">
        <v>713</v>
      </c>
      <c r="D20124" s="1" t="str">
        <f t="shared" si="541"/>
        <v>PRG-1047546</v>
      </c>
      <c r="E20124" t="s">
        <v>714</v>
      </c>
      <c r="F20124" t="s">
        <v>4</v>
      </c>
      <c r="G20124" t="str">
        <f>""</f>
        <v/>
      </c>
    </row>
    <row r="20125" spans="1:7" x14ac:dyDescent="0.25">
      <c r="A20125" t="s">
        <v>8</v>
      </c>
      <c r="B20125" s="1" t="str">
        <f>"000278707 - RICH FOODS-AVI"</f>
        <v>000278707 - RICH FOODS-AVI</v>
      </c>
      <c r="C20125" t="s">
        <v>713</v>
      </c>
      <c r="D20125" s="1" t="str">
        <f t="shared" si="541"/>
        <v>PRG-1047546</v>
      </c>
      <c r="E20125" t="s">
        <v>714</v>
      </c>
      <c r="F20125" t="s">
        <v>4</v>
      </c>
      <c r="G20125" t="str">
        <f>""</f>
        <v/>
      </c>
    </row>
    <row r="20126" spans="1:7" x14ac:dyDescent="0.25">
      <c r="A20126" t="s">
        <v>8</v>
      </c>
      <c r="B20126" s="1" t="str">
        <f>"000280715 - RICH FOODS-AVI"</f>
        <v>000280715 - RICH FOODS-AVI</v>
      </c>
      <c r="C20126" t="s">
        <v>713</v>
      </c>
      <c r="D20126" s="1" t="str">
        <f t="shared" si="541"/>
        <v>PRG-1047546</v>
      </c>
      <c r="E20126" t="s">
        <v>714</v>
      </c>
      <c r="F20126" t="s">
        <v>4</v>
      </c>
      <c r="G20126" t="str">
        <f>""</f>
        <v/>
      </c>
    </row>
    <row r="20127" spans="1:7" x14ac:dyDescent="0.25">
      <c r="A20127" t="s">
        <v>8</v>
      </c>
      <c r="B20127" s="1" t="str">
        <f>"000298068 - RICH FOODS-AVI"</f>
        <v>000298068 - RICH FOODS-AVI</v>
      </c>
      <c r="C20127" t="s">
        <v>713</v>
      </c>
      <c r="D20127" s="1" t="str">
        <f t="shared" si="541"/>
        <v>PRG-1047546</v>
      </c>
      <c r="E20127" t="s">
        <v>714</v>
      </c>
      <c r="F20127" t="s">
        <v>4</v>
      </c>
      <c r="G20127" t="str">
        <f>""</f>
        <v/>
      </c>
    </row>
    <row r="20128" spans="1:7" x14ac:dyDescent="0.25">
      <c r="A20128" t="s">
        <v>8</v>
      </c>
      <c r="B20128" s="1" t="str">
        <f>"000299919 - RICH FOODS-AVI"</f>
        <v>000299919 - RICH FOODS-AVI</v>
      </c>
      <c r="C20128" t="s">
        <v>713</v>
      </c>
      <c r="D20128" s="1" t="str">
        <f t="shared" si="541"/>
        <v>PRG-1047546</v>
      </c>
      <c r="E20128" t="s">
        <v>714</v>
      </c>
      <c r="F20128" t="s">
        <v>4</v>
      </c>
      <c r="G20128" t="str">
        <f>""</f>
        <v/>
      </c>
    </row>
    <row r="20129" spans="1:7" x14ac:dyDescent="0.25">
      <c r="A20129" t="s">
        <v>8</v>
      </c>
      <c r="B20129" s="1" t="str">
        <f>"000300749 - RICH FOODS-AVI"</f>
        <v>000300749 - RICH FOODS-AVI</v>
      </c>
      <c r="C20129" t="s">
        <v>713</v>
      </c>
      <c r="D20129" s="1" t="str">
        <f t="shared" si="541"/>
        <v>PRG-1047546</v>
      </c>
      <c r="E20129" t="s">
        <v>714</v>
      </c>
      <c r="F20129" t="s">
        <v>4</v>
      </c>
      <c r="G20129" t="str">
        <f>""</f>
        <v/>
      </c>
    </row>
    <row r="20130" spans="1:7" x14ac:dyDescent="0.25">
      <c r="A20130" t="s">
        <v>8</v>
      </c>
      <c r="B20130" s="1" t="str">
        <f>"000302733 - RICH FOODS-AVI"</f>
        <v>000302733 - RICH FOODS-AVI</v>
      </c>
      <c r="C20130" t="s">
        <v>713</v>
      </c>
      <c r="D20130" s="1" t="str">
        <f t="shared" si="541"/>
        <v>PRG-1047546</v>
      </c>
      <c r="E20130" t="s">
        <v>714</v>
      </c>
      <c r="F20130" t="s">
        <v>4</v>
      </c>
      <c r="G20130" t="str">
        <f>""</f>
        <v/>
      </c>
    </row>
    <row r="20131" spans="1:7" x14ac:dyDescent="0.25">
      <c r="A20131" t="s">
        <v>8</v>
      </c>
      <c r="B20131" s="1" t="str">
        <f>"000305495 - RICH FOODS-AVI"</f>
        <v>000305495 - RICH FOODS-AVI</v>
      </c>
      <c r="C20131" t="s">
        <v>713</v>
      </c>
      <c r="D20131" s="1" t="str">
        <f t="shared" si="541"/>
        <v>PRG-1047546</v>
      </c>
      <c r="E20131" t="s">
        <v>714</v>
      </c>
      <c r="F20131" t="s">
        <v>4</v>
      </c>
      <c r="G20131" t="str">
        <f>""</f>
        <v/>
      </c>
    </row>
    <row r="20132" spans="1:7" x14ac:dyDescent="0.25">
      <c r="A20132" t="s">
        <v>8</v>
      </c>
      <c r="B20132" s="1" t="str">
        <f>"000306710 - RICH FOODS-AVI"</f>
        <v>000306710 - RICH FOODS-AVI</v>
      </c>
      <c r="C20132" t="s">
        <v>713</v>
      </c>
      <c r="D20132" s="1" t="str">
        <f t="shared" si="541"/>
        <v>PRG-1047546</v>
      </c>
      <c r="E20132" t="s">
        <v>714</v>
      </c>
      <c r="F20132" t="s">
        <v>4</v>
      </c>
      <c r="G20132" t="str">
        <f>""</f>
        <v/>
      </c>
    </row>
    <row r="20133" spans="1:7" x14ac:dyDescent="0.25">
      <c r="A20133" t="s">
        <v>8</v>
      </c>
      <c r="B20133" s="1" t="str">
        <f>"000307422 - RICH FOODS-AVI"</f>
        <v>000307422 - RICH FOODS-AVI</v>
      </c>
      <c r="C20133" t="s">
        <v>713</v>
      </c>
      <c r="D20133" s="1" t="str">
        <f t="shared" si="541"/>
        <v>PRG-1047546</v>
      </c>
      <c r="E20133" t="s">
        <v>714</v>
      </c>
      <c r="F20133" t="s">
        <v>4</v>
      </c>
      <c r="G20133" t="str">
        <f>""</f>
        <v/>
      </c>
    </row>
    <row r="20134" spans="1:7" x14ac:dyDescent="0.25">
      <c r="A20134" t="s">
        <v>8</v>
      </c>
      <c r="B20134" s="1" t="str">
        <f>"000311864 - RICH FOODS-AVI"</f>
        <v>000311864 - RICH FOODS-AVI</v>
      </c>
      <c r="C20134" t="s">
        <v>713</v>
      </c>
      <c r="D20134" s="1" t="str">
        <f t="shared" si="541"/>
        <v>PRG-1047546</v>
      </c>
      <c r="E20134" t="s">
        <v>714</v>
      </c>
      <c r="F20134" t="s">
        <v>4</v>
      </c>
      <c r="G20134" t="str">
        <f>""</f>
        <v/>
      </c>
    </row>
    <row r="20135" spans="1:7" x14ac:dyDescent="0.25">
      <c r="A20135" t="s">
        <v>8</v>
      </c>
      <c r="B20135" s="1" t="str">
        <f>"000313549 - RICH FOODS-AVI"</f>
        <v>000313549 - RICH FOODS-AVI</v>
      </c>
      <c r="C20135" t="s">
        <v>713</v>
      </c>
      <c r="D20135" s="1" t="str">
        <f t="shared" si="541"/>
        <v>PRG-1047546</v>
      </c>
      <c r="E20135" t="s">
        <v>714</v>
      </c>
      <c r="F20135" t="s">
        <v>4</v>
      </c>
      <c r="G20135" t="str">
        <f>""</f>
        <v/>
      </c>
    </row>
    <row r="20136" spans="1:7" x14ac:dyDescent="0.25">
      <c r="A20136" t="s">
        <v>8</v>
      </c>
      <c r="B20136" s="1" t="str">
        <f>"000315033 - RICH FOODS-AVI"</f>
        <v>000315033 - RICH FOODS-AVI</v>
      </c>
      <c r="C20136" t="s">
        <v>713</v>
      </c>
      <c r="D20136" s="1" t="str">
        <f t="shared" si="541"/>
        <v>PRG-1047546</v>
      </c>
      <c r="E20136" t="s">
        <v>714</v>
      </c>
      <c r="F20136" t="s">
        <v>4</v>
      </c>
      <c r="G20136" t="str">
        <f>""</f>
        <v/>
      </c>
    </row>
    <row r="20137" spans="1:7" x14ac:dyDescent="0.25">
      <c r="A20137" t="s">
        <v>8</v>
      </c>
      <c r="B20137" s="1" t="str">
        <f>"000320456 - RICH FOODS-AVI"</f>
        <v>000320456 - RICH FOODS-AVI</v>
      </c>
      <c r="C20137" t="s">
        <v>713</v>
      </c>
      <c r="D20137" s="1" t="str">
        <f t="shared" si="541"/>
        <v>PRG-1047546</v>
      </c>
      <c r="E20137" t="s">
        <v>714</v>
      </c>
      <c r="F20137" t="s">
        <v>4</v>
      </c>
      <c r="G20137" t="str">
        <f>""</f>
        <v/>
      </c>
    </row>
    <row r="20138" spans="1:7" x14ac:dyDescent="0.25">
      <c r="A20138" t="s">
        <v>8</v>
      </c>
      <c r="B20138" s="1" t="str">
        <f>"000322104 - RICH FOODS-AVI"</f>
        <v>000322104 - RICH FOODS-AVI</v>
      </c>
      <c r="C20138" t="s">
        <v>713</v>
      </c>
      <c r="D20138" s="1" t="str">
        <f t="shared" si="541"/>
        <v>PRG-1047546</v>
      </c>
      <c r="E20138" t="s">
        <v>714</v>
      </c>
      <c r="F20138" t="s">
        <v>4</v>
      </c>
      <c r="G20138" t="str">
        <f>""</f>
        <v/>
      </c>
    </row>
    <row r="20139" spans="1:7" x14ac:dyDescent="0.25">
      <c r="A20139" t="s">
        <v>8</v>
      </c>
      <c r="B20139" s="1" t="str">
        <f>"000322476 - RICH FOODS-AVI"</f>
        <v>000322476 - RICH FOODS-AVI</v>
      </c>
      <c r="C20139" t="s">
        <v>713</v>
      </c>
      <c r="D20139" s="1" t="str">
        <f t="shared" si="541"/>
        <v>PRG-1047546</v>
      </c>
      <c r="E20139" t="s">
        <v>714</v>
      </c>
      <c r="F20139" t="s">
        <v>4</v>
      </c>
      <c r="G20139" t="str">
        <f>""</f>
        <v/>
      </c>
    </row>
    <row r="20140" spans="1:7" x14ac:dyDescent="0.25">
      <c r="A20140" t="s">
        <v>8</v>
      </c>
      <c r="B20140" s="1" t="str">
        <f>"000325734 - RICH FOODS-AVI"</f>
        <v>000325734 - RICH FOODS-AVI</v>
      </c>
      <c r="C20140" t="s">
        <v>713</v>
      </c>
      <c r="D20140" s="1" t="str">
        <f t="shared" si="541"/>
        <v>PRG-1047546</v>
      </c>
      <c r="E20140" t="s">
        <v>714</v>
      </c>
      <c r="F20140" t="s">
        <v>4</v>
      </c>
      <c r="G20140" t="str">
        <f>""</f>
        <v/>
      </c>
    </row>
    <row r="20141" spans="1:7" x14ac:dyDescent="0.25">
      <c r="A20141" t="s">
        <v>8</v>
      </c>
      <c r="B20141" s="1" t="str">
        <f>"000327647 - RICH FOODS-AVI"</f>
        <v>000327647 - RICH FOODS-AVI</v>
      </c>
      <c r="C20141" t="s">
        <v>713</v>
      </c>
      <c r="D20141" s="1" t="str">
        <f t="shared" si="541"/>
        <v>PRG-1047546</v>
      </c>
      <c r="E20141" t="s">
        <v>714</v>
      </c>
      <c r="F20141" t="s">
        <v>4</v>
      </c>
      <c r="G20141" t="str">
        <f>""</f>
        <v/>
      </c>
    </row>
    <row r="20142" spans="1:7" x14ac:dyDescent="0.25">
      <c r="A20142" t="s">
        <v>8</v>
      </c>
      <c r="B20142" s="1" t="str">
        <f>"000329788 - RICH FOODS-AVI"</f>
        <v>000329788 - RICH FOODS-AVI</v>
      </c>
      <c r="C20142" t="s">
        <v>713</v>
      </c>
      <c r="D20142" s="1" t="str">
        <f t="shared" si="541"/>
        <v>PRG-1047546</v>
      </c>
      <c r="E20142" t="s">
        <v>714</v>
      </c>
      <c r="F20142" t="s">
        <v>4</v>
      </c>
      <c r="G20142" t="str">
        <f>""</f>
        <v/>
      </c>
    </row>
    <row r="20143" spans="1:7" x14ac:dyDescent="0.25">
      <c r="A20143" t="s">
        <v>8</v>
      </c>
      <c r="B20143" s="1" t="str">
        <f>"000330351 - RICH FOODS-AVI"</f>
        <v>000330351 - RICH FOODS-AVI</v>
      </c>
      <c r="C20143" t="s">
        <v>713</v>
      </c>
      <c r="D20143" s="1" t="str">
        <f t="shared" si="541"/>
        <v>PRG-1047546</v>
      </c>
      <c r="E20143" t="s">
        <v>714</v>
      </c>
      <c r="F20143" t="s">
        <v>4</v>
      </c>
      <c r="G20143" t="str">
        <f>""</f>
        <v/>
      </c>
    </row>
    <row r="20144" spans="1:7" x14ac:dyDescent="0.25">
      <c r="A20144" t="s">
        <v>8</v>
      </c>
      <c r="B20144" s="1" t="str">
        <f>"000330932 - RICH FOODS-AVI"</f>
        <v>000330932 - RICH FOODS-AVI</v>
      </c>
      <c r="C20144" t="s">
        <v>713</v>
      </c>
      <c r="D20144" s="1" t="str">
        <f t="shared" si="541"/>
        <v>PRG-1047546</v>
      </c>
      <c r="E20144" t="s">
        <v>714</v>
      </c>
      <c r="F20144" t="s">
        <v>4</v>
      </c>
      <c r="G20144" t="str">
        <f>""</f>
        <v/>
      </c>
    </row>
    <row r="20145" spans="1:7" x14ac:dyDescent="0.25">
      <c r="A20145" t="s">
        <v>8</v>
      </c>
      <c r="B20145" s="1" t="str">
        <f>"000333009 - RICH FOODS-AVI"</f>
        <v>000333009 - RICH FOODS-AVI</v>
      </c>
      <c r="C20145" t="s">
        <v>713</v>
      </c>
      <c r="D20145" s="1" t="str">
        <f t="shared" si="541"/>
        <v>PRG-1047546</v>
      </c>
      <c r="E20145" t="s">
        <v>714</v>
      </c>
      <c r="F20145" t="s">
        <v>4</v>
      </c>
      <c r="G20145" t="str">
        <f>""</f>
        <v/>
      </c>
    </row>
    <row r="20146" spans="1:7" x14ac:dyDescent="0.25">
      <c r="A20146" t="s">
        <v>8</v>
      </c>
      <c r="B20146" s="1" t="str">
        <f>"000366212 - RICH FOODS-AVI"</f>
        <v>000366212 - RICH FOODS-AVI</v>
      </c>
      <c r="C20146" t="s">
        <v>713</v>
      </c>
      <c r="D20146" s="1" t="str">
        <f t="shared" si="541"/>
        <v>PRG-1047546</v>
      </c>
      <c r="E20146" t="s">
        <v>714</v>
      </c>
      <c r="F20146" t="s">
        <v>4</v>
      </c>
      <c r="G20146" t="str">
        <f>""</f>
        <v/>
      </c>
    </row>
    <row r="20147" spans="1:7" x14ac:dyDescent="0.25">
      <c r="A20147" t="s">
        <v>8</v>
      </c>
      <c r="B20147" s="1" t="str">
        <f>"000388562 - RICH FOODS-AVI"</f>
        <v>000388562 - RICH FOODS-AVI</v>
      </c>
      <c r="C20147" t="s">
        <v>713</v>
      </c>
      <c r="D20147" s="1" t="str">
        <f t="shared" si="541"/>
        <v>PRG-1047546</v>
      </c>
      <c r="E20147" t="s">
        <v>714</v>
      </c>
      <c r="F20147" t="s">
        <v>4</v>
      </c>
      <c r="G20147" t="str">
        <f>""</f>
        <v/>
      </c>
    </row>
    <row r="20148" spans="1:7" x14ac:dyDescent="0.25">
      <c r="A20148" t="s">
        <v>8</v>
      </c>
      <c r="B20148" s="1" t="str">
        <f>"000392326 - RICH FOODS-AVI"</f>
        <v>000392326 - RICH FOODS-AVI</v>
      </c>
      <c r="C20148" t="s">
        <v>713</v>
      </c>
      <c r="D20148" s="1" t="str">
        <f t="shared" si="541"/>
        <v>PRG-1047546</v>
      </c>
      <c r="E20148" t="s">
        <v>714</v>
      </c>
      <c r="F20148" t="s">
        <v>4</v>
      </c>
      <c r="G20148" t="str">
        <f>""</f>
        <v/>
      </c>
    </row>
    <row r="20149" spans="1:7" x14ac:dyDescent="0.25">
      <c r="A20149" t="s">
        <v>8</v>
      </c>
      <c r="B20149" s="1" t="str">
        <f>"000392548 - RICH FOODS-AVI"</f>
        <v>000392548 - RICH FOODS-AVI</v>
      </c>
      <c r="C20149" t="s">
        <v>713</v>
      </c>
      <c r="D20149" s="1" t="str">
        <f t="shared" si="541"/>
        <v>PRG-1047546</v>
      </c>
      <c r="E20149" t="s">
        <v>714</v>
      </c>
      <c r="F20149" t="s">
        <v>4</v>
      </c>
      <c r="G20149" t="str">
        <f>""</f>
        <v/>
      </c>
    </row>
    <row r="20150" spans="1:7" x14ac:dyDescent="0.25">
      <c r="A20150" t="s">
        <v>8</v>
      </c>
      <c r="B20150" s="1" t="str">
        <f>"000394454 - RICH FOODS-AVI"</f>
        <v>000394454 - RICH FOODS-AVI</v>
      </c>
      <c r="C20150" t="s">
        <v>713</v>
      </c>
      <c r="D20150" s="1" t="str">
        <f t="shared" si="541"/>
        <v>PRG-1047546</v>
      </c>
      <c r="E20150" t="s">
        <v>714</v>
      </c>
      <c r="F20150" t="s">
        <v>4</v>
      </c>
      <c r="G20150" t="str">
        <f>""</f>
        <v/>
      </c>
    </row>
    <row r="20151" spans="1:7" x14ac:dyDescent="0.25">
      <c r="A20151" t="s">
        <v>8</v>
      </c>
      <c r="B20151" s="1" t="str">
        <f>"000396808 - RICH FOODS-AVI"</f>
        <v>000396808 - RICH FOODS-AVI</v>
      </c>
      <c r="C20151" t="s">
        <v>713</v>
      </c>
      <c r="D20151" s="1" t="str">
        <f t="shared" si="541"/>
        <v>PRG-1047546</v>
      </c>
      <c r="E20151" t="s">
        <v>714</v>
      </c>
      <c r="F20151" t="s">
        <v>4</v>
      </c>
      <c r="G20151" t="str">
        <f>""</f>
        <v/>
      </c>
    </row>
    <row r="20152" spans="1:7" x14ac:dyDescent="0.25">
      <c r="A20152" t="s">
        <v>8</v>
      </c>
      <c r="B20152" s="1" t="str">
        <f>"000400188 - RICH FOODS-AVI"</f>
        <v>000400188 - RICH FOODS-AVI</v>
      </c>
      <c r="C20152" t="s">
        <v>713</v>
      </c>
      <c r="D20152" s="1" t="str">
        <f t="shared" si="541"/>
        <v>PRG-1047546</v>
      </c>
      <c r="E20152" t="s">
        <v>714</v>
      </c>
      <c r="F20152" t="s">
        <v>4</v>
      </c>
      <c r="G20152" t="str">
        <f>""</f>
        <v/>
      </c>
    </row>
    <row r="20153" spans="1:7" x14ac:dyDescent="0.25">
      <c r="A20153" t="s">
        <v>8</v>
      </c>
      <c r="B20153" s="1" t="str">
        <f>"000412766 - RICH FOODS-AVI"</f>
        <v>000412766 - RICH FOODS-AVI</v>
      </c>
      <c r="C20153" t="s">
        <v>713</v>
      </c>
      <c r="D20153" s="1" t="str">
        <f t="shared" si="541"/>
        <v>PRG-1047546</v>
      </c>
      <c r="E20153" t="s">
        <v>714</v>
      </c>
      <c r="F20153" t="s">
        <v>4</v>
      </c>
      <c r="G20153" t="str">
        <f>""</f>
        <v/>
      </c>
    </row>
    <row r="20154" spans="1:7" x14ac:dyDescent="0.25">
      <c r="A20154" t="s">
        <v>8</v>
      </c>
      <c r="B20154" s="1" t="str">
        <f>"000414961 - RICH FOODS-AVI"</f>
        <v>000414961 - RICH FOODS-AVI</v>
      </c>
      <c r="C20154" t="s">
        <v>713</v>
      </c>
      <c r="D20154" s="1" t="str">
        <f t="shared" si="541"/>
        <v>PRG-1047546</v>
      </c>
      <c r="E20154" t="s">
        <v>714</v>
      </c>
      <c r="F20154" t="s">
        <v>4</v>
      </c>
      <c r="G20154" t="str">
        <f>""</f>
        <v/>
      </c>
    </row>
    <row r="20155" spans="1:7" x14ac:dyDescent="0.25">
      <c r="A20155" t="s">
        <v>8</v>
      </c>
      <c r="B20155" s="1" t="str">
        <f>"000416646 - RICH FOODS-AVI"</f>
        <v>000416646 - RICH FOODS-AVI</v>
      </c>
      <c r="C20155" t="s">
        <v>713</v>
      </c>
      <c r="D20155" s="1" t="str">
        <f t="shared" si="541"/>
        <v>PRG-1047546</v>
      </c>
      <c r="E20155" t="s">
        <v>714</v>
      </c>
      <c r="F20155" t="s">
        <v>4</v>
      </c>
      <c r="G20155" t="str">
        <f>""</f>
        <v/>
      </c>
    </row>
    <row r="20156" spans="1:7" x14ac:dyDescent="0.25">
      <c r="A20156" t="s">
        <v>8</v>
      </c>
      <c r="B20156" s="1" t="str">
        <f>"000423432 - RICH FOODS-AVI"</f>
        <v>000423432 - RICH FOODS-AVI</v>
      </c>
      <c r="C20156" t="s">
        <v>713</v>
      </c>
      <c r="D20156" s="1" t="str">
        <f t="shared" si="541"/>
        <v>PRG-1047546</v>
      </c>
      <c r="E20156" t="s">
        <v>714</v>
      </c>
      <c r="F20156" t="s">
        <v>4</v>
      </c>
      <c r="G20156" t="str">
        <f>""</f>
        <v/>
      </c>
    </row>
    <row r="20157" spans="1:7" x14ac:dyDescent="0.25">
      <c r="A20157" t="s">
        <v>8</v>
      </c>
      <c r="B20157" s="1" t="str">
        <f>"6026K824"</f>
        <v>6026K824</v>
      </c>
      <c r="C20157" t="s">
        <v>5094</v>
      </c>
      <c r="D20157" s="1" t="str">
        <f>"PRG-1047547"</f>
        <v>PRG-1047547</v>
      </c>
      <c r="E20157" t="s">
        <v>5095</v>
      </c>
      <c r="F20157" t="s">
        <v>5</v>
      </c>
      <c r="G20157" t="str">
        <f>""</f>
        <v/>
      </c>
    </row>
    <row r="20158" spans="1:7" x14ac:dyDescent="0.25">
      <c r="A20158" t="s">
        <v>8</v>
      </c>
      <c r="B20158" s="1" t="str">
        <f>"60297783"</f>
        <v>60297783</v>
      </c>
      <c r="C20158" t="s">
        <v>5245</v>
      </c>
      <c r="D20158" s="1" t="str">
        <f>"PRG-1047547"</f>
        <v>PRG-1047547</v>
      </c>
      <c r="E20158" t="s">
        <v>5095</v>
      </c>
      <c r="F20158" t="s">
        <v>5</v>
      </c>
      <c r="G20158" t="str">
        <f>""</f>
        <v/>
      </c>
    </row>
    <row r="20159" spans="1:7" x14ac:dyDescent="0.25">
      <c r="A20159" t="s">
        <v>8</v>
      </c>
      <c r="B20159" s="1" t="str">
        <f>"000004039 - RICH FOODS-DELAWARE"</f>
        <v>000004039 - RICH FOODS-DELAWARE</v>
      </c>
      <c r="C20159" t="s">
        <v>190</v>
      </c>
      <c r="D20159" s="1" t="str">
        <f t="shared" ref="D20159:D20192" si="542">"PRG-1047548"</f>
        <v>PRG-1047548</v>
      </c>
      <c r="E20159" t="s">
        <v>191</v>
      </c>
      <c r="F20159" t="s">
        <v>4</v>
      </c>
      <c r="G20159" t="str">
        <f>""</f>
        <v/>
      </c>
    </row>
    <row r="20160" spans="1:7" x14ac:dyDescent="0.25">
      <c r="A20160" t="s">
        <v>8</v>
      </c>
      <c r="B20160" s="1" t="str">
        <f>"000020900 - RICH-DELAWARE"</f>
        <v>000020900 - RICH-DELAWARE</v>
      </c>
      <c r="C20160" t="s">
        <v>405</v>
      </c>
      <c r="D20160" s="1" t="str">
        <f t="shared" si="542"/>
        <v>PRG-1047548</v>
      </c>
      <c r="E20160" t="s">
        <v>191</v>
      </c>
      <c r="F20160" t="s">
        <v>4</v>
      </c>
      <c r="G20160" t="str">
        <f>""</f>
        <v/>
      </c>
    </row>
    <row r="20161" spans="1:7" x14ac:dyDescent="0.25">
      <c r="A20161" t="s">
        <v>8</v>
      </c>
      <c r="B20161" s="1" t="str">
        <f>"000032229 - RICH-DELAWARE"</f>
        <v>000032229 - RICH-DELAWARE</v>
      </c>
      <c r="C20161" t="s">
        <v>405</v>
      </c>
      <c r="D20161" s="1" t="str">
        <f t="shared" si="542"/>
        <v>PRG-1047548</v>
      </c>
      <c r="E20161" t="s">
        <v>191</v>
      </c>
      <c r="F20161" t="s">
        <v>4</v>
      </c>
      <c r="G20161" t="str">
        <f>""</f>
        <v/>
      </c>
    </row>
    <row r="20162" spans="1:7" x14ac:dyDescent="0.25">
      <c r="A20162" t="s">
        <v>8</v>
      </c>
      <c r="B20162" s="1" t="str">
        <f>"000062053 - RICH FOODS-DELAWARE"</f>
        <v>000062053 - RICH FOODS-DELAWARE</v>
      </c>
      <c r="C20162" t="s">
        <v>190</v>
      </c>
      <c r="D20162" s="1" t="str">
        <f t="shared" si="542"/>
        <v>PRG-1047548</v>
      </c>
      <c r="E20162" t="s">
        <v>191</v>
      </c>
      <c r="F20162" t="s">
        <v>4</v>
      </c>
      <c r="G20162" t="str">
        <f>""</f>
        <v/>
      </c>
    </row>
    <row r="20163" spans="1:7" x14ac:dyDescent="0.25">
      <c r="A20163" t="s">
        <v>8</v>
      </c>
      <c r="B20163" s="1" t="str">
        <f>"000063151 - RICH FOODS-DELAWARE"</f>
        <v>000063151 - RICH FOODS-DELAWARE</v>
      </c>
      <c r="C20163" t="s">
        <v>190</v>
      </c>
      <c r="D20163" s="1" t="str">
        <f t="shared" si="542"/>
        <v>PRG-1047548</v>
      </c>
      <c r="E20163" t="s">
        <v>191</v>
      </c>
      <c r="F20163" t="s">
        <v>4</v>
      </c>
      <c r="G20163" t="str">
        <f>""</f>
        <v/>
      </c>
    </row>
    <row r="20164" spans="1:7" x14ac:dyDescent="0.25">
      <c r="A20164" t="s">
        <v>8</v>
      </c>
      <c r="B20164" s="1" t="str">
        <f>"000070264 - RICH FOODS-DELAWARE"</f>
        <v>000070264 - RICH FOODS-DELAWARE</v>
      </c>
      <c r="C20164" t="s">
        <v>190</v>
      </c>
      <c r="D20164" s="1" t="str">
        <f t="shared" si="542"/>
        <v>PRG-1047548</v>
      </c>
      <c r="E20164" t="s">
        <v>191</v>
      </c>
      <c r="F20164" t="s">
        <v>4</v>
      </c>
      <c r="G20164" t="str">
        <f>""</f>
        <v/>
      </c>
    </row>
    <row r="20165" spans="1:7" x14ac:dyDescent="0.25">
      <c r="A20165" t="s">
        <v>8</v>
      </c>
      <c r="B20165" s="1" t="str">
        <f>"000100893 - RICH FOODS-DELAWARE"</f>
        <v>000100893 - RICH FOODS-DELAWARE</v>
      </c>
      <c r="C20165" t="s">
        <v>190</v>
      </c>
      <c r="D20165" s="1" t="str">
        <f t="shared" si="542"/>
        <v>PRG-1047548</v>
      </c>
      <c r="E20165" t="s">
        <v>191</v>
      </c>
      <c r="F20165" t="s">
        <v>4</v>
      </c>
      <c r="G20165" t="str">
        <f>""</f>
        <v/>
      </c>
    </row>
    <row r="20166" spans="1:7" x14ac:dyDescent="0.25">
      <c r="A20166" t="s">
        <v>8</v>
      </c>
      <c r="B20166" s="1" t="str">
        <f>"000166709 - RICH FOODS-DELAWARE"</f>
        <v>000166709 - RICH FOODS-DELAWARE</v>
      </c>
      <c r="C20166" t="s">
        <v>190</v>
      </c>
      <c r="D20166" s="1" t="str">
        <f t="shared" si="542"/>
        <v>PRG-1047548</v>
      </c>
      <c r="E20166" t="s">
        <v>191</v>
      </c>
      <c r="F20166" t="s">
        <v>4</v>
      </c>
      <c r="G20166" t="str">
        <f>""</f>
        <v/>
      </c>
    </row>
    <row r="20167" spans="1:7" x14ac:dyDescent="0.25">
      <c r="A20167" t="s">
        <v>8</v>
      </c>
      <c r="B20167" s="1" t="str">
        <f>"000250317 - RICH-DELAWARE"</f>
        <v>000250317 - RICH-DELAWARE</v>
      </c>
      <c r="C20167" t="s">
        <v>405</v>
      </c>
      <c r="D20167" s="1" t="str">
        <f t="shared" si="542"/>
        <v>PRG-1047548</v>
      </c>
      <c r="E20167" t="s">
        <v>191</v>
      </c>
      <c r="F20167" t="s">
        <v>4</v>
      </c>
      <c r="G20167" t="str">
        <f>""</f>
        <v/>
      </c>
    </row>
    <row r="20168" spans="1:7" x14ac:dyDescent="0.25">
      <c r="A20168" t="s">
        <v>8</v>
      </c>
      <c r="B20168" s="1" t="str">
        <f>"000253863 - RICH FOODS-DELAWARE"</f>
        <v>000253863 - RICH FOODS-DELAWARE</v>
      </c>
      <c r="C20168" t="s">
        <v>190</v>
      </c>
      <c r="D20168" s="1" t="str">
        <f t="shared" si="542"/>
        <v>PRG-1047548</v>
      </c>
      <c r="E20168" t="s">
        <v>191</v>
      </c>
      <c r="F20168" t="s">
        <v>4</v>
      </c>
      <c r="G20168" t="str">
        <f>""</f>
        <v/>
      </c>
    </row>
    <row r="20169" spans="1:7" x14ac:dyDescent="0.25">
      <c r="A20169" t="s">
        <v>8</v>
      </c>
      <c r="B20169" s="1" t="str">
        <f>"000257838 - RICH FOODS-DELAWARE"</f>
        <v>000257838 - RICH FOODS-DELAWARE</v>
      </c>
      <c r="C20169" t="s">
        <v>190</v>
      </c>
      <c r="D20169" s="1" t="str">
        <f t="shared" si="542"/>
        <v>PRG-1047548</v>
      </c>
      <c r="E20169" t="s">
        <v>191</v>
      </c>
      <c r="F20169" t="s">
        <v>4</v>
      </c>
      <c r="G20169" t="str">
        <f>""</f>
        <v/>
      </c>
    </row>
    <row r="20170" spans="1:7" x14ac:dyDescent="0.25">
      <c r="A20170" t="s">
        <v>8</v>
      </c>
      <c r="B20170" s="1" t="str">
        <f>"000271494 - RICH-DELAWARE"</f>
        <v>000271494 - RICH-DELAWARE</v>
      </c>
      <c r="C20170" t="s">
        <v>405</v>
      </c>
      <c r="D20170" s="1" t="str">
        <f t="shared" si="542"/>
        <v>PRG-1047548</v>
      </c>
      <c r="E20170" t="s">
        <v>191</v>
      </c>
      <c r="F20170" t="s">
        <v>4</v>
      </c>
      <c r="G20170" t="str">
        <f>""</f>
        <v/>
      </c>
    </row>
    <row r="20171" spans="1:7" x14ac:dyDescent="0.25">
      <c r="A20171" t="s">
        <v>8</v>
      </c>
      <c r="B20171" s="1" t="str">
        <f>"000271719 - RICH FOODS-DELAWARE"</f>
        <v>000271719 - RICH FOODS-DELAWARE</v>
      </c>
      <c r="C20171" t="s">
        <v>190</v>
      </c>
      <c r="D20171" s="1" t="str">
        <f t="shared" si="542"/>
        <v>PRG-1047548</v>
      </c>
      <c r="E20171" t="s">
        <v>191</v>
      </c>
      <c r="F20171" t="s">
        <v>4</v>
      </c>
      <c r="G20171" t="str">
        <f>""</f>
        <v/>
      </c>
    </row>
    <row r="20172" spans="1:7" x14ac:dyDescent="0.25">
      <c r="A20172" t="s">
        <v>8</v>
      </c>
      <c r="B20172" s="1" t="str">
        <f>"000276347 - RICH FOODS-DELAWARE"</f>
        <v>000276347 - RICH FOODS-DELAWARE</v>
      </c>
      <c r="C20172" t="s">
        <v>190</v>
      </c>
      <c r="D20172" s="1" t="str">
        <f t="shared" si="542"/>
        <v>PRG-1047548</v>
      </c>
      <c r="E20172" t="s">
        <v>191</v>
      </c>
      <c r="F20172" t="s">
        <v>4</v>
      </c>
      <c r="G20172" t="str">
        <f>""</f>
        <v/>
      </c>
    </row>
    <row r="20173" spans="1:7" x14ac:dyDescent="0.25">
      <c r="A20173" t="s">
        <v>8</v>
      </c>
      <c r="B20173" s="1" t="str">
        <f>"000277435 - RICH-DELAWARE"</f>
        <v>000277435 - RICH-DELAWARE</v>
      </c>
      <c r="C20173" t="s">
        <v>405</v>
      </c>
      <c r="D20173" s="1" t="str">
        <f t="shared" si="542"/>
        <v>PRG-1047548</v>
      </c>
      <c r="E20173" t="s">
        <v>191</v>
      </c>
      <c r="F20173" t="s">
        <v>4</v>
      </c>
      <c r="G20173" t="str">
        <f>""</f>
        <v/>
      </c>
    </row>
    <row r="20174" spans="1:7" x14ac:dyDescent="0.25">
      <c r="A20174" t="s">
        <v>8</v>
      </c>
      <c r="B20174" s="1" t="str">
        <f>"000282690 - RICH FOODS-DELAWARE"</f>
        <v>000282690 - RICH FOODS-DELAWARE</v>
      </c>
      <c r="C20174" t="s">
        <v>190</v>
      </c>
      <c r="D20174" s="1" t="str">
        <f t="shared" si="542"/>
        <v>PRG-1047548</v>
      </c>
      <c r="E20174" t="s">
        <v>191</v>
      </c>
      <c r="F20174" t="s">
        <v>4</v>
      </c>
      <c r="G20174" t="str">
        <f>""</f>
        <v/>
      </c>
    </row>
    <row r="20175" spans="1:7" x14ac:dyDescent="0.25">
      <c r="A20175" t="s">
        <v>8</v>
      </c>
      <c r="B20175" s="1" t="str">
        <f>"000288190 - RICH-DELAWARE"</f>
        <v>000288190 - RICH-DELAWARE</v>
      </c>
      <c r="C20175" t="s">
        <v>405</v>
      </c>
      <c r="D20175" s="1" t="str">
        <f t="shared" si="542"/>
        <v>PRG-1047548</v>
      </c>
      <c r="E20175" t="s">
        <v>191</v>
      </c>
      <c r="F20175" t="s">
        <v>4</v>
      </c>
      <c r="G20175" t="str">
        <f>""</f>
        <v/>
      </c>
    </row>
    <row r="20176" spans="1:7" x14ac:dyDescent="0.25">
      <c r="A20176" t="s">
        <v>8</v>
      </c>
      <c r="B20176" s="1" t="str">
        <f>"000292671 - RICH-DELAWARE"</f>
        <v>000292671 - RICH-DELAWARE</v>
      </c>
      <c r="C20176" t="s">
        <v>405</v>
      </c>
      <c r="D20176" s="1" t="str">
        <f t="shared" si="542"/>
        <v>PRG-1047548</v>
      </c>
      <c r="E20176" t="s">
        <v>191</v>
      </c>
      <c r="F20176" t="s">
        <v>4</v>
      </c>
      <c r="G20176" t="str">
        <f>""</f>
        <v/>
      </c>
    </row>
    <row r="20177" spans="1:7" x14ac:dyDescent="0.25">
      <c r="A20177" t="s">
        <v>8</v>
      </c>
      <c r="B20177" s="1" t="str">
        <f>"000298203 - RICH FOODS-DELAWARE"</f>
        <v>000298203 - RICH FOODS-DELAWARE</v>
      </c>
      <c r="C20177" t="s">
        <v>190</v>
      </c>
      <c r="D20177" s="1" t="str">
        <f t="shared" si="542"/>
        <v>PRG-1047548</v>
      </c>
      <c r="E20177" t="s">
        <v>191</v>
      </c>
      <c r="F20177" t="s">
        <v>4</v>
      </c>
      <c r="G20177" t="str">
        <f>""</f>
        <v/>
      </c>
    </row>
    <row r="20178" spans="1:7" x14ac:dyDescent="0.25">
      <c r="A20178" t="s">
        <v>8</v>
      </c>
      <c r="B20178" s="1" t="str">
        <f>"000299693 - RICH-DELAWARE"</f>
        <v>000299693 - RICH-DELAWARE</v>
      </c>
      <c r="C20178" t="s">
        <v>405</v>
      </c>
      <c r="D20178" s="1" t="str">
        <f t="shared" si="542"/>
        <v>PRG-1047548</v>
      </c>
      <c r="E20178" t="s">
        <v>191</v>
      </c>
      <c r="F20178" t="s">
        <v>4</v>
      </c>
      <c r="G20178" t="str">
        <f>""</f>
        <v/>
      </c>
    </row>
    <row r="20179" spans="1:7" x14ac:dyDescent="0.25">
      <c r="A20179" t="s">
        <v>8</v>
      </c>
      <c r="B20179" s="1" t="str">
        <f>"000318137 - RICH FOODS-DELAWARE"</f>
        <v>000318137 - RICH FOODS-DELAWARE</v>
      </c>
      <c r="C20179" t="s">
        <v>190</v>
      </c>
      <c r="D20179" s="1" t="str">
        <f t="shared" si="542"/>
        <v>PRG-1047548</v>
      </c>
      <c r="E20179" t="s">
        <v>191</v>
      </c>
      <c r="F20179" t="s">
        <v>4</v>
      </c>
      <c r="G20179" t="str">
        <f>""</f>
        <v/>
      </c>
    </row>
    <row r="20180" spans="1:7" x14ac:dyDescent="0.25">
      <c r="A20180" t="s">
        <v>8</v>
      </c>
      <c r="B20180" s="1" t="str">
        <f>"000323091 - RICH FOODS-DELAWARE"</f>
        <v>000323091 - RICH FOODS-DELAWARE</v>
      </c>
      <c r="C20180" t="s">
        <v>190</v>
      </c>
      <c r="D20180" s="1" t="str">
        <f t="shared" si="542"/>
        <v>PRG-1047548</v>
      </c>
      <c r="E20180" t="s">
        <v>191</v>
      </c>
      <c r="F20180" t="s">
        <v>4</v>
      </c>
      <c r="G20180" t="str">
        <f>""</f>
        <v/>
      </c>
    </row>
    <row r="20181" spans="1:7" x14ac:dyDescent="0.25">
      <c r="A20181" t="s">
        <v>8</v>
      </c>
      <c r="B20181" s="1" t="str">
        <f>"000327284 - RICH FOODS-DELAWARE"</f>
        <v>000327284 - RICH FOODS-DELAWARE</v>
      </c>
      <c r="C20181" t="s">
        <v>190</v>
      </c>
      <c r="D20181" s="1" t="str">
        <f t="shared" si="542"/>
        <v>PRG-1047548</v>
      </c>
      <c r="E20181" t="s">
        <v>191</v>
      </c>
      <c r="F20181" t="s">
        <v>4</v>
      </c>
      <c r="G20181" t="str">
        <f>""</f>
        <v/>
      </c>
    </row>
    <row r="20182" spans="1:7" x14ac:dyDescent="0.25">
      <c r="A20182" t="s">
        <v>8</v>
      </c>
      <c r="B20182" s="1" t="str">
        <f>"000328940 - RICH FOODS-DELAWARE"</f>
        <v>000328940 - RICH FOODS-DELAWARE</v>
      </c>
      <c r="C20182" t="s">
        <v>190</v>
      </c>
      <c r="D20182" s="1" t="str">
        <f t="shared" si="542"/>
        <v>PRG-1047548</v>
      </c>
      <c r="E20182" t="s">
        <v>191</v>
      </c>
      <c r="F20182" t="s">
        <v>4</v>
      </c>
      <c r="G20182" t="str">
        <f>""</f>
        <v/>
      </c>
    </row>
    <row r="20183" spans="1:7" x14ac:dyDescent="0.25">
      <c r="A20183" t="s">
        <v>8</v>
      </c>
      <c r="B20183" s="1" t="str">
        <f>"000355472 - RICH FOODS-DELAWARE"</f>
        <v>000355472 - RICH FOODS-DELAWARE</v>
      </c>
      <c r="C20183" t="s">
        <v>190</v>
      </c>
      <c r="D20183" s="1" t="str">
        <f t="shared" si="542"/>
        <v>PRG-1047548</v>
      </c>
      <c r="E20183" t="s">
        <v>191</v>
      </c>
      <c r="F20183" t="s">
        <v>4</v>
      </c>
      <c r="G20183" t="str">
        <f>""</f>
        <v/>
      </c>
    </row>
    <row r="20184" spans="1:7" x14ac:dyDescent="0.25">
      <c r="A20184" t="s">
        <v>8</v>
      </c>
      <c r="B20184" s="1" t="str">
        <f>"000360070 - RICH FOODS-DELAWARE"</f>
        <v>000360070 - RICH FOODS-DELAWARE</v>
      </c>
      <c r="C20184" t="s">
        <v>190</v>
      </c>
      <c r="D20184" s="1" t="str">
        <f t="shared" si="542"/>
        <v>PRG-1047548</v>
      </c>
      <c r="E20184" t="s">
        <v>191</v>
      </c>
      <c r="F20184" t="s">
        <v>4</v>
      </c>
      <c r="G20184" t="str">
        <f>""</f>
        <v/>
      </c>
    </row>
    <row r="20185" spans="1:7" x14ac:dyDescent="0.25">
      <c r="A20185" t="s">
        <v>8</v>
      </c>
      <c r="B20185" s="1" t="str">
        <f>"000364739 - RICH FOODS-DELAWARE"</f>
        <v>000364739 - RICH FOODS-DELAWARE</v>
      </c>
      <c r="C20185" t="s">
        <v>190</v>
      </c>
      <c r="D20185" s="1" t="str">
        <f t="shared" si="542"/>
        <v>PRG-1047548</v>
      </c>
      <c r="E20185" t="s">
        <v>191</v>
      </c>
      <c r="F20185" t="s">
        <v>4</v>
      </c>
      <c r="G20185" t="str">
        <f>""</f>
        <v/>
      </c>
    </row>
    <row r="20186" spans="1:7" x14ac:dyDescent="0.25">
      <c r="A20186" t="s">
        <v>8</v>
      </c>
      <c r="B20186" s="1" t="str">
        <f>"000368908 - RICH-DELAWARE"</f>
        <v>000368908 - RICH-DELAWARE</v>
      </c>
      <c r="C20186" t="s">
        <v>405</v>
      </c>
      <c r="D20186" s="1" t="str">
        <f t="shared" si="542"/>
        <v>PRG-1047548</v>
      </c>
      <c r="E20186" t="s">
        <v>191</v>
      </c>
      <c r="F20186" t="s">
        <v>4</v>
      </c>
      <c r="G20186" t="str">
        <f>""</f>
        <v/>
      </c>
    </row>
    <row r="20187" spans="1:7" x14ac:dyDescent="0.25">
      <c r="A20187" t="s">
        <v>8</v>
      </c>
      <c r="B20187" s="1" t="str">
        <f>"000372099 - RICH-DELAWARE"</f>
        <v>000372099 - RICH-DELAWARE</v>
      </c>
      <c r="C20187" t="s">
        <v>405</v>
      </c>
      <c r="D20187" s="1" t="str">
        <f t="shared" si="542"/>
        <v>PRG-1047548</v>
      </c>
      <c r="E20187" t="s">
        <v>191</v>
      </c>
      <c r="F20187" t="s">
        <v>4</v>
      </c>
      <c r="G20187" t="str">
        <f>""</f>
        <v/>
      </c>
    </row>
    <row r="20188" spans="1:7" x14ac:dyDescent="0.25">
      <c r="A20188" t="s">
        <v>8</v>
      </c>
      <c r="B20188" s="1" t="str">
        <f>"000387062 - RICH-DELAWARE"</f>
        <v>000387062 - RICH-DELAWARE</v>
      </c>
      <c r="C20188" t="s">
        <v>405</v>
      </c>
      <c r="D20188" s="1" t="str">
        <f t="shared" si="542"/>
        <v>PRG-1047548</v>
      </c>
      <c r="E20188" t="s">
        <v>191</v>
      </c>
      <c r="F20188" t="s">
        <v>4</v>
      </c>
      <c r="G20188" t="str">
        <f>""</f>
        <v/>
      </c>
    </row>
    <row r="20189" spans="1:7" x14ac:dyDescent="0.25">
      <c r="A20189" t="s">
        <v>8</v>
      </c>
      <c r="B20189" s="1" t="str">
        <f>"000388429 - RICH FOODS-DELAWARE"</f>
        <v>000388429 - RICH FOODS-DELAWARE</v>
      </c>
      <c r="C20189" t="s">
        <v>190</v>
      </c>
      <c r="D20189" s="1" t="str">
        <f t="shared" si="542"/>
        <v>PRG-1047548</v>
      </c>
      <c r="E20189" t="s">
        <v>191</v>
      </c>
      <c r="F20189" t="s">
        <v>4</v>
      </c>
      <c r="G20189" t="str">
        <f>""</f>
        <v/>
      </c>
    </row>
    <row r="20190" spans="1:7" x14ac:dyDescent="0.25">
      <c r="A20190" t="s">
        <v>8</v>
      </c>
      <c r="B20190" s="1" t="str">
        <f>"000405378 - RICH-DELAWARE"</f>
        <v>000405378 - RICH-DELAWARE</v>
      </c>
      <c r="C20190" t="s">
        <v>405</v>
      </c>
      <c r="D20190" s="1" t="str">
        <f t="shared" si="542"/>
        <v>PRG-1047548</v>
      </c>
      <c r="E20190" t="s">
        <v>191</v>
      </c>
      <c r="F20190" t="s">
        <v>4</v>
      </c>
      <c r="G20190" t="str">
        <f>""</f>
        <v/>
      </c>
    </row>
    <row r="20191" spans="1:7" x14ac:dyDescent="0.25">
      <c r="A20191" t="s">
        <v>8</v>
      </c>
      <c r="B20191" s="1" t="str">
        <f>"000409615 - RICH FOODS-DELAWARE"</f>
        <v>000409615 - RICH FOODS-DELAWARE</v>
      </c>
      <c r="C20191" t="s">
        <v>190</v>
      </c>
      <c r="D20191" s="1" t="str">
        <f t="shared" si="542"/>
        <v>PRG-1047548</v>
      </c>
      <c r="E20191" t="s">
        <v>191</v>
      </c>
      <c r="F20191" t="s">
        <v>4</v>
      </c>
      <c r="G20191" t="str">
        <f>""</f>
        <v/>
      </c>
    </row>
    <row r="20192" spans="1:7" x14ac:dyDescent="0.25">
      <c r="A20192" t="s">
        <v>8</v>
      </c>
      <c r="B20192" s="1" t="str">
        <f>"000440283 - RICH FOODS-DELAWARE"</f>
        <v>000440283 - RICH FOODS-DELAWARE</v>
      </c>
      <c r="C20192" t="s">
        <v>190</v>
      </c>
      <c r="D20192" s="1" t="str">
        <f t="shared" si="542"/>
        <v>PRG-1047548</v>
      </c>
      <c r="E20192" t="s">
        <v>191</v>
      </c>
      <c r="F20192" t="s">
        <v>4</v>
      </c>
      <c r="G20192" t="str">
        <f>""</f>
        <v/>
      </c>
    </row>
    <row r="20193" spans="1:7" x14ac:dyDescent="0.25">
      <c r="A20193" t="s">
        <v>8</v>
      </c>
      <c r="B20193" s="1" t="str">
        <f>"000234303 - RICH'S CAFE SERVICES"</f>
        <v>000234303 - RICH'S CAFE SERVICES</v>
      </c>
      <c r="C20193" t="s">
        <v>1821</v>
      </c>
      <c r="D20193" s="1" t="str">
        <f>"PRG-1047549"</f>
        <v>PRG-1047549</v>
      </c>
      <c r="E20193" t="s">
        <v>1540</v>
      </c>
      <c r="F20193" t="s">
        <v>4</v>
      </c>
      <c r="G20193" t="str">
        <f>""</f>
        <v/>
      </c>
    </row>
    <row r="20194" spans="1:7" x14ac:dyDescent="0.25">
      <c r="A20194" t="s">
        <v>8</v>
      </c>
      <c r="B20194" s="1" t="str">
        <f>"000294531 - RICH CAFE SERV CAMPS DC"</f>
        <v>000294531 - RICH CAFE SERV CAMPS DC</v>
      </c>
      <c r="C20194" t="s">
        <v>2892</v>
      </c>
      <c r="D20194" s="1" t="str">
        <f>"PRG-1047549"</f>
        <v>PRG-1047549</v>
      </c>
      <c r="E20194" t="s">
        <v>1540</v>
      </c>
      <c r="F20194" t="s">
        <v>4</v>
      </c>
      <c r="G20194" t="str">
        <f>""</f>
        <v/>
      </c>
    </row>
    <row r="20195" spans="1:7" x14ac:dyDescent="0.25">
      <c r="A20195" t="s">
        <v>8</v>
      </c>
      <c r="B20195" s="1" t="str">
        <f>"000033766 - RICH PRODUCTS-METRO DINER"</f>
        <v>000033766 - RICH PRODUCTS-METRO DINER</v>
      </c>
      <c r="C20195" t="s">
        <v>429</v>
      </c>
      <c r="D20195" s="1" t="str">
        <f t="shared" ref="D20195:D20210" si="543">"PRG-1047556"</f>
        <v>PRG-1047556</v>
      </c>
      <c r="E20195" t="s">
        <v>430</v>
      </c>
      <c r="F20195" t="s">
        <v>4</v>
      </c>
      <c r="G20195" t="str">
        <f>""</f>
        <v/>
      </c>
    </row>
    <row r="20196" spans="1:7" x14ac:dyDescent="0.25">
      <c r="A20196" t="s">
        <v>8</v>
      </c>
      <c r="B20196" s="1" t="str">
        <f>"000056266 - RICH PRODUCTS-METRO DINER"</f>
        <v>000056266 - RICH PRODUCTS-METRO DINER</v>
      </c>
      <c r="C20196" t="s">
        <v>429</v>
      </c>
      <c r="D20196" s="1" t="str">
        <f t="shared" si="543"/>
        <v>PRG-1047556</v>
      </c>
      <c r="E20196" t="s">
        <v>430</v>
      </c>
      <c r="F20196" t="s">
        <v>4</v>
      </c>
      <c r="G20196" t="str">
        <f>""</f>
        <v/>
      </c>
    </row>
    <row r="20197" spans="1:7" x14ac:dyDescent="0.25">
      <c r="A20197" t="s">
        <v>8</v>
      </c>
      <c r="B20197" s="1" t="str">
        <f>"000261942 - RICH PRODUCTS-METRO DINER"</f>
        <v>000261942 - RICH PRODUCTS-METRO DINER</v>
      </c>
      <c r="C20197" t="s">
        <v>429</v>
      </c>
      <c r="D20197" s="1" t="str">
        <f t="shared" si="543"/>
        <v>PRG-1047556</v>
      </c>
      <c r="E20197" t="s">
        <v>430</v>
      </c>
      <c r="F20197" t="s">
        <v>4</v>
      </c>
      <c r="G20197" t="str">
        <f>""</f>
        <v/>
      </c>
    </row>
    <row r="20198" spans="1:7" x14ac:dyDescent="0.25">
      <c r="A20198" t="s">
        <v>8</v>
      </c>
      <c r="B20198" s="1" t="str">
        <f>"000291121 - RICH PRODUCTS-METRO DINER"</f>
        <v>000291121 - RICH PRODUCTS-METRO DINER</v>
      </c>
      <c r="C20198" t="s">
        <v>429</v>
      </c>
      <c r="D20198" s="1" t="str">
        <f t="shared" si="543"/>
        <v>PRG-1047556</v>
      </c>
      <c r="E20198" t="s">
        <v>430</v>
      </c>
      <c r="F20198" t="s">
        <v>4</v>
      </c>
      <c r="G20198" t="str">
        <f>""</f>
        <v/>
      </c>
    </row>
    <row r="20199" spans="1:7" x14ac:dyDescent="0.25">
      <c r="A20199" t="s">
        <v>8</v>
      </c>
      <c r="B20199" s="1" t="str">
        <f>"000292446 - RICH PRODUCTS-METRO DINER"</f>
        <v>000292446 - RICH PRODUCTS-METRO DINER</v>
      </c>
      <c r="C20199" t="s">
        <v>429</v>
      </c>
      <c r="D20199" s="1" t="str">
        <f t="shared" si="543"/>
        <v>PRG-1047556</v>
      </c>
      <c r="E20199" t="s">
        <v>430</v>
      </c>
      <c r="F20199" t="s">
        <v>4</v>
      </c>
      <c r="G20199" t="str">
        <f>""</f>
        <v/>
      </c>
    </row>
    <row r="20200" spans="1:7" x14ac:dyDescent="0.25">
      <c r="A20200" t="s">
        <v>8</v>
      </c>
      <c r="B20200" s="1" t="str">
        <f>"000294209 - RICH PRODUCTS-METRO DINER"</f>
        <v>000294209 - RICH PRODUCTS-METRO DINER</v>
      </c>
      <c r="C20200" t="s">
        <v>429</v>
      </c>
      <c r="D20200" s="1" t="str">
        <f t="shared" si="543"/>
        <v>PRG-1047556</v>
      </c>
      <c r="E20200" t="s">
        <v>430</v>
      </c>
      <c r="F20200" t="s">
        <v>4</v>
      </c>
      <c r="G20200" t="str">
        <f>""</f>
        <v/>
      </c>
    </row>
    <row r="20201" spans="1:7" x14ac:dyDescent="0.25">
      <c r="A20201" t="s">
        <v>8</v>
      </c>
      <c r="B20201" s="1" t="str">
        <f>"000301135 - RICH PRODUCTS-METRO DINER"</f>
        <v>000301135 - RICH PRODUCTS-METRO DINER</v>
      </c>
      <c r="C20201" t="s">
        <v>429</v>
      </c>
      <c r="D20201" s="1" t="str">
        <f t="shared" si="543"/>
        <v>PRG-1047556</v>
      </c>
      <c r="E20201" t="s">
        <v>430</v>
      </c>
      <c r="F20201" t="s">
        <v>4</v>
      </c>
      <c r="G20201" t="str">
        <f>""</f>
        <v/>
      </c>
    </row>
    <row r="20202" spans="1:7" x14ac:dyDescent="0.25">
      <c r="A20202" t="s">
        <v>8</v>
      </c>
      <c r="B20202" s="1" t="str">
        <f>"000316042 - RICH PRODUCTS-METRO DINER"</f>
        <v>000316042 - RICH PRODUCTS-METRO DINER</v>
      </c>
      <c r="C20202" t="s">
        <v>429</v>
      </c>
      <c r="D20202" s="1" t="str">
        <f t="shared" si="543"/>
        <v>PRG-1047556</v>
      </c>
      <c r="E20202" t="s">
        <v>430</v>
      </c>
      <c r="F20202" t="s">
        <v>4</v>
      </c>
      <c r="G20202" t="str">
        <f>""</f>
        <v/>
      </c>
    </row>
    <row r="20203" spans="1:7" x14ac:dyDescent="0.25">
      <c r="A20203" t="s">
        <v>8</v>
      </c>
      <c r="B20203" s="1" t="str">
        <f>"000321519 - RICH PRODUCTS-METRO DINER"</f>
        <v>000321519 - RICH PRODUCTS-METRO DINER</v>
      </c>
      <c r="C20203" t="s">
        <v>429</v>
      </c>
      <c r="D20203" s="1" t="str">
        <f t="shared" si="543"/>
        <v>PRG-1047556</v>
      </c>
      <c r="E20203" t="s">
        <v>430</v>
      </c>
      <c r="F20203" t="s">
        <v>4</v>
      </c>
      <c r="G20203" t="str">
        <f>""</f>
        <v/>
      </c>
    </row>
    <row r="20204" spans="1:7" x14ac:dyDescent="0.25">
      <c r="A20204" t="s">
        <v>8</v>
      </c>
      <c r="B20204" s="1" t="str">
        <f>"000325446 - RICH PRODUCTS-METRO DINER"</f>
        <v>000325446 - RICH PRODUCTS-METRO DINER</v>
      </c>
      <c r="C20204" t="s">
        <v>429</v>
      </c>
      <c r="D20204" s="1" t="str">
        <f t="shared" si="543"/>
        <v>PRG-1047556</v>
      </c>
      <c r="E20204" t="s">
        <v>430</v>
      </c>
      <c r="F20204" t="s">
        <v>4</v>
      </c>
      <c r="G20204" t="str">
        <f>""</f>
        <v/>
      </c>
    </row>
    <row r="20205" spans="1:7" x14ac:dyDescent="0.25">
      <c r="A20205" t="s">
        <v>8</v>
      </c>
      <c r="B20205" s="1" t="str">
        <f>"000326529 - RICH PRODUCTS-METRO DINER"</f>
        <v>000326529 - RICH PRODUCTS-METRO DINER</v>
      </c>
      <c r="C20205" t="s">
        <v>429</v>
      </c>
      <c r="D20205" s="1" t="str">
        <f t="shared" si="543"/>
        <v>PRG-1047556</v>
      </c>
      <c r="E20205" t="s">
        <v>430</v>
      </c>
      <c r="F20205" t="s">
        <v>4</v>
      </c>
      <c r="G20205" t="str">
        <f>""</f>
        <v/>
      </c>
    </row>
    <row r="20206" spans="1:7" x14ac:dyDescent="0.25">
      <c r="A20206" t="s">
        <v>8</v>
      </c>
      <c r="B20206" s="1" t="str">
        <f>"000366052 - RICH PRODUCTS-METRO DINER"</f>
        <v>000366052 - RICH PRODUCTS-METRO DINER</v>
      </c>
      <c r="C20206" t="s">
        <v>429</v>
      </c>
      <c r="D20206" s="1" t="str">
        <f t="shared" si="543"/>
        <v>PRG-1047556</v>
      </c>
      <c r="E20206" t="s">
        <v>430</v>
      </c>
      <c r="F20206" t="s">
        <v>4</v>
      </c>
      <c r="G20206" t="str">
        <f>""</f>
        <v/>
      </c>
    </row>
    <row r="20207" spans="1:7" x14ac:dyDescent="0.25">
      <c r="A20207" t="s">
        <v>8</v>
      </c>
      <c r="B20207" s="1" t="str">
        <f>"000367653 - RICH PRODUCTS-METRO DINER"</f>
        <v>000367653 - RICH PRODUCTS-METRO DINER</v>
      </c>
      <c r="C20207" t="s">
        <v>429</v>
      </c>
      <c r="D20207" s="1" t="str">
        <f t="shared" si="543"/>
        <v>PRG-1047556</v>
      </c>
      <c r="E20207" t="s">
        <v>430</v>
      </c>
      <c r="F20207" t="s">
        <v>4</v>
      </c>
      <c r="G20207" t="str">
        <f>""</f>
        <v/>
      </c>
    </row>
    <row r="20208" spans="1:7" x14ac:dyDescent="0.25">
      <c r="A20208" t="s">
        <v>8</v>
      </c>
      <c r="B20208" s="1" t="str">
        <f>"000379795 - RICH PRODUCTS-METRO DINER"</f>
        <v>000379795 - RICH PRODUCTS-METRO DINER</v>
      </c>
      <c r="C20208" t="s">
        <v>429</v>
      </c>
      <c r="D20208" s="1" t="str">
        <f t="shared" si="543"/>
        <v>PRG-1047556</v>
      </c>
      <c r="E20208" t="s">
        <v>430</v>
      </c>
      <c r="F20208" t="s">
        <v>4</v>
      </c>
      <c r="G20208" t="str">
        <f>""</f>
        <v/>
      </c>
    </row>
    <row r="20209" spans="1:7" x14ac:dyDescent="0.25">
      <c r="A20209" t="s">
        <v>8</v>
      </c>
      <c r="B20209" s="1" t="str">
        <f>"000390172 - RICH PRODUCTS-METRO DINER"</f>
        <v>000390172 - RICH PRODUCTS-METRO DINER</v>
      </c>
      <c r="C20209" t="s">
        <v>429</v>
      </c>
      <c r="D20209" s="1" t="str">
        <f t="shared" si="543"/>
        <v>PRG-1047556</v>
      </c>
      <c r="E20209" t="s">
        <v>430</v>
      </c>
      <c r="F20209" t="s">
        <v>4</v>
      </c>
      <c r="G20209" t="str">
        <f>""</f>
        <v/>
      </c>
    </row>
    <row r="20210" spans="1:7" x14ac:dyDescent="0.25">
      <c r="A20210" t="s">
        <v>8</v>
      </c>
      <c r="B20210" s="1" t="str">
        <f>"000406665 - RICH PRODUCTS-METRO DINER"</f>
        <v>000406665 - RICH PRODUCTS-METRO DINER</v>
      </c>
      <c r="C20210" t="s">
        <v>429</v>
      </c>
      <c r="D20210" s="1" t="str">
        <f t="shared" si="543"/>
        <v>PRG-1047556</v>
      </c>
      <c r="E20210" t="s">
        <v>430</v>
      </c>
      <c r="F20210" t="s">
        <v>4</v>
      </c>
      <c r="G20210" t="str">
        <f>""</f>
        <v/>
      </c>
    </row>
    <row r="20211" spans="1:7" x14ac:dyDescent="0.25">
      <c r="A20211" t="s">
        <v>8</v>
      </c>
      <c r="B20211" s="1" t="str">
        <f>"000336481 - B W &amp; R RICH PRODUCTS"</f>
        <v>000336481 - B W &amp; R RICH PRODUCTS</v>
      </c>
      <c r="C20211" t="s">
        <v>3407</v>
      </c>
      <c r="D20211" s="1" t="str">
        <f>"PRG-1047558"</f>
        <v>PRG-1047558</v>
      </c>
      <c r="E20211" t="s">
        <v>2278</v>
      </c>
      <c r="F20211" t="s">
        <v>4</v>
      </c>
      <c r="G20211" t="str">
        <f>""</f>
        <v/>
      </c>
    </row>
    <row r="20212" spans="1:7" x14ac:dyDescent="0.25">
      <c r="A20212" t="s">
        <v>8</v>
      </c>
      <c r="B20212" s="1" t="str">
        <f>"3A08XG01"</f>
        <v>3A08XG01</v>
      </c>
      <c r="C20212" t="s">
        <v>4916</v>
      </c>
      <c r="D20212" s="1" t="str">
        <f>"PRG-1047561"</f>
        <v>PRG-1047561</v>
      </c>
      <c r="E20212" t="s">
        <v>4920</v>
      </c>
      <c r="F20212" t="s">
        <v>5</v>
      </c>
      <c r="G20212" t="str">
        <f>""</f>
        <v/>
      </c>
    </row>
    <row r="20213" spans="1:7" x14ac:dyDescent="0.25">
      <c r="A20213" t="s">
        <v>8</v>
      </c>
      <c r="B20213" s="1" t="str">
        <f>"3A08XG02"</f>
        <v>3A08XG02</v>
      </c>
      <c r="C20213" t="s">
        <v>4916</v>
      </c>
      <c r="D20213" s="1" t="str">
        <f>"PRG-1047561"</f>
        <v>PRG-1047561</v>
      </c>
      <c r="E20213" t="s">
        <v>4920</v>
      </c>
      <c r="F20213" t="s">
        <v>5</v>
      </c>
      <c r="G20213" t="str">
        <f>""</f>
        <v/>
      </c>
    </row>
    <row r="20214" spans="1:7" x14ac:dyDescent="0.25">
      <c r="A20214" t="s">
        <v>8</v>
      </c>
      <c r="B20214" s="1" t="str">
        <f>"3A08XH01"</f>
        <v>3A08XH01</v>
      </c>
      <c r="C20214" t="s">
        <v>4922</v>
      </c>
      <c r="D20214" s="1" t="str">
        <f>"PRG-1047562"</f>
        <v>PRG-1047562</v>
      </c>
      <c r="E20214" t="s">
        <v>4921</v>
      </c>
      <c r="F20214" t="s">
        <v>5</v>
      </c>
      <c r="G20214" t="str">
        <f>""</f>
        <v/>
      </c>
    </row>
    <row r="20215" spans="1:7" x14ac:dyDescent="0.25">
      <c r="A20215" t="s">
        <v>8</v>
      </c>
      <c r="B20215" s="1" t="str">
        <f>"3A08XH02"</f>
        <v>3A08XH02</v>
      </c>
      <c r="C20215" t="s">
        <v>4922</v>
      </c>
      <c r="D20215" s="1" t="str">
        <f>"PRG-1047562"</f>
        <v>PRG-1047562</v>
      </c>
      <c r="E20215" t="s">
        <v>4921</v>
      </c>
      <c r="F20215" t="s">
        <v>5</v>
      </c>
      <c r="G20215" t="str">
        <f>""</f>
        <v/>
      </c>
    </row>
    <row r="20216" spans="1:7" x14ac:dyDescent="0.25">
      <c r="A20216" t="s">
        <v>8</v>
      </c>
      <c r="B20216" s="1" t="str">
        <f>"6026HP65"</f>
        <v>6026HP65</v>
      </c>
      <c r="C20216" t="s">
        <v>5082</v>
      </c>
      <c r="D20216" s="1" t="str">
        <f>"PRG-1047601"</f>
        <v>PRG-1047601</v>
      </c>
      <c r="E20216" t="s">
        <v>5083</v>
      </c>
      <c r="F20216" t="s">
        <v>5</v>
      </c>
      <c r="G20216" t="str">
        <f>""</f>
        <v/>
      </c>
    </row>
    <row r="20217" spans="1:7" x14ac:dyDescent="0.25">
      <c r="A20217" t="s">
        <v>8</v>
      </c>
      <c r="B20217" s="1" t="str">
        <f>"000036571 - RICH FOODS-SUBWAY"</f>
        <v>000036571 - RICH FOODS-SUBWAY</v>
      </c>
      <c r="C20217" t="s">
        <v>90</v>
      </c>
      <c r="D20217" s="1" t="str">
        <f t="shared" ref="D20217:D20223" si="544">"PRG-1047609"</f>
        <v>PRG-1047609</v>
      </c>
      <c r="E20217" t="s">
        <v>91</v>
      </c>
      <c r="F20217" t="s">
        <v>4</v>
      </c>
      <c r="G20217" t="str">
        <f>""</f>
        <v/>
      </c>
    </row>
    <row r="20218" spans="1:7" x14ac:dyDescent="0.25">
      <c r="A20218" t="s">
        <v>8</v>
      </c>
      <c r="B20218" s="1" t="str">
        <f>"000056182 - RICH FOODS BB-SUBWAY"</f>
        <v>000056182 - RICH FOODS BB-SUBWAY</v>
      </c>
      <c r="C20218" t="s">
        <v>623</v>
      </c>
      <c r="D20218" s="1" t="str">
        <f t="shared" si="544"/>
        <v>PRG-1047609</v>
      </c>
      <c r="E20218" t="s">
        <v>91</v>
      </c>
      <c r="F20218" t="s">
        <v>4</v>
      </c>
      <c r="G20218" t="str">
        <f>""</f>
        <v/>
      </c>
    </row>
    <row r="20219" spans="1:7" x14ac:dyDescent="0.25">
      <c r="A20219" t="s">
        <v>8</v>
      </c>
      <c r="B20219" s="1" t="str">
        <f>"000161358 - RICH FOODS-SUBWAY"</f>
        <v>000161358 - RICH FOODS-SUBWAY</v>
      </c>
      <c r="C20219" t="s">
        <v>90</v>
      </c>
      <c r="D20219" s="1" t="str">
        <f t="shared" si="544"/>
        <v>PRG-1047609</v>
      </c>
      <c r="E20219" t="s">
        <v>91</v>
      </c>
      <c r="F20219" t="s">
        <v>4</v>
      </c>
      <c r="G20219" t="str">
        <f>""</f>
        <v/>
      </c>
    </row>
    <row r="20220" spans="1:7" x14ac:dyDescent="0.25">
      <c r="A20220" t="s">
        <v>8</v>
      </c>
      <c r="B20220" s="1" t="str">
        <f>"000235025 - RICH FOODS BB-SUBWAY"</f>
        <v>000235025 - RICH FOODS BB-SUBWAY</v>
      </c>
      <c r="C20220" t="s">
        <v>623</v>
      </c>
      <c r="D20220" s="1" t="str">
        <f t="shared" si="544"/>
        <v>PRG-1047609</v>
      </c>
      <c r="E20220" t="s">
        <v>91</v>
      </c>
      <c r="F20220" t="s">
        <v>4</v>
      </c>
      <c r="G20220" t="str">
        <f>""</f>
        <v/>
      </c>
    </row>
    <row r="20221" spans="1:7" x14ac:dyDescent="0.25">
      <c r="A20221" t="s">
        <v>8</v>
      </c>
      <c r="B20221" s="1" t="str">
        <f>"000315957 - RICH FOODS BB-SUBWAY"</f>
        <v>000315957 - RICH FOODS BB-SUBWAY</v>
      </c>
      <c r="C20221" t="s">
        <v>623</v>
      </c>
      <c r="D20221" s="1" t="str">
        <f t="shared" si="544"/>
        <v>PRG-1047609</v>
      </c>
      <c r="E20221" t="s">
        <v>91</v>
      </c>
      <c r="F20221" t="s">
        <v>4</v>
      </c>
      <c r="G20221" t="str">
        <f>""</f>
        <v/>
      </c>
    </row>
    <row r="20222" spans="1:7" x14ac:dyDescent="0.25">
      <c r="A20222" t="s">
        <v>8</v>
      </c>
      <c r="B20222" s="1" t="str">
        <f>"000322653 - RICH FOODS BB-SUBWAY"</f>
        <v>000322653 - RICH FOODS BB-SUBWAY</v>
      </c>
      <c r="C20222" t="s">
        <v>623</v>
      </c>
      <c r="D20222" s="1" t="str">
        <f t="shared" si="544"/>
        <v>PRG-1047609</v>
      </c>
      <c r="E20222" t="s">
        <v>91</v>
      </c>
      <c r="F20222" t="s">
        <v>4</v>
      </c>
      <c r="G20222" t="str">
        <f>""</f>
        <v/>
      </c>
    </row>
    <row r="20223" spans="1:7" x14ac:dyDescent="0.25">
      <c r="A20223" t="s">
        <v>8</v>
      </c>
      <c r="B20223" s="1" t="str">
        <f>"000330258 - RICH FOODS BB-SUBWAY"</f>
        <v>000330258 - RICH FOODS BB-SUBWAY</v>
      </c>
      <c r="C20223" t="s">
        <v>623</v>
      </c>
      <c r="D20223" s="1" t="str">
        <f t="shared" si="544"/>
        <v>PRG-1047609</v>
      </c>
      <c r="E20223" t="s">
        <v>91</v>
      </c>
      <c r="F20223" t="s">
        <v>4</v>
      </c>
      <c r="G20223" t="str">
        <f>""</f>
        <v/>
      </c>
    </row>
    <row r="20224" spans="1:7" x14ac:dyDescent="0.25">
      <c r="A20224" t="s">
        <v>8</v>
      </c>
      <c r="B20224" s="1" t="str">
        <f>"000171367 - RICH PRODUCTS BECK OIL CO"</f>
        <v>000171367 - RICH PRODUCTS BECK OIL CO</v>
      </c>
      <c r="C20224" t="s">
        <v>1011</v>
      </c>
      <c r="D20224" s="1" t="str">
        <f>"PRG-1047614"</f>
        <v>PRG-1047614</v>
      </c>
      <c r="E20224" t="s">
        <v>1012</v>
      </c>
      <c r="F20224" t="s">
        <v>4</v>
      </c>
      <c r="G20224" t="str">
        <f>""</f>
        <v/>
      </c>
    </row>
    <row r="20225" spans="1:7" x14ac:dyDescent="0.25">
      <c r="A20225" t="s">
        <v>8</v>
      </c>
      <c r="B20225" s="1" t="str">
        <f>"000341531 - RICH TIMBER CREEK PIZZA"</f>
        <v>000341531 - RICH TIMBER CREEK PIZZA</v>
      </c>
      <c r="C20225" t="s">
        <v>3258</v>
      </c>
      <c r="D20225" s="1" t="str">
        <f>"PRG-1047620"</f>
        <v>PRG-1047620</v>
      </c>
      <c r="E20225" t="s">
        <v>3259</v>
      </c>
      <c r="F20225" t="s">
        <v>4</v>
      </c>
      <c r="G20225" t="str">
        <f>""</f>
        <v/>
      </c>
    </row>
    <row r="20226" spans="1:7" x14ac:dyDescent="0.25">
      <c r="A20226" t="s">
        <v>8</v>
      </c>
      <c r="B20226" s="1" t="str">
        <f>"S3F01QB0"</f>
        <v>S3F01QB0</v>
      </c>
      <c r="C20226" t="s">
        <v>5602</v>
      </c>
      <c r="D20226" s="1" t="str">
        <f>"PRG-1047623"</f>
        <v>PRG-1047623</v>
      </c>
      <c r="E20226" t="s">
        <v>5603</v>
      </c>
      <c r="F20226" t="s">
        <v>5</v>
      </c>
      <c r="G20226" t="str">
        <f>""</f>
        <v/>
      </c>
    </row>
    <row r="20227" spans="1:7" x14ac:dyDescent="0.25">
      <c r="A20227" t="s">
        <v>8</v>
      </c>
      <c r="B20227" s="1" t="str">
        <f>"S9B01RH0"</f>
        <v>S9B01RH0</v>
      </c>
      <c r="C20227" t="s">
        <v>6314</v>
      </c>
      <c r="D20227" s="1" t="str">
        <f>"PRG-1047628"</f>
        <v>PRG-1047628</v>
      </c>
      <c r="E20227" t="s">
        <v>6315</v>
      </c>
      <c r="F20227" t="s">
        <v>5</v>
      </c>
      <c r="G20227" t="str">
        <f>""</f>
        <v/>
      </c>
    </row>
    <row r="20228" spans="1:7" x14ac:dyDescent="0.25">
      <c r="A20228" t="s">
        <v>8</v>
      </c>
      <c r="B20228" s="1" t="str">
        <f>"S3F01QY0"</f>
        <v>S3F01QY0</v>
      </c>
      <c r="C20228" t="s">
        <v>5604</v>
      </c>
      <c r="D20228" s="1" t="str">
        <f>"PRG-1047632"</f>
        <v>PRG-1047632</v>
      </c>
      <c r="E20228" t="s">
        <v>5605</v>
      </c>
      <c r="F20228" t="s">
        <v>5</v>
      </c>
      <c r="G20228" t="str">
        <f>""</f>
        <v/>
      </c>
    </row>
    <row r="20229" spans="1:7" x14ac:dyDescent="0.25">
      <c r="A20229" t="s">
        <v>8</v>
      </c>
      <c r="B20229" s="1" t="str">
        <f>"000026169 - RICH FOODS BAPA RED ROBIN"</f>
        <v>000026169 - RICH FOODS BAPA RED ROBIN</v>
      </c>
      <c r="C20229" t="s">
        <v>422</v>
      </c>
      <c r="D20229" s="1" t="str">
        <f t="shared" ref="D20229:D20262" si="545">"PRG-1047641"</f>
        <v>PRG-1047641</v>
      </c>
      <c r="E20229" t="s">
        <v>423</v>
      </c>
      <c r="F20229" t="s">
        <v>4</v>
      </c>
      <c r="G20229" t="str">
        <f>""</f>
        <v/>
      </c>
    </row>
    <row r="20230" spans="1:7" x14ac:dyDescent="0.25">
      <c r="A20230" t="s">
        <v>8</v>
      </c>
      <c r="B20230" s="1" t="str">
        <f>"000040882 - RICH FOODS DEV-RED ROBIN"</f>
        <v>000040882 - RICH FOODS DEV-RED ROBIN</v>
      </c>
      <c r="C20230" t="s">
        <v>506</v>
      </c>
      <c r="D20230" s="1" t="str">
        <f t="shared" si="545"/>
        <v>PRG-1047641</v>
      </c>
      <c r="E20230" t="s">
        <v>423</v>
      </c>
      <c r="F20230" t="s">
        <v>4</v>
      </c>
      <c r="G20230" t="str">
        <f>""</f>
        <v/>
      </c>
    </row>
    <row r="20231" spans="1:7" x14ac:dyDescent="0.25">
      <c r="A20231" t="s">
        <v>8</v>
      </c>
      <c r="B20231" s="1" t="str">
        <f>"000043126 - RICH FOODS-RED ROBIN"</f>
        <v>000043126 - RICH FOODS-RED ROBIN</v>
      </c>
      <c r="C20231" t="s">
        <v>597</v>
      </c>
      <c r="D20231" s="1" t="str">
        <f t="shared" si="545"/>
        <v>PRG-1047641</v>
      </c>
      <c r="E20231" t="s">
        <v>423</v>
      </c>
      <c r="F20231" t="s">
        <v>4</v>
      </c>
      <c r="G20231" t="str">
        <f>""</f>
        <v/>
      </c>
    </row>
    <row r="20232" spans="1:7" x14ac:dyDescent="0.25">
      <c r="A20232" t="s">
        <v>8</v>
      </c>
      <c r="B20232" s="1" t="str">
        <f>"000057051 - RICH FOODS-RED ROBIN"</f>
        <v>000057051 - RICH FOODS-RED ROBIN</v>
      </c>
      <c r="C20232" t="s">
        <v>597</v>
      </c>
      <c r="D20232" s="1" t="str">
        <f t="shared" si="545"/>
        <v>PRG-1047641</v>
      </c>
      <c r="E20232" t="s">
        <v>423</v>
      </c>
      <c r="F20232" t="s">
        <v>4</v>
      </c>
      <c r="G20232" t="str">
        <f>""</f>
        <v/>
      </c>
    </row>
    <row r="20233" spans="1:7" x14ac:dyDescent="0.25">
      <c r="A20233" t="s">
        <v>8</v>
      </c>
      <c r="B20233" s="1" t="str">
        <f>"000068334 - RICH FOODS-RED ROBIN"</f>
        <v>000068334 - RICH FOODS-RED ROBIN</v>
      </c>
      <c r="C20233" t="s">
        <v>597</v>
      </c>
      <c r="D20233" s="1" t="str">
        <f t="shared" si="545"/>
        <v>PRG-1047641</v>
      </c>
      <c r="E20233" t="s">
        <v>423</v>
      </c>
      <c r="F20233" t="s">
        <v>4</v>
      </c>
      <c r="G20233" t="str">
        <f>""</f>
        <v/>
      </c>
    </row>
    <row r="20234" spans="1:7" x14ac:dyDescent="0.25">
      <c r="A20234" t="s">
        <v>8</v>
      </c>
      <c r="B20234" s="1" t="str">
        <f>"000069796 - RICH FOODS-RED ROBIN"</f>
        <v>000069796 - RICH FOODS-RED ROBIN</v>
      </c>
      <c r="C20234" t="s">
        <v>597</v>
      </c>
      <c r="D20234" s="1" t="str">
        <f t="shared" si="545"/>
        <v>PRG-1047641</v>
      </c>
      <c r="E20234" t="s">
        <v>423</v>
      </c>
      <c r="F20234" t="s">
        <v>4</v>
      </c>
      <c r="G20234" t="str">
        <f>""</f>
        <v/>
      </c>
    </row>
    <row r="20235" spans="1:7" x14ac:dyDescent="0.25">
      <c r="A20235" t="s">
        <v>8</v>
      </c>
      <c r="B20235" s="1" t="str">
        <f>"000095107 - RICH FOODS-RED ROBIN"</f>
        <v>000095107 - RICH FOODS-RED ROBIN</v>
      </c>
      <c r="C20235" t="s">
        <v>597</v>
      </c>
      <c r="D20235" s="1" t="str">
        <f t="shared" si="545"/>
        <v>PRG-1047641</v>
      </c>
      <c r="E20235" t="s">
        <v>423</v>
      </c>
      <c r="F20235" t="s">
        <v>4</v>
      </c>
      <c r="G20235" t="str">
        <f>""</f>
        <v/>
      </c>
    </row>
    <row r="20236" spans="1:7" x14ac:dyDescent="0.25">
      <c r="A20236" t="s">
        <v>8</v>
      </c>
      <c r="B20236" s="1" t="str">
        <f>"000100689 - RICH FOODS-RED ROBIN"</f>
        <v>000100689 - RICH FOODS-RED ROBIN</v>
      </c>
      <c r="C20236" t="s">
        <v>597</v>
      </c>
      <c r="D20236" s="1" t="str">
        <f t="shared" si="545"/>
        <v>PRG-1047641</v>
      </c>
      <c r="E20236" t="s">
        <v>423</v>
      </c>
      <c r="F20236" t="s">
        <v>4</v>
      </c>
      <c r="G20236" t="str">
        <f>""</f>
        <v/>
      </c>
    </row>
    <row r="20237" spans="1:7" x14ac:dyDescent="0.25">
      <c r="A20237" t="s">
        <v>8</v>
      </c>
      <c r="B20237" s="1" t="str">
        <f>"000194548 - RICH FOODS-RED ROBIN"</f>
        <v>000194548 - RICH FOODS-RED ROBIN</v>
      </c>
      <c r="C20237" t="s">
        <v>597</v>
      </c>
      <c r="D20237" s="1" t="str">
        <f t="shared" si="545"/>
        <v>PRG-1047641</v>
      </c>
      <c r="E20237" t="s">
        <v>423</v>
      </c>
      <c r="F20237" t="s">
        <v>4</v>
      </c>
      <c r="G20237" t="str">
        <f>""</f>
        <v/>
      </c>
    </row>
    <row r="20238" spans="1:7" x14ac:dyDescent="0.25">
      <c r="A20238" t="s">
        <v>8</v>
      </c>
      <c r="B20238" s="1" t="str">
        <f>"000272057 - RICH FOODS-RED ROBIN"</f>
        <v>000272057 - RICH FOODS-RED ROBIN</v>
      </c>
      <c r="C20238" t="s">
        <v>597</v>
      </c>
      <c r="D20238" s="1" t="str">
        <f t="shared" si="545"/>
        <v>PRG-1047641</v>
      </c>
      <c r="E20238" t="s">
        <v>423</v>
      </c>
      <c r="F20238" t="s">
        <v>4</v>
      </c>
      <c r="G20238" t="str">
        <f>""</f>
        <v/>
      </c>
    </row>
    <row r="20239" spans="1:7" x14ac:dyDescent="0.25">
      <c r="A20239" t="s">
        <v>8</v>
      </c>
      <c r="B20239" s="1" t="str">
        <f>"000275767 - RICH FOODS-RED ROBIN"</f>
        <v>000275767 - RICH FOODS-RED ROBIN</v>
      </c>
      <c r="C20239" t="s">
        <v>597</v>
      </c>
      <c r="D20239" s="1" t="str">
        <f t="shared" si="545"/>
        <v>PRG-1047641</v>
      </c>
      <c r="E20239" t="s">
        <v>423</v>
      </c>
      <c r="F20239" t="s">
        <v>4</v>
      </c>
      <c r="G20239" t="str">
        <f>""</f>
        <v/>
      </c>
    </row>
    <row r="20240" spans="1:7" x14ac:dyDescent="0.25">
      <c r="A20240" t="s">
        <v>8</v>
      </c>
      <c r="B20240" s="1" t="str">
        <f>"000287641 - RICH FOODS-RED ROBIN"</f>
        <v>000287641 - RICH FOODS-RED ROBIN</v>
      </c>
      <c r="C20240" t="s">
        <v>597</v>
      </c>
      <c r="D20240" s="1" t="str">
        <f t="shared" si="545"/>
        <v>PRG-1047641</v>
      </c>
      <c r="E20240" t="s">
        <v>423</v>
      </c>
      <c r="F20240" t="s">
        <v>4</v>
      </c>
      <c r="G20240" t="str">
        <f>""</f>
        <v/>
      </c>
    </row>
    <row r="20241" spans="1:7" x14ac:dyDescent="0.25">
      <c r="A20241" t="s">
        <v>8</v>
      </c>
      <c r="B20241" s="1" t="str">
        <f>"000290149 - RICH FOODS-RED ROBIN"</f>
        <v>000290149 - RICH FOODS-RED ROBIN</v>
      </c>
      <c r="C20241" t="s">
        <v>597</v>
      </c>
      <c r="D20241" s="1" t="str">
        <f t="shared" si="545"/>
        <v>PRG-1047641</v>
      </c>
      <c r="E20241" t="s">
        <v>423</v>
      </c>
      <c r="F20241" t="s">
        <v>4</v>
      </c>
      <c r="G20241" t="str">
        <f>""</f>
        <v/>
      </c>
    </row>
    <row r="20242" spans="1:7" x14ac:dyDescent="0.25">
      <c r="A20242" t="s">
        <v>8</v>
      </c>
      <c r="B20242" s="1" t="str">
        <f>"000290897 - RICH FOODS-RED ROBIN"</f>
        <v>000290897 - RICH FOODS-RED ROBIN</v>
      </c>
      <c r="C20242" t="s">
        <v>597</v>
      </c>
      <c r="D20242" s="1" t="str">
        <f t="shared" si="545"/>
        <v>PRG-1047641</v>
      </c>
      <c r="E20242" t="s">
        <v>423</v>
      </c>
      <c r="F20242" t="s">
        <v>4</v>
      </c>
      <c r="G20242" t="str">
        <f>""</f>
        <v/>
      </c>
    </row>
    <row r="20243" spans="1:7" x14ac:dyDescent="0.25">
      <c r="A20243" t="s">
        <v>8</v>
      </c>
      <c r="B20243" s="1" t="str">
        <f>"000295442 - RICH FOODS-RED ROBIN"</f>
        <v>000295442 - RICH FOODS-RED ROBIN</v>
      </c>
      <c r="C20243" t="s">
        <v>597</v>
      </c>
      <c r="D20243" s="1" t="str">
        <f t="shared" si="545"/>
        <v>PRG-1047641</v>
      </c>
      <c r="E20243" t="s">
        <v>423</v>
      </c>
      <c r="F20243" t="s">
        <v>4</v>
      </c>
      <c r="G20243" t="str">
        <f>""</f>
        <v/>
      </c>
    </row>
    <row r="20244" spans="1:7" x14ac:dyDescent="0.25">
      <c r="A20244" t="s">
        <v>8</v>
      </c>
      <c r="B20244" s="1" t="str">
        <f>"000297925 - RICH FOODS-RED ROBIN"</f>
        <v>000297925 - RICH FOODS-RED ROBIN</v>
      </c>
      <c r="C20244" t="s">
        <v>597</v>
      </c>
      <c r="D20244" s="1" t="str">
        <f t="shared" si="545"/>
        <v>PRG-1047641</v>
      </c>
      <c r="E20244" t="s">
        <v>423</v>
      </c>
      <c r="F20244" t="s">
        <v>4</v>
      </c>
      <c r="G20244" t="str">
        <f>""</f>
        <v/>
      </c>
    </row>
    <row r="20245" spans="1:7" x14ac:dyDescent="0.25">
      <c r="A20245" t="s">
        <v>8</v>
      </c>
      <c r="B20245" s="1" t="str">
        <f>"000317885 - RICH FOODS-RED ROBIN"</f>
        <v>000317885 - RICH FOODS-RED ROBIN</v>
      </c>
      <c r="C20245" t="s">
        <v>597</v>
      </c>
      <c r="D20245" s="1" t="str">
        <f t="shared" si="545"/>
        <v>PRG-1047641</v>
      </c>
      <c r="E20245" t="s">
        <v>423</v>
      </c>
      <c r="F20245" t="s">
        <v>4</v>
      </c>
      <c r="G20245" t="str">
        <f>""</f>
        <v/>
      </c>
    </row>
    <row r="20246" spans="1:7" x14ac:dyDescent="0.25">
      <c r="A20246" t="s">
        <v>8</v>
      </c>
      <c r="B20246" s="1" t="str">
        <f>"000318627 - RICH FOODS-RED ROBIN"</f>
        <v>000318627 - RICH FOODS-RED ROBIN</v>
      </c>
      <c r="C20246" t="s">
        <v>597</v>
      </c>
      <c r="D20246" s="1" t="str">
        <f t="shared" si="545"/>
        <v>PRG-1047641</v>
      </c>
      <c r="E20246" t="s">
        <v>423</v>
      </c>
      <c r="F20246" t="s">
        <v>4</v>
      </c>
      <c r="G20246" t="str">
        <f>""</f>
        <v/>
      </c>
    </row>
    <row r="20247" spans="1:7" x14ac:dyDescent="0.25">
      <c r="A20247" t="s">
        <v>8</v>
      </c>
      <c r="B20247" s="1" t="str">
        <f>"000318964 - RICH FOODS-RED ROBIN"</f>
        <v>000318964 - RICH FOODS-RED ROBIN</v>
      </c>
      <c r="C20247" t="s">
        <v>597</v>
      </c>
      <c r="D20247" s="1" t="str">
        <f t="shared" si="545"/>
        <v>PRG-1047641</v>
      </c>
      <c r="E20247" t="s">
        <v>423</v>
      </c>
      <c r="F20247" t="s">
        <v>4</v>
      </c>
      <c r="G20247" t="str">
        <f>""</f>
        <v/>
      </c>
    </row>
    <row r="20248" spans="1:7" x14ac:dyDescent="0.25">
      <c r="A20248" t="s">
        <v>8</v>
      </c>
      <c r="B20248" s="1" t="str">
        <f>"000322806 - RICH FOODS-RED ROBIN"</f>
        <v>000322806 - RICH FOODS-RED ROBIN</v>
      </c>
      <c r="C20248" t="s">
        <v>597</v>
      </c>
      <c r="D20248" s="1" t="str">
        <f t="shared" si="545"/>
        <v>PRG-1047641</v>
      </c>
      <c r="E20248" t="s">
        <v>423</v>
      </c>
      <c r="F20248" t="s">
        <v>4</v>
      </c>
      <c r="G20248" t="str">
        <f>""</f>
        <v/>
      </c>
    </row>
    <row r="20249" spans="1:7" x14ac:dyDescent="0.25">
      <c r="A20249" t="s">
        <v>8</v>
      </c>
      <c r="B20249" s="1" t="str">
        <f>"000325736 - RICH FOODS-RED ROBIN"</f>
        <v>000325736 - RICH FOODS-RED ROBIN</v>
      </c>
      <c r="C20249" t="s">
        <v>597</v>
      </c>
      <c r="D20249" s="1" t="str">
        <f t="shared" si="545"/>
        <v>PRG-1047641</v>
      </c>
      <c r="E20249" t="s">
        <v>423</v>
      </c>
      <c r="F20249" t="s">
        <v>4</v>
      </c>
      <c r="G20249" t="str">
        <f>""</f>
        <v/>
      </c>
    </row>
    <row r="20250" spans="1:7" x14ac:dyDescent="0.25">
      <c r="A20250" t="s">
        <v>8</v>
      </c>
      <c r="B20250" s="1" t="str">
        <f>"000327058 - RICH FOODS-RED ROBIN"</f>
        <v>000327058 - RICH FOODS-RED ROBIN</v>
      </c>
      <c r="C20250" t="s">
        <v>597</v>
      </c>
      <c r="D20250" s="1" t="str">
        <f t="shared" si="545"/>
        <v>PRG-1047641</v>
      </c>
      <c r="E20250" t="s">
        <v>423</v>
      </c>
      <c r="F20250" t="s">
        <v>4</v>
      </c>
      <c r="G20250" t="str">
        <f>""</f>
        <v/>
      </c>
    </row>
    <row r="20251" spans="1:7" x14ac:dyDescent="0.25">
      <c r="A20251" t="s">
        <v>8</v>
      </c>
      <c r="B20251" s="1" t="str">
        <f>"000359869 - RICH FOODS-RED ROBIN"</f>
        <v>000359869 - RICH FOODS-RED ROBIN</v>
      </c>
      <c r="C20251" t="s">
        <v>597</v>
      </c>
      <c r="D20251" s="1" t="str">
        <f t="shared" si="545"/>
        <v>PRG-1047641</v>
      </c>
      <c r="E20251" t="s">
        <v>423</v>
      </c>
      <c r="F20251" t="s">
        <v>4</v>
      </c>
      <c r="G20251" t="str">
        <f>""</f>
        <v/>
      </c>
    </row>
    <row r="20252" spans="1:7" x14ac:dyDescent="0.25">
      <c r="A20252" t="s">
        <v>8</v>
      </c>
      <c r="B20252" s="1" t="str">
        <f>"000374855 - RICH FOODS-RED ROBIN"</f>
        <v>000374855 - RICH FOODS-RED ROBIN</v>
      </c>
      <c r="C20252" t="s">
        <v>597</v>
      </c>
      <c r="D20252" s="1" t="str">
        <f t="shared" si="545"/>
        <v>PRG-1047641</v>
      </c>
      <c r="E20252" t="s">
        <v>423</v>
      </c>
      <c r="F20252" t="s">
        <v>4</v>
      </c>
      <c r="G20252" t="str">
        <f>""</f>
        <v/>
      </c>
    </row>
    <row r="20253" spans="1:7" x14ac:dyDescent="0.25">
      <c r="A20253" t="s">
        <v>8</v>
      </c>
      <c r="B20253" s="1" t="str">
        <f>"000391416 - RICH FOODS-RED ROBIN"</f>
        <v>000391416 - RICH FOODS-RED ROBIN</v>
      </c>
      <c r="C20253" t="s">
        <v>597</v>
      </c>
      <c r="D20253" s="1" t="str">
        <f t="shared" si="545"/>
        <v>PRG-1047641</v>
      </c>
      <c r="E20253" t="s">
        <v>423</v>
      </c>
      <c r="F20253" t="s">
        <v>4</v>
      </c>
      <c r="G20253" t="str">
        <f>""</f>
        <v/>
      </c>
    </row>
    <row r="20254" spans="1:7" x14ac:dyDescent="0.25">
      <c r="A20254" t="s">
        <v>8</v>
      </c>
      <c r="B20254" s="1" t="str">
        <f>"000396135 - RICH FOODS-RED ROBIN"</f>
        <v>000396135 - RICH FOODS-RED ROBIN</v>
      </c>
      <c r="C20254" t="s">
        <v>597</v>
      </c>
      <c r="D20254" s="1" t="str">
        <f t="shared" si="545"/>
        <v>PRG-1047641</v>
      </c>
      <c r="E20254" t="s">
        <v>423</v>
      </c>
      <c r="F20254" t="s">
        <v>4</v>
      </c>
      <c r="G20254" t="str">
        <f>""</f>
        <v/>
      </c>
    </row>
    <row r="20255" spans="1:7" x14ac:dyDescent="0.25">
      <c r="A20255" t="s">
        <v>8</v>
      </c>
      <c r="B20255" s="1" t="str">
        <f>"000405000 - RICH FOODS-RED ROBIN"</f>
        <v>000405000 - RICH FOODS-RED ROBIN</v>
      </c>
      <c r="C20255" t="s">
        <v>597</v>
      </c>
      <c r="D20255" s="1" t="str">
        <f t="shared" si="545"/>
        <v>PRG-1047641</v>
      </c>
      <c r="E20255" t="s">
        <v>423</v>
      </c>
      <c r="F20255" t="s">
        <v>4</v>
      </c>
      <c r="G20255" t="str">
        <f>""</f>
        <v/>
      </c>
    </row>
    <row r="20256" spans="1:7" x14ac:dyDescent="0.25">
      <c r="A20256" t="s">
        <v>8</v>
      </c>
      <c r="B20256" s="1" t="str">
        <f>"000407762 - RICH FOODS-RED ROBIN"</f>
        <v>000407762 - RICH FOODS-RED ROBIN</v>
      </c>
      <c r="C20256" t="s">
        <v>597</v>
      </c>
      <c r="D20256" s="1" t="str">
        <f t="shared" si="545"/>
        <v>PRG-1047641</v>
      </c>
      <c r="E20256" t="s">
        <v>423</v>
      </c>
      <c r="F20256" t="s">
        <v>4</v>
      </c>
      <c r="G20256" t="str">
        <f>""</f>
        <v/>
      </c>
    </row>
    <row r="20257" spans="1:7" x14ac:dyDescent="0.25">
      <c r="A20257" t="s">
        <v>8</v>
      </c>
      <c r="B20257" s="1" t="str">
        <f>"000425853 - RICH FOODS-RED ROBIN"</f>
        <v>000425853 - RICH FOODS-RED ROBIN</v>
      </c>
      <c r="C20257" t="s">
        <v>597</v>
      </c>
      <c r="D20257" s="1" t="str">
        <f t="shared" si="545"/>
        <v>PRG-1047641</v>
      </c>
      <c r="E20257" t="s">
        <v>423</v>
      </c>
      <c r="F20257" t="s">
        <v>4</v>
      </c>
      <c r="G20257" t="str">
        <f>""</f>
        <v/>
      </c>
    </row>
    <row r="20258" spans="1:7" x14ac:dyDescent="0.25">
      <c r="A20258" t="s">
        <v>8</v>
      </c>
      <c r="B20258" s="1" t="str">
        <f>"000439984 - RICH FOODS-RED ROBIN"</f>
        <v>000439984 - RICH FOODS-RED ROBIN</v>
      </c>
      <c r="C20258" t="s">
        <v>597</v>
      </c>
      <c r="D20258" s="1" t="str">
        <f t="shared" si="545"/>
        <v>PRG-1047641</v>
      </c>
      <c r="E20258" t="s">
        <v>423</v>
      </c>
      <c r="F20258" t="s">
        <v>4</v>
      </c>
      <c r="G20258" t="str">
        <f>""</f>
        <v/>
      </c>
    </row>
    <row r="20259" spans="1:7" x14ac:dyDescent="0.25">
      <c r="A20259" t="s">
        <v>8</v>
      </c>
      <c r="B20259" s="1" t="str">
        <f>"S1Z06AZ0"</f>
        <v>S1Z06AZ0</v>
      </c>
      <c r="C20259" t="s">
        <v>5342</v>
      </c>
      <c r="D20259" s="1" t="str">
        <f t="shared" si="545"/>
        <v>PRG-1047641</v>
      </c>
      <c r="E20259" t="s">
        <v>423</v>
      </c>
      <c r="F20259" t="s">
        <v>5</v>
      </c>
      <c r="G20259" t="str">
        <f>""</f>
        <v/>
      </c>
    </row>
    <row r="20260" spans="1:7" x14ac:dyDescent="0.25">
      <c r="A20260" t="s">
        <v>8</v>
      </c>
      <c r="B20260" s="1" t="str">
        <f>"S1Z06BA0"</f>
        <v>S1Z06BA0</v>
      </c>
      <c r="C20260" t="s">
        <v>5343</v>
      </c>
      <c r="D20260" s="1" t="str">
        <f t="shared" si="545"/>
        <v>PRG-1047641</v>
      </c>
      <c r="E20260" t="s">
        <v>423</v>
      </c>
      <c r="F20260" t="s">
        <v>5</v>
      </c>
      <c r="G20260" t="str">
        <f>""</f>
        <v/>
      </c>
    </row>
    <row r="20261" spans="1:7" x14ac:dyDescent="0.25">
      <c r="A20261" t="s">
        <v>8</v>
      </c>
      <c r="B20261" s="1" t="str">
        <f>"S1Z06BN0"</f>
        <v>S1Z06BN0</v>
      </c>
      <c r="C20261" t="s">
        <v>5344</v>
      </c>
      <c r="D20261" s="1" t="str">
        <f t="shared" si="545"/>
        <v>PRG-1047641</v>
      </c>
      <c r="E20261" t="s">
        <v>423</v>
      </c>
      <c r="F20261" t="s">
        <v>5</v>
      </c>
      <c r="G20261" t="str">
        <f>""</f>
        <v/>
      </c>
    </row>
    <row r="20262" spans="1:7" x14ac:dyDescent="0.25">
      <c r="A20262" t="s">
        <v>8</v>
      </c>
      <c r="B20262" s="1" t="str">
        <f>"S1Z0XC70"</f>
        <v>S1Z0XC70</v>
      </c>
      <c r="C20262" t="s">
        <v>5454</v>
      </c>
      <c r="D20262" s="1" t="str">
        <f t="shared" si="545"/>
        <v>PRG-1047641</v>
      </c>
      <c r="E20262" t="s">
        <v>423</v>
      </c>
      <c r="F20262" t="s">
        <v>5</v>
      </c>
      <c r="G20262" t="str">
        <f>""</f>
        <v/>
      </c>
    </row>
    <row r="20263" spans="1:7" x14ac:dyDescent="0.25">
      <c r="A20263" t="s">
        <v>8</v>
      </c>
      <c r="B20263" s="1" t="str">
        <f>"S5O00XH0"</f>
        <v>S5O00XH0</v>
      </c>
      <c r="C20263" t="s">
        <v>5929</v>
      </c>
      <c r="D20263" s="1" t="str">
        <f>"PRG-1047642"</f>
        <v>PRG-1047642</v>
      </c>
      <c r="E20263" t="s">
        <v>5930</v>
      </c>
      <c r="F20263" t="s">
        <v>5</v>
      </c>
      <c r="G20263" t="str">
        <f>""</f>
        <v/>
      </c>
    </row>
    <row r="20264" spans="1:7" x14ac:dyDescent="0.25">
      <c r="A20264" t="s">
        <v>8</v>
      </c>
      <c r="B20264" s="1" t="str">
        <f>"000025232 - RICHS TOPPING SODEXO"</f>
        <v>000025232 - RICHS TOPPING SODEXO</v>
      </c>
      <c r="C20264" t="s">
        <v>371</v>
      </c>
      <c r="D20264" s="1" t="str">
        <f t="shared" ref="D20264:D20295" si="546">"PRG-1047643"</f>
        <v>PRG-1047643</v>
      </c>
      <c r="E20264" t="s">
        <v>79</v>
      </c>
      <c r="F20264" t="s">
        <v>4</v>
      </c>
      <c r="G20264" t="str">
        <f>""</f>
        <v/>
      </c>
    </row>
    <row r="20265" spans="1:7" x14ac:dyDescent="0.25">
      <c r="A20265" t="s">
        <v>8</v>
      </c>
      <c r="B20265" s="1" t="str">
        <f>"000026148 - RICHS TOPPING SODEXO"</f>
        <v>000026148 - RICHS TOPPING SODEXO</v>
      </c>
      <c r="C20265" t="s">
        <v>371</v>
      </c>
      <c r="D20265" s="1" t="str">
        <f t="shared" si="546"/>
        <v>PRG-1047643</v>
      </c>
      <c r="E20265" t="s">
        <v>79</v>
      </c>
      <c r="F20265" t="s">
        <v>4</v>
      </c>
      <c r="G20265" t="str">
        <f>""</f>
        <v/>
      </c>
    </row>
    <row r="20266" spans="1:7" x14ac:dyDescent="0.25">
      <c r="A20266" t="s">
        <v>8</v>
      </c>
      <c r="B20266" s="1" t="str">
        <f>"000036585 - RICHS TOPPINGS-SODEXO"</f>
        <v>000036585 - RICHS TOPPINGS-SODEXO</v>
      </c>
      <c r="C20266" t="s">
        <v>222</v>
      </c>
      <c r="D20266" s="1" t="str">
        <f t="shared" si="546"/>
        <v>PRG-1047643</v>
      </c>
      <c r="E20266" t="s">
        <v>79</v>
      </c>
      <c r="F20266" t="s">
        <v>4</v>
      </c>
      <c r="G20266" t="str">
        <f>""</f>
        <v/>
      </c>
    </row>
    <row r="20267" spans="1:7" x14ac:dyDescent="0.25">
      <c r="A20267" t="s">
        <v>8</v>
      </c>
      <c r="B20267" s="1" t="str">
        <f>"000048599 - RICHS TOPPINGS-SODEXO"</f>
        <v>000048599 - RICHS TOPPINGS-SODEXO</v>
      </c>
      <c r="C20267" t="s">
        <v>222</v>
      </c>
      <c r="D20267" s="1" t="str">
        <f t="shared" si="546"/>
        <v>PRG-1047643</v>
      </c>
      <c r="E20267" t="s">
        <v>79</v>
      </c>
      <c r="F20267" t="s">
        <v>4</v>
      </c>
      <c r="G20267" t="str">
        <f>""</f>
        <v/>
      </c>
    </row>
    <row r="20268" spans="1:7" x14ac:dyDescent="0.25">
      <c r="A20268" t="s">
        <v>8</v>
      </c>
      <c r="B20268" s="1" t="str">
        <f>"000049430 - RICHS TOPPINGS-SODEXO"</f>
        <v>000049430 - RICHS TOPPINGS-SODEXO</v>
      </c>
      <c r="C20268" t="s">
        <v>222</v>
      </c>
      <c r="D20268" s="1" t="str">
        <f t="shared" si="546"/>
        <v>PRG-1047643</v>
      </c>
      <c r="E20268" t="s">
        <v>79</v>
      </c>
      <c r="F20268" t="s">
        <v>4</v>
      </c>
      <c r="G20268" t="str">
        <f>""</f>
        <v/>
      </c>
    </row>
    <row r="20269" spans="1:7" x14ac:dyDescent="0.25">
      <c r="A20269" t="s">
        <v>8</v>
      </c>
      <c r="B20269" s="1" t="str">
        <f>"000051292 - RICHS TOPPINGS-SODEXO"</f>
        <v>000051292 - RICHS TOPPINGS-SODEXO</v>
      </c>
      <c r="C20269" t="s">
        <v>222</v>
      </c>
      <c r="D20269" s="1" t="str">
        <f t="shared" si="546"/>
        <v>PRG-1047643</v>
      </c>
      <c r="E20269" t="s">
        <v>79</v>
      </c>
      <c r="F20269" t="s">
        <v>4</v>
      </c>
      <c r="G20269" t="str">
        <f>""</f>
        <v/>
      </c>
    </row>
    <row r="20270" spans="1:7" x14ac:dyDescent="0.25">
      <c r="A20270" t="s">
        <v>8</v>
      </c>
      <c r="B20270" s="1" t="str">
        <f>"000052723 - RICHS TOPPINGS-SODEXO"</f>
        <v>000052723 - RICHS TOPPINGS-SODEXO</v>
      </c>
      <c r="C20270" t="s">
        <v>222</v>
      </c>
      <c r="D20270" s="1" t="str">
        <f t="shared" si="546"/>
        <v>PRG-1047643</v>
      </c>
      <c r="E20270" t="s">
        <v>79</v>
      </c>
      <c r="F20270" t="s">
        <v>4</v>
      </c>
      <c r="G20270" t="str">
        <f>""</f>
        <v/>
      </c>
    </row>
    <row r="20271" spans="1:7" x14ac:dyDescent="0.25">
      <c r="A20271" t="s">
        <v>8</v>
      </c>
      <c r="B20271" s="1" t="str">
        <f>"000053275 - RICHS TOPPINGS-SODEXO"</f>
        <v>000053275 - RICHS TOPPINGS-SODEXO</v>
      </c>
      <c r="C20271" t="s">
        <v>222</v>
      </c>
      <c r="D20271" s="1" t="str">
        <f t="shared" si="546"/>
        <v>PRG-1047643</v>
      </c>
      <c r="E20271" t="s">
        <v>79</v>
      </c>
      <c r="F20271" t="s">
        <v>4</v>
      </c>
      <c r="G20271" t="str">
        <f>""</f>
        <v/>
      </c>
    </row>
    <row r="20272" spans="1:7" x14ac:dyDescent="0.25">
      <c r="A20272" t="s">
        <v>8</v>
      </c>
      <c r="B20272" s="1" t="str">
        <f>"000057021 - RICHS TOPPINGS-SODEXO"</f>
        <v>000057021 - RICHS TOPPINGS-SODEXO</v>
      </c>
      <c r="C20272" t="s">
        <v>222</v>
      </c>
      <c r="D20272" s="1" t="str">
        <f t="shared" si="546"/>
        <v>PRG-1047643</v>
      </c>
      <c r="E20272" t="s">
        <v>79</v>
      </c>
      <c r="F20272" t="s">
        <v>4</v>
      </c>
      <c r="G20272" t="str">
        <f>""</f>
        <v/>
      </c>
    </row>
    <row r="20273" spans="1:7" x14ac:dyDescent="0.25">
      <c r="A20273" t="s">
        <v>8</v>
      </c>
      <c r="B20273" s="1" t="str">
        <f>"000063321 - RICHS TOPPINGS-SODEXO"</f>
        <v>000063321 - RICHS TOPPINGS-SODEXO</v>
      </c>
      <c r="C20273" t="s">
        <v>222</v>
      </c>
      <c r="D20273" s="1" t="str">
        <f t="shared" si="546"/>
        <v>PRG-1047643</v>
      </c>
      <c r="E20273" t="s">
        <v>79</v>
      </c>
      <c r="F20273" t="s">
        <v>4</v>
      </c>
      <c r="G20273" t="str">
        <f>""</f>
        <v/>
      </c>
    </row>
    <row r="20274" spans="1:7" x14ac:dyDescent="0.25">
      <c r="A20274" t="s">
        <v>8</v>
      </c>
      <c r="B20274" s="1" t="str">
        <f>"000063352 - RICHS TOPPINGS-SODEXO"</f>
        <v>000063352 - RICHS TOPPINGS-SODEXO</v>
      </c>
      <c r="C20274" t="s">
        <v>222</v>
      </c>
      <c r="D20274" s="1" t="str">
        <f t="shared" si="546"/>
        <v>PRG-1047643</v>
      </c>
      <c r="E20274" t="s">
        <v>79</v>
      </c>
      <c r="F20274" t="s">
        <v>4</v>
      </c>
      <c r="G20274" t="str">
        <f>""</f>
        <v/>
      </c>
    </row>
    <row r="20275" spans="1:7" x14ac:dyDescent="0.25">
      <c r="A20275" t="s">
        <v>8</v>
      </c>
      <c r="B20275" s="1" t="str">
        <f>"000068304 - RICHS TOPPINGS-SODEXO"</f>
        <v>000068304 - RICHS TOPPINGS-SODEXO</v>
      </c>
      <c r="C20275" t="s">
        <v>222</v>
      </c>
      <c r="D20275" s="1" t="str">
        <f t="shared" si="546"/>
        <v>PRG-1047643</v>
      </c>
      <c r="E20275" t="s">
        <v>79</v>
      </c>
      <c r="F20275" t="s">
        <v>4</v>
      </c>
      <c r="G20275" t="str">
        <f>""</f>
        <v/>
      </c>
    </row>
    <row r="20276" spans="1:7" x14ac:dyDescent="0.25">
      <c r="A20276" t="s">
        <v>8</v>
      </c>
      <c r="B20276" s="1" t="str">
        <f>"000069745 - RICHS TOPPINGS-SODEXO"</f>
        <v>000069745 - RICHS TOPPINGS-SODEXO</v>
      </c>
      <c r="C20276" t="s">
        <v>222</v>
      </c>
      <c r="D20276" s="1" t="str">
        <f t="shared" si="546"/>
        <v>PRG-1047643</v>
      </c>
      <c r="E20276" t="s">
        <v>79</v>
      </c>
      <c r="F20276" t="s">
        <v>4</v>
      </c>
      <c r="G20276" t="str">
        <f>""</f>
        <v/>
      </c>
    </row>
    <row r="20277" spans="1:7" x14ac:dyDescent="0.25">
      <c r="A20277" t="s">
        <v>8</v>
      </c>
      <c r="B20277" s="1" t="str">
        <f>"000091865 - RICHS TOPPINGS-SODEXO"</f>
        <v>000091865 - RICHS TOPPINGS-SODEXO</v>
      </c>
      <c r="C20277" t="s">
        <v>222</v>
      </c>
      <c r="D20277" s="1" t="str">
        <f t="shared" si="546"/>
        <v>PRG-1047643</v>
      </c>
      <c r="E20277" t="s">
        <v>79</v>
      </c>
      <c r="F20277" t="s">
        <v>4</v>
      </c>
      <c r="G20277" t="str">
        <f>""</f>
        <v/>
      </c>
    </row>
    <row r="20278" spans="1:7" x14ac:dyDescent="0.25">
      <c r="A20278" t="s">
        <v>8</v>
      </c>
      <c r="B20278" s="1" t="str">
        <f>"000095079 - RICHS TOPPINGS-SODEXO"</f>
        <v>000095079 - RICHS TOPPINGS-SODEXO</v>
      </c>
      <c r="C20278" t="s">
        <v>222</v>
      </c>
      <c r="D20278" s="1" t="str">
        <f t="shared" si="546"/>
        <v>PRG-1047643</v>
      </c>
      <c r="E20278" t="s">
        <v>79</v>
      </c>
      <c r="F20278" t="s">
        <v>4</v>
      </c>
      <c r="G20278" t="str">
        <f>""</f>
        <v/>
      </c>
    </row>
    <row r="20279" spans="1:7" x14ac:dyDescent="0.25">
      <c r="A20279" t="s">
        <v>8</v>
      </c>
      <c r="B20279" s="1" t="str">
        <f>"000100662 - RICHS TOPPINGS-SODEXO"</f>
        <v>000100662 - RICHS TOPPINGS-SODEXO</v>
      </c>
      <c r="C20279" t="s">
        <v>222</v>
      </c>
      <c r="D20279" s="1" t="str">
        <f t="shared" si="546"/>
        <v>PRG-1047643</v>
      </c>
      <c r="E20279" t="s">
        <v>79</v>
      </c>
      <c r="F20279" t="s">
        <v>4</v>
      </c>
      <c r="G20279" t="str">
        <f>""</f>
        <v/>
      </c>
    </row>
    <row r="20280" spans="1:7" x14ac:dyDescent="0.25">
      <c r="A20280" t="s">
        <v>8</v>
      </c>
      <c r="B20280" s="1" t="str">
        <f>"000118205 - RICHS TOPPINGS-SODEXO"</f>
        <v>000118205 - RICHS TOPPINGS-SODEXO</v>
      </c>
      <c r="C20280" t="s">
        <v>222</v>
      </c>
      <c r="D20280" s="1" t="str">
        <f t="shared" si="546"/>
        <v>PRG-1047643</v>
      </c>
      <c r="E20280" t="s">
        <v>79</v>
      </c>
      <c r="F20280" t="s">
        <v>4</v>
      </c>
      <c r="G20280" t="str">
        <f>""</f>
        <v/>
      </c>
    </row>
    <row r="20281" spans="1:7" x14ac:dyDescent="0.25">
      <c r="A20281" t="s">
        <v>8</v>
      </c>
      <c r="B20281" s="1" t="str">
        <f>"000136493 - RICH'S TOPPINGS-SODEXO"</f>
        <v>000136493 - RICH'S TOPPINGS-SODEXO</v>
      </c>
      <c r="C20281" t="s">
        <v>142</v>
      </c>
      <c r="D20281" s="1" t="str">
        <f t="shared" si="546"/>
        <v>PRG-1047643</v>
      </c>
      <c r="E20281" t="s">
        <v>79</v>
      </c>
      <c r="F20281" t="s">
        <v>4</v>
      </c>
      <c r="G20281" t="str">
        <f>""</f>
        <v/>
      </c>
    </row>
    <row r="20282" spans="1:7" x14ac:dyDescent="0.25">
      <c r="A20282" t="s">
        <v>8</v>
      </c>
      <c r="B20282" s="1" t="str">
        <f>"000140319 - RICH'S TOPPINGS-SODEXO"</f>
        <v>000140319 - RICH'S TOPPINGS-SODEXO</v>
      </c>
      <c r="C20282" t="s">
        <v>142</v>
      </c>
      <c r="D20282" s="1" t="str">
        <f t="shared" si="546"/>
        <v>PRG-1047643</v>
      </c>
      <c r="E20282" t="s">
        <v>79</v>
      </c>
      <c r="F20282" t="s">
        <v>4</v>
      </c>
      <c r="G20282" t="str">
        <f>""</f>
        <v/>
      </c>
    </row>
    <row r="20283" spans="1:7" x14ac:dyDescent="0.25">
      <c r="A20283" t="s">
        <v>8</v>
      </c>
      <c r="B20283" s="1" t="str">
        <f>"000155218 - RICH'S TOPPINGS-SODEXO"</f>
        <v>000155218 - RICH'S TOPPINGS-SODEXO</v>
      </c>
      <c r="C20283" t="s">
        <v>142</v>
      </c>
      <c r="D20283" s="1" t="str">
        <f t="shared" si="546"/>
        <v>PRG-1047643</v>
      </c>
      <c r="E20283" t="s">
        <v>79</v>
      </c>
      <c r="F20283" t="s">
        <v>4</v>
      </c>
      <c r="G20283" t="str">
        <f>""</f>
        <v/>
      </c>
    </row>
    <row r="20284" spans="1:7" x14ac:dyDescent="0.25">
      <c r="A20284" t="s">
        <v>8</v>
      </c>
      <c r="B20284" s="1" t="str">
        <f>"000163612 - RICHS TOPPINGS-SODEXO"</f>
        <v>000163612 - RICHS TOPPINGS-SODEXO</v>
      </c>
      <c r="C20284" t="s">
        <v>222</v>
      </c>
      <c r="D20284" s="1" t="str">
        <f t="shared" si="546"/>
        <v>PRG-1047643</v>
      </c>
      <c r="E20284" t="s">
        <v>79</v>
      </c>
      <c r="F20284" t="s">
        <v>4</v>
      </c>
      <c r="G20284" t="str">
        <f>""</f>
        <v/>
      </c>
    </row>
    <row r="20285" spans="1:7" x14ac:dyDescent="0.25">
      <c r="A20285" t="s">
        <v>8</v>
      </c>
      <c r="B20285" s="1" t="str">
        <f>"000181552 - RICH'S TOPPINGS-SODEXO"</f>
        <v>000181552 - RICH'S TOPPINGS-SODEXO</v>
      </c>
      <c r="C20285" t="s">
        <v>142</v>
      </c>
      <c r="D20285" s="1" t="str">
        <f t="shared" si="546"/>
        <v>PRG-1047643</v>
      </c>
      <c r="E20285" t="s">
        <v>79</v>
      </c>
      <c r="F20285" t="s">
        <v>4</v>
      </c>
      <c r="G20285" t="str">
        <f>""</f>
        <v/>
      </c>
    </row>
    <row r="20286" spans="1:7" x14ac:dyDescent="0.25">
      <c r="A20286" t="s">
        <v>8</v>
      </c>
      <c r="B20286" s="1" t="str">
        <f>"000190898 - RICHS TOPPINGS-SODEXO"</f>
        <v>000190898 - RICHS TOPPINGS-SODEXO</v>
      </c>
      <c r="C20286" t="s">
        <v>222</v>
      </c>
      <c r="D20286" s="1" t="str">
        <f t="shared" si="546"/>
        <v>PRG-1047643</v>
      </c>
      <c r="E20286" t="s">
        <v>79</v>
      </c>
      <c r="F20286" t="s">
        <v>4</v>
      </c>
      <c r="G20286" t="str">
        <f>""</f>
        <v/>
      </c>
    </row>
    <row r="20287" spans="1:7" x14ac:dyDescent="0.25">
      <c r="A20287" t="s">
        <v>8</v>
      </c>
      <c r="B20287" s="1" t="str">
        <f>"000193854 - RICHS TOPPINGS-SODEXO"</f>
        <v>000193854 - RICHS TOPPINGS-SODEXO</v>
      </c>
      <c r="C20287" t="s">
        <v>222</v>
      </c>
      <c r="D20287" s="1" t="str">
        <f t="shared" si="546"/>
        <v>PRG-1047643</v>
      </c>
      <c r="E20287" t="s">
        <v>79</v>
      </c>
      <c r="F20287" t="s">
        <v>4</v>
      </c>
      <c r="G20287" t="str">
        <f>""</f>
        <v/>
      </c>
    </row>
    <row r="20288" spans="1:7" x14ac:dyDescent="0.25">
      <c r="A20288" t="s">
        <v>8</v>
      </c>
      <c r="B20288" s="1" t="str">
        <f>"000194526 - RICHS TOPPINGS-SODEXO"</f>
        <v>000194526 - RICHS TOPPINGS-SODEXO</v>
      </c>
      <c r="C20288" t="s">
        <v>222</v>
      </c>
      <c r="D20288" s="1" t="str">
        <f t="shared" si="546"/>
        <v>PRG-1047643</v>
      </c>
      <c r="E20288" t="s">
        <v>79</v>
      </c>
      <c r="F20288" t="s">
        <v>4</v>
      </c>
      <c r="G20288" t="str">
        <f>""</f>
        <v/>
      </c>
    </row>
    <row r="20289" spans="1:7" x14ac:dyDescent="0.25">
      <c r="A20289" t="s">
        <v>8</v>
      </c>
      <c r="B20289" s="1" t="str">
        <f>"000199012 - RICHS TOPPINGS-SODEXO"</f>
        <v>000199012 - RICHS TOPPINGS-SODEXO</v>
      </c>
      <c r="C20289" t="s">
        <v>222</v>
      </c>
      <c r="D20289" s="1" t="str">
        <f t="shared" si="546"/>
        <v>PRG-1047643</v>
      </c>
      <c r="E20289" t="s">
        <v>79</v>
      </c>
      <c r="F20289" t="s">
        <v>4</v>
      </c>
      <c r="G20289" t="str">
        <f>""</f>
        <v/>
      </c>
    </row>
    <row r="20290" spans="1:7" x14ac:dyDescent="0.25">
      <c r="A20290" t="s">
        <v>8</v>
      </c>
      <c r="B20290" s="1" t="str">
        <f>"000214286 - RICHS TOPPINGS-SODEXO"</f>
        <v>000214286 - RICHS TOPPINGS-SODEXO</v>
      </c>
      <c r="C20290" t="s">
        <v>222</v>
      </c>
      <c r="D20290" s="1" t="str">
        <f t="shared" si="546"/>
        <v>PRG-1047643</v>
      </c>
      <c r="E20290" t="s">
        <v>79</v>
      </c>
      <c r="F20290" t="s">
        <v>4</v>
      </c>
      <c r="G20290" t="str">
        <f>""</f>
        <v/>
      </c>
    </row>
    <row r="20291" spans="1:7" x14ac:dyDescent="0.25">
      <c r="A20291" t="s">
        <v>8</v>
      </c>
      <c r="B20291" s="1" t="str">
        <f>"000229799 - RICHS TOPPINGS-SODEXO"</f>
        <v>000229799 - RICHS TOPPINGS-SODEXO</v>
      </c>
      <c r="C20291" t="s">
        <v>222</v>
      </c>
      <c r="D20291" s="1" t="str">
        <f t="shared" si="546"/>
        <v>PRG-1047643</v>
      </c>
      <c r="E20291" t="s">
        <v>79</v>
      </c>
      <c r="F20291" t="s">
        <v>4</v>
      </c>
      <c r="G20291" t="str">
        <f>""</f>
        <v/>
      </c>
    </row>
    <row r="20292" spans="1:7" x14ac:dyDescent="0.25">
      <c r="A20292" t="s">
        <v>8</v>
      </c>
      <c r="B20292" s="1" t="str">
        <f>"000231674 - RICH'S TOPPINGS-SODEXO"</f>
        <v>000231674 - RICH'S TOPPINGS-SODEXO</v>
      </c>
      <c r="C20292" t="s">
        <v>142</v>
      </c>
      <c r="D20292" s="1" t="str">
        <f t="shared" si="546"/>
        <v>PRG-1047643</v>
      </c>
      <c r="E20292" t="s">
        <v>79</v>
      </c>
      <c r="F20292" t="s">
        <v>4</v>
      </c>
      <c r="G20292" t="str">
        <f>""</f>
        <v/>
      </c>
    </row>
    <row r="20293" spans="1:7" x14ac:dyDescent="0.25">
      <c r="A20293" t="s">
        <v>8</v>
      </c>
      <c r="B20293" s="1" t="str">
        <f>"000232595 - RICHS TOPPINGS-SODEXO"</f>
        <v>000232595 - RICHS TOPPINGS-SODEXO</v>
      </c>
      <c r="C20293" t="s">
        <v>222</v>
      </c>
      <c r="D20293" s="1" t="str">
        <f t="shared" si="546"/>
        <v>PRG-1047643</v>
      </c>
      <c r="E20293" t="s">
        <v>79</v>
      </c>
      <c r="F20293" t="s">
        <v>4</v>
      </c>
      <c r="G20293" t="str">
        <f>""</f>
        <v/>
      </c>
    </row>
    <row r="20294" spans="1:7" x14ac:dyDescent="0.25">
      <c r="A20294" t="s">
        <v>8</v>
      </c>
      <c r="B20294" s="1" t="str">
        <f>"000235717 - RICH'S TOPPINGS-SODEXO"</f>
        <v>000235717 - RICH'S TOPPINGS-SODEXO</v>
      </c>
      <c r="C20294" t="s">
        <v>142</v>
      </c>
      <c r="D20294" s="1" t="str">
        <f t="shared" si="546"/>
        <v>PRG-1047643</v>
      </c>
      <c r="E20294" t="s">
        <v>79</v>
      </c>
      <c r="F20294" t="s">
        <v>4</v>
      </c>
      <c r="G20294" t="str">
        <f>""</f>
        <v/>
      </c>
    </row>
    <row r="20295" spans="1:7" x14ac:dyDescent="0.25">
      <c r="A20295" t="s">
        <v>8</v>
      </c>
      <c r="B20295" s="1" t="str">
        <f>"000242686 - RICH'S TOPPINGS-SODEXO"</f>
        <v>000242686 - RICH'S TOPPINGS-SODEXO</v>
      </c>
      <c r="C20295" t="s">
        <v>142</v>
      </c>
      <c r="D20295" s="1" t="str">
        <f t="shared" si="546"/>
        <v>PRG-1047643</v>
      </c>
      <c r="E20295" t="s">
        <v>79</v>
      </c>
      <c r="F20295" t="s">
        <v>4</v>
      </c>
      <c r="G20295" t="str">
        <f>""</f>
        <v/>
      </c>
    </row>
    <row r="20296" spans="1:7" x14ac:dyDescent="0.25">
      <c r="A20296" t="s">
        <v>8</v>
      </c>
      <c r="B20296" s="1" t="str">
        <f>"000259176 - RICHS TOPPINGS-SODEXO"</f>
        <v>000259176 - RICHS TOPPINGS-SODEXO</v>
      </c>
      <c r="C20296" t="s">
        <v>222</v>
      </c>
      <c r="D20296" s="1" t="str">
        <f t="shared" ref="D20296:D20327" si="547">"PRG-1047643"</f>
        <v>PRG-1047643</v>
      </c>
      <c r="E20296" t="s">
        <v>79</v>
      </c>
      <c r="F20296" t="s">
        <v>4</v>
      </c>
      <c r="G20296" t="str">
        <f>""</f>
        <v/>
      </c>
    </row>
    <row r="20297" spans="1:7" x14ac:dyDescent="0.25">
      <c r="A20297" t="s">
        <v>8</v>
      </c>
      <c r="B20297" s="1" t="str">
        <f>"000262702 - RICHS TOPPINGS-SODEXO"</f>
        <v>000262702 - RICHS TOPPINGS-SODEXO</v>
      </c>
      <c r="C20297" t="s">
        <v>222</v>
      </c>
      <c r="D20297" s="1" t="str">
        <f t="shared" si="547"/>
        <v>PRG-1047643</v>
      </c>
      <c r="E20297" t="s">
        <v>79</v>
      </c>
      <c r="F20297" t="s">
        <v>4</v>
      </c>
      <c r="G20297" t="str">
        <f>""</f>
        <v/>
      </c>
    </row>
    <row r="20298" spans="1:7" x14ac:dyDescent="0.25">
      <c r="A20298" t="s">
        <v>8</v>
      </c>
      <c r="B20298" s="1" t="str">
        <f>"000264835 - RICH'S TOPPINGS-SODEXO"</f>
        <v>000264835 - RICH'S TOPPINGS-SODEXO</v>
      </c>
      <c r="C20298" t="s">
        <v>142</v>
      </c>
      <c r="D20298" s="1" t="str">
        <f t="shared" si="547"/>
        <v>PRG-1047643</v>
      </c>
      <c r="E20298" t="s">
        <v>79</v>
      </c>
      <c r="F20298" t="s">
        <v>4</v>
      </c>
      <c r="G20298" t="str">
        <f>""</f>
        <v/>
      </c>
    </row>
    <row r="20299" spans="1:7" x14ac:dyDescent="0.25">
      <c r="A20299" t="s">
        <v>8</v>
      </c>
      <c r="B20299" s="1" t="str">
        <f>"000271382 - RICHS TOPPINGS-SODEXO"</f>
        <v>000271382 - RICHS TOPPINGS-SODEXO</v>
      </c>
      <c r="C20299" t="s">
        <v>222</v>
      </c>
      <c r="D20299" s="1" t="str">
        <f t="shared" si="547"/>
        <v>PRG-1047643</v>
      </c>
      <c r="E20299" t="s">
        <v>79</v>
      </c>
      <c r="F20299" t="s">
        <v>4</v>
      </c>
      <c r="G20299" t="str">
        <f>""</f>
        <v/>
      </c>
    </row>
    <row r="20300" spans="1:7" x14ac:dyDescent="0.25">
      <c r="A20300" t="s">
        <v>8</v>
      </c>
      <c r="B20300" s="1" t="str">
        <f>"000272028 - RICHS TOPPINGS-SODEXO"</f>
        <v>000272028 - RICHS TOPPINGS-SODEXO</v>
      </c>
      <c r="C20300" t="s">
        <v>222</v>
      </c>
      <c r="D20300" s="1" t="str">
        <f t="shared" si="547"/>
        <v>PRG-1047643</v>
      </c>
      <c r="E20300" t="s">
        <v>79</v>
      </c>
      <c r="F20300" t="s">
        <v>4</v>
      </c>
      <c r="G20300" t="str">
        <f>""</f>
        <v/>
      </c>
    </row>
    <row r="20301" spans="1:7" x14ac:dyDescent="0.25">
      <c r="A20301" t="s">
        <v>8</v>
      </c>
      <c r="B20301" s="1" t="str">
        <f>"000272374 - RICHS TOPPINGS-SODEXO"</f>
        <v>000272374 - RICHS TOPPINGS-SODEXO</v>
      </c>
      <c r="C20301" t="s">
        <v>222</v>
      </c>
      <c r="D20301" s="1" t="str">
        <f t="shared" si="547"/>
        <v>PRG-1047643</v>
      </c>
      <c r="E20301" t="s">
        <v>79</v>
      </c>
      <c r="F20301" t="s">
        <v>4</v>
      </c>
      <c r="G20301" t="str">
        <f>""</f>
        <v/>
      </c>
    </row>
    <row r="20302" spans="1:7" x14ac:dyDescent="0.25">
      <c r="A20302" t="s">
        <v>8</v>
      </c>
      <c r="B20302" s="1" t="str">
        <f>"000278271 - RICHS TOPPINGS-SODEXO"</f>
        <v>000278271 - RICHS TOPPINGS-SODEXO</v>
      </c>
      <c r="C20302" t="s">
        <v>222</v>
      </c>
      <c r="D20302" s="1" t="str">
        <f t="shared" si="547"/>
        <v>PRG-1047643</v>
      </c>
      <c r="E20302" t="s">
        <v>79</v>
      </c>
      <c r="F20302" t="s">
        <v>4</v>
      </c>
      <c r="G20302" t="str">
        <f>""</f>
        <v/>
      </c>
    </row>
    <row r="20303" spans="1:7" x14ac:dyDescent="0.25">
      <c r="A20303" t="s">
        <v>8</v>
      </c>
      <c r="B20303" s="1" t="str">
        <f>"000284115 - RICHS TOPPINGS-SODEXO"</f>
        <v>000284115 - RICHS TOPPINGS-SODEXO</v>
      </c>
      <c r="C20303" t="s">
        <v>222</v>
      </c>
      <c r="D20303" s="1" t="str">
        <f t="shared" si="547"/>
        <v>PRG-1047643</v>
      </c>
      <c r="E20303" t="s">
        <v>79</v>
      </c>
      <c r="F20303" t="s">
        <v>4</v>
      </c>
      <c r="G20303" t="str">
        <f>""</f>
        <v/>
      </c>
    </row>
    <row r="20304" spans="1:7" x14ac:dyDescent="0.25">
      <c r="A20304" t="s">
        <v>8</v>
      </c>
      <c r="B20304" s="1" t="str">
        <f>"000287555 - RICHS TOPPINGS-SODEXO"</f>
        <v>000287555 - RICHS TOPPINGS-SODEXO</v>
      </c>
      <c r="C20304" t="s">
        <v>222</v>
      </c>
      <c r="D20304" s="1" t="str">
        <f t="shared" si="547"/>
        <v>PRG-1047643</v>
      </c>
      <c r="E20304" t="s">
        <v>79</v>
      </c>
      <c r="F20304" t="s">
        <v>4</v>
      </c>
      <c r="G20304" t="str">
        <f>""</f>
        <v/>
      </c>
    </row>
    <row r="20305" spans="1:7" x14ac:dyDescent="0.25">
      <c r="A20305" t="s">
        <v>8</v>
      </c>
      <c r="B20305" s="1" t="str">
        <f>"000290114 - RICHS TOPPINGS-SODEXO"</f>
        <v>000290114 - RICHS TOPPINGS-SODEXO</v>
      </c>
      <c r="C20305" t="s">
        <v>222</v>
      </c>
      <c r="D20305" s="1" t="str">
        <f t="shared" si="547"/>
        <v>PRG-1047643</v>
      </c>
      <c r="E20305" t="s">
        <v>79</v>
      </c>
      <c r="F20305" t="s">
        <v>4</v>
      </c>
      <c r="G20305" t="str">
        <f>""</f>
        <v/>
      </c>
    </row>
    <row r="20306" spans="1:7" x14ac:dyDescent="0.25">
      <c r="A20306" t="s">
        <v>8</v>
      </c>
      <c r="B20306" s="1" t="str">
        <f>"000290851 - RICHS TOPPINGS-SODEXO"</f>
        <v>000290851 - RICHS TOPPINGS-SODEXO</v>
      </c>
      <c r="C20306" t="s">
        <v>222</v>
      </c>
      <c r="D20306" s="1" t="str">
        <f t="shared" si="547"/>
        <v>PRG-1047643</v>
      </c>
      <c r="E20306" t="s">
        <v>79</v>
      </c>
      <c r="F20306" t="s">
        <v>4</v>
      </c>
      <c r="G20306" t="str">
        <f>""</f>
        <v/>
      </c>
    </row>
    <row r="20307" spans="1:7" x14ac:dyDescent="0.25">
      <c r="A20307" t="s">
        <v>8</v>
      </c>
      <c r="B20307" s="1" t="str">
        <f>"000291504 - RICHS TOPPINGS-SODEXO"</f>
        <v>000291504 - RICHS TOPPINGS-SODEXO</v>
      </c>
      <c r="C20307" t="s">
        <v>222</v>
      </c>
      <c r="D20307" s="1" t="str">
        <f t="shared" si="547"/>
        <v>PRG-1047643</v>
      </c>
      <c r="E20307" t="s">
        <v>79</v>
      </c>
      <c r="F20307" t="s">
        <v>4</v>
      </c>
      <c r="G20307" t="str">
        <f>""</f>
        <v/>
      </c>
    </row>
    <row r="20308" spans="1:7" x14ac:dyDescent="0.25">
      <c r="A20308" t="s">
        <v>8</v>
      </c>
      <c r="B20308" s="1" t="str">
        <f>"000293476 - RICHS TOPPINGS-SODEXO"</f>
        <v>000293476 - RICHS TOPPINGS-SODEXO</v>
      </c>
      <c r="C20308" t="s">
        <v>222</v>
      </c>
      <c r="D20308" s="1" t="str">
        <f t="shared" si="547"/>
        <v>PRG-1047643</v>
      </c>
      <c r="E20308" t="s">
        <v>79</v>
      </c>
      <c r="F20308" t="s">
        <v>4</v>
      </c>
      <c r="G20308" t="str">
        <f>""</f>
        <v/>
      </c>
    </row>
    <row r="20309" spans="1:7" x14ac:dyDescent="0.25">
      <c r="A20309" t="s">
        <v>8</v>
      </c>
      <c r="B20309" s="1" t="str">
        <f>"000295217 - RICH'S TOPPINGS-SODEXO"</f>
        <v>000295217 - RICH'S TOPPINGS-SODEXO</v>
      </c>
      <c r="C20309" t="s">
        <v>142</v>
      </c>
      <c r="D20309" s="1" t="str">
        <f t="shared" si="547"/>
        <v>PRG-1047643</v>
      </c>
      <c r="E20309" t="s">
        <v>79</v>
      </c>
      <c r="F20309" t="s">
        <v>4</v>
      </c>
      <c r="G20309" t="str">
        <f>""</f>
        <v/>
      </c>
    </row>
    <row r="20310" spans="1:7" x14ac:dyDescent="0.25">
      <c r="A20310" t="s">
        <v>8</v>
      </c>
      <c r="B20310" s="1" t="str">
        <f>"000295261 - RICHS TOPPINGS-SODEXO"</f>
        <v>000295261 - RICHS TOPPINGS-SODEXO</v>
      </c>
      <c r="C20310" t="s">
        <v>222</v>
      </c>
      <c r="D20310" s="1" t="str">
        <f t="shared" si="547"/>
        <v>PRG-1047643</v>
      </c>
      <c r="E20310" t="s">
        <v>79</v>
      </c>
      <c r="F20310" t="s">
        <v>4</v>
      </c>
      <c r="G20310" t="str">
        <f>""</f>
        <v/>
      </c>
    </row>
    <row r="20311" spans="1:7" x14ac:dyDescent="0.25">
      <c r="A20311" t="s">
        <v>8</v>
      </c>
      <c r="B20311" s="1" t="str">
        <f>"000296824 - RICH'S TOPPINGS-SODEXO"</f>
        <v>000296824 - RICH'S TOPPINGS-SODEXO</v>
      </c>
      <c r="C20311" t="s">
        <v>142</v>
      </c>
      <c r="D20311" s="1" t="str">
        <f t="shared" si="547"/>
        <v>PRG-1047643</v>
      </c>
      <c r="E20311" t="s">
        <v>79</v>
      </c>
      <c r="F20311" t="s">
        <v>4</v>
      </c>
      <c r="G20311" t="str">
        <f>""</f>
        <v/>
      </c>
    </row>
    <row r="20312" spans="1:7" x14ac:dyDescent="0.25">
      <c r="A20312" t="s">
        <v>8</v>
      </c>
      <c r="B20312" s="1" t="str">
        <f>"000297884 - RICHS TOPPINGS-SODEXO"</f>
        <v>000297884 - RICHS TOPPINGS-SODEXO</v>
      </c>
      <c r="C20312" t="s">
        <v>222</v>
      </c>
      <c r="D20312" s="1" t="str">
        <f t="shared" si="547"/>
        <v>PRG-1047643</v>
      </c>
      <c r="E20312" t="s">
        <v>79</v>
      </c>
      <c r="F20312" t="s">
        <v>4</v>
      </c>
      <c r="G20312" t="str">
        <f>""</f>
        <v/>
      </c>
    </row>
    <row r="20313" spans="1:7" x14ac:dyDescent="0.25">
      <c r="A20313" t="s">
        <v>8</v>
      </c>
      <c r="B20313" s="1" t="str">
        <f>"000298022 - RICHS TOPPINGS-SODEXO"</f>
        <v>000298022 - RICHS TOPPINGS-SODEXO</v>
      </c>
      <c r="C20313" t="s">
        <v>222</v>
      </c>
      <c r="D20313" s="1" t="str">
        <f t="shared" si="547"/>
        <v>PRG-1047643</v>
      </c>
      <c r="E20313" t="s">
        <v>79</v>
      </c>
      <c r="F20313" t="s">
        <v>4</v>
      </c>
      <c r="G20313" t="str">
        <f>""</f>
        <v/>
      </c>
    </row>
    <row r="20314" spans="1:7" x14ac:dyDescent="0.25">
      <c r="A20314" t="s">
        <v>8</v>
      </c>
      <c r="B20314" s="1" t="str">
        <f>"000298746 - RICHS TOPPINGS-SODEXO"</f>
        <v>000298746 - RICHS TOPPINGS-SODEXO</v>
      </c>
      <c r="C20314" t="s">
        <v>222</v>
      </c>
      <c r="D20314" s="1" t="str">
        <f t="shared" si="547"/>
        <v>PRG-1047643</v>
      </c>
      <c r="E20314" t="s">
        <v>79</v>
      </c>
      <c r="F20314" t="s">
        <v>4</v>
      </c>
      <c r="G20314" t="str">
        <f>""</f>
        <v/>
      </c>
    </row>
    <row r="20315" spans="1:7" x14ac:dyDescent="0.25">
      <c r="A20315" t="s">
        <v>8</v>
      </c>
      <c r="B20315" s="1" t="str">
        <f>"000303697 - RICHS TOPPINGS-SODEXO"</f>
        <v>000303697 - RICHS TOPPINGS-SODEXO</v>
      </c>
      <c r="C20315" t="s">
        <v>222</v>
      </c>
      <c r="D20315" s="1" t="str">
        <f t="shared" si="547"/>
        <v>PRG-1047643</v>
      </c>
      <c r="E20315" t="s">
        <v>79</v>
      </c>
      <c r="F20315" t="s">
        <v>4</v>
      </c>
      <c r="G20315" t="str">
        <f>""</f>
        <v/>
      </c>
    </row>
    <row r="20316" spans="1:7" x14ac:dyDescent="0.25">
      <c r="A20316" t="s">
        <v>8</v>
      </c>
      <c r="B20316" s="1" t="str">
        <f>"000308555 - RICHS TOPPINGS-SODEXO"</f>
        <v>000308555 - RICHS TOPPINGS-SODEXO</v>
      </c>
      <c r="C20316" t="s">
        <v>222</v>
      </c>
      <c r="D20316" s="1" t="str">
        <f t="shared" si="547"/>
        <v>PRG-1047643</v>
      </c>
      <c r="E20316" t="s">
        <v>79</v>
      </c>
      <c r="F20316" t="s">
        <v>4</v>
      </c>
      <c r="G20316" t="str">
        <f>""</f>
        <v/>
      </c>
    </row>
    <row r="20317" spans="1:7" x14ac:dyDescent="0.25">
      <c r="A20317" t="s">
        <v>8</v>
      </c>
      <c r="B20317" s="1" t="str">
        <f>"000309307 - RICHS TOPPINGS-SODEXO"</f>
        <v>000309307 - RICHS TOPPINGS-SODEXO</v>
      </c>
      <c r="C20317" t="s">
        <v>222</v>
      </c>
      <c r="D20317" s="1" t="str">
        <f t="shared" si="547"/>
        <v>PRG-1047643</v>
      </c>
      <c r="E20317" t="s">
        <v>79</v>
      </c>
      <c r="F20317" t="s">
        <v>4</v>
      </c>
      <c r="G20317" t="str">
        <f>""</f>
        <v/>
      </c>
    </row>
    <row r="20318" spans="1:7" x14ac:dyDescent="0.25">
      <c r="A20318" t="s">
        <v>8</v>
      </c>
      <c r="B20318" s="1" t="str">
        <f>"000312390 - RICHS TOPPINGS-SODEXO"</f>
        <v>000312390 - RICHS TOPPINGS-SODEXO</v>
      </c>
      <c r="C20318" t="s">
        <v>222</v>
      </c>
      <c r="D20318" s="1" t="str">
        <f t="shared" si="547"/>
        <v>PRG-1047643</v>
      </c>
      <c r="E20318" t="s">
        <v>79</v>
      </c>
      <c r="F20318" t="s">
        <v>4</v>
      </c>
      <c r="G20318" t="str">
        <f>""</f>
        <v/>
      </c>
    </row>
    <row r="20319" spans="1:7" x14ac:dyDescent="0.25">
      <c r="A20319" t="s">
        <v>8</v>
      </c>
      <c r="B20319" s="1" t="str">
        <f>"000312421 - RICH'S TOPPINGS-SODEXO"</f>
        <v>000312421 - RICH'S TOPPINGS-SODEXO</v>
      </c>
      <c r="C20319" t="s">
        <v>142</v>
      </c>
      <c r="D20319" s="1" t="str">
        <f t="shared" si="547"/>
        <v>PRG-1047643</v>
      </c>
      <c r="E20319" t="s">
        <v>79</v>
      </c>
      <c r="F20319" t="s">
        <v>4</v>
      </c>
      <c r="G20319" t="str">
        <f>""</f>
        <v/>
      </c>
    </row>
    <row r="20320" spans="1:7" x14ac:dyDescent="0.25">
      <c r="A20320" t="s">
        <v>8</v>
      </c>
      <c r="B20320" s="1" t="str">
        <f>"000313166 - RICHS TOPPINGS-SODEXO"</f>
        <v>000313166 - RICHS TOPPINGS-SODEXO</v>
      </c>
      <c r="C20320" t="s">
        <v>222</v>
      </c>
      <c r="D20320" s="1" t="str">
        <f t="shared" si="547"/>
        <v>PRG-1047643</v>
      </c>
      <c r="E20320" t="s">
        <v>79</v>
      </c>
      <c r="F20320" t="s">
        <v>4</v>
      </c>
      <c r="G20320" t="str">
        <f>""</f>
        <v/>
      </c>
    </row>
    <row r="20321" spans="1:7" x14ac:dyDescent="0.25">
      <c r="A20321" t="s">
        <v>8</v>
      </c>
      <c r="B20321" s="1" t="str">
        <f>"000313628 - RICH'S TOPPINGS-SODEXO"</f>
        <v>000313628 - RICH'S TOPPINGS-SODEXO</v>
      </c>
      <c r="C20321" t="s">
        <v>142</v>
      </c>
      <c r="D20321" s="1" t="str">
        <f t="shared" si="547"/>
        <v>PRG-1047643</v>
      </c>
      <c r="E20321" t="s">
        <v>79</v>
      </c>
      <c r="F20321" t="s">
        <v>4</v>
      </c>
      <c r="G20321" t="str">
        <f>""</f>
        <v/>
      </c>
    </row>
    <row r="20322" spans="1:7" x14ac:dyDescent="0.25">
      <c r="A20322" t="s">
        <v>8</v>
      </c>
      <c r="B20322" s="1" t="str">
        <f>"000317852 - RICHS TOPPINGS-SODEXO"</f>
        <v>000317852 - RICHS TOPPINGS-SODEXO</v>
      </c>
      <c r="C20322" t="s">
        <v>222</v>
      </c>
      <c r="D20322" s="1" t="str">
        <f t="shared" si="547"/>
        <v>PRG-1047643</v>
      </c>
      <c r="E20322" t="s">
        <v>79</v>
      </c>
      <c r="F20322" t="s">
        <v>4</v>
      </c>
      <c r="G20322" t="str">
        <f>""</f>
        <v/>
      </c>
    </row>
    <row r="20323" spans="1:7" x14ac:dyDescent="0.25">
      <c r="A20323" t="s">
        <v>8</v>
      </c>
      <c r="B20323" s="1" t="str">
        <f>"000318568 - RICHS TOPPINGS-SODEXO"</f>
        <v>000318568 - RICHS TOPPINGS-SODEXO</v>
      </c>
      <c r="C20323" t="s">
        <v>222</v>
      </c>
      <c r="D20323" s="1" t="str">
        <f t="shared" si="547"/>
        <v>PRG-1047643</v>
      </c>
      <c r="E20323" t="s">
        <v>79</v>
      </c>
      <c r="F20323" t="s">
        <v>4</v>
      </c>
      <c r="G20323" t="str">
        <f>""</f>
        <v/>
      </c>
    </row>
    <row r="20324" spans="1:7" x14ac:dyDescent="0.25">
      <c r="A20324" t="s">
        <v>8</v>
      </c>
      <c r="B20324" s="1" t="str">
        <f>"000318934 - RICHS TOPPINGS-SODEXO"</f>
        <v>000318934 - RICHS TOPPINGS-SODEXO</v>
      </c>
      <c r="C20324" t="s">
        <v>222</v>
      </c>
      <c r="D20324" s="1" t="str">
        <f t="shared" si="547"/>
        <v>PRG-1047643</v>
      </c>
      <c r="E20324" t="s">
        <v>79</v>
      </c>
      <c r="F20324" t="s">
        <v>4</v>
      </c>
      <c r="G20324" t="str">
        <f>""</f>
        <v/>
      </c>
    </row>
    <row r="20325" spans="1:7" x14ac:dyDescent="0.25">
      <c r="A20325" t="s">
        <v>8</v>
      </c>
      <c r="B20325" s="1" t="str">
        <f>"000319897 - RICHS TOPPINGS-SODEXO"</f>
        <v>000319897 - RICHS TOPPINGS-SODEXO</v>
      </c>
      <c r="C20325" t="s">
        <v>222</v>
      </c>
      <c r="D20325" s="1" t="str">
        <f t="shared" si="547"/>
        <v>PRG-1047643</v>
      </c>
      <c r="E20325" t="s">
        <v>79</v>
      </c>
      <c r="F20325" t="s">
        <v>4</v>
      </c>
      <c r="G20325" t="str">
        <f>""</f>
        <v/>
      </c>
    </row>
    <row r="20326" spans="1:7" x14ac:dyDescent="0.25">
      <c r="A20326" t="s">
        <v>8</v>
      </c>
      <c r="B20326" s="1" t="str">
        <f>"000321796 - RICHS TOPPINGS-SODEXO"</f>
        <v>000321796 - RICHS TOPPINGS-SODEXO</v>
      </c>
      <c r="C20326" t="s">
        <v>222</v>
      </c>
      <c r="D20326" s="1" t="str">
        <f t="shared" si="547"/>
        <v>PRG-1047643</v>
      </c>
      <c r="E20326" t="s">
        <v>79</v>
      </c>
      <c r="F20326" t="s">
        <v>4</v>
      </c>
      <c r="G20326" t="str">
        <f>""</f>
        <v/>
      </c>
    </row>
    <row r="20327" spans="1:7" x14ac:dyDescent="0.25">
      <c r="A20327" t="s">
        <v>8</v>
      </c>
      <c r="B20327" s="1" t="str">
        <f>"000322770 - RICHS TOPPINGS-SODEXO"</f>
        <v>000322770 - RICHS TOPPINGS-SODEXO</v>
      </c>
      <c r="C20327" t="s">
        <v>222</v>
      </c>
      <c r="D20327" s="1" t="str">
        <f t="shared" si="547"/>
        <v>PRG-1047643</v>
      </c>
      <c r="E20327" t="s">
        <v>79</v>
      </c>
      <c r="F20327" t="s">
        <v>4</v>
      </c>
      <c r="G20327" t="str">
        <f>""</f>
        <v/>
      </c>
    </row>
    <row r="20328" spans="1:7" x14ac:dyDescent="0.25">
      <c r="A20328" t="s">
        <v>8</v>
      </c>
      <c r="B20328" s="1" t="str">
        <f>"000322783 - RICHS TOPPINGS-SODEXO"</f>
        <v>000322783 - RICHS TOPPINGS-SODEXO</v>
      </c>
      <c r="C20328" t="s">
        <v>222</v>
      </c>
      <c r="D20328" s="1" t="str">
        <f t="shared" ref="D20328:D20356" si="548">"PRG-1047643"</f>
        <v>PRG-1047643</v>
      </c>
      <c r="E20328" t="s">
        <v>79</v>
      </c>
      <c r="F20328" t="s">
        <v>4</v>
      </c>
      <c r="G20328" t="str">
        <f>""</f>
        <v/>
      </c>
    </row>
    <row r="20329" spans="1:7" x14ac:dyDescent="0.25">
      <c r="A20329" t="s">
        <v>8</v>
      </c>
      <c r="B20329" s="1" t="str">
        <f>"000324342 - RICH'S TOPPINGS-SODEXO"</f>
        <v>000324342 - RICH'S TOPPINGS-SODEXO</v>
      </c>
      <c r="C20329" t="s">
        <v>142</v>
      </c>
      <c r="D20329" s="1" t="str">
        <f t="shared" si="548"/>
        <v>PRG-1047643</v>
      </c>
      <c r="E20329" t="s">
        <v>79</v>
      </c>
      <c r="F20329" t="s">
        <v>4</v>
      </c>
      <c r="G20329" t="str">
        <f>""</f>
        <v/>
      </c>
    </row>
    <row r="20330" spans="1:7" x14ac:dyDescent="0.25">
      <c r="A20330" t="s">
        <v>8</v>
      </c>
      <c r="B20330" s="1" t="str">
        <f>"000325711 - RICHS TOPPINGS-SODEXO"</f>
        <v>000325711 - RICHS TOPPINGS-SODEXO</v>
      </c>
      <c r="C20330" t="s">
        <v>222</v>
      </c>
      <c r="D20330" s="1" t="str">
        <f t="shared" si="548"/>
        <v>PRG-1047643</v>
      </c>
      <c r="E20330" t="s">
        <v>79</v>
      </c>
      <c r="F20330" t="s">
        <v>4</v>
      </c>
      <c r="G20330" t="str">
        <f>""</f>
        <v/>
      </c>
    </row>
    <row r="20331" spans="1:7" x14ac:dyDescent="0.25">
      <c r="A20331" t="s">
        <v>8</v>
      </c>
      <c r="B20331" s="1" t="str">
        <f>"000327029 - RICHS TOPPINGS-SODEXO"</f>
        <v>000327029 - RICHS TOPPINGS-SODEXO</v>
      </c>
      <c r="C20331" t="s">
        <v>222</v>
      </c>
      <c r="D20331" s="1" t="str">
        <f t="shared" si="548"/>
        <v>PRG-1047643</v>
      </c>
      <c r="E20331" t="s">
        <v>79</v>
      </c>
      <c r="F20331" t="s">
        <v>4</v>
      </c>
      <c r="G20331" t="str">
        <f>""</f>
        <v/>
      </c>
    </row>
    <row r="20332" spans="1:7" x14ac:dyDescent="0.25">
      <c r="A20332" t="s">
        <v>8</v>
      </c>
      <c r="B20332" s="1" t="str">
        <f>"000327031 - RICHS TOPPINGS-SODEXO"</f>
        <v>000327031 - RICHS TOPPINGS-SODEXO</v>
      </c>
      <c r="C20332" t="s">
        <v>222</v>
      </c>
      <c r="D20332" s="1" t="str">
        <f t="shared" si="548"/>
        <v>PRG-1047643</v>
      </c>
      <c r="E20332" t="s">
        <v>79</v>
      </c>
      <c r="F20332" t="s">
        <v>4</v>
      </c>
      <c r="G20332" t="str">
        <f>""</f>
        <v/>
      </c>
    </row>
    <row r="20333" spans="1:7" x14ac:dyDescent="0.25">
      <c r="A20333" t="s">
        <v>8</v>
      </c>
      <c r="B20333" s="1" t="str">
        <f>"000327946 - RICHS TOPPINGS-SODEXO"</f>
        <v>000327946 - RICHS TOPPINGS-SODEXO</v>
      </c>
      <c r="C20333" t="s">
        <v>222</v>
      </c>
      <c r="D20333" s="1" t="str">
        <f t="shared" si="548"/>
        <v>PRG-1047643</v>
      </c>
      <c r="E20333" t="s">
        <v>79</v>
      </c>
      <c r="F20333" t="s">
        <v>4</v>
      </c>
      <c r="G20333" t="str">
        <f>""</f>
        <v/>
      </c>
    </row>
    <row r="20334" spans="1:7" x14ac:dyDescent="0.25">
      <c r="A20334" t="s">
        <v>8</v>
      </c>
      <c r="B20334" s="1" t="str">
        <f>"000350802 - RICHS TOPPINGS-SODEXO"</f>
        <v>000350802 - RICHS TOPPINGS-SODEXO</v>
      </c>
      <c r="C20334" t="s">
        <v>222</v>
      </c>
      <c r="D20334" s="1" t="str">
        <f t="shared" si="548"/>
        <v>PRG-1047643</v>
      </c>
      <c r="E20334" t="s">
        <v>79</v>
      </c>
      <c r="F20334" t="s">
        <v>4</v>
      </c>
      <c r="G20334" t="str">
        <f>""</f>
        <v/>
      </c>
    </row>
    <row r="20335" spans="1:7" x14ac:dyDescent="0.25">
      <c r="A20335" t="s">
        <v>8</v>
      </c>
      <c r="B20335" s="1" t="str">
        <f>"000353189 - RICHS TOPPINGS-SODEXO"</f>
        <v>000353189 - RICHS TOPPINGS-SODEXO</v>
      </c>
      <c r="C20335" t="s">
        <v>222</v>
      </c>
      <c r="D20335" s="1" t="str">
        <f t="shared" si="548"/>
        <v>PRG-1047643</v>
      </c>
      <c r="E20335" t="s">
        <v>79</v>
      </c>
      <c r="F20335" t="s">
        <v>4</v>
      </c>
      <c r="G20335" t="str">
        <f>""</f>
        <v/>
      </c>
    </row>
    <row r="20336" spans="1:7" x14ac:dyDescent="0.25">
      <c r="A20336" t="s">
        <v>8</v>
      </c>
      <c r="B20336" s="1" t="str">
        <f>"000356528 - RICHS TOPPINGS-SODEXO"</f>
        <v>000356528 - RICHS TOPPINGS-SODEXO</v>
      </c>
      <c r="C20336" t="s">
        <v>222</v>
      </c>
      <c r="D20336" s="1" t="str">
        <f t="shared" si="548"/>
        <v>PRG-1047643</v>
      </c>
      <c r="E20336" t="s">
        <v>79</v>
      </c>
      <c r="F20336" t="s">
        <v>4</v>
      </c>
      <c r="G20336" t="str">
        <f>""</f>
        <v/>
      </c>
    </row>
    <row r="20337" spans="1:7" x14ac:dyDescent="0.25">
      <c r="A20337" t="s">
        <v>8</v>
      </c>
      <c r="B20337" s="1" t="str">
        <f>"000358515 - RICHS TOPPINGS-SODEXO"</f>
        <v>000358515 - RICHS TOPPINGS-SODEXO</v>
      </c>
      <c r="C20337" t="s">
        <v>222</v>
      </c>
      <c r="D20337" s="1" t="str">
        <f t="shared" si="548"/>
        <v>PRG-1047643</v>
      </c>
      <c r="E20337" t="s">
        <v>79</v>
      </c>
      <c r="F20337" t="s">
        <v>4</v>
      </c>
      <c r="G20337" t="str">
        <f>""</f>
        <v/>
      </c>
    </row>
    <row r="20338" spans="1:7" x14ac:dyDescent="0.25">
      <c r="A20338" t="s">
        <v>8</v>
      </c>
      <c r="B20338" s="1" t="str">
        <f>"000359833 - RICHS TOPPINGS-SODEXO"</f>
        <v>000359833 - RICHS TOPPINGS-SODEXO</v>
      </c>
      <c r="C20338" t="s">
        <v>222</v>
      </c>
      <c r="D20338" s="1" t="str">
        <f t="shared" si="548"/>
        <v>PRG-1047643</v>
      </c>
      <c r="E20338" t="s">
        <v>79</v>
      </c>
      <c r="F20338" t="s">
        <v>4</v>
      </c>
      <c r="G20338" t="str">
        <f>""</f>
        <v/>
      </c>
    </row>
    <row r="20339" spans="1:7" x14ac:dyDescent="0.25">
      <c r="A20339" t="s">
        <v>8</v>
      </c>
      <c r="B20339" s="1" t="str">
        <f>"000362996 - RICHS TOPPINGS-SODEXO"</f>
        <v>000362996 - RICHS TOPPINGS-SODEXO</v>
      </c>
      <c r="C20339" t="s">
        <v>222</v>
      </c>
      <c r="D20339" s="1" t="str">
        <f t="shared" si="548"/>
        <v>PRG-1047643</v>
      </c>
      <c r="E20339" t="s">
        <v>79</v>
      </c>
      <c r="F20339" t="s">
        <v>4</v>
      </c>
      <c r="G20339" t="str">
        <f>""</f>
        <v/>
      </c>
    </row>
    <row r="20340" spans="1:7" x14ac:dyDescent="0.25">
      <c r="A20340" t="s">
        <v>8</v>
      </c>
      <c r="B20340" s="1" t="str">
        <f>"000368657 - RICHS TOPPINGS-SODEXO"</f>
        <v>000368657 - RICHS TOPPINGS-SODEXO</v>
      </c>
      <c r="C20340" t="s">
        <v>222</v>
      </c>
      <c r="D20340" s="1" t="str">
        <f t="shared" si="548"/>
        <v>PRG-1047643</v>
      </c>
      <c r="E20340" t="s">
        <v>79</v>
      </c>
      <c r="F20340" t="s">
        <v>4</v>
      </c>
      <c r="G20340" t="str">
        <f>""</f>
        <v/>
      </c>
    </row>
    <row r="20341" spans="1:7" x14ac:dyDescent="0.25">
      <c r="A20341" t="s">
        <v>8</v>
      </c>
      <c r="B20341" s="1" t="str">
        <f>"000370291 - RICHS TOPPINGS-SODEXO"</f>
        <v>000370291 - RICHS TOPPINGS-SODEXO</v>
      </c>
      <c r="C20341" t="s">
        <v>222</v>
      </c>
      <c r="D20341" s="1" t="str">
        <f t="shared" si="548"/>
        <v>PRG-1047643</v>
      </c>
      <c r="E20341" t="s">
        <v>79</v>
      </c>
      <c r="F20341" t="s">
        <v>4</v>
      </c>
      <c r="G20341" t="str">
        <f>""</f>
        <v/>
      </c>
    </row>
    <row r="20342" spans="1:7" x14ac:dyDescent="0.25">
      <c r="A20342" t="s">
        <v>8</v>
      </c>
      <c r="B20342" s="1" t="str">
        <f>"000390086 - RICHS TOPPINGS-SODEXO"</f>
        <v>000390086 - RICHS TOPPINGS-SODEXO</v>
      </c>
      <c r="C20342" t="s">
        <v>222</v>
      </c>
      <c r="D20342" s="1" t="str">
        <f t="shared" si="548"/>
        <v>PRG-1047643</v>
      </c>
      <c r="E20342" t="s">
        <v>79</v>
      </c>
      <c r="F20342" t="s">
        <v>4</v>
      </c>
      <c r="G20342" t="str">
        <f>""</f>
        <v/>
      </c>
    </row>
    <row r="20343" spans="1:7" x14ac:dyDescent="0.25">
      <c r="A20343" t="s">
        <v>8</v>
      </c>
      <c r="B20343" s="1" t="str">
        <f>"000391370 - RICHS TOPPINGS-SODEXO"</f>
        <v>000391370 - RICHS TOPPINGS-SODEXO</v>
      </c>
      <c r="C20343" t="s">
        <v>222</v>
      </c>
      <c r="D20343" s="1" t="str">
        <f t="shared" si="548"/>
        <v>PRG-1047643</v>
      </c>
      <c r="E20343" t="s">
        <v>79</v>
      </c>
      <c r="F20343" t="s">
        <v>4</v>
      </c>
      <c r="G20343" t="str">
        <f>""</f>
        <v/>
      </c>
    </row>
    <row r="20344" spans="1:7" x14ac:dyDescent="0.25">
      <c r="A20344" t="s">
        <v>8</v>
      </c>
      <c r="B20344" s="1" t="str">
        <f>"000393601 - RICHS TOPPINGS-SODEXO"</f>
        <v>000393601 - RICHS TOPPINGS-SODEXO</v>
      </c>
      <c r="C20344" t="s">
        <v>222</v>
      </c>
      <c r="D20344" s="1" t="str">
        <f t="shared" si="548"/>
        <v>PRG-1047643</v>
      </c>
      <c r="E20344" t="s">
        <v>79</v>
      </c>
      <c r="F20344" t="s">
        <v>4</v>
      </c>
      <c r="G20344" t="str">
        <f>""</f>
        <v/>
      </c>
    </row>
    <row r="20345" spans="1:7" x14ac:dyDescent="0.25">
      <c r="A20345" t="s">
        <v>8</v>
      </c>
      <c r="B20345" s="1" t="str">
        <f>"000393651 - RICHS TOPPINGS-SODEXO"</f>
        <v>000393651 - RICHS TOPPINGS-SODEXO</v>
      </c>
      <c r="C20345" t="s">
        <v>222</v>
      </c>
      <c r="D20345" s="1" t="str">
        <f t="shared" si="548"/>
        <v>PRG-1047643</v>
      </c>
      <c r="E20345" t="s">
        <v>79</v>
      </c>
      <c r="F20345" t="s">
        <v>4</v>
      </c>
      <c r="G20345" t="str">
        <f>""</f>
        <v/>
      </c>
    </row>
    <row r="20346" spans="1:7" x14ac:dyDescent="0.25">
      <c r="A20346" t="s">
        <v>8</v>
      </c>
      <c r="B20346" s="1" t="str">
        <f>"000396090 - RICHS TOPPINGS-SODEXO"</f>
        <v>000396090 - RICHS TOPPINGS-SODEXO</v>
      </c>
      <c r="C20346" t="s">
        <v>222</v>
      </c>
      <c r="D20346" s="1" t="str">
        <f t="shared" si="548"/>
        <v>PRG-1047643</v>
      </c>
      <c r="E20346" t="s">
        <v>79</v>
      </c>
      <c r="F20346" t="s">
        <v>4</v>
      </c>
      <c r="G20346" t="str">
        <f>""</f>
        <v/>
      </c>
    </row>
    <row r="20347" spans="1:7" x14ac:dyDescent="0.25">
      <c r="A20347" t="s">
        <v>8</v>
      </c>
      <c r="B20347" s="1" t="str">
        <f>"000401670 - RICHS TOPPINGS-SODEXO"</f>
        <v>000401670 - RICHS TOPPINGS-SODEXO</v>
      </c>
      <c r="C20347" t="s">
        <v>222</v>
      </c>
      <c r="D20347" s="1" t="str">
        <f t="shared" si="548"/>
        <v>PRG-1047643</v>
      </c>
      <c r="E20347" t="s">
        <v>79</v>
      </c>
      <c r="F20347" t="s">
        <v>4</v>
      </c>
      <c r="G20347" t="str">
        <f>""</f>
        <v/>
      </c>
    </row>
    <row r="20348" spans="1:7" x14ac:dyDescent="0.25">
      <c r="A20348" t="s">
        <v>8</v>
      </c>
      <c r="B20348" s="1" t="str">
        <f>"000403448 - RICHS TOPPINGS-SODEXO"</f>
        <v>000403448 - RICHS TOPPINGS-SODEXO</v>
      </c>
      <c r="C20348" t="s">
        <v>222</v>
      </c>
      <c r="D20348" s="1" t="str">
        <f t="shared" si="548"/>
        <v>PRG-1047643</v>
      </c>
      <c r="E20348" t="s">
        <v>79</v>
      </c>
      <c r="F20348" t="s">
        <v>4</v>
      </c>
      <c r="G20348" t="str">
        <f>""</f>
        <v/>
      </c>
    </row>
    <row r="20349" spans="1:7" x14ac:dyDescent="0.25">
      <c r="A20349" t="s">
        <v>8</v>
      </c>
      <c r="B20349" s="1" t="str">
        <f>"000407718 - RICHS TOPPINGS-SODEXO"</f>
        <v>000407718 - RICHS TOPPINGS-SODEXO</v>
      </c>
      <c r="C20349" t="s">
        <v>222</v>
      </c>
      <c r="D20349" s="1" t="str">
        <f t="shared" si="548"/>
        <v>PRG-1047643</v>
      </c>
      <c r="E20349" t="s">
        <v>79</v>
      </c>
      <c r="F20349" t="s">
        <v>4</v>
      </c>
      <c r="G20349" t="str">
        <f>""</f>
        <v/>
      </c>
    </row>
    <row r="20350" spans="1:7" x14ac:dyDescent="0.25">
      <c r="A20350" t="s">
        <v>8</v>
      </c>
      <c r="B20350" s="1" t="str">
        <f>"000409103 - RICHS TOPPINGS-SODEXO"</f>
        <v>000409103 - RICHS TOPPINGS-SODEXO</v>
      </c>
      <c r="C20350" t="s">
        <v>222</v>
      </c>
      <c r="D20350" s="1" t="str">
        <f t="shared" si="548"/>
        <v>PRG-1047643</v>
      </c>
      <c r="E20350" t="s">
        <v>79</v>
      </c>
      <c r="F20350" t="s">
        <v>4</v>
      </c>
      <c r="G20350" t="str">
        <f>""</f>
        <v/>
      </c>
    </row>
    <row r="20351" spans="1:7" x14ac:dyDescent="0.25">
      <c r="A20351" t="s">
        <v>8</v>
      </c>
      <c r="B20351" s="1" t="str">
        <f>"000419283 - RICHS TOPPINGS-SODEXO"</f>
        <v>000419283 - RICHS TOPPINGS-SODEXO</v>
      </c>
      <c r="C20351" t="s">
        <v>222</v>
      </c>
      <c r="D20351" s="1" t="str">
        <f t="shared" si="548"/>
        <v>PRG-1047643</v>
      </c>
      <c r="E20351" t="s">
        <v>79</v>
      </c>
      <c r="F20351" t="s">
        <v>4</v>
      </c>
      <c r="G20351" t="str">
        <f>""</f>
        <v/>
      </c>
    </row>
    <row r="20352" spans="1:7" x14ac:dyDescent="0.25">
      <c r="A20352" t="s">
        <v>8</v>
      </c>
      <c r="B20352" s="1" t="str">
        <f>"000419817 - RICHS TOPPINGS-SODEXO"</f>
        <v>000419817 - RICHS TOPPINGS-SODEXO</v>
      </c>
      <c r="C20352" t="s">
        <v>222</v>
      </c>
      <c r="D20352" s="1" t="str">
        <f t="shared" si="548"/>
        <v>PRG-1047643</v>
      </c>
      <c r="E20352" t="s">
        <v>79</v>
      </c>
      <c r="F20352" t="s">
        <v>4</v>
      </c>
      <c r="G20352" t="str">
        <f>""</f>
        <v/>
      </c>
    </row>
    <row r="20353" spans="1:7" x14ac:dyDescent="0.25">
      <c r="A20353" t="s">
        <v>8</v>
      </c>
      <c r="B20353" s="1" t="str">
        <f>"000425822 - RICHS TOPPINGS-SODEXO"</f>
        <v>000425822 - RICHS TOPPINGS-SODEXO</v>
      </c>
      <c r="C20353" t="s">
        <v>222</v>
      </c>
      <c r="D20353" s="1" t="str">
        <f t="shared" si="548"/>
        <v>PRG-1047643</v>
      </c>
      <c r="E20353" t="s">
        <v>79</v>
      </c>
      <c r="F20353" t="s">
        <v>4</v>
      </c>
      <c r="G20353" t="str">
        <f>""</f>
        <v/>
      </c>
    </row>
    <row r="20354" spans="1:7" x14ac:dyDescent="0.25">
      <c r="A20354" t="s">
        <v>8</v>
      </c>
      <c r="B20354" s="1" t="str">
        <f>"000426709 - RICHS TOPPINGS-SODEXO"</f>
        <v>000426709 - RICHS TOPPINGS-SODEXO</v>
      </c>
      <c r="C20354" t="s">
        <v>222</v>
      </c>
      <c r="D20354" s="1" t="str">
        <f t="shared" si="548"/>
        <v>PRG-1047643</v>
      </c>
      <c r="E20354" t="s">
        <v>79</v>
      </c>
      <c r="F20354" t="s">
        <v>4</v>
      </c>
      <c r="G20354" t="str">
        <f>""</f>
        <v/>
      </c>
    </row>
    <row r="20355" spans="1:7" x14ac:dyDescent="0.25">
      <c r="A20355" t="s">
        <v>8</v>
      </c>
      <c r="B20355" s="1" t="str">
        <f>"000435495 - RICHS TOPPINGS-SODEXO"</f>
        <v>000435495 - RICHS TOPPINGS-SODEXO</v>
      </c>
      <c r="C20355" t="s">
        <v>222</v>
      </c>
      <c r="D20355" s="1" t="str">
        <f t="shared" si="548"/>
        <v>PRG-1047643</v>
      </c>
      <c r="E20355" t="s">
        <v>79</v>
      </c>
      <c r="F20355" t="s">
        <v>4</v>
      </c>
      <c r="G20355" t="str">
        <f>""</f>
        <v/>
      </c>
    </row>
    <row r="20356" spans="1:7" x14ac:dyDescent="0.25">
      <c r="A20356" t="s">
        <v>8</v>
      </c>
      <c r="B20356" s="1" t="str">
        <f>"000439953 - RICHS TOPPINGS-SODEXO"</f>
        <v>000439953 - RICHS TOPPINGS-SODEXO</v>
      </c>
      <c r="C20356" t="s">
        <v>222</v>
      </c>
      <c r="D20356" s="1" t="str">
        <f t="shared" si="548"/>
        <v>PRG-1047643</v>
      </c>
      <c r="E20356" t="s">
        <v>79</v>
      </c>
      <c r="F20356" t="s">
        <v>4</v>
      </c>
      <c r="G20356" t="str">
        <f>""</f>
        <v/>
      </c>
    </row>
    <row r="20357" spans="1:7" x14ac:dyDescent="0.25">
      <c r="A20357" t="s">
        <v>8</v>
      </c>
      <c r="B20357" s="1" t="str">
        <f>"000006085 - RICHS SWEET DOUGH BB-SODEXO"</f>
        <v>000006085 - RICHS SWEET DOUGH BB-SODEXO</v>
      </c>
      <c r="C20357" t="s">
        <v>161</v>
      </c>
      <c r="D20357" s="1" t="str">
        <f t="shared" ref="D20357:D20388" si="549">"PRG-1047646"</f>
        <v>PRG-1047646</v>
      </c>
      <c r="E20357" t="s">
        <v>236</v>
      </c>
      <c r="F20357" t="s">
        <v>4</v>
      </c>
      <c r="G20357" t="str">
        <f>""</f>
        <v/>
      </c>
    </row>
    <row r="20358" spans="1:7" x14ac:dyDescent="0.25">
      <c r="A20358" t="s">
        <v>8</v>
      </c>
      <c r="B20358" s="1" t="str">
        <f>"000010414 - RICHS SWEET DOUGH BB-SODEXO"</f>
        <v>000010414 - RICHS SWEET DOUGH BB-SODEXO</v>
      </c>
      <c r="C20358" t="s">
        <v>161</v>
      </c>
      <c r="D20358" s="1" t="str">
        <f t="shared" si="549"/>
        <v>PRG-1047646</v>
      </c>
      <c r="E20358" t="s">
        <v>236</v>
      </c>
      <c r="F20358" t="s">
        <v>4</v>
      </c>
      <c r="G20358" t="str">
        <f>""</f>
        <v/>
      </c>
    </row>
    <row r="20359" spans="1:7" x14ac:dyDescent="0.25">
      <c r="A20359" t="s">
        <v>8</v>
      </c>
      <c r="B20359" s="1" t="str">
        <f>"000014181 - RICHS SWEET DOUGH BB SODEXO"</f>
        <v>000014181 - RICHS SWEET DOUGH BB SODEXO</v>
      </c>
      <c r="C20359" t="s">
        <v>312</v>
      </c>
      <c r="D20359" s="1" t="str">
        <f t="shared" si="549"/>
        <v>PRG-1047646</v>
      </c>
      <c r="E20359" t="s">
        <v>236</v>
      </c>
      <c r="F20359" t="s">
        <v>4</v>
      </c>
      <c r="G20359" t="str">
        <f>""</f>
        <v/>
      </c>
    </row>
    <row r="20360" spans="1:7" x14ac:dyDescent="0.25">
      <c r="A20360" t="s">
        <v>8</v>
      </c>
      <c r="B20360" s="1" t="str">
        <f>"000026146 - RICHS SWEET DOUGH BAPA SODEXO"</f>
        <v>000026146 - RICHS SWEET DOUGH BAPA SODEXO</v>
      </c>
      <c r="C20360" t="s">
        <v>360</v>
      </c>
      <c r="D20360" s="1" t="str">
        <f t="shared" si="549"/>
        <v>PRG-1047646</v>
      </c>
      <c r="E20360" t="s">
        <v>236</v>
      </c>
      <c r="F20360" t="s">
        <v>4</v>
      </c>
      <c r="G20360" t="str">
        <f>""</f>
        <v/>
      </c>
    </row>
    <row r="20361" spans="1:7" x14ac:dyDescent="0.25">
      <c r="A20361" t="s">
        <v>8</v>
      </c>
      <c r="B20361" s="1" t="str">
        <f>"000036582 - RICHS SWEET DOUGH-SODEXO"</f>
        <v>000036582 - RICHS SWEET DOUGH-SODEXO</v>
      </c>
      <c r="C20361" t="s">
        <v>137</v>
      </c>
      <c r="D20361" s="1" t="str">
        <f t="shared" si="549"/>
        <v>PRG-1047646</v>
      </c>
      <c r="E20361" t="s">
        <v>236</v>
      </c>
      <c r="F20361" t="s">
        <v>4</v>
      </c>
      <c r="G20361" t="str">
        <f>""</f>
        <v/>
      </c>
    </row>
    <row r="20362" spans="1:7" x14ac:dyDescent="0.25">
      <c r="A20362" t="s">
        <v>8</v>
      </c>
      <c r="B20362" s="1" t="str">
        <f>"000039301 - RICHS SWEET DOUGH-SODEXO"</f>
        <v>000039301 - RICHS SWEET DOUGH-SODEXO</v>
      </c>
      <c r="C20362" t="s">
        <v>137</v>
      </c>
      <c r="D20362" s="1" t="str">
        <f t="shared" si="549"/>
        <v>PRG-1047646</v>
      </c>
      <c r="E20362" t="s">
        <v>236</v>
      </c>
      <c r="F20362" t="s">
        <v>4</v>
      </c>
      <c r="G20362" t="str">
        <f>""</f>
        <v/>
      </c>
    </row>
    <row r="20363" spans="1:7" x14ac:dyDescent="0.25">
      <c r="A20363" t="s">
        <v>8</v>
      </c>
      <c r="B20363" s="1" t="str">
        <f>"000043087 - RICHS SWEET DOUGH-SODEXO"</f>
        <v>000043087 - RICHS SWEET DOUGH-SODEXO</v>
      </c>
      <c r="C20363" t="s">
        <v>137</v>
      </c>
      <c r="D20363" s="1" t="str">
        <f t="shared" si="549"/>
        <v>PRG-1047646</v>
      </c>
      <c r="E20363" t="s">
        <v>236</v>
      </c>
      <c r="F20363" t="s">
        <v>4</v>
      </c>
      <c r="G20363" t="str">
        <f>""</f>
        <v/>
      </c>
    </row>
    <row r="20364" spans="1:7" x14ac:dyDescent="0.25">
      <c r="A20364" t="s">
        <v>8</v>
      </c>
      <c r="B20364" s="1" t="str">
        <f>"000051299 - RICHS SWEET DOUGH-SODEXO"</f>
        <v>000051299 - RICHS SWEET DOUGH-SODEXO</v>
      </c>
      <c r="C20364" t="s">
        <v>137</v>
      </c>
      <c r="D20364" s="1" t="str">
        <f t="shared" si="549"/>
        <v>PRG-1047646</v>
      </c>
      <c r="E20364" t="s">
        <v>236</v>
      </c>
      <c r="F20364" t="s">
        <v>4</v>
      </c>
      <c r="G20364" t="str">
        <f>""</f>
        <v/>
      </c>
    </row>
    <row r="20365" spans="1:7" x14ac:dyDescent="0.25">
      <c r="A20365" t="s">
        <v>8</v>
      </c>
      <c r="B20365" s="1" t="str">
        <f>"000052720 - RICHS SWEET DOUGH-SODEXO"</f>
        <v>000052720 - RICHS SWEET DOUGH-SODEXO</v>
      </c>
      <c r="C20365" t="s">
        <v>137</v>
      </c>
      <c r="D20365" s="1" t="str">
        <f t="shared" si="549"/>
        <v>PRG-1047646</v>
      </c>
      <c r="E20365" t="s">
        <v>236</v>
      </c>
      <c r="F20365" t="s">
        <v>4</v>
      </c>
      <c r="G20365" t="str">
        <f>""</f>
        <v/>
      </c>
    </row>
    <row r="20366" spans="1:7" x14ac:dyDescent="0.25">
      <c r="A20366" t="s">
        <v>8</v>
      </c>
      <c r="B20366" s="1" t="str">
        <f>"000053736 - RICH FOODS-MAIN ARAMARK"</f>
        <v>000053736 - RICH FOODS-MAIN ARAMARK</v>
      </c>
      <c r="C20366" t="s">
        <v>126</v>
      </c>
      <c r="D20366" s="1" t="str">
        <f t="shared" si="549"/>
        <v>PRG-1047646</v>
      </c>
      <c r="E20366" t="s">
        <v>236</v>
      </c>
      <c r="F20366" t="s">
        <v>4</v>
      </c>
      <c r="G20366" t="str">
        <f>""</f>
        <v/>
      </c>
    </row>
    <row r="20367" spans="1:7" x14ac:dyDescent="0.25">
      <c r="A20367" t="s">
        <v>8</v>
      </c>
      <c r="B20367" s="1" t="str">
        <f>"000059112 - RICHS SWEET DOUGH-SODEXO"</f>
        <v>000059112 - RICHS SWEET DOUGH-SODEXO</v>
      </c>
      <c r="C20367" t="s">
        <v>137</v>
      </c>
      <c r="D20367" s="1" t="str">
        <f t="shared" si="549"/>
        <v>PRG-1047646</v>
      </c>
      <c r="E20367" t="s">
        <v>236</v>
      </c>
      <c r="F20367" t="s">
        <v>4</v>
      </c>
      <c r="G20367" t="str">
        <f>""</f>
        <v/>
      </c>
    </row>
    <row r="20368" spans="1:7" x14ac:dyDescent="0.25">
      <c r="A20368" t="s">
        <v>8</v>
      </c>
      <c r="B20368" s="1" t="str">
        <f>"000063331 - RICHS SWEET DOUGH-SODEXO"</f>
        <v>000063331 - RICHS SWEET DOUGH-SODEXO</v>
      </c>
      <c r="C20368" t="s">
        <v>137</v>
      </c>
      <c r="D20368" s="1" t="str">
        <f t="shared" si="549"/>
        <v>PRG-1047646</v>
      </c>
      <c r="E20368" t="s">
        <v>236</v>
      </c>
      <c r="F20368" t="s">
        <v>4</v>
      </c>
      <c r="G20368" t="str">
        <f>""</f>
        <v/>
      </c>
    </row>
    <row r="20369" spans="1:7" x14ac:dyDescent="0.25">
      <c r="A20369" t="s">
        <v>8</v>
      </c>
      <c r="B20369" s="1" t="str">
        <f>"000069742 - RICHS SWEET DOUGH-SODEXO"</f>
        <v>000069742 - RICHS SWEET DOUGH-SODEXO</v>
      </c>
      <c r="C20369" t="s">
        <v>137</v>
      </c>
      <c r="D20369" s="1" t="str">
        <f t="shared" si="549"/>
        <v>PRG-1047646</v>
      </c>
      <c r="E20369" t="s">
        <v>236</v>
      </c>
      <c r="F20369" t="s">
        <v>4</v>
      </c>
      <c r="G20369" t="str">
        <f>""</f>
        <v/>
      </c>
    </row>
    <row r="20370" spans="1:7" x14ac:dyDescent="0.25">
      <c r="A20370" t="s">
        <v>8</v>
      </c>
      <c r="B20370" s="1" t="str">
        <f>"000091871 - RICHS SWEET DOUGH-SODEXO"</f>
        <v>000091871 - RICHS SWEET DOUGH-SODEXO</v>
      </c>
      <c r="C20370" t="s">
        <v>137</v>
      </c>
      <c r="D20370" s="1" t="str">
        <f t="shared" si="549"/>
        <v>PRG-1047646</v>
      </c>
      <c r="E20370" t="s">
        <v>236</v>
      </c>
      <c r="F20370" t="s">
        <v>4</v>
      </c>
      <c r="G20370" t="str">
        <f>""</f>
        <v/>
      </c>
    </row>
    <row r="20371" spans="1:7" x14ac:dyDescent="0.25">
      <c r="A20371" t="s">
        <v>8</v>
      </c>
      <c r="B20371" s="1" t="str">
        <f>"000096975 - RICHS SWEET DOUGH-SODEXO"</f>
        <v>000096975 - RICHS SWEET DOUGH-SODEXO</v>
      </c>
      <c r="C20371" t="s">
        <v>137</v>
      </c>
      <c r="D20371" s="1" t="str">
        <f t="shared" si="549"/>
        <v>PRG-1047646</v>
      </c>
      <c r="E20371" t="s">
        <v>236</v>
      </c>
      <c r="F20371" t="s">
        <v>4</v>
      </c>
      <c r="G20371" t="str">
        <f>""</f>
        <v/>
      </c>
    </row>
    <row r="20372" spans="1:7" x14ac:dyDescent="0.25">
      <c r="A20372" t="s">
        <v>8</v>
      </c>
      <c r="B20372" s="1" t="str">
        <f>"000163618 - RICHS SWEET DOUGH-SODEXO"</f>
        <v>000163618 - RICHS SWEET DOUGH-SODEXO</v>
      </c>
      <c r="C20372" t="s">
        <v>137</v>
      </c>
      <c r="D20372" s="1" t="str">
        <f t="shared" si="549"/>
        <v>PRG-1047646</v>
      </c>
      <c r="E20372" t="s">
        <v>236</v>
      </c>
      <c r="F20372" t="s">
        <v>4</v>
      </c>
      <c r="G20372" t="str">
        <f>""</f>
        <v/>
      </c>
    </row>
    <row r="20373" spans="1:7" x14ac:dyDescent="0.25">
      <c r="A20373" t="s">
        <v>8</v>
      </c>
      <c r="B20373" s="1" t="str">
        <f>"000170324 - RICHS SWEET DOUGH-SODEXO"</f>
        <v>000170324 - RICHS SWEET DOUGH-SODEXO</v>
      </c>
      <c r="C20373" t="s">
        <v>137</v>
      </c>
      <c r="D20373" s="1" t="str">
        <f t="shared" si="549"/>
        <v>PRG-1047646</v>
      </c>
      <c r="E20373" t="s">
        <v>236</v>
      </c>
      <c r="F20373" t="s">
        <v>4</v>
      </c>
      <c r="G20373" t="str">
        <f>""</f>
        <v/>
      </c>
    </row>
    <row r="20374" spans="1:7" x14ac:dyDescent="0.25">
      <c r="A20374" t="s">
        <v>8</v>
      </c>
      <c r="B20374" s="1" t="str">
        <f>"000172490 - RICHS SWEET DOUGH BB-SODEXO"</f>
        <v>000172490 - RICHS SWEET DOUGH BB-SODEXO</v>
      </c>
      <c r="C20374" t="s">
        <v>161</v>
      </c>
      <c r="D20374" s="1" t="str">
        <f t="shared" si="549"/>
        <v>PRG-1047646</v>
      </c>
      <c r="E20374" t="s">
        <v>236</v>
      </c>
      <c r="F20374" t="s">
        <v>4</v>
      </c>
      <c r="G20374" t="str">
        <f>""</f>
        <v/>
      </c>
    </row>
    <row r="20375" spans="1:7" x14ac:dyDescent="0.25">
      <c r="A20375" t="s">
        <v>8</v>
      </c>
      <c r="B20375" s="1" t="str">
        <f>"000174053 - RICHS SWEET DOUGH BB-SODEXO"</f>
        <v>000174053 - RICHS SWEET DOUGH BB-SODEXO</v>
      </c>
      <c r="C20375" t="s">
        <v>161</v>
      </c>
      <c r="D20375" s="1" t="str">
        <f t="shared" si="549"/>
        <v>PRG-1047646</v>
      </c>
      <c r="E20375" t="s">
        <v>236</v>
      </c>
      <c r="F20375" t="s">
        <v>4</v>
      </c>
      <c r="G20375" t="str">
        <f>""</f>
        <v/>
      </c>
    </row>
    <row r="20376" spans="1:7" x14ac:dyDescent="0.25">
      <c r="A20376" t="s">
        <v>8</v>
      </c>
      <c r="B20376" s="1" t="str">
        <f>"000190844 - RICHS SWEET DOUGH-SODEXO"</f>
        <v>000190844 - RICHS SWEET DOUGH-SODEXO</v>
      </c>
      <c r="C20376" t="s">
        <v>137</v>
      </c>
      <c r="D20376" s="1" t="str">
        <f t="shared" si="549"/>
        <v>PRG-1047646</v>
      </c>
      <c r="E20376" t="s">
        <v>236</v>
      </c>
      <c r="F20376" t="s">
        <v>4</v>
      </c>
      <c r="G20376" t="str">
        <f>""</f>
        <v/>
      </c>
    </row>
    <row r="20377" spans="1:7" x14ac:dyDescent="0.25">
      <c r="A20377" t="s">
        <v>8</v>
      </c>
      <c r="B20377" s="1" t="str">
        <f>"000193851 - RICHS SWEET DOUGH-SODEXO"</f>
        <v>000193851 - RICHS SWEET DOUGH-SODEXO</v>
      </c>
      <c r="C20377" t="s">
        <v>137</v>
      </c>
      <c r="D20377" s="1" t="str">
        <f t="shared" si="549"/>
        <v>PRG-1047646</v>
      </c>
      <c r="E20377" t="s">
        <v>236</v>
      </c>
      <c r="F20377" t="s">
        <v>4</v>
      </c>
      <c r="G20377" t="str">
        <f>""</f>
        <v/>
      </c>
    </row>
    <row r="20378" spans="1:7" x14ac:dyDescent="0.25">
      <c r="A20378" t="s">
        <v>8</v>
      </c>
      <c r="B20378" s="1" t="str">
        <f>"000194523 - RICHS SWEET DOUGH-SODEXO"</f>
        <v>000194523 - RICHS SWEET DOUGH-SODEXO</v>
      </c>
      <c r="C20378" t="s">
        <v>137</v>
      </c>
      <c r="D20378" s="1" t="str">
        <f t="shared" si="549"/>
        <v>PRG-1047646</v>
      </c>
      <c r="E20378" t="s">
        <v>236</v>
      </c>
      <c r="F20378" t="s">
        <v>4</v>
      </c>
      <c r="G20378" t="str">
        <f>""</f>
        <v/>
      </c>
    </row>
    <row r="20379" spans="1:7" x14ac:dyDescent="0.25">
      <c r="A20379" t="s">
        <v>8</v>
      </c>
      <c r="B20379" s="1" t="str">
        <f>"000199009 - RICHS SWEET DOUGH-SODEXO"</f>
        <v>000199009 - RICHS SWEET DOUGH-SODEXO</v>
      </c>
      <c r="C20379" t="s">
        <v>137</v>
      </c>
      <c r="D20379" s="1" t="str">
        <f t="shared" si="549"/>
        <v>PRG-1047646</v>
      </c>
      <c r="E20379" t="s">
        <v>236</v>
      </c>
      <c r="F20379" t="s">
        <v>4</v>
      </c>
      <c r="G20379" t="str">
        <f>""</f>
        <v/>
      </c>
    </row>
    <row r="20380" spans="1:7" x14ac:dyDescent="0.25">
      <c r="A20380" t="s">
        <v>8</v>
      </c>
      <c r="B20380" s="1" t="str">
        <f>"000203309 - RICHS SWEET DOUGH BB-SODEXO"</f>
        <v>000203309 - RICHS SWEET DOUGH BB-SODEXO</v>
      </c>
      <c r="C20380" t="s">
        <v>161</v>
      </c>
      <c r="D20380" s="1" t="str">
        <f t="shared" si="549"/>
        <v>PRG-1047646</v>
      </c>
      <c r="E20380" t="s">
        <v>236</v>
      </c>
      <c r="F20380" t="s">
        <v>4</v>
      </c>
      <c r="G20380" t="str">
        <f>""</f>
        <v/>
      </c>
    </row>
    <row r="20381" spans="1:7" x14ac:dyDescent="0.25">
      <c r="A20381" t="s">
        <v>8</v>
      </c>
      <c r="B20381" s="1" t="str">
        <f>"000254609 - RICHS SWEET DOUGH BB-SODEXO"</f>
        <v>000254609 - RICHS SWEET DOUGH BB-SODEXO</v>
      </c>
      <c r="C20381" t="s">
        <v>161</v>
      </c>
      <c r="D20381" s="1" t="str">
        <f t="shared" si="549"/>
        <v>PRG-1047646</v>
      </c>
      <c r="E20381" t="s">
        <v>236</v>
      </c>
      <c r="F20381" t="s">
        <v>4</v>
      </c>
      <c r="G20381" t="str">
        <f>""</f>
        <v/>
      </c>
    </row>
    <row r="20382" spans="1:7" x14ac:dyDescent="0.25">
      <c r="A20382" t="s">
        <v>8</v>
      </c>
      <c r="B20382" s="1" t="str">
        <f>"000266081 - RICHS SWEET DOUGH BB-SODEXO"</f>
        <v>000266081 - RICHS SWEET DOUGH BB-SODEXO</v>
      </c>
      <c r="C20382" t="s">
        <v>161</v>
      </c>
      <c r="D20382" s="1" t="str">
        <f t="shared" si="549"/>
        <v>PRG-1047646</v>
      </c>
      <c r="E20382" t="s">
        <v>236</v>
      </c>
      <c r="F20382" t="s">
        <v>4</v>
      </c>
      <c r="G20382" t="str">
        <f>""</f>
        <v/>
      </c>
    </row>
    <row r="20383" spans="1:7" x14ac:dyDescent="0.25">
      <c r="A20383" t="s">
        <v>8</v>
      </c>
      <c r="B20383" s="1" t="str">
        <f>"000269337 - RICHS SWEET DOUGH-SODEXO"</f>
        <v>000269337 - RICHS SWEET DOUGH-SODEXO</v>
      </c>
      <c r="C20383" t="s">
        <v>137</v>
      </c>
      <c r="D20383" s="1" t="str">
        <f t="shared" si="549"/>
        <v>PRG-1047646</v>
      </c>
      <c r="E20383" t="s">
        <v>236</v>
      </c>
      <c r="F20383" t="s">
        <v>4</v>
      </c>
      <c r="G20383" t="str">
        <f>""</f>
        <v/>
      </c>
    </row>
    <row r="20384" spans="1:7" x14ac:dyDescent="0.25">
      <c r="A20384" t="s">
        <v>8</v>
      </c>
      <c r="B20384" s="1" t="str">
        <f>"000270500 - RICHS SWEET DOUGH BB-SODEXO"</f>
        <v>000270500 - RICHS SWEET DOUGH BB-SODEXO</v>
      </c>
      <c r="C20384" t="s">
        <v>161</v>
      </c>
      <c r="D20384" s="1" t="str">
        <f t="shared" si="549"/>
        <v>PRG-1047646</v>
      </c>
      <c r="E20384" t="s">
        <v>236</v>
      </c>
      <c r="F20384" t="s">
        <v>4</v>
      </c>
      <c r="G20384" t="str">
        <f>""</f>
        <v/>
      </c>
    </row>
    <row r="20385" spans="1:7" x14ac:dyDescent="0.25">
      <c r="A20385" t="s">
        <v>8</v>
      </c>
      <c r="B20385" s="1" t="str">
        <f>"000271299 - RICHS SWEET DOUGH BB-SODEXO"</f>
        <v>000271299 - RICHS SWEET DOUGH BB-SODEXO</v>
      </c>
      <c r="C20385" t="s">
        <v>161</v>
      </c>
      <c r="D20385" s="1" t="str">
        <f t="shared" si="549"/>
        <v>PRG-1047646</v>
      </c>
      <c r="E20385" t="s">
        <v>236</v>
      </c>
      <c r="F20385" t="s">
        <v>4</v>
      </c>
      <c r="G20385" t="str">
        <f>""</f>
        <v/>
      </c>
    </row>
    <row r="20386" spans="1:7" x14ac:dyDescent="0.25">
      <c r="A20386" t="s">
        <v>8</v>
      </c>
      <c r="B20386" s="1" t="str">
        <f>"000271389 - RICHS SWEET DOUGH-SODEXO"</f>
        <v>000271389 - RICHS SWEET DOUGH-SODEXO</v>
      </c>
      <c r="C20386" t="s">
        <v>137</v>
      </c>
      <c r="D20386" s="1" t="str">
        <f t="shared" si="549"/>
        <v>PRG-1047646</v>
      </c>
      <c r="E20386" t="s">
        <v>236</v>
      </c>
      <c r="F20386" t="s">
        <v>4</v>
      </c>
      <c r="G20386" t="str">
        <f>""</f>
        <v/>
      </c>
    </row>
    <row r="20387" spans="1:7" x14ac:dyDescent="0.25">
      <c r="A20387" t="s">
        <v>8</v>
      </c>
      <c r="B20387" s="1" t="str">
        <f>"000272025 - RICHS SWEET DOUGH-SODEXO"</f>
        <v>000272025 - RICHS SWEET DOUGH-SODEXO</v>
      </c>
      <c r="C20387" t="s">
        <v>137</v>
      </c>
      <c r="D20387" s="1" t="str">
        <f t="shared" si="549"/>
        <v>PRG-1047646</v>
      </c>
      <c r="E20387" t="s">
        <v>236</v>
      </c>
      <c r="F20387" t="s">
        <v>4</v>
      </c>
      <c r="G20387" t="str">
        <f>""</f>
        <v/>
      </c>
    </row>
    <row r="20388" spans="1:7" x14ac:dyDescent="0.25">
      <c r="A20388" t="s">
        <v>8</v>
      </c>
      <c r="B20388" s="1" t="str">
        <f>"000274476 - RICHS SWEET DOUGH BB-SODEXO"</f>
        <v>000274476 - RICHS SWEET DOUGH BB-SODEXO</v>
      </c>
      <c r="C20388" t="s">
        <v>161</v>
      </c>
      <c r="D20388" s="1" t="str">
        <f t="shared" si="549"/>
        <v>PRG-1047646</v>
      </c>
      <c r="E20388" t="s">
        <v>236</v>
      </c>
      <c r="F20388" t="s">
        <v>4</v>
      </c>
      <c r="G20388" t="str">
        <f>""</f>
        <v/>
      </c>
    </row>
    <row r="20389" spans="1:7" x14ac:dyDescent="0.25">
      <c r="A20389" t="s">
        <v>8</v>
      </c>
      <c r="B20389" s="1" t="str">
        <f>"000275535 - RICHS SWEET DOUGH-SODEXO"</f>
        <v>000275535 - RICHS SWEET DOUGH-SODEXO</v>
      </c>
      <c r="C20389" t="s">
        <v>137</v>
      </c>
      <c r="D20389" s="1" t="str">
        <f t="shared" ref="D20389:D20420" si="550">"PRG-1047646"</f>
        <v>PRG-1047646</v>
      </c>
      <c r="E20389" t="s">
        <v>236</v>
      </c>
      <c r="F20389" t="s">
        <v>4</v>
      </c>
      <c r="G20389" t="str">
        <f>""</f>
        <v/>
      </c>
    </row>
    <row r="20390" spans="1:7" x14ac:dyDescent="0.25">
      <c r="A20390" t="s">
        <v>8</v>
      </c>
      <c r="B20390" s="1" t="str">
        <f>"000276092 - RICHS SWEET DOUGH BB-SODEXO"</f>
        <v>000276092 - RICHS SWEET DOUGH BB-SODEXO</v>
      </c>
      <c r="C20390" t="s">
        <v>161</v>
      </c>
      <c r="D20390" s="1" t="str">
        <f t="shared" si="550"/>
        <v>PRG-1047646</v>
      </c>
      <c r="E20390" t="s">
        <v>236</v>
      </c>
      <c r="F20390" t="s">
        <v>4</v>
      </c>
      <c r="G20390" t="str">
        <f>""</f>
        <v/>
      </c>
    </row>
    <row r="20391" spans="1:7" x14ac:dyDescent="0.25">
      <c r="A20391" t="s">
        <v>8</v>
      </c>
      <c r="B20391" s="1" t="str">
        <f>"000278268 - RICHS SWEET DOUGH-SODEXO"</f>
        <v>000278268 - RICHS SWEET DOUGH-SODEXO</v>
      </c>
      <c r="C20391" t="s">
        <v>137</v>
      </c>
      <c r="D20391" s="1" t="str">
        <f t="shared" si="550"/>
        <v>PRG-1047646</v>
      </c>
      <c r="E20391" t="s">
        <v>236</v>
      </c>
      <c r="F20391" t="s">
        <v>4</v>
      </c>
      <c r="G20391" t="str">
        <f>""</f>
        <v/>
      </c>
    </row>
    <row r="20392" spans="1:7" x14ac:dyDescent="0.25">
      <c r="A20392" t="s">
        <v>8</v>
      </c>
      <c r="B20392" s="1" t="str">
        <f>"000281630 - RICHS SWEET DOUGH BB-SODEXO"</f>
        <v>000281630 - RICHS SWEET DOUGH BB-SODEXO</v>
      </c>
      <c r="C20392" t="s">
        <v>161</v>
      </c>
      <c r="D20392" s="1" t="str">
        <f t="shared" si="550"/>
        <v>PRG-1047646</v>
      </c>
      <c r="E20392" t="s">
        <v>236</v>
      </c>
      <c r="F20392" t="s">
        <v>4</v>
      </c>
      <c r="G20392" t="str">
        <f>""</f>
        <v/>
      </c>
    </row>
    <row r="20393" spans="1:7" x14ac:dyDescent="0.25">
      <c r="A20393" t="s">
        <v>8</v>
      </c>
      <c r="B20393" s="1" t="str">
        <f>"000282041 - RICHS SWEET DOUGH BB-SODEXO"</f>
        <v>000282041 - RICHS SWEET DOUGH BB-SODEXO</v>
      </c>
      <c r="C20393" t="s">
        <v>161</v>
      </c>
      <c r="D20393" s="1" t="str">
        <f t="shared" si="550"/>
        <v>PRG-1047646</v>
      </c>
      <c r="E20393" t="s">
        <v>236</v>
      </c>
      <c r="F20393" t="s">
        <v>4</v>
      </c>
      <c r="G20393" t="str">
        <f>""</f>
        <v/>
      </c>
    </row>
    <row r="20394" spans="1:7" x14ac:dyDescent="0.25">
      <c r="A20394" t="s">
        <v>8</v>
      </c>
      <c r="B20394" s="1" t="str">
        <f>"000283745 - RICHS SWEET DOUGH BB-SODEXO"</f>
        <v>000283745 - RICHS SWEET DOUGH BB-SODEXO</v>
      </c>
      <c r="C20394" t="s">
        <v>161</v>
      </c>
      <c r="D20394" s="1" t="str">
        <f t="shared" si="550"/>
        <v>PRG-1047646</v>
      </c>
      <c r="E20394" t="s">
        <v>236</v>
      </c>
      <c r="F20394" t="s">
        <v>4</v>
      </c>
      <c r="G20394" t="str">
        <f>""</f>
        <v/>
      </c>
    </row>
    <row r="20395" spans="1:7" x14ac:dyDescent="0.25">
      <c r="A20395" t="s">
        <v>8</v>
      </c>
      <c r="B20395" s="1" t="str">
        <f>"000286056 - RICHS SWEET DOUGH-SODEXO"</f>
        <v>000286056 - RICHS SWEET DOUGH-SODEXO</v>
      </c>
      <c r="C20395" t="s">
        <v>137</v>
      </c>
      <c r="D20395" s="1" t="str">
        <f t="shared" si="550"/>
        <v>PRG-1047646</v>
      </c>
      <c r="E20395" t="s">
        <v>236</v>
      </c>
      <c r="F20395" t="s">
        <v>4</v>
      </c>
      <c r="G20395" t="str">
        <f>""</f>
        <v/>
      </c>
    </row>
    <row r="20396" spans="1:7" x14ac:dyDescent="0.25">
      <c r="A20396" t="s">
        <v>8</v>
      </c>
      <c r="B20396" s="1" t="str">
        <f>"000286289 - RICHS SWEET DOUGH BB-SODEXO"</f>
        <v>000286289 - RICHS SWEET DOUGH BB-SODEXO</v>
      </c>
      <c r="C20396" t="s">
        <v>161</v>
      </c>
      <c r="D20396" s="1" t="str">
        <f t="shared" si="550"/>
        <v>PRG-1047646</v>
      </c>
      <c r="E20396" t="s">
        <v>236</v>
      </c>
      <c r="F20396" t="s">
        <v>4</v>
      </c>
      <c r="G20396" t="str">
        <f>""</f>
        <v/>
      </c>
    </row>
    <row r="20397" spans="1:7" x14ac:dyDescent="0.25">
      <c r="A20397" t="s">
        <v>8</v>
      </c>
      <c r="B20397" s="1" t="str">
        <f>"000287560 - RICHS SWEET DOUGH-SODEXO"</f>
        <v>000287560 - RICHS SWEET DOUGH-SODEXO</v>
      </c>
      <c r="C20397" t="s">
        <v>137</v>
      </c>
      <c r="D20397" s="1" t="str">
        <f t="shared" si="550"/>
        <v>PRG-1047646</v>
      </c>
      <c r="E20397" t="s">
        <v>236</v>
      </c>
      <c r="F20397" t="s">
        <v>4</v>
      </c>
      <c r="G20397" t="str">
        <f>""</f>
        <v/>
      </c>
    </row>
    <row r="20398" spans="1:7" x14ac:dyDescent="0.25">
      <c r="A20398" t="s">
        <v>8</v>
      </c>
      <c r="B20398" s="1" t="str">
        <f>"000287608 - RICHS SWEET DOUGH-SODEXO"</f>
        <v>000287608 - RICHS SWEET DOUGH-SODEXO</v>
      </c>
      <c r="C20398" t="s">
        <v>137</v>
      </c>
      <c r="D20398" s="1" t="str">
        <f t="shared" si="550"/>
        <v>PRG-1047646</v>
      </c>
      <c r="E20398" t="s">
        <v>236</v>
      </c>
      <c r="F20398" t="s">
        <v>4</v>
      </c>
      <c r="G20398" t="str">
        <f>""</f>
        <v/>
      </c>
    </row>
    <row r="20399" spans="1:7" x14ac:dyDescent="0.25">
      <c r="A20399" t="s">
        <v>8</v>
      </c>
      <c r="B20399" s="1" t="str">
        <f>"000290111 - RICHS SWEET DOUGH-SODEXO"</f>
        <v>000290111 - RICHS SWEET DOUGH-SODEXO</v>
      </c>
      <c r="C20399" t="s">
        <v>137</v>
      </c>
      <c r="D20399" s="1" t="str">
        <f t="shared" si="550"/>
        <v>PRG-1047646</v>
      </c>
      <c r="E20399" t="s">
        <v>236</v>
      </c>
      <c r="F20399" t="s">
        <v>4</v>
      </c>
      <c r="G20399" t="str">
        <f>""</f>
        <v/>
      </c>
    </row>
    <row r="20400" spans="1:7" x14ac:dyDescent="0.25">
      <c r="A20400" t="s">
        <v>8</v>
      </c>
      <c r="B20400" s="1" t="str">
        <f>"000291334 - RICHS SWEET DOUGH BB-SODEXO"</f>
        <v>000291334 - RICHS SWEET DOUGH BB-SODEXO</v>
      </c>
      <c r="C20400" t="s">
        <v>161</v>
      </c>
      <c r="D20400" s="1" t="str">
        <f t="shared" si="550"/>
        <v>PRG-1047646</v>
      </c>
      <c r="E20400" t="s">
        <v>236</v>
      </c>
      <c r="F20400" t="s">
        <v>4</v>
      </c>
      <c r="G20400" t="str">
        <f>""</f>
        <v/>
      </c>
    </row>
    <row r="20401" spans="1:7" x14ac:dyDescent="0.25">
      <c r="A20401" t="s">
        <v>8</v>
      </c>
      <c r="B20401" s="1" t="str">
        <f>"000291510 - RICHS SWEET DOUGH-SODEXO"</f>
        <v>000291510 - RICHS SWEET DOUGH-SODEXO</v>
      </c>
      <c r="C20401" t="s">
        <v>137</v>
      </c>
      <c r="D20401" s="1" t="str">
        <f t="shared" si="550"/>
        <v>PRG-1047646</v>
      </c>
      <c r="E20401" t="s">
        <v>236</v>
      </c>
      <c r="F20401" t="s">
        <v>4</v>
      </c>
      <c r="G20401" t="str">
        <f>""</f>
        <v/>
      </c>
    </row>
    <row r="20402" spans="1:7" x14ac:dyDescent="0.25">
      <c r="A20402" t="s">
        <v>8</v>
      </c>
      <c r="B20402" s="1" t="str">
        <f>"000293701 - RICHS SWEET DOUGH-SODEXO"</f>
        <v>000293701 - RICHS SWEET DOUGH-SODEXO</v>
      </c>
      <c r="C20402" t="s">
        <v>137</v>
      </c>
      <c r="D20402" s="1" t="str">
        <f t="shared" si="550"/>
        <v>PRG-1047646</v>
      </c>
      <c r="E20402" t="s">
        <v>236</v>
      </c>
      <c r="F20402" t="s">
        <v>4</v>
      </c>
      <c r="G20402" t="str">
        <f>""</f>
        <v/>
      </c>
    </row>
    <row r="20403" spans="1:7" x14ac:dyDescent="0.25">
      <c r="A20403" t="s">
        <v>8</v>
      </c>
      <c r="B20403" s="1" t="str">
        <f>"000294752 - RICHS SWEET DOUGH BB-SODEXO"</f>
        <v>000294752 - RICHS SWEET DOUGH BB-SODEXO</v>
      </c>
      <c r="C20403" t="s">
        <v>161</v>
      </c>
      <c r="D20403" s="1" t="str">
        <f t="shared" si="550"/>
        <v>PRG-1047646</v>
      </c>
      <c r="E20403" t="s">
        <v>236</v>
      </c>
      <c r="F20403" t="s">
        <v>4</v>
      </c>
      <c r="G20403" t="str">
        <f>""</f>
        <v/>
      </c>
    </row>
    <row r="20404" spans="1:7" x14ac:dyDescent="0.25">
      <c r="A20404" t="s">
        <v>8</v>
      </c>
      <c r="B20404" s="1" t="str">
        <f>"000295266 - RICHS SWEET DOUGH-SODEXO"</f>
        <v>000295266 - RICHS SWEET DOUGH-SODEXO</v>
      </c>
      <c r="C20404" t="s">
        <v>137</v>
      </c>
      <c r="D20404" s="1" t="str">
        <f t="shared" si="550"/>
        <v>PRG-1047646</v>
      </c>
      <c r="E20404" t="s">
        <v>236</v>
      </c>
      <c r="F20404" t="s">
        <v>4</v>
      </c>
      <c r="G20404" t="str">
        <f>""</f>
        <v/>
      </c>
    </row>
    <row r="20405" spans="1:7" x14ac:dyDescent="0.25">
      <c r="A20405" t="s">
        <v>8</v>
      </c>
      <c r="B20405" s="1" t="str">
        <f>"000296022 - RICHS SWEET DOUGH BB-SODEXO"</f>
        <v>000296022 - RICHS SWEET DOUGH BB-SODEXO</v>
      </c>
      <c r="C20405" t="s">
        <v>161</v>
      </c>
      <c r="D20405" s="1" t="str">
        <f t="shared" si="550"/>
        <v>PRG-1047646</v>
      </c>
      <c r="E20405" t="s">
        <v>236</v>
      </c>
      <c r="F20405" t="s">
        <v>4</v>
      </c>
      <c r="G20405" t="str">
        <f>""</f>
        <v/>
      </c>
    </row>
    <row r="20406" spans="1:7" x14ac:dyDescent="0.25">
      <c r="A20406" t="s">
        <v>8</v>
      </c>
      <c r="B20406" s="1" t="str">
        <f>"000297796 - RICHS SWEET DOUGH BB-SODEXO"</f>
        <v>000297796 - RICHS SWEET DOUGH BB-SODEXO</v>
      </c>
      <c r="C20406" t="s">
        <v>161</v>
      </c>
      <c r="D20406" s="1" t="str">
        <f t="shared" si="550"/>
        <v>PRG-1047646</v>
      </c>
      <c r="E20406" t="s">
        <v>236</v>
      </c>
      <c r="F20406" t="s">
        <v>4</v>
      </c>
      <c r="G20406" t="str">
        <f>""</f>
        <v/>
      </c>
    </row>
    <row r="20407" spans="1:7" x14ac:dyDescent="0.25">
      <c r="A20407" t="s">
        <v>8</v>
      </c>
      <c r="B20407" s="1" t="str">
        <f>"000298028 - RICHS SWEET DOUGH-SODEXO"</f>
        <v>000298028 - RICHS SWEET DOUGH-SODEXO</v>
      </c>
      <c r="C20407" t="s">
        <v>137</v>
      </c>
      <c r="D20407" s="1" t="str">
        <f t="shared" si="550"/>
        <v>PRG-1047646</v>
      </c>
      <c r="E20407" t="s">
        <v>236</v>
      </c>
      <c r="F20407" t="s">
        <v>4</v>
      </c>
      <c r="G20407" t="str">
        <f>""</f>
        <v/>
      </c>
    </row>
    <row r="20408" spans="1:7" x14ac:dyDescent="0.25">
      <c r="A20408" t="s">
        <v>8</v>
      </c>
      <c r="B20408" s="1" t="str">
        <f>"000302421 - RICHS SWEET DOUGH-SODEXO"</f>
        <v>000302421 - RICHS SWEET DOUGH-SODEXO</v>
      </c>
      <c r="C20408" t="s">
        <v>137</v>
      </c>
      <c r="D20408" s="1" t="str">
        <f t="shared" si="550"/>
        <v>PRG-1047646</v>
      </c>
      <c r="E20408" t="s">
        <v>236</v>
      </c>
      <c r="F20408" t="s">
        <v>4</v>
      </c>
      <c r="G20408" t="str">
        <f>""</f>
        <v/>
      </c>
    </row>
    <row r="20409" spans="1:7" x14ac:dyDescent="0.25">
      <c r="A20409" t="s">
        <v>8</v>
      </c>
      <c r="B20409" s="1" t="str">
        <f>"000308562 - RICHS SWEET DOUGH-SODEXO"</f>
        <v>000308562 - RICHS SWEET DOUGH-SODEXO</v>
      </c>
      <c r="C20409" t="s">
        <v>137</v>
      </c>
      <c r="D20409" s="1" t="str">
        <f t="shared" si="550"/>
        <v>PRG-1047646</v>
      </c>
      <c r="E20409" t="s">
        <v>236</v>
      </c>
      <c r="F20409" t="s">
        <v>4</v>
      </c>
      <c r="G20409" t="str">
        <f>""</f>
        <v/>
      </c>
    </row>
    <row r="20410" spans="1:7" x14ac:dyDescent="0.25">
      <c r="A20410" t="s">
        <v>8</v>
      </c>
      <c r="B20410" s="1" t="str">
        <f>"000309304 - RICHS SWEET DOUGH-SODEXO"</f>
        <v>000309304 - RICHS SWEET DOUGH-SODEXO</v>
      </c>
      <c r="C20410" t="s">
        <v>137</v>
      </c>
      <c r="D20410" s="1" t="str">
        <f t="shared" si="550"/>
        <v>PRG-1047646</v>
      </c>
      <c r="E20410" t="s">
        <v>236</v>
      </c>
      <c r="F20410" t="s">
        <v>4</v>
      </c>
      <c r="G20410" t="str">
        <f>""</f>
        <v/>
      </c>
    </row>
    <row r="20411" spans="1:7" x14ac:dyDescent="0.25">
      <c r="A20411" t="s">
        <v>8</v>
      </c>
      <c r="B20411" s="1" t="str">
        <f>"000309955 - RICHS SWEET DOUGH-SODEXO"</f>
        <v>000309955 - RICHS SWEET DOUGH-SODEXO</v>
      </c>
      <c r="C20411" t="s">
        <v>137</v>
      </c>
      <c r="D20411" s="1" t="str">
        <f t="shared" si="550"/>
        <v>PRG-1047646</v>
      </c>
      <c r="E20411" t="s">
        <v>236</v>
      </c>
      <c r="F20411" t="s">
        <v>4</v>
      </c>
      <c r="G20411" t="str">
        <f>""</f>
        <v/>
      </c>
    </row>
    <row r="20412" spans="1:7" x14ac:dyDescent="0.25">
      <c r="A20412" t="s">
        <v>8</v>
      </c>
      <c r="B20412" s="1" t="str">
        <f>"000312387 - RICHS SWEET DOUGH-SODEXO"</f>
        <v>000312387 - RICHS SWEET DOUGH-SODEXO</v>
      </c>
      <c r="C20412" t="s">
        <v>137</v>
      </c>
      <c r="D20412" s="1" t="str">
        <f t="shared" si="550"/>
        <v>PRG-1047646</v>
      </c>
      <c r="E20412" t="s">
        <v>236</v>
      </c>
      <c r="F20412" t="s">
        <v>4</v>
      </c>
      <c r="G20412" t="str">
        <f>""</f>
        <v/>
      </c>
    </row>
    <row r="20413" spans="1:7" x14ac:dyDescent="0.25">
      <c r="A20413" t="s">
        <v>8</v>
      </c>
      <c r="B20413" s="1" t="str">
        <f>"000312847 - RICHS SWEET DOUGH-SODEXO"</f>
        <v>000312847 - RICHS SWEET DOUGH-SODEXO</v>
      </c>
      <c r="C20413" t="s">
        <v>137</v>
      </c>
      <c r="D20413" s="1" t="str">
        <f t="shared" si="550"/>
        <v>PRG-1047646</v>
      </c>
      <c r="E20413" t="s">
        <v>236</v>
      </c>
      <c r="F20413" t="s">
        <v>4</v>
      </c>
      <c r="G20413" t="str">
        <f>""</f>
        <v/>
      </c>
    </row>
    <row r="20414" spans="1:7" x14ac:dyDescent="0.25">
      <c r="A20414" t="s">
        <v>8</v>
      </c>
      <c r="B20414" s="1" t="str">
        <f>"000314324 - RICHS SWEET DOUGH-SODEXO"</f>
        <v>000314324 - RICHS SWEET DOUGH-SODEXO</v>
      </c>
      <c r="C20414" t="s">
        <v>137</v>
      </c>
      <c r="D20414" s="1" t="str">
        <f t="shared" si="550"/>
        <v>PRG-1047646</v>
      </c>
      <c r="E20414" t="s">
        <v>236</v>
      </c>
      <c r="F20414" t="s">
        <v>4</v>
      </c>
      <c r="G20414" t="str">
        <f>""</f>
        <v/>
      </c>
    </row>
    <row r="20415" spans="1:7" x14ac:dyDescent="0.25">
      <c r="A20415" t="s">
        <v>8</v>
      </c>
      <c r="B20415" s="1" t="str">
        <f>"000318931 - RICHS SWEET DOUGH-SODEXO"</f>
        <v>000318931 - RICHS SWEET DOUGH-SODEXO</v>
      </c>
      <c r="C20415" t="s">
        <v>137</v>
      </c>
      <c r="D20415" s="1" t="str">
        <f t="shared" si="550"/>
        <v>PRG-1047646</v>
      </c>
      <c r="E20415" t="s">
        <v>236</v>
      </c>
      <c r="F20415" t="s">
        <v>4</v>
      </c>
      <c r="G20415" t="str">
        <f>""</f>
        <v/>
      </c>
    </row>
    <row r="20416" spans="1:7" x14ac:dyDescent="0.25">
      <c r="A20416" t="s">
        <v>8</v>
      </c>
      <c r="B20416" s="1" t="str">
        <f>"000319894 - RICHS SWEET DOUGH-SODEXO"</f>
        <v>000319894 - RICHS SWEET DOUGH-SODEXO</v>
      </c>
      <c r="C20416" t="s">
        <v>137</v>
      </c>
      <c r="D20416" s="1" t="str">
        <f t="shared" si="550"/>
        <v>PRG-1047646</v>
      </c>
      <c r="E20416" t="s">
        <v>236</v>
      </c>
      <c r="F20416" t="s">
        <v>4</v>
      </c>
      <c r="G20416" t="str">
        <f>""</f>
        <v/>
      </c>
    </row>
    <row r="20417" spans="1:7" x14ac:dyDescent="0.25">
      <c r="A20417" t="s">
        <v>8</v>
      </c>
      <c r="B20417" s="1" t="str">
        <f>"000321790 - RICHS SWEET DOUGH-SODEXO"</f>
        <v>000321790 - RICHS SWEET DOUGH-SODEXO</v>
      </c>
      <c r="C20417" t="s">
        <v>137</v>
      </c>
      <c r="D20417" s="1" t="str">
        <f t="shared" si="550"/>
        <v>PRG-1047646</v>
      </c>
      <c r="E20417" t="s">
        <v>236</v>
      </c>
      <c r="F20417" t="s">
        <v>4</v>
      </c>
      <c r="G20417" t="str">
        <f>""</f>
        <v/>
      </c>
    </row>
    <row r="20418" spans="1:7" x14ac:dyDescent="0.25">
      <c r="A20418" t="s">
        <v>8</v>
      </c>
      <c r="B20418" s="1" t="str">
        <f>"000321793 - RICHS SWEET DOUGH-SODEXO"</f>
        <v>000321793 - RICHS SWEET DOUGH-SODEXO</v>
      </c>
      <c r="C20418" t="s">
        <v>137</v>
      </c>
      <c r="D20418" s="1" t="str">
        <f t="shared" si="550"/>
        <v>PRG-1047646</v>
      </c>
      <c r="E20418" t="s">
        <v>236</v>
      </c>
      <c r="F20418" t="s">
        <v>4</v>
      </c>
      <c r="G20418" t="str">
        <f>""</f>
        <v/>
      </c>
    </row>
    <row r="20419" spans="1:7" x14ac:dyDescent="0.25">
      <c r="A20419" t="s">
        <v>8</v>
      </c>
      <c r="B20419" s="1" t="str">
        <f>"000321921 - RICHS SWEET DOUGH-SODEXO"</f>
        <v>000321921 - RICHS SWEET DOUGH-SODEXO</v>
      </c>
      <c r="C20419" t="s">
        <v>137</v>
      </c>
      <c r="D20419" s="1" t="str">
        <f t="shared" si="550"/>
        <v>PRG-1047646</v>
      </c>
      <c r="E20419" t="s">
        <v>236</v>
      </c>
      <c r="F20419" t="s">
        <v>4</v>
      </c>
      <c r="G20419" t="str">
        <f>""</f>
        <v/>
      </c>
    </row>
    <row r="20420" spans="1:7" x14ac:dyDescent="0.25">
      <c r="A20420" t="s">
        <v>8</v>
      </c>
      <c r="B20420" s="1" t="str">
        <f>"000322767 - RICHS SWEET DOUGH-SODEXO"</f>
        <v>000322767 - RICHS SWEET DOUGH-SODEXO</v>
      </c>
      <c r="C20420" t="s">
        <v>137</v>
      </c>
      <c r="D20420" s="1" t="str">
        <f t="shared" si="550"/>
        <v>PRG-1047646</v>
      </c>
      <c r="E20420" t="s">
        <v>236</v>
      </c>
      <c r="F20420" t="s">
        <v>4</v>
      </c>
      <c r="G20420" t="str">
        <f>""</f>
        <v/>
      </c>
    </row>
    <row r="20421" spans="1:7" x14ac:dyDescent="0.25">
      <c r="A20421" t="s">
        <v>8</v>
      </c>
      <c r="B20421" s="1" t="str">
        <f>"000323139 - RICHS SWEET DOUGH-SODEXO"</f>
        <v>000323139 - RICHS SWEET DOUGH-SODEXO</v>
      </c>
      <c r="C20421" t="s">
        <v>137</v>
      </c>
      <c r="D20421" s="1" t="str">
        <f t="shared" ref="D20421:D20452" si="551">"PRG-1047646"</f>
        <v>PRG-1047646</v>
      </c>
      <c r="E20421" t="s">
        <v>236</v>
      </c>
      <c r="F20421" t="s">
        <v>4</v>
      </c>
      <c r="G20421" t="str">
        <f>""</f>
        <v/>
      </c>
    </row>
    <row r="20422" spans="1:7" x14ac:dyDescent="0.25">
      <c r="A20422" t="s">
        <v>8</v>
      </c>
      <c r="B20422" s="1" t="str">
        <f>"000325708 - RICHS SWEET DOUGH-SODEXO"</f>
        <v>000325708 - RICHS SWEET DOUGH-SODEXO</v>
      </c>
      <c r="C20422" t="s">
        <v>137</v>
      </c>
      <c r="D20422" s="1" t="str">
        <f t="shared" si="551"/>
        <v>PRG-1047646</v>
      </c>
      <c r="E20422" t="s">
        <v>236</v>
      </c>
      <c r="F20422" t="s">
        <v>4</v>
      </c>
      <c r="G20422" t="str">
        <f>""</f>
        <v/>
      </c>
    </row>
    <row r="20423" spans="1:7" x14ac:dyDescent="0.25">
      <c r="A20423" t="s">
        <v>8</v>
      </c>
      <c r="B20423" s="1" t="str">
        <f>"000327799 - RICHS SWEET DOUGH BB-SODEXO"</f>
        <v>000327799 - RICHS SWEET DOUGH BB-SODEXO</v>
      </c>
      <c r="C20423" t="s">
        <v>161</v>
      </c>
      <c r="D20423" s="1" t="str">
        <f t="shared" si="551"/>
        <v>PRG-1047646</v>
      </c>
      <c r="E20423" t="s">
        <v>236</v>
      </c>
      <c r="F20423" t="s">
        <v>4</v>
      </c>
      <c r="G20423" t="str">
        <f>""</f>
        <v/>
      </c>
    </row>
    <row r="20424" spans="1:7" x14ac:dyDescent="0.25">
      <c r="A20424" t="s">
        <v>8</v>
      </c>
      <c r="B20424" s="1" t="str">
        <f>"000327943 - RICHS SWEET DOUGH-SODEXO"</f>
        <v>000327943 - RICHS SWEET DOUGH-SODEXO</v>
      </c>
      <c r="C20424" t="s">
        <v>137</v>
      </c>
      <c r="D20424" s="1" t="str">
        <f t="shared" si="551"/>
        <v>PRG-1047646</v>
      </c>
      <c r="E20424" t="s">
        <v>236</v>
      </c>
      <c r="F20424" t="s">
        <v>4</v>
      </c>
      <c r="G20424" t="str">
        <f>""</f>
        <v/>
      </c>
    </row>
    <row r="20425" spans="1:7" x14ac:dyDescent="0.25">
      <c r="A20425" t="s">
        <v>8</v>
      </c>
      <c r="B20425" s="1" t="str">
        <f>"000338505 - RICHS SWEET DOUGH-SODEXO"</f>
        <v>000338505 - RICHS SWEET DOUGH-SODEXO</v>
      </c>
      <c r="C20425" t="s">
        <v>137</v>
      </c>
      <c r="D20425" s="1" t="str">
        <f t="shared" si="551"/>
        <v>PRG-1047646</v>
      </c>
      <c r="E20425" t="s">
        <v>236</v>
      </c>
      <c r="F20425" t="s">
        <v>4</v>
      </c>
      <c r="G20425" t="str">
        <f>""</f>
        <v/>
      </c>
    </row>
    <row r="20426" spans="1:7" x14ac:dyDescent="0.25">
      <c r="A20426" t="s">
        <v>8</v>
      </c>
      <c r="B20426" s="1" t="str">
        <f>"000341111 - RICHS SWEET DOUGH BB-SODEXO"</f>
        <v>000341111 - RICHS SWEET DOUGH BB-SODEXO</v>
      </c>
      <c r="C20426" t="s">
        <v>161</v>
      </c>
      <c r="D20426" s="1" t="str">
        <f t="shared" si="551"/>
        <v>PRG-1047646</v>
      </c>
      <c r="E20426" t="s">
        <v>236</v>
      </c>
      <c r="F20426" t="s">
        <v>4</v>
      </c>
      <c r="G20426" t="str">
        <f>""</f>
        <v/>
      </c>
    </row>
    <row r="20427" spans="1:7" x14ac:dyDescent="0.25">
      <c r="A20427" t="s">
        <v>8</v>
      </c>
      <c r="B20427" s="1" t="str">
        <f>"000342411 - RICHS SWEET DOUGH-SODEXO"</f>
        <v>000342411 - RICHS SWEET DOUGH-SODEXO</v>
      </c>
      <c r="C20427" t="s">
        <v>137</v>
      </c>
      <c r="D20427" s="1" t="str">
        <f t="shared" si="551"/>
        <v>PRG-1047646</v>
      </c>
      <c r="E20427" t="s">
        <v>236</v>
      </c>
      <c r="F20427" t="s">
        <v>4</v>
      </c>
      <c r="G20427" t="str">
        <f>""</f>
        <v/>
      </c>
    </row>
    <row r="20428" spans="1:7" x14ac:dyDescent="0.25">
      <c r="A20428" t="s">
        <v>8</v>
      </c>
      <c r="B20428" s="1" t="str">
        <f>"000346320 - RICHS SWEET DOUGH-SODEXO"</f>
        <v>000346320 - RICHS SWEET DOUGH-SODEXO</v>
      </c>
      <c r="C20428" t="s">
        <v>137</v>
      </c>
      <c r="D20428" s="1" t="str">
        <f t="shared" si="551"/>
        <v>PRG-1047646</v>
      </c>
      <c r="E20428" t="s">
        <v>236</v>
      </c>
      <c r="F20428" t="s">
        <v>4</v>
      </c>
      <c r="G20428" t="str">
        <f>""</f>
        <v/>
      </c>
    </row>
    <row r="20429" spans="1:7" x14ac:dyDescent="0.25">
      <c r="A20429" t="s">
        <v>8</v>
      </c>
      <c r="B20429" s="1" t="str">
        <f>"000350799 - RICHS SWEET DOUGH-SODEXO"</f>
        <v>000350799 - RICHS SWEET DOUGH-SODEXO</v>
      </c>
      <c r="C20429" t="s">
        <v>137</v>
      </c>
      <c r="D20429" s="1" t="str">
        <f t="shared" si="551"/>
        <v>PRG-1047646</v>
      </c>
      <c r="E20429" t="s">
        <v>236</v>
      </c>
      <c r="F20429" t="s">
        <v>4</v>
      </c>
      <c r="G20429" t="str">
        <f>""</f>
        <v/>
      </c>
    </row>
    <row r="20430" spans="1:7" x14ac:dyDescent="0.25">
      <c r="A20430" t="s">
        <v>8</v>
      </c>
      <c r="B20430" s="1" t="str">
        <f>"000352103 - RICHS SWEET DOUGH BB-SODEXO"</f>
        <v>000352103 - RICHS SWEET DOUGH BB-SODEXO</v>
      </c>
      <c r="C20430" t="s">
        <v>161</v>
      </c>
      <c r="D20430" s="1" t="str">
        <f t="shared" si="551"/>
        <v>PRG-1047646</v>
      </c>
      <c r="E20430" t="s">
        <v>236</v>
      </c>
      <c r="F20430" t="s">
        <v>4</v>
      </c>
      <c r="G20430" t="str">
        <f>""</f>
        <v/>
      </c>
    </row>
    <row r="20431" spans="1:7" x14ac:dyDescent="0.25">
      <c r="A20431" t="s">
        <v>8</v>
      </c>
      <c r="B20431" s="1" t="str">
        <f>"000353194 - RICHS SWEET DOUGH-SODEXO"</f>
        <v>000353194 - RICHS SWEET DOUGH-SODEXO</v>
      </c>
      <c r="C20431" t="s">
        <v>137</v>
      </c>
      <c r="D20431" s="1" t="str">
        <f t="shared" si="551"/>
        <v>PRG-1047646</v>
      </c>
      <c r="E20431" t="s">
        <v>236</v>
      </c>
      <c r="F20431" t="s">
        <v>4</v>
      </c>
      <c r="G20431" t="str">
        <f>""</f>
        <v/>
      </c>
    </row>
    <row r="20432" spans="1:7" x14ac:dyDescent="0.25">
      <c r="A20432" t="s">
        <v>8</v>
      </c>
      <c r="B20432" s="1" t="str">
        <f>"000353584 - RICHS SWEET DOUGH BB-SODEXO"</f>
        <v>000353584 - RICHS SWEET DOUGH BB-SODEXO</v>
      </c>
      <c r="C20432" t="s">
        <v>161</v>
      </c>
      <c r="D20432" s="1" t="str">
        <f t="shared" si="551"/>
        <v>PRG-1047646</v>
      </c>
      <c r="E20432" t="s">
        <v>236</v>
      </c>
      <c r="F20432" t="s">
        <v>4</v>
      </c>
      <c r="G20432" t="str">
        <f>""</f>
        <v/>
      </c>
    </row>
    <row r="20433" spans="1:7" x14ac:dyDescent="0.25">
      <c r="A20433" t="s">
        <v>8</v>
      </c>
      <c r="B20433" s="1" t="str">
        <f>"000353962 - RICHS SWEET DOUGH BB-SODEXO"</f>
        <v>000353962 - RICHS SWEET DOUGH BB-SODEXO</v>
      </c>
      <c r="C20433" t="s">
        <v>161</v>
      </c>
      <c r="D20433" s="1" t="str">
        <f t="shared" si="551"/>
        <v>PRG-1047646</v>
      </c>
      <c r="E20433" t="s">
        <v>236</v>
      </c>
      <c r="F20433" t="s">
        <v>4</v>
      </c>
      <c r="G20433" t="str">
        <f>""</f>
        <v/>
      </c>
    </row>
    <row r="20434" spans="1:7" x14ac:dyDescent="0.25">
      <c r="A20434" t="s">
        <v>8</v>
      </c>
      <c r="B20434" s="1" t="str">
        <f>"000357177 - RICHS SWEET DOUGH BB-SODEXO"</f>
        <v>000357177 - RICHS SWEET DOUGH BB-SODEXO</v>
      </c>
      <c r="C20434" t="s">
        <v>161</v>
      </c>
      <c r="D20434" s="1" t="str">
        <f t="shared" si="551"/>
        <v>PRG-1047646</v>
      </c>
      <c r="E20434" t="s">
        <v>236</v>
      </c>
      <c r="F20434" t="s">
        <v>4</v>
      </c>
      <c r="G20434" t="str">
        <f>""</f>
        <v/>
      </c>
    </row>
    <row r="20435" spans="1:7" x14ac:dyDescent="0.25">
      <c r="A20435" t="s">
        <v>8</v>
      </c>
      <c r="B20435" s="1" t="str">
        <f>"000358534 - RICHS SWEET DOUGH-SODEXO"</f>
        <v>000358534 - RICHS SWEET DOUGH-SODEXO</v>
      </c>
      <c r="C20435" t="s">
        <v>137</v>
      </c>
      <c r="D20435" s="1" t="str">
        <f t="shared" si="551"/>
        <v>PRG-1047646</v>
      </c>
      <c r="E20435" t="s">
        <v>236</v>
      </c>
      <c r="F20435" t="s">
        <v>4</v>
      </c>
      <c r="G20435" t="str">
        <f>""</f>
        <v/>
      </c>
    </row>
    <row r="20436" spans="1:7" x14ac:dyDescent="0.25">
      <c r="A20436" t="s">
        <v>8</v>
      </c>
      <c r="B20436" s="1" t="str">
        <f>"000359830 - RICHS SWEET DOUGH-SODEXO"</f>
        <v>000359830 - RICHS SWEET DOUGH-SODEXO</v>
      </c>
      <c r="C20436" t="s">
        <v>137</v>
      </c>
      <c r="D20436" s="1" t="str">
        <f t="shared" si="551"/>
        <v>PRG-1047646</v>
      </c>
      <c r="E20436" t="s">
        <v>236</v>
      </c>
      <c r="F20436" t="s">
        <v>4</v>
      </c>
      <c r="G20436" t="str">
        <f>""</f>
        <v/>
      </c>
    </row>
    <row r="20437" spans="1:7" x14ac:dyDescent="0.25">
      <c r="A20437" t="s">
        <v>8</v>
      </c>
      <c r="B20437" s="1" t="str">
        <f>"000362993 - RICHS SWEET DOUGH-SODEXO"</f>
        <v>000362993 - RICHS SWEET DOUGH-SODEXO</v>
      </c>
      <c r="C20437" t="s">
        <v>137</v>
      </c>
      <c r="D20437" s="1" t="str">
        <f t="shared" si="551"/>
        <v>PRG-1047646</v>
      </c>
      <c r="E20437" t="s">
        <v>236</v>
      </c>
      <c r="F20437" t="s">
        <v>4</v>
      </c>
      <c r="G20437" t="str">
        <f>""</f>
        <v/>
      </c>
    </row>
    <row r="20438" spans="1:7" x14ac:dyDescent="0.25">
      <c r="A20438" t="s">
        <v>8</v>
      </c>
      <c r="B20438" s="1" t="str">
        <f>"000364991 - RICHS SWEET DOUGH-SODEXO"</f>
        <v>000364991 - RICHS SWEET DOUGH-SODEXO</v>
      </c>
      <c r="C20438" t="s">
        <v>137</v>
      </c>
      <c r="D20438" s="1" t="str">
        <f t="shared" si="551"/>
        <v>PRG-1047646</v>
      </c>
      <c r="E20438" t="s">
        <v>236</v>
      </c>
      <c r="F20438" t="s">
        <v>4</v>
      </c>
      <c r="G20438" t="str">
        <f>""</f>
        <v/>
      </c>
    </row>
    <row r="20439" spans="1:7" x14ac:dyDescent="0.25">
      <c r="A20439" t="s">
        <v>8</v>
      </c>
      <c r="B20439" s="1" t="str">
        <f>"000374087 - RICHS SWEET DOUGH BB-SODEXO"</f>
        <v>000374087 - RICHS SWEET DOUGH BB-SODEXO</v>
      </c>
      <c r="C20439" t="s">
        <v>161</v>
      </c>
      <c r="D20439" s="1" t="str">
        <f t="shared" si="551"/>
        <v>PRG-1047646</v>
      </c>
      <c r="E20439" t="s">
        <v>236</v>
      </c>
      <c r="F20439" t="s">
        <v>4</v>
      </c>
      <c r="G20439" t="str">
        <f>""</f>
        <v/>
      </c>
    </row>
    <row r="20440" spans="1:7" x14ac:dyDescent="0.25">
      <c r="A20440" t="s">
        <v>8</v>
      </c>
      <c r="B20440" s="1" t="str">
        <f>"000374811 - RICHS SWEET DOUGH-SODEXO"</f>
        <v>000374811 - RICHS SWEET DOUGH-SODEXO</v>
      </c>
      <c r="C20440" t="s">
        <v>137</v>
      </c>
      <c r="D20440" s="1" t="str">
        <f t="shared" si="551"/>
        <v>PRG-1047646</v>
      </c>
      <c r="E20440" t="s">
        <v>236</v>
      </c>
      <c r="F20440" t="s">
        <v>4</v>
      </c>
      <c r="G20440" t="str">
        <f>""</f>
        <v/>
      </c>
    </row>
    <row r="20441" spans="1:7" x14ac:dyDescent="0.25">
      <c r="A20441" t="s">
        <v>8</v>
      </c>
      <c r="B20441" s="1" t="str">
        <f>"000386847 - RICHS SWEET DOUGH-SODEXO"</f>
        <v>000386847 - RICHS SWEET DOUGH-SODEXO</v>
      </c>
      <c r="C20441" t="s">
        <v>137</v>
      </c>
      <c r="D20441" s="1" t="str">
        <f t="shared" si="551"/>
        <v>PRG-1047646</v>
      </c>
      <c r="E20441" t="s">
        <v>236</v>
      </c>
      <c r="F20441" t="s">
        <v>4</v>
      </c>
      <c r="G20441" t="str">
        <f>""</f>
        <v/>
      </c>
    </row>
    <row r="20442" spans="1:7" x14ac:dyDescent="0.25">
      <c r="A20442" t="s">
        <v>8</v>
      </c>
      <c r="B20442" s="1" t="str">
        <f>"000388659 - RICHS SWEET DOUGH-SODEXO"</f>
        <v>000388659 - RICHS SWEET DOUGH-SODEXO</v>
      </c>
      <c r="C20442" t="s">
        <v>137</v>
      </c>
      <c r="D20442" s="1" t="str">
        <f t="shared" si="551"/>
        <v>PRG-1047646</v>
      </c>
      <c r="E20442" t="s">
        <v>236</v>
      </c>
      <c r="F20442" t="s">
        <v>4</v>
      </c>
      <c r="G20442" t="str">
        <f>""</f>
        <v/>
      </c>
    </row>
    <row r="20443" spans="1:7" x14ac:dyDescent="0.25">
      <c r="A20443" t="s">
        <v>8</v>
      </c>
      <c r="B20443" s="1" t="str">
        <f>"000390093 - RICHS SWEET DOUGH-SODEXO"</f>
        <v>000390093 - RICHS SWEET DOUGH-SODEXO</v>
      </c>
      <c r="C20443" t="s">
        <v>137</v>
      </c>
      <c r="D20443" s="1" t="str">
        <f t="shared" si="551"/>
        <v>PRG-1047646</v>
      </c>
      <c r="E20443" t="s">
        <v>236</v>
      </c>
      <c r="F20443" t="s">
        <v>4</v>
      </c>
      <c r="G20443" t="str">
        <f>""</f>
        <v/>
      </c>
    </row>
    <row r="20444" spans="1:7" x14ac:dyDescent="0.25">
      <c r="A20444" t="s">
        <v>8</v>
      </c>
      <c r="B20444" s="1" t="str">
        <f>"000391367 - RICHS SWEET DOUGH-SODEXO"</f>
        <v>000391367 - RICHS SWEET DOUGH-SODEXO</v>
      </c>
      <c r="C20444" t="s">
        <v>137</v>
      </c>
      <c r="D20444" s="1" t="str">
        <f t="shared" si="551"/>
        <v>PRG-1047646</v>
      </c>
      <c r="E20444" t="s">
        <v>236</v>
      </c>
      <c r="F20444" t="s">
        <v>4</v>
      </c>
      <c r="G20444" t="str">
        <f>""</f>
        <v/>
      </c>
    </row>
    <row r="20445" spans="1:7" x14ac:dyDescent="0.25">
      <c r="A20445" t="s">
        <v>8</v>
      </c>
      <c r="B20445" s="1" t="str">
        <f>"000393648 - RICHS SWEET DOUGH-SODEXO"</f>
        <v>000393648 - RICHS SWEET DOUGH-SODEXO</v>
      </c>
      <c r="C20445" t="s">
        <v>137</v>
      </c>
      <c r="D20445" s="1" t="str">
        <f t="shared" si="551"/>
        <v>PRG-1047646</v>
      </c>
      <c r="E20445" t="s">
        <v>236</v>
      </c>
      <c r="F20445" t="s">
        <v>4</v>
      </c>
      <c r="G20445" t="str">
        <f>""</f>
        <v/>
      </c>
    </row>
    <row r="20446" spans="1:7" x14ac:dyDescent="0.25">
      <c r="A20446" t="s">
        <v>8</v>
      </c>
      <c r="B20446" s="1" t="str">
        <f>"000396087 - RICHS SWEET DOUGH-SODEXO"</f>
        <v>000396087 - RICHS SWEET DOUGH-SODEXO</v>
      </c>
      <c r="C20446" t="s">
        <v>137</v>
      </c>
      <c r="D20446" s="1" t="str">
        <f t="shared" si="551"/>
        <v>PRG-1047646</v>
      </c>
      <c r="E20446" t="s">
        <v>236</v>
      </c>
      <c r="F20446" t="s">
        <v>4</v>
      </c>
      <c r="G20446" t="str">
        <f>""</f>
        <v/>
      </c>
    </row>
    <row r="20447" spans="1:7" x14ac:dyDescent="0.25">
      <c r="A20447" t="s">
        <v>8</v>
      </c>
      <c r="B20447" s="1" t="str">
        <f>"000396792 - RICHS SWEET DOUGH-SODEXO"</f>
        <v>000396792 - RICHS SWEET DOUGH-SODEXO</v>
      </c>
      <c r="C20447" t="s">
        <v>137</v>
      </c>
      <c r="D20447" s="1" t="str">
        <f t="shared" si="551"/>
        <v>PRG-1047646</v>
      </c>
      <c r="E20447" t="s">
        <v>236</v>
      </c>
      <c r="F20447" t="s">
        <v>4</v>
      </c>
      <c r="G20447" t="str">
        <f>""</f>
        <v/>
      </c>
    </row>
    <row r="20448" spans="1:7" x14ac:dyDescent="0.25">
      <c r="A20448" t="s">
        <v>8</v>
      </c>
      <c r="B20448" s="1" t="str">
        <f>"000399431 - RICHS SWEET DOUGH-SODEXO"</f>
        <v>000399431 - RICHS SWEET DOUGH-SODEXO</v>
      </c>
      <c r="C20448" t="s">
        <v>137</v>
      </c>
      <c r="D20448" s="1" t="str">
        <f t="shared" si="551"/>
        <v>PRG-1047646</v>
      </c>
      <c r="E20448" t="s">
        <v>236</v>
      </c>
      <c r="F20448" t="s">
        <v>4</v>
      </c>
      <c r="G20448" t="str">
        <f>""</f>
        <v/>
      </c>
    </row>
    <row r="20449" spans="1:7" x14ac:dyDescent="0.25">
      <c r="A20449" t="s">
        <v>8</v>
      </c>
      <c r="B20449" s="1" t="str">
        <f>"000401667 - RICHS SWEET DOUGH-SODEXO"</f>
        <v>000401667 - RICHS SWEET DOUGH-SODEXO</v>
      </c>
      <c r="C20449" t="s">
        <v>137</v>
      </c>
      <c r="D20449" s="1" t="str">
        <f t="shared" si="551"/>
        <v>PRG-1047646</v>
      </c>
      <c r="E20449" t="s">
        <v>236</v>
      </c>
      <c r="F20449" t="s">
        <v>4</v>
      </c>
      <c r="G20449" t="str">
        <f>""</f>
        <v/>
      </c>
    </row>
    <row r="20450" spans="1:7" x14ac:dyDescent="0.25">
      <c r="A20450" t="s">
        <v>8</v>
      </c>
      <c r="B20450" s="1" t="str">
        <f>"000401788 - RICHS SWEET DOUGH-SODEXO"</f>
        <v>000401788 - RICHS SWEET DOUGH-SODEXO</v>
      </c>
      <c r="C20450" t="s">
        <v>137</v>
      </c>
      <c r="D20450" s="1" t="str">
        <f t="shared" si="551"/>
        <v>PRG-1047646</v>
      </c>
      <c r="E20450" t="s">
        <v>236</v>
      </c>
      <c r="F20450" t="s">
        <v>4</v>
      </c>
      <c r="G20450" t="str">
        <f>""</f>
        <v/>
      </c>
    </row>
    <row r="20451" spans="1:7" x14ac:dyDescent="0.25">
      <c r="A20451" t="s">
        <v>8</v>
      </c>
      <c r="B20451" s="1" t="str">
        <f>"000403453 - RICHS SWEET DOUGH-SODEXO"</f>
        <v>000403453 - RICHS SWEET DOUGH-SODEXO</v>
      </c>
      <c r="C20451" t="s">
        <v>137</v>
      </c>
      <c r="D20451" s="1" t="str">
        <f t="shared" si="551"/>
        <v>PRG-1047646</v>
      </c>
      <c r="E20451" t="s">
        <v>236</v>
      </c>
      <c r="F20451" t="s">
        <v>4</v>
      </c>
      <c r="G20451" t="str">
        <f>""</f>
        <v/>
      </c>
    </row>
    <row r="20452" spans="1:7" x14ac:dyDescent="0.25">
      <c r="A20452" t="s">
        <v>8</v>
      </c>
      <c r="B20452" s="1" t="str">
        <f>"000406150 - RICHS SWEET DOUGH-SODEXO"</f>
        <v>000406150 - RICHS SWEET DOUGH-SODEXO</v>
      </c>
      <c r="C20452" t="s">
        <v>137</v>
      </c>
      <c r="D20452" s="1" t="str">
        <f t="shared" si="551"/>
        <v>PRG-1047646</v>
      </c>
      <c r="E20452" t="s">
        <v>236</v>
      </c>
      <c r="F20452" t="s">
        <v>4</v>
      </c>
      <c r="G20452" t="str">
        <f>""</f>
        <v/>
      </c>
    </row>
    <row r="20453" spans="1:7" x14ac:dyDescent="0.25">
      <c r="A20453" t="s">
        <v>8</v>
      </c>
      <c r="B20453" s="1" t="str">
        <f>"000407715 - RICHS SWEET DOUGH-SODEXO"</f>
        <v>000407715 - RICHS SWEET DOUGH-SODEXO</v>
      </c>
      <c r="C20453" t="s">
        <v>137</v>
      </c>
      <c r="D20453" s="1" t="str">
        <f t="shared" ref="D20453:D20460" si="552">"PRG-1047646"</f>
        <v>PRG-1047646</v>
      </c>
      <c r="E20453" t="s">
        <v>236</v>
      </c>
      <c r="F20453" t="s">
        <v>4</v>
      </c>
      <c r="G20453" t="str">
        <f>""</f>
        <v/>
      </c>
    </row>
    <row r="20454" spans="1:7" x14ac:dyDescent="0.25">
      <c r="A20454" t="s">
        <v>8</v>
      </c>
      <c r="B20454" s="1" t="str">
        <f>"000409100 - RICHS SWEET DOUGH-SODEXO"</f>
        <v>000409100 - RICHS SWEET DOUGH-SODEXO</v>
      </c>
      <c r="C20454" t="s">
        <v>137</v>
      </c>
      <c r="D20454" s="1" t="str">
        <f t="shared" si="552"/>
        <v>PRG-1047646</v>
      </c>
      <c r="E20454" t="s">
        <v>236</v>
      </c>
      <c r="F20454" t="s">
        <v>4</v>
      </c>
      <c r="G20454" t="str">
        <f>""</f>
        <v/>
      </c>
    </row>
    <row r="20455" spans="1:7" x14ac:dyDescent="0.25">
      <c r="A20455" t="s">
        <v>8</v>
      </c>
      <c r="B20455" s="1" t="str">
        <f>"000414775 - RICHS SWEET DOUGH-SODEXO"</f>
        <v>000414775 - RICHS SWEET DOUGH-SODEXO</v>
      </c>
      <c r="C20455" t="s">
        <v>137</v>
      </c>
      <c r="D20455" s="1" t="str">
        <f t="shared" si="552"/>
        <v>PRG-1047646</v>
      </c>
      <c r="E20455" t="s">
        <v>236</v>
      </c>
      <c r="F20455" t="s">
        <v>4</v>
      </c>
      <c r="G20455" t="str">
        <f>""</f>
        <v/>
      </c>
    </row>
    <row r="20456" spans="1:7" x14ac:dyDescent="0.25">
      <c r="A20456" t="s">
        <v>8</v>
      </c>
      <c r="B20456" s="1" t="str">
        <f>"000419280 - RICHS SWEET DOUGH-SODEXO"</f>
        <v>000419280 - RICHS SWEET DOUGH-SODEXO</v>
      </c>
      <c r="C20456" t="s">
        <v>137</v>
      </c>
      <c r="D20456" s="1" t="str">
        <f t="shared" si="552"/>
        <v>PRG-1047646</v>
      </c>
      <c r="E20456" t="s">
        <v>236</v>
      </c>
      <c r="F20456" t="s">
        <v>4</v>
      </c>
      <c r="G20456" t="str">
        <f>""</f>
        <v/>
      </c>
    </row>
    <row r="20457" spans="1:7" x14ac:dyDescent="0.25">
      <c r="A20457" t="s">
        <v>8</v>
      </c>
      <c r="B20457" s="1" t="str">
        <f>"000419814 - RICHS SWEET DOUGH-SODEXO"</f>
        <v>000419814 - RICHS SWEET DOUGH-SODEXO</v>
      </c>
      <c r="C20457" t="s">
        <v>137</v>
      </c>
      <c r="D20457" s="1" t="str">
        <f t="shared" si="552"/>
        <v>PRG-1047646</v>
      </c>
      <c r="E20457" t="s">
        <v>236</v>
      </c>
      <c r="F20457" t="s">
        <v>4</v>
      </c>
      <c r="G20457" t="str">
        <f>""</f>
        <v/>
      </c>
    </row>
    <row r="20458" spans="1:7" x14ac:dyDescent="0.25">
      <c r="A20458" t="s">
        <v>8</v>
      </c>
      <c r="B20458" s="1" t="str">
        <f>"000421435 - RICHS SWEET DOUGH-SODEXO"</f>
        <v>000421435 - RICHS SWEET DOUGH-SODEXO</v>
      </c>
      <c r="C20458" t="s">
        <v>137</v>
      </c>
      <c r="D20458" s="1" t="str">
        <f t="shared" si="552"/>
        <v>PRG-1047646</v>
      </c>
      <c r="E20458" t="s">
        <v>236</v>
      </c>
      <c r="F20458" t="s">
        <v>4</v>
      </c>
      <c r="G20458" t="str">
        <f>""</f>
        <v/>
      </c>
    </row>
    <row r="20459" spans="1:7" x14ac:dyDescent="0.25">
      <c r="A20459" t="s">
        <v>8</v>
      </c>
      <c r="B20459" s="1" t="str">
        <f>"000425819 - RICHS SWEET DOUGH-SODEXO"</f>
        <v>000425819 - RICHS SWEET DOUGH-SODEXO</v>
      </c>
      <c r="C20459" t="s">
        <v>137</v>
      </c>
      <c r="D20459" s="1" t="str">
        <f t="shared" si="552"/>
        <v>PRG-1047646</v>
      </c>
      <c r="E20459" t="s">
        <v>236</v>
      </c>
      <c r="F20459" t="s">
        <v>4</v>
      </c>
      <c r="G20459" t="str">
        <f>""</f>
        <v/>
      </c>
    </row>
    <row r="20460" spans="1:7" x14ac:dyDescent="0.25">
      <c r="A20460" t="s">
        <v>8</v>
      </c>
      <c r="B20460" s="1" t="str">
        <f>"000435502 - RICHS SWEET DOUGH-SODEXO"</f>
        <v>000435502 - RICHS SWEET DOUGH-SODEXO</v>
      </c>
      <c r="C20460" t="s">
        <v>137</v>
      </c>
      <c r="D20460" s="1" t="str">
        <f t="shared" si="552"/>
        <v>PRG-1047646</v>
      </c>
      <c r="E20460" t="s">
        <v>236</v>
      </c>
      <c r="F20460" t="s">
        <v>4</v>
      </c>
      <c r="G20460" t="str">
        <f>""</f>
        <v/>
      </c>
    </row>
    <row r="20461" spans="1:7" x14ac:dyDescent="0.25">
      <c r="A20461" t="s">
        <v>8</v>
      </c>
      <c r="B20461" s="1" t="str">
        <f>"000096502 - RICHS DOUGH ICING-SODEXO"</f>
        <v>000096502 - RICHS DOUGH ICING-SODEXO</v>
      </c>
      <c r="C20461" t="s">
        <v>552</v>
      </c>
      <c r="D20461" s="1" t="str">
        <f>"PRG-1047647"</f>
        <v>PRG-1047647</v>
      </c>
      <c r="E20461" t="s">
        <v>786</v>
      </c>
      <c r="F20461" t="s">
        <v>4</v>
      </c>
      <c r="G20461" t="str">
        <f>""</f>
        <v/>
      </c>
    </row>
    <row r="20462" spans="1:7" x14ac:dyDescent="0.25">
      <c r="A20462" t="s">
        <v>8</v>
      </c>
      <c r="B20462" s="1" t="str">
        <f>"000352190 - RICHS DOUGH ICING-SODEXO"</f>
        <v>000352190 - RICHS DOUGH ICING-SODEXO</v>
      </c>
      <c r="C20462" t="s">
        <v>552</v>
      </c>
      <c r="D20462" s="1" t="str">
        <f>"PRG-1047647"</f>
        <v>PRG-1047647</v>
      </c>
      <c r="E20462" t="s">
        <v>786</v>
      </c>
      <c r="F20462" t="s">
        <v>4</v>
      </c>
      <c r="G20462" t="str">
        <f>""</f>
        <v/>
      </c>
    </row>
    <row r="20463" spans="1:7" x14ac:dyDescent="0.25">
      <c r="A20463" t="s">
        <v>8</v>
      </c>
      <c r="B20463" s="1" t="str">
        <f>"000403682 - RICHS DOUGH ICING-SODEXO"</f>
        <v>000403682 - RICHS DOUGH ICING-SODEXO</v>
      </c>
      <c r="C20463" t="s">
        <v>552</v>
      </c>
      <c r="D20463" s="1" t="str">
        <f>"PRG-1047647"</f>
        <v>PRG-1047647</v>
      </c>
      <c r="E20463" t="s">
        <v>786</v>
      </c>
      <c r="F20463" t="s">
        <v>4</v>
      </c>
      <c r="G20463" t="str">
        <f>""</f>
        <v/>
      </c>
    </row>
    <row r="20464" spans="1:7" x14ac:dyDescent="0.25">
      <c r="A20464" t="s">
        <v>8</v>
      </c>
      <c r="B20464" s="1" t="str">
        <f>"000406788 - RICHS DOUGH ICING-SODEXO"</f>
        <v>000406788 - RICHS DOUGH ICING-SODEXO</v>
      </c>
      <c r="C20464" t="s">
        <v>552</v>
      </c>
      <c r="D20464" s="1" t="str">
        <f>"PRG-1047647"</f>
        <v>PRG-1047647</v>
      </c>
      <c r="E20464" t="s">
        <v>786</v>
      </c>
      <c r="F20464" t="s">
        <v>4</v>
      </c>
      <c r="G20464" t="str">
        <f>""</f>
        <v/>
      </c>
    </row>
    <row r="20465" spans="1:7" x14ac:dyDescent="0.25">
      <c r="A20465" t="s">
        <v>8</v>
      </c>
      <c r="B20465" s="1" t="str">
        <f>"000046126 - GROUND ROUND RICH'S PRODUCTS"</f>
        <v>000046126 - GROUND ROUND RICH'S PRODUCTS</v>
      </c>
      <c r="C20465" t="s">
        <v>619</v>
      </c>
      <c r="D20465" s="1" t="str">
        <f>"PRG-1047650"</f>
        <v>PRG-1047650</v>
      </c>
      <c r="E20465" t="s">
        <v>620</v>
      </c>
      <c r="F20465" t="s">
        <v>4</v>
      </c>
      <c r="G20465" t="str">
        <f>""</f>
        <v/>
      </c>
    </row>
    <row r="20466" spans="1:7" x14ac:dyDescent="0.25">
      <c r="A20466" t="s">
        <v>8</v>
      </c>
      <c r="B20466" s="1" t="str">
        <f>"000056444 - GROUND ROUND RICH'S PRODUCTS"</f>
        <v>000056444 - GROUND ROUND RICH'S PRODUCTS</v>
      </c>
      <c r="C20466" t="s">
        <v>619</v>
      </c>
      <c r="D20466" s="1" t="str">
        <f>"PRG-1047650"</f>
        <v>PRG-1047650</v>
      </c>
      <c r="E20466" t="s">
        <v>620</v>
      </c>
      <c r="F20466" t="s">
        <v>4</v>
      </c>
      <c r="G20466" t="str">
        <f>""</f>
        <v/>
      </c>
    </row>
    <row r="20467" spans="1:7" x14ac:dyDescent="0.25">
      <c r="A20467" t="s">
        <v>8</v>
      </c>
      <c r="B20467" s="1" t="str">
        <f>"000306974 - RICH PRODUCTS GROUND ROUND"</f>
        <v>000306974 - RICH PRODUCTS GROUND ROUND</v>
      </c>
      <c r="C20467" t="s">
        <v>3057</v>
      </c>
      <c r="D20467" s="1" t="str">
        <f>"PRG-1047650"</f>
        <v>PRG-1047650</v>
      </c>
      <c r="E20467" t="s">
        <v>620</v>
      </c>
      <c r="F20467" t="s">
        <v>4</v>
      </c>
      <c r="G20467" t="str">
        <f>""</f>
        <v/>
      </c>
    </row>
    <row r="20468" spans="1:7" x14ac:dyDescent="0.25">
      <c r="A20468" t="s">
        <v>8</v>
      </c>
      <c r="B20468" s="1" t="str">
        <f>"000310951 - RICH PRODUCTS GROUND ROUND"</f>
        <v>000310951 - RICH PRODUCTS GROUND ROUND</v>
      </c>
      <c r="C20468" t="s">
        <v>3057</v>
      </c>
      <c r="D20468" s="1" t="str">
        <f>"PRG-1047650"</f>
        <v>PRG-1047650</v>
      </c>
      <c r="E20468" t="s">
        <v>620</v>
      </c>
      <c r="F20468" t="s">
        <v>4</v>
      </c>
      <c r="G20468" t="str">
        <f>""</f>
        <v/>
      </c>
    </row>
    <row r="20469" spans="1:7" x14ac:dyDescent="0.25">
      <c r="A20469" t="s">
        <v>8</v>
      </c>
      <c r="B20469" s="1" t="str">
        <f>"000312581 - RICH PRODUCTS GROUND ROUND"</f>
        <v>000312581 - RICH PRODUCTS GROUND ROUND</v>
      </c>
      <c r="C20469" t="s">
        <v>3057</v>
      </c>
      <c r="D20469" s="1" t="str">
        <f>"PRG-1047650"</f>
        <v>PRG-1047650</v>
      </c>
      <c r="E20469" t="s">
        <v>620</v>
      </c>
      <c r="F20469" t="s">
        <v>4</v>
      </c>
      <c r="G20469" t="str">
        <f>""</f>
        <v/>
      </c>
    </row>
    <row r="20470" spans="1:7" x14ac:dyDescent="0.25">
      <c r="A20470" t="s">
        <v>8</v>
      </c>
      <c r="B20470" s="1" t="str">
        <f>"000170560 - RICH OVATIONS"</f>
        <v>000170560 - RICH OVATIONS</v>
      </c>
      <c r="C20470" t="s">
        <v>785</v>
      </c>
      <c r="D20470" s="1" t="str">
        <f t="shared" ref="D20470:D20501" si="553">"PRG-1047651"</f>
        <v>PRG-1047651</v>
      </c>
      <c r="E20470" t="s">
        <v>515</v>
      </c>
      <c r="F20470" t="s">
        <v>4</v>
      </c>
      <c r="G20470" t="str">
        <f>""</f>
        <v/>
      </c>
    </row>
    <row r="20471" spans="1:7" x14ac:dyDescent="0.25">
      <c r="A20471" t="s">
        <v>8</v>
      </c>
      <c r="B20471" s="1" t="str">
        <f>"000257863 - RICH FRZN BREAD DGH-VIZIENT"</f>
        <v>000257863 - RICH FRZN BREAD DGH-VIZIENT</v>
      </c>
      <c r="C20471" t="s">
        <v>431</v>
      </c>
      <c r="D20471" s="1" t="str">
        <f t="shared" si="553"/>
        <v>PRG-1047651</v>
      </c>
      <c r="E20471" t="s">
        <v>515</v>
      </c>
      <c r="F20471" t="s">
        <v>4</v>
      </c>
      <c r="G20471" t="str">
        <f>""</f>
        <v/>
      </c>
    </row>
    <row r="20472" spans="1:7" x14ac:dyDescent="0.25">
      <c r="A20472" t="s">
        <v>8</v>
      </c>
      <c r="B20472" s="1" t="str">
        <f>"000285049 - RICH FRZN BREAD DGH-VIZIENT"</f>
        <v>000285049 - RICH FRZN BREAD DGH-VIZIENT</v>
      </c>
      <c r="C20472" t="s">
        <v>431</v>
      </c>
      <c r="D20472" s="1" t="str">
        <f t="shared" si="553"/>
        <v>PRG-1047651</v>
      </c>
      <c r="E20472" t="s">
        <v>515</v>
      </c>
      <c r="F20472" t="s">
        <v>4</v>
      </c>
      <c r="G20472" t="str">
        <f>""</f>
        <v/>
      </c>
    </row>
    <row r="20473" spans="1:7" x14ac:dyDescent="0.25">
      <c r="A20473" t="s">
        <v>8</v>
      </c>
      <c r="B20473" s="1" t="str">
        <f>"000291871 - RICH CHEESESTICKS-VIZIENT"</f>
        <v>000291871 - RICH CHEESESTICKS-VIZIENT</v>
      </c>
      <c r="C20473" t="s">
        <v>656</v>
      </c>
      <c r="D20473" s="1" t="str">
        <f t="shared" si="553"/>
        <v>PRG-1047651</v>
      </c>
      <c r="E20473" t="s">
        <v>515</v>
      </c>
      <c r="F20473" t="s">
        <v>4</v>
      </c>
      <c r="G20473" t="str">
        <f>""</f>
        <v/>
      </c>
    </row>
    <row r="20474" spans="1:7" x14ac:dyDescent="0.25">
      <c r="A20474" t="s">
        <v>8</v>
      </c>
      <c r="B20474" s="1" t="str">
        <f>"000311985 - RICH FZN BREAD-VIZIENT"</f>
        <v>000311985 - RICH FZN BREAD-VIZIENT</v>
      </c>
      <c r="C20474" t="s">
        <v>460</v>
      </c>
      <c r="D20474" s="1" t="str">
        <f t="shared" si="553"/>
        <v>PRG-1047651</v>
      </c>
      <c r="E20474" t="s">
        <v>515</v>
      </c>
      <c r="F20474" t="s">
        <v>4</v>
      </c>
      <c r="G20474" t="str">
        <f>""</f>
        <v/>
      </c>
    </row>
    <row r="20475" spans="1:7" x14ac:dyDescent="0.25">
      <c r="A20475" t="s">
        <v>8</v>
      </c>
      <c r="B20475" s="1" t="str">
        <f>"000316902 - RICH CHEESESTICKS-VIZIENT"</f>
        <v>000316902 - RICH CHEESESTICKS-VIZIENT</v>
      </c>
      <c r="C20475" t="s">
        <v>656</v>
      </c>
      <c r="D20475" s="1" t="str">
        <f t="shared" si="553"/>
        <v>PRG-1047651</v>
      </c>
      <c r="E20475" t="s">
        <v>515</v>
      </c>
      <c r="F20475" t="s">
        <v>4</v>
      </c>
      <c r="G20475" t="str">
        <f>""</f>
        <v/>
      </c>
    </row>
    <row r="20476" spans="1:7" x14ac:dyDescent="0.25">
      <c r="A20476" t="s">
        <v>8</v>
      </c>
      <c r="B20476" s="1" t="str">
        <f>"000325120 - RICH CHEESESTICKS-VIZIENT"</f>
        <v>000325120 - RICH CHEESESTICKS-VIZIENT</v>
      </c>
      <c r="C20476" t="s">
        <v>656</v>
      </c>
      <c r="D20476" s="1" t="str">
        <f t="shared" si="553"/>
        <v>PRG-1047651</v>
      </c>
      <c r="E20476" t="s">
        <v>515</v>
      </c>
      <c r="F20476" t="s">
        <v>4</v>
      </c>
      <c r="G20476" t="str">
        <f>""</f>
        <v/>
      </c>
    </row>
    <row r="20477" spans="1:7" x14ac:dyDescent="0.25">
      <c r="A20477" t="s">
        <v>8</v>
      </c>
      <c r="B20477" s="1" t="str">
        <f>"000355195 - RICH CHEESESTICKS-VIZIENT"</f>
        <v>000355195 - RICH CHEESESTICKS-VIZIENT</v>
      </c>
      <c r="C20477" t="s">
        <v>656</v>
      </c>
      <c r="D20477" s="1" t="str">
        <f t="shared" si="553"/>
        <v>PRG-1047651</v>
      </c>
      <c r="E20477" t="s">
        <v>515</v>
      </c>
      <c r="F20477" t="s">
        <v>4</v>
      </c>
      <c r="G20477" t="str">
        <f>""</f>
        <v/>
      </c>
    </row>
    <row r="20478" spans="1:7" x14ac:dyDescent="0.25">
      <c r="A20478" t="s">
        <v>8</v>
      </c>
      <c r="B20478" s="1" t="str">
        <f>"000371715 - RICH FRZN BREAD DGH-VIZIENT"</f>
        <v>000371715 - RICH FRZN BREAD DGH-VIZIENT</v>
      </c>
      <c r="C20478" t="s">
        <v>431</v>
      </c>
      <c r="D20478" s="1" t="str">
        <f t="shared" si="553"/>
        <v>PRG-1047651</v>
      </c>
      <c r="E20478" t="s">
        <v>515</v>
      </c>
      <c r="F20478" t="s">
        <v>4</v>
      </c>
      <c r="G20478" t="str">
        <f>""</f>
        <v/>
      </c>
    </row>
    <row r="20479" spans="1:7" x14ac:dyDescent="0.25">
      <c r="A20479" t="s">
        <v>8</v>
      </c>
      <c r="B20479" s="1" t="str">
        <f>"000372882 - RICH FRZN BREAD DGH-VIZIENT"</f>
        <v>000372882 - RICH FRZN BREAD DGH-VIZIENT</v>
      </c>
      <c r="C20479" t="s">
        <v>431</v>
      </c>
      <c r="D20479" s="1" t="str">
        <f t="shared" si="553"/>
        <v>PRG-1047651</v>
      </c>
      <c r="E20479" t="s">
        <v>515</v>
      </c>
      <c r="F20479" t="s">
        <v>4</v>
      </c>
      <c r="G20479" t="str">
        <f>""</f>
        <v/>
      </c>
    </row>
    <row r="20480" spans="1:7" x14ac:dyDescent="0.25">
      <c r="A20480" t="s">
        <v>8</v>
      </c>
      <c r="B20480" s="1" t="str">
        <f>"000380799 - RICH PIZZA CRUST-VIZIENT"</f>
        <v>000380799 - RICH PIZZA CRUST-VIZIENT</v>
      </c>
      <c r="C20480" t="s">
        <v>615</v>
      </c>
      <c r="D20480" s="1" t="str">
        <f t="shared" si="553"/>
        <v>PRG-1047651</v>
      </c>
      <c r="E20480" t="s">
        <v>515</v>
      </c>
      <c r="F20480" t="s">
        <v>4</v>
      </c>
      <c r="G20480" t="str">
        <f>""</f>
        <v/>
      </c>
    </row>
    <row r="20481" spans="1:7" x14ac:dyDescent="0.25">
      <c r="A20481" t="s">
        <v>8</v>
      </c>
      <c r="B20481" s="1" t="str">
        <f>"000397086 - RICH FZN BREAD-VIZIENT"</f>
        <v>000397086 - RICH FZN BREAD-VIZIENT</v>
      </c>
      <c r="C20481" t="s">
        <v>460</v>
      </c>
      <c r="D20481" s="1" t="str">
        <f t="shared" si="553"/>
        <v>PRG-1047651</v>
      </c>
      <c r="E20481" t="s">
        <v>515</v>
      </c>
      <c r="F20481" t="s">
        <v>4</v>
      </c>
      <c r="G20481" t="str">
        <f>""</f>
        <v/>
      </c>
    </row>
    <row r="20482" spans="1:7" x14ac:dyDescent="0.25">
      <c r="A20482" t="s">
        <v>8</v>
      </c>
      <c r="B20482" s="1" t="str">
        <f>"000398297 - RICH FRZN BREAD DGH-VIZIENT"</f>
        <v>000398297 - RICH FRZN BREAD DGH-VIZIENT</v>
      </c>
      <c r="C20482" t="s">
        <v>431</v>
      </c>
      <c r="D20482" s="1" t="str">
        <f t="shared" si="553"/>
        <v>PRG-1047651</v>
      </c>
      <c r="E20482" t="s">
        <v>515</v>
      </c>
      <c r="F20482" t="s">
        <v>4</v>
      </c>
      <c r="G20482" t="str">
        <f>""</f>
        <v/>
      </c>
    </row>
    <row r="20483" spans="1:7" x14ac:dyDescent="0.25">
      <c r="A20483" t="s">
        <v>8</v>
      </c>
      <c r="B20483" s="1" t="str">
        <f>"000399617 - RICH CHEESESTICKS-VIZIENT"</f>
        <v>000399617 - RICH CHEESESTICKS-VIZIENT</v>
      </c>
      <c r="C20483" t="s">
        <v>656</v>
      </c>
      <c r="D20483" s="1" t="str">
        <f t="shared" si="553"/>
        <v>PRG-1047651</v>
      </c>
      <c r="E20483" t="s">
        <v>515</v>
      </c>
      <c r="F20483" t="s">
        <v>4</v>
      </c>
      <c r="G20483" t="str">
        <f>""</f>
        <v/>
      </c>
    </row>
    <row r="20484" spans="1:7" x14ac:dyDescent="0.25">
      <c r="A20484" t="s">
        <v>8</v>
      </c>
      <c r="B20484" s="1" t="str">
        <f>"000416822 - RICH CHEESESTICKS-VIZIENT"</f>
        <v>000416822 - RICH CHEESESTICKS-VIZIENT</v>
      </c>
      <c r="C20484" t="s">
        <v>656</v>
      </c>
      <c r="D20484" s="1" t="str">
        <f t="shared" si="553"/>
        <v>PRG-1047651</v>
      </c>
      <c r="E20484" t="s">
        <v>515</v>
      </c>
      <c r="F20484" t="s">
        <v>4</v>
      </c>
      <c r="G20484" t="str">
        <f>""</f>
        <v/>
      </c>
    </row>
    <row r="20485" spans="1:7" x14ac:dyDescent="0.25">
      <c r="A20485" t="s">
        <v>8</v>
      </c>
      <c r="B20485" s="1" t="str">
        <f>"000417540 - RICH CHEESESTICKS-VIZIENT"</f>
        <v>000417540 - RICH CHEESESTICKS-VIZIENT</v>
      </c>
      <c r="C20485" t="s">
        <v>656</v>
      </c>
      <c r="D20485" s="1" t="str">
        <f t="shared" si="553"/>
        <v>PRG-1047651</v>
      </c>
      <c r="E20485" t="s">
        <v>515</v>
      </c>
      <c r="F20485" t="s">
        <v>4</v>
      </c>
      <c r="G20485" t="str">
        <f>""</f>
        <v/>
      </c>
    </row>
    <row r="20486" spans="1:7" x14ac:dyDescent="0.25">
      <c r="A20486" t="s">
        <v>8</v>
      </c>
      <c r="B20486" s="1" t="str">
        <f>"000421359 - RICH FZN BREAD-VIZIENT"</f>
        <v>000421359 - RICH FZN BREAD-VIZIENT</v>
      </c>
      <c r="C20486" t="s">
        <v>460</v>
      </c>
      <c r="D20486" s="1" t="str">
        <f t="shared" si="553"/>
        <v>PRG-1047651</v>
      </c>
      <c r="E20486" t="s">
        <v>515</v>
      </c>
      <c r="F20486" t="s">
        <v>4</v>
      </c>
      <c r="G20486" t="str">
        <f>""</f>
        <v/>
      </c>
    </row>
    <row r="20487" spans="1:7" x14ac:dyDescent="0.25">
      <c r="A20487" t="s">
        <v>8</v>
      </c>
      <c r="B20487" s="1" t="str">
        <f>"000421360 - RICH FRZN BREAD DGH-VIZIENT"</f>
        <v>000421360 - RICH FRZN BREAD DGH-VIZIENT</v>
      </c>
      <c r="C20487" t="s">
        <v>431</v>
      </c>
      <c r="D20487" s="1" t="str">
        <f t="shared" si="553"/>
        <v>PRG-1047651</v>
      </c>
      <c r="E20487" t="s">
        <v>515</v>
      </c>
      <c r="F20487" t="s">
        <v>4</v>
      </c>
      <c r="G20487" t="str">
        <f>""</f>
        <v/>
      </c>
    </row>
    <row r="20488" spans="1:7" x14ac:dyDescent="0.25">
      <c r="A20488" t="s">
        <v>8</v>
      </c>
      <c r="B20488" s="1" t="str">
        <f>"6026G312"</f>
        <v>6026G312</v>
      </c>
      <c r="C20488" t="s">
        <v>5069</v>
      </c>
      <c r="D20488" s="1" t="str">
        <f t="shared" si="553"/>
        <v>PRG-1047651</v>
      </c>
      <c r="E20488" t="s">
        <v>515</v>
      </c>
      <c r="F20488" t="s">
        <v>5</v>
      </c>
      <c r="G20488" t="str">
        <f>""</f>
        <v/>
      </c>
    </row>
    <row r="20489" spans="1:7" x14ac:dyDescent="0.25">
      <c r="A20489" t="s">
        <v>8</v>
      </c>
      <c r="B20489" s="1" t="str">
        <f>"6026KN36"</f>
        <v>6026KN36</v>
      </c>
      <c r="C20489" t="s">
        <v>5096</v>
      </c>
      <c r="D20489" s="1" t="str">
        <f t="shared" si="553"/>
        <v>PRG-1047651</v>
      </c>
      <c r="E20489" t="s">
        <v>515</v>
      </c>
      <c r="F20489" t="s">
        <v>5</v>
      </c>
      <c r="G20489" t="str">
        <f>""</f>
        <v/>
      </c>
    </row>
    <row r="20490" spans="1:7" x14ac:dyDescent="0.25">
      <c r="A20490" t="s">
        <v>8</v>
      </c>
      <c r="B20490" s="1" t="str">
        <f>"6026KN42"</f>
        <v>6026KN42</v>
      </c>
      <c r="C20490" t="s">
        <v>5097</v>
      </c>
      <c r="D20490" s="1" t="str">
        <f t="shared" si="553"/>
        <v>PRG-1047651</v>
      </c>
      <c r="E20490" t="s">
        <v>515</v>
      </c>
      <c r="F20490" t="s">
        <v>5</v>
      </c>
      <c r="G20490" t="str">
        <f>""</f>
        <v/>
      </c>
    </row>
    <row r="20491" spans="1:7" x14ac:dyDescent="0.25">
      <c r="A20491" t="s">
        <v>8</v>
      </c>
      <c r="B20491" s="1" t="str">
        <f>"6026KN43"</f>
        <v>6026KN43</v>
      </c>
      <c r="C20491" t="s">
        <v>5098</v>
      </c>
      <c r="D20491" s="1" t="str">
        <f t="shared" si="553"/>
        <v>PRG-1047651</v>
      </c>
      <c r="E20491" t="s">
        <v>515</v>
      </c>
      <c r="F20491" t="s">
        <v>5</v>
      </c>
      <c r="G20491" t="str">
        <f>""</f>
        <v/>
      </c>
    </row>
    <row r="20492" spans="1:7" x14ac:dyDescent="0.25">
      <c r="A20492" t="s">
        <v>8</v>
      </c>
      <c r="B20492" s="1" t="str">
        <f>"6026KN44"</f>
        <v>6026KN44</v>
      </c>
      <c r="C20492" t="s">
        <v>5099</v>
      </c>
      <c r="D20492" s="1" t="str">
        <f t="shared" si="553"/>
        <v>PRG-1047651</v>
      </c>
      <c r="E20492" t="s">
        <v>515</v>
      </c>
      <c r="F20492" t="s">
        <v>5</v>
      </c>
      <c r="G20492" t="str">
        <f>""</f>
        <v/>
      </c>
    </row>
    <row r="20493" spans="1:7" x14ac:dyDescent="0.25">
      <c r="A20493" t="s">
        <v>8</v>
      </c>
      <c r="B20493" s="1" t="str">
        <f>"6026KN45"</f>
        <v>6026KN45</v>
      </c>
      <c r="C20493" t="s">
        <v>5100</v>
      </c>
      <c r="D20493" s="1" t="str">
        <f t="shared" si="553"/>
        <v>PRG-1047651</v>
      </c>
      <c r="E20493" t="s">
        <v>515</v>
      </c>
      <c r="F20493" t="s">
        <v>5</v>
      </c>
      <c r="G20493" t="str">
        <f>""</f>
        <v/>
      </c>
    </row>
    <row r="20494" spans="1:7" x14ac:dyDescent="0.25">
      <c r="A20494" t="s">
        <v>8</v>
      </c>
      <c r="B20494" s="1" t="str">
        <f>"6026KN47"</f>
        <v>6026KN47</v>
      </c>
      <c r="C20494" t="s">
        <v>5102</v>
      </c>
      <c r="D20494" s="1" t="str">
        <f t="shared" si="553"/>
        <v>PRG-1047651</v>
      </c>
      <c r="E20494" t="s">
        <v>515</v>
      </c>
      <c r="F20494" t="s">
        <v>5</v>
      </c>
      <c r="G20494" t="str">
        <f>""</f>
        <v/>
      </c>
    </row>
    <row r="20495" spans="1:7" x14ac:dyDescent="0.25">
      <c r="A20495" t="s">
        <v>8</v>
      </c>
      <c r="B20495" s="1" t="str">
        <f>"6026RP79"</f>
        <v>6026RP79</v>
      </c>
      <c r="C20495" t="s">
        <v>5128</v>
      </c>
      <c r="D20495" s="1" t="str">
        <f t="shared" si="553"/>
        <v>PRG-1047651</v>
      </c>
      <c r="E20495" t="s">
        <v>515</v>
      </c>
      <c r="F20495" t="s">
        <v>5</v>
      </c>
      <c r="G20495" t="str">
        <f>""</f>
        <v/>
      </c>
    </row>
    <row r="20496" spans="1:7" x14ac:dyDescent="0.25">
      <c r="A20496" t="s">
        <v>8</v>
      </c>
      <c r="B20496" s="1" t="str">
        <f>"60314339"</f>
        <v>60314339</v>
      </c>
      <c r="C20496" t="s">
        <v>5281</v>
      </c>
      <c r="D20496" s="1" t="str">
        <f t="shared" si="553"/>
        <v>PRG-1047651</v>
      </c>
      <c r="E20496" t="s">
        <v>515</v>
      </c>
      <c r="F20496" t="s">
        <v>5</v>
      </c>
      <c r="G20496" t="str">
        <f>""</f>
        <v/>
      </c>
    </row>
    <row r="20497" spans="1:7" x14ac:dyDescent="0.25">
      <c r="A20497" t="s">
        <v>8</v>
      </c>
      <c r="B20497" s="1" t="str">
        <f>"60314340"</f>
        <v>60314340</v>
      </c>
      <c r="C20497" t="s">
        <v>5282</v>
      </c>
      <c r="D20497" s="1" t="str">
        <f t="shared" si="553"/>
        <v>PRG-1047651</v>
      </c>
      <c r="E20497" t="s">
        <v>515</v>
      </c>
      <c r="F20497" t="s">
        <v>5</v>
      </c>
      <c r="G20497" t="str">
        <f>""</f>
        <v/>
      </c>
    </row>
    <row r="20498" spans="1:7" x14ac:dyDescent="0.25">
      <c r="A20498" t="s">
        <v>8</v>
      </c>
      <c r="B20498" s="1" t="str">
        <f>"60321606"</f>
        <v>60321606</v>
      </c>
      <c r="C20498" t="s">
        <v>5289</v>
      </c>
      <c r="D20498" s="1" t="str">
        <f t="shared" si="553"/>
        <v>PRG-1047651</v>
      </c>
      <c r="E20498" t="s">
        <v>515</v>
      </c>
      <c r="F20498" t="s">
        <v>5</v>
      </c>
      <c r="G20498" t="str">
        <f>""</f>
        <v/>
      </c>
    </row>
    <row r="20499" spans="1:7" x14ac:dyDescent="0.25">
      <c r="A20499" t="s">
        <v>8</v>
      </c>
      <c r="B20499" s="1" t="str">
        <f>"60321607"</f>
        <v>60321607</v>
      </c>
      <c r="C20499" t="s">
        <v>5116</v>
      </c>
      <c r="D20499" s="1" t="str">
        <f t="shared" si="553"/>
        <v>PRG-1047651</v>
      </c>
      <c r="E20499" t="s">
        <v>515</v>
      </c>
      <c r="F20499" t="s">
        <v>5</v>
      </c>
      <c r="G20499" t="str">
        <f>""</f>
        <v/>
      </c>
    </row>
    <row r="20500" spans="1:7" x14ac:dyDescent="0.25">
      <c r="A20500" t="s">
        <v>8</v>
      </c>
      <c r="B20500" s="1" t="str">
        <f>"60321808"</f>
        <v>60321808</v>
      </c>
      <c r="C20500" t="s">
        <v>5291</v>
      </c>
      <c r="D20500" s="1" t="str">
        <f t="shared" si="553"/>
        <v>PRG-1047651</v>
      </c>
      <c r="E20500" t="s">
        <v>515</v>
      </c>
      <c r="F20500" t="s">
        <v>5</v>
      </c>
      <c r="G20500" t="str">
        <f>""</f>
        <v/>
      </c>
    </row>
    <row r="20501" spans="1:7" x14ac:dyDescent="0.25">
      <c r="A20501" t="s">
        <v>8</v>
      </c>
      <c r="B20501" s="1" t="str">
        <f>"S1Z037B0"</f>
        <v>S1Z037B0</v>
      </c>
      <c r="C20501" t="s">
        <v>5334</v>
      </c>
      <c r="D20501" s="1" t="str">
        <f t="shared" si="553"/>
        <v>PRG-1047651</v>
      </c>
      <c r="E20501" t="s">
        <v>515</v>
      </c>
      <c r="F20501" t="s">
        <v>5</v>
      </c>
      <c r="G20501" t="str">
        <f>""</f>
        <v/>
      </c>
    </row>
    <row r="20502" spans="1:7" x14ac:dyDescent="0.25">
      <c r="A20502" t="s">
        <v>8</v>
      </c>
      <c r="B20502" s="1" t="str">
        <f>"S1Z062P0"</f>
        <v>S1Z062P0</v>
      </c>
      <c r="C20502" t="s">
        <v>5339</v>
      </c>
      <c r="D20502" s="1" t="str">
        <f t="shared" ref="D20502:D20524" si="554">"PRG-1047651"</f>
        <v>PRG-1047651</v>
      </c>
      <c r="E20502" t="s">
        <v>515</v>
      </c>
      <c r="F20502" t="s">
        <v>5</v>
      </c>
      <c r="G20502" t="str">
        <f>""</f>
        <v/>
      </c>
    </row>
    <row r="20503" spans="1:7" x14ac:dyDescent="0.25">
      <c r="A20503" t="s">
        <v>8</v>
      </c>
      <c r="B20503" s="1" t="str">
        <f>"S1Z06VV0"</f>
        <v>S1Z06VV0</v>
      </c>
      <c r="C20503" t="s">
        <v>5345</v>
      </c>
      <c r="D20503" s="1" t="str">
        <f t="shared" si="554"/>
        <v>PRG-1047651</v>
      </c>
      <c r="E20503" t="s">
        <v>515</v>
      </c>
      <c r="F20503" t="s">
        <v>5</v>
      </c>
      <c r="G20503" t="str">
        <f>""</f>
        <v/>
      </c>
    </row>
    <row r="20504" spans="1:7" x14ac:dyDescent="0.25">
      <c r="A20504" t="s">
        <v>8</v>
      </c>
      <c r="B20504" s="1" t="str">
        <f>"S1Z07330"</f>
        <v>S1Z07330</v>
      </c>
      <c r="C20504" t="s">
        <v>5346</v>
      </c>
      <c r="D20504" s="1" t="str">
        <f t="shared" si="554"/>
        <v>PRG-1047651</v>
      </c>
      <c r="E20504" t="s">
        <v>515</v>
      </c>
      <c r="F20504" t="s">
        <v>5</v>
      </c>
      <c r="G20504" t="str">
        <f>""</f>
        <v/>
      </c>
    </row>
    <row r="20505" spans="1:7" x14ac:dyDescent="0.25">
      <c r="A20505" t="s">
        <v>8</v>
      </c>
      <c r="B20505" s="1" t="str">
        <f>"S1Z0C570"</f>
        <v>S1Z0C570</v>
      </c>
      <c r="C20505" t="s">
        <v>5368</v>
      </c>
      <c r="D20505" s="1" t="str">
        <f t="shared" si="554"/>
        <v>PRG-1047651</v>
      </c>
      <c r="E20505" t="s">
        <v>515</v>
      </c>
      <c r="F20505" t="s">
        <v>5</v>
      </c>
      <c r="G20505" t="str">
        <f>""</f>
        <v/>
      </c>
    </row>
    <row r="20506" spans="1:7" x14ac:dyDescent="0.25">
      <c r="A20506" t="s">
        <v>8</v>
      </c>
      <c r="B20506" s="1" t="str">
        <f>"S1Z0O5F0"</f>
        <v>S1Z0O5F0</v>
      </c>
      <c r="C20506" t="s">
        <v>5425</v>
      </c>
      <c r="D20506" s="1" t="str">
        <f t="shared" si="554"/>
        <v>PRG-1047651</v>
      </c>
      <c r="E20506" t="s">
        <v>515</v>
      </c>
      <c r="F20506" t="s">
        <v>5</v>
      </c>
      <c r="G20506" t="str">
        <f>""</f>
        <v/>
      </c>
    </row>
    <row r="20507" spans="1:7" x14ac:dyDescent="0.25">
      <c r="A20507" t="s">
        <v>8</v>
      </c>
      <c r="B20507" s="1" t="str">
        <f>"S1Z0RCS0"</f>
        <v>S1Z0RCS0</v>
      </c>
      <c r="C20507" t="s">
        <v>5438</v>
      </c>
      <c r="D20507" s="1" t="str">
        <f t="shared" si="554"/>
        <v>PRG-1047651</v>
      </c>
      <c r="E20507" t="s">
        <v>515</v>
      </c>
      <c r="F20507" t="s">
        <v>5</v>
      </c>
      <c r="G20507" t="str">
        <f>""</f>
        <v/>
      </c>
    </row>
    <row r="20508" spans="1:7" x14ac:dyDescent="0.25">
      <c r="A20508" t="s">
        <v>8</v>
      </c>
      <c r="B20508" s="1" t="str">
        <f>"S1Z0ZDU0"</f>
        <v>S1Z0ZDU0</v>
      </c>
      <c r="C20508" t="s">
        <v>5458</v>
      </c>
      <c r="D20508" s="1" t="str">
        <f t="shared" si="554"/>
        <v>PRG-1047651</v>
      </c>
      <c r="E20508" t="s">
        <v>515</v>
      </c>
      <c r="F20508" t="s">
        <v>5</v>
      </c>
      <c r="G20508" t="str">
        <f>""</f>
        <v/>
      </c>
    </row>
    <row r="20509" spans="1:7" x14ac:dyDescent="0.25">
      <c r="A20509" t="s">
        <v>8</v>
      </c>
      <c r="B20509" s="1" t="str">
        <f>"S1Z10K70"</f>
        <v>S1Z10K70</v>
      </c>
      <c r="C20509" t="s">
        <v>5463</v>
      </c>
      <c r="D20509" s="1" t="str">
        <f t="shared" si="554"/>
        <v>PRG-1047651</v>
      </c>
      <c r="E20509" t="s">
        <v>515</v>
      </c>
      <c r="F20509" t="s">
        <v>5</v>
      </c>
      <c r="G20509" t="str">
        <f>""</f>
        <v/>
      </c>
    </row>
    <row r="20510" spans="1:7" x14ac:dyDescent="0.25">
      <c r="A20510" t="s">
        <v>8</v>
      </c>
      <c r="B20510" s="1" t="str">
        <f>"S1Z10O30"</f>
        <v>S1Z10O30</v>
      </c>
      <c r="C20510" t="s">
        <v>5464</v>
      </c>
      <c r="D20510" s="1" t="str">
        <f t="shared" si="554"/>
        <v>PRG-1047651</v>
      </c>
      <c r="E20510" t="s">
        <v>515</v>
      </c>
      <c r="F20510" t="s">
        <v>5</v>
      </c>
      <c r="G20510" t="str">
        <f>""</f>
        <v/>
      </c>
    </row>
    <row r="20511" spans="1:7" x14ac:dyDescent="0.25">
      <c r="A20511" t="s">
        <v>8</v>
      </c>
      <c r="B20511" s="1" t="str">
        <f>"S1Z10RZ0"</f>
        <v>S1Z10RZ0</v>
      </c>
      <c r="C20511" t="s">
        <v>5465</v>
      </c>
      <c r="D20511" s="1" t="str">
        <f t="shared" si="554"/>
        <v>PRG-1047651</v>
      </c>
      <c r="E20511" t="s">
        <v>515</v>
      </c>
      <c r="F20511" t="s">
        <v>5</v>
      </c>
      <c r="G20511" t="str">
        <f>""</f>
        <v/>
      </c>
    </row>
    <row r="20512" spans="1:7" x14ac:dyDescent="0.25">
      <c r="A20512" t="s">
        <v>8</v>
      </c>
      <c r="B20512" s="1" t="str">
        <f>"S1Z10WS0"</f>
        <v>S1Z10WS0</v>
      </c>
      <c r="C20512" t="s">
        <v>5466</v>
      </c>
      <c r="D20512" s="1" t="str">
        <f t="shared" si="554"/>
        <v>PRG-1047651</v>
      </c>
      <c r="E20512" t="s">
        <v>515</v>
      </c>
      <c r="F20512" t="s">
        <v>5</v>
      </c>
      <c r="G20512" t="str">
        <f>""</f>
        <v/>
      </c>
    </row>
    <row r="20513" spans="1:7" x14ac:dyDescent="0.25">
      <c r="A20513" t="s">
        <v>8</v>
      </c>
      <c r="B20513" s="1" t="str">
        <f>"S1Z12OW0"</f>
        <v>S1Z12OW0</v>
      </c>
      <c r="C20513" t="s">
        <v>5467</v>
      </c>
      <c r="D20513" s="1" t="str">
        <f t="shared" si="554"/>
        <v>PRG-1047651</v>
      </c>
      <c r="E20513" t="s">
        <v>515</v>
      </c>
      <c r="F20513" t="s">
        <v>5</v>
      </c>
      <c r="G20513" t="str">
        <f>""</f>
        <v/>
      </c>
    </row>
    <row r="20514" spans="1:7" x14ac:dyDescent="0.25">
      <c r="A20514" t="s">
        <v>8</v>
      </c>
      <c r="B20514" s="1" t="str">
        <f>"S1Z12S60"</f>
        <v>S1Z12S60</v>
      </c>
      <c r="C20514" t="s">
        <v>5465</v>
      </c>
      <c r="D20514" s="1" t="str">
        <f t="shared" si="554"/>
        <v>PRG-1047651</v>
      </c>
      <c r="E20514" t="s">
        <v>515</v>
      </c>
      <c r="F20514" t="s">
        <v>5</v>
      </c>
      <c r="G20514" t="str">
        <f>""</f>
        <v/>
      </c>
    </row>
    <row r="20515" spans="1:7" x14ac:dyDescent="0.25">
      <c r="A20515" t="s">
        <v>8</v>
      </c>
      <c r="B20515" s="1" t="str">
        <f>"T1Z0070F"</f>
        <v>T1Z0070F</v>
      </c>
      <c r="C20515" t="s">
        <v>5464</v>
      </c>
      <c r="D20515" s="1" t="str">
        <f t="shared" si="554"/>
        <v>PRG-1047651</v>
      </c>
      <c r="E20515" t="s">
        <v>515</v>
      </c>
      <c r="F20515" t="s">
        <v>5</v>
      </c>
      <c r="G20515" t="str">
        <f>""</f>
        <v/>
      </c>
    </row>
    <row r="20516" spans="1:7" x14ac:dyDescent="0.25">
      <c r="A20516" t="s">
        <v>8</v>
      </c>
      <c r="B20516" s="1" t="str">
        <f>"T1Z007PQ"</f>
        <v>T1Z007PQ</v>
      </c>
      <c r="C20516" t="s">
        <v>6392</v>
      </c>
      <c r="D20516" s="1" t="str">
        <f t="shared" si="554"/>
        <v>PRG-1047651</v>
      </c>
      <c r="E20516" t="s">
        <v>515</v>
      </c>
      <c r="F20516" t="s">
        <v>5</v>
      </c>
      <c r="G20516" t="str">
        <f>""</f>
        <v/>
      </c>
    </row>
    <row r="20517" spans="1:7" x14ac:dyDescent="0.25">
      <c r="A20517" t="s">
        <v>8</v>
      </c>
      <c r="B20517" s="1" t="str">
        <f>"T1Z007VZ"</f>
        <v>T1Z007VZ</v>
      </c>
      <c r="C20517" t="s">
        <v>6393</v>
      </c>
      <c r="D20517" s="1" t="str">
        <f t="shared" si="554"/>
        <v>PRG-1047651</v>
      </c>
      <c r="E20517" t="s">
        <v>515</v>
      </c>
      <c r="F20517" t="s">
        <v>5</v>
      </c>
      <c r="G20517" t="str">
        <f>""</f>
        <v/>
      </c>
    </row>
    <row r="20518" spans="1:7" x14ac:dyDescent="0.25">
      <c r="A20518" t="s">
        <v>8</v>
      </c>
      <c r="B20518" s="1" t="str">
        <f>"T1Z00B1L"</f>
        <v>T1Z00B1L</v>
      </c>
      <c r="C20518" t="s">
        <v>6397</v>
      </c>
      <c r="D20518" s="1" t="str">
        <f t="shared" si="554"/>
        <v>PRG-1047651</v>
      </c>
      <c r="E20518" t="s">
        <v>515</v>
      </c>
      <c r="F20518" t="s">
        <v>5</v>
      </c>
      <c r="G20518" t="str">
        <f>""</f>
        <v/>
      </c>
    </row>
    <row r="20519" spans="1:7" x14ac:dyDescent="0.25">
      <c r="A20519" t="s">
        <v>8</v>
      </c>
      <c r="B20519" s="1" t="str">
        <f>"T1Z00D0D"</f>
        <v>T1Z00D0D</v>
      </c>
      <c r="C20519" t="s">
        <v>5467</v>
      </c>
      <c r="D20519" s="1" t="str">
        <f t="shared" si="554"/>
        <v>PRG-1047651</v>
      </c>
      <c r="E20519" t="s">
        <v>515</v>
      </c>
      <c r="F20519" t="s">
        <v>5</v>
      </c>
      <c r="G20519" t="str">
        <f>""</f>
        <v/>
      </c>
    </row>
    <row r="20520" spans="1:7" x14ac:dyDescent="0.25">
      <c r="A20520" t="s">
        <v>8</v>
      </c>
      <c r="B20520" s="1" t="str">
        <f>"T1Z00DIB"</f>
        <v>T1Z00DIB</v>
      </c>
      <c r="C20520" t="s">
        <v>6398</v>
      </c>
      <c r="D20520" s="1" t="str">
        <f t="shared" si="554"/>
        <v>PRG-1047651</v>
      </c>
      <c r="E20520" t="s">
        <v>515</v>
      </c>
      <c r="F20520" t="s">
        <v>5</v>
      </c>
      <c r="G20520" t="str">
        <f>""</f>
        <v/>
      </c>
    </row>
    <row r="20521" spans="1:7" x14ac:dyDescent="0.25">
      <c r="A20521" t="s">
        <v>8</v>
      </c>
      <c r="B20521" s="1" t="str">
        <f>"T1Z00DP4"</f>
        <v>T1Z00DP4</v>
      </c>
      <c r="C20521" t="s">
        <v>6399</v>
      </c>
      <c r="D20521" s="1" t="str">
        <f t="shared" si="554"/>
        <v>PRG-1047651</v>
      </c>
      <c r="E20521" t="s">
        <v>515</v>
      </c>
      <c r="F20521" t="s">
        <v>5</v>
      </c>
      <c r="G20521" t="str">
        <f>""</f>
        <v/>
      </c>
    </row>
    <row r="20522" spans="1:7" x14ac:dyDescent="0.25">
      <c r="A20522" t="s">
        <v>8</v>
      </c>
      <c r="B20522" s="1" t="str">
        <f>"T1Z00G6I"</f>
        <v>T1Z00G6I</v>
      </c>
      <c r="C20522" t="s">
        <v>6401</v>
      </c>
      <c r="D20522" s="1" t="str">
        <f t="shared" si="554"/>
        <v>PRG-1047651</v>
      </c>
      <c r="E20522" t="s">
        <v>515</v>
      </c>
      <c r="F20522" t="s">
        <v>5</v>
      </c>
      <c r="G20522" t="str">
        <f>""</f>
        <v/>
      </c>
    </row>
    <row r="20523" spans="1:7" x14ac:dyDescent="0.25">
      <c r="A20523" t="s">
        <v>8</v>
      </c>
      <c r="B20523" s="1" t="str">
        <f>"T1Z00GSJ"</f>
        <v>T1Z00GSJ</v>
      </c>
      <c r="C20523" t="s">
        <v>6402</v>
      </c>
      <c r="D20523" s="1" t="str">
        <f t="shared" si="554"/>
        <v>PRG-1047651</v>
      </c>
      <c r="E20523" t="s">
        <v>515</v>
      </c>
      <c r="F20523" t="s">
        <v>5</v>
      </c>
      <c r="G20523" t="str">
        <f>""</f>
        <v/>
      </c>
    </row>
    <row r="20524" spans="1:7" x14ac:dyDescent="0.25">
      <c r="A20524" t="s">
        <v>8</v>
      </c>
      <c r="B20524" s="1" t="str">
        <f>"T1Z00I63"</f>
        <v>T1Z00I63</v>
      </c>
      <c r="C20524" t="s">
        <v>6403</v>
      </c>
      <c r="D20524" s="1" t="str">
        <f t="shared" si="554"/>
        <v>PRG-1047651</v>
      </c>
      <c r="E20524" t="s">
        <v>515</v>
      </c>
      <c r="F20524" t="s">
        <v>5</v>
      </c>
      <c r="G20524" t="str">
        <f>""</f>
        <v/>
      </c>
    </row>
    <row r="20525" spans="1:7" x14ac:dyDescent="0.25">
      <c r="A20525" t="s">
        <v>8</v>
      </c>
      <c r="B20525" s="1" t="str">
        <f>"000004799 - RICH BREAD&amp;ROLL BB NCORE-SODX"</f>
        <v>000004799 - RICH BREAD&amp;ROLL BB NCORE-SODX</v>
      </c>
      <c r="C20525" t="s">
        <v>159</v>
      </c>
      <c r="D20525" s="1" t="str">
        <f t="shared" ref="D20525:D20556" si="555">"PRG-1047655"</f>
        <v>PRG-1047655</v>
      </c>
      <c r="E20525" t="s">
        <v>205</v>
      </c>
      <c r="F20525" t="s">
        <v>4</v>
      </c>
      <c r="G20525" t="str">
        <f>""</f>
        <v/>
      </c>
    </row>
    <row r="20526" spans="1:7" x14ac:dyDescent="0.25">
      <c r="A20526" t="s">
        <v>8</v>
      </c>
      <c r="B20526" s="1" t="str">
        <f>"000005063 - RICH BREAD &amp; ROLL BB CORE-SODX"</f>
        <v>000005063 - RICH BREAD &amp; ROLL BB CORE-SODX</v>
      </c>
      <c r="C20526" t="s">
        <v>158</v>
      </c>
      <c r="D20526" s="1" t="str">
        <f t="shared" si="555"/>
        <v>PRG-1047655</v>
      </c>
      <c r="E20526" t="s">
        <v>205</v>
      </c>
      <c r="F20526" t="s">
        <v>4</v>
      </c>
      <c r="G20526" t="str">
        <f>""</f>
        <v/>
      </c>
    </row>
    <row r="20527" spans="1:7" x14ac:dyDescent="0.25">
      <c r="A20527" t="s">
        <v>8</v>
      </c>
      <c r="B20527" s="1" t="str">
        <f>"000005064 - RICH BREAD&amp;ROLL BB NCORE-SODX"</f>
        <v>000005064 - RICH BREAD&amp;ROLL BB NCORE-SODX</v>
      </c>
      <c r="C20527" t="s">
        <v>159</v>
      </c>
      <c r="D20527" s="1" t="str">
        <f t="shared" si="555"/>
        <v>PRG-1047655</v>
      </c>
      <c r="E20527" t="s">
        <v>205</v>
      </c>
      <c r="F20527" t="s">
        <v>4</v>
      </c>
      <c r="G20527" t="str">
        <f>""</f>
        <v/>
      </c>
    </row>
    <row r="20528" spans="1:7" x14ac:dyDescent="0.25">
      <c r="A20528" t="s">
        <v>8</v>
      </c>
      <c r="B20528" s="1" t="str">
        <f>"000006042 - RICH BREAD &amp; ROLL BB CORE-SODX"</f>
        <v>000006042 - RICH BREAD &amp; ROLL BB CORE-SODX</v>
      </c>
      <c r="C20528" t="s">
        <v>158</v>
      </c>
      <c r="D20528" s="1" t="str">
        <f t="shared" si="555"/>
        <v>PRG-1047655</v>
      </c>
      <c r="E20528" t="s">
        <v>205</v>
      </c>
      <c r="F20528" t="s">
        <v>4</v>
      </c>
      <c r="G20528" t="str">
        <f>""</f>
        <v/>
      </c>
    </row>
    <row r="20529" spans="1:7" x14ac:dyDescent="0.25">
      <c r="A20529" t="s">
        <v>8</v>
      </c>
      <c r="B20529" s="1" t="str">
        <f>"000014161 - RICHS BREAD&amp;ROLLS C BB SODEXO"</f>
        <v>000014161 - RICHS BREAD&amp;ROLLS C BB SODEXO</v>
      </c>
      <c r="C20529" t="s">
        <v>354</v>
      </c>
      <c r="D20529" s="1" t="str">
        <f t="shared" si="555"/>
        <v>PRG-1047655</v>
      </c>
      <c r="E20529" t="s">
        <v>205</v>
      </c>
      <c r="F20529" t="s">
        <v>4</v>
      </c>
      <c r="G20529" t="str">
        <f>""</f>
        <v/>
      </c>
    </row>
    <row r="20530" spans="1:7" x14ac:dyDescent="0.25">
      <c r="A20530" t="s">
        <v>8</v>
      </c>
      <c r="B20530" s="1" t="str">
        <f>"000024861 - RICH READ &amp; ROLLS-SODEXO"</f>
        <v>000024861 - RICH READ &amp; ROLLS-SODEXO</v>
      </c>
      <c r="C20530" t="s">
        <v>441</v>
      </c>
      <c r="D20530" s="1" t="str">
        <f t="shared" si="555"/>
        <v>PRG-1047655</v>
      </c>
      <c r="E20530" t="s">
        <v>205</v>
      </c>
      <c r="F20530" t="s">
        <v>4</v>
      </c>
      <c r="G20530" t="str">
        <f>""</f>
        <v/>
      </c>
    </row>
    <row r="20531" spans="1:7" x14ac:dyDescent="0.25">
      <c r="A20531" t="s">
        <v>8</v>
      </c>
      <c r="B20531" s="1" t="str">
        <f>"000026365 - RICHS BREAD&amp;ROLLS BAPA SODEXO"</f>
        <v>000026365 - RICHS BREAD&amp;ROLLS BAPA SODEXO</v>
      </c>
      <c r="C20531" t="s">
        <v>359</v>
      </c>
      <c r="D20531" s="1" t="str">
        <f t="shared" si="555"/>
        <v>PRG-1047655</v>
      </c>
      <c r="E20531" t="s">
        <v>205</v>
      </c>
      <c r="F20531" t="s">
        <v>4</v>
      </c>
      <c r="G20531" t="str">
        <f>""</f>
        <v/>
      </c>
    </row>
    <row r="20532" spans="1:7" x14ac:dyDescent="0.25">
      <c r="A20532" t="s">
        <v>8</v>
      </c>
      <c r="B20532" s="1" t="str">
        <f>"000029422 - RICH READ &amp; ROLLS-SODEXO"</f>
        <v>000029422 - RICH READ &amp; ROLLS-SODEXO</v>
      </c>
      <c r="C20532" t="s">
        <v>441</v>
      </c>
      <c r="D20532" s="1" t="str">
        <f t="shared" si="555"/>
        <v>PRG-1047655</v>
      </c>
      <c r="E20532" t="s">
        <v>205</v>
      </c>
      <c r="F20532" t="s">
        <v>4</v>
      </c>
      <c r="G20532" t="str">
        <f>""</f>
        <v/>
      </c>
    </row>
    <row r="20533" spans="1:7" x14ac:dyDescent="0.25">
      <c r="A20533" t="s">
        <v>8</v>
      </c>
      <c r="B20533" s="1" t="str">
        <f>"000037119 - RICH FOOD-BREAD AND ROLL-SODEX"</f>
        <v>000037119 - RICH FOOD-BREAD AND ROLL-SODEX</v>
      </c>
      <c r="C20533" t="s">
        <v>549</v>
      </c>
      <c r="D20533" s="1" t="str">
        <f t="shared" si="555"/>
        <v>PRG-1047655</v>
      </c>
      <c r="E20533" t="s">
        <v>205</v>
      </c>
      <c r="F20533" t="s">
        <v>4</v>
      </c>
      <c r="G20533" t="str">
        <f>""</f>
        <v/>
      </c>
    </row>
    <row r="20534" spans="1:7" x14ac:dyDescent="0.25">
      <c r="A20534" t="s">
        <v>8</v>
      </c>
      <c r="B20534" s="1" t="str">
        <f>"000037658 - RICHS BREAD&amp;ROLLS-SODEXO"</f>
        <v>000037658 - RICHS BREAD&amp;ROLLS-SODEXO</v>
      </c>
      <c r="C20534" t="s">
        <v>551</v>
      </c>
      <c r="D20534" s="1" t="str">
        <f t="shared" si="555"/>
        <v>PRG-1047655</v>
      </c>
      <c r="E20534" t="s">
        <v>205</v>
      </c>
      <c r="F20534" t="s">
        <v>4</v>
      </c>
      <c r="G20534" t="str">
        <f>""</f>
        <v/>
      </c>
    </row>
    <row r="20535" spans="1:7" x14ac:dyDescent="0.25">
      <c r="A20535" t="s">
        <v>8</v>
      </c>
      <c r="B20535" s="1" t="str">
        <f>"000043962 - RICHS BREAD&amp;ROLLS-SODEXO"</f>
        <v>000043962 - RICHS BREAD&amp;ROLLS-SODEXO</v>
      </c>
      <c r="C20535" t="s">
        <v>551</v>
      </c>
      <c r="D20535" s="1" t="str">
        <f t="shared" si="555"/>
        <v>PRG-1047655</v>
      </c>
      <c r="E20535" t="s">
        <v>205</v>
      </c>
      <c r="F20535" t="s">
        <v>4</v>
      </c>
      <c r="G20535" t="str">
        <f>""</f>
        <v/>
      </c>
    </row>
    <row r="20536" spans="1:7" x14ac:dyDescent="0.25">
      <c r="A20536" t="s">
        <v>8</v>
      </c>
      <c r="B20536" s="1" t="str">
        <f>"000046701 - RICHS BREAD&amp;ROLLS-SODEXO"</f>
        <v>000046701 - RICHS BREAD&amp;ROLLS-SODEXO</v>
      </c>
      <c r="C20536" t="s">
        <v>551</v>
      </c>
      <c r="D20536" s="1" t="str">
        <f t="shared" si="555"/>
        <v>PRG-1047655</v>
      </c>
      <c r="E20536" t="s">
        <v>205</v>
      </c>
      <c r="F20536" t="s">
        <v>4</v>
      </c>
      <c r="G20536" t="str">
        <f>""</f>
        <v/>
      </c>
    </row>
    <row r="20537" spans="1:7" x14ac:dyDescent="0.25">
      <c r="A20537" t="s">
        <v>8</v>
      </c>
      <c r="B20537" s="1" t="str">
        <f>"000050253 - RICH FOOD-BREAD AND ROLL-SODEX"</f>
        <v>000050253 - RICH FOOD-BREAD AND ROLL-SODEX</v>
      </c>
      <c r="C20537" t="s">
        <v>549</v>
      </c>
      <c r="D20537" s="1" t="str">
        <f t="shared" si="555"/>
        <v>PRG-1047655</v>
      </c>
      <c r="E20537" t="s">
        <v>205</v>
      </c>
      <c r="F20537" t="s">
        <v>4</v>
      </c>
      <c r="G20537" t="str">
        <f>""</f>
        <v/>
      </c>
    </row>
    <row r="20538" spans="1:7" x14ac:dyDescent="0.25">
      <c r="A20538" t="s">
        <v>8</v>
      </c>
      <c r="B20538" s="1" t="str">
        <f>"000051668 - RICHS BREAD&amp;ROLLS-SODEXO"</f>
        <v>000051668 - RICHS BREAD&amp;ROLLS-SODEXO</v>
      </c>
      <c r="C20538" t="s">
        <v>551</v>
      </c>
      <c r="D20538" s="1" t="str">
        <f t="shared" si="555"/>
        <v>PRG-1047655</v>
      </c>
      <c r="E20538" t="s">
        <v>205</v>
      </c>
      <c r="F20538" t="s">
        <v>4</v>
      </c>
      <c r="G20538" t="str">
        <f>""</f>
        <v/>
      </c>
    </row>
    <row r="20539" spans="1:7" x14ac:dyDescent="0.25">
      <c r="A20539" t="s">
        <v>8</v>
      </c>
      <c r="B20539" s="1" t="str">
        <f>"000052834 - RICHS BREAD&amp;ROLLS-SODEXO"</f>
        <v>000052834 - RICHS BREAD&amp;ROLLS-SODEXO</v>
      </c>
      <c r="C20539" t="s">
        <v>551</v>
      </c>
      <c r="D20539" s="1" t="str">
        <f t="shared" si="555"/>
        <v>PRG-1047655</v>
      </c>
      <c r="E20539" t="s">
        <v>205</v>
      </c>
      <c r="F20539" t="s">
        <v>4</v>
      </c>
      <c r="G20539" t="str">
        <f>""</f>
        <v/>
      </c>
    </row>
    <row r="20540" spans="1:7" x14ac:dyDescent="0.25">
      <c r="A20540" t="s">
        <v>8</v>
      </c>
      <c r="B20540" s="1" t="str">
        <f>"000053230 - RICH FOOD-BREAD AND ROLL-SODEX"</f>
        <v>000053230 - RICH FOOD-BREAD AND ROLL-SODEX</v>
      </c>
      <c r="C20540" t="s">
        <v>549</v>
      </c>
      <c r="D20540" s="1" t="str">
        <f t="shared" si="555"/>
        <v>PRG-1047655</v>
      </c>
      <c r="E20540" t="s">
        <v>205</v>
      </c>
      <c r="F20540" t="s">
        <v>4</v>
      </c>
      <c r="G20540" t="str">
        <f>""</f>
        <v/>
      </c>
    </row>
    <row r="20541" spans="1:7" x14ac:dyDescent="0.25">
      <c r="A20541" t="s">
        <v>8</v>
      </c>
      <c r="B20541" s="1" t="str">
        <f>"000055908 - RICH FOOD-BREAD AND ROLL-SODEX"</f>
        <v>000055908 - RICH FOOD-BREAD AND ROLL-SODEX</v>
      </c>
      <c r="C20541" t="s">
        <v>549</v>
      </c>
      <c r="D20541" s="1" t="str">
        <f t="shared" si="555"/>
        <v>PRG-1047655</v>
      </c>
      <c r="E20541" t="s">
        <v>205</v>
      </c>
      <c r="F20541" t="s">
        <v>4</v>
      </c>
      <c r="G20541" t="str">
        <f>""</f>
        <v/>
      </c>
    </row>
    <row r="20542" spans="1:7" x14ac:dyDescent="0.25">
      <c r="A20542" t="s">
        <v>8</v>
      </c>
      <c r="B20542" s="1" t="str">
        <f>"000056958 - RICHS BREAD&amp;ROLLS-SODEXO"</f>
        <v>000056958 - RICHS BREAD&amp;ROLLS-SODEXO</v>
      </c>
      <c r="C20542" t="s">
        <v>551</v>
      </c>
      <c r="D20542" s="1" t="str">
        <f t="shared" si="555"/>
        <v>PRG-1047655</v>
      </c>
      <c r="E20542" t="s">
        <v>205</v>
      </c>
      <c r="F20542" t="s">
        <v>4</v>
      </c>
      <c r="G20542" t="str">
        <f>""</f>
        <v/>
      </c>
    </row>
    <row r="20543" spans="1:7" x14ac:dyDescent="0.25">
      <c r="A20543" t="s">
        <v>8</v>
      </c>
      <c r="B20543" s="1" t="str">
        <f>"000057494 - RICH FOOD-BREAD AND ROLL-SODEX"</f>
        <v>000057494 - RICH FOOD-BREAD AND ROLL-SODEX</v>
      </c>
      <c r="C20543" t="s">
        <v>549</v>
      </c>
      <c r="D20543" s="1" t="str">
        <f t="shared" si="555"/>
        <v>PRG-1047655</v>
      </c>
      <c r="E20543" t="s">
        <v>205</v>
      </c>
      <c r="F20543" t="s">
        <v>4</v>
      </c>
      <c r="G20543" t="str">
        <f>""</f>
        <v/>
      </c>
    </row>
    <row r="20544" spans="1:7" x14ac:dyDescent="0.25">
      <c r="A20544" t="s">
        <v>8</v>
      </c>
      <c r="B20544" s="1" t="str">
        <f>"000064311 - RICH FOOD-BREAD AND ROLL-SODEX"</f>
        <v>000064311 - RICH FOOD-BREAD AND ROLL-SODEX</v>
      </c>
      <c r="C20544" t="s">
        <v>549</v>
      </c>
      <c r="D20544" s="1" t="str">
        <f t="shared" si="555"/>
        <v>PRG-1047655</v>
      </c>
      <c r="E20544" t="s">
        <v>205</v>
      </c>
      <c r="F20544" t="s">
        <v>4</v>
      </c>
      <c r="G20544" t="str">
        <f>""</f>
        <v/>
      </c>
    </row>
    <row r="20545" spans="1:7" x14ac:dyDescent="0.25">
      <c r="A20545" t="s">
        <v>8</v>
      </c>
      <c r="B20545" s="1" t="str">
        <f>"000070677 - RICH FOOD-BREAD AND ROLL-SODEX"</f>
        <v>000070677 - RICH FOOD-BREAD AND ROLL-SODEX</v>
      </c>
      <c r="C20545" t="s">
        <v>549</v>
      </c>
      <c r="D20545" s="1" t="str">
        <f t="shared" si="555"/>
        <v>PRG-1047655</v>
      </c>
      <c r="E20545" t="s">
        <v>205</v>
      </c>
      <c r="F20545" t="s">
        <v>4</v>
      </c>
      <c r="G20545" t="str">
        <f>""</f>
        <v/>
      </c>
    </row>
    <row r="20546" spans="1:7" x14ac:dyDescent="0.25">
      <c r="A20546" t="s">
        <v>8</v>
      </c>
      <c r="B20546" s="1" t="str">
        <f>"000088772 - RICH READ &amp; ROLLS-SODEXO"</f>
        <v>000088772 - RICH READ &amp; ROLLS-SODEXO</v>
      </c>
      <c r="C20546" t="s">
        <v>441</v>
      </c>
      <c r="D20546" s="1" t="str">
        <f t="shared" si="555"/>
        <v>PRG-1047655</v>
      </c>
      <c r="E20546" t="s">
        <v>205</v>
      </c>
      <c r="F20546" t="s">
        <v>4</v>
      </c>
      <c r="G20546" t="str">
        <f>""</f>
        <v/>
      </c>
    </row>
    <row r="20547" spans="1:7" x14ac:dyDescent="0.25">
      <c r="A20547" t="s">
        <v>8</v>
      </c>
      <c r="B20547" s="1" t="str">
        <f>"000095316 - RICHS BREAD&amp;ROLLS-SODEXO"</f>
        <v>000095316 - RICHS BREAD&amp;ROLLS-SODEXO</v>
      </c>
      <c r="C20547" t="s">
        <v>551</v>
      </c>
      <c r="D20547" s="1" t="str">
        <f t="shared" si="555"/>
        <v>PRG-1047655</v>
      </c>
      <c r="E20547" t="s">
        <v>205</v>
      </c>
      <c r="F20547" t="s">
        <v>4</v>
      </c>
      <c r="G20547" t="str">
        <f>""</f>
        <v/>
      </c>
    </row>
    <row r="20548" spans="1:7" x14ac:dyDescent="0.25">
      <c r="A20548" t="s">
        <v>8</v>
      </c>
      <c r="B20548" s="1" t="str">
        <f>"000095846 - RICH FOOD-BREAD AND ROLL-SODEX"</f>
        <v>000095846 - RICH FOOD-BREAD AND ROLL-SODEX</v>
      </c>
      <c r="C20548" t="s">
        <v>549</v>
      </c>
      <c r="D20548" s="1" t="str">
        <f t="shared" si="555"/>
        <v>PRG-1047655</v>
      </c>
      <c r="E20548" t="s">
        <v>205</v>
      </c>
      <c r="F20548" t="s">
        <v>4</v>
      </c>
      <c r="G20548" t="str">
        <f>""</f>
        <v/>
      </c>
    </row>
    <row r="20549" spans="1:7" x14ac:dyDescent="0.25">
      <c r="A20549" t="s">
        <v>8</v>
      </c>
      <c r="B20549" s="1" t="str">
        <f>"000118676 - RICH FOOD-BREAD AND ROLL-SODEX"</f>
        <v>000118676 - RICH FOOD-BREAD AND ROLL-SODEX</v>
      </c>
      <c r="C20549" t="s">
        <v>549</v>
      </c>
      <c r="D20549" s="1" t="str">
        <f t="shared" si="555"/>
        <v>PRG-1047655</v>
      </c>
      <c r="E20549" t="s">
        <v>205</v>
      </c>
      <c r="F20549" t="s">
        <v>4</v>
      </c>
      <c r="G20549" t="str">
        <f>""</f>
        <v/>
      </c>
    </row>
    <row r="20550" spans="1:7" x14ac:dyDescent="0.25">
      <c r="A20550" t="s">
        <v>8</v>
      </c>
      <c r="B20550" s="1" t="str">
        <f>"000135685 - VOID H BREAD &amp; ROLL BB-SODEXO"</f>
        <v>000135685 - VOID H BREAD &amp; ROLL BB-SODEXO</v>
      </c>
      <c r="C20550" t="s">
        <v>564</v>
      </c>
      <c r="D20550" s="1" t="str">
        <f t="shared" si="555"/>
        <v>PRG-1047655</v>
      </c>
      <c r="E20550" t="s">
        <v>205</v>
      </c>
      <c r="F20550" t="s">
        <v>4</v>
      </c>
      <c r="G20550" t="str">
        <f>""</f>
        <v/>
      </c>
    </row>
    <row r="20551" spans="1:7" x14ac:dyDescent="0.25">
      <c r="A20551" t="s">
        <v>8</v>
      </c>
      <c r="B20551" s="1" t="str">
        <f>"000135726 - RICHS BREAD &amp; ROLL BB-SODEXO"</f>
        <v>000135726 - RICHS BREAD &amp; ROLL BB-SODEXO</v>
      </c>
      <c r="C20551" t="s">
        <v>566</v>
      </c>
      <c r="D20551" s="1" t="str">
        <f t="shared" si="555"/>
        <v>PRG-1047655</v>
      </c>
      <c r="E20551" t="s">
        <v>205</v>
      </c>
      <c r="F20551" t="s">
        <v>4</v>
      </c>
      <c r="G20551" t="str">
        <f>""</f>
        <v/>
      </c>
    </row>
    <row r="20552" spans="1:7" x14ac:dyDescent="0.25">
      <c r="A20552" t="s">
        <v>8</v>
      </c>
      <c r="B20552" s="1" t="str">
        <f>"000135956 - RICHS BRD&amp;ROLL CORE BB-SODEXO"</f>
        <v>000135956 - RICHS BRD&amp;ROLL CORE BB-SODEXO</v>
      </c>
      <c r="C20552" t="s">
        <v>568</v>
      </c>
      <c r="D20552" s="1" t="str">
        <f t="shared" si="555"/>
        <v>PRG-1047655</v>
      </c>
      <c r="E20552" t="s">
        <v>205</v>
      </c>
      <c r="F20552" t="s">
        <v>4</v>
      </c>
      <c r="G20552" t="str">
        <f>""</f>
        <v/>
      </c>
    </row>
    <row r="20553" spans="1:7" x14ac:dyDescent="0.25">
      <c r="A20553" t="s">
        <v>8</v>
      </c>
      <c r="B20553" s="1" t="str">
        <f>"000135957 - RICHS BRD&amp;ROLL NCORE BB-SODEXO"</f>
        <v>000135957 - RICHS BRD&amp;ROLL NCORE BB-SODEXO</v>
      </c>
      <c r="C20553" t="s">
        <v>569</v>
      </c>
      <c r="D20553" s="1" t="str">
        <f t="shared" si="555"/>
        <v>PRG-1047655</v>
      </c>
      <c r="E20553" t="s">
        <v>205</v>
      </c>
      <c r="F20553" t="s">
        <v>4</v>
      </c>
      <c r="G20553" t="str">
        <f>""</f>
        <v/>
      </c>
    </row>
    <row r="20554" spans="1:7" x14ac:dyDescent="0.25">
      <c r="A20554" t="s">
        <v>8</v>
      </c>
      <c r="B20554" s="1" t="str">
        <f>"000139467 - VOID H BREAD &amp; ROLL BB-SODEXO"</f>
        <v>000139467 - VOID H BREAD &amp; ROLL BB-SODEXO</v>
      </c>
      <c r="C20554" t="s">
        <v>564</v>
      </c>
      <c r="D20554" s="1" t="str">
        <f t="shared" si="555"/>
        <v>PRG-1047655</v>
      </c>
      <c r="E20554" t="s">
        <v>205</v>
      </c>
      <c r="F20554" t="s">
        <v>4</v>
      </c>
      <c r="G20554" t="str">
        <f>""</f>
        <v/>
      </c>
    </row>
    <row r="20555" spans="1:7" x14ac:dyDescent="0.25">
      <c r="A20555" t="s">
        <v>8</v>
      </c>
      <c r="B20555" s="1" t="str">
        <f>"000139512 - RICHS BREAD &amp; ROLL BB-SODEXO"</f>
        <v>000139512 - RICHS BREAD &amp; ROLL BB-SODEXO</v>
      </c>
      <c r="C20555" t="s">
        <v>566</v>
      </c>
      <c r="D20555" s="1" t="str">
        <f t="shared" si="555"/>
        <v>PRG-1047655</v>
      </c>
      <c r="E20555" t="s">
        <v>205</v>
      </c>
      <c r="F20555" t="s">
        <v>4</v>
      </c>
      <c r="G20555" t="str">
        <f>""</f>
        <v/>
      </c>
    </row>
    <row r="20556" spans="1:7" x14ac:dyDescent="0.25">
      <c r="A20556" t="s">
        <v>8</v>
      </c>
      <c r="B20556" s="1" t="str">
        <f>"000139792 - RICHS BRD&amp;ROLL CORE BB-SODEXO"</f>
        <v>000139792 - RICHS BRD&amp;ROLL CORE BB-SODEXO</v>
      </c>
      <c r="C20556" t="s">
        <v>568</v>
      </c>
      <c r="D20556" s="1" t="str">
        <f t="shared" si="555"/>
        <v>PRG-1047655</v>
      </c>
      <c r="E20556" t="s">
        <v>205</v>
      </c>
      <c r="F20556" t="s">
        <v>4</v>
      </c>
      <c r="G20556" t="str">
        <f>""</f>
        <v/>
      </c>
    </row>
    <row r="20557" spans="1:7" x14ac:dyDescent="0.25">
      <c r="A20557" t="s">
        <v>8</v>
      </c>
      <c r="B20557" s="1" t="str">
        <f>"000139793 - RICHS BRD&amp;ROLL NCORE BB-SODEXO"</f>
        <v>000139793 - RICHS BRD&amp;ROLL NCORE BB-SODEXO</v>
      </c>
      <c r="C20557" t="s">
        <v>569</v>
      </c>
      <c r="D20557" s="1" t="str">
        <f t="shared" ref="D20557:D20588" si="556">"PRG-1047655"</f>
        <v>PRG-1047655</v>
      </c>
      <c r="E20557" t="s">
        <v>205</v>
      </c>
      <c r="F20557" t="s">
        <v>4</v>
      </c>
      <c r="G20557" t="str">
        <f>""</f>
        <v/>
      </c>
    </row>
    <row r="20558" spans="1:7" x14ac:dyDescent="0.25">
      <c r="A20558" t="s">
        <v>8</v>
      </c>
      <c r="B20558" s="1" t="str">
        <f>"000143792 - RICH READ &amp; ROLLS-SODEXO"</f>
        <v>000143792 - RICH READ &amp; ROLLS-SODEXO</v>
      </c>
      <c r="C20558" t="s">
        <v>441</v>
      </c>
      <c r="D20558" s="1" t="str">
        <f t="shared" si="556"/>
        <v>PRG-1047655</v>
      </c>
      <c r="E20558" t="s">
        <v>205</v>
      </c>
      <c r="F20558" t="s">
        <v>4</v>
      </c>
      <c r="G20558" t="str">
        <f>""</f>
        <v/>
      </c>
    </row>
    <row r="20559" spans="1:7" x14ac:dyDescent="0.25">
      <c r="A20559" t="s">
        <v>8</v>
      </c>
      <c r="B20559" s="1" t="str">
        <f>"000154215 - VOID H BREAD &amp; ROLL BB-SODEXO"</f>
        <v>000154215 - VOID H BREAD &amp; ROLL BB-SODEXO</v>
      </c>
      <c r="C20559" t="s">
        <v>564</v>
      </c>
      <c r="D20559" s="1" t="str">
        <f t="shared" si="556"/>
        <v>PRG-1047655</v>
      </c>
      <c r="E20559" t="s">
        <v>205</v>
      </c>
      <c r="F20559" t="s">
        <v>4</v>
      </c>
      <c r="G20559" t="str">
        <f>""</f>
        <v/>
      </c>
    </row>
    <row r="20560" spans="1:7" x14ac:dyDescent="0.25">
      <c r="A20560" t="s">
        <v>8</v>
      </c>
      <c r="B20560" s="1" t="str">
        <f>"000154261 - RICHS BREAD &amp; ROLL BB-SODEXO"</f>
        <v>000154261 - RICHS BREAD &amp; ROLL BB-SODEXO</v>
      </c>
      <c r="C20560" t="s">
        <v>566</v>
      </c>
      <c r="D20560" s="1" t="str">
        <f t="shared" si="556"/>
        <v>PRG-1047655</v>
      </c>
      <c r="E20560" t="s">
        <v>205</v>
      </c>
      <c r="F20560" t="s">
        <v>4</v>
      </c>
      <c r="G20560" t="str">
        <f>""</f>
        <v/>
      </c>
    </row>
    <row r="20561" spans="1:7" x14ac:dyDescent="0.25">
      <c r="A20561" t="s">
        <v>8</v>
      </c>
      <c r="B20561" s="1" t="str">
        <f>"000154575 - RICHS BRD&amp;ROLL CORE BB-SODEXO"</f>
        <v>000154575 - RICHS BRD&amp;ROLL CORE BB-SODEXO</v>
      </c>
      <c r="C20561" t="s">
        <v>568</v>
      </c>
      <c r="D20561" s="1" t="str">
        <f t="shared" si="556"/>
        <v>PRG-1047655</v>
      </c>
      <c r="E20561" t="s">
        <v>205</v>
      </c>
      <c r="F20561" t="s">
        <v>4</v>
      </c>
      <c r="G20561" t="str">
        <f>""</f>
        <v/>
      </c>
    </row>
    <row r="20562" spans="1:7" x14ac:dyDescent="0.25">
      <c r="A20562" t="s">
        <v>8</v>
      </c>
      <c r="B20562" s="1" t="str">
        <f>"000154576 - RICHS BRD&amp;ROLL NCORE BB-SODEXO"</f>
        <v>000154576 - RICHS BRD&amp;ROLL NCORE BB-SODEXO</v>
      </c>
      <c r="C20562" t="s">
        <v>569</v>
      </c>
      <c r="D20562" s="1" t="str">
        <f t="shared" si="556"/>
        <v>PRG-1047655</v>
      </c>
      <c r="E20562" t="s">
        <v>205</v>
      </c>
      <c r="F20562" t="s">
        <v>4</v>
      </c>
      <c r="G20562" t="str">
        <f>""</f>
        <v/>
      </c>
    </row>
    <row r="20563" spans="1:7" x14ac:dyDescent="0.25">
      <c r="A20563" t="s">
        <v>8</v>
      </c>
      <c r="B20563" s="1" t="str">
        <f>"000162217 - RICHS BREAD&amp;ROLLS-SODEXO"</f>
        <v>000162217 - RICHS BREAD&amp;ROLLS-SODEXO</v>
      </c>
      <c r="C20563" t="s">
        <v>551</v>
      </c>
      <c r="D20563" s="1" t="str">
        <f t="shared" si="556"/>
        <v>PRG-1047655</v>
      </c>
      <c r="E20563" t="s">
        <v>205</v>
      </c>
      <c r="F20563" t="s">
        <v>4</v>
      </c>
      <c r="G20563" t="str">
        <f>""</f>
        <v/>
      </c>
    </row>
    <row r="20564" spans="1:7" x14ac:dyDescent="0.25">
      <c r="A20564" t="s">
        <v>8</v>
      </c>
      <c r="B20564" s="1" t="str">
        <f>"000165665 - RICH READ &amp; ROLLS-SODEXO"</f>
        <v>000165665 - RICH READ &amp; ROLLS-SODEXO</v>
      </c>
      <c r="C20564" t="s">
        <v>441</v>
      </c>
      <c r="D20564" s="1" t="str">
        <f t="shared" si="556"/>
        <v>PRG-1047655</v>
      </c>
      <c r="E20564" t="s">
        <v>205</v>
      </c>
      <c r="F20564" t="s">
        <v>4</v>
      </c>
      <c r="G20564" t="str">
        <f>""</f>
        <v/>
      </c>
    </row>
    <row r="20565" spans="1:7" x14ac:dyDescent="0.25">
      <c r="A20565" t="s">
        <v>8</v>
      </c>
      <c r="B20565" s="1" t="str">
        <f>"000170673 - RICH FOOD-BREAD AND ROLL-SODEX"</f>
        <v>000170673 - RICH FOOD-BREAD AND ROLL-SODEX</v>
      </c>
      <c r="C20565" t="s">
        <v>549</v>
      </c>
      <c r="D20565" s="1" t="str">
        <f t="shared" si="556"/>
        <v>PRG-1047655</v>
      </c>
      <c r="E20565" t="s">
        <v>205</v>
      </c>
      <c r="F20565" t="s">
        <v>4</v>
      </c>
      <c r="G20565" t="str">
        <f>""</f>
        <v/>
      </c>
    </row>
    <row r="20566" spans="1:7" x14ac:dyDescent="0.25">
      <c r="A20566" t="s">
        <v>8</v>
      </c>
      <c r="B20566" s="1" t="str">
        <f>"000180707 - RICHS BREAD &amp; ROLL BB-SODEXO"</f>
        <v>000180707 - RICHS BREAD &amp; ROLL BB-SODEXO</v>
      </c>
      <c r="C20566" t="s">
        <v>566</v>
      </c>
      <c r="D20566" s="1" t="str">
        <f t="shared" si="556"/>
        <v>PRG-1047655</v>
      </c>
      <c r="E20566" t="s">
        <v>205</v>
      </c>
      <c r="F20566" t="s">
        <v>4</v>
      </c>
      <c r="G20566" t="str">
        <f>""</f>
        <v/>
      </c>
    </row>
    <row r="20567" spans="1:7" x14ac:dyDescent="0.25">
      <c r="A20567" t="s">
        <v>8</v>
      </c>
      <c r="B20567" s="1" t="str">
        <f>"000181049 - RICHS BRD&amp;ROLL CORE BB-SODEXO"</f>
        <v>000181049 - RICHS BRD&amp;ROLL CORE BB-SODEXO</v>
      </c>
      <c r="C20567" t="s">
        <v>568</v>
      </c>
      <c r="D20567" s="1" t="str">
        <f t="shared" si="556"/>
        <v>PRG-1047655</v>
      </c>
      <c r="E20567" t="s">
        <v>205</v>
      </c>
      <c r="F20567" t="s">
        <v>4</v>
      </c>
      <c r="G20567" t="str">
        <f>""</f>
        <v/>
      </c>
    </row>
    <row r="20568" spans="1:7" x14ac:dyDescent="0.25">
      <c r="A20568" t="s">
        <v>8</v>
      </c>
      <c r="B20568" s="1" t="str">
        <f>"000181050 - RICHS BRD&amp;ROLL NCORE BB-SODEXO"</f>
        <v>000181050 - RICHS BRD&amp;ROLL NCORE BB-SODEXO</v>
      </c>
      <c r="C20568" t="s">
        <v>569</v>
      </c>
      <c r="D20568" s="1" t="str">
        <f t="shared" si="556"/>
        <v>PRG-1047655</v>
      </c>
      <c r="E20568" t="s">
        <v>205</v>
      </c>
      <c r="F20568" t="s">
        <v>4</v>
      </c>
      <c r="G20568" t="str">
        <f>""</f>
        <v/>
      </c>
    </row>
    <row r="20569" spans="1:7" x14ac:dyDescent="0.25">
      <c r="A20569" t="s">
        <v>8</v>
      </c>
      <c r="B20569" s="1" t="str">
        <f>"000186907 - RICH BREAD &amp; ROLL BB CORE-SODX"</f>
        <v>000186907 - RICH BREAD &amp; ROLL BB CORE-SODX</v>
      </c>
      <c r="C20569" t="s">
        <v>158</v>
      </c>
      <c r="D20569" s="1" t="str">
        <f t="shared" si="556"/>
        <v>PRG-1047655</v>
      </c>
      <c r="E20569" t="s">
        <v>205</v>
      </c>
      <c r="F20569" t="s">
        <v>4</v>
      </c>
      <c r="G20569" t="str">
        <f>""</f>
        <v/>
      </c>
    </row>
    <row r="20570" spans="1:7" x14ac:dyDescent="0.25">
      <c r="A20570" t="s">
        <v>8</v>
      </c>
      <c r="B20570" s="1" t="str">
        <f>"000186908 - RICH BREAD&amp;ROLL BB NCORE-SODX"</f>
        <v>000186908 - RICH BREAD&amp;ROLL BB NCORE-SODX</v>
      </c>
      <c r="C20570" t="s">
        <v>159</v>
      </c>
      <c r="D20570" s="1" t="str">
        <f t="shared" si="556"/>
        <v>PRG-1047655</v>
      </c>
      <c r="E20570" t="s">
        <v>205</v>
      </c>
      <c r="F20570" t="s">
        <v>4</v>
      </c>
      <c r="G20570" t="str">
        <f>""</f>
        <v/>
      </c>
    </row>
    <row r="20571" spans="1:7" x14ac:dyDescent="0.25">
      <c r="A20571" t="s">
        <v>8</v>
      </c>
      <c r="B20571" s="1" t="str">
        <f>"000189377 - RICHS BREAD&amp;ROLLS-SODEXO"</f>
        <v>000189377 - RICHS BREAD&amp;ROLLS-SODEXO</v>
      </c>
      <c r="C20571" t="s">
        <v>551</v>
      </c>
      <c r="D20571" s="1" t="str">
        <f t="shared" si="556"/>
        <v>PRG-1047655</v>
      </c>
      <c r="E20571" t="s">
        <v>205</v>
      </c>
      <c r="F20571" t="s">
        <v>4</v>
      </c>
      <c r="G20571" t="str">
        <f>""</f>
        <v/>
      </c>
    </row>
    <row r="20572" spans="1:7" x14ac:dyDescent="0.25">
      <c r="A20572" t="s">
        <v>8</v>
      </c>
      <c r="B20572" s="1" t="str">
        <f>"000195395 - RICH FOOD-BREAD AND ROLL-SODEX"</f>
        <v>000195395 - RICH FOOD-BREAD AND ROLL-SODEX</v>
      </c>
      <c r="C20572" t="s">
        <v>549</v>
      </c>
      <c r="D20572" s="1" t="str">
        <f t="shared" si="556"/>
        <v>PRG-1047655</v>
      </c>
      <c r="E20572" t="s">
        <v>205</v>
      </c>
      <c r="F20572" t="s">
        <v>4</v>
      </c>
      <c r="G20572" t="str">
        <f>""</f>
        <v/>
      </c>
    </row>
    <row r="20573" spans="1:7" x14ac:dyDescent="0.25">
      <c r="A20573" t="s">
        <v>8</v>
      </c>
      <c r="B20573" s="1" t="str">
        <f>"000199499 - RICH FOOD-BREAD AND ROLL-SODEX"</f>
        <v>000199499 - RICH FOOD-BREAD AND ROLL-SODEX</v>
      </c>
      <c r="C20573" t="s">
        <v>549</v>
      </c>
      <c r="D20573" s="1" t="str">
        <f t="shared" si="556"/>
        <v>PRG-1047655</v>
      </c>
      <c r="E20573" t="s">
        <v>205</v>
      </c>
      <c r="F20573" t="s">
        <v>4</v>
      </c>
      <c r="G20573" t="str">
        <f>""</f>
        <v/>
      </c>
    </row>
    <row r="20574" spans="1:7" x14ac:dyDescent="0.25">
      <c r="A20574" t="s">
        <v>8</v>
      </c>
      <c r="B20574" s="1" t="str">
        <f>"000203238 - RICH BREAD &amp; ROLL CORE BB-SODX"</f>
        <v>000203238 - RICH BREAD &amp; ROLL CORE BB-SODX</v>
      </c>
      <c r="C20574" t="s">
        <v>273</v>
      </c>
      <c r="D20574" s="1" t="str">
        <f t="shared" si="556"/>
        <v>PRG-1047655</v>
      </c>
      <c r="E20574" t="s">
        <v>205</v>
      </c>
      <c r="F20574" t="s">
        <v>4</v>
      </c>
      <c r="G20574" t="str">
        <f>""</f>
        <v/>
      </c>
    </row>
    <row r="20575" spans="1:7" x14ac:dyDescent="0.25">
      <c r="A20575" t="s">
        <v>8</v>
      </c>
      <c r="B20575" s="1" t="str">
        <f>"000214885 - VOID H BREAD &amp; ROLL BB-SODEXO"</f>
        <v>000214885 - VOID H BREAD &amp; ROLL BB-SODEXO</v>
      </c>
      <c r="C20575" t="s">
        <v>564</v>
      </c>
      <c r="D20575" s="1" t="str">
        <f t="shared" si="556"/>
        <v>PRG-1047655</v>
      </c>
      <c r="E20575" t="s">
        <v>205</v>
      </c>
      <c r="F20575" t="s">
        <v>4</v>
      </c>
      <c r="G20575" t="str">
        <f>""</f>
        <v/>
      </c>
    </row>
    <row r="20576" spans="1:7" x14ac:dyDescent="0.25">
      <c r="A20576" t="s">
        <v>8</v>
      </c>
      <c r="B20576" s="1" t="str">
        <f>"000214946 - RICHS BREAD &amp; ROLL BB-SODEXO"</f>
        <v>000214946 - RICHS BREAD &amp; ROLL BB-SODEXO</v>
      </c>
      <c r="C20576" t="s">
        <v>566</v>
      </c>
      <c r="D20576" s="1" t="str">
        <f t="shared" si="556"/>
        <v>PRG-1047655</v>
      </c>
      <c r="E20576" t="s">
        <v>205</v>
      </c>
      <c r="F20576" t="s">
        <v>4</v>
      </c>
      <c r="G20576" t="str">
        <f>""</f>
        <v/>
      </c>
    </row>
    <row r="20577" spans="1:7" x14ac:dyDescent="0.25">
      <c r="A20577" t="s">
        <v>8</v>
      </c>
      <c r="B20577" s="1" t="str">
        <f>"000215493 - RICHS BREAD &amp; ROLL BB-SODEXO"</f>
        <v>000215493 - RICHS BREAD &amp; ROLL BB-SODEXO</v>
      </c>
      <c r="C20577" t="s">
        <v>566</v>
      </c>
      <c r="D20577" s="1" t="str">
        <f t="shared" si="556"/>
        <v>PRG-1047655</v>
      </c>
      <c r="E20577" t="s">
        <v>205</v>
      </c>
      <c r="F20577" t="s">
        <v>4</v>
      </c>
      <c r="G20577" t="str">
        <f>""</f>
        <v/>
      </c>
    </row>
    <row r="20578" spans="1:7" x14ac:dyDescent="0.25">
      <c r="A20578" t="s">
        <v>8</v>
      </c>
      <c r="B20578" s="1" t="str">
        <f>"000221218 - VOID H BREAD &amp; ROLL BB-SODEXO"</f>
        <v>000221218 - VOID H BREAD &amp; ROLL BB-SODEXO</v>
      </c>
      <c r="C20578" t="s">
        <v>564</v>
      </c>
      <c r="D20578" s="1" t="str">
        <f t="shared" si="556"/>
        <v>PRG-1047655</v>
      </c>
      <c r="E20578" t="s">
        <v>205</v>
      </c>
      <c r="F20578" t="s">
        <v>4</v>
      </c>
      <c r="G20578" t="str">
        <f>""</f>
        <v/>
      </c>
    </row>
    <row r="20579" spans="1:7" x14ac:dyDescent="0.25">
      <c r="A20579" t="s">
        <v>8</v>
      </c>
      <c r="B20579" s="1" t="str">
        <f>"000221617 - RICH BREAD &amp; ROLLS-SODEXO"</f>
        <v>000221617 - RICH BREAD &amp; ROLLS-SODEXO</v>
      </c>
      <c r="C20579" t="s">
        <v>141</v>
      </c>
      <c r="D20579" s="1" t="str">
        <f t="shared" si="556"/>
        <v>PRG-1047655</v>
      </c>
      <c r="E20579" t="s">
        <v>205</v>
      </c>
      <c r="F20579" t="s">
        <v>4</v>
      </c>
      <c r="G20579" t="str">
        <f>""</f>
        <v/>
      </c>
    </row>
    <row r="20580" spans="1:7" x14ac:dyDescent="0.25">
      <c r="A20580" t="s">
        <v>8</v>
      </c>
      <c r="B20580" s="1" t="str">
        <f>"000222624 - RICH BREAD&amp;ROLLS-SOD  RETRO"</f>
        <v>000222624 - RICH BREAD&amp;ROLLS-SOD  RETRO</v>
      </c>
      <c r="C20580" t="s">
        <v>1628</v>
      </c>
      <c r="D20580" s="1" t="str">
        <f t="shared" si="556"/>
        <v>PRG-1047655</v>
      </c>
      <c r="E20580" t="s">
        <v>205</v>
      </c>
      <c r="F20580" t="s">
        <v>4</v>
      </c>
      <c r="G20580" t="str">
        <f>""</f>
        <v/>
      </c>
    </row>
    <row r="20581" spans="1:7" x14ac:dyDescent="0.25">
      <c r="A20581" t="s">
        <v>8</v>
      </c>
      <c r="B20581" s="1" t="str">
        <f>"000223866 - VOID H BREAD &amp; ROLL BB-SODEXO"</f>
        <v>000223866 - VOID H BREAD &amp; ROLL BB-SODEXO</v>
      </c>
      <c r="C20581" t="s">
        <v>564</v>
      </c>
      <c r="D20581" s="1" t="str">
        <f t="shared" si="556"/>
        <v>PRG-1047655</v>
      </c>
      <c r="E20581" t="s">
        <v>205</v>
      </c>
      <c r="F20581" t="s">
        <v>4</v>
      </c>
      <c r="G20581" t="str">
        <f>""</f>
        <v/>
      </c>
    </row>
    <row r="20582" spans="1:7" x14ac:dyDescent="0.25">
      <c r="A20582" t="s">
        <v>8</v>
      </c>
      <c r="B20582" s="1" t="str">
        <f>"000230665 - VOID H BREAD &amp; ROLL BB-SODEXO"</f>
        <v>000230665 - VOID H BREAD &amp; ROLL BB-SODEXO</v>
      </c>
      <c r="C20582" t="s">
        <v>564</v>
      </c>
      <c r="D20582" s="1" t="str">
        <f t="shared" si="556"/>
        <v>PRG-1047655</v>
      </c>
      <c r="E20582" t="s">
        <v>205</v>
      </c>
      <c r="F20582" t="s">
        <v>4</v>
      </c>
      <c r="G20582" t="str">
        <f>""</f>
        <v/>
      </c>
    </row>
    <row r="20583" spans="1:7" x14ac:dyDescent="0.25">
      <c r="A20583" t="s">
        <v>8</v>
      </c>
      <c r="B20583" s="1" t="str">
        <f>"000230709 - RICHS BREAD &amp; ROLL BB-SODEXO"</f>
        <v>000230709 - RICHS BREAD &amp; ROLL BB-SODEXO</v>
      </c>
      <c r="C20583" t="s">
        <v>566</v>
      </c>
      <c r="D20583" s="1" t="str">
        <f t="shared" si="556"/>
        <v>PRG-1047655</v>
      </c>
      <c r="E20583" t="s">
        <v>205</v>
      </c>
      <c r="F20583" t="s">
        <v>4</v>
      </c>
      <c r="G20583" t="str">
        <f>""</f>
        <v/>
      </c>
    </row>
    <row r="20584" spans="1:7" x14ac:dyDescent="0.25">
      <c r="A20584" t="s">
        <v>8</v>
      </c>
      <c r="B20584" s="1" t="str">
        <f>"000231037 - RICHS BRD&amp;ROLL CORE BB-SODEXO"</f>
        <v>000231037 - RICHS BRD&amp;ROLL CORE BB-SODEXO</v>
      </c>
      <c r="C20584" t="s">
        <v>568</v>
      </c>
      <c r="D20584" s="1" t="str">
        <f t="shared" si="556"/>
        <v>PRG-1047655</v>
      </c>
      <c r="E20584" t="s">
        <v>205</v>
      </c>
      <c r="F20584" t="s">
        <v>4</v>
      </c>
      <c r="G20584" t="str">
        <f>""</f>
        <v/>
      </c>
    </row>
    <row r="20585" spans="1:7" x14ac:dyDescent="0.25">
      <c r="A20585" t="s">
        <v>8</v>
      </c>
      <c r="B20585" s="1" t="str">
        <f>"000231038 - RICHS BRD&amp;ROLL NCORE BB-SODEXO"</f>
        <v>000231038 - RICHS BRD&amp;ROLL NCORE BB-SODEXO</v>
      </c>
      <c r="C20585" t="s">
        <v>569</v>
      </c>
      <c r="D20585" s="1" t="str">
        <f t="shared" si="556"/>
        <v>PRG-1047655</v>
      </c>
      <c r="E20585" t="s">
        <v>205</v>
      </c>
      <c r="F20585" t="s">
        <v>4</v>
      </c>
      <c r="G20585" t="str">
        <f>""</f>
        <v/>
      </c>
    </row>
    <row r="20586" spans="1:7" x14ac:dyDescent="0.25">
      <c r="A20586" t="s">
        <v>8</v>
      </c>
      <c r="B20586" s="1" t="str">
        <f>"000234400 - RICH READ &amp; ROLLS-SODEXO"</f>
        <v>000234400 - RICH READ &amp; ROLLS-SODEXO</v>
      </c>
      <c r="C20586" t="s">
        <v>441</v>
      </c>
      <c r="D20586" s="1" t="str">
        <f t="shared" si="556"/>
        <v>PRG-1047655</v>
      </c>
      <c r="E20586" t="s">
        <v>205</v>
      </c>
      <c r="F20586" t="s">
        <v>4</v>
      </c>
      <c r="G20586" t="str">
        <f>""</f>
        <v/>
      </c>
    </row>
    <row r="20587" spans="1:7" x14ac:dyDescent="0.25">
      <c r="A20587" t="s">
        <v>8</v>
      </c>
      <c r="B20587" s="1" t="str">
        <f>"000234493 - VOID H BREAD &amp; ROLL BB-SODEXO"</f>
        <v>000234493 - VOID H BREAD &amp; ROLL BB-SODEXO</v>
      </c>
      <c r="C20587" t="s">
        <v>564</v>
      </c>
      <c r="D20587" s="1" t="str">
        <f t="shared" si="556"/>
        <v>PRG-1047655</v>
      </c>
      <c r="E20587" t="s">
        <v>205</v>
      </c>
      <c r="F20587" t="s">
        <v>4</v>
      </c>
      <c r="G20587" t="str">
        <f>""</f>
        <v/>
      </c>
    </row>
    <row r="20588" spans="1:7" x14ac:dyDescent="0.25">
      <c r="A20588" t="s">
        <v>8</v>
      </c>
      <c r="B20588" s="1" t="str">
        <f>"000234557 - RICHS BREAD &amp; ROLL BB-SODEXO"</f>
        <v>000234557 - RICHS BREAD &amp; ROLL BB-SODEXO</v>
      </c>
      <c r="C20588" t="s">
        <v>566</v>
      </c>
      <c r="D20588" s="1" t="str">
        <f t="shared" si="556"/>
        <v>PRG-1047655</v>
      </c>
      <c r="E20588" t="s">
        <v>205</v>
      </c>
      <c r="F20588" t="s">
        <v>4</v>
      </c>
      <c r="G20588" t="str">
        <f>""</f>
        <v/>
      </c>
    </row>
    <row r="20589" spans="1:7" x14ac:dyDescent="0.25">
      <c r="A20589" t="s">
        <v>8</v>
      </c>
      <c r="B20589" s="1" t="str">
        <f>"000234959 - RICHS BRD&amp;ROLL CORE BB-SODEXO"</f>
        <v>000234959 - RICHS BRD&amp;ROLL CORE BB-SODEXO</v>
      </c>
      <c r="C20589" t="s">
        <v>568</v>
      </c>
      <c r="D20589" s="1" t="str">
        <f t="shared" ref="D20589:D20620" si="557">"PRG-1047655"</f>
        <v>PRG-1047655</v>
      </c>
      <c r="E20589" t="s">
        <v>205</v>
      </c>
      <c r="F20589" t="s">
        <v>4</v>
      </c>
      <c r="G20589" t="str">
        <f>""</f>
        <v/>
      </c>
    </row>
    <row r="20590" spans="1:7" x14ac:dyDescent="0.25">
      <c r="A20590" t="s">
        <v>8</v>
      </c>
      <c r="B20590" s="1" t="str">
        <f>"000234960 - RICHS BRD&amp;ROLL NCORE BB-SODEXO"</f>
        <v>000234960 - RICHS BRD&amp;ROLL NCORE BB-SODEXO</v>
      </c>
      <c r="C20590" t="s">
        <v>569</v>
      </c>
      <c r="D20590" s="1" t="str">
        <f t="shared" si="557"/>
        <v>PRG-1047655</v>
      </c>
      <c r="E20590" t="s">
        <v>205</v>
      </c>
      <c r="F20590" t="s">
        <v>4</v>
      </c>
      <c r="G20590" t="str">
        <f>""</f>
        <v/>
      </c>
    </row>
    <row r="20591" spans="1:7" x14ac:dyDescent="0.25">
      <c r="A20591" t="s">
        <v>8</v>
      </c>
      <c r="B20591" s="1" t="str">
        <f>"000241542 - VOID H BREAD &amp; ROLL BB-SODEXO"</f>
        <v>000241542 - VOID H BREAD &amp; ROLL BB-SODEXO</v>
      </c>
      <c r="C20591" t="s">
        <v>564</v>
      </c>
      <c r="D20591" s="1" t="str">
        <f t="shared" si="557"/>
        <v>PRG-1047655</v>
      </c>
      <c r="E20591" t="s">
        <v>205</v>
      </c>
      <c r="F20591" t="s">
        <v>4</v>
      </c>
      <c r="G20591" t="str">
        <f>""</f>
        <v/>
      </c>
    </row>
    <row r="20592" spans="1:7" x14ac:dyDescent="0.25">
      <c r="A20592" t="s">
        <v>8</v>
      </c>
      <c r="B20592" s="1" t="str">
        <f>"000241956 - RICHS BRD&amp;ROLL CORE BB-SODEXO"</f>
        <v>000241956 - RICHS BRD&amp;ROLL CORE BB-SODEXO</v>
      </c>
      <c r="C20592" t="s">
        <v>568</v>
      </c>
      <c r="D20592" s="1" t="str">
        <f t="shared" si="557"/>
        <v>PRG-1047655</v>
      </c>
      <c r="E20592" t="s">
        <v>205</v>
      </c>
      <c r="F20592" t="s">
        <v>4</v>
      </c>
      <c r="G20592" t="str">
        <f>""</f>
        <v/>
      </c>
    </row>
    <row r="20593" spans="1:7" x14ac:dyDescent="0.25">
      <c r="A20593" t="s">
        <v>8</v>
      </c>
      <c r="B20593" s="1" t="str">
        <f>"000241957 - RICHS BRD&amp;ROLL NCORE BB-SODEXO"</f>
        <v>000241957 - RICHS BRD&amp;ROLL NCORE BB-SODEXO</v>
      </c>
      <c r="C20593" t="s">
        <v>569</v>
      </c>
      <c r="D20593" s="1" t="str">
        <f t="shared" si="557"/>
        <v>PRG-1047655</v>
      </c>
      <c r="E20593" t="s">
        <v>205</v>
      </c>
      <c r="F20593" t="s">
        <v>4</v>
      </c>
      <c r="G20593" t="str">
        <f>""</f>
        <v/>
      </c>
    </row>
    <row r="20594" spans="1:7" x14ac:dyDescent="0.25">
      <c r="A20594" t="s">
        <v>8</v>
      </c>
      <c r="B20594" s="1" t="str">
        <f>"000244718 - RICH BREAD &amp; ROLL BB CORE-SODX"</f>
        <v>000244718 - RICH BREAD &amp; ROLL BB CORE-SODX</v>
      </c>
      <c r="C20594" t="s">
        <v>158</v>
      </c>
      <c r="D20594" s="1" t="str">
        <f t="shared" si="557"/>
        <v>PRG-1047655</v>
      </c>
      <c r="E20594" t="s">
        <v>205</v>
      </c>
      <c r="F20594" t="s">
        <v>4</v>
      </c>
      <c r="G20594" t="str">
        <f>""</f>
        <v/>
      </c>
    </row>
    <row r="20595" spans="1:7" x14ac:dyDescent="0.25">
      <c r="A20595" t="s">
        <v>8</v>
      </c>
      <c r="B20595" s="1" t="str">
        <f>"000244719 - RICH BREAD&amp;ROLL BB NCORE-SODX"</f>
        <v>000244719 - RICH BREAD&amp;ROLL BB NCORE-SODX</v>
      </c>
      <c r="C20595" t="s">
        <v>159</v>
      </c>
      <c r="D20595" s="1" t="str">
        <f t="shared" si="557"/>
        <v>PRG-1047655</v>
      </c>
      <c r="E20595" t="s">
        <v>205</v>
      </c>
      <c r="F20595" t="s">
        <v>4</v>
      </c>
      <c r="G20595" t="str">
        <f>""</f>
        <v/>
      </c>
    </row>
    <row r="20596" spans="1:7" x14ac:dyDescent="0.25">
      <c r="A20596" t="s">
        <v>8</v>
      </c>
      <c r="B20596" s="1" t="str">
        <f>"000250969 - VOID H BREAD &amp; ROLL BB-SODEXO"</f>
        <v>000250969 - VOID H BREAD &amp; ROLL BB-SODEXO</v>
      </c>
      <c r="C20596" t="s">
        <v>564</v>
      </c>
      <c r="D20596" s="1" t="str">
        <f t="shared" si="557"/>
        <v>PRG-1047655</v>
      </c>
      <c r="E20596" t="s">
        <v>205</v>
      </c>
      <c r="F20596" t="s">
        <v>4</v>
      </c>
      <c r="G20596" t="str">
        <f>""</f>
        <v/>
      </c>
    </row>
    <row r="20597" spans="1:7" x14ac:dyDescent="0.25">
      <c r="A20597" t="s">
        <v>8</v>
      </c>
      <c r="B20597" s="1" t="str">
        <f>"000251019 - RICHS BREAD &amp; ROLL BB-SODEXO"</f>
        <v>000251019 - RICHS BREAD &amp; ROLL BB-SODEXO</v>
      </c>
      <c r="C20597" t="s">
        <v>566</v>
      </c>
      <c r="D20597" s="1" t="str">
        <f t="shared" si="557"/>
        <v>PRG-1047655</v>
      </c>
      <c r="E20597" t="s">
        <v>205</v>
      </c>
      <c r="F20597" t="s">
        <v>4</v>
      </c>
      <c r="G20597" t="str">
        <f>""</f>
        <v/>
      </c>
    </row>
    <row r="20598" spans="1:7" x14ac:dyDescent="0.25">
      <c r="A20598" t="s">
        <v>8</v>
      </c>
      <c r="B20598" s="1" t="str">
        <f>"000257566 - RICHS BREAD&amp;ROLLS-SODEXO"</f>
        <v>000257566 - RICHS BREAD&amp;ROLLS-SODEXO</v>
      </c>
      <c r="C20598" t="s">
        <v>551</v>
      </c>
      <c r="D20598" s="1" t="str">
        <f t="shared" si="557"/>
        <v>PRG-1047655</v>
      </c>
      <c r="E20598" t="s">
        <v>205</v>
      </c>
      <c r="F20598" t="s">
        <v>4</v>
      </c>
      <c r="G20598" t="str">
        <f>""</f>
        <v/>
      </c>
    </row>
    <row r="20599" spans="1:7" x14ac:dyDescent="0.25">
      <c r="A20599" t="s">
        <v>8</v>
      </c>
      <c r="B20599" s="1" t="str">
        <f>"000263125 - RICH FOOD-BREAD AND ROLL-SODEX"</f>
        <v>000263125 - RICH FOOD-BREAD AND ROLL-SODEX</v>
      </c>
      <c r="C20599" t="s">
        <v>549</v>
      </c>
      <c r="D20599" s="1" t="str">
        <f t="shared" si="557"/>
        <v>PRG-1047655</v>
      </c>
      <c r="E20599" t="s">
        <v>205</v>
      </c>
      <c r="F20599" t="s">
        <v>4</v>
      </c>
      <c r="G20599" t="str">
        <f>""</f>
        <v/>
      </c>
    </row>
    <row r="20600" spans="1:7" x14ac:dyDescent="0.25">
      <c r="A20600" t="s">
        <v>8</v>
      </c>
      <c r="B20600" s="1" t="str">
        <f>"000263450 - VOID H BREAD &amp; ROLL BB-SODEXO"</f>
        <v>000263450 - VOID H BREAD &amp; ROLL BB-SODEXO</v>
      </c>
      <c r="C20600" t="s">
        <v>564</v>
      </c>
      <c r="D20600" s="1" t="str">
        <f t="shared" si="557"/>
        <v>PRG-1047655</v>
      </c>
      <c r="E20600" t="s">
        <v>205</v>
      </c>
      <c r="F20600" t="s">
        <v>4</v>
      </c>
      <c r="G20600" t="str">
        <f>""</f>
        <v/>
      </c>
    </row>
    <row r="20601" spans="1:7" x14ac:dyDescent="0.25">
      <c r="A20601" t="s">
        <v>8</v>
      </c>
      <c r="B20601" s="1" t="str">
        <f>"000263502 - RICHS BREAD &amp; ROLL BB-SODEXO"</f>
        <v>000263502 - RICHS BREAD &amp; ROLL BB-SODEXO</v>
      </c>
      <c r="C20601" t="s">
        <v>566</v>
      </c>
      <c r="D20601" s="1" t="str">
        <f t="shared" si="557"/>
        <v>PRG-1047655</v>
      </c>
      <c r="E20601" t="s">
        <v>205</v>
      </c>
      <c r="F20601" t="s">
        <v>4</v>
      </c>
      <c r="G20601" t="str">
        <f>""</f>
        <v/>
      </c>
    </row>
    <row r="20602" spans="1:7" x14ac:dyDescent="0.25">
      <c r="A20602" t="s">
        <v>8</v>
      </c>
      <c r="B20602" s="1" t="str">
        <f>"000263938 - RICHS BRD&amp;ROLL CORE BB-SODEXO"</f>
        <v>000263938 - RICHS BRD&amp;ROLL CORE BB-SODEXO</v>
      </c>
      <c r="C20602" t="s">
        <v>568</v>
      </c>
      <c r="D20602" s="1" t="str">
        <f t="shared" si="557"/>
        <v>PRG-1047655</v>
      </c>
      <c r="E20602" t="s">
        <v>205</v>
      </c>
      <c r="F20602" t="s">
        <v>4</v>
      </c>
      <c r="G20602" t="str">
        <f>""</f>
        <v/>
      </c>
    </row>
    <row r="20603" spans="1:7" x14ac:dyDescent="0.25">
      <c r="A20603" t="s">
        <v>8</v>
      </c>
      <c r="B20603" s="1" t="str">
        <f>"000263939 - RICHS BRD&amp;ROLL NCORE BB-SODEXO"</f>
        <v>000263939 - RICHS BRD&amp;ROLL NCORE BB-SODEXO</v>
      </c>
      <c r="C20603" t="s">
        <v>569</v>
      </c>
      <c r="D20603" s="1" t="str">
        <f t="shared" si="557"/>
        <v>PRG-1047655</v>
      </c>
      <c r="E20603" t="s">
        <v>205</v>
      </c>
      <c r="F20603" t="s">
        <v>4</v>
      </c>
      <c r="G20603" t="str">
        <f>""</f>
        <v/>
      </c>
    </row>
    <row r="20604" spans="1:7" x14ac:dyDescent="0.25">
      <c r="A20604" t="s">
        <v>8</v>
      </c>
      <c r="B20604" s="1" t="str">
        <f>"000264294 - RICH READ &amp; ROLLS-SODEXO"</f>
        <v>000264294 - RICH READ &amp; ROLLS-SODEXO</v>
      </c>
      <c r="C20604" t="s">
        <v>441</v>
      </c>
      <c r="D20604" s="1" t="str">
        <f t="shared" si="557"/>
        <v>PRG-1047655</v>
      </c>
      <c r="E20604" t="s">
        <v>205</v>
      </c>
      <c r="F20604" t="s">
        <v>4</v>
      </c>
      <c r="G20604" t="str">
        <f>""</f>
        <v/>
      </c>
    </row>
    <row r="20605" spans="1:7" x14ac:dyDescent="0.25">
      <c r="A20605" t="s">
        <v>8</v>
      </c>
      <c r="B20605" s="1" t="str">
        <f>"000265539 - RICH READ &amp; ROLLS-SODEXO"</f>
        <v>000265539 - RICH READ &amp; ROLLS-SODEXO</v>
      </c>
      <c r="C20605" t="s">
        <v>441</v>
      </c>
      <c r="D20605" s="1" t="str">
        <f t="shared" si="557"/>
        <v>PRG-1047655</v>
      </c>
      <c r="E20605" t="s">
        <v>205</v>
      </c>
      <c r="F20605" t="s">
        <v>4</v>
      </c>
      <c r="G20605" t="str">
        <f>""</f>
        <v/>
      </c>
    </row>
    <row r="20606" spans="1:7" x14ac:dyDescent="0.25">
      <c r="A20606" t="s">
        <v>8</v>
      </c>
      <c r="B20606" s="1" t="str">
        <f>"000267801 - RICHS BREAD&amp;ROLLS-SODEXO"</f>
        <v>000267801 - RICHS BREAD&amp;ROLLS-SODEXO</v>
      </c>
      <c r="C20606" t="s">
        <v>551</v>
      </c>
      <c r="D20606" s="1" t="str">
        <f t="shared" si="557"/>
        <v>PRG-1047655</v>
      </c>
      <c r="E20606" t="s">
        <v>205</v>
      </c>
      <c r="F20606" t="s">
        <v>4</v>
      </c>
      <c r="G20606" t="str">
        <f>""</f>
        <v/>
      </c>
    </row>
    <row r="20607" spans="1:7" x14ac:dyDescent="0.25">
      <c r="A20607" t="s">
        <v>8</v>
      </c>
      <c r="B20607" s="1" t="str">
        <f>"000269326 - RICH READ &amp; ROLLS-SODEXO"</f>
        <v>000269326 - RICH READ &amp; ROLLS-SODEXO</v>
      </c>
      <c r="C20607" t="s">
        <v>441</v>
      </c>
      <c r="D20607" s="1" t="str">
        <f t="shared" si="557"/>
        <v>PRG-1047655</v>
      </c>
      <c r="E20607" t="s">
        <v>205</v>
      </c>
      <c r="F20607" t="s">
        <v>4</v>
      </c>
      <c r="G20607" t="str">
        <f>""</f>
        <v/>
      </c>
    </row>
    <row r="20608" spans="1:7" x14ac:dyDescent="0.25">
      <c r="A20608" t="s">
        <v>8</v>
      </c>
      <c r="B20608" s="1" t="str">
        <f>"000269497 - RICHS BREAD&amp;ROLLS-SODEXO"</f>
        <v>000269497 - RICHS BREAD&amp;ROLLS-SODEXO</v>
      </c>
      <c r="C20608" t="s">
        <v>551</v>
      </c>
      <c r="D20608" s="1" t="str">
        <f t="shared" si="557"/>
        <v>PRG-1047655</v>
      </c>
      <c r="E20608" t="s">
        <v>205</v>
      </c>
      <c r="F20608" t="s">
        <v>4</v>
      </c>
      <c r="G20608" t="str">
        <f>""</f>
        <v/>
      </c>
    </row>
    <row r="20609" spans="1:7" x14ac:dyDescent="0.25">
      <c r="A20609" t="s">
        <v>8</v>
      </c>
      <c r="B20609" s="1" t="str">
        <f>"000270412 - RICH BREAD &amp; ROLL CORE BB-SODX"</f>
        <v>000270412 - RICH BREAD &amp; ROLL CORE BB-SODX</v>
      </c>
      <c r="C20609" t="s">
        <v>273</v>
      </c>
      <c r="D20609" s="1" t="str">
        <f t="shared" si="557"/>
        <v>PRG-1047655</v>
      </c>
      <c r="E20609" t="s">
        <v>205</v>
      </c>
      <c r="F20609" t="s">
        <v>4</v>
      </c>
      <c r="G20609" t="str">
        <f>""</f>
        <v/>
      </c>
    </row>
    <row r="20610" spans="1:7" x14ac:dyDescent="0.25">
      <c r="A20610" t="s">
        <v>8</v>
      </c>
      <c r="B20610" s="1" t="str">
        <f>"000272569 - RICH FOOD-BREAD AND ROLL-SODEX"</f>
        <v>000272569 - RICH FOOD-BREAD AND ROLL-SODEX</v>
      </c>
      <c r="C20610" t="s">
        <v>549</v>
      </c>
      <c r="D20610" s="1" t="str">
        <f t="shared" si="557"/>
        <v>PRG-1047655</v>
      </c>
      <c r="E20610" t="s">
        <v>205</v>
      </c>
      <c r="F20610" t="s">
        <v>4</v>
      </c>
      <c r="G20610" t="str">
        <f>""</f>
        <v/>
      </c>
    </row>
    <row r="20611" spans="1:7" x14ac:dyDescent="0.25">
      <c r="A20611" t="s">
        <v>8</v>
      </c>
      <c r="B20611" s="1" t="str">
        <f>"000272861 - RICH READ &amp; ROLLS-SODEXO"</f>
        <v>000272861 - RICH READ &amp; ROLLS-SODEXO</v>
      </c>
      <c r="C20611" t="s">
        <v>441</v>
      </c>
      <c r="D20611" s="1" t="str">
        <f t="shared" si="557"/>
        <v>PRG-1047655</v>
      </c>
      <c r="E20611" t="s">
        <v>205</v>
      </c>
      <c r="F20611" t="s">
        <v>4</v>
      </c>
      <c r="G20611" t="str">
        <f>""</f>
        <v/>
      </c>
    </row>
    <row r="20612" spans="1:7" x14ac:dyDescent="0.25">
      <c r="A20612" t="s">
        <v>8</v>
      </c>
      <c r="B20612" s="1" t="str">
        <f>"000273068 - RICH FOOD-BREAD AND ROLL-SODEX"</f>
        <v>000273068 - RICH FOOD-BREAD AND ROLL-SODEX</v>
      </c>
      <c r="C20612" t="s">
        <v>549</v>
      </c>
      <c r="D20612" s="1" t="str">
        <f t="shared" si="557"/>
        <v>PRG-1047655</v>
      </c>
      <c r="E20612" t="s">
        <v>205</v>
      </c>
      <c r="F20612" t="s">
        <v>4</v>
      </c>
      <c r="G20612" t="str">
        <f>""</f>
        <v/>
      </c>
    </row>
    <row r="20613" spans="1:7" x14ac:dyDescent="0.25">
      <c r="A20613" t="s">
        <v>8</v>
      </c>
      <c r="B20613" s="1" t="str">
        <f>"000278619 - RICH FOOD-BREAD AND ROLL-SODEX"</f>
        <v>000278619 - RICH FOOD-BREAD AND ROLL-SODEX</v>
      </c>
      <c r="C20613" t="s">
        <v>549</v>
      </c>
      <c r="D20613" s="1" t="str">
        <f t="shared" si="557"/>
        <v>PRG-1047655</v>
      </c>
      <c r="E20613" t="s">
        <v>205</v>
      </c>
      <c r="F20613" t="s">
        <v>4</v>
      </c>
      <c r="G20613" t="str">
        <f>""</f>
        <v/>
      </c>
    </row>
    <row r="20614" spans="1:7" x14ac:dyDescent="0.25">
      <c r="A20614" t="s">
        <v>8</v>
      </c>
      <c r="B20614" s="1" t="str">
        <f>"000282461 - RICH READ &amp; ROLLS-SODEXO"</f>
        <v>000282461 - RICH READ &amp; ROLLS-SODEXO</v>
      </c>
      <c r="C20614" t="s">
        <v>441</v>
      </c>
      <c r="D20614" s="1" t="str">
        <f t="shared" si="557"/>
        <v>PRG-1047655</v>
      </c>
      <c r="E20614" t="s">
        <v>205</v>
      </c>
      <c r="F20614" t="s">
        <v>4</v>
      </c>
      <c r="G20614" t="str">
        <f>""</f>
        <v/>
      </c>
    </row>
    <row r="20615" spans="1:7" x14ac:dyDescent="0.25">
      <c r="A20615" t="s">
        <v>8</v>
      </c>
      <c r="B20615" s="1" t="str">
        <f>"000282580 - RICHS BREAD&amp;ROLLS-SODEXO"</f>
        <v>000282580 - RICHS BREAD&amp;ROLLS-SODEXO</v>
      </c>
      <c r="C20615" t="s">
        <v>551</v>
      </c>
      <c r="D20615" s="1" t="str">
        <f t="shared" si="557"/>
        <v>PRG-1047655</v>
      </c>
      <c r="E20615" t="s">
        <v>205</v>
      </c>
      <c r="F20615" t="s">
        <v>4</v>
      </c>
      <c r="G20615" t="str">
        <f>""</f>
        <v/>
      </c>
    </row>
    <row r="20616" spans="1:7" x14ac:dyDescent="0.25">
      <c r="A20616" t="s">
        <v>8</v>
      </c>
      <c r="B20616" s="1" t="str">
        <f>"000284047 - RICH READ &amp; ROLLS-SODEXO"</f>
        <v>000284047 - RICH READ &amp; ROLLS-SODEXO</v>
      </c>
      <c r="C20616" t="s">
        <v>441</v>
      </c>
      <c r="D20616" s="1" t="str">
        <f t="shared" si="557"/>
        <v>PRG-1047655</v>
      </c>
      <c r="E20616" t="s">
        <v>205</v>
      </c>
      <c r="F20616" t="s">
        <v>4</v>
      </c>
      <c r="G20616" t="str">
        <f>""</f>
        <v/>
      </c>
    </row>
    <row r="20617" spans="1:7" x14ac:dyDescent="0.25">
      <c r="A20617" t="s">
        <v>8</v>
      </c>
      <c r="B20617" s="1" t="str">
        <f>"000284142 - RICHS BREAD&amp;ROLLS-SODEXO"</f>
        <v>000284142 - RICHS BREAD&amp;ROLLS-SODEXO</v>
      </c>
      <c r="C20617" t="s">
        <v>551</v>
      </c>
      <c r="D20617" s="1" t="str">
        <f t="shared" si="557"/>
        <v>PRG-1047655</v>
      </c>
      <c r="E20617" t="s">
        <v>205</v>
      </c>
      <c r="F20617" t="s">
        <v>4</v>
      </c>
      <c r="G20617" t="str">
        <f>""</f>
        <v/>
      </c>
    </row>
    <row r="20618" spans="1:7" x14ac:dyDescent="0.25">
      <c r="A20618" t="s">
        <v>8</v>
      </c>
      <c r="B20618" s="1" t="str">
        <f>"000286061 - RICHS BREAD&amp;ROLLS-SODEXO"</f>
        <v>000286061 - RICHS BREAD&amp;ROLLS-SODEXO</v>
      </c>
      <c r="C20618" t="s">
        <v>551</v>
      </c>
      <c r="D20618" s="1" t="str">
        <f t="shared" si="557"/>
        <v>PRG-1047655</v>
      </c>
      <c r="E20618" t="s">
        <v>205</v>
      </c>
      <c r="F20618" t="s">
        <v>4</v>
      </c>
      <c r="G20618" t="str">
        <f>""</f>
        <v/>
      </c>
    </row>
    <row r="20619" spans="1:7" x14ac:dyDescent="0.25">
      <c r="A20619" t="s">
        <v>8</v>
      </c>
      <c r="B20619" s="1" t="str">
        <f>"000286626 - RICH READ &amp; ROLLS-SODEXO"</f>
        <v>000286626 - RICH READ &amp; ROLLS-SODEXO</v>
      </c>
      <c r="C20619" t="s">
        <v>441</v>
      </c>
      <c r="D20619" s="1" t="str">
        <f t="shared" si="557"/>
        <v>PRG-1047655</v>
      </c>
      <c r="E20619" t="s">
        <v>205</v>
      </c>
      <c r="F20619" t="s">
        <v>4</v>
      </c>
      <c r="G20619" t="str">
        <f>""</f>
        <v/>
      </c>
    </row>
    <row r="20620" spans="1:7" x14ac:dyDescent="0.25">
      <c r="A20620" t="s">
        <v>8</v>
      </c>
      <c r="B20620" s="1" t="str">
        <f>"000288006 - RICH FOOD-BREAD AND ROLL-SODEX"</f>
        <v>000288006 - RICH FOOD-BREAD AND ROLL-SODEX</v>
      </c>
      <c r="C20620" t="s">
        <v>549</v>
      </c>
      <c r="D20620" s="1" t="str">
        <f t="shared" si="557"/>
        <v>PRG-1047655</v>
      </c>
      <c r="E20620" t="s">
        <v>205</v>
      </c>
      <c r="F20620" t="s">
        <v>4</v>
      </c>
      <c r="G20620" t="str">
        <f>""</f>
        <v/>
      </c>
    </row>
    <row r="20621" spans="1:7" x14ac:dyDescent="0.25">
      <c r="A20621" t="s">
        <v>8</v>
      </c>
      <c r="B20621" s="1" t="str">
        <f>"000289035 - RICH READ &amp; ROLLS-SODEXO"</f>
        <v>000289035 - RICH READ &amp; ROLLS-SODEXO</v>
      </c>
      <c r="C20621" t="s">
        <v>441</v>
      </c>
      <c r="D20621" s="1" t="str">
        <f t="shared" ref="D20621:D20652" si="558">"PRG-1047655"</f>
        <v>PRG-1047655</v>
      </c>
      <c r="E20621" t="s">
        <v>205</v>
      </c>
      <c r="F20621" t="s">
        <v>4</v>
      </c>
      <c r="G20621" t="str">
        <f>""</f>
        <v/>
      </c>
    </row>
    <row r="20622" spans="1:7" x14ac:dyDescent="0.25">
      <c r="A20622" t="s">
        <v>8</v>
      </c>
      <c r="B20622" s="1" t="str">
        <f>"000289829 - RICHS BREAD&amp;ROLLS-SODEXO"</f>
        <v>000289829 - RICHS BREAD&amp;ROLLS-SODEXO</v>
      </c>
      <c r="C20622" t="s">
        <v>551</v>
      </c>
      <c r="D20622" s="1" t="str">
        <f t="shared" si="558"/>
        <v>PRG-1047655</v>
      </c>
      <c r="E20622" t="s">
        <v>205</v>
      </c>
      <c r="F20622" t="s">
        <v>4</v>
      </c>
      <c r="G20622" t="str">
        <f>""</f>
        <v/>
      </c>
    </row>
    <row r="20623" spans="1:7" x14ac:dyDescent="0.25">
      <c r="A20623" t="s">
        <v>8</v>
      </c>
      <c r="B20623" s="1" t="str">
        <f>"000290677 - RICH FOOD-BREAD AND ROLL-SODEX"</f>
        <v>000290677 - RICH FOOD-BREAD AND ROLL-SODEX</v>
      </c>
      <c r="C20623" t="s">
        <v>549</v>
      </c>
      <c r="D20623" s="1" t="str">
        <f t="shared" si="558"/>
        <v>PRG-1047655</v>
      </c>
      <c r="E20623" t="s">
        <v>205</v>
      </c>
      <c r="F20623" t="s">
        <v>4</v>
      </c>
      <c r="G20623" t="str">
        <f>""</f>
        <v/>
      </c>
    </row>
    <row r="20624" spans="1:7" x14ac:dyDescent="0.25">
      <c r="A20624" t="s">
        <v>8</v>
      </c>
      <c r="B20624" s="1" t="str">
        <f>"000290696 - RICH READ &amp; ROLLS-SODEXO"</f>
        <v>000290696 - RICH READ &amp; ROLLS-SODEXO</v>
      </c>
      <c r="C20624" t="s">
        <v>441</v>
      </c>
      <c r="D20624" s="1" t="str">
        <f t="shared" si="558"/>
        <v>PRG-1047655</v>
      </c>
      <c r="E20624" t="s">
        <v>205</v>
      </c>
      <c r="F20624" t="s">
        <v>4</v>
      </c>
      <c r="G20624" t="str">
        <f>""</f>
        <v/>
      </c>
    </row>
    <row r="20625" spans="1:7" x14ac:dyDescent="0.25">
      <c r="A20625" t="s">
        <v>8</v>
      </c>
      <c r="B20625" s="1" t="str">
        <f>"000291305 - RICH FOOD-BREAD AND ROLL-SODEX"</f>
        <v>000291305 - RICH FOOD-BREAD AND ROLL-SODEX</v>
      </c>
      <c r="C20625" t="s">
        <v>549</v>
      </c>
      <c r="D20625" s="1" t="str">
        <f t="shared" si="558"/>
        <v>PRG-1047655</v>
      </c>
      <c r="E20625" t="s">
        <v>205</v>
      </c>
      <c r="F20625" t="s">
        <v>4</v>
      </c>
      <c r="G20625" t="str">
        <f>""</f>
        <v/>
      </c>
    </row>
    <row r="20626" spans="1:7" x14ac:dyDescent="0.25">
      <c r="A20626" t="s">
        <v>8</v>
      </c>
      <c r="B20626" s="1" t="str">
        <f>"000293019 - RICH READ &amp; ROLLS-SODEXO"</f>
        <v>000293019 - RICH READ &amp; ROLLS-SODEXO</v>
      </c>
      <c r="C20626" t="s">
        <v>441</v>
      </c>
      <c r="D20626" s="1" t="str">
        <f t="shared" si="558"/>
        <v>PRG-1047655</v>
      </c>
      <c r="E20626" t="s">
        <v>205</v>
      </c>
      <c r="F20626" t="s">
        <v>4</v>
      </c>
      <c r="G20626" t="str">
        <f>""</f>
        <v/>
      </c>
    </row>
    <row r="20627" spans="1:7" x14ac:dyDescent="0.25">
      <c r="A20627" t="s">
        <v>8</v>
      </c>
      <c r="B20627" s="1" t="str">
        <f>"000293529 - RICHS BREAD&amp;ROLLS-SODEXO"</f>
        <v>000293529 - RICHS BREAD&amp;ROLLS-SODEXO</v>
      </c>
      <c r="C20627" t="s">
        <v>551</v>
      </c>
      <c r="D20627" s="1" t="str">
        <f t="shared" si="558"/>
        <v>PRG-1047655</v>
      </c>
      <c r="E20627" t="s">
        <v>205</v>
      </c>
      <c r="F20627" t="s">
        <v>4</v>
      </c>
      <c r="G20627" t="str">
        <f>""</f>
        <v/>
      </c>
    </row>
    <row r="20628" spans="1:7" x14ac:dyDescent="0.25">
      <c r="A20628" t="s">
        <v>8</v>
      </c>
      <c r="B20628" s="1" t="str">
        <f>"000293922 - RICH READ &amp; ROLLS-SODEXO"</f>
        <v>000293922 - RICH READ &amp; ROLLS-SODEXO</v>
      </c>
      <c r="C20628" t="s">
        <v>441</v>
      </c>
      <c r="D20628" s="1" t="str">
        <f t="shared" si="558"/>
        <v>PRG-1047655</v>
      </c>
      <c r="E20628" t="s">
        <v>205</v>
      </c>
      <c r="F20628" t="s">
        <v>4</v>
      </c>
      <c r="G20628" t="str">
        <f>""</f>
        <v/>
      </c>
    </row>
    <row r="20629" spans="1:7" x14ac:dyDescent="0.25">
      <c r="A20629" t="s">
        <v>8</v>
      </c>
      <c r="B20629" s="1" t="str">
        <f>"000293988 - RICH FOOD-BREAD AND ROLL-SODEX"</f>
        <v>000293988 - RICH FOOD-BREAD AND ROLL-SODEX</v>
      </c>
      <c r="C20629" t="s">
        <v>549</v>
      </c>
      <c r="D20629" s="1" t="str">
        <f t="shared" si="558"/>
        <v>PRG-1047655</v>
      </c>
      <c r="E20629" t="s">
        <v>205</v>
      </c>
      <c r="F20629" t="s">
        <v>4</v>
      </c>
      <c r="G20629" t="str">
        <f>""</f>
        <v/>
      </c>
    </row>
    <row r="20630" spans="1:7" x14ac:dyDescent="0.25">
      <c r="A20630" t="s">
        <v>8</v>
      </c>
      <c r="B20630" s="1" t="str">
        <f>"000294018 - VOID H BREAD &amp; ROLL BB-SODEXO"</f>
        <v>000294018 - VOID H BREAD &amp; ROLL BB-SODEXO</v>
      </c>
      <c r="C20630" t="s">
        <v>564</v>
      </c>
      <c r="D20630" s="1" t="str">
        <f t="shared" si="558"/>
        <v>PRG-1047655</v>
      </c>
      <c r="E20630" t="s">
        <v>205</v>
      </c>
      <c r="F20630" t="s">
        <v>4</v>
      </c>
      <c r="G20630" t="str">
        <f>""</f>
        <v/>
      </c>
    </row>
    <row r="20631" spans="1:7" x14ac:dyDescent="0.25">
      <c r="A20631" t="s">
        <v>8</v>
      </c>
      <c r="B20631" s="1" t="str">
        <f>"000294078 - RICHS BREAD &amp; ROLL BB-SODEXO"</f>
        <v>000294078 - RICHS BREAD &amp; ROLL BB-SODEXO</v>
      </c>
      <c r="C20631" t="s">
        <v>566</v>
      </c>
      <c r="D20631" s="1" t="str">
        <f t="shared" si="558"/>
        <v>PRG-1047655</v>
      </c>
      <c r="E20631" t="s">
        <v>205</v>
      </c>
      <c r="F20631" t="s">
        <v>4</v>
      </c>
      <c r="G20631" t="str">
        <f>""</f>
        <v/>
      </c>
    </row>
    <row r="20632" spans="1:7" x14ac:dyDescent="0.25">
      <c r="A20632" t="s">
        <v>8</v>
      </c>
      <c r="B20632" s="1" t="str">
        <f>"000294473 - RICHS BRD&amp;ROLL CORE BB-SODEXO"</f>
        <v>000294473 - RICHS BRD&amp;ROLL CORE BB-SODEXO</v>
      </c>
      <c r="C20632" t="s">
        <v>568</v>
      </c>
      <c r="D20632" s="1" t="str">
        <f t="shared" si="558"/>
        <v>PRG-1047655</v>
      </c>
      <c r="E20632" t="s">
        <v>205</v>
      </c>
      <c r="F20632" t="s">
        <v>4</v>
      </c>
      <c r="G20632" t="str">
        <f>""</f>
        <v/>
      </c>
    </row>
    <row r="20633" spans="1:7" x14ac:dyDescent="0.25">
      <c r="A20633" t="s">
        <v>8</v>
      </c>
      <c r="B20633" s="1" t="str">
        <f>"000295717 - VOID H BREAD &amp; ROLL BB-SODEXO"</f>
        <v>000295717 - VOID H BREAD &amp; ROLL BB-SODEXO</v>
      </c>
      <c r="C20633" t="s">
        <v>564</v>
      </c>
      <c r="D20633" s="1" t="str">
        <f t="shared" si="558"/>
        <v>PRG-1047655</v>
      </c>
      <c r="E20633" t="s">
        <v>205</v>
      </c>
      <c r="F20633" t="s">
        <v>4</v>
      </c>
      <c r="G20633" t="str">
        <f>""</f>
        <v/>
      </c>
    </row>
    <row r="20634" spans="1:7" x14ac:dyDescent="0.25">
      <c r="A20634" t="s">
        <v>8</v>
      </c>
      <c r="B20634" s="1" t="str">
        <f>"000295783 - RICHS BREAD &amp; ROLL BB-SODEXO"</f>
        <v>000295783 - RICHS BREAD &amp; ROLL BB-SODEXO</v>
      </c>
      <c r="C20634" t="s">
        <v>566</v>
      </c>
      <c r="D20634" s="1" t="str">
        <f t="shared" si="558"/>
        <v>PRG-1047655</v>
      </c>
      <c r="E20634" t="s">
        <v>205</v>
      </c>
      <c r="F20634" t="s">
        <v>4</v>
      </c>
      <c r="G20634" t="str">
        <f>""</f>
        <v/>
      </c>
    </row>
    <row r="20635" spans="1:7" x14ac:dyDescent="0.25">
      <c r="A20635" t="s">
        <v>8</v>
      </c>
      <c r="B20635" s="1" t="str">
        <f>"000295808 - RICH READ &amp; ROLLS-SODEXO"</f>
        <v>000295808 - RICH READ &amp; ROLLS-SODEXO</v>
      </c>
      <c r="C20635" t="s">
        <v>441</v>
      </c>
      <c r="D20635" s="1" t="str">
        <f t="shared" si="558"/>
        <v>PRG-1047655</v>
      </c>
      <c r="E20635" t="s">
        <v>205</v>
      </c>
      <c r="F20635" t="s">
        <v>4</v>
      </c>
      <c r="G20635" t="str">
        <f>""</f>
        <v/>
      </c>
    </row>
    <row r="20636" spans="1:7" x14ac:dyDescent="0.25">
      <c r="A20636" t="s">
        <v>8</v>
      </c>
      <c r="B20636" s="1" t="str">
        <f>"000295946 - RICHS BREAD&amp;ROLLS-SODEXO"</f>
        <v>000295946 - RICHS BREAD&amp;ROLLS-SODEXO</v>
      </c>
      <c r="C20636" t="s">
        <v>551</v>
      </c>
      <c r="D20636" s="1" t="str">
        <f t="shared" si="558"/>
        <v>PRG-1047655</v>
      </c>
      <c r="E20636" t="s">
        <v>205</v>
      </c>
      <c r="F20636" t="s">
        <v>4</v>
      </c>
      <c r="G20636" t="str">
        <f>""</f>
        <v/>
      </c>
    </row>
    <row r="20637" spans="1:7" x14ac:dyDescent="0.25">
      <c r="A20637" t="s">
        <v>8</v>
      </c>
      <c r="B20637" s="1" t="str">
        <f>"000296130 - RICHS BRD&amp;ROLL CORE BB-SODEXO"</f>
        <v>000296130 - RICHS BRD&amp;ROLL CORE BB-SODEXO</v>
      </c>
      <c r="C20637" t="s">
        <v>568</v>
      </c>
      <c r="D20637" s="1" t="str">
        <f t="shared" si="558"/>
        <v>PRG-1047655</v>
      </c>
      <c r="E20637" t="s">
        <v>205</v>
      </c>
      <c r="F20637" t="s">
        <v>4</v>
      </c>
      <c r="G20637" t="str">
        <f>""</f>
        <v/>
      </c>
    </row>
    <row r="20638" spans="1:7" x14ac:dyDescent="0.25">
      <c r="A20638" t="s">
        <v>8</v>
      </c>
      <c r="B20638" s="1" t="str">
        <f>"000296131 - RICHS BRD&amp;ROLL NCORE BB-SODEXO"</f>
        <v>000296131 - RICHS BRD&amp;ROLL NCORE BB-SODEXO</v>
      </c>
      <c r="C20638" t="s">
        <v>569</v>
      </c>
      <c r="D20638" s="1" t="str">
        <f t="shared" si="558"/>
        <v>PRG-1047655</v>
      </c>
      <c r="E20638" t="s">
        <v>205</v>
      </c>
      <c r="F20638" t="s">
        <v>4</v>
      </c>
      <c r="G20638" t="str">
        <f>""</f>
        <v/>
      </c>
    </row>
    <row r="20639" spans="1:7" x14ac:dyDescent="0.25">
      <c r="A20639" t="s">
        <v>8</v>
      </c>
      <c r="B20639" s="1" t="str">
        <f>"000299540 - RICH FOOD-BREAD AND ROLL-SODEX"</f>
        <v>000299540 - RICH FOOD-BREAD AND ROLL-SODEX</v>
      </c>
      <c r="C20639" t="s">
        <v>549</v>
      </c>
      <c r="D20639" s="1" t="str">
        <f t="shared" si="558"/>
        <v>PRG-1047655</v>
      </c>
      <c r="E20639" t="s">
        <v>205</v>
      </c>
      <c r="F20639" t="s">
        <v>4</v>
      </c>
      <c r="G20639" t="str">
        <f>""</f>
        <v/>
      </c>
    </row>
    <row r="20640" spans="1:7" x14ac:dyDescent="0.25">
      <c r="A20640" t="s">
        <v>8</v>
      </c>
      <c r="B20640" s="1" t="str">
        <f>"000300181 - VOID H BREAD &amp; ROLL BB-SODEXO"</f>
        <v>000300181 - VOID H BREAD &amp; ROLL BB-SODEXO</v>
      </c>
      <c r="C20640" t="s">
        <v>564</v>
      </c>
      <c r="D20640" s="1" t="str">
        <f t="shared" si="558"/>
        <v>PRG-1047655</v>
      </c>
      <c r="E20640" t="s">
        <v>205</v>
      </c>
      <c r="F20640" t="s">
        <v>4</v>
      </c>
      <c r="G20640" t="str">
        <f>""</f>
        <v/>
      </c>
    </row>
    <row r="20641" spans="1:7" x14ac:dyDescent="0.25">
      <c r="A20641" t="s">
        <v>8</v>
      </c>
      <c r="B20641" s="1" t="str">
        <f>"000301982 - VOID H BREAD &amp; ROLL BB-SODEXO"</f>
        <v>000301982 - VOID H BREAD &amp; ROLL BB-SODEXO</v>
      </c>
      <c r="C20641" t="s">
        <v>564</v>
      </c>
      <c r="D20641" s="1" t="str">
        <f t="shared" si="558"/>
        <v>PRG-1047655</v>
      </c>
      <c r="E20641" t="s">
        <v>205</v>
      </c>
      <c r="F20641" t="s">
        <v>4</v>
      </c>
      <c r="G20641" t="str">
        <f>""</f>
        <v/>
      </c>
    </row>
    <row r="20642" spans="1:7" x14ac:dyDescent="0.25">
      <c r="A20642" t="s">
        <v>8</v>
      </c>
      <c r="B20642" s="1" t="str">
        <f>"000302049 - RICHS BREAD &amp; ROLL BB-SODEXO"</f>
        <v>000302049 - RICHS BREAD &amp; ROLL BB-SODEXO</v>
      </c>
      <c r="C20642" t="s">
        <v>566</v>
      </c>
      <c r="D20642" s="1" t="str">
        <f t="shared" si="558"/>
        <v>PRG-1047655</v>
      </c>
      <c r="E20642" t="s">
        <v>205</v>
      </c>
      <c r="F20642" t="s">
        <v>4</v>
      </c>
      <c r="G20642" t="str">
        <f>""</f>
        <v/>
      </c>
    </row>
    <row r="20643" spans="1:7" x14ac:dyDescent="0.25">
      <c r="A20643" t="s">
        <v>8</v>
      </c>
      <c r="B20643" s="1" t="str">
        <f>"000304275 - RICH FOOD-BREAD AND ROLL-SODEX"</f>
        <v>000304275 - RICH FOOD-BREAD AND ROLL-SODEX</v>
      </c>
      <c r="C20643" t="s">
        <v>549</v>
      </c>
      <c r="D20643" s="1" t="str">
        <f t="shared" si="558"/>
        <v>PRG-1047655</v>
      </c>
      <c r="E20643" t="s">
        <v>205</v>
      </c>
      <c r="F20643" t="s">
        <v>4</v>
      </c>
      <c r="G20643" t="str">
        <f>""</f>
        <v/>
      </c>
    </row>
    <row r="20644" spans="1:7" x14ac:dyDescent="0.25">
      <c r="A20644" t="s">
        <v>8</v>
      </c>
      <c r="B20644" s="1" t="str">
        <f>"000305610 - RICHS BREAD &amp; ROLL BB-SODEXO"</f>
        <v>000305610 - RICHS BREAD &amp; ROLL BB-SODEXO</v>
      </c>
      <c r="C20644" t="s">
        <v>566</v>
      </c>
      <c r="D20644" s="1" t="str">
        <f t="shared" si="558"/>
        <v>PRG-1047655</v>
      </c>
      <c r="E20644" t="s">
        <v>205</v>
      </c>
      <c r="F20644" t="s">
        <v>4</v>
      </c>
      <c r="G20644" t="str">
        <f>""</f>
        <v/>
      </c>
    </row>
    <row r="20645" spans="1:7" x14ac:dyDescent="0.25">
      <c r="A20645" t="s">
        <v>8</v>
      </c>
      <c r="B20645" s="1" t="str">
        <f>"000306037 - RICHS BRD&amp;ROLL CORE BB-SODEXO"</f>
        <v>000306037 - RICHS BRD&amp;ROLL CORE BB-SODEXO</v>
      </c>
      <c r="C20645" t="s">
        <v>568</v>
      </c>
      <c r="D20645" s="1" t="str">
        <f t="shared" si="558"/>
        <v>PRG-1047655</v>
      </c>
      <c r="E20645" t="s">
        <v>205</v>
      </c>
      <c r="F20645" t="s">
        <v>4</v>
      </c>
      <c r="G20645" t="str">
        <f>""</f>
        <v/>
      </c>
    </row>
    <row r="20646" spans="1:7" x14ac:dyDescent="0.25">
      <c r="A20646" t="s">
        <v>8</v>
      </c>
      <c r="B20646" s="1" t="str">
        <f>"000306038 - RICHS BRD&amp;ROLL NCORE BB-SODEXO"</f>
        <v>000306038 - RICHS BRD&amp;ROLL NCORE BB-SODEXO</v>
      </c>
      <c r="C20646" t="s">
        <v>569</v>
      </c>
      <c r="D20646" s="1" t="str">
        <f t="shared" si="558"/>
        <v>PRG-1047655</v>
      </c>
      <c r="E20646" t="s">
        <v>205</v>
      </c>
      <c r="F20646" t="s">
        <v>4</v>
      </c>
      <c r="G20646" t="str">
        <f>""</f>
        <v/>
      </c>
    </row>
    <row r="20647" spans="1:7" x14ac:dyDescent="0.25">
      <c r="A20647" t="s">
        <v>8</v>
      </c>
      <c r="B20647" s="1" t="str">
        <f>"000306119 - RICH BREAD &amp; ROLL BB CORE-SODX"</f>
        <v>000306119 - RICH BREAD &amp; ROLL BB CORE-SODX</v>
      </c>
      <c r="C20647" t="s">
        <v>158</v>
      </c>
      <c r="D20647" s="1" t="str">
        <f t="shared" si="558"/>
        <v>PRG-1047655</v>
      </c>
      <c r="E20647" t="s">
        <v>205</v>
      </c>
      <c r="F20647" t="s">
        <v>4</v>
      </c>
      <c r="G20647" t="str">
        <f>""</f>
        <v/>
      </c>
    </row>
    <row r="20648" spans="1:7" x14ac:dyDescent="0.25">
      <c r="A20648" t="s">
        <v>8</v>
      </c>
      <c r="B20648" s="1" t="str">
        <f>"000306121 - RICH BREAD&amp;ROLL BB NCORE-SODX"</f>
        <v>000306121 - RICH BREAD&amp;ROLL BB NCORE-SODX</v>
      </c>
      <c r="C20648" t="s">
        <v>159</v>
      </c>
      <c r="D20648" s="1" t="str">
        <f t="shared" si="558"/>
        <v>PRG-1047655</v>
      </c>
      <c r="E20648" t="s">
        <v>205</v>
      </c>
      <c r="F20648" t="s">
        <v>4</v>
      </c>
      <c r="G20648" t="str">
        <f>""</f>
        <v/>
      </c>
    </row>
    <row r="20649" spans="1:7" x14ac:dyDescent="0.25">
      <c r="A20649" t="s">
        <v>8</v>
      </c>
      <c r="B20649" s="1" t="str">
        <f>"000306585 - RICHS BREAD&amp;ROLLS-SODEXO"</f>
        <v>000306585 - RICHS BREAD&amp;ROLLS-SODEXO</v>
      </c>
      <c r="C20649" t="s">
        <v>551</v>
      </c>
      <c r="D20649" s="1" t="str">
        <f t="shared" si="558"/>
        <v>PRG-1047655</v>
      </c>
      <c r="E20649" t="s">
        <v>205</v>
      </c>
      <c r="F20649" t="s">
        <v>4</v>
      </c>
      <c r="G20649" t="str">
        <f>""</f>
        <v/>
      </c>
    </row>
    <row r="20650" spans="1:7" x14ac:dyDescent="0.25">
      <c r="A20650" t="s">
        <v>8</v>
      </c>
      <c r="B20650" s="1" t="str">
        <f>"000309767 - RICH FOOD-BREAD AND ROLL-SODEX"</f>
        <v>000309767 - RICH FOOD-BREAD AND ROLL-SODEX</v>
      </c>
      <c r="C20650" t="s">
        <v>549</v>
      </c>
      <c r="D20650" s="1" t="str">
        <f t="shared" si="558"/>
        <v>PRG-1047655</v>
      </c>
      <c r="E20650" t="s">
        <v>205</v>
      </c>
      <c r="F20650" t="s">
        <v>4</v>
      </c>
      <c r="G20650" t="str">
        <f>""</f>
        <v/>
      </c>
    </row>
    <row r="20651" spans="1:7" x14ac:dyDescent="0.25">
      <c r="A20651" t="s">
        <v>8</v>
      </c>
      <c r="B20651" s="1" t="str">
        <f>"000310374 - RICHS BREAD&amp;ROLLS-SODEXO"</f>
        <v>000310374 - RICHS BREAD&amp;ROLLS-SODEXO</v>
      </c>
      <c r="C20651" t="s">
        <v>551</v>
      </c>
      <c r="D20651" s="1" t="str">
        <f t="shared" si="558"/>
        <v>PRG-1047655</v>
      </c>
      <c r="E20651" t="s">
        <v>205</v>
      </c>
      <c r="F20651" t="s">
        <v>4</v>
      </c>
      <c r="G20651" t="str">
        <f>""</f>
        <v/>
      </c>
    </row>
    <row r="20652" spans="1:7" x14ac:dyDescent="0.25">
      <c r="A20652" t="s">
        <v>8</v>
      </c>
      <c r="B20652" s="1" t="str">
        <f>"000310749 - VOID H BREAD &amp; ROLL BB-SODEXO"</f>
        <v>000310749 - VOID H BREAD &amp; ROLL BB-SODEXO</v>
      </c>
      <c r="C20652" t="s">
        <v>564</v>
      </c>
      <c r="D20652" s="1" t="str">
        <f t="shared" si="558"/>
        <v>PRG-1047655</v>
      </c>
      <c r="E20652" t="s">
        <v>205</v>
      </c>
      <c r="F20652" t="s">
        <v>4</v>
      </c>
      <c r="G20652" t="str">
        <f>""</f>
        <v/>
      </c>
    </row>
    <row r="20653" spans="1:7" x14ac:dyDescent="0.25">
      <c r="A20653" t="s">
        <v>8</v>
      </c>
      <c r="B20653" s="1" t="str">
        <f>"000310793 - RICH READ &amp; ROLLS-SODEXO"</f>
        <v>000310793 - RICH READ &amp; ROLLS-SODEXO</v>
      </c>
      <c r="C20653" t="s">
        <v>441</v>
      </c>
      <c r="D20653" s="1" t="str">
        <f t="shared" ref="D20653:D20684" si="559">"PRG-1047655"</f>
        <v>PRG-1047655</v>
      </c>
      <c r="E20653" t="s">
        <v>205</v>
      </c>
      <c r="F20653" t="s">
        <v>4</v>
      </c>
      <c r="G20653" t="str">
        <f>""</f>
        <v/>
      </c>
    </row>
    <row r="20654" spans="1:7" x14ac:dyDescent="0.25">
      <c r="A20654" t="s">
        <v>8</v>
      </c>
      <c r="B20654" s="1" t="str">
        <f>"000310828 - RICHS BREAD &amp; ROLL BB-SODEXO"</f>
        <v>000310828 - RICHS BREAD &amp; ROLL BB-SODEXO</v>
      </c>
      <c r="C20654" t="s">
        <v>566</v>
      </c>
      <c r="D20654" s="1" t="str">
        <f t="shared" si="559"/>
        <v>PRG-1047655</v>
      </c>
      <c r="E20654" t="s">
        <v>205</v>
      </c>
      <c r="F20654" t="s">
        <v>4</v>
      </c>
      <c r="G20654" t="str">
        <f>""</f>
        <v/>
      </c>
    </row>
    <row r="20655" spans="1:7" x14ac:dyDescent="0.25">
      <c r="A20655" t="s">
        <v>8</v>
      </c>
      <c r="B20655" s="1" t="str">
        <f>"000311354 - RICHS BRD&amp;ROLL CORE BB-SODEXO"</f>
        <v>000311354 - RICHS BRD&amp;ROLL CORE BB-SODEXO</v>
      </c>
      <c r="C20655" t="s">
        <v>568</v>
      </c>
      <c r="D20655" s="1" t="str">
        <f t="shared" si="559"/>
        <v>PRG-1047655</v>
      </c>
      <c r="E20655" t="s">
        <v>205</v>
      </c>
      <c r="F20655" t="s">
        <v>4</v>
      </c>
      <c r="G20655" t="str">
        <f>""</f>
        <v/>
      </c>
    </row>
    <row r="20656" spans="1:7" x14ac:dyDescent="0.25">
      <c r="A20656" t="s">
        <v>8</v>
      </c>
      <c r="B20656" s="1" t="str">
        <f>"000311355 - RICHS BRD&amp;ROLL NCORE BB-SODEXO"</f>
        <v>000311355 - RICHS BRD&amp;ROLL NCORE BB-SODEXO</v>
      </c>
      <c r="C20656" t="s">
        <v>569</v>
      </c>
      <c r="D20656" s="1" t="str">
        <f t="shared" si="559"/>
        <v>PRG-1047655</v>
      </c>
      <c r="E20656" t="s">
        <v>205</v>
      </c>
      <c r="F20656" t="s">
        <v>4</v>
      </c>
      <c r="G20656" t="str">
        <f>""</f>
        <v/>
      </c>
    </row>
    <row r="20657" spans="1:7" x14ac:dyDescent="0.25">
      <c r="A20657" t="s">
        <v>8</v>
      </c>
      <c r="B20657" s="1" t="str">
        <f>"000312174 - VOID H BREAD &amp; ROLL BB-SODEXO"</f>
        <v>000312174 - VOID H BREAD &amp; ROLL BB-SODEXO</v>
      </c>
      <c r="C20657" t="s">
        <v>564</v>
      </c>
      <c r="D20657" s="1" t="str">
        <f t="shared" si="559"/>
        <v>PRG-1047655</v>
      </c>
      <c r="E20657" t="s">
        <v>205</v>
      </c>
      <c r="F20657" t="s">
        <v>4</v>
      </c>
      <c r="G20657" t="str">
        <f>""</f>
        <v/>
      </c>
    </row>
    <row r="20658" spans="1:7" x14ac:dyDescent="0.25">
      <c r="A20658" t="s">
        <v>8</v>
      </c>
      <c r="B20658" s="1" t="str">
        <f>"000312708 - RICHS BRD&amp;ROLL CORE BB-SODEXO"</f>
        <v>000312708 - RICHS BRD&amp;ROLL CORE BB-SODEXO</v>
      </c>
      <c r="C20658" t="s">
        <v>568</v>
      </c>
      <c r="D20658" s="1" t="str">
        <f t="shared" si="559"/>
        <v>PRG-1047655</v>
      </c>
      <c r="E20658" t="s">
        <v>205</v>
      </c>
      <c r="F20658" t="s">
        <v>4</v>
      </c>
      <c r="G20658" t="str">
        <f>""</f>
        <v/>
      </c>
    </row>
    <row r="20659" spans="1:7" x14ac:dyDescent="0.25">
      <c r="A20659" t="s">
        <v>8</v>
      </c>
      <c r="B20659" s="1" t="str">
        <f>"000312709 - RICHS BRD&amp;ROLL NCORE BB-SODEXO"</f>
        <v>000312709 - RICHS BRD&amp;ROLL NCORE BB-SODEXO</v>
      </c>
      <c r="C20659" t="s">
        <v>569</v>
      </c>
      <c r="D20659" s="1" t="str">
        <f t="shared" si="559"/>
        <v>PRG-1047655</v>
      </c>
      <c r="E20659" t="s">
        <v>205</v>
      </c>
      <c r="F20659" t="s">
        <v>4</v>
      </c>
      <c r="G20659" t="str">
        <f>""</f>
        <v/>
      </c>
    </row>
    <row r="20660" spans="1:7" x14ac:dyDescent="0.25">
      <c r="A20660" t="s">
        <v>8</v>
      </c>
      <c r="B20660" s="1" t="str">
        <f>"000312742 - RICHS BREAD&amp;ROLLS-SODEXO"</f>
        <v>000312742 - RICHS BREAD&amp;ROLLS-SODEXO</v>
      </c>
      <c r="C20660" t="s">
        <v>551</v>
      </c>
      <c r="D20660" s="1" t="str">
        <f t="shared" si="559"/>
        <v>PRG-1047655</v>
      </c>
      <c r="E20660" t="s">
        <v>205</v>
      </c>
      <c r="F20660" t="s">
        <v>4</v>
      </c>
      <c r="G20660" t="str">
        <f>""</f>
        <v/>
      </c>
    </row>
    <row r="20661" spans="1:7" x14ac:dyDescent="0.25">
      <c r="A20661" t="s">
        <v>8</v>
      </c>
      <c r="B20661" s="1" t="str">
        <f>"000313323 - RICH FOOD-BREAD AND ROLL-SODEX"</f>
        <v>000313323 - RICH FOOD-BREAD AND ROLL-SODEX</v>
      </c>
      <c r="C20661" t="s">
        <v>549</v>
      </c>
      <c r="D20661" s="1" t="str">
        <f t="shared" si="559"/>
        <v>PRG-1047655</v>
      </c>
      <c r="E20661" t="s">
        <v>205</v>
      </c>
      <c r="F20661" t="s">
        <v>4</v>
      </c>
      <c r="G20661" t="str">
        <f>""</f>
        <v/>
      </c>
    </row>
    <row r="20662" spans="1:7" x14ac:dyDescent="0.25">
      <c r="A20662" t="s">
        <v>8</v>
      </c>
      <c r="B20662" s="1" t="str">
        <f>"000313656 - RICH FOOD-BREAD AND ROLL-SODEX"</f>
        <v>000313656 - RICH FOOD-BREAD AND ROLL-SODEX</v>
      </c>
      <c r="C20662" t="s">
        <v>549</v>
      </c>
      <c r="D20662" s="1" t="str">
        <f t="shared" si="559"/>
        <v>PRG-1047655</v>
      </c>
      <c r="E20662" t="s">
        <v>205</v>
      </c>
      <c r="F20662" t="s">
        <v>4</v>
      </c>
      <c r="G20662" t="str">
        <f>""</f>
        <v/>
      </c>
    </row>
    <row r="20663" spans="1:7" x14ac:dyDescent="0.25">
      <c r="A20663" t="s">
        <v>8</v>
      </c>
      <c r="B20663" s="1" t="str">
        <f>"000314904 - RICH BREAD &amp; ROLL BB CORE-SODX"</f>
        <v>000314904 - RICH BREAD &amp; ROLL BB CORE-SODX</v>
      </c>
      <c r="C20663" t="s">
        <v>158</v>
      </c>
      <c r="D20663" s="1" t="str">
        <f t="shared" si="559"/>
        <v>PRG-1047655</v>
      </c>
      <c r="E20663" t="s">
        <v>205</v>
      </c>
      <c r="F20663" t="s">
        <v>4</v>
      </c>
      <c r="G20663" t="str">
        <f>""</f>
        <v/>
      </c>
    </row>
    <row r="20664" spans="1:7" x14ac:dyDescent="0.25">
      <c r="A20664" t="s">
        <v>8</v>
      </c>
      <c r="B20664" s="1" t="str">
        <f>"000314905 - RICH BREAD&amp;ROLL BB NCORE-SODX"</f>
        <v>000314905 - RICH BREAD&amp;ROLL BB NCORE-SODX</v>
      </c>
      <c r="C20664" t="s">
        <v>159</v>
      </c>
      <c r="D20664" s="1" t="str">
        <f t="shared" si="559"/>
        <v>PRG-1047655</v>
      </c>
      <c r="E20664" t="s">
        <v>205</v>
      </c>
      <c r="F20664" t="s">
        <v>4</v>
      </c>
      <c r="G20664" t="str">
        <f>""</f>
        <v/>
      </c>
    </row>
    <row r="20665" spans="1:7" x14ac:dyDescent="0.25">
      <c r="A20665" t="s">
        <v>8</v>
      </c>
      <c r="B20665" s="1" t="str">
        <f>"000319370 - RICH FOOD-BREAD AND ROLL-SODEX"</f>
        <v>000319370 - RICH FOOD-BREAD AND ROLL-SODEX</v>
      </c>
      <c r="C20665" t="s">
        <v>549</v>
      </c>
      <c r="D20665" s="1" t="str">
        <f t="shared" si="559"/>
        <v>PRG-1047655</v>
      </c>
      <c r="E20665" t="s">
        <v>205</v>
      </c>
      <c r="F20665" t="s">
        <v>4</v>
      </c>
      <c r="G20665" t="str">
        <f>""</f>
        <v/>
      </c>
    </row>
    <row r="20666" spans="1:7" x14ac:dyDescent="0.25">
      <c r="A20666" t="s">
        <v>8</v>
      </c>
      <c r="B20666" s="1" t="str">
        <f>"000319530 - RICH FOOD-BREAD AND ROLL-SODEX"</f>
        <v>000319530 - RICH FOOD-BREAD AND ROLL-SODEX</v>
      </c>
      <c r="C20666" t="s">
        <v>549</v>
      </c>
      <c r="D20666" s="1" t="str">
        <f t="shared" si="559"/>
        <v>PRG-1047655</v>
      </c>
      <c r="E20666" t="s">
        <v>205</v>
      </c>
      <c r="F20666" t="s">
        <v>4</v>
      </c>
      <c r="G20666" t="str">
        <f>""</f>
        <v/>
      </c>
    </row>
    <row r="20667" spans="1:7" x14ac:dyDescent="0.25">
      <c r="A20667" t="s">
        <v>8</v>
      </c>
      <c r="B20667" s="1" t="str">
        <f>"000320044 - RICHS BREAD&amp;ROLLS-SODEXO"</f>
        <v>000320044 - RICHS BREAD&amp;ROLLS-SODEXO</v>
      </c>
      <c r="C20667" t="s">
        <v>551</v>
      </c>
      <c r="D20667" s="1" t="str">
        <f t="shared" si="559"/>
        <v>PRG-1047655</v>
      </c>
      <c r="E20667" t="s">
        <v>205</v>
      </c>
      <c r="F20667" t="s">
        <v>4</v>
      </c>
      <c r="G20667" t="str">
        <f>""</f>
        <v/>
      </c>
    </row>
    <row r="20668" spans="1:7" x14ac:dyDescent="0.25">
      <c r="A20668" t="s">
        <v>8</v>
      </c>
      <c r="B20668" s="1" t="str">
        <f>"000320299 - RICH FOOD-BREAD AND ROLL-SODEX"</f>
        <v>000320299 - RICH FOOD-BREAD AND ROLL-SODEX</v>
      </c>
      <c r="C20668" t="s">
        <v>549</v>
      </c>
      <c r="D20668" s="1" t="str">
        <f t="shared" si="559"/>
        <v>PRG-1047655</v>
      </c>
      <c r="E20668" t="s">
        <v>205</v>
      </c>
      <c r="F20668" t="s">
        <v>4</v>
      </c>
      <c r="G20668" t="str">
        <f>""</f>
        <v/>
      </c>
    </row>
    <row r="20669" spans="1:7" x14ac:dyDescent="0.25">
      <c r="A20669" t="s">
        <v>8</v>
      </c>
      <c r="B20669" s="1" t="str">
        <f>"000321438 - RICH FOODS-COLDSTONE"</f>
        <v>000321438 - RICH FOODS-COLDSTONE</v>
      </c>
      <c r="C20669" t="s">
        <v>675</v>
      </c>
      <c r="D20669" s="1" t="str">
        <f t="shared" si="559"/>
        <v>PRG-1047655</v>
      </c>
      <c r="E20669" t="s">
        <v>205</v>
      </c>
      <c r="F20669" t="s">
        <v>4</v>
      </c>
      <c r="G20669" t="str">
        <f>""</f>
        <v/>
      </c>
    </row>
    <row r="20670" spans="1:7" x14ac:dyDescent="0.25">
      <c r="A20670" t="s">
        <v>8</v>
      </c>
      <c r="B20670" s="1" t="str">
        <f>"000322271 - RICH FOOD-BREAD AND ROLL-SODEX"</f>
        <v>000322271 - RICH FOOD-BREAD AND ROLL-SODEX</v>
      </c>
      <c r="C20670" t="s">
        <v>549</v>
      </c>
      <c r="D20670" s="1" t="str">
        <f t="shared" si="559"/>
        <v>PRG-1047655</v>
      </c>
      <c r="E20670" t="s">
        <v>205</v>
      </c>
      <c r="F20670" t="s">
        <v>4</v>
      </c>
      <c r="G20670" t="str">
        <f>""</f>
        <v/>
      </c>
    </row>
    <row r="20671" spans="1:7" x14ac:dyDescent="0.25">
      <c r="A20671" t="s">
        <v>8</v>
      </c>
      <c r="B20671" s="1" t="str">
        <f>"000322416 - RICH BREAD &amp; ROLL BB CORE-SODX"</f>
        <v>000322416 - RICH BREAD &amp; ROLL BB CORE-SODX</v>
      </c>
      <c r="C20671" t="s">
        <v>158</v>
      </c>
      <c r="D20671" s="1" t="str">
        <f t="shared" si="559"/>
        <v>PRG-1047655</v>
      </c>
      <c r="E20671" t="s">
        <v>205</v>
      </c>
      <c r="F20671" t="s">
        <v>4</v>
      </c>
      <c r="G20671" t="str">
        <f>""</f>
        <v/>
      </c>
    </row>
    <row r="20672" spans="1:7" x14ac:dyDescent="0.25">
      <c r="A20672" t="s">
        <v>8</v>
      </c>
      <c r="B20672" s="1" t="str">
        <f>"000322417 - RICH BREAD&amp;ROLL BB NCORE-SODX"</f>
        <v>000322417 - RICH BREAD&amp;ROLL BB NCORE-SODX</v>
      </c>
      <c r="C20672" t="s">
        <v>159</v>
      </c>
      <c r="D20672" s="1" t="str">
        <f t="shared" si="559"/>
        <v>PRG-1047655</v>
      </c>
      <c r="E20672" t="s">
        <v>205</v>
      </c>
      <c r="F20672" t="s">
        <v>4</v>
      </c>
      <c r="G20672" t="str">
        <f>""</f>
        <v/>
      </c>
    </row>
    <row r="20673" spans="1:7" x14ac:dyDescent="0.25">
      <c r="A20673" t="s">
        <v>8</v>
      </c>
      <c r="B20673" s="1" t="str">
        <f>"000323041 - VOID H BREAD &amp; ROLL BB-SODEXO"</f>
        <v>000323041 - VOID H BREAD &amp; ROLL BB-SODEXO</v>
      </c>
      <c r="C20673" t="s">
        <v>564</v>
      </c>
      <c r="D20673" s="1" t="str">
        <f t="shared" si="559"/>
        <v>PRG-1047655</v>
      </c>
      <c r="E20673" t="s">
        <v>205</v>
      </c>
      <c r="F20673" t="s">
        <v>4</v>
      </c>
      <c r="G20673" t="str">
        <f>""</f>
        <v/>
      </c>
    </row>
    <row r="20674" spans="1:7" x14ac:dyDescent="0.25">
      <c r="A20674" t="s">
        <v>8</v>
      </c>
      <c r="B20674" s="1" t="str">
        <f>"000323118 - RICHS BREAD &amp; ROLL BB-SODEXO"</f>
        <v>000323118 - RICHS BREAD &amp; ROLL BB-SODEXO</v>
      </c>
      <c r="C20674" t="s">
        <v>566</v>
      </c>
      <c r="D20674" s="1" t="str">
        <f t="shared" si="559"/>
        <v>PRG-1047655</v>
      </c>
      <c r="E20674" t="s">
        <v>205</v>
      </c>
      <c r="F20674" t="s">
        <v>4</v>
      </c>
      <c r="G20674" t="str">
        <f>""</f>
        <v/>
      </c>
    </row>
    <row r="20675" spans="1:7" x14ac:dyDescent="0.25">
      <c r="A20675" t="s">
        <v>8</v>
      </c>
      <c r="B20675" s="1" t="str">
        <f>"000323313 - RICH FOOD-BREAD AND ROLL-SODEX"</f>
        <v>000323313 - RICH FOOD-BREAD AND ROLL-SODEX</v>
      </c>
      <c r="C20675" t="s">
        <v>549</v>
      </c>
      <c r="D20675" s="1" t="str">
        <f t="shared" si="559"/>
        <v>PRG-1047655</v>
      </c>
      <c r="E20675" t="s">
        <v>205</v>
      </c>
      <c r="F20675" t="s">
        <v>4</v>
      </c>
      <c r="G20675" t="str">
        <f>""</f>
        <v/>
      </c>
    </row>
    <row r="20676" spans="1:7" x14ac:dyDescent="0.25">
      <c r="A20676" t="s">
        <v>8</v>
      </c>
      <c r="B20676" s="1" t="str">
        <f>"000323347 - RICH FOOD-BREAD AND ROLL-SODEX"</f>
        <v>000323347 - RICH FOOD-BREAD AND ROLL-SODEX</v>
      </c>
      <c r="C20676" t="s">
        <v>549</v>
      </c>
      <c r="D20676" s="1" t="str">
        <f t="shared" si="559"/>
        <v>PRG-1047655</v>
      </c>
      <c r="E20676" t="s">
        <v>205</v>
      </c>
      <c r="F20676" t="s">
        <v>4</v>
      </c>
      <c r="G20676" t="str">
        <f>""</f>
        <v/>
      </c>
    </row>
    <row r="20677" spans="1:7" x14ac:dyDescent="0.25">
      <c r="A20677" t="s">
        <v>8</v>
      </c>
      <c r="B20677" s="1" t="str">
        <f>"000323528 - RICHS BRD&amp;ROLL CORE BB-SODEXO"</f>
        <v>000323528 - RICHS BRD&amp;ROLL CORE BB-SODEXO</v>
      </c>
      <c r="C20677" t="s">
        <v>568</v>
      </c>
      <c r="D20677" s="1" t="str">
        <f t="shared" si="559"/>
        <v>PRG-1047655</v>
      </c>
      <c r="E20677" t="s">
        <v>205</v>
      </c>
      <c r="F20677" t="s">
        <v>4</v>
      </c>
      <c r="G20677" t="str">
        <f>""</f>
        <v/>
      </c>
    </row>
    <row r="20678" spans="1:7" x14ac:dyDescent="0.25">
      <c r="A20678" t="s">
        <v>8</v>
      </c>
      <c r="B20678" s="1" t="str">
        <f>"000323529 - RICHS BRD&amp;ROLL NCORE BB-SODEXO"</f>
        <v>000323529 - RICHS BRD&amp;ROLL NCORE BB-SODEXO</v>
      </c>
      <c r="C20678" t="s">
        <v>569</v>
      </c>
      <c r="D20678" s="1" t="str">
        <f t="shared" si="559"/>
        <v>PRG-1047655</v>
      </c>
      <c r="E20678" t="s">
        <v>205</v>
      </c>
      <c r="F20678" t="s">
        <v>4</v>
      </c>
      <c r="G20678" t="str">
        <f>""</f>
        <v/>
      </c>
    </row>
    <row r="20679" spans="1:7" x14ac:dyDescent="0.25">
      <c r="A20679" t="s">
        <v>8</v>
      </c>
      <c r="B20679" s="1" t="str">
        <f>"000325718 - RICHS BREAD &amp; ROLL BB-SODEXO"</f>
        <v>000325718 - RICHS BREAD &amp; ROLL BB-SODEXO</v>
      </c>
      <c r="C20679" t="s">
        <v>566</v>
      </c>
      <c r="D20679" s="1" t="str">
        <f t="shared" si="559"/>
        <v>PRG-1047655</v>
      </c>
      <c r="E20679" t="s">
        <v>205</v>
      </c>
      <c r="F20679" t="s">
        <v>4</v>
      </c>
      <c r="G20679" t="str">
        <f>""</f>
        <v/>
      </c>
    </row>
    <row r="20680" spans="1:7" x14ac:dyDescent="0.25">
      <c r="A20680" t="s">
        <v>8</v>
      </c>
      <c r="B20680" s="1" t="str">
        <f>"000325725 - RICHS BREAD&amp;ROLLS SODEXO CATMN"</f>
        <v>000325725 - RICHS BREAD&amp;ROLLS SODEXO CATMN</v>
      </c>
      <c r="C20680" t="s">
        <v>3289</v>
      </c>
      <c r="D20680" s="1" t="str">
        <f t="shared" si="559"/>
        <v>PRG-1047655</v>
      </c>
      <c r="E20680" t="s">
        <v>205</v>
      </c>
      <c r="F20680" t="s">
        <v>4</v>
      </c>
      <c r="G20680" t="str">
        <f>""</f>
        <v/>
      </c>
    </row>
    <row r="20681" spans="1:7" x14ac:dyDescent="0.25">
      <c r="A20681" t="s">
        <v>8</v>
      </c>
      <c r="B20681" s="1" t="str">
        <f>"000326109 - RICHS BRD&amp;ROLL CORE BB-SODEXO"</f>
        <v>000326109 - RICHS BRD&amp;ROLL CORE BB-SODEXO</v>
      </c>
      <c r="C20681" t="s">
        <v>568</v>
      </c>
      <c r="D20681" s="1" t="str">
        <f t="shared" si="559"/>
        <v>PRG-1047655</v>
      </c>
      <c r="E20681" t="s">
        <v>205</v>
      </c>
      <c r="F20681" t="s">
        <v>4</v>
      </c>
      <c r="G20681" t="str">
        <f>""</f>
        <v/>
      </c>
    </row>
    <row r="20682" spans="1:7" x14ac:dyDescent="0.25">
      <c r="A20682" t="s">
        <v>8</v>
      </c>
      <c r="B20682" s="1" t="str">
        <f>"000326110 - RICHS BRD&amp;ROLL NCORE BB-SODEXO"</f>
        <v>000326110 - RICHS BRD&amp;ROLL NCORE BB-SODEXO</v>
      </c>
      <c r="C20682" t="s">
        <v>569</v>
      </c>
      <c r="D20682" s="1" t="str">
        <f t="shared" si="559"/>
        <v>PRG-1047655</v>
      </c>
      <c r="E20682" t="s">
        <v>205</v>
      </c>
      <c r="F20682" t="s">
        <v>4</v>
      </c>
      <c r="G20682" t="str">
        <f>""</f>
        <v/>
      </c>
    </row>
    <row r="20683" spans="1:7" x14ac:dyDescent="0.25">
      <c r="A20683" t="s">
        <v>8</v>
      </c>
      <c r="B20683" s="1" t="str">
        <f>"000326215 - RICH FOOD-BREAD AND ROLL-SODEX"</f>
        <v>000326215 - RICH FOOD-BREAD AND ROLL-SODEX</v>
      </c>
      <c r="C20683" t="s">
        <v>549</v>
      </c>
      <c r="D20683" s="1" t="str">
        <f t="shared" si="559"/>
        <v>PRG-1047655</v>
      </c>
      <c r="E20683" t="s">
        <v>205</v>
      </c>
      <c r="F20683" t="s">
        <v>4</v>
      </c>
      <c r="G20683" t="str">
        <f>""</f>
        <v/>
      </c>
    </row>
    <row r="20684" spans="1:7" x14ac:dyDescent="0.25">
      <c r="A20684" t="s">
        <v>8</v>
      </c>
      <c r="B20684" s="1" t="str">
        <f>"000327506 - RICH FOOD-BREAD AND ROLL-SODEX"</f>
        <v>000327506 - RICH FOOD-BREAD AND ROLL-SODEX</v>
      </c>
      <c r="C20684" t="s">
        <v>549</v>
      </c>
      <c r="D20684" s="1" t="str">
        <f t="shared" si="559"/>
        <v>PRG-1047655</v>
      </c>
      <c r="E20684" t="s">
        <v>205</v>
      </c>
      <c r="F20684" t="s">
        <v>4</v>
      </c>
      <c r="G20684" t="str">
        <f>""</f>
        <v/>
      </c>
    </row>
    <row r="20685" spans="1:7" x14ac:dyDescent="0.25">
      <c r="A20685" t="s">
        <v>8</v>
      </c>
      <c r="B20685" s="1" t="str">
        <f>"000327721 - RICH BREAD &amp; ROLL CORE BB-SODX"</f>
        <v>000327721 - RICH BREAD &amp; ROLL CORE BB-SODX</v>
      </c>
      <c r="C20685" t="s">
        <v>273</v>
      </c>
      <c r="D20685" s="1" t="str">
        <f t="shared" ref="D20685:D20716" si="560">"PRG-1047655"</f>
        <v>PRG-1047655</v>
      </c>
      <c r="E20685" t="s">
        <v>205</v>
      </c>
      <c r="F20685" t="s">
        <v>4</v>
      </c>
      <c r="G20685" t="str">
        <f>""</f>
        <v/>
      </c>
    </row>
    <row r="20686" spans="1:7" x14ac:dyDescent="0.25">
      <c r="A20686" t="s">
        <v>8</v>
      </c>
      <c r="B20686" s="1" t="str">
        <f>"000328518 - RICH FOOD-BREAD AND ROLL-SODEX"</f>
        <v>000328518 - RICH FOOD-BREAD AND ROLL-SODEX</v>
      </c>
      <c r="C20686" t="s">
        <v>549</v>
      </c>
      <c r="D20686" s="1" t="str">
        <f t="shared" si="560"/>
        <v>PRG-1047655</v>
      </c>
      <c r="E20686" t="s">
        <v>205</v>
      </c>
      <c r="F20686" t="s">
        <v>4</v>
      </c>
      <c r="G20686" t="str">
        <f>""</f>
        <v/>
      </c>
    </row>
    <row r="20687" spans="1:7" x14ac:dyDescent="0.25">
      <c r="A20687" t="s">
        <v>8</v>
      </c>
      <c r="B20687" s="1" t="str">
        <f>"000330346 - RICH BRD&amp;ROLL CBB SDX PROCURE"</f>
        <v>000330346 - RICH BRD&amp;ROLL CBB SDX PROCURE</v>
      </c>
      <c r="C20687" t="s">
        <v>3339</v>
      </c>
      <c r="D20687" s="1" t="str">
        <f t="shared" si="560"/>
        <v>PRG-1047655</v>
      </c>
      <c r="E20687" t="s">
        <v>205</v>
      </c>
      <c r="F20687" t="s">
        <v>4</v>
      </c>
      <c r="G20687" t="str">
        <f>""</f>
        <v/>
      </c>
    </row>
    <row r="20688" spans="1:7" x14ac:dyDescent="0.25">
      <c r="A20688" t="s">
        <v>8</v>
      </c>
      <c r="B20688" s="1" t="str">
        <f>"000340105 - RICH READ &amp; ROLLS-SODEXO"</f>
        <v>000340105 - RICH READ &amp; ROLLS-SODEXO</v>
      </c>
      <c r="C20688" t="s">
        <v>441</v>
      </c>
      <c r="D20688" s="1" t="str">
        <f t="shared" si="560"/>
        <v>PRG-1047655</v>
      </c>
      <c r="E20688" t="s">
        <v>205</v>
      </c>
      <c r="F20688" t="s">
        <v>4</v>
      </c>
      <c r="G20688" t="str">
        <f>""</f>
        <v/>
      </c>
    </row>
    <row r="20689" spans="1:7" x14ac:dyDescent="0.25">
      <c r="A20689" t="s">
        <v>8</v>
      </c>
      <c r="B20689" s="1" t="str">
        <f>"000341022 - RICH BREAD &amp; ROLL CORE BB-SODX"</f>
        <v>000341022 - RICH BREAD &amp; ROLL CORE BB-SODX</v>
      </c>
      <c r="C20689" t="s">
        <v>273</v>
      </c>
      <c r="D20689" s="1" t="str">
        <f t="shared" si="560"/>
        <v>PRG-1047655</v>
      </c>
      <c r="E20689" t="s">
        <v>205</v>
      </c>
      <c r="F20689" t="s">
        <v>4</v>
      </c>
      <c r="G20689" t="str">
        <f>""</f>
        <v/>
      </c>
    </row>
    <row r="20690" spans="1:7" x14ac:dyDescent="0.25">
      <c r="A20690" t="s">
        <v>8</v>
      </c>
      <c r="B20690" s="1" t="str">
        <f>"000342937 - RICH FOOD-BREAD AND ROLL-SODEX"</f>
        <v>000342937 - RICH FOOD-BREAD AND ROLL-SODEX</v>
      </c>
      <c r="C20690" t="s">
        <v>549</v>
      </c>
      <c r="D20690" s="1" t="str">
        <f t="shared" si="560"/>
        <v>PRG-1047655</v>
      </c>
      <c r="E20690" t="s">
        <v>205</v>
      </c>
      <c r="F20690" t="s">
        <v>4</v>
      </c>
      <c r="G20690" t="str">
        <f>""</f>
        <v/>
      </c>
    </row>
    <row r="20691" spans="1:7" x14ac:dyDescent="0.25">
      <c r="A20691" t="s">
        <v>8</v>
      </c>
      <c r="B20691" s="1" t="str">
        <f>"000344917 - RICH BREAD &amp; ROLL CORE BB-SODX"</f>
        <v>000344917 - RICH BREAD &amp; ROLL CORE BB-SODX</v>
      </c>
      <c r="C20691" t="s">
        <v>273</v>
      </c>
      <c r="D20691" s="1" t="str">
        <f t="shared" si="560"/>
        <v>PRG-1047655</v>
      </c>
      <c r="E20691" t="s">
        <v>205</v>
      </c>
      <c r="F20691" t="s">
        <v>4</v>
      </c>
      <c r="G20691" t="str">
        <f>""</f>
        <v/>
      </c>
    </row>
    <row r="20692" spans="1:7" x14ac:dyDescent="0.25">
      <c r="A20692" t="s">
        <v>8</v>
      </c>
      <c r="B20692" s="1" t="str">
        <f>"000350884 - RICH READ &amp; ROLLS-SODEXO"</f>
        <v>000350884 - RICH READ &amp; ROLLS-SODEXO</v>
      </c>
      <c r="C20692" t="s">
        <v>441</v>
      </c>
      <c r="D20692" s="1" t="str">
        <f t="shared" si="560"/>
        <v>PRG-1047655</v>
      </c>
      <c r="E20692" t="s">
        <v>205</v>
      </c>
      <c r="F20692" t="s">
        <v>4</v>
      </c>
      <c r="G20692" t="str">
        <f>""</f>
        <v/>
      </c>
    </row>
    <row r="20693" spans="1:7" x14ac:dyDescent="0.25">
      <c r="A20693" t="s">
        <v>8</v>
      </c>
      <c r="B20693" s="1" t="str">
        <f>"000351378 - RICH FOOD-BREAD AND ROLL-SODEX"</f>
        <v>000351378 - RICH FOOD-BREAD AND ROLL-SODEX</v>
      </c>
      <c r="C20693" t="s">
        <v>549</v>
      </c>
      <c r="D20693" s="1" t="str">
        <f t="shared" si="560"/>
        <v>PRG-1047655</v>
      </c>
      <c r="E20693" t="s">
        <v>205</v>
      </c>
      <c r="F20693" t="s">
        <v>4</v>
      </c>
      <c r="G20693" t="str">
        <f>""</f>
        <v/>
      </c>
    </row>
    <row r="20694" spans="1:7" x14ac:dyDescent="0.25">
      <c r="A20694" t="s">
        <v>8</v>
      </c>
      <c r="B20694" s="1" t="str">
        <f>"000351588 - RICHS BREAD&amp;ROLLS-SODEXO"</f>
        <v>000351588 - RICHS BREAD&amp;ROLLS-SODEXO</v>
      </c>
      <c r="C20694" t="s">
        <v>551</v>
      </c>
      <c r="D20694" s="1" t="str">
        <f t="shared" si="560"/>
        <v>PRG-1047655</v>
      </c>
      <c r="E20694" t="s">
        <v>205</v>
      </c>
      <c r="F20694" t="s">
        <v>4</v>
      </c>
      <c r="G20694" t="str">
        <f>""</f>
        <v/>
      </c>
    </row>
    <row r="20695" spans="1:7" x14ac:dyDescent="0.25">
      <c r="A20695" t="s">
        <v>8</v>
      </c>
      <c r="B20695" s="1" t="str">
        <f>"000354729 - RICHS BREAD&amp;ROLLS-SODEXO"</f>
        <v>000354729 - RICHS BREAD&amp;ROLLS-SODEXO</v>
      </c>
      <c r="C20695" t="s">
        <v>551</v>
      </c>
      <c r="D20695" s="1" t="str">
        <f t="shared" si="560"/>
        <v>PRG-1047655</v>
      </c>
      <c r="E20695" t="s">
        <v>205</v>
      </c>
      <c r="F20695" t="s">
        <v>4</v>
      </c>
      <c r="G20695" t="str">
        <f>""</f>
        <v/>
      </c>
    </row>
    <row r="20696" spans="1:7" x14ac:dyDescent="0.25">
      <c r="A20696" t="s">
        <v>8</v>
      </c>
      <c r="B20696" s="1" t="str">
        <f>"000354775 - RICH READ &amp; ROLLS-SODEXO"</f>
        <v>000354775 - RICH READ &amp; ROLLS-SODEXO</v>
      </c>
      <c r="C20696" t="s">
        <v>441</v>
      </c>
      <c r="D20696" s="1" t="str">
        <f t="shared" si="560"/>
        <v>PRG-1047655</v>
      </c>
      <c r="E20696" t="s">
        <v>205</v>
      </c>
      <c r="F20696" t="s">
        <v>4</v>
      </c>
      <c r="G20696" t="str">
        <f>""</f>
        <v/>
      </c>
    </row>
    <row r="20697" spans="1:7" x14ac:dyDescent="0.25">
      <c r="A20697" t="s">
        <v>8</v>
      </c>
      <c r="B20697" s="1" t="str">
        <f>"000357202 - RICH FOOD-BREAD AND ROLL-SODEX"</f>
        <v>000357202 - RICH FOOD-BREAD AND ROLL-SODEX</v>
      </c>
      <c r="C20697" t="s">
        <v>549</v>
      </c>
      <c r="D20697" s="1" t="str">
        <f t="shared" si="560"/>
        <v>PRG-1047655</v>
      </c>
      <c r="E20697" t="s">
        <v>205</v>
      </c>
      <c r="F20697" t="s">
        <v>4</v>
      </c>
      <c r="G20697" t="str">
        <f>""</f>
        <v/>
      </c>
    </row>
    <row r="20698" spans="1:7" x14ac:dyDescent="0.25">
      <c r="A20698" t="s">
        <v>8</v>
      </c>
      <c r="B20698" s="1" t="str">
        <f>"000360255 - RICH FOOD-BREAD AND ROLL-SODEX"</f>
        <v>000360255 - RICH FOOD-BREAD AND ROLL-SODEX</v>
      </c>
      <c r="C20698" t="s">
        <v>549</v>
      </c>
      <c r="D20698" s="1" t="str">
        <f t="shared" si="560"/>
        <v>PRG-1047655</v>
      </c>
      <c r="E20698" t="s">
        <v>205</v>
      </c>
      <c r="F20698" t="s">
        <v>4</v>
      </c>
      <c r="G20698" t="str">
        <f>""</f>
        <v/>
      </c>
    </row>
    <row r="20699" spans="1:7" x14ac:dyDescent="0.25">
      <c r="A20699" t="s">
        <v>8</v>
      </c>
      <c r="B20699" s="1" t="str">
        <f>"000361385 - RICH READ &amp; ROLLS-SODEXO"</f>
        <v>000361385 - RICH READ &amp; ROLLS-SODEXO</v>
      </c>
      <c r="C20699" t="s">
        <v>441</v>
      </c>
      <c r="D20699" s="1" t="str">
        <f t="shared" si="560"/>
        <v>PRG-1047655</v>
      </c>
      <c r="E20699" t="s">
        <v>205</v>
      </c>
      <c r="F20699" t="s">
        <v>4</v>
      </c>
      <c r="G20699" t="str">
        <f>""</f>
        <v/>
      </c>
    </row>
    <row r="20700" spans="1:7" x14ac:dyDescent="0.25">
      <c r="A20700" t="s">
        <v>8</v>
      </c>
      <c r="B20700" s="1" t="str">
        <f>"000368133 - RICHS BREAD&amp;ROLLS-SODEXO"</f>
        <v>000368133 - RICHS BREAD&amp;ROLLS-SODEXO</v>
      </c>
      <c r="C20700" t="s">
        <v>551</v>
      </c>
      <c r="D20700" s="1" t="str">
        <f t="shared" si="560"/>
        <v>PRG-1047655</v>
      </c>
      <c r="E20700" t="s">
        <v>205</v>
      </c>
      <c r="F20700" t="s">
        <v>4</v>
      </c>
      <c r="G20700" t="str">
        <f>""</f>
        <v/>
      </c>
    </row>
    <row r="20701" spans="1:7" x14ac:dyDescent="0.25">
      <c r="A20701" t="s">
        <v>8</v>
      </c>
      <c r="B20701" s="1" t="str">
        <f>"000369139 - RICH FOOD-BREAD AND ROLL-SODEX"</f>
        <v>000369139 - RICH FOOD-BREAD AND ROLL-SODEX</v>
      </c>
      <c r="C20701" t="s">
        <v>549</v>
      </c>
      <c r="D20701" s="1" t="str">
        <f t="shared" si="560"/>
        <v>PRG-1047655</v>
      </c>
      <c r="E20701" t="s">
        <v>205</v>
      </c>
      <c r="F20701" t="s">
        <v>4</v>
      </c>
      <c r="G20701" t="str">
        <f>""</f>
        <v/>
      </c>
    </row>
    <row r="20702" spans="1:7" x14ac:dyDescent="0.25">
      <c r="A20702" t="s">
        <v>8</v>
      </c>
      <c r="B20702" s="1" t="str">
        <f>"000369851 - RICH READ &amp; ROLLS-SODEXO"</f>
        <v>000369851 - RICH READ &amp; ROLLS-SODEXO</v>
      </c>
      <c r="C20702" t="s">
        <v>441</v>
      </c>
      <c r="D20702" s="1" t="str">
        <f t="shared" si="560"/>
        <v>PRG-1047655</v>
      </c>
      <c r="E20702" t="s">
        <v>205</v>
      </c>
      <c r="F20702" t="s">
        <v>4</v>
      </c>
      <c r="G20702" t="str">
        <f>""</f>
        <v/>
      </c>
    </row>
    <row r="20703" spans="1:7" x14ac:dyDescent="0.25">
      <c r="A20703" t="s">
        <v>8</v>
      </c>
      <c r="B20703" s="1" t="str">
        <f>"000374492 - RICHS BREAD &amp; ROLLS-SODEXO (R)"</f>
        <v>000374492 - RICHS BREAD &amp; ROLLS-SODEXO (R)</v>
      </c>
      <c r="C20703" t="s">
        <v>3636</v>
      </c>
      <c r="D20703" s="1" t="str">
        <f t="shared" si="560"/>
        <v>PRG-1047655</v>
      </c>
      <c r="E20703" t="s">
        <v>205</v>
      </c>
      <c r="F20703" t="s">
        <v>4</v>
      </c>
      <c r="G20703" t="str">
        <f>""</f>
        <v/>
      </c>
    </row>
    <row r="20704" spans="1:7" x14ac:dyDescent="0.25">
      <c r="A20704" t="s">
        <v>8</v>
      </c>
      <c r="B20704" s="1" t="str">
        <f>"000375728 - RICH FOOD-BREAD AND ROLL-SODEX"</f>
        <v>000375728 - RICH FOOD-BREAD AND ROLL-SODEX</v>
      </c>
      <c r="C20704" t="s">
        <v>549</v>
      </c>
      <c r="D20704" s="1" t="str">
        <f t="shared" si="560"/>
        <v>PRG-1047655</v>
      </c>
      <c r="E20704" t="s">
        <v>205</v>
      </c>
      <c r="F20704" t="s">
        <v>4</v>
      </c>
      <c r="G20704" t="str">
        <f>""</f>
        <v/>
      </c>
    </row>
    <row r="20705" spans="1:7" x14ac:dyDescent="0.25">
      <c r="A20705" t="s">
        <v>8</v>
      </c>
      <c r="B20705" s="1" t="str">
        <f>"000378620 - RICH READ &amp; ROLLS-SODEXO"</f>
        <v>000378620 - RICH READ &amp; ROLLS-SODEXO</v>
      </c>
      <c r="C20705" t="s">
        <v>441</v>
      </c>
      <c r="D20705" s="1" t="str">
        <f t="shared" si="560"/>
        <v>PRG-1047655</v>
      </c>
      <c r="E20705" t="s">
        <v>205</v>
      </c>
      <c r="F20705" t="s">
        <v>4</v>
      </c>
      <c r="G20705" t="str">
        <f>""</f>
        <v/>
      </c>
    </row>
    <row r="20706" spans="1:7" x14ac:dyDescent="0.25">
      <c r="A20706" t="s">
        <v>8</v>
      </c>
      <c r="B20706" s="1" t="str">
        <f>"000387255 - RICHS BREAD&amp;ROLLS-SODEXO"</f>
        <v>000387255 - RICHS BREAD&amp;ROLLS-SODEXO</v>
      </c>
      <c r="C20706" t="s">
        <v>551</v>
      </c>
      <c r="D20706" s="1" t="str">
        <f t="shared" si="560"/>
        <v>PRG-1047655</v>
      </c>
      <c r="E20706" t="s">
        <v>205</v>
      </c>
      <c r="F20706" t="s">
        <v>4</v>
      </c>
      <c r="G20706" t="str">
        <f>""</f>
        <v/>
      </c>
    </row>
    <row r="20707" spans="1:7" x14ac:dyDescent="0.25">
      <c r="A20707" t="s">
        <v>8</v>
      </c>
      <c r="B20707" s="1" t="str">
        <f>"000391970 - RICH FOOD-BREAD AND ROLL-SODEX"</f>
        <v>000391970 - RICH FOOD-BREAD AND ROLL-SODEX</v>
      </c>
      <c r="C20707" t="s">
        <v>549</v>
      </c>
      <c r="D20707" s="1" t="str">
        <f t="shared" si="560"/>
        <v>PRG-1047655</v>
      </c>
      <c r="E20707" t="s">
        <v>205</v>
      </c>
      <c r="F20707" t="s">
        <v>4</v>
      </c>
      <c r="G20707" t="str">
        <f>""</f>
        <v/>
      </c>
    </row>
    <row r="20708" spans="1:7" x14ac:dyDescent="0.25">
      <c r="A20708" t="s">
        <v>8</v>
      </c>
      <c r="B20708" s="1" t="str">
        <f>"000394254 - RICH FOOD-BREAD AND ROLL-SODEX"</f>
        <v>000394254 - RICH FOOD-BREAD AND ROLL-SODEX</v>
      </c>
      <c r="C20708" t="s">
        <v>549</v>
      </c>
      <c r="D20708" s="1" t="str">
        <f t="shared" si="560"/>
        <v>PRG-1047655</v>
      </c>
      <c r="E20708" t="s">
        <v>205</v>
      </c>
      <c r="F20708" t="s">
        <v>4</v>
      </c>
      <c r="G20708" t="str">
        <f>""</f>
        <v/>
      </c>
    </row>
    <row r="20709" spans="1:7" x14ac:dyDescent="0.25">
      <c r="A20709" t="s">
        <v>8</v>
      </c>
      <c r="B20709" s="1" t="str">
        <f>"000394341 - RICH FOOD-BREAD AND ROLL-SODEX"</f>
        <v>000394341 - RICH FOOD-BREAD AND ROLL-SODEX</v>
      </c>
      <c r="C20709" t="s">
        <v>549</v>
      </c>
      <c r="D20709" s="1" t="str">
        <f t="shared" si="560"/>
        <v>PRG-1047655</v>
      </c>
      <c r="E20709" t="s">
        <v>205</v>
      </c>
      <c r="F20709" t="s">
        <v>4</v>
      </c>
      <c r="G20709" t="str">
        <f>""</f>
        <v/>
      </c>
    </row>
    <row r="20710" spans="1:7" x14ac:dyDescent="0.25">
      <c r="A20710" t="s">
        <v>8</v>
      </c>
      <c r="B20710" s="1" t="str">
        <f>"000394344 - RICHS BREAD&amp;ROLLS-SODEXO"</f>
        <v>000394344 - RICHS BREAD&amp;ROLLS-SODEXO</v>
      </c>
      <c r="C20710" t="s">
        <v>551</v>
      </c>
      <c r="D20710" s="1" t="str">
        <f t="shared" si="560"/>
        <v>PRG-1047655</v>
      </c>
      <c r="E20710" t="s">
        <v>205</v>
      </c>
      <c r="F20710" t="s">
        <v>4</v>
      </c>
      <c r="G20710" t="str">
        <f>""</f>
        <v/>
      </c>
    </row>
    <row r="20711" spans="1:7" x14ac:dyDescent="0.25">
      <c r="A20711" t="s">
        <v>8</v>
      </c>
      <c r="B20711" s="1" t="str">
        <f>"000397205 - RICH FOOD-BREAD AND ROLL-SODEX"</f>
        <v>000397205 - RICH FOOD-BREAD AND ROLL-SODEX</v>
      </c>
      <c r="C20711" t="s">
        <v>549</v>
      </c>
      <c r="D20711" s="1" t="str">
        <f t="shared" si="560"/>
        <v>PRG-1047655</v>
      </c>
      <c r="E20711" t="s">
        <v>205</v>
      </c>
      <c r="F20711" t="s">
        <v>4</v>
      </c>
      <c r="G20711" t="str">
        <f>""</f>
        <v/>
      </c>
    </row>
    <row r="20712" spans="1:7" x14ac:dyDescent="0.25">
      <c r="A20712" t="s">
        <v>8</v>
      </c>
      <c r="B20712" s="1" t="str">
        <f>"000402677 - RICH FOOD-BREAD AND ROLL-SODEX"</f>
        <v>000402677 - RICH FOOD-BREAD AND ROLL-SODEX</v>
      </c>
      <c r="C20712" t="s">
        <v>549</v>
      </c>
      <c r="D20712" s="1" t="str">
        <f t="shared" si="560"/>
        <v>PRG-1047655</v>
      </c>
      <c r="E20712" t="s">
        <v>205</v>
      </c>
      <c r="F20712" t="s">
        <v>4</v>
      </c>
      <c r="G20712" t="str">
        <f>""</f>
        <v/>
      </c>
    </row>
    <row r="20713" spans="1:7" x14ac:dyDescent="0.25">
      <c r="A20713" t="s">
        <v>8</v>
      </c>
      <c r="B20713" s="1" t="str">
        <f>"000404069 - RICH READ &amp; ROLLS-SODEXO"</f>
        <v>000404069 - RICH READ &amp; ROLLS-SODEXO</v>
      </c>
      <c r="C20713" t="s">
        <v>441</v>
      </c>
      <c r="D20713" s="1" t="str">
        <f t="shared" si="560"/>
        <v>PRG-1047655</v>
      </c>
      <c r="E20713" t="s">
        <v>205</v>
      </c>
      <c r="F20713" t="s">
        <v>4</v>
      </c>
      <c r="G20713" t="str">
        <f>""</f>
        <v/>
      </c>
    </row>
    <row r="20714" spans="1:7" x14ac:dyDescent="0.25">
      <c r="A20714" t="s">
        <v>8</v>
      </c>
      <c r="B20714" s="1" t="str">
        <f>"000410143 - RICH FOOD-BREAD AND ROLL-SODEX"</f>
        <v>000410143 - RICH FOOD-BREAD AND ROLL-SODEX</v>
      </c>
      <c r="C20714" t="s">
        <v>549</v>
      </c>
      <c r="D20714" s="1" t="str">
        <f t="shared" si="560"/>
        <v>PRG-1047655</v>
      </c>
      <c r="E20714" t="s">
        <v>205</v>
      </c>
      <c r="F20714" t="s">
        <v>4</v>
      </c>
      <c r="G20714" t="str">
        <f>""</f>
        <v/>
      </c>
    </row>
    <row r="20715" spans="1:7" x14ac:dyDescent="0.25">
      <c r="A20715" t="s">
        <v>8</v>
      </c>
      <c r="B20715" s="1" t="str">
        <f>"000411235 - RICHS BREAD&amp;ROLLS-SODEXO"</f>
        <v>000411235 - RICHS BREAD&amp;ROLLS-SODEXO</v>
      </c>
      <c r="C20715" t="s">
        <v>551</v>
      </c>
      <c r="D20715" s="1" t="str">
        <f t="shared" si="560"/>
        <v>PRG-1047655</v>
      </c>
      <c r="E20715" t="s">
        <v>205</v>
      </c>
      <c r="F20715" t="s">
        <v>4</v>
      </c>
      <c r="G20715" t="str">
        <f>""</f>
        <v/>
      </c>
    </row>
    <row r="20716" spans="1:7" x14ac:dyDescent="0.25">
      <c r="A20716" t="s">
        <v>8</v>
      </c>
      <c r="B20716" s="1" t="str">
        <f>"000419320 - RICHS BREAD&amp;ROLLS-SODEXO"</f>
        <v>000419320 - RICHS BREAD&amp;ROLLS-SODEXO</v>
      </c>
      <c r="C20716" t="s">
        <v>551</v>
      </c>
      <c r="D20716" s="1" t="str">
        <f t="shared" si="560"/>
        <v>PRG-1047655</v>
      </c>
      <c r="E20716" t="s">
        <v>205</v>
      </c>
      <c r="F20716" t="s">
        <v>4</v>
      </c>
      <c r="G20716" t="str">
        <f>""</f>
        <v/>
      </c>
    </row>
    <row r="20717" spans="1:7" x14ac:dyDescent="0.25">
      <c r="A20717" t="s">
        <v>8</v>
      </c>
      <c r="B20717" s="1" t="str">
        <f>"000420033 - RICH FOOD-BREAD AND ROLL-SODEX"</f>
        <v>000420033 - RICH FOOD-BREAD AND ROLL-SODEX</v>
      </c>
      <c r="C20717" t="s">
        <v>549</v>
      </c>
      <c r="D20717" s="1" t="str">
        <f t="shared" ref="D20717:D20722" si="561">"PRG-1047655"</f>
        <v>PRG-1047655</v>
      </c>
      <c r="E20717" t="s">
        <v>205</v>
      </c>
      <c r="F20717" t="s">
        <v>4</v>
      </c>
      <c r="G20717" t="str">
        <f>""</f>
        <v/>
      </c>
    </row>
    <row r="20718" spans="1:7" x14ac:dyDescent="0.25">
      <c r="A20718" t="s">
        <v>8</v>
      </c>
      <c r="B20718" s="1" t="str">
        <f>"000420568 - RICH FOOD-BREAD AND ROLL-SODEX"</f>
        <v>000420568 - RICH FOOD-BREAD AND ROLL-SODEX</v>
      </c>
      <c r="C20718" t="s">
        <v>549</v>
      </c>
      <c r="D20718" s="1" t="str">
        <f t="shared" si="561"/>
        <v>PRG-1047655</v>
      </c>
      <c r="E20718" t="s">
        <v>205</v>
      </c>
      <c r="F20718" t="s">
        <v>4</v>
      </c>
      <c r="G20718" t="str">
        <f>""</f>
        <v/>
      </c>
    </row>
    <row r="20719" spans="1:7" x14ac:dyDescent="0.25">
      <c r="A20719" t="s">
        <v>8</v>
      </c>
      <c r="B20719" s="1" t="str">
        <f>"000426410 - RICH FOOD-BREAD AND ROLL-SODEX"</f>
        <v>000426410 - RICH FOOD-BREAD AND ROLL-SODEX</v>
      </c>
      <c r="C20719" t="s">
        <v>549</v>
      </c>
      <c r="D20719" s="1" t="str">
        <f t="shared" si="561"/>
        <v>PRG-1047655</v>
      </c>
      <c r="E20719" t="s">
        <v>205</v>
      </c>
      <c r="F20719" t="s">
        <v>4</v>
      </c>
      <c r="G20719" t="str">
        <f>""</f>
        <v/>
      </c>
    </row>
    <row r="20720" spans="1:7" x14ac:dyDescent="0.25">
      <c r="A20720" t="s">
        <v>8</v>
      </c>
      <c r="B20720" s="1" t="str">
        <f>"000427134 - RICH FOOD-BREAD AND ROLL-SODEX"</f>
        <v>000427134 - RICH FOOD-BREAD AND ROLL-SODEX</v>
      </c>
      <c r="C20720" t="s">
        <v>549</v>
      </c>
      <c r="D20720" s="1" t="str">
        <f t="shared" si="561"/>
        <v>PRG-1047655</v>
      </c>
      <c r="E20720" t="s">
        <v>205</v>
      </c>
      <c r="F20720" t="s">
        <v>4</v>
      </c>
      <c r="G20720" t="str">
        <f>""</f>
        <v/>
      </c>
    </row>
    <row r="20721" spans="1:7" x14ac:dyDescent="0.25">
      <c r="A20721" t="s">
        <v>8</v>
      </c>
      <c r="B20721" s="1" t="str">
        <f>"000433328 - RICHS BREAD&amp;ROLLS-SODEXO"</f>
        <v>000433328 - RICHS BREAD&amp;ROLLS-SODEXO</v>
      </c>
      <c r="C20721" t="s">
        <v>551</v>
      </c>
      <c r="D20721" s="1" t="str">
        <f t="shared" si="561"/>
        <v>PRG-1047655</v>
      </c>
      <c r="E20721" t="s">
        <v>205</v>
      </c>
      <c r="F20721" t="s">
        <v>4</v>
      </c>
      <c r="G20721" t="str">
        <f>""</f>
        <v/>
      </c>
    </row>
    <row r="20722" spans="1:7" x14ac:dyDescent="0.25">
      <c r="A20722" t="s">
        <v>8</v>
      </c>
      <c r="B20722" s="1" t="str">
        <f>"000440597 - RICH FOOD-BREAD AND ROLL-SODEX"</f>
        <v>000440597 - RICH FOOD-BREAD AND ROLL-SODEX</v>
      </c>
      <c r="C20722" t="s">
        <v>549</v>
      </c>
      <c r="D20722" s="1" t="str">
        <f t="shared" si="561"/>
        <v>PRG-1047655</v>
      </c>
      <c r="E20722" t="s">
        <v>205</v>
      </c>
      <c r="F20722" t="s">
        <v>4</v>
      </c>
      <c r="G20722" t="str">
        <f>""</f>
        <v/>
      </c>
    </row>
    <row r="20723" spans="1:7" x14ac:dyDescent="0.25">
      <c r="A20723" t="s">
        <v>8</v>
      </c>
      <c r="B20723" s="1" t="str">
        <f>"000002257 - RICHS PIZZA DOUGH CORE BB-SODX"</f>
        <v>000002257 - RICHS PIZZA DOUGH CORE BB-SODX</v>
      </c>
      <c r="C20723" t="s">
        <v>112</v>
      </c>
      <c r="D20723" s="1" t="str">
        <f t="shared" ref="D20723:D20786" si="562">"PRG-1047656"</f>
        <v>PRG-1047656</v>
      </c>
      <c r="E20723" t="s">
        <v>48</v>
      </c>
      <c r="F20723" t="s">
        <v>4</v>
      </c>
      <c r="G20723" t="str">
        <f>""</f>
        <v/>
      </c>
    </row>
    <row r="20724" spans="1:7" x14ac:dyDescent="0.25">
      <c r="A20724" t="s">
        <v>8</v>
      </c>
      <c r="B20724" s="1" t="str">
        <f>"000002258 - RICH PIZZA DOUGH NCORE BB-SODX"</f>
        <v>000002258 - RICH PIZZA DOUGH NCORE BB-SODX</v>
      </c>
      <c r="C20724" t="s">
        <v>113</v>
      </c>
      <c r="D20724" s="1" t="str">
        <f t="shared" si="562"/>
        <v>PRG-1047656</v>
      </c>
      <c r="E20724" t="s">
        <v>48</v>
      </c>
      <c r="F20724" t="s">
        <v>4</v>
      </c>
      <c r="G20724" t="str">
        <f>""</f>
        <v/>
      </c>
    </row>
    <row r="20725" spans="1:7" x14ac:dyDescent="0.25">
      <c r="A20725" t="s">
        <v>8</v>
      </c>
      <c r="B20725" s="1" t="str">
        <f>"000009976 - RICHS ICING&amp;DOUGH-SODEXO"</f>
        <v>000009976 - RICHS ICING&amp;DOUGH-SODEXO</v>
      </c>
      <c r="C20725" t="s">
        <v>303</v>
      </c>
      <c r="D20725" s="1" t="str">
        <f t="shared" si="562"/>
        <v>PRG-1047656</v>
      </c>
      <c r="E20725" t="s">
        <v>48</v>
      </c>
      <c r="F20725" t="s">
        <v>4</v>
      </c>
      <c r="G20725" t="str">
        <f>""</f>
        <v/>
      </c>
    </row>
    <row r="20726" spans="1:7" x14ac:dyDescent="0.25">
      <c r="A20726" t="s">
        <v>8</v>
      </c>
      <c r="B20726" s="1" t="str">
        <f>"000010337 - RICHS PIZZA DOUGH BB CORE-SODX"</f>
        <v>000010337 - RICHS PIZZA DOUGH BB CORE-SODX</v>
      </c>
      <c r="C20726" t="s">
        <v>275</v>
      </c>
      <c r="D20726" s="1" t="str">
        <f t="shared" si="562"/>
        <v>PRG-1047656</v>
      </c>
      <c r="E20726" t="s">
        <v>48</v>
      </c>
      <c r="F20726" t="s">
        <v>4</v>
      </c>
      <c r="G20726" t="str">
        <f>""</f>
        <v/>
      </c>
    </row>
    <row r="20727" spans="1:7" x14ac:dyDescent="0.25">
      <c r="A20727" t="s">
        <v>8</v>
      </c>
      <c r="B20727" s="1" t="str">
        <f>"000010338 - RICH PIZZA DOUGH NCORE BB-SODX"</f>
        <v>000010338 - RICH PIZZA DOUGH NCORE BB-SODX</v>
      </c>
      <c r="C20727" t="s">
        <v>113</v>
      </c>
      <c r="D20727" s="1" t="str">
        <f t="shared" si="562"/>
        <v>PRG-1047656</v>
      </c>
      <c r="E20727" t="s">
        <v>48</v>
      </c>
      <c r="F20727" t="s">
        <v>4</v>
      </c>
      <c r="G20727" t="str">
        <f>""</f>
        <v/>
      </c>
    </row>
    <row r="20728" spans="1:7" x14ac:dyDescent="0.25">
      <c r="A20728" t="s">
        <v>8</v>
      </c>
      <c r="B20728" s="1" t="str">
        <f>"000011930 - RICHS ICING&amp;DOUGH-SODEXO"</f>
        <v>000011930 - RICHS ICING&amp;DOUGH-SODEXO</v>
      </c>
      <c r="C20728" t="s">
        <v>303</v>
      </c>
      <c r="D20728" s="1" t="str">
        <f t="shared" si="562"/>
        <v>PRG-1047656</v>
      </c>
      <c r="E20728" t="s">
        <v>48</v>
      </c>
      <c r="F20728" t="s">
        <v>4</v>
      </c>
      <c r="G20728" t="str">
        <f>""</f>
        <v/>
      </c>
    </row>
    <row r="20729" spans="1:7" x14ac:dyDescent="0.25">
      <c r="A20729" t="s">
        <v>8</v>
      </c>
      <c r="B20729" s="1" t="str">
        <f>"000014162 - RICHS PIZZA DOUGH NC BB SODEXO"</f>
        <v>000014162 - RICHS PIZZA DOUGH NC BB SODEXO</v>
      </c>
      <c r="C20729" t="s">
        <v>355</v>
      </c>
      <c r="D20729" s="1" t="str">
        <f t="shared" si="562"/>
        <v>PRG-1047656</v>
      </c>
      <c r="E20729" t="s">
        <v>48</v>
      </c>
      <c r="F20729" t="s">
        <v>4</v>
      </c>
      <c r="G20729" t="str">
        <f>""</f>
        <v/>
      </c>
    </row>
    <row r="20730" spans="1:7" x14ac:dyDescent="0.25">
      <c r="A20730" t="s">
        <v>8</v>
      </c>
      <c r="B20730" s="1" t="str">
        <f>"000014163 - RICHS PIZZA DOUGH C BB SODEXO"</f>
        <v>000014163 - RICHS PIZZA DOUGH C BB SODEXO</v>
      </c>
      <c r="C20730" t="s">
        <v>356</v>
      </c>
      <c r="D20730" s="1" t="str">
        <f t="shared" si="562"/>
        <v>PRG-1047656</v>
      </c>
      <c r="E20730" t="s">
        <v>48</v>
      </c>
      <c r="F20730" t="s">
        <v>4</v>
      </c>
      <c r="G20730" t="str">
        <f>""</f>
        <v/>
      </c>
    </row>
    <row r="20731" spans="1:7" x14ac:dyDescent="0.25">
      <c r="A20731" t="s">
        <v>8</v>
      </c>
      <c r="B20731" s="1" t="str">
        <f>"000018585 - RICHS ICING&amp;DOUGH-SODEXO"</f>
        <v>000018585 - RICHS ICING&amp;DOUGH-SODEXO</v>
      </c>
      <c r="C20731" t="s">
        <v>303</v>
      </c>
      <c r="D20731" s="1" t="str">
        <f t="shared" si="562"/>
        <v>PRG-1047656</v>
      </c>
      <c r="E20731" t="s">
        <v>48</v>
      </c>
      <c r="F20731" t="s">
        <v>4</v>
      </c>
      <c r="G20731" t="str">
        <f>""</f>
        <v/>
      </c>
    </row>
    <row r="20732" spans="1:7" x14ac:dyDescent="0.25">
      <c r="A20732" t="s">
        <v>8</v>
      </c>
      <c r="B20732" s="1" t="str">
        <f>"000018638 - RICHS PIZZA DOUGH&amp;ICING-SODEXO"</f>
        <v>000018638 - RICHS PIZZA DOUGH&amp;ICING-SODEXO</v>
      </c>
      <c r="C20732" t="s">
        <v>288</v>
      </c>
      <c r="D20732" s="1" t="str">
        <f t="shared" si="562"/>
        <v>PRG-1047656</v>
      </c>
      <c r="E20732" t="s">
        <v>48</v>
      </c>
      <c r="F20732" t="s">
        <v>4</v>
      </c>
      <c r="G20732" t="str">
        <f>""</f>
        <v/>
      </c>
    </row>
    <row r="20733" spans="1:7" x14ac:dyDescent="0.25">
      <c r="A20733" t="s">
        <v>8</v>
      </c>
      <c r="B20733" s="1" t="str">
        <f>"000019667 - RICHS PIZZA DOUGH &amp; ICING-SODX"</f>
        <v>000019667 - RICHS PIZZA DOUGH &amp; ICING-SODX</v>
      </c>
      <c r="C20733" t="s">
        <v>223</v>
      </c>
      <c r="D20733" s="1" t="str">
        <f t="shared" si="562"/>
        <v>PRG-1047656</v>
      </c>
      <c r="E20733" t="s">
        <v>48</v>
      </c>
      <c r="F20733" t="s">
        <v>4</v>
      </c>
      <c r="G20733" t="str">
        <f>""</f>
        <v/>
      </c>
    </row>
    <row r="20734" spans="1:7" x14ac:dyDescent="0.25">
      <c r="A20734" t="s">
        <v>8</v>
      </c>
      <c r="B20734" s="1" t="str">
        <f>"000020160 - RICHS ICING&amp;DOUGH-SODEXO"</f>
        <v>000020160 - RICHS ICING&amp;DOUGH-SODEXO</v>
      </c>
      <c r="C20734" t="s">
        <v>303</v>
      </c>
      <c r="D20734" s="1" t="str">
        <f t="shared" si="562"/>
        <v>PRG-1047656</v>
      </c>
      <c r="E20734" t="s">
        <v>48</v>
      </c>
      <c r="F20734" t="s">
        <v>4</v>
      </c>
      <c r="G20734" t="str">
        <f>""</f>
        <v/>
      </c>
    </row>
    <row r="20735" spans="1:7" x14ac:dyDescent="0.25">
      <c r="A20735" t="s">
        <v>8</v>
      </c>
      <c r="B20735" s="1" t="str">
        <f>"000022714 - RICHS PIZZA DOUGH &amp; ICING-SODX"</f>
        <v>000022714 - RICHS PIZZA DOUGH &amp; ICING-SODX</v>
      </c>
      <c r="C20735" t="s">
        <v>223</v>
      </c>
      <c r="D20735" s="1" t="str">
        <f t="shared" si="562"/>
        <v>PRG-1047656</v>
      </c>
      <c r="E20735" t="s">
        <v>48</v>
      </c>
      <c r="F20735" t="s">
        <v>4</v>
      </c>
      <c r="G20735" t="str">
        <f>""</f>
        <v/>
      </c>
    </row>
    <row r="20736" spans="1:7" x14ac:dyDescent="0.25">
      <c r="A20736" t="s">
        <v>8</v>
      </c>
      <c r="B20736" s="1" t="str">
        <f>"000024803 - RICHS DOUGH &amp;ICING BAPA SODEXO"</f>
        <v>000024803 - RICHS DOUGH &amp;ICING BAPA SODEXO</v>
      </c>
      <c r="C20736" t="s">
        <v>440</v>
      </c>
      <c r="D20736" s="1" t="str">
        <f t="shared" si="562"/>
        <v>PRG-1047656</v>
      </c>
      <c r="E20736" t="s">
        <v>48</v>
      </c>
      <c r="F20736" t="s">
        <v>4</v>
      </c>
      <c r="G20736" t="str">
        <f>""</f>
        <v/>
      </c>
    </row>
    <row r="20737" spans="1:7" x14ac:dyDescent="0.25">
      <c r="A20737" t="s">
        <v>8</v>
      </c>
      <c r="B20737" s="1" t="str">
        <f>"000026507 - RICHS ICING&amp;DOUGH-SODEXO"</f>
        <v>000026507 - RICHS ICING&amp;DOUGH-SODEXO</v>
      </c>
      <c r="C20737" t="s">
        <v>303</v>
      </c>
      <c r="D20737" s="1" t="str">
        <f t="shared" si="562"/>
        <v>PRG-1047656</v>
      </c>
      <c r="E20737" t="s">
        <v>48</v>
      </c>
      <c r="F20737" t="s">
        <v>4</v>
      </c>
      <c r="G20737" t="str">
        <f>""</f>
        <v/>
      </c>
    </row>
    <row r="20738" spans="1:7" x14ac:dyDescent="0.25">
      <c r="A20738" t="s">
        <v>8</v>
      </c>
      <c r="B20738" s="1" t="str">
        <f>"000026610 - RICHS DOUGH &amp;ICING BAPA SODEXO"</f>
        <v>000026610 - RICHS DOUGH &amp;ICING BAPA SODEXO</v>
      </c>
      <c r="C20738" t="s">
        <v>440</v>
      </c>
      <c r="D20738" s="1" t="str">
        <f t="shared" si="562"/>
        <v>PRG-1047656</v>
      </c>
      <c r="E20738" t="s">
        <v>48</v>
      </c>
      <c r="F20738" t="s">
        <v>4</v>
      </c>
      <c r="G20738" t="str">
        <f>""</f>
        <v/>
      </c>
    </row>
    <row r="20739" spans="1:7" x14ac:dyDescent="0.25">
      <c r="A20739" t="s">
        <v>8</v>
      </c>
      <c r="B20739" s="1" t="str">
        <f>"000029383 - RICHS PIZZA DOUGH &amp; ICING-SODX"</f>
        <v>000029383 - RICHS PIZZA DOUGH &amp; ICING-SODX</v>
      </c>
      <c r="C20739" t="s">
        <v>223</v>
      </c>
      <c r="D20739" s="1" t="str">
        <f t="shared" si="562"/>
        <v>PRG-1047656</v>
      </c>
      <c r="E20739" t="s">
        <v>48</v>
      </c>
      <c r="F20739" t="s">
        <v>4</v>
      </c>
      <c r="G20739" t="str">
        <f>""</f>
        <v/>
      </c>
    </row>
    <row r="20740" spans="1:7" x14ac:dyDescent="0.25">
      <c r="A20740" t="s">
        <v>8</v>
      </c>
      <c r="B20740" s="1" t="str">
        <f>"000030365 - RICHS PIZZA DOUGH &amp; ICING-SODX"</f>
        <v>000030365 - RICHS PIZZA DOUGH &amp; ICING-SODX</v>
      </c>
      <c r="C20740" t="s">
        <v>223</v>
      </c>
      <c r="D20740" s="1" t="str">
        <f t="shared" si="562"/>
        <v>PRG-1047656</v>
      </c>
      <c r="E20740" t="s">
        <v>48</v>
      </c>
      <c r="F20740" t="s">
        <v>4</v>
      </c>
      <c r="G20740" t="str">
        <f>""</f>
        <v/>
      </c>
    </row>
    <row r="20741" spans="1:7" x14ac:dyDescent="0.25">
      <c r="A20741" t="s">
        <v>8</v>
      </c>
      <c r="B20741" s="1" t="str">
        <f>"000034029 - RICHS PIZZA DOUGH &amp; ICING-SODX"</f>
        <v>000034029 - RICHS PIZZA DOUGH &amp; ICING-SODX</v>
      </c>
      <c r="C20741" t="s">
        <v>223</v>
      </c>
      <c r="D20741" s="1" t="str">
        <f t="shared" si="562"/>
        <v>PRG-1047656</v>
      </c>
      <c r="E20741" t="s">
        <v>48</v>
      </c>
      <c r="F20741" t="s">
        <v>4</v>
      </c>
      <c r="G20741" t="str">
        <f>""</f>
        <v/>
      </c>
    </row>
    <row r="20742" spans="1:7" x14ac:dyDescent="0.25">
      <c r="A20742" t="s">
        <v>8</v>
      </c>
      <c r="B20742" s="1" t="str">
        <f>"000037648 - RICHS DOUGH&amp;ICING-SODEXO"</f>
        <v>000037648 - RICHS DOUGH&amp;ICING-SODEXO</v>
      </c>
      <c r="C20742" t="s">
        <v>504</v>
      </c>
      <c r="D20742" s="1" t="str">
        <f t="shared" si="562"/>
        <v>PRG-1047656</v>
      </c>
      <c r="E20742" t="s">
        <v>48</v>
      </c>
      <c r="F20742" t="s">
        <v>4</v>
      </c>
      <c r="G20742" t="str">
        <f>""</f>
        <v/>
      </c>
    </row>
    <row r="20743" spans="1:7" x14ac:dyDescent="0.25">
      <c r="A20743" t="s">
        <v>8</v>
      </c>
      <c r="B20743" s="1" t="str">
        <f>"000037701 - RICHS PIZZA DOUGH &amp; ICING-SODX"</f>
        <v>000037701 - RICHS PIZZA DOUGH &amp; ICING-SODX</v>
      </c>
      <c r="C20743" t="s">
        <v>223</v>
      </c>
      <c r="D20743" s="1" t="str">
        <f t="shared" si="562"/>
        <v>PRG-1047656</v>
      </c>
      <c r="E20743" t="s">
        <v>48</v>
      </c>
      <c r="F20743" t="s">
        <v>4</v>
      </c>
      <c r="G20743" t="str">
        <f>""</f>
        <v/>
      </c>
    </row>
    <row r="20744" spans="1:7" x14ac:dyDescent="0.25">
      <c r="A20744" t="s">
        <v>8</v>
      </c>
      <c r="B20744" s="1" t="str">
        <f>"000037776 - RICHS PIZZA DOUGH &amp; ICING-SODX"</f>
        <v>000037776 - RICHS PIZZA DOUGH &amp; ICING-SODX</v>
      </c>
      <c r="C20744" t="s">
        <v>223</v>
      </c>
      <c r="D20744" s="1" t="str">
        <f t="shared" si="562"/>
        <v>PRG-1047656</v>
      </c>
      <c r="E20744" t="s">
        <v>48</v>
      </c>
      <c r="F20744" t="s">
        <v>4</v>
      </c>
      <c r="G20744" t="str">
        <f>""</f>
        <v/>
      </c>
    </row>
    <row r="20745" spans="1:7" x14ac:dyDescent="0.25">
      <c r="A20745" t="s">
        <v>8</v>
      </c>
      <c r="B20745" s="1" t="str">
        <f>"000039150 - RICHS PIZZA DOUGH&amp;ICING-SODEXO"</f>
        <v>000039150 - RICHS PIZZA DOUGH&amp;ICING-SODEXO</v>
      </c>
      <c r="C20745" t="s">
        <v>288</v>
      </c>
      <c r="D20745" s="1" t="str">
        <f t="shared" si="562"/>
        <v>PRG-1047656</v>
      </c>
      <c r="E20745" t="s">
        <v>48</v>
      </c>
      <c r="F20745" t="s">
        <v>4</v>
      </c>
      <c r="G20745" t="str">
        <f>""</f>
        <v/>
      </c>
    </row>
    <row r="20746" spans="1:7" x14ac:dyDescent="0.25">
      <c r="A20746" t="s">
        <v>8</v>
      </c>
      <c r="B20746" s="1" t="str">
        <f>"000039208 - RICHS PIZZA DOUGH &amp; ICING-SODX"</f>
        <v>000039208 - RICHS PIZZA DOUGH &amp; ICING-SODX</v>
      </c>
      <c r="C20746" t="s">
        <v>223</v>
      </c>
      <c r="D20746" s="1" t="str">
        <f t="shared" si="562"/>
        <v>PRG-1047656</v>
      </c>
      <c r="E20746" t="s">
        <v>48</v>
      </c>
      <c r="F20746" t="s">
        <v>4</v>
      </c>
      <c r="G20746" t="str">
        <f>""</f>
        <v/>
      </c>
    </row>
    <row r="20747" spans="1:7" x14ac:dyDescent="0.25">
      <c r="A20747" t="s">
        <v>8</v>
      </c>
      <c r="B20747" s="1" t="str">
        <f>"000039642 - RICHS ICING&amp;DOUGH-SODEXO"</f>
        <v>000039642 - RICHS ICING&amp;DOUGH-SODEXO</v>
      </c>
      <c r="C20747" t="s">
        <v>303</v>
      </c>
      <c r="D20747" s="1" t="str">
        <f t="shared" si="562"/>
        <v>PRG-1047656</v>
      </c>
      <c r="E20747" t="s">
        <v>48</v>
      </c>
      <c r="F20747" t="s">
        <v>4</v>
      </c>
      <c r="G20747" t="str">
        <f>""</f>
        <v/>
      </c>
    </row>
    <row r="20748" spans="1:7" x14ac:dyDescent="0.25">
      <c r="A20748" t="s">
        <v>8</v>
      </c>
      <c r="B20748" s="1" t="str">
        <f>"000042542 - RICHS PIZZA DOUGH &amp; ICING-SODX"</f>
        <v>000042542 - RICHS PIZZA DOUGH &amp; ICING-SODX</v>
      </c>
      <c r="C20748" t="s">
        <v>223</v>
      </c>
      <c r="D20748" s="1" t="str">
        <f t="shared" si="562"/>
        <v>PRG-1047656</v>
      </c>
      <c r="E20748" t="s">
        <v>48</v>
      </c>
      <c r="F20748" t="s">
        <v>4</v>
      </c>
      <c r="G20748" t="str">
        <f>""</f>
        <v/>
      </c>
    </row>
    <row r="20749" spans="1:7" x14ac:dyDescent="0.25">
      <c r="A20749" t="s">
        <v>8</v>
      </c>
      <c r="B20749" s="1" t="str">
        <f>"000044438 - RICHS DOUGH ICING-SODEXO"</f>
        <v>000044438 - RICHS DOUGH ICING-SODEXO</v>
      </c>
      <c r="C20749" t="s">
        <v>552</v>
      </c>
      <c r="D20749" s="1" t="str">
        <f t="shared" si="562"/>
        <v>PRG-1047656</v>
      </c>
      <c r="E20749" t="s">
        <v>48</v>
      </c>
      <c r="F20749" t="s">
        <v>4</v>
      </c>
      <c r="G20749" t="str">
        <f>""</f>
        <v/>
      </c>
    </row>
    <row r="20750" spans="1:7" x14ac:dyDescent="0.25">
      <c r="A20750" t="s">
        <v>8</v>
      </c>
      <c r="B20750" s="1" t="str">
        <f>"000044905 - RICHS PIZZA DOUGH &amp; ICING-SODX"</f>
        <v>000044905 - RICHS PIZZA DOUGH &amp; ICING-SODX</v>
      </c>
      <c r="C20750" t="s">
        <v>223</v>
      </c>
      <c r="D20750" s="1" t="str">
        <f t="shared" si="562"/>
        <v>PRG-1047656</v>
      </c>
      <c r="E20750" t="s">
        <v>48</v>
      </c>
      <c r="F20750" t="s">
        <v>4</v>
      </c>
      <c r="G20750" t="str">
        <f>""</f>
        <v/>
      </c>
    </row>
    <row r="20751" spans="1:7" x14ac:dyDescent="0.25">
      <c r="A20751" t="s">
        <v>8</v>
      </c>
      <c r="B20751" s="1" t="str">
        <f>"000049526 - RICHS DOUGH&amp;ICING-SODEXO"</f>
        <v>000049526 - RICHS DOUGH&amp;ICING-SODEXO</v>
      </c>
      <c r="C20751" t="s">
        <v>504</v>
      </c>
      <c r="D20751" s="1" t="str">
        <f t="shared" si="562"/>
        <v>PRG-1047656</v>
      </c>
      <c r="E20751" t="s">
        <v>48</v>
      </c>
      <c r="F20751" t="s">
        <v>4</v>
      </c>
      <c r="G20751" t="str">
        <f>""</f>
        <v/>
      </c>
    </row>
    <row r="20752" spans="1:7" x14ac:dyDescent="0.25">
      <c r="A20752" t="s">
        <v>8</v>
      </c>
      <c r="B20752" s="1" t="str">
        <f>"000051014 - RICHS DOUGH ICING-SODEXO"</f>
        <v>000051014 - RICHS DOUGH ICING-SODEXO</v>
      </c>
      <c r="C20752" t="s">
        <v>552</v>
      </c>
      <c r="D20752" s="1" t="str">
        <f t="shared" si="562"/>
        <v>PRG-1047656</v>
      </c>
      <c r="E20752" t="s">
        <v>48</v>
      </c>
      <c r="F20752" t="s">
        <v>4</v>
      </c>
      <c r="G20752" t="str">
        <f>""</f>
        <v/>
      </c>
    </row>
    <row r="20753" spans="1:7" x14ac:dyDescent="0.25">
      <c r="A20753" t="s">
        <v>8</v>
      </c>
      <c r="B20753" s="1" t="str">
        <f>"000051660 - RICHS DOUGH&amp;ICING-SODEXO"</f>
        <v>000051660 - RICHS DOUGH&amp;ICING-SODEXO</v>
      </c>
      <c r="C20753" t="s">
        <v>504</v>
      </c>
      <c r="D20753" s="1" t="str">
        <f t="shared" si="562"/>
        <v>PRG-1047656</v>
      </c>
      <c r="E20753" t="s">
        <v>48</v>
      </c>
      <c r="F20753" t="s">
        <v>4</v>
      </c>
      <c r="G20753" t="str">
        <f>""</f>
        <v/>
      </c>
    </row>
    <row r="20754" spans="1:7" x14ac:dyDescent="0.25">
      <c r="A20754" t="s">
        <v>8</v>
      </c>
      <c r="B20754" s="1" t="str">
        <f>"000054124 - RICHS DOUGH ICING-SODEXO"</f>
        <v>000054124 - RICHS DOUGH ICING-SODEXO</v>
      </c>
      <c r="C20754" t="s">
        <v>552</v>
      </c>
      <c r="D20754" s="1" t="str">
        <f t="shared" si="562"/>
        <v>PRG-1047656</v>
      </c>
      <c r="E20754" t="s">
        <v>48</v>
      </c>
      <c r="F20754" t="s">
        <v>4</v>
      </c>
      <c r="G20754" t="str">
        <f>""</f>
        <v/>
      </c>
    </row>
    <row r="20755" spans="1:7" x14ac:dyDescent="0.25">
      <c r="A20755" t="s">
        <v>8</v>
      </c>
      <c r="B20755" s="1" t="str">
        <f>"000056780 - RICHS DOUGH ICING-SODEXO"</f>
        <v>000056780 - RICHS DOUGH ICING-SODEXO</v>
      </c>
      <c r="C20755" t="s">
        <v>552</v>
      </c>
      <c r="D20755" s="1" t="str">
        <f t="shared" si="562"/>
        <v>PRG-1047656</v>
      </c>
      <c r="E20755" t="s">
        <v>48</v>
      </c>
      <c r="F20755" t="s">
        <v>4</v>
      </c>
      <c r="G20755" t="str">
        <f>""</f>
        <v/>
      </c>
    </row>
    <row r="20756" spans="1:7" x14ac:dyDescent="0.25">
      <c r="A20756" t="s">
        <v>8</v>
      </c>
      <c r="B20756" s="1" t="str">
        <f>"000056951 - RICHS DOUGH&amp;ICING-SODEXO"</f>
        <v>000056951 - RICHS DOUGH&amp;ICING-SODEXO</v>
      </c>
      <c r="C20756" t="s">
        <v>504</v>
      </c>
      <c r="D20756" s="1" t="str">
        <f t="shared" si="562"/>
        <v>PRG-1047656</v>
      </c>
      <c r="E20756" t="s">
        <v>48</v>
      </c>
      <c r="F20756" t="s">
        <v>4</v>
      </c>
      <c r="G20756" t="str">
        <f>""</f>
        <v/>
      </c>
    </row>
    <row r="20757" spans="1:7" x14ac:dyDescent="0.25">
      <c r="A20757" t="s">
        <v>8</v>
      </c>
      <c r="B20757" s="1" t="str">
        <f>"000061107 - RICHS DOUGH&amp;ICING-SODEXO"</f>
        <v>000061107 - RICHS DOUGH&amp;ICING-SODEXO</v>
      </c>
      <c r="C20757" t="s">
        <v>504</v>
      </c>
      <c r="D20757" s="1" t="str">
        <f t="shared" si="562"/>
        <v>PRG-1047656</v>
      </c>
      <c r="E20757" t="s">
        <v>48</v>
      </c>
      <c r="F20757" t="s">
        <v>4</v>
      </c>
      <c r="G20757" t="str">
        <f>""</f>
        <v/>
      </c>
    </row>
    <row r="20758" spans="1:7" x14ac:dyDescent="0.25">
      <c r="A20758" t="s">
        <v>8</v>
      </c>
      <c r="B20758" s="1" t="str">
        <f>"000071967 - RICHS DOUGH ICING-SODEXO"</f>
        <v>000071967 - RICHS DOUGH ICING-SODEXO</v>
      </c>
      <c r="C20758" t="s">
        <v>552</v>
      </c>
      <c r="D20758" s="1" t="str">
        <f t="shared" si="562"/>
        <v>PRG-1047656</v>
      </c>
      <c r="E20758" t="s">
        <v>48</v>
      </c>
      <c r="F20758" t="s">
        <v>4</v>
      </c>
      <c r="G20758" t="str">
        <f>""</f>
        <v/>
      </c>
    </row>
    <row r="20759" spans="1:7" x14ac:dyDescent="0.25">
      <c r="A20759" t="s">
        <v>8</v>
      </c>
      <c r="B20759" s="1" t="str">
        <f>"000077609 - RICHS PIZZA DOUGH &amp; ICING-SODX"</f>
        <v>000077609 - RICHS PIZZA DOUGH &amp; ICING-SODX</v>
      </c>
      <c r="C20759" t="s">
        <v>223</v>
      </c>
      <c r="D20759" s="1" t="str">
        <f t="shared" si="562"/>
        <v>PRG-1047656</v>
      </c>
      <c r="E20759" t="s">
        <v>48</v>
      </c>
      <c r="F20759" t="s">
        <v>4</v>
      </c>
      <c r="G20759" t="str">
        <f>""</f>
        <v/>
      </c>
    </row>
    <row r="20760" spans="1:7" x14ac:dyDescent="0.25">
      <c r="A20760" t="s">
        <v>8</v>
      </c>
      <c r="B20760" s="1" t="str">
        <f>"000081053 - RICHS PIZZA DOUGH &amp; ICING-SODX"</f>
        <v>000081053 - RICHS PIZZA DOUGH &amp; ICING-SODX</v>
      </c>
      <c r="C20760" t="s">
        <v>223</v>
      </c>
      <c r="D20760" s="1" t="str">
        <f t="shared" si="562"/>
        <v>PRG-1047656</v>
      </c>
      <c r="E20760" t="s">
        <v>48</v>
      </c>
      <c r="F20760" t="s">
        <v>4</v>
      </c>
      <c r="G20760" t="str">
        <f>""</f>
        <v/>
      </c>
    </row>
    <row r="20761" spans="1:7" x14ac:dyDescent="0.25">
      <c r="A20761" t="s">
        <v>8</v>
      </c>
      <c r="B20761" s="1" t="str">
        <f>"000086177 - RICHS ICING&amp;DOUGH-SODEXO"</f>
        <v>000086177 - RICHS ICING&amp;DOUGH-SODEXO</v>
      </c>
      <c r="C20761" t="s">
        <v>303</v>
      </c>
      <c r="D20761" s="1" t="str">
        <f t="shared" si="562"/>
        <v>PRG-1047656</v>
      </c>
      <c r="E20761" t="s">
        <v>48</v>
      </c>
      <c r="F20761" t="s">
        <v>4</v>
      </c>
      <c r="G20761" t="str">
        <f>""</f>
        <v/>
      </c>
    </row>
    <row r="20762" spans="1:7" x14ac:dyDescent="0.25">
      <c r="A20762" t="s">
        <v>8</v>
      </c>
      <c r="B20762" s="1" t="str">
        <f>"000090299 - RICHS DOUGH&amp;ICING-SODEXO"</f>
        <v>000090299 - RICHS DOUGH&amp;ICING-SODEXO</v>
      </c>
      <c r="C20762" t="s">
        <v>504</v>
      </c>
      <c r="D20762" s="1" t="str">
        <f t="shared" si="562"/>
        <v>PRG-1047656</v>
      </c>
      <c r="E20762" t="s">
        <v>48</v>
      </c>
      <c r="F20762" t="s">
        <v>4</v>
      </c>
      <c r="G20762" t="str">
        <f>""</f>
        <v/>
      </c>
    </row>
    <row r="20763" spans="1:7" x14ac:dyDescent="0.25">
      <c r="A20763" t="s">
        <v>8</v>
      </c>
      <c r="B20763" s="1" t="str">
        <f>"000095309 - RICHS DOUGH&amp;ICING-SODEXO"</f>
        <v>000095309 - RICHS DOUGH&amp;ICING-SODEXO</v>
      </c>
      <c r="C20763" t="s">
        <v>504</v>
      </c>
      <c r="D20763" s="1" t="str">
        <f t="shared" si="562"/>
        <v>PRG-1047656</v>
      </c>
      <c r="E20763" t="s">
        <v>48</v>
      </c>
      <c r="F20763" t="s">
        <v>4</v>
      </c>
      <c r="G20763" t="str">
        <f>""</f>
        <v/>
      </c>
    </row>
    <row r="20764" spans="1:7" x14ac:dyDescent="0.25">
      <c r="A20764" t="s">
        <v>8</v>
      </c>
      <c r="B20764" s="1" t="str">
        <f>"000097550 - RICHS PIZZA DOUGH &amp; ICING-SODX"</f>
        <v>000097550 - RICHS PIZZA DOUGH &amp; ICING-SODX</v>
      </c>
      <c r="C20764" t="s">
        <v>223</v>
      </c>
      <c r="D20764" s="1" t="str">
        <f t="shared" si="562"/>
        <v>PRG-1047656</v>
      </c>
      <c r="E20764" t="s">
        <v>48</v>
      </c>
      <c r="F20764" t="s">
        <v>4</v>
      </c>
      <c r="G20764" t="str">
        <f>""</f>
        <v/>
      </c>
    </row>
    <row r="20765" spans="1:7" x14ac:dyDescent="0.25">
      <c r="A20765" t="s">
        <v>8</v>
      </c>
      <c r="B20765" s="1" t="str">
        <f>"000101828 - RICHS DOUGH ICING-SODEXO"</f>
        <v>000101828 - RICHS DOUGH ICING-SODEXO</v>
      </c>
      <c r="C20765" t="s">
        <v>552</v>
      </c>
      <c r="D20765" s="1" t="str">
        <f t="shared" si="562"/>
        <v>PRG-1047656</v>
      </c>
      <c r="E20765" t="s">
        <v>48</v>
      </c>
      <c r="F20765" t="s">
        <v>4</v>
      </c>
      <c r="G20765" t="str">
        <f>""</f>
        <v/>
      </c>
    </row>
    <row r="20766" spans="1:7" x14ac:dyDescent="0.25">
      <c r="A20766" t="s">
        <v>8</v>
      </c>
      <c r="B20766" s="1" t="str">
        <f>"000119436 - RICHS DOUGH ICING-SODEXO"</f>
        <v>000119436 - RICHS DOUGH ICING-SODEXO</v>
      </c>
      <c r="C20766" t="s">
        <v>552</v>
      </c>
      <c r="D20766" s="1" t="str">
        <f t="shared" si="562"/>
        <v>PRG-1047656</v>
      </c>
      <c r="E20766" t="s">
        <v>48</v>
      </c>
      <c r="F20766" t="s">
        <v>4</v>
      </c>
      <c r="G20766" t="str">
        <f>""</f>
        <v/>
      </c>
    </row>
    <row r="20767" spans="1:7" x14ac:dyDescent="0.25">
      <c r="A20767" t="s">
        <v>8</v>
      </c>
      <c r="B20767" s="1" t="str">
        <f>"000141418 - RICH PIZZA DOUGH BB CORE-SODX"</f>
        <v>000141418 - RICH PIZZA DOUGH BB CORE-SODX</v>
      </c>
      <c r="C20767" t="s">
        <v>612</v>
      </c>
      <c r="D20767" s="1" t="str">
        <f t="shared" si="562"/>
        <v>PRG-1047656</v>
      </c>
      <c r="E20767" t="s">
        <v>48</v>
      </c>
      <c r="F20767" t="s">
        <v>4</v>
      </c>
      <c r="G20767" t="str">
        <f>""</f>
        <v/>
      </c>
    </row>
    <row r="20768" spans="1:7" x14ac:dyDescent="0.25">
      <c r="A20768" t="s">
        <v>8</v>
      </c>
      <c r="B20768" s="1" t="str">
        <f>"000141443 - RICHS ICING&amp;DOUGH-SODEXO"</f>
        <v>000141443 - RICHS ICING&amp;DOUGH-SODEXO</v>
      </c>
      <c r="C20768" t="s">
        <v>303</v>
      </c>
      <c r="D20768" s="1" t="str">
        <f t="shared" si="562"/>
        <v>PRG-1047656</v>
      </c>
      <c r="E20768" t="s">
        <v>48</v>
      </c>
      <c r="F20768" t="s">
        <v>4</v>
      </c>
      <c r="G20768" t="str">
        <f>""</f>
        <v/>
      </c>
    </row>
    <row r="20769" spans="1:7" x14ac:dyDescent="0.25">
      <c r="A20769" t="s">
        <v>8</v>
      </c>
      <c r="B20769" s="1" t="str">
        <f>"000150869 - RICHS PIZZA DOUGH &amp; ICING-SODX"</f>
        <v>000150869 - RICHS PIZZA DOUGH &amp; ICING-SODX</v>
      </c>
      <c r="C20769" t="s">
        <v>223</v>
      </c>
      <c r="D20769" s="1" t="str">
        <f t="shared" si="562"/>
        <v>PRG-1047656</v>
      </c>
      <c r="E20769" t="s">
        <v>48</v>
      </c>
      <c r="F20769" t="s">
        <v>4</v>
      </c>
      <c r="G20769" t="str">
        <f>""</f>
        <v/>
      </c>
    </row>
    <row r="20770" spans="1:7" x14ac:dyDescent="0.25">
      <c r="A20770" t="s">
        <v>8</v>
      </c>
      <c r="B20770" s="1" t="str">
        <f>"000151863 - RICHS PIZZA DOUGH &amp; ICING-SODX"</f>
        <v>000151863 - RICHS PIZZA DOUGH &amp; ICING-SODX</v>
      </c>
      <c r="C20770" t="s">
        <v>223</v>
      </c>
      <c r="D20770" s="1" t="str">
        <f t="shared" si="562"/>
        <v>PRG-1047656</v>
      </c>
      <c r="E20770" t="s">
        <v>48</v>
      </c>
      <c r="F20770" t="s">
        <v>4</v>
      </c>
      <c r="G20770" t="str">
        <f>""</f>
        <v/>
      </c>
    </row>
    <row r="20771" spans="1:7" x14ac:dyDescent="0.25">
      <c r="A20771" t="s">
        <v>8</v>
      </c>
      <c r="B20771" s="1" t="str">
        <f>"000162211 - RICHS DOUGH&amp;ICING-SODEXO"</f>
        <v>000162211 - RICHS DOUGH&amp;ICING-SODEXO</v>
      </c>
      <c r="C20771" t="s">
        <v>504</v>
      </c>
      <c r="D20771" s="1" t="str">
        <f t="shared" si="562"/>
        <v>PRG-1047656</v>
      </c>
      <c r="E20771" t="s">
        <v>48</v>
      </c>
      <c r="F20771" t="s">
        <v>4</v>
      </c>
      <c r="G20771" t="str">
        <f>""</f>
        <v/>
      </c>
    </row>
    <row r="20772" spans="1:7" x14ac:dyDescent="0.25">
      <c r="A20772" t="s">
        <v>8</v>
      </c>
      <c r="B20772" s="1" t="str">
        <f>"000162885 - RICHS ICING&amp;DOUGH-SODEXO"</f>
        <v>000162885 - RICHS ICING&amp;DOUGH-SODEXO</v>
      </c>
      <c r="C20772" t="s">
        <v>303</v>
      </c>
      <c r="D20772" s="1" t="str">
        <f t="shared" si="562"/>
        <v>PRG-1047656</v>
      </c>
      <c r="E20772" t="s">
        <v>48</v>
      </c>
      <c r="F20772" t="s">
        <v>4</v>
      </c>
      <c r="G20772" t="str">
        <f>""</f>
        <v/>
      </c>
    </row>
    <row r="20773" spans="1:7" x14ac:dyDescent="0.25">
      <c r="A20773" t="s">
        <v>8</v>
      </c>
      <c r="B20773" s="1" t="str">
        <f>"000171506 - RICHS DOUGH ICING-SODEXO"</f>
        <v>000171506 - RICHS DOUGH ICING-SODEXO</v>
      </c>
      <c r="C20773" t="s">
        <v>552</v>
      </c>
      <c r="D20773" s="1" t="str">
        <f t="shared" si="562"/>
        <v>PRG-1047656</v>
      </c>
      <c r="E20773" t="s">
        <v>48</v>
      </c>
      <c r="F20773" t="s">
        <v>4</v>
      </c>
      <c r="G20773" t="str">
        <f>""</f>
        <v/>
      </c>
    </row>
    <row r="20774" spans="1:7" x14ac:dyDescent="0.25">
      <c r="A20774" t="s">
        <v>8</v>
      </c>
      <c r="B20774" s="1" t="str">
        <f>"000172009 - RICHS PIZZA DOUGH &amp; ICING-SODX"</f>
        <v>000172009 - RICHS PIZZA DOUGH &amp; ICING-SODX</v>
      </c>
      <c r="C20774" t="s">
        <v>223</v>
      </c>
      <c r="D20774" s="1" t="str">
        <f t="shared" si="562"/>
        <v>PRG-1047656</v>
      </c>
      <c r="E20774" t="s">
        <v>48</v>
      </c>
      <c r="F20774" t="s">
        <v>4</v>
      </c>
      <c r="G20774" t="str">
        <f>""</f>
        <v/>
      </c>
    </row>
    <row r="20775" spans="1:7" x14ac:dyDescent="0.25">
      <c r="A20775" t="s">
        <v>8</v>
      </c>
      <c r="B20775" s="1" t="str">
        <f>"000173977 - RICHS PIZZA DOUGH &amp; ICING-SODX"</f>
        <v>000173977 - RICHS PIZZA DOUGH &amp; ICING-SODX</v>
      </c>
      <c r="C20775" t="s">
        <v>223</v>
      </c>
      <c r="D20775" s="1" t="str">
        <f t="shared" si="562"/>
        <v>PRG-1047656</v>
      </c>
      <c r="E20775" t="s">
        <v>48</v>
      </c>
      <c r="F20775" t="s">
        <v>4</v>
      </c>
      <c r="G20775" t="str">
        <f>""</f>
        <v/>
      </c>
    </row>
    <row r="20776" spans="1:7" x14ac:dyDescent="0.25">
      <c r="A20776" t="s">
        <v>8</v>
      </c>
      <c r="B20776" s="1" t="str">
        <f>"000177533 - RICHS PIZZA DOUGH &amp; ICING-SODX"</f>
        <v>000177533 - RICHS PIZZA DOUGH &amp; ICING-SODX</v>
      </c>
      <c r="C20776" t="s">
        <v>223</v>
      </c>
      <c r="D20776" s="1" t="str">
        <f t="shared" si="562"/>
        <v>PRG-1047656</v>
      </c>
      <c r="E20776" t="s">
        <v>48</v>
      </c>
      <c r="F20776" t="s">
        <v>4</v>
      </c>
      <c r="G20776" t="str">
        <f>""</f>
        <v/>
      </c>
    </row>
    <row r="20777" spans="1:7" x14ac:dyDescent="0.25">
      <c r="A20777" t="s">
        <v>8</v>
      </c>
      <c r="B20777" s="1" t="str">
        <f>"000180447 - RICHS PIZZA DOUGH &amp; ICING-SODX"</f>
        <v>000180447 - RICHS PIZZA DOUGH &amp; ICING-SODX</v>
      </c>
      <c r="C20777" t="s">
        <v>223</v>
      </c>
      <c r="D20777" s="1" t="str">
        <f t="shared" si="562"/>
        <v>PRG-1047656</v>
      </c>
      <c r="E20777" t="s">
        <v>48</v>
      </c>
      <c r="F20777" t="s">
        <v>4</v>
      </c>
      <c r="G20777" t="str">
        <f>""</f>
        <v/>
      </c>
    </row>
    <row r="20778" spans="1:7" x14ac:dyDescent="0.25">
      <c r="A20778" t="s">
        <v>8</v>
      </c>
      <c r="B20778" s="1" t="str">
        <f>"000186929 - RICH PIZZA DOUGH BB CORE-SODX"</f>
        <v>000186929 - RICH PIZZA DOUGH BB CORE-SODX</v>
      </c>
      <c r="C20778" t="s">
        <v>612</v>
      </c>
      <c r="D20778" s="1" t="str">
        <f t="shared" si="562"/>
        <v>PRG-1047656</v>
      </c>
      <c r="E20778" t="s">
        <v>48</v>
      </c>
      <c r="F20778" t="s">
        <v>4</v>
      </c>
      <c r="G20778" t="str">
        <f>""</f>
        <v/>
      </c>
    </row>
    <row r="20779" spans="1:7" x14ac:dyDescent="0.25">
      <c r="A20779" t="s">
        <v>8</v>
      </c>
      <c r="B20779" s="1" t="str">
        <f>"000186930 - RICH PIZZA DOUGH BB NCORE-SODX"</f>
        <v>000186930 - RICH PIZZA DOUGH BB NCORE-SODX</v>
      </c>
      <c r="C20779" t="s">
        <v>613</v>
      </c>
      <c r="D20779" s="1" t="str">
        <f t="shared" si="562"/>
        <v>PRG-1047656</v>
      </c>
      <c r="E20779" t="s">
        <v>48</v>
      </c>
      <c r="F20779" t="s">
        <v>4</v>
      </c>
      <c r="G20779" t="str">
        <f>""</f>
        <v/>
      </c>
    </row>
    <row r="20780" spans="1:7" x14ac:dyDescent="0.25">
      <c r="A20780" t="s">
        <v>8</v>
      </c>
      <c r="B20780" s="1" t="str">
        <f>"000188840 - RICHS DOUGH&amp;ICING-SODEXO"</f>
        <v>000188840 - RICHS DOUGH&amp;ICING-SODEXO</v>
      </c>
      <c r="C20780" t="s">
        <v>504</v>
      </c>
      <c r="D20780" s="1" t="str">
        <f t="shared" si="562"/>
        <v>PRG-1047656</v>
      </c>
      <c r="E20780" t="s">
        <v>48</v>
      </c>
      <c r="F20780" t="s">
        <v>4</v>
      </c>
      <c r="G20780" t="str">
        <f>""</f>
        <v/>
      </c>
    </row>
    <row r="20781" spans="1:7" x14ac:dyDescent="0.25">
      <c r="A20781" t="s">
        <v>8</v>
      </c>
      <c r="B20781" s="1" t="str">
        <f>"000189000 - RICHS ICING&amp;DOUGH-SODEXO"</f>
        <v>000189000 - RICHS ICING&amp;DOUGH-SODEXO</v>
      </c>
      <c r="C20781" t="s">
        <v>303</v>
      </c>
      <c r="D20781" s="1" t="str">
        <f t="shared" si="562"/>
        <v>PRG-1047656</v>
      </c>
      <c r="E20781" t="s">
        <v>48</v>
      </c>
      <c r="F20781" t="s">
        <v>4</v>
      </c>
      <c r="G20781" t="str">
        <f>""</f>
        <v/>
      </c>
    </row>
    <row r="20782" spans="1:7" x14ac:dyDescent="0.25">
      <c r="A20782" t="s">
        <v>8</v>
      </c>
      <c r="B20782" s="1" t="str">
        <f>"000189188 - RICHS PIZZA DOUGH CORE BB-SODX"</f>
        <v>000189188 - RICHS PIZZA DOUGH CORE BB-SODX</v>
      </c>
      <c r="C20782" t="s">
        <v>112</v>
      </c>
      <c r="D20782" s="1" t="str">
        <f t="shared" si="562"/>
        <v>PRG-1047656</v>
      </c>
      <c r="E20782" t="s">
        <v>48</v>
      </c>
      <c r="F20782" t="s">
        <v>4</v>
      </c>
      <c r="G20782" t="str">
        <f>""</f>
        <v/>
      </c>
    </row>
    <row r="20783" spans="1:7" x14ac:dyDescent="0.25">
      <c r="A20783" t="s">
        <v>8</v>
      </c>
      <c r="B20783" s="1" t="str">
        <f>"000189189 - RICH PIZZA DOUGH NCORE BB-SODX"</f>
        <v>000189189 - RICH PIZZA DOUGH NCORE BB-SODX</v>
      </c>
      <c r="C20783" t="s">
        <v>113</v>
      </c>
      <c r="D20783" s="1" t="str">
        <f t="shared" si="562"/>
        <v>PRG-1047656</v>
      </c>
      <c r="E20783" t="s">
        <v>48</v>
      </c>
      <c r="F20783" t="s">
        <v>4</v>
      </c>
      <c r="G20783" t="str">
        <f>""</f>
        <v/>
      </c>
    </row>
    <row r="20784" spans="1:7" x14ac:dyDescent="0.25">
      <c r="A20784" t="s">
        <v>8</v>
      </c>
      <c r="B20784" s="1" t="str">
        <f>"000189369 - RICHS DOUGH&amp;ICING-SODEXO"</f>
        <v>000189369 - RICHS DOUGH&amp;ICING-SODEXO</v>
      </c>
      <c r="C20784" t="s">
        <v>504</v>
      </c>
      <c r="D20784" s="1" t="str">
        <f t="shared" si="562"/>
        <v>PRG-1047656</v>
      </c>
      <c r="E20784" t="s">
        <v>48</v>
      </c>
      <c r="F20784" t="s">
        <v>4</v>
      </c>
      <c r="G20784" t="str">
        <f>""</f>
        <v/>
      </c>
    </row>
    <row r="20785" spans="1:7" x14ac:dyDescent="0.25">
      <c r="A20785" t="s">
        <v>8</v>
      </c>
      <c r="B20785" s="1" t="str">
        <f>"000195141 - RICHS DOUGH ICING-SODEXO"</f>
        <v>000195141 - RICHS DOUGH ICING-SODEXO</v>
      </c>
      <c r="C20785" t="s">
        <v>552</v>
      </c>
      <c r="D20785" s="1" t="str">
        <f t="shared" si="562"/>
        <v>PRG-1047656</v>
      </c>
      <c r="E20785" t="s">
        <v>48</v>
      </c>
      <c r="F20785" t="s">
        <v>4</v>
      </c>
      <c r="G20785" t="str">
        <f>""</f>
        <v/>
      </c>
    </row>
    <row r="20786" spans="1:7" x14ac:dyDescent="0.25">
      <c r="A20786" t="s">
        <v>8</v>
      </c>
      <c r="B20786" s="1" t="str">
        <f>"000200250 - RICHS DOUGH ICING-SODEXO"</f>
        <v>000200250 - RICHS DOUGH ICING-SODEXO</v>
      </c>
      <c r="C20786" t="s">
        <v>552</v>
      </c>
      <c r="D20786" s="1" t="str">
        <f t="shared" si="562"/>
        <v>PRG-1047656</v>
      </c>
      <c r="E20786" t="s">
        <v>48</v>
      </c>
      <c r="F20786" t="s">
        <v>4</v>
      </c>
      <c r="G20786" t="str">
        <f>""</f>
        <v/>
      </c>
    </row>
    <row r="20787" spans="1:7" x14ac:dyDescent="0.25">
      <c r="A20787" t="s">
        <v>8</v>
      </c>
      <c r="B20787" s="1" t="str">
        <f>"000203240 - RICHS PIZZA DOUGH BB CORE-SODX"</f>
        <v>000203240 - RICHS PIZZA DOUGH BB CORE-SODX</v>
      </c>
      <c r="C20787" t="s">
        <v>275</v>
      </c>
      <c r="D20787" s="1" t="str">
        <f t="shared" ref="D20787:D20850" si="563">"PRG-1047656"</f>
        <v>PRG-1047656</v>
      </c>
      <c r="E20787" t="s">
        <v>48</v>
      </c>
      <c r="F20787" t="s">
        <v>4</v>
      </c>
      <c r="G20787" t="str">
        <f>""</f>
        <v/>
      </c>
    </row>
    <row r="20788" spans="1:7" x14ac:dyDescent="0.25">
      <c r="A20788" t="s">
        <v>8</v>
      </c>
      <c r="B20788" s="1" t="str">
        <f>"000203241 - RICH PIZZA DOUGH NCORE BB-SODX"</f>
        <v>000203241 - RICH PIZZA DOUGH NCORE BB-SODX</v>
      </c>
      <c r="C20788" t="s">
        <v>113</v>
      </c>
      <c r="D20788" s="1" t="str">
        <f t="shared" si="563"/>
        <v>PRG-1047656</v>
      </c>
      <c r="E20788" t="s">
        <v>48</v>
      </c>
      <c r="F20788" t="s">
        <v>4</v>
      </c>
      <c r="G20788" t="str">
        <f>""</f>
        <v/>
      </c>
    </row>
    <row r="20789" spans="1:7" x14ac:dyDescent="0.25">
      <c r="A20789" t="s">
        <v>8</v>
      </c>
      <c r="B20789" s="1" t="str">
        <f>"000209013 - RICH PIZZA DOUGH BB CORE-SODX"</f>
        <v>000209013 - RICH PIZZA DOUGH BB CORE-SODX</v>
      </c>
      <c r="C20789" t="s">
        <v>612</v>
      </c>
      <c r="D20789" s="1" t="str">
        <f t="shared" si="563"/>
        <v>PRG-1047656</v>
      </c>
      <c r="E20789" t="s">
        <v>48</v>
      </c>
      <c r="F20789" t="s">
        <v>4</v>
      </c>
      <c r="G20789" t="str">
        <f>""</f>
        <v/>
      </c>
    </row>
    <row r="20790" spans="1:7" x14ac:dyDescent="0.25">
      <c r="A20790" t="s">
        <v>8</v>
      </c>
      <c r="B20790" s="1" t="str">
        <f>"000209014 - RICH PIZZA DOUGH BB NCORE-SODX"</f>
        <v>000209014 - RICH PIZZA DOUGH BB NCORE-SODX</v>
      </c>
      <c r="C20790" t="s">
        <v>613</v>
      </c>
      <c r="D20790" s="1" t="str">
        <f t="shared" si="563"/>
        <v>PRG-1047656</v>
      </c>
      <c r="E20790" t="s">
        <v>48</v>
      </c>
      <c r="F20790" t="s">
        <v>4</v>
      </c>
      <c r="G20790" t="str">
        <f>""</f>
        <v/>
      </c>
    </row>
    <row r="20791" spans="1:7" x14ac:dyDescent="0.25">
      <c r="A20791" t="s">
        <v>8</v>
      </c>
      <c r="B20791" s="1" t="str">
        <f>"000209051 - RICHS PIZZA DOUGH&amp;ICING-SODEXO"</f>
        <v>000209051 - RICHS PIZZA DOUGH&amp;ICING-SODEXO</v>
      </c>
      <c r="C20791" t="s">
        <v>288</v>
      </c>
      <c r="D20791" s="1" t="str">
        <f t="shared" si="563"/>
        <v>PRG-1047656</v>
      </c>
      <c r="E20791" t="s">
        <v>48</v>
      </c>
      <c r="F20791" t="s">
        <v>4</v>
      </c>
      <c r="G20791" t="str">
        <f>""</f>
        <v/>
      </c>
    </row>
    <row r="20792" spans="1:7" x14ac:dyDescent="0.25">
      <c r="A20792" t="s">
        <v>8</v>
      </c>
      <c r="B20792" s="1" t="str">
        <f>"000209815 - RICHS ICING&amp;DOUGH-SODEXO"</f>
        <v>000209815 - RICHS ICING&amp;DOUGH-SODEXO</v>
      </c>
      <c r="C20792" t="s">
        <v>303</v>
      </c>
      <c r="D20792" s="1" t="str">
        <f t="shared" si="563"/>
        <v>PRG-1047656</v>
      </c>
      <c r="E20792" t="s">
        <v>48</v>
      </c>
      <c r="F20792" t="s">
        <v>4</v>
      </c>
      <c r="G20792" t="str">
        <f>""</f>
        <v/>
      </c>
    </row>
    <row r="20793" spans="1:7" x14ac:dyDescent="0.25">
      <c r="A20793" t="s">
        <v>8</v>
      </c>
      <c r="B20793" s="1" t="str">
        <f>"000211751 - RICHS PIZZA DOUGH CORE BB-SODX"</f>
        <v>000211751 - RICHS PIZZA DOUGH CORE BB-SODX</v>
      </c>
      <c r="C20793" t="s">
        <v>112</v>
      </c>
      <c r="D20793" s="1" t="str">
        <f t="shared" si="563"/>
        <v>PRG-1047656</v>
      </c>
      <c r="E20793" t="s">
        <v>48</v>
      </c>
      <c r="F20793" t="s">
        <v>4</v>
      </c>
      <c r="G20793" t="str">
        <f>""</f>
        <v/>
      </c>
    </row>
    <row r="20794" spans="1:7" x14ac:dyDescent="0.25">
      <c r="A20794" t="s">
        <v>8</v>
      </c>
      <c r="B20794" s="1" t="str">
        <f>"000211752 - RICH PIZZA DOUGH NCORE BB-SODX"</f>
        <v>000211752 - RICH PIZZA DOUGH NCORE BB-SODX</v>
      </c>
      <c r="C20794" t="s">
        <v>113</v>
      </c>
      <c r="D20794" s="1" t="str">
        <f t="shared" si="563"/>
        <v>PRG-1047656</v>
      </c>
      <c r="E20794" t="s">
        <v>48</v>
      </c>
      <c r="F20794" t="s">
        <v>4</v>
      </c>
      <c r="G20794" t="str">
        <f>""</f>
        <v/>
      </c>
    </row>
    <row r="20795" spans="1:7" x14ac:dyDescent="0.25">
      <c r="A20795" t="s">
        <v>8</v>
      </c>
      <c r="B20795" s="1" t="str">
        <f>"000217178 - RICHS PIZZA DOUGH &amp; ICING-SODX"</f>
        <v>000217178 - RICHS PIZZA DOUGH &amp; ICING-SODX</v>
      </c>
      <c r="C20795" t="s">
        <v>223</v>
      </c>
      <c r="D20795" s="1" t="str">
        <f t="shared" si="563"/>
        <v>PRG-1047656</v>
      </c>
      <c r="E20795" t="s">
        <v>48</v>
      </c>
      <c r="F20795" t="s">
        <v>4</v>
      </c>
      <c r="G20795" t="str">
        <f>""</f>
        <v/>
      </c>
    </row>
    <row r="20796" spans="1:7" x14ac:dyDescent="0.25">
      <c r="A20796" t="s">
        <v>8</v>
      </c>
      <c r="B20796" s="1" t="str">
        <f>"000223799 - RICHS PIZZA DOUGH BB-SODEXO"</f>
        <v>000223799 - RICHS PIZZA DOUGH BB-SODEXO</v>
      </c>
      <c r="C20796" t="s">
        <v>582</v>
      </c>
      <c r="D20796" s="1" t="str">
        <f t="shared" si="563"/>
        <v>PRG-1047656</v>
      </c>
      <c r="E20796" t="s">
        <v>48</v>
      </c>
      <c r="F20796" t="s">
        <v>4</v>
      </c>
      <c r="G20796" t="str">
        <f>""</f>
        <v/>
      </c>
    </row>
    <row r="20797" spans="1:7" x14ac:dyDescent="0.25">
      <c r="A20797" t="s">
        <v>8</v>
      </c>
      <c r="B20797" s="1" t="str">
        <f>"000228281 - RICHS DOUGH&amp;ICING-SODEXO"</f>
        <v>000228281 - RICHS DOUGH&amp;ICING-SODEXO</v>
      </c>
      <c r="C20797" t="s">
        <v>504</v>
      </c>
      <c r="D20797" s="1" t="str">
        <f t="shared" si="563"/>
        <v>PRG-1047656</v>
      </c>
      <c r="E20797" t="s">
        <v>48</v>
      </c>
      <c r="F20797" t="s">
        <v>4</v>
      </c>
      <c r="G20797" t="str">
        <f>""</f>
        <v/>
      </c>
    </row>
    <row r="20798" spans="1:7" x14ac:dyDescent="0.25">
      <c r="A20798" t="s">
        <v>8</v>
      </c>
      <c r="B20798" s="1" t="str">
        <f>"000231795 - RICHS ICING&amp;DOUGH-SODEXO"</f>
        <v>000231795 - RICHS ICING&amp;DOUGH-SODEXO</v>
      </c>
      <c r="C20798" t="s">
        <v>303</v>
      </c>
      <c r="D20798" s="1" t="str">
        <f t="shared" si="563"/>
        <v>PRG-1047656</v>
      </c>
      <c r="E20798" t="s">
        <v>48</v>
      </c>
      <c r="F20798" t="s">
        <v>4</v>
      </c>
      <c r="G20798" t="str">
        <f>""</f>
        <v/>
      </c>
    </row>
    <row r="20799" spans="1:7" x14ac:dyDescent="0.25">
      <c r="A20799" t="s">
        <v>8</v>
      </c>
      <c r="B20799" s="1" t="str">
        <f>"000237360 - RICH PIZZA DOUGH BB CORE-SODX"</f>
        <v>000237360 - RICH PIZZA DOUGH BB CORE-SODX</v>
      </c>
      <c r="C20799" t="s">
        <v>612</v>
      </c>
      <c r="D20799" s="1" t="str">
        <f t="shared" si="563"/>
        <v>PRG-1047656</v>
      </c>
      <c r="E20799" t="s">
        <v>48</v>
      </c>
      <c r="F20799" t="s">
        <v>4</v>
      </c>
      <c r="G20799" t="str">
        <f>""</f>
        <v/>
      </c>
    </row>
    <row r="20800" spans="1:7" x14ac:dyDescent="0.25">
      <c r="A20800" t="s">
        <v>8</v>
      </c>
      <c r="B20800" s="1" t="str">
        <f>"000237662 - RICHS ICING&amp;DOUGH-SODEXO"</f>
        <v>000237662 - RICHS ICING&amp;DOUGH-SODEXO</v>
      </c>
      <c r="C20800" t="s">
        <v>303</v>
      </c>
      <c r="D20800" s="1" t="str">
        <f t="shared" si="563"/>
        <v>PRG-1047656</v>
      </c>
      <c r="E20800" t="s">
        <v>48</v>
      </c>
      <c r="F20800" t="s">
        <v>4</v>
      </c>
      <c r="G20800" t="str">
        <f>""</f>
        <v/>
      </c>
    </row>
    <row r="20801" spans="1:7" x14ac:dyDescent="0.25">
      <c r="A20801" t="s">
        <v>8</v>
      </c>
      <c r="B20801" s="1" t="str">
        <f>"000238660 - RICHS PIZZA DOUGH&amp;ICING-SODEXO"</f>
        <v>000238660 - RICHS PIZZA DOUGH&amp;ICING-SODEXO</v>
      </c>
      <c r="C20801" t="s">
        <v>288</v>
      </c>
      <c r="D20801" s="1" t="str">
        <f t="shared" si="563"/>
        <v>PRG-1047656</v>
      </c>
      <c r="E20801" t="s">
        <v>48</v>
      </c>
      <c r="F20801" t="s">
        <v>4</v>
      </c>
      <c r="G20801" t="str">
        <f>""</f>
        <v/>
      </c>
    </row>
    <row r="20802" spans="1:7" x14ac:dyDescent="0.25">
      <c r="A20802" t="s">
        <v>8</v>
      </c>
      <c r="B20802" s="1" t="str">
        <f>"000239858 - RICHS ICING&amp;DOUGH-SODEXO"</f>
        <v>000239858 - RICHS ICING&amp;DOUGH-SODEXO</v>
      </c>
      <c r="C20802" t="s">
        <v>303</v>
      </c>
      <c r="D20802" s="1" t="str">
        <f t="shared" si="563"/>
        <v>PRG-1047656</v>
      </c>
      <c r="E20802" t="s">
        <v>48</v>
      </c>
      <c r="F20802" t="s">
        <v>4</v>
      </c>
      <c r="G20802" t="str">
        <f>""</f>
        <v/>
      </c>
    </row>
    <row r="20803" spans="1:7" x14ac:dyDescent="0.25">
      <c r="A20803" t="s">
        <v>8</v>
      </c>
      <c r="B20803" s="1" t="str">
        <f>"000243967 - RICH PIZZA DOUGH BB CORE-SODX"</f>
        <v>000243967 - RICH PIZZA DOUGH BB CORE-SODX</v>
      </c>
      <c r="C20803" t="s">
        <v>612</v>
      </c>
      <c r="D20803" s="1" t="str">
        <f t="shared" si="563"/>
        <v>PRG-1047656</v>
      </c>
      <c r="E20803" t="s">
        <v>48</v>
      </c>
      <c r="F20803" t="s">
        <v>4</v>
      </c>
      <c r="G20803" t="str">
        <f>""</f>
        <v/>
      </c>
    </row>
    <row r="20804" spans="1:7" x14ac:dyDescent="0.25">
      <c r="A20804" t="s">
        <v>8</v>
      </c>
      <c r="B20804" s="1" t="str">
        <f>"000243968 - RICH PIZZA DOUGH BB NCORE-SODX"</f>
        <v>000243968 - RICH PIZZA DOUGH BB NCORE-SODX</v>
      </c>
      <c r="C20804" t="s">
        <v>613</v>
      </c>
      <c r="D20804" s="1" t="str">
        <f t="shared" si="563"/>
        <v>PRG-1047656</v>
      </c>
      <c r="E20804" t="s">
        <v>48</v>
      </c>
      <c r="F20804" t="s">
        <v>4</v>
      </c>
      <c r="G20804" t="str">
        <f>""</f>
        <v/>
      </c>
    </row>
    <row r="20805" spans="1:7" x14ac:dyDescent="0.25">
      <c r="A20805" t="s">
        <v>8</v>
      </c>
      <c r="B20805" s="1" t="str">
        <f>"000245088 - RICHS PIZZA DOUGH &amp; ICING-SODX"</f>
        <v>000245088 - RICHS PIZZA DOUGH &amp; ICING-SODX</v>
      </c>
      <c r="C20805" t="s">
        <v>223</v>
      </c>
      <c r="D20805" s="1" t="str">
        <f t="shared" si="563"/>
        <v>PRG-1047656</v>
      </c>
      <c r="E20805" t="s">
        <v>48</v>
      </c>
      <c r="F20805" t="s">
        <v>4</v>
      </c>
      <c r="G20805" t="str">
        <f>""</f>
        <v/>
      </c>
    </row>
    <row r="20806" spans="1:7" x14ac:dyDescent="0.25">
      <c r="A20806" t="s">
        <v>8</v>
      </c>
      <c r="B20806" s="1" t="str">
        <f>"000245960 - RICHS ICING&amp;DOUGH-SODEXO"</f>
        <v>000245960 - RICHS ICING&amp;DOUGH-SODEXO</v>
      </c>
      <c r="C20806" t="s">
        <v>303</v>
      </c>
      <c r="D20806" s="1" t="str">
        <f t="shared" si="563"/>
        <v>PRG-1047656</v>
      </c>
      <c r="E20806" t="s">
        <v>48</v>
      </c>
      <c r="F20806" t="s">
        <v>4</v>
      </c>
      <c r="G20806" t="str">
        <f>""</f>
        <v/>
      </c>
    </row>
    <row r="20807" spans="1:7" x14ac:dyDescent="0.25">
      <c r="A20807" t="s">
        <v>8</v>
      </c>
      <c r="B20807" s="1" t="str">
        <f>"000247481 - RICHS PIZZA DOUGH CORE BB-SODX"</f>
        <v>000247481 - RICHS PIZZA DOUGH CORE BB-SODX</v>
      </c>
      <c r="C20807" t="s">
        <v>112</v>
      </c>
      <c r="D20807" s="1" t="str">
        <f t="shared" si="563"/>
        <v>PRG-1047656</v>
      </c>
      <c r="E20807" t="s">
        <v>48</v>
      </c>
      <c r="F20807" t="s">
        <v>4</v>
      </c>
      <c r="G20807" t="str">
        <f>""</f>
        <v/>
      </c>
    </row>
    <row r="20808" spans="1:7" x14ac:dyDescent="0.25">
      <c r="A20808" t="s">
        <v>8</v>
      </c>
      <c r="B20808" s="1" t="str">
        <f>"000247482 - RICH PIZZA DOUGH NCORE BB-SODX"</f>
        <v>000247482 - RICH PIZZA DOUGH NCORE BB-SODX</v>
      </c>
      <c r="C20808" t="s">
        <v>113</v>
      </c>
      <c r="D20808" s="1" t="str">
        <f t="shared" si="563"/>
        <v>PRG-1047656</v>
      </c>
      <c r="E20808" t="s">
        <v>48</v>
      </c>
      <c r="F20808" t="s">
        <v>4</v>
      </c>
      <c r="G20808" t="str">
        <f>""</f>
        <v/>
      </c>
    </row>
    <row r="20809" spans="1:7" x14ac:dyDescent="0.25">
      <c r="A20809" t="s">
        <v>8</v>
      </c>
      <c r="B20809" s="1" t="str">
        <f>"000249222 - RICH PIZZA DOUGH BB NCORE-SODX"</f>
        <v>000249222 - RICH PIZZA DOUGH BB NCORE-SODX</v>
      </c>
      <c r="C20809" t="s">
        <v>613</v>
      </c>
      <c r="D20809" s="1" t="str">
        <f t="shared" si="563"/>
        <v>PRG-1047656</v>
      </c>
      <c r="E20809" t="s">
        <v>48</v>
      </c>
      <c r="F20809" t="s">
        <v>4</v>
      </c>
      <c r="G20809" t="str">
        <f>""</f>
        <v/>
      </c>
    </row>
    <row r="20810" spans="1:7" x14ac:dyDescent="0.25">
      <c r="A20810" t="s">
        <v>8</v>
      </c>
      <c r="B20810" s="1" t="str">
        <f>"000250094 - RICHS PIZZA DOUGH &amp; ICING-SODX"</f>
        <v>000250094 - RICHS PIZZA DOUGH &amp; ICING-SODX</v>
      </c>
      <c r="C20810" t="s">
        <v>223</v>
      </c>
      <c r="D20810" s="1" t="str">
        <f t="shared" si="563"/>
        <v>PRG-1047656</v>
      </c>
      <c r="E20810" t="s">
        <v>48</v>
      </c>
      <c r="F20810" t="s">
        <v>4</v>
      </c>
      <c r="G20810" t="str">
        <f>""</f>
        <v/>
      </c>
    </row>
    <row r="20811" spans="1:7" x14ac:dyDescent="0.25">
      <c r="A20811" t="s">
        <v>8</v>
      </c>
      <c r="B20811" s="1" t="str">
        <f>"000251720 - RICHS PIZZA DOUGH BB-SODEXO"</f>
        <v>000251720 - RICHS PIZZA DOUGH BB-SODEXO</v>
      </c>
      <c r="C20811" t="s">
        <v>582</v>
      </c>
      <c r="D20811" s="1" t="str">
        <f t="shared" si="563"/>
        <v>PRG-1047656</v>
      </c>
      <c r="E20811" t="s">
        <v>48</v>
      </c>
      <c r="F20811" t="s">
        <v>4</v>
      </c>
      <c r="G20811" t="str">
        <f>""</f>
        <v/>
      </c>
    </row>
    <row r="20812" spans="1:7" x14ac:dyDescent="0.25">
      <c r="A20812" t="s">
        <v>8</v>
      </c>
      <c r="B20812" s="1" t="str">
        <f>"000252106 - RICHS PIZZA DOUGH &amp; ICING-SODX"</f>
        <v>000252106 - RICHS PIZZA DOUGH &amp; ICING-SODX</v>
      </c>
      <c r="C20812" t="s">
        <v>223</v>
      </c>
      <c r="D20812" s="1" t="str">
        <f t="shared" si="563"/>
        <v>PRG-1047656</v>
      </c>
      <c r="E20812" t="s">
        <v>48</v>
      </c>
      <c r="F20812" t="s">
        <v>4</v>
      </c>
      <c r="G20812" t="str">
        <f>""</f>
        <v/>
      </c>
    </row>
    <row r="20813" spans="1:7" x14ac:dyDescent="0.25">
      <c r="A20813" t="s">
        <v>8</v>
      </c>
      <c r="B20813" s="1" t="str">
        <f>"000253569 - RICHS PIZZA DOUGH BB-SODEXO"</f>
        <v>000253569 - RICHS PIZZA DOUGH BB-SODEXO</v>
      </c>
      <c r="C20813" t="s">
        <v>582</v>
      </c>
      <c r="D20813" s="1" t="str">
        <f t="shared" si="563"/>
        <v>PRG-1047656</v>
      </c>
      <c r="E20813" t="s">
        <v>48</v>
      </c>
      <c r="F20813" t="s">
        <v>4</v>
      </c>
      <c r="G20813" t="str">
        <f>""</f>
        <v/>
      </c>
    </row>
    <row r="20814" spans="1:7" x14ac:dyDescent="0.25">
      <c r="A20814" t="s">
        <v>8</v>
      </c>
      <c r="B20814" s="1" t="str">
        <f>"000254705 - RICHS PIZZA DOUGH &amp; ICING-SODX"</f>
        <v>000254705 - RICHS PIZZA DOUGH &amp; ICING-SODX</v>
      </c>
      <c r="C20814" t="s">
        <v>223</v>
      </c>
      <c r="D20814" s="1" t="str">
        <f t="shared" si="563"/>
        <v>PRG-1047656</v>
      </c>
      <c r="E20814" t="s">
        <v>48</v>
      </c>
      <c r="F20814" t="s">
        <v>4</v>
      </c>
      <c r="G20814" t="str">
        <f>""</f>
        <v/>
      </c>
    </row>
    <row r="20815" spans="1:7" x14ac:dyDescent="0.25">
      <c r="A20815" t="s">
        <v>8</v>
      </c>
      <c r="B20815" s="1" t="str">
        <f>"000254977 - RICHS ICING&amp;DOUGH-SODEXO"</f>
        <v>000254977 - RICHS ICING&amp;DOUGH-SODEXO</v>
      </c>
      <c r="C20815" t="s">
        <v>303</v>
      </c>
      <c r="D20815" s="1" t="str">
        <f t="shared" si="563"/>
        <v>PRG-1047656</v>
      </c>
      <c r="E20815" t="s">
        <v>48</v>
      </c>
      <c r="F20815" t="s">
        <v>4</v>
      </c>
      <c r="G20815" t="str">
        <f>""</f>
        <v/>
      </c>
    </row>
    <row r="20816" spans="1:7" x14ac:dyDescent="0.25">
      <c r="A20816" t="s">
        <v>8</v>
      </c>
      <c r="B20816" s="1" t="str">
        <f>"000257558 - RICHS DOUGH&amp;ICING-SODEXO"</f>
        <v>000257558 - RICHS DOUGH&amp;ICING-SODEXO</v>
      </c>
      <c r="C20816" t="s">
        <v>504</v>
      </c>
      <c r="D20816" s="1" t="str">
        <f t="shared" si="563"/>
        <v>PRG-1047656</v>
      </c>
      <c r="E20816" t="s">
        <v>48</v>
      </c>
      <c r="F20816" t="s">
        <v>4</v>
      </c>
      <c r="G20816" t="str">
        <f>""</f>
        <v/>
      </c>
    </row>
    <row r="20817" spans="1:7" x14ac:dyDescent="0.25">
      <c r="A20817" t="s">
        <v>8</v>
      </c>
      <c r="B20817" s="1" t="str">
        <f>"000258622 - RICHS PIZZA DOUGH&amp;ICING-SODEXO"</f>
        <v>000258622 - RICHS PIZZA DOUGH&amp;ICING-SODEXO</v>
      </c>
      <c r="C20817" t="s">
        <v>288</v>
      </c>
      <c r="D20817" s="1" t="str">
        <f t="shared" si="563"/>
        <v>PRG-1047656</v>
      </c>
      <c r="E20817" t="s">
        <v>48</v>
      </c>
      <c r="F20817" t="s">
        <v>4</v>
      </c>
      <c r="G20817" t="str">
        <f>""</f>
        <v/>
      </c>
    </row>
    <row r="20818" spans="1:7" x14ac:dyDescent="0.25">
      <c r="A20818" t="s">
        <v>8</v>
      </c>
      <c r="B20818" s="1" t="str">
        <f>"000261864 - RICHS ICING&amp;DOUGH-SODEXO"</f>
        <v>000261864 - RICHS ICING&amp;DOUGH-SODEXO</v>
      </c>
      <c r="C20818" t="s">
        <v>303</v>
      </c>
      <c r="D20818" s="1" t="str">
        <f t="shared" si="563"/>
        <v>PRG-1047656</v>
      </c>
      <c r="E20818" t="s">
        <v>48</v>
      </c>
      <c r="F20818" t="s">
        <v>4</v>
      </c>
      <c r="G20818" t="str">
        <f>""</f>
        <v/>
      </c>
    </row>
    <row r="20819" spans="1:7" x14ac:dyDescent="0.25">
      <c r="A20819" t="s">
        <v>8</v>
      </c>
      <c r="B20819" s="1" t="str">
        <f>"000262689 - RICHS ICING&amp;DOUGH-SODEXO"</f>
        <v>000262689 - RICHS ICING&amp;DOUGH-SODEXO</v>
      </c>
      <c r="C20819" t="s">
        <v>303</v>
      </c>
      <c r="D20819" s="1" t="str">
        <f t="shared" si="563"/>
        <v>PRG-1047656</v>
      </c>
      <c r="E20819" t="s">
        <v>48</v>
      </c>
      <c r="F20819" t="s">
        <v>4</v>
      </c>
      <c r="G20819" t="str">
        <f>""</f>
        <v/>
      </c>
    </row>
    <row r="20820" spans="1:7" x14ac:dyDescent="0.25">
      <c r="A20820" t="s">
        <v>8</v>
      </c>
      <c r="B20820" s="1" t="str">
        <f>"000263819 - RICHS DOUGH ICING-SODEXO"</f>
        <v>000263819 - RICHS DOUGH ICING-SODEXO</v>
      </c>
      <c r="C20820" t="s">
        <v>552</v>
      </c>
      <c r="D20820" s="1" t="str">
        <f t="shared" si="563"/>
        <v>PRG-1047656</v>
      </c>
      <c r="E20820" t="s">
        <v>48</v>
      </c>
      <c r="F20820" t="s">
        <v>4</v>
      </c>
      <c r="G20820" t="str">
        <f>""</f>
        <v/>
      </c>
    </row>
    <row r="20821" spans="1:7" x14ac:dyDescent="0.25">
      <c r="A20821" t="s">
        <v>8</v>
      </c>
      <c r="B20821" s="1" t="str">
        <f>"000264881 - RICH PIZZA DOUGH BB NCORE-SOD"</f>
        <v>000264881 - RICH PIZZA DOUGH BB NCORE-SOD</v>
      </c>
      <c r="C20821" t="s">
        <v>2378</v>
      </c>
      <c r="D20821" s="1" t="str">
        <f t="shared" si="563"/>
        <v>PRG-1047656</v>
      </c>
      <c r="E20821" t="s">
        <v>48</v>
      </c>
      <c r="F20821" t="s">
        <v>4</v>
      </c>
      <c r="G20821" t="str">
        <f>""</f>
        <v/>
      </c>
    </row>
    <row r="20822" spans="1:7" x14ac:dyDescent="0.25">
      <c r="A20822" t="s">
        <v>8</v>
      </c>
      <c r="B20822" s="1" t="str">
        <f>"000266082 - RICHS DOUGH&amp;ICING-SODEXO"</f>
        <v>000266082 - RICHS DOUGH&amp;ICING-SODEXO</v>
      </c>
      <c r="C20822" t="s">
        <v>504</v>
      </c>
      <c r="D20822" s="1" t="str">
        <f t="shared" si="563"/>
        <v>PRG-1047656</v>
      </c>
      <c r="E20822" t="s">
        <v>48</v>
      </c>
      <c r="F20822" t="s">
        <v>4</v>
      </c>
      <c r="G20822" t="str">
        <f>""</f>
        <v/>
      </c>
    </row>
    <row r="20823" spans="1:7" x14ac:dyDescent="0.25">
      <c r="A20823" t="s">
        <v>8</v>
      </c>
      <c r="B20823" s="1" t="str">
        <f>"000266468 - RICHS ICING&amp;DOUGH-SODEXO"</f>
        <v>000266468 - RICHS ICING&amp;DOUGH-SODEXO</v>
      </c>
      <c r="C20823" t="s">
        <v>303</v>
      </c>
      <c r="D20823" s="1" t="str">
        <f t="shared" si="563"/>
        <v>PRG-1047656</v>
      </c>
      <c r="E20823" t="s">
        <v>48</v>
      </c>
      <c r="F20823" t="s">
        <v>4</v>
      </c>
      <c r="G20823" t="str">
        <f>""</f>
        <v/>
      </c>
    </row>
    <row r="20824" spans="1:7" x14ac:dyDescent="0.25">
      <c r="A20824" t="s">
        <v>8</v>
      </c>
      <c r="B20824" s="1" t="str">
        <f>"000267791 - RICHS DOUGH&amp;ICING-SODEXO"</f>
        <v>000267791 - RICHS DOUGH&amp;ICING-SODEXO</v>
      </c>
      <c r="C20824" t="s">
        <v>504</v>
      </c>
      <c r="D20824" s="1" t="str">
        <f t="shared" si="563"/>
        <v>PRG-1047656</v>
      </c>
      <c r="E20824" t="s">
        <v>48</v>
      </c>
      <c r="F20824" t="s">
        <v>4</v>
      </c>
      <c r="G20824" t="str">
        <f>""</f>
        <v/>
      </c>
    </row>
    <row r="20825" spans="1:7" x14ac:dyDescent="0.25">
      <c r="A20825" t="s">
        <v>8</v>
      </c>
      <c r="B20825" s="1" t="str">
        <f>"000268134 - RICHS PIZZA DOUGH &amp; ICING-SODX"</f>
        <v>000268134 - RICHS PIZZA DOUGH &amp; ICING-SODX</v>
      </c>
      <c r="C20825" t="s">
        <v>223</v>
      </c>
      <c r="D20825" s="1" t="str">
        <f t="shared" si="563"/>
        <v>PRG-1047656</v>
      </c>
      <c r="E20825" t="s">
        <v>48</v>
      </c>
      <c r="F20825" t="s">
        <v>4</v>
      </c>
      <c r="G20825" t="str">
        <f>""</f>
        <v/>
      </c>
    </row>
    <row r="20826" spans="1:7" x14ac:dyDescent="0.25">
      <c r="A20826" t="s">
        <v>8</v>
      </c>
      <c r="B20826" s="1" t="str">
        <f>"000269025 - RICHS PIZZA DOUGH &amp; ICING-SODX"</f>
        <v>000269025 - RICHS PIZZA DOUGH &amp; ICING-SODX</v>
      </c>
      <c r="C20826" t="s">
        <v>223</v>
      </c>
      <c r="D20826" s="1" t="str">
        <f t="shared" si="563"/>
        <v>PRG-1047656</v>
      </c>
      <c r="E20826" t="s">
        <v>48</v>
      </c>
      <c r="F20826" t="s">
        <v>4</v>
      </c>
      <c r="G20826" t="str">
        <f>""</f>
        <v/>
      </c>
    </row>
    <row r="20827" spans="1:7" x14ac:dyDescent="0.25">
      <c r="A20827" t="s">
        <v>8</v>
      </c>
      <c r="B20827" s="1" t="str">
        <f>"000270414 - RICHS PIZZA DOUGH BB CORE-SODX"</f>
        <v>000270414 - RICHS PIZZA DOUGH BB CORE-SODX</v>
      </c>
      <c r="C20827" t="s">
        <v>275</v>
      </c>
      <c r="D20827" s="1" t="str">
        <f t="shared" si="563"/>
        <v>PRG-1047656</v>
      </c>
      <c r="E20827" t="s">
        <v>48</v>
      </c>
      <c r="F20827" t="s">
        <v>4</v>
      </c>
      <c r="G20827" t="str">
        <f>""</f>
        <v/>
      </c>
    </row>
    <row r="20828" spans="1:7" x14ac:dyDescent="0.25">
      <c r="A20828" t="s">
        <v>8</v>
      </c>
      <c r="B20828" s="1" t="str">
        <f>"000270415 - RICH PIZZA DOUGH NCORE BB-SODX"</f>
        <v>000270415 - RICH PIZZA DOUGH NCORE BB-SODX</v>
      </c>
      <c r="C20828" t="s">
        <v>113</v>
      </c>
      <c r="D20828" s="1" t="str">
        <f t="shared" si="563"/>
        <v>PRG-1047656</v>
      </c>
      <c r="E20828" t="s">
        <v>48</v>
      </c>
      <c r="F20828" t="s">
        <v>4</v>
      </c>
      <c r="G20828" t="str">
        <f>""</f>
        <v/>
      </c>
    </row>
    <row r="20829" spans="1:7" x14ac:dyDescent="0.25">
      <c r="A20829" t="s">
        <v>8</v>
      </c>
      <c r="B20829" s="1" t="str">
        <f>"000270699 - RICHS ICING&amp;DOUGH-SODEXO"</f>
        <v>000270699 - RICHS ICING&amp;DOUGH-SODEXO</v>
      </c>
      <c r="C20829" t="s">
        <v>303</v>
      </c>
      <c r="D20829" s="1" t="str">
        <f t="shared" si="563"/>
        <v>PRG-1047656</v>
      </c>
      <c r="E20829" t="s">
        <v>48</v>
      </c>
      <c r="F20829" t="s">
        <v>4</v>
      </c>
      <c r="G20829" t="str">
        <f>""</f>
        <v/>
      </c>
    </row>
    <row r="20830" spans="1:7" x14ac:dyDescent="0.25">
      <c r="A20830" t="s">
        <v>8</v>
      </c>
      <c r="B20830" s="1" t="str">
        <f>"000270850 - RICHS ICING&amp;DOUGH-SODEXO"</f>
        <v>000270850 - RICHS ICING&amp;DOUGH-SODEXO</v>
      </c>
      <c r="C20830" t="s">
        <v>303</v>
      </c>
      <c r="D20830" s="1" t="str">
        <f t="shared" si="563"/>
        <v>PRG-1047656</v>
      </c>
      <c r="E20830" t="s">
        <v>48</v>
      </c>
      <c r="F20830" t="s">
        <v>4</v>
      </c>
      <c r="G20830" t="str">
        <f>""</f>
        <v/>
      </c>
    </row>
    <row r="20831" spans="1:7" x14ac:dyDescent="0.25">
      <c r="A20831" t="s">
        <v>8</v>
      </c>
      <c r="B20831" s="1" t="str">
        <f>"000272755 - RICH PIZZA DOUGH BB CORE-SODX"</f>
        <v>000272755 - RICH PIZZA DOUGH BB CORE-SODX</v>
      </c>
      <c r="C20831" t="s">
        <v>612</v>
      </c>
      <c r="D20831" s="1" t="str">
        <f t="shared" si="563"/>
        <v>PRG-1047656</v>
      </c>
      <c r="E20831" t="s">
        <v>48</v>
      </c>
      <c r="F20831" t="s">
        <v>4</v>
      </c>
      <c r="G20831" t="str">
        <f>""</f>
        <v/>
      </c>
    </row>
    <row r="20832" spans="1:7" x14ac:dyDescent="0.25">
      <c r="A20832" t="s">
        <v>8</v>
      </c>
      <c r="B20832" s="1" t="str">
        <f>"000273000 - RICHS PIZZA DOUGH &amp; ICING-SODX"</f>
        <v>000273000 - RICHS PIZZA DOUGH &amp; ICING-SODX</v>
      </c>
      <c r="C20832" t="s">
        <v>223</v>
      </c>
      <c r="D20832" s="1" t="str">
        <f t="shared" si="563"/>
        <v>PRG-1047656</v>
      </c>
      <c r="E20832" t="s">
        <v>48</v>
      </c>
      <c r="F20832" t="s">
        <v>4</v>
      </c>
      <c r="G20832" t="str">
        <f>""</f>
        <v/>
      </c>
    </row>
    <row r="20833" spans="1:7" x14ac:dyDescent="0.25">
      <c r="A20833" t="s">
        <v>8</v>
      </c>
      <c r="B20833" s="1" t="str">
        <f>"000273391 - RICHS DOUGH ICING-SODEXO"</f>
        <v>000273391 - RICHS DOUGH ICING-SODEXO</v>
      </c>
      <c r="C20833" t="s">
        <v>552</v>
      </c>
      <c r="D20833" s="1" t="str">
        <f t="shared" si="563"/>
        <v>PRG-1047656</v>
      </c>
      <c r="E20833" t="s">
        <v>48</v>
      </c>
      <c r="F20833" t="s">
        <v>4</v>
      </c>
      <c r="G20833" t="str">
        <f>""</f>
        <v/>
      </c>
    </row>
    <row r="20834" spans="1:7" x14ac:dyDescent="0.25">
      <c r="A20834" t="s">
        <v>8</v>
      </c>
      <c r="B20834" s="1" t="str">
        <f>"000273654 - RICHS DOUGH ICING-SODEXO"</f>
        <v>000273654 - RICHS DOUGH ICING-SODEXO</v>
      </c>
      <c r="C20834" t="s">
        <v>552</v>
      </c>
      <c r="D20834" s="1" t="str">
        <f t="shared" si="563"/>
        <v>PRG-1047656</v>
      </c>
      <c r="E20834" t="s">
        <v>48</v>
      </c>
      <c r="F20834" t="s">
        <v>4</v>
      </c>
      <c r="G20834" t="str">
        <f>""</f>
        <v/>
      </c>
    </row>
    <row r="20835" spans="1:7" x14ac:dyDescent="0.25">
      <c r="A20835" t="s">
        <v>8</v>
      </c>
      <c r="B20835" s="1" t="str">
        <f>"000274314 - RICHS DOUGH&amp;ICING-SODEXO"</f>
        <v>000274314 - RICHS DOUGH&amp;ICING-SODEXO</v>
      </c>
      <c r="C20835" t="s">
        <v>504</v>
      </c>
      <c r="D20835" s="1" t="str">
        <f t="shared" si="563"/>
        <v>PRG-1047656</v>
      </c>
      <c r="E20835" t="s">
        <v>48</v>
      </c>
      <c r="F20835" t="s">
        <v>4</v>
      </c>
      <c r="G20835" t="str">
        <f>""</f>
        <v/>
      </c>
    </row>
    <row r="20836" spans="1:7" x14ac:dyDescent="0.25">
      <c r="A20836" t="s">
        <v>8</v>
      </c>
      <c r="B20836" s="1" t="str">
        <f>"000274657 - RICHS PIZZA DOUGH BB-SODEXO"</f>
        <v>000274657 - RICHS PIZZA DOUGH BB-SODEXO</v>
      </c>
      <c r="C20836" t="s">
        <v>582</v>
      </c>
      <c r="D20836" s="1" t="str">
        <f t="shared" si="563"/>
        <v>PRG-1047656</v>
      </c>
      <c r="E20836" t="s">
        <v>48</v>
      </c>
      <c r="F20836" t="s">
        <v>4</v>
      </c>
      <c r="G20836" t="str">
        <f>""</f>
        <v/>
      </c>
    </row>
    <row r="20837" spans="1:7" x14ac:dyDescent="0.25">
      <c r="A20837" t="s">
        <v>8</v>
      </c>
      <c r="B20837" s="1" t="str">
        <f>"000278404 - RICHS PIZZA DOUGH BB-SODEXO"</f>
        <v>000278404 - RICHS PIZZA DOUGH BB-SODEXO</v>
      </c>
      <c r="C20837" t="s">
        <v>582</v>
      </c>
      <c r="D20837" s="1" t="str">
        <f t="shared" si="563"/>
        <v>PRG-1047656</v>
      </c>
      <c r="E20837" t="s">
        <v>48</v>
      </c>
      <c r="F20837" t="s">
        <v>4</v>
      </c>
      <c r="G20837" t="str">
        <f>""</f>
        <v/>
      </c>
    </row>
    <row r="20838" spans="1:7" x14ac:dyDescent="0.25">
      <c r="A20838" t="s">
        <v>8</v>
      </c>
      <c r="B20838" s="1" t="str">
        <f>"000279517 - RICHS PIZZA DOUGH &amp; ICING-SODX"</f>
        <v>000279517 - RICHS PIZZA DOUGH &amp; ICING-SODX</v>
      </c>
      <c r="C20838" t="s">
        <v>223</v>
      </c>
      <c r="D20838" s="1" t="str">
        <f t="shared" si="563"/>
        <v>PRG-1047656</v>
      </c>
      <c r="E20838" t="s">
        <v>48</v>
      </c>
      <c r="F20838" t="s">
        <v>4</v>
      </c>
      <c r="G20838" t="str">
        <f>""</f>
        <v/>
      </c>
    </row>
    <row r="20839" spans="1:7" x14ac:dyDescent="0.25">
      <c r="A20839" t="s">
        <v>8</v>
      </c>
      <c r="B20839" s="1" t="str">
        <f>"000279544 - RICHS PIZZA DOUGH &amp; ICING-SODX"</f>
        <v>000279544 - RICHS PIZZA DOUGH &amp; ICING-SODX</v>
      </c>
      <c r="C20839" t="s">
        <v>223</v>
      </c>
      <c r="D20839" s="1" t="str">
        <f t="shared" si="563"/>
        <v>PRG-1047656</v>
      </c>
      <c r="E20839" t="s">
        <v>48</v>
      </c>
      <c r="F20839" t="s">
        <v>4</v>
      </c>
      <c r="G20839" t="str">
        <f>""</f>
        <v/>
      </c>
    </row>
    <row r="20840" spans="1:7" x14ac:dyDescent="0.25">
      <c r="A20840" t="s">
        <v>8</v>
      </c>
      <c r="B20840" s="1" t="str">
        <f>"000279890 - RICHS ICING&amp;DOUGH-SODEXO"</f>
        <v>000279890 - RICHS ICING&amp;DOUGH-SODEXO</v>
      </c>
      <c r="C20840" t="s">
        <v>303</v>
      </c>
      <c r="D20840" s="1" t="str">
        <f t="shared" si="563"/>
        <v>PRG-1047656</v>
      </c>
      <c r="E20840" t="s">
        <v>48</v>
      </c>
      <c r="F20840" t="s">
        <v>4</v>
      </c>
      <c r="G20840" t="str">
        <f>""</f>
        <v/>
      </c>
    </row>
    <row r="20841" spans="1:7" x14ac:dyDescent="0.25">
      <c r="A20841" t="s">
        <v>8</v>
      </c>
      <c r="B20841" s="1" t="str">
        <f>"000279910 - RICHS PIZZA DOUGH&amp;ICING-SODEXO"</f>
        <v>000279910 - RICHS PIZZA DOUGH&amp;ICING-SODEXO</v>
      </c>
      <c r="C20841" t="s">
        <v>288</v>
      </c>
      <c r="D20841" s="1" t="str">
        <f t="shared" si="563"/>
        <v>PRG-1047656</v>
      </c>
      <c r="E20841" t="s">
        <v>48</v>
      </c>
      <c r="F20841" t="s">
        <v>4</v>
      </c>
      <c r="G20841" t="str">
        <f>""</f>
        <v/>
      </c>
    </row>
    <row r="20842" spans="1:7" x14ac:dyDescent="0.25">
      <c r="A20842" t="s">
        <v>8</v>
      </c>
      <c r="B20842" s="1" t="str">
        <f>"000280166 - RICHS PIZZA DOUGH &amp; ICING-SODX"</f>
        <v>000280166 - RICHS PIZZA DOUGH &amp; ICING-SODX</v>
      </c>
      <c r="C20842" t="s">
        <v>223</v>
      </c>
      <c r="D20842" s="1" t="str">
        <f t="shared" si="563"/>
        <v>PRG-1047656</v>
      </c>
      <c r="E20842" t="s">
        <v>48</v>
      </c>
      <c r="F20842" t="s">
        <v>4</v>
      </c>
      <c r="G20842" t="str">
        <f>""</f>
        <v/>
      </c>
    </row>
    <row r="20843" spans="1:7" x14ac:dyDescent="0.25">
      <c r="A20843" t="s">
        <v>8</v>
      </c>
      <c r="B20843" s="1" t="str">
        <f>"000282161 - RICH PIZZA DOUGH BB CORE-SODX"</f>
        <v>000282161 - RICH PIZZA DOUGH BB CORE-SODX</v>
      </c>
      <c r="C20843" t="s">
        <v>612</v>
      </c>
      <c r="D20843" s="1" t="str">
        <f t="shared" si="563"/>
        <v>PRG-1047656</v>
      </c>
      <c r="E20843" t="s">
        <v>48</v>
      </c>
      <c r="F20843" t="s">
        <v>4</v>
      </c>
      <c r="G20843" t="str">
        <f>""</f>
        <v/>
      </c>
    </row>
    <row r="20844" spans="1:7" x14ac:dyDescent="0.25">
      <c r="A20844" t="s">
        <v>8</v>
      </c>
      <c r="B20844" s="1" t="str">
        <f>"000282162 - RICH PIZZA DOUGH BB NCORE-SODX"</f>
        <v>000282162 - RICH PIZZA DOUGH BB NCORE-SODX</v>
      </c>
      <c r="C20844" t="s">
        <v>613</v>
      </c>
      <c r="D20844" s="1" t="str">
        <f t="shared" si="563"/>
        <v>PRG-1047656</v>
      </c>
      <c r="E20844" t="s">
        <v>48</v>
      </c>
      <c r="F20844" t="s">
        <v>4</v>
      </c>
      <c r="G20844" t="str">
        <f>""</f>
        <v/>
      </c>
    </row>
    <row r="20845" spans="1:7" x14ac:dyDescent="0.25">
      <c r="A20845" t="s">
        <v>8</v>
      </c>
      <c r="B20845" s="1" t="str">
        <f>"000283550 - RICH PIZZA DOUGH NCOREBB RETRO"</f>
        <v>000283550 - RICH PIZZA DOUGH NCOREBB RETRO</v>
      </c>
      <c r="C20845" t="s">
        <v>2690</v>
      </c>
      <c r="D20845" s="1" t="str">
        <f t="shared" si="563"/>
        <v>PRG-1047656</v>
      </c>
      <c r="E20845" t="s">
        <v>48</v>
      </c>
      <c r="F20845" t="s">
        <v>4</v>
      </c>
      <c r="G20845" t="str">
        <f>""</f>
        <v/>
      </c>
    </row>
    <row r="20846" spans="1:7" x14ac:dyDescent="0.25">
      <c r="A20846" t="s">
        <v>8</v>
      </c>
      <c r="B20846" s="1" t="str">
        <f>"000284132 - RICHS DOUGH&amp;ICING-SODEXO"</f>
        <v>000284132 - RICHS DOUGH&amp;ICING-SODEXO</v>
      </c>
      <c r="C20846" t="s">
        <v>504</v>
      </c>
      <c r="D20846" s="1" t="str">
        <f t="shared" si="563"/>
        <v>PRG-1047656</v>
      </c>
      <c r="E20846" t="s">
        <v>48</v>
      </c>
      <c r="F20846" t="s">
        <v>4</v>
      </c>
      <c r="G20846" t="str">
        <f>""</f>
        <v/>
      </c>
    </row>
    <row r="20847" spans="1:7" x14ac:dyDescent="0.25">
      <c r="A20847" t="s">
        <v>8</v>
      </c>
      <c r="B20847" s="1" t="str">
        <f>"000285814 - RICHS PIZZA DOUGH CORE BB-SODX"</f>
        <v>000285814 - RICHS PIZZA DOUGH CORE BB-SODX</v>
      </c>
      <c r="C20847" t="s">
        <v>112</v>
      </c>
      <c r="D20847" s="1" t="str">
        <f t="shared" si="563"/>
        <v>PRG-1047656</v>
      </c>
      <c r="E20847" t="s">
        <v>48</v>
      </c>
      <c r="F20847" t="s">
        <v>4</v>
      </c>
      <c r="G20847" t="str">
        <f>""</f>
        <v/>
      </c>
    </row>
    <row r="20848" spans="1:7" x14ac:dyDescent="0.25">
      <c r="A20848" t="s">
        <v>8</v>
      </c>
      <c r="B20848" s="1" t="str">
        <f>"000285815 - RICH PIZZA DOUGH NCORE BB-SODX"</f>
        <v>000285815 - RICH PIZZA DOUGH NCORE BB-SODX</v>
      </c>
      <c r="C20848" t="s">
        <v>113</v>
      </c>
      <c r="D20848" s="1" t="str">
        <f t="shared" si="563"/>
        <v>PRG-1047656</v>
      </c>
      <c r="E20848" t="s">
        <v>48</v>
      </c>
      <c r="F20848" t="s">
        <v>4</v>
      </c>
      <c r="G20848" t="str">
        <f>""</f>
        <v/>
      </c>
    </row>
    <row r="20849" spans="1:7" x14ac:dyDescent="0.25">
      <c r="A20849" t="s">
        <v>8</v>
      </c>
      <c r="B20849" s="1" t="str">
        <f>"000287898 - RICHS ICING&amp;DOUGH-SODEXO"</f>
        <v>000287898 - RICHS ICING&amp;DOUGH-SODEXO</v>
      </c>
      <c r="C20849" t="s">
        <v>303</v>
      </c>
      <c r="D20849" s="1" t="str">
        <f t="shared" si="563"/>
        <v>PRG-1047656</v>
      </c>
      <c r="E20849" t="s">
        <v>48</v>
      </c>
      <c r="F20849" t="s">
        <v>4</v>
      </c>
      <c r="G20849" t="str">
        <f>""</f>
        <v/>
      </c>
    </row>
    <row r="20850" spans="1:7" x14ac:dyDescent="0.25">
      <c r="A20850" t="s">
        <v>8</v>
      </c>
      <c r="B20850" s="1" t="str">
        <f>"000287910 - RICHS PIZZA DOUGH &amp; ICING-SODX"</f>
        <v>000287910 - RICHS PIZZA DOUGH &amp; ICING-SODX</v>
      </c>
      <c r="C20850" t="s">
        <v>223</v>
      </c>
      <c r="D20850" s="1" t="str">
        <f t="shared" si="563"/>
        <v>PRG-1047656</v>
      </c>
      <c r="E20850" t="s">
        <v>48</v>
      </c>
      <c r="F20850" t="s">
        <v>4</v>
      </c>
      <c r="G20850" t="str">
        <f>""</f>
        <v/>
      </c>
    </row>
    <row r="20851" spans="1:7" x14ac:dyDescent="0.25">
      <c r="A20851" t="s">
        <v>8</v>
      </c>
      <c r="B20851" s="1" t="str">
        <f>"000288447 - RICHS ICING&amp;DOUGH-SODEXO"</f>
        <v>000288447 - RICHS ICING&amp;DOUGH-SODEXO</v>
      </c>
      <c r="C20851" t="s">
        <v>303</v>
      </c>
      <c r="D20851" s="1" t="str">
        <f t="shared" ref="D20851:D20914" si="564">"PRG-1047656"</f>
        <v>PRG-1047656</v>
      </c>
      <c r="E20851" t="s">
        <v>48</v>
      </c>
      <c r="F20851" t="s">
        <v>4</v>
      </c>
      <c r="G20851" t="str">
        <f>""</f>
        <v/>
      </c>
    </row>
    <row r="20852" spans="1:7" x14ac:dyDescent="0.25">
      <c r="A20852" t="s">
        <v>8</v>
      </c>
      <c r="B20852" s="1" t="str">
        <f>"000288699 - RICHS DOUGH ICING-SODEXO"</f>
        <v>000288699 - RICHS DOUGH ICING-SODEXO</v>
      </c>
      <c r="C20852" t="s">
        <v>552</v>
      </c>
      <c r="D20852" s="1" t="str">
        <f t="shared" si="564"/>
        <v>PRG-1047656</v>
      </c>
      <c r="E20852" t="s">
        <v>48</v>
      </c>
      <c r="F20852" t="s">
        <v>4</v>
      </c>
      <c r="G20852" t="str">
        <f>""</f>
        <v/>
      </c>
    </row>
    <row r="20853" spans="1:7" x14ac:dyDescent="0.25">
      <c r="A20853" t="s">
        <v>8</v>
      </c>
      <c r="B20853" s="1" t="str">
        <f>"000289820 - RICHS DOUGH&amp;ICING-SODEXO"</f>
        <v>000289820 - RICHS DOUGH&amp;ICING-SODEXO</v>
      </c>
      <c r="C20853" t="s">
        <v>504</v>
      </c>
      <c r="D20853" s="1" t="str">
        <f t="shared" si="564"/>
        <v>PRG-1047656</v>
      </c>
      <c r="E20853" t="s">
        <v>48</v>
      </c>
      <c r="F20853" t="s">
        <v>4</v>
      </c>
      <c r="G20853" t="str">
        <f>""</f>
        <v/>
      </c>
    </row>
    <row r="20854" spans="1:7" x14ac:dyDescent="0.25">
      <c r="A20854" t="s">
        <v>8</v>
      </c>
      <c r="B20854" s="1" t="str">
        <f>"000290431 - RICHS ICING&amp;DOUGH-SODEXO"</f>
        <v>000290431 - RICHS ICING&amp;DOUGH-SODEXO</v>
      </c>
      <c r="C20854" t="s">
        <v>303</v>
      </c>
      <c r="D20854" s="1" t="str">
        <f t="shared" si="564"/>
        <v>PRG-1047656</v>
      </c>
      <c r="E20854" t="s">
        <v>48</v>
      </c>
      <c r="F20854" t="s">
        <v>4</v>
      </c>
      <c r="G20854" t="str">
        <f>""</f>
        <v/>
      </c>
    </row>
    <row r="20855" spans="1:7" x14ac:dyDescent="0.25">
      <c r="A20855" t="s">
        <v>8</v>
      </c>
      <c r="B20855" s="1" t="str">
        <f>"000290801 - RICHS ICING&amp;DOUGH-SODEXO"</f>
        <v>000290801 - RICHS ICING&amp;DOUGH-SODEXO</v>
      </c>
      <c r="C20855" t="s">
        <v>303</v>
      </c>
      <c r="D20855" s="1" t="str">
        <f t="shared" si="564"/>
        <v>PRG-1047656</v>
      </c>
      <c r="E20855" t="s">
        <v>48</v>
      </c>
      <c r="F20855" t="s">
        <v>4</v>
      </c>
      <c r="G20855" t="str">
        <f>""</f>
        <v/>
      </c>
    </row>
    <row r="20856" spans="1:7" x14ac:dyDescent="0.25">
      <c r="A20856" t="s">
        <v>8</v>
      </c>
      <c r="B20856" s="1" t="str">
        <f>"000291043 - RICHS PIZZA DOUGH &amp; ICING-SODX"</f>
        <v>000291043 - RICHS PIZZA DOUGH &amp; ICING-SODX</v>
      </c>
      <c r="C20856" t="s">
        <v>223</v>
      </c>
      <c r="D20856" s="1" t="str">
        <f t="shared" si="564"/>
        <v>PRG-1047656</v>
      </c>
      <c r="E20856" t="s">
        <v>48</v>
      </c>
      <c r="F20856" t="s">
        <v>4</v>
      </c>
      <c r="G20856" t="str">
        <f>""</f>
        <v/>
      </c>
    </row>
    <row r="20857" spans="1:7" x14ac:dyDescent="0.25">
      <c r="A20857" t="s">
        <v>8</v>
      </c>
      <c r="B20857" s="1" t="str">
        <f>"000291541 - RICHS DOUGH ICING-SODEXO"</f>
        <v>000291541 - RICHS DOUGH ICING-SODEXO</v>
      </c>
      <c r="C20857" t="s">
        <v>552</v>
      </c>
      <c r="D20857" s="1" t="str">
        <f t="shared" si="564"/>
        <v>PRG-1047656</v>
      </c>
      <c r="E20857" t="s">
        <v>48</v>
      </c>
      <c r="F20857" t="s">
        <v>4</v>
      </c>
      <c r="G20857" t="str">
        <f>""</f>
        <v/>
      </c>
    </row>
    <row r="20858" spans="1:7" x14ac:dyDescent="0.25">
      <c r="A20858" t="s">
        <v>8</v>
      </c>
      <c r="B20858" s="1" t="str">
        <f>"000291997 - RICHS DOUGH ICING-SODEXO"</f>
        <v>000291997 - RICHS DOUGH ICING-SODEXO</v>
      </c>
      <c r="C20858" t="s">
        <v>552</v>
      </c>
      <c r="D20858" s="1" t="str">
        <f t="shared" si="564"/>
        <v>PRG-1047656</v>
      </c>
      <c r="E20858" t="s">
        <v>48</v>
      </c>
      <c r="F20858" t="s">
        <v>4</v>
      </c>
      <c r="G20858" t="str">
        <f>""</f>
        <v/>
      </c>
    </row>
    <row r="20859" spans="1:7" x14ac:dyDescent="0.25">
      <c r="A20859" t="s">
        <v>8</v>
      </c>
      <c r="B20859" s="1" t="str">
        <f>"000293143 - RICHS ICING&amp;DOUGH-SODEXO"</f>
        <v>000293143 - RICHS ICING&amp;DOUGH-SODEXO</v>
      </c>
      <c r="C20859" t="s">
        <v>303</v>
      </c>
      <c r="D20859" s="1" t="str">
        <f t="shared" si="564"/>
        <v>PRG-1047656</v>
      </c>
      <c r="E20859" t="s">
        <v>48</v>
      </c>
      <c r="F20859" t="s">
        <v>4</v>
      </c>
      <c r="G20859" t="str">
        <f>""</f>
        <v/>
      </c>
    </row>
    <row r="20860" spans="1:7" x14ac:dyDescent="0.25">
      <c r="A20860" t="s">
        <v>8</v>
      </c>
      <c r="B20860" s="1" t="str">
        <f>"000293522 - RICHS DOUGH&amp;ICING-SODEXO"</f>
        <v>000293522 - RICHS DOUGH&amp;ICING-SODEXO</v>
      </c>
      <c r="C20860" t="s">
        <v>504</v>
      </c>
      <c r="D20860" s="1" t="str">
        <f t="shared" si="564"/>
        <v>PRG-1047656</v>
      </c>
      <c r="E20860" t="s">
        <v>48</v>
      </c>
      <c r="F20860" t="s">
        <v>4</v>
      </c>
      <c r="G20860" t="str">
        <f>""</f>
        <v/>
      </c>
    </row>
    <row r="20861" spans="1:7" x14ac:dyDescent="0.25">
      <c r="A20861" t="s">
        <v>8</v>
      </c>
      <c r="B20861" s="1" t="str">
        <f>"000294696 - RICHS PIZZA DOUGH &amp; ICING-SODX"</f>
        <v>000294696 - RICHS PIZZA DOUGH &amp; ICING-SODX</v>
      </c>
      <c r="C20861" t="s">
        <v>223</v>
      </c>
      <c r="D20861" s="1" t="str">
        <f t="shared" si="564"/>
        <v>PRG-1047656</v>
      </c>
      <c r="E20861" t="s">
        <v>48</v>
      </c>
      <c r="F20861" t="s">
        <v>4</v>
      </c>
      <c r="G20861" t="str">
        <f>""</f>
        <v/>
      </c>
    </row>
    <row r="20862" spans="1:7" x14ac:dyDescent="0.25">
      <c r="A20862" t="s">
        <v>8</v>
      </c>
      <c r="B20862" s="1" t="str">
        <f>"000294761 - RICHS DOUGH ICING-SODEXO"</f>
        <v>000294761 - RICHS DOUGH ICING-SODEXO</v>
      </c>
      <c r="C20862" t="s">
        <v>552</v>
      </c>
      <c r="D20862" s="1" t="str">
        <f t="shared" si="564"/>
        <v>PRG-1047656</v>
      </c>
      <c r="E20862" t="s">
        <v>48</v>
      </c>
      <c r="F20862" t="s">
        <v>4</v>
      </c>
      <c r="G20862" t="str">
        <f>""</f>
        <v/>
      </c>
    </row>
    <row r="20863" spans="1:7" x14ac:dyDescent="0.25">
      <c r="A20863" t="s">
        <v>8</v>
      </c>
      <c r="B20863" s="1" t="str">
        <f>"000295335 - RICHS ICING&amp;DOUGH-SODEXO"</f>
        <v>000295335 - RICHS ICING&amp;DOUGH-SODEXO</v>
      </c>
      <c r="C20863" t="s">
        <v>303</v>
      </c>
      <c r="D20863" s="1" t="str">
        <f t="shared" si="564"/>
        <v>PRG-1047656</v>
      </c>
      <c r="E20863" t="s">
        <v>48</v>
      </c>
      <c r="F20863" t="s">
        <v>4</v>
      </c>
      <c r="G20863" t="str">
        <f>""</f>
        <v/>
      </c>
    </row>
    <row r="20864" spans="1:7" x14ac:dyDescent="0.25">
      <c r="A20864" t="s">
        <v>8</v>
      </c>
      <c r="B20864" s="1" t="str">
        <f>"000295937 - RICHS DOUGH&amp;ICING-SODEXO"</f>
        <v>000295937 - RICHS DOUGH&amp;ICING-SODEXO</v>
      </c>
      <c r="C20864" t="s">
        <v>504</v>
      </c>
      <c r="D20864" s="1" t="str">
        <f t="shared" si="564"/>
        <v>PRG-1047656</v>
      </c>
      <c r="E20864" t="s">
        <v>48</v>
      </c>
      <c r="F20864" t="s">
        <v>4</v>
      </c>
      <c r="G20864" t="str">
        <f>""</f>
        <v/>
      </c>
    </row>
    <row r="20865" spans="1:7" x14ac:dyDescent="0.25">
      <c r="A20865" t="s">
        <v>8</v>
      </c>
      <c r="B20865" s="1" t="str">
        <f>"000296686 - RICHS PIZZA DOUGH BB-SODEXO"</f>
        <v>000296686 - RICHS PIZZA DOUGH BB-SODEXO</v>
      </c>
      <c r="C20865" t="s">
        <v>582</v>
      </c>
      <c r="D20865" s="1" t="str">
        <f t="shared" si="564"/>
        <v>PRG-1047656</v>
      </c>
      <c r="E20865" t="s">
        <v>48</v>
      </c>
      <c r="F20865" t="s">
        <v>4</v>
      </c>
      <c r="G20865" t="str">
        <f>""</f>
        <v/>
      </c>
    </row>
    <row r="20866" spans="1:7" x14ac:dyDescent="0.25">
      <c r="A20866" t="s">
        <v>8</v>
      </c>
      <c r="B20866" s="1" t="str">
        <f>"000298118 - RICHS PIZZA DOUGH &amp; ICING-SODX"</f>
        <v>000298118 - RICHS PIZZA DOUGH &amp; ICING-SODX</v>
      </c>
      <c r="C20866" t="s">
        <v>223</v>
      </c>
      <c r="D20866" s="1" t="str">
        <f t="shared" si="564"/>
        <v>PRG-1047656</v>
      </c>
      <c r="E20866" t="s">
        <v>48</v>
      </c>
      <c r="F20866" t="s">
        <v>4</v>
      </c>
      <c r="G20866" t="str">
        <f>""</f>
        <v/>
      </c>
    </row>
    <row r="20867" spans="1:7" x14ac:dyDescent="0.25">
      <c r="A20867" t="s">
        <v>8</v>
      </c>
      <c r="B20867" s="1" t="str">
        <f>"000298736 - RICHS PIZZA DOUGH BB-SODEXO"</f>
        <v>000298736 - RICHS PIZZA DOUGH BB-SODEXO</v>
      </c>
      <c r="C20867" t="s">
        <v>582</v>
      </c>
      <c r="D20867" s="1" t="str">
        <f t="shared" si="564"/>
        <v>PRG-1047656</v>
      </c>
      <c r="E20867" t="s">
        <v>48</v>
      </c>
      <c r="F20867" t="s">
        <v>4</v>
      </c>
      <c r="G20867" t="str">
        <f>""</f>
        <v/>
      </c>
    </row>
    <row r="20868" spans="1:7" x14ac:dyDescent="0.25">
      <c r="A20868" t="s">
        <v>8</v>
      </c>
      <c r="B20868" s="1" t="str">
        <f>"000299913 - RICHS PIZZA DOUGH &amp; ICING-SODX"</f>
        <v>000299913 - RICHS PIZZA DOUGH &amp; ICING-SODX</v>
      </c>
      <c r="C20868" t="s">
        <v>223</v>
      </c>
      <c r="D20868" s="1" t="str">
        <f t="shared" si="564"/>
        <v>PRG-1047656</v>
      </c>
      <c r="E20868" t="s">
        <v>48</v>
      </c>
      <c r="F20868" t="s">
        <v>4</v>
      </c>
      <c r="G20868" t="str">
        <f>""</f>
        <v/>
      </c>
    </row>
    <row r="20869" spans="1:7" x14ac:dyDescent="0.25">
      <c r="A20869" t="s">
        <v>8</v>
      </c>
      <c r="B20869" s="1" t="str">
        <f>"000299946 - RICHS PIZZA DOUGH &amp; ICING-SODX"</f>
        <v>000299946 - RICHS PIZZA DOUGH &amp; ICING-SODX</v>
      </c>
      <c r="C20869" t="s">
        <v>223</v>
      </c>
      <c r="D20869" s="1" t="str">
        <f t="shared" si="564"/>
        <v>PRG-1047656</v>
      </c>
      <c r="E20869" t="s">
        <v>48</v>
      </c>
      <c r="F20869" t="s">
        <v>4</v>
      </c>
      <c r="G20869" t="str">
        <f>""</f>
        <v/>
      </c>
    </row>
    <row r="20870" spans="1:7" x14ac:dyDescent="0.25">
      <c r="A20870" t="s">
        <v>8</v>
      </c>
      <c r="B20870" s="1" t="str">
        <f>"000300246 - RICHS DOUGH ICING-SODEXO"</f>
        <v>000300246 - RICHS DOUGH ICING-SODEXO</v>
      </c>
      <c r="C20870" t="s">
        <v>552</v>
      </c>
      <c r="D20870" s="1" t="str">
        <f t="shared" si="564"/>
        <v>PRG-1047656</v>
      </c>
      <c r="E20870" t="s">
        <v>48</v>
      </c>
      <c r="F20870" t="s">
        <v>4</v>
      </c>
      <c r="G20870" t="str">
        <f>""</f>
        <v/>
      </c>
    </row>
    <row r="20871" spans="1:7" x14ac:dyDescent="0.25">
      <c r="A20871" t="s">
        <v>8</v>
      </c>
      <c r="B20871" s="1" t="str">
        <f>"000301514 - RICHS PIZZA DOUGH &amp; ICING-SODX"</f>
        <v>000301514 - RICHS PIZZA DOUGH &amp; ICING-SODX</v>
      </c>
      <c r="C20871" t="s">
        <v>223</v>
      </c>
      <c r="D20871" s="1" t="str">
        <f t="shared" si="564"/>
        <v>PRG-1047656</v>
      </c>
      <c r="E20871" t="s">
        <v>48</v>
      </c>
      <c r="F20871" t="s">
        <v>4</v>
      </c>
      <c r="G20871" t="str">
        <f>""</f>
        <v/>
      </c>
    </row>
    <row r="20872" spans="1:7" x14ac:dyDescent="0.25">
      <c r="A20872" t="s">
        <v>8</v>
      </c>
      <c r="B20872" s="1" t="str">
        <f>"000303893 - RICHS PIZZA DOUGH &amp; ICING-SODX"</f>
        <v>000303893 - RICHS PIZZA DOUGH &amp; ICING-SODX</v>
      </c>
      <c r="C20872" t="s">
        <v>223</v>
      </c>
      <c r="D20872" s="1" t="str">
        <f t="shared" si="564"/>
        <v>PRG-1047656</v>
      </c>
      <c r="E20872" t="s">
        <v>48</v>
      </c>
      <c r="F20872" t="s">
        <v>4</v>
      </c>
      <c r="G20872" t="str">
        <f>""</f>
        <v/>
      </c>
    </row>
    <row r="20873" spans="1:7" x14ac:dyDescent="0.25">
      <c r="A20873" t="s">
        <v>8</v>
      </c>
      <c r="B20873" s="1" t="str">
        <f>"000304743 - RICHS PIZZA DOUGH &amp; ICING-SODX"</f>
        <v>000304743 - RICHS PIZZA DOUGH &amp; ICING-SODX</v>
      </c>
      <c r="C20873" t="s">
        <v>223</v>
      </c>
      <c r="D20873" s="1" t="str">
        <f t="shared" si="564"/>
        <v>PRG-1047656</v>
      </c>
      <c r="E20873" t="s">
        <v>48</v>
      </c>
      <c r="F20873" t="s">
        <v>4</v>
      </c>
      <c r="G20873" t="str">
        <f>""</f>
        <v/>
      </c>
    </row>
    <row r="20874" spans="1:7" x14ac:dyDescent="0.25">
      <c r="A20874" t="s">
        <v>8</v>
      </c>
      <c r="B20874" s="1" t="str">
        <f>"000305105 - RICHS DOUGH ICING-SODEXO"</f>
        <v>000305105 - RICHS DOUGH ICING-SODEXO</v>
      </c>
      <c r="C20874" t="s">
        <v>552</v>
      </c>
      <c r="D20874" s="1" t="str">
        <f t="shared" si="564"/>
        <v>PRG-1047656</v>
      </c>
      <c r="E20874" t="s">
        <v>48</v>
      </c>
      <c r="F20874" t="s">
        <v>4</v>
      </c>
      <c r="G20874" t="str">
        <f>""</f>
        <v/>
      </c>
    </row>
    <row r="20875" spans="1:7" x14ac:dyDescent="0.25">
      <c r="A20875" t="s">
        <v>8</v>
      </c>
      <c r="B20875" s="1" t="str">
        <f>"000306575 - RICHS DOUGH&amp;ICING-SODEXO"</f>
        <v>000306575 - RICHS DOUGH&amp;ICING-SODEXO</v>
      </c>
      <c r="C20875" t="s">
        <v>504</v>
      </c>
      <c r="D20875" s="1" t="str">
        <f t="shared" si="564"/>
        <v>PRG-1047656</v>
      </c>
      <c r="E20875" t="s">
        <v>48</v>
      </c>
      <c r="F20875" t="s">
        <v>4</v>
      </c>
      <c r="G20875" t="str">
        <f>""</f>
        <v/>
      </c>
    </row>
    <row r="20876" spans="1:7" x14ac:dyDescent="0.25">
      <c r="A20876" t="s">
        <v>8</v>
      </c>
      <c r="B20876" s="1" t="str">
        <f>"000306721 - RICHS PIZZA DOUGH &amp; ICING-SODX"</f>
        <v>000306721 - RICHS PIZZA DOUGH &amp; ICING-SODX</v>
      </c>
      <c r="C20876" t="s">
        <v>223</v>
      </c>
      <c r="D20876" s="1" t="str">
        <f t="shared" si="564"/>
        <v>PRG-1047656</v>
      </c>
      <c r="E20876" t="s">
        <v>48</v>
      </c>
      <c r="F20876" t="s">
        <v>4</v>
      </c>
      <c r="G20876" t="str">
        <f>""</f>
        <v/>
      </c>
    </row>
    <row r="20877" spans="1:7" x14ac:dyDescent="0.25">
      <c r="A20877" t="s">
        <v>8</v>
      </c>
      <c r="B20877" s="1" t="str">
        <f>"000307777 - RICHS PIZZA DOUGH CORE BB-SODX"</f>
        <v>000307777 - RICHS PIZZA DOUGH CORE BB-SODX</v>
      </c>
      <c r="C20877" t="s">
        <v>112</v>
      </c>
      <c r="D20877" s="1" t="str">
        <f t="shared" si="564"/>
        <v>PRG-1047656</v>
      </c>
      <c r="E20877" t="s">
        <v>48</v>
      </c>
      <c r="F20877" t="s">
        <v>4</v>
      </c>
      <c r="G20877" t="str">
        <f>""</f>
        <v/>
      </c>
    </row>
    <row r="20878" spans="1:7" x14ac:dyDescent="0.25">
      <c r="A20878" t="s">
        <v>8</v>
      </c>
      <c r="B20878" s="1" t="str">
        <f>"000307778 - RICH PIZZA DOUGH NCORE BB-SODX"</f>
        <v>000307778 - RICH PIZZA DOUGH NCORE BB-SODX</v>
      </c>
      <c r="C20878" t="s">
        <v>113</v>
      </c>
      <c r="D20878" s="1" t="str">
        <f t="shared" si="564"/>
        <v>PRG-1047656</v>
      </c>
      <c r="E20878" t="s">
        <v>48</v>
      </c>
      <c r="F20878" t="s">
        <v>4</v>
      </c>
      <c r="G20878" t="str">
        <f>""</f>
        <v/>
      </c>
    </row>
    <row r="20879" spans="1:7" x14ac:dyDescent="0.25">
      <c r="A20879" t="s">
        <v>8</v>
      </c>
      <c r="B20879" s="1" t="str">
        <f>"000307952 - RICHS ICING&amp;DOUGH-SODEXO"</f>
        <v>000307952 - RICHS ICING&amp;DOUGH-SODEXO</v>
      </c>
      <c r="C20879" t="s">
        <v>303</v>
      </c>
      <c r="D20879" s="1" t="str">
        <f t="shared" si="564"/>
        <v>PRG-1047656</v>
      </c>
      <c r="E20879" t="s">
        <v>48</v>
      </c>
      <c r="F20879" t="s">
        <v>4</v>
      </c>
      <c r="G20879" t="str">
        <f>""</f>
        <v/>
      </c>
    </row>
    <row r="20880" spans="1:7" x14ac:dyDescent="0.25">
      <c r="A20880" t="s">
        <v>8</v>
      </c>
      <c r="B20880" s="1" t="str">
        <f>"000308313 - RICHS PIZZA DOUGH BB-SODEXO"</f>
        <v>000308313 - RICHS PIZZA DOUGH BB-SODEXO</v>
      </c>
      <c r="C20880" t="s">
        <v>582</v>
      </c>
      <c r="D20880" s="1" t="str">
        <f t="shared" si="564"/>
        <v>PRG-1047656</v>
      </c>
      <c r="E20880" t="s">
        <v>48</v>
      </c>
      <c r="F20880" t="s">
        <v>4</v>
      </c>
      <c r="G20880" t="str">
        <f>""</f>
        <v/>
      </c>
    </row>
    <row r="20881" spans="1:7" x14ac:dyDescent="0.25">
      <c r="A20881" t="s">
        <v>8</v>
      </c>
      <c r="B20881" s="1" t="str">
        <f>"000310362 - RICHS DOUGH&amp;ICING-SODEXO"</f>
        <v>000310362 - RICHS DOUGH&amp;ICING-SODEXO</v>
      </c>
      <c r="C20881" t="s">
        <v>504</v>
      </c>
      <c r="D20881" s="1" t="str">
        <f t="shared" si="564"/>
        <v>PRG-1047656</v>
      </c>
      <c r="E20881" t="s">
        <v>48</v>
      </c>
      <c r="F20881" t="s">
        <v>4</v>
      </c>
      <c r="G20881" t="str">
        <f>""</f>
        <v/>
      </c>
    </row>
    <row r="20882" spans="1:7" x14ac:dyDescent="0.25">
      <c r="A20882" t="s">
        <v>8</v>
      </c>
      <c r="B20882" s="1" t="str">
        <f>"000310474 - RICHS DOUGH ICING-SODEXO"</f>
        <v>000310474 - RICHS DOUGH ICING-SODEXO</v>
      </c>
      <c r="C20882" t="s">
        <v>552</v>
      </c>
      <c r="D20882" s="1" t="str">
        <f t="shared" si="564"/>
        <v>PRG-1047656</v>
      </c>
      <c r="E20882" t="s">
        <v>48</v>
      </c>
      <c r="F20882" t="s">
        <v>4</v>
      </c>
      <c r="G20882" t="str">
        <f>""</f>
        <v/>
      </c>
    </row>
    <row r="20883" spans="1:7" x14ac:dyDescent="0.25">
      <c r="A20883" t="s">
        <v>8</v>
      </c>
      <c r="B20883" s="1" t="str">
        <f>"000312734 - RICHS DOUGH&amp;ICING-SODEXO"</f>
        <v>000312734 - RICHS DOUGH&amp;ICING-SODEXO</v>
      </c>
      <c r="C20883" t="s">
        <v>504</v>
      </c>
      <c r="D20883" s="1" t="str">
        <f t="shared" si="564"/>
        <v>PRG-1047656</v>
      </c>
      <c r="E20883" t="s">
        <v>48</v>
      </c>
      <c r="F20883" t="s">
        <v>4</v>
      </c>
      <c r="G20883" t="str">
        <f>""</f>
        <v/>
      </c>
    </row>
    <row r="20884" spans="1:7" x14ac:dyDescent="0.25">
      <c r="A20884" t="s">
        <v>8</v>
      </c>
      <c r="B20884" s="1" t="str">
        <f>"000314094 - RICHS DOUGH ICING-SODEXO"</f>
        <v>000314094 - RICHS DOUGH ICING-SODEXO</v>
      </c>
      <c r="C20884" t="s">
        <v>552</v>
      </c>
      <c r="D20884" s="1" t="str">
        <f t="shared" si="564"/>
        <v>PRG-1047656</v>
      </c>
      <c r="E20884" t="s">
        <v>48</v>
      </c>
      <c r="F20884" t="s">
        <v>4</v>
      </c>
      <c r="G20884" t="str">
        <f>""</f>
        <v/>
      </c>
    </row>
    <row r="20885" spans="1:7" x14ac:dyDescent="0.25">
      <c r="A20885" t="s">
        <v>8</v>
      </c>
      <c r="B20885" s="1" t="str">
        <f>"000314286 - RICHS PIZZA DOUGH BB-SODEXO"</f>
        <v>000314286 - RICHS PIZZA DOUGH BB-SODEXO</v>
      </c>
      <c r="C20885" t="s">
        <v>582</v>
      </c>
      <c r="D20885" s="1" t="str">
        <f t="shared" si="564"/>
        <v>PRG-1047656</v>
      </c>
      <c r="E20885" t="s">
        <v>48</v>
      </c>
      <c r="F20885" t="s">
        <v>4</v>
      </c>
      <c r="G20885" t="str">
        <f>""</f>
        <v/>
      </c>
    </row>
    <row r="20886" spans="1:7" x14ac:dyDescent="0.25">
      <c r="A20886" t="s">
        <v>8</v>
      </c>
      <c r="B20886" s="1" t="str">
        <f>"000314376 - RICHS DOUGH ICING-SODEXO"</f>
        <v>000314376 - RICHS DOUGH ICING-SODEXO</v>
      </c>
      <c r="C20886" t="s">
        <v>552</v>
      </c>
      <c r="D20886" s="1" t="str">
        <f t="shared" si="564"/>
        <v>PRG-1047656</v>
      </c>
      <c r="E20886" t="s">
        <v>48</v>
      </c>
      <c r="F20886" t="s">
        <v>4</v>
      </c>
      <c r="G20886" t="str">
        <f>""</f>
        <v/>
      </c>
    </row>
    <row r="20887" spans="1:7" x14ac:dyDescent="0.25">
      <c r="A20887" t="s">
        <v>8</v>
      </c>
      <c r="B20887" s="1" t="str">
        <f>"000315068 - RICHS PIZZA DOUGH BB-SODEXO"</f>
        <v>000315068 - RICHS PIZZA DOUGH BB-SODEXO</v>
      </c>
      <c r="C20887" t="s">
        <v>582</v>
      </c>
      <c r="D20887" s="1" t="str">
        <f t="shared" si="564"/>
        <v>PRG-1047656</v>
      </c>
      <c r="E20887" t="s">
        <v>48</v>
      </c>
      <c r="F20887" t="s">
        <v>4</v>
      </c>
      <c r="G20887" t="str">
        <f>""</f>
        <v/>
      </c>
    </row>
    <row r="20888" spans="1:7" x14ac:dyDescent="0.25">
      <c r="A20888" t="s">
        <v>8</v>
      </c>
      <c r="B20888" s="1" t="str">
        <f>"000315362 - RICH PIZZA DOUGH BB CORE-SODX"</f>
        <v>000315362 - RICH PIZZA DOUGH BB CORE-SODX</v>
      </c>
      <c r="C20888" t="s">
        <v>612</v>
      </c>
      <c r="D20888" s="1" t="str">
        <f t="shared" si="564"/>
        <v>PRG-1047656</v>
      </c>
      <c r="E20888" t="s">
        <v>48</v>
      </c>
      <c r="F20888" t="s">
        <v>4</v>
      </c>
      <c r="G20888" t="str">
        <f>""</f>
        <v/>
      </c>
    </row>
    <row r="20889" spans="1:7" x14ac:dyDescent="0.25">
      <c r="A20889" t="s">
        <v>8</v>
      </c>
      <c r="B20889" s="1" t="str">
        <f>"000315363 - RICH PIZZA DOUGH BB NCORE-SODX"</f>
        <v>000315363 - RICH PIZZA DOUGH BB NCORE-SODX</v>
      </c>
      <c r="C20889" t="s">
        <v>613</v>
      </c>
      <c r="D20889" s="1" t="str">
        <f t="shared" si="564"/>
        <v>PRG-1047656</v>
      </c>
      <c r="E20889" t="s">
        <v>48</v>
      </c>
      <c r="F20889" t="s">
        <v>4</v>
      </c>
      <c r="G20889" t="str">
        <f>""</f>
        <v/>
      </c>
    </row>
    <row r="20890" spans="1:7" x14ac:dyDescent="0.25">
      <c r="A20890" t="s">
        <v>8</v>
      </c>
      <c r="B20890" s="1" t="str">
        <f>"000316675 - RICHS DOUGH&amp;ICING-SODEXO"</f>
        <v>000316675 - RICHS DOUGH&amp;ICING-SODEXO</v>
      </c>
      <c r="C20890" t="s">
        <v>504</v>
      </c>
      <c r="D20890" s="1" t="str">
        <f t="shared" si="564"/>
        <v>PRG-1047656</v>
      </c>
      <c r="E20890" t="s">
        <v>48</v>
      </c>
      <c r="F20890" t="s">
        <v>4</v>
      </c>
      <c r="G20890" t="str">
        <f>""</f>
        <v/>
      </c>
    </row>
    <row r="20891" spans="1:7" x14ac:dyDescent="0.25">
      <c r="A20891" t="s">
        <v>8</v>
      </c>
      <c r="B20891" s="1" t="str">
        <f>"000316798 - RICHS ICING&amp;DOUGH-SODEXO"</f>
        <v>000316798 - RICHS ICING&amp;DOUGH-SODEXO</v>
      </c>
      <c r="C20891" t="s">
        <v>303</v>
      </c>
      <c r="D20891" s="1" t="str">
        <f t="shared" si="564"/>
        <v>PRG-1047656</v>
      </c>
      <c r="E20891" t="s">
        <v>48</v>
      </c>
      <c r="F20891" t="s">
        <v>4</v>
      </c>
      <c r="G20891" t="str">
        <f>""</f>
        <v/>
      </c>
    </row>
    <row r="20892" spans="1:7" x14ac:dyDescent="0.25">
      <c r="A20892" t="s">
        <v>8</v>
      </c>
      <c r="B20892" s="1" t="str">
        <f>"000316823 - RICHS DOUGH&amp;ICING-SODEXO"</f>
        <v>000316823 - RICHS DOUGH&amp;ICING-SODEXO</v>
      </c>
      <c r="C20892" t="s">
        <v>504</v>
      </c>
      <c r="D20892" s="1" t="str">
        <f t="shared" si="564"/>
        <v>PRG-1047656</v>
      </c>
      <c r="E20892" t="s">
        <v>48</v>
      </c>
      <c r="F20892" t="s">
        <v>4</v>
      </c>
      <c r="G20892" t="str">
        <f>""</f>
        <v/>
      </c>
    </row>
    <row r="20893" spans="1:7" x14ac:dyDescent="0.25">
      <c r="A20893" t="s">
        <v>8</v>
      </c>
      <c r="B20893" s="1" t="str">
        <f>"000318937 - RICHS PIZZA DOUGH CORE BB-SODX"</f>
        <v>000318937 - RICHS PIZZA DOUGH CORE BB-SODX</v>
      </c>
      <c r="C20893" t="s">
        <v>112</v>
      </c>
      <c r="D20893" s="1" t="str">
        <f t="shared" si="564"/>
        <v>PRG-1047656</v>
      </c>
      <c r="E20893" t="s">
        <v>48</v>
      </c>
      <c r="F20893" t="s">
        <v>4</v>
      </c>
      <c r="G20893" t="str">
        <f>""</f>
        <v/>
      </c>
    </row>
    <row r="20894" spans="1:7" x14ac:dyDescent="0.25">
      <c r="A20894" t="s">
        <v>8</v>
      </c>
      <c r="B20894" s="1" t="str">
        <f>"000318938 - RICH PIZZA DOUGH NCORE BB-SODX"</f>
        <v>000318938 - RICH PIZZA DOUGH NCORE BB-SODX</v>
      </c>
      <c r="C20894" t="s">
        <v>113</v>
      </c>
      <c r="D20894" s="1" t="str">
        <f t="shared" si="564"/>
        <v>PRG-1047656</v>
      </c>
      <c r="E20894" t="s">
        <v>48</v>
      </c>
      <c r="F20894" t="s">
        <v>4</v>
      </c>
      <c r="G20894" t="str">
        <f>""</f>
        <v/>
      </c>
    </row>
    <row r="20895" spans="1:7" x14ac:dyDescent="0.25">
      <c r="A20895" t="s">
        <v>8</v>
      </c>
      <c r="B20895" s="1" t="str">
        <f>"000320035 - RICHS DOUGH&amp;ICING-SODEXO"</f>
        <v>000320035 - RICHS DOUGH&amp;ICING-SODEXO</v>
      </c>
      <c r="C20895" t="s">
        <v>504</v>
      </c>
      <c r="D20895" s="1" t="str">
        <f t="shared" si="564"/>
        <v>PRG-1047656</v>
      </c>
      <c r="E20895" t="s">
        <v>48</v>
      </c>
      <c r="F20895" t="s">
        <v>4</v>
      </c>
      <c r="G20895" t="str">
        <f>""</f>
        <v/>
      </c>
    </row>
    <row r="20896" spans="1:7" x14ac:dyDescent="0.25">
      <c r="A20896" t="s">
        <v>8</v>
      </c>
      <c r="B20896" s="1" t="str">
        <f>"000320476 - RICHS DOUGH ICING-SODEXO"</f>
        <v>000320476 - RICHS DOUGH ICING-SODEXO</v>
      </c>
      <c r="C20896" t="s">
        <v>552</v>
      </c>
      <c r="D20896" s="1" t="str">
        <f t="shared" si="564"/>
        <v>PRG-1047656</v>
      </c>
      <c r="E20896" t="s">
        <v>48</v>
      </c>
      <c r="F20896" t="s">
        <v>4</v>
      </c>
      <c r="G20896" t="str">
        <f>""</f>
        <v/>
      </c>
    </row>
    <row r="20897" spans="1:7" x14ac:dyDescent="0.25">
      <c r="A20897" t="s">
        <v>8</v>
      </c>
      <c r="B20897" s="1" t="str">
        <f>"000320497 - RICHS DOUGH ICING-SODEXO"</f>
        <v>000320497 - RICHS DOUGH ICING-SODEXO</v>
      </c>
      <c r="C20897" t="s">
        <v>552</v>
      </c>
      <c r="D20897" s="1" t="str">
        <f t="shared" si="564"/>
        <v>PRG-1047656</v>
      </c>
      <c r="E20897" t="s">
        <v>48</v>
      </c>
      <c r="F20897" t="s">
        <v>4</v>
      </c>
      <c r="G20897" t="str">
        <f>""</f>
        <v/>
      </c>
    </row>
    <row r="20898" spans="1:7" x14ac:dyDescent="0.25">
      <c r="A20898" t="s">
        <v>8</v>
      </c>
      <c r="B20898" s="1" t="str">
        <f>"000320981 - RICHS DOUGH ICING-SODEXO"</f>
        <v>000320981 - RICHS DOUGH ICING-SODEXO</v>
      </c>
      <c r="C20898" t="s">
        <v>552</v>
      </c>
      <c r="D20898" s="1" t="str">
        <f t="shared" si="564"/>
        <v>PRG-1047656</v>
      </c>
      <c r="E20898" t="s">
        <v>48</v>
      </c>
      <c r="F20898" t="s">
        <v>4</v>
      </c>
      <c r="G20898" t="str">
        <f>""</f>
        <v/>
      </c>
    </row>
    <row r="20899" spans="1:7" x14ac:dyDescent="0.25">
      <c r="A20899" t="s">
        <v>8</v>
      </c>
      <c r="B20899" s="1" t="str">
        <f>"000321370 - RICHS PIZZA DOUGH&amp;ICING-SODEXO"</f>
        <v>000321370 - RICHS PIZZA DOUGH&amp;ICING-SODEXO</v>
      </c>
      <c r="C20899" t="s">
        <v>288</v>
      </c>
      <c r="D20899" s="1" t="str">
        <f t="shared" si="564"/>
        <v>PRG-1047656</v>
      </c>
      <c r="E20899" t="s">
        <v>48</v>
      </c>
      <c r="F20899" t="s">
        <v>4</v>
      </c>
      <c r="G20899" t="str">
        <f>""</f>
        <v/>
      </c>
    </row>
    <row r="20900" spans="1:7" x14ac:dyDescent="0.25">
      <c r="A20900" t="s">
        <v>8</v>
      </c>
      <c r="B20900" s="1" t="str">
        <f>"000322442 - RICH PIZZA DOUGH BB CORE-SODX"</f>
        <v>000322442 - RICH PIZZA DOUGH BB CORE-SODX</v>
      </c>
      <c r="C20900" t="s">
        <v>612</v>
      </c>
      <c r="D20900" s="1" t="str">
        <f t="shared" si="564"/>
        <v>PRG-1047656</v>
      </c>
      <c r="E20900" t="s">
        <v>48</v>
      </c>
      <c r="F20900" t="s">
        <v>4</v>
      </c>
      <c r="G20900" t="str">
        <f>""</f>
        <v/>
      </c>
    </row>
    <row r="20901" spans="1:7" x14ac:dyDescent="0.25">
      <c r="A20901" t="s">
        <v>8</v>
      </c>
      <c r="B20901" s="1" t="str">
        <f>"000322443 - RICH PIZZA DOUGH BB NCORE-SODX"</f>
        <v>000322443 - RICH PIZZA DOUGH BB NCORE-SODX</v>
      </c>
      <c r="C20901" t="s">
        <v>613</v>
      </c>
      <c r="D20901" s="1" t="str">
        <f t="shared" si="564"/>
        <v>PRG-1047656</v>
      </c>
      <c r="E20901" t="s">
        <v>48</v>
      </c>
      <c r="F20901" t="s">
        <v>4</v>
      </c>
      <c r="G20901" t="str">
        <f>""</f>
        <v/>
      </c>
    </row>
    <row r="20902" spans="1:7" x14ac:dyDescent="0.25">
      <c r="A20902" t="s">
        <v>8</v>
      </c>
      <c r="B20902" s="1" t="str">
        <f>"000322444 - RICH PIZZA DOUGH BB CORE-SODX"</f>
        <v>000322444 - RICH PIZZA DOUGH BB CORE-SODX</v>
      </c>
      <c r="C20902" t="s">
        <v>612</v>
      </c>
      <c r="D20902" s="1" t="str">
        <f t="shared" si="564"/>
        <v>PRG-1047656</v>
      </c>
      <c r="E20902" t="s">
        <v>48</v>
      </c>
      <c r="F20902" t="s">
        <v>4</v>
      </c>
      <c r="G20902" t="str">
        <f>""</f>
        <v/>
      </c>
    </row>
    <row r="20903" spans="1:7" x14ac:dyDescent="0.25">
      <c r="A20903" t="s">
        <v>8</v>
      </c>
      <c r="B20903" s="1" t="str">
        <f>"000322445 - RICH PIZZA DOUGH BB NCORE-SODX"</f>
        <v>000322445 - RICH PIZZA DOUGH BB NCORE-SODX</v>
      </c>
      <c r="C20903" t="s">
        <v>613</v>
      </c>
      <c r="D20903" s="1" t="str">
        <f t="shared" si="564"/>
        <v>PRG-1047656</v>
      </c>
      <c r="E20903" t="s">
        <v>48</v>
      </c>
      <c r="F20903" t="s">
        <v>4</v>
      </c>
      <c r="G20903" t="str">
        <f>""</f>
        <v/>
      </c>
    </row>
    <row r="20904" spans="1:7" x14ac:dyDescent="0.25">
      <c r="A20904" t="s">
        <v>8</v>
      </c>
      <c r="B20904" s="1" t="str">
        <f>"000322713 - RICHS ICING&amp;DOUGH-SODEXO"</f>
        <v>000322713 - RICHS ICING&amp;DOUGH-SODEXO</v>
      </c>
      <c r="C20904" t="s">
        <v>303</v>
      </c>
      <c r="D20904" s="1" t="str">
        <f t="shared" si="564"/>
        <v>PRG-1047656</v>
      </c>
      <c r="E20904" t="s">
        <v>48</v>
      </c>
      <c r="F20904" t="s">
        <v>4</v>
      </c>
      <c r="G20904" t="str">
        <f>""</f>
        <v/>
      </c>
    </row>
    <row r="20905" spans="1:7" x14ac:dyDescent="0.25">
      <c r="A20905" t="s">
        <v>8</v>
      </c>
      <c r="B20905" s="1" t="str">
        <f>"000322929 - RICHS DOUGH ICING-SODEXO"</f>
        <v>000322929 - RICHS DOUGH ICING-SODEXO</v>
      </c>
      <c r="C20905" t="s">
        <v>552</v>
      </c>
      <c r="D20905" s="1" t="str">
        <f t="shared" si="564"/>
        <v>PRG-1047656</v>
      </c>
      <c r="E20905" t="s">
        <v>48</v>
      </c>
      <c r="F20905" t="s">
        <v>4</v>
      </c>
      <c r="G20905" t="str">
        <f>""</f>
        <v/>
      </c>
    </row>
    <row r="20906" spans="1:7" x14ac:dyDescent="0.25">
      <c r="A20906" t="s">
        <v>8</v>
      </c>
      <c r="B20906" s="1" t="str">
        <f>"000324116 - RICHS DOUGH ICING-SODEXO"</f>
        <v>000324116 - RICHS DOUGH ICING-SODEXO</v>
      </c>
      <c r="C20906" t="s">
        <v>552</v>
      </c>
      <c r="D20906" s="1" t="str">
        <f t="shared" si="564"/>
        <v>PRG-1047656</v>
      </c>
      <c r="E20906" t="s">
        <v>48</v>
      </c>
      <c r="F20906" t="s">
        <v>4</v>
      </c>
      <c r="G20906" t="str">
        <f>""</f>
        <v/>
      </c>
    </row>
    <row r="20907" spans="1:7" x14ac:dyDescent="0.25">
      <c r="A20907" t="s">
        <v>8</v>
      </c>
      <c r="B20907" s="1" t="str">
        <f>"000325821 - RICHS PIZZA DOUGH BB-SODEXO"</f>
        <v>000325821 - RICHS PIZZA DOUGH BB-SODEXO</v>
      </c>
      <c r="C20907" t="s">
        <v>582</v>
      </c>
      <c r="D20907" s="1" t="str">
        <f t="shared" si="564"/>
        <v>PRG-1047656</v>
      </c>
      <c r="E20907" t="s">
        <v>48</v>
      </c>
      <c r="F20907" t="s">
        <v>4</v>
      </c>
      <c r="G20907" t="str">
        <f>""</f>
        <v/>
      </c>
    </row>
    <row r="20908" spans="1:7" x14ac:dyDescent="0.25">
      <c r="A20908" t="s">
        <v>8</v>
      </c>
      <c r="B20908" s="1" t="str">
        <f>"000326508 - RICH PIZZA DOUGH NCORE BB-SODX"</f>
        <v>000326508 - RICH PIZZA DOUGH NCORE BB-SODX</v>
      </c>
      <c r="C20908" t="s">
        <v>113</v>
      </c>
      <c r="D20908" s="1" t="str">
        <f t="shared" si="564"/>
        <v>PRG-1047656</v>
      </c>
      <c r="E20908" t="s">
        <v>48</v>
      </c>
      <c r="F20908" t="s">
        <v>4</v>
      </c>
      <c r="G20908" t="str">
        <f>""</f>
        <v/>
      </c>
    </row>
    <row r="20909" spans="1:7" x14ac:dyDescent="0.25">
      <c r="A20909" t="s">
        <v>8</v>
      </c>
      <c r="B20909" s="1" t="str">
        <f>"000327047 - RICHS DOUGH ICING-SODEXO"</f>
        <v>000327047 - RICHS DOUGH ICING-SODEXO</v>
      </c>
      <c r="C20909" t="s">
        <v>552</v>
      </c>
      <c r="D20909" s="1" t="str">
        <f t="shared" si="564"/>
        <v>PRG-1047656</v>
      </c>
      <c r="E20909" t="s">
        <v>48</v>
      </c>
      <c r="F20909" t="s">
        <v>4</v>
      </c>
      <c r="G20909" t="str">
        <f>""</f>
        <v/>
      </c>
    </row>
    <row r="20910" spans="1:7" x14ac:dyDescent="0.25">
      <c r="A20910" t="s">
        <v>8</v>
      </c>
      <c r="B20910" s="1" t="str">
        <f>"000327723 - RICHS PIZZA DOUGH BB CORE-SODX"</f>
        <v>000327723 - RICHS PIZZA DOUGH BB CORE-SODX</v>
      </c>
      <c r="C20910" t="s">
        <v>275</v>
      </c>
      <c r="D20910" s="1" t="str">
        <f t="shared" si="564"/>
        <v>PRG-1047656</v>
      </c>
      <c r="E20910" t="s">
        <v>48</v>
      </c>
      <c r="F20910" t="s">
        <v>4</v>
      </c>
      <c r="G20910" t="str">
        <f>""</f>
        <v/>
      </c>
    </row>
    <row r="20911" spans="1:7" x14ac:dyDescent="0.25">
      <c r="A20911" t="s">
        <v>8</v>
      </c>
      <c r="B20911" s="1" t="str">
        <f>"000327724 - RICH PIZZA DOUGH NCORE BB-SODX"</f>
        <v>000327724 - RICH PIZZA DOUGH NCORE BB-SODX</v>
      </c>
      <c r="C20911" t="s">
        <v>113</v>
      </c>
      <c r="D20911" s="1" t="str">
        <f t="shared" si="564"/>
        <v>PRG-1047656</v>
      </c>
      <c r="E20911" t="s">
        <v>48</v>
      </c>
      <c r="F20911" t="s">
        <v>4</v>
      </c>
      <c r="G20911" t="str">
        <f>""</f>
        <v/>
      </c>
    </row>
    <row r="20912" spans="1:7" x14ac:dyDescent="0.25">
      <c r="A20912" t="s">
        <v>8</v>
      </c>
      <c r="B20912" s="1" t="str">
        <f>"000328382 - RICHS DOUGH ICING-SODEXO"</f>
        <v>000328382 - RICHS DOUGH ICING-SODEXO</v>
      </c>
      <c r="C20912" t="s">
        <v>552</v>
      </c>
      <c r="D20912" s="1" t="str">
        <f t="shared" si="564"/>
        <v>PRG-1047656</v>
      </c>
      <c r="E20912" t="s">
        <v>48</v>
      </c>
      <c r="F20912" t="s">
        <v>4</v>
      </c>
      <c r="G20912" t="str">
        <f>""</f>
        <v/>
      </c>
    </row>
    <row r="20913" spans="1:7" x14ac:dyDescent="0.25">
      <c r="A20913" t="s">
        <v>8</v>
      </c>
      <c r="B20913" s="1" t="str">
        <f>"000328484 - RICHS PIZZA DOUGH BB-SODEXO"</f>
        <v>000328484 - RICHS PIZZA DOUGH BB-SODEXO</v>
      </c>
      <c r="C20913" t="s">
        <v>582</v>
      </c>
      <c r="D20913" s="1" t="str">
        <f t="shared" si="564"/>
        <v>PRG-1047656</v>
      </c>
      <c r="E20913" t="s">
        <v>48</v>
      </c>
      <c r="F20913" t="s">
        <v>4</v>
      </c>
      <c r="G20913" t="str">
        <f>""</f>
        <v/>
      </c>
    </row>
    <row r="20914" spans="1:7" x14ac:dyDescent="0.25">
      <c r="A20914" t="s">
        <v>8</v>
      </c>
      <c r="B20914" s="1" t="str">
        <f>"000328692 - RICHS DOUGH ICING-SODEXO"</f>
        <v>000328692 - RICHS DOUGH ICING-SODEXO</v>
      </c>
      <c r="C20914" t="s">
        <v>552</v>
      </c>
      <c r="D20914" s="1" t="str">
        <f t="shared" si="564"/>
        <v>PRG-1047656</v>
      </c>
      <c r="E20914" t="s">
        <v>48</v>
      </c>
      <c r="F20914" t="s">
        <v>4</v>
      </c>
      <c r="G20914" t="str">
        <f>""</f>
        <v/>
      </c>
    </row>
    <row r="20915" spans="1:7" x14ac:dyDescent="0.25">
      <c r="A20915" t="s">
        <v>8</v>
      </c>
      <c r="B20915" s="1" t="str">
        <f>"000328769 - RICHS PIZZA DOUGH &amp; ICING-SODX"</f>
        <v>000328769 - RICHS PIZZA DOUGH &amp; ICING-SODX</v>
      </c>
      <c r="C20915" t="s">
        <v>223</v>
      </c>
      <c r="D20915" s="1" t="str">
        <f t="shared" ref="D20915:D20980" si="565">"PRG-1047656"</f>
        <v>PRG-1047656</v>
      </c>
      <c r="E20915" t="s">
        <v>48</v>
      </c>
      <c r="F20915" t="s">
        <v>4</v>
      </c>
      <c r="G20915" t="str">
        <f>""</f>
        <v/>
      </c>
    </row>
    <row r="20916" spans="1:7" x14ac:dyDescent="0.25">
      <c r="A20916" t="s">
        <v>8</v>
      </c>
      <c r="B20916" s="1" t="str">
        <f>"000329393 - RICHS DOUGH ICING-SODEXO"</f>
        <v>000329393 - RICHS DOUGH ICING-SODEXO</v>
      </c>
      <c r="C20916" t="s">
        <v>552</v>
      </c>
      <c r="D20916" s="1" t="str">
        <f t="shared" si="565"/>
        <v>PRG-1047656</v>
      </c>
      <c r="E20916" t="s">
        <v>48</v>
      </c>
      <c r="F20916" t="s">
        <v>4</v>
      </c>
      <c r="G20916" t="str">
        <f>""</f>
        <v/>
      </c>
    </row>
    <row r="20917" spans="1:7" x14ac:dyDescent="0.25">
      <c r="A20917" t="s">
        <v>8</v>
      </c>
      <c r="B20917" s="1" t="str">
        <f>"000336018 - RICHS PIZZA DOUGH&amp;ICING-SODEXO"</f>
        <v>000336018 - RICHS PIZZA DOUGH&amp;ICING-SODEXO</v>
      </c>
      <c r="C20917" t="s">
        <v>288</v>
      </c>
      <c r="D20917" s="1" t="str">
        <f t="shared" si="565"/>
        <v>PRG-1047656</v>
      </c>
      <c r="E20917" t="s">
        <v>48</v>
      </c>
      <c r="F20917" t="s">
        <v>4</v>
      </c>
      <c r="G20917" t="str">
        <f>""</f>
        <v/>
      </c>
    </row>
    <row r="20918" spans="1:7" x14ac:dyDescent="0.25">
      <c r="A20918" t="s">
        <v>8</v>
      </c>
      <c r="B20918" s="1" t="str">
        <f>"000337113 - RICHS ICING&amp;DOUGH-SODEXO"</f>
        <v>000337113 - RICHS ICING&amp;DOUGH-SODEXO</v>
      </c>
      <c r="C20918" t="s">
        <v>303</v>
      </c>
      <c r="D20918" s="1" t="str">
        <f t="shared" si="565"/>
        <v>PRG-1047656</v>
      </c>
      <c r="E20918" t="s">
        <v>48</v>
      </c>
      <c r="F20918" t="s">
        <v>4</v>
      </c>
      <c r="G20918" t="str">
        <f>""</f>
        <v/>
      </c>
    </row>
    <row r="20919" spans="1:7" x14ac:dyDescent="0.25">
      <c r="A20919" t="s">
        <v>8</v>
      </c>
      <c r="B20919" s="1" t="str">
        <f>"000337285 - RICHS PIZZA DOUGH &amp; ICING-SODX"</f>
        <v>000337285 - RICHS PIZZA DOUGH &amp; ICING-SODX</v>
      </c>
      <c r="C20919" t="s">
        <v>223</v>
      </c>
      <c r="D20919" s="1" t="str">
        <f t="shared" si="565"/>
        <v>PRG-1047656</v>
      </c>
      <c r="E20919" t="s">
        <v>48</v>
      </c>
      <c r="F20919" t="s">
        <v>4</v>
      </c>
      <c r="G20919" t="str">
        <f>""</f>
        <v/>
      </c>
    </row>
    <row r="20920" spans="1:7" x14ac:dyDescent="0.25">
      <c r="A20920" t="s">
        <v>8</v>
      </c>
      <c r="B20920" s="1" t="str">
        <f>"000337643 - RICHS PIZZA DOUGH &amp; ICING-SODX"</f>
        <v>000337643 - RICHS PIZZA DOUGH &amp; ICING-SODX</v>
      </c>
      <c r="C20920" t="s">
        <v>223</v>
      </c>
      <c r="D20920" s="1" t="str">
        <f t="shared" si="565"/>
        <v>PRG-1047656</v>
      </c>
      <c r="E20920" t="s">
        <v>48</v>
      </c>
      <c r="F20920" t="s">
        <v>4</v>
      </c>
      <c r="G20920" t="str">
        <f>""</f>
        <v/>
      </c>
    </row>
    <row r="20921" spans="1:7" x14ac:dyDescent="0.25">
      <c r="A20921" t="s">
        <v>8</v>
      </c>
      <c r="B20921" s="1" t="str">
        <f>"000341024 - RICHS PIZZA DOUGH BB CORE-SODX"</f>
        <v>000341024 - RICHS PIZZA DOUGH BB CORE-SODX</v>
      </c>
      <c r="C20921" t="s">
        <v>275</v>
      </c>
      <c r="D20921" s="1" t="str">
        <f t="shared" si="565"/>
        <v>PRG-1047656</v>
      </c>
      <c r="E20921" t="s">
        <v>48</v>
      </c>
      <c r="F20921" t="s">
        <v>4</v>
      </c>
      <c r="G20921" t="str">
        <f>""</f>
        <v/>
      </c>
    </row>
    <row r="20922" spans="1:7" x14ac:dyDescent="0.25">
      <c r="A20922" t="s">
        <v>8</v>
      </c>
      <c r="B20922" s="1" t="str">
        <f>"000341025 - RICH PIZZA DOUGH NCORE BB-SODX"</f>
        <v>000341025 - RICH PIZZA DOUGH NCORE BB-SODX</v>
      </c>
      <c r="C20922" t="s">
        <v>113</v>
      </c>
      <c r="D20922" s="1" t="str">
        <f t="shared" si="565"/>
        <v>PRG-1047656</v>
      </c>
      <c r="E20922" t="s">
        <v>48</v>
      </c>
      <c r="F20922" t="s">
        <v>4</v>
      </c>
      <c r="G20922" t="str">
        <f>""</f>
        <v/>
      </c>
    </row>
    <row r="20923" spans="1:7" x14ac:dyDescent="0.25">
      <c r="A20923" t="s">
        <v>8</v>
      </c>
      <c r="B20923" s="1" t="str">
        <f>"000343797 - RICHS DOUGH ICING-SODEXO"</f>
        <v>000343797 - RICHS DOUGH ICING-SODEXO</v>
      </c>
      <c r="C20923" t="s">
        <v>552</v>
      </c>
      <c r="D20923" s="1" t="str">
        <f t="shared" si="565"/>
        <v>PRG-1047656</v>
      </c>
      <c r="E20923" t="s">
        <v>48</v>
      </c>
      <c r="F20923" t="s">
        <v>4</v>
      </c>
      <c r="G20923" t="str">
        <f>""</f>
        <v/>
      </c>
    </row>
    <row r="20924" spans="1:7" x14ac:dyDescent="0.25">
      <c r="A20924" t="s">
        <v>8</v>
      </c>
      <c r="B20924" s="1" t="str">
        <f>"000344372 - RICHS DOUGH&amp;ICING-SODEXO"</f>
        <v>000344372 - RICHS DOUGH&amp;ICING-SODEXO</v>
      </c>
      <c r="C20924" t="s">
        <v>504</v>
      </c>
      <c r="D20924" s="1" t="str">
        <f t="shared" si="565"/>
        <v>PRG-1047656</v>
      </c>
      <c r="E20924" t="s">
        <v>48</v>
      </c>
      <c r="F20924" t="s">
        <v>4</v>
      </c>
      <c r="G20924" t="str">
        <f>""</f>
        <v/>
      </c>
    </row>
    <row r="20925" spans="1:7" x14ac:dyDescent="0.25">
      <c r="A20925" t="s">
        <v>8</v>
      </c>
      <c r="B20925" s="1" t="str">
        <f>"000348609 - RICHS PIZZA DOUGH &amp; ICING-SODX"</f>
        <v>000348609 - RICHS PIZZA DOUGH &amp; ICING-SODX</v>
      </c>
      <c r="C20925" t="s">
        <v>223</v>
      </c>
      <c r="D20925" s="1" t="str">
        <f t="shared" si="565"/>
        <v>PRG-1047656</v>
      </c>
      <c r="E20925" t="s">
        <v>48</v>
      </c>
      <c r="F20925" t="s">
        <v>4</v>
      </c>
      <c r="G20925" t="str">
        <f>""</f>
        <v/>
      </c>
    </row>
    <row r="20926" spans="1:7" x14ac:dyDescent="0.25">
      <c r="A20926" t="s">
        <v>8</v>
      </c>
      <c r="B20926" s="1" t="str">
        <f>"000350121 - RICHS PIZZA DOUGH&amp;ICING-SODEXO"</f>
        <v>000350121 - RICHS PIZZA DOUGH&amp;ICING-SODEXO</v>
      </c>
      <c r="C20926" t="s">
        <v>288</v>
      </c>
      <c r="D20926" s="1" t="str">
        <f t="shared" si="565"/>
        <v>PRG-1047656</v>
      </c>
      <c r="E20926" t="s">
        <v>48</v>
      </c>
      <c r="F20926" t="s">
        <v>4</v>
      </c>
      <c r="G20926" t="str">
        <f>""</f>
        <v/>
      </c>
    </row>
    <row r="20927" spans="1:7" x14ac:dyDescent="0.25">
      <c r="A20927" t="s">
        <v>8</v>
      </c>
      <c r="B20927" s="1" t="str">
        <f>"000350393 - RICHS PIZZA DOUGH &amp; ICING-SODX"</f>
        <v>000350393 - RICHS PIZZA DOUGH &amp; ICING-SODX</v>
      </c>
      <c r="C20927" t="s">
        <v>223</v>
      </c>
      <c r="D20927" s="1" t="str">
        <f t="shared" si="565"/>
        <v>PRG-1047656</v>
      </c>
      <c r="E20927" t="s">
        <v>48</v>
      </c>
      <c r="F20927" t="s">
        <v>4</v>
      </c>
      <c r="G20927" t="str">
        <f>""</f>
        <v/>
      </c>
    </row>
    <row r="20928" spans="1:7" x14ac:dyDescent="0.25">
      <c r="A20928" t="s">
        <v>8</v>
      </c>
      <c r="B20928" s="1" t="str">
        <f>"000351524 - RICHS ICING&amp;DOUGH-SODEXO"</f>
        <v>000351524 - RICHS ICING&amp;DOUGH-SODEXO</v>
      </c>
      <c r="C20928" t="s">
        <v>303</v>
      </c>
      <c r="D20928" s="1" t="str">
        <f t="shared" si="565"/>
        <v>PRG-1047656</v>
      </c>
      <c r="E20928" t="s">
        <v>48</v>
      </c>
      <c r="F20928" t="s">
        <v>4</v>
      </c>
      <c r="G20928" t="str">
        <f>""</f>
        <v/>
      </c>
    </row>
    <row r="20929" spans="1:7" x14ac:dyDescent="0.25">
      <c r="A20929" t="s">
        <v>8</v>
      </c>
      <c r="B20929" s="1" t="str">
        <f>"000351576 - RICHS DOUGH&amp;ICING-SODEXO"</f>
        <v>000351576 - RICHS DOUGH&amp;ICING-SODEXO</v>
      </c>
      <c r="C20929" t="s">
        <v>504</v>
      </c>
      <c r="D20929" s="1" t="str">
        <f t="shared" si="565"/>
        <v>PRG-1047656</v>
      </c>
      <c r="E20929" t="s">
        <v>48</v>
      </c>
      <c r="F20929" t="s">
        <v>4</v>
      </c>
      <c r="G20929" t="str">
        <f>""</f>
        <v/>
      </c>
    </row>
    <row r="20930" spans="1:7" x14ac:dyDescent="0.25">
      <c r="A20930" t="s">
        <v>8</v>
      </c>
      <c r="B20930" s="1" t="str">
        <f>"000352808 - RICHS PIZZA DOUGH &amp; ICING-SODX"</f>
        <v>000352808 - RICHS PIZZA DOUGH &amp; ICING-SODX</v>
      </c>
      <c r="C20930" t="s">
        <v>223</v>
      </c>
      <c r="D20930" s="1" t="str">
        <f t="shared" si="565"/>
        <v>PRG-1047656</v>
      </c>
      <c r="E20930" t="s">
        <v>48</v>
      </c>
      <c r="F20930" t="s">
        <v>4</v>
      </c>
      <c r="G20930" t="str">
        <f>""</f>
        <v/>
      </c>
    </row>
    <row r="20931" spans="1:7" x14ac:dyDescent="0.25">
      <c r="A20931" t="s">
        <v>8</v>
      </c>
      <c r="B20931" s="1" t="str">
        <f>"000353848 - RICH PIZZA DOUGH NCORE BB-SODX"</f>
        <v>000353848 - RICH PIZZA DOUGH NCORE BB-SODX</v>
      </c>
      <c r="C20931" t="s">
        <v>113</v>
      </c>
      <c r="D20931" s="1" t="str">
        <f t="shared" si="565"/>
        <v>PRG-1047656</v>
      </c>
      <c r="E20931" t="s">
        <v>48</v>
      </c>
      <c r="F20931" t="s">
        <v>4</v>
      </c>
      <c r="G20931" t="str">
        <f>""</f>
        <v/>
      </c>
    </row>
    <row r="20932" spans="1:7" x14ac:dyDescent="0.25">
      <c r="A20932" t="s">
        <v>8</v>
      </c>
      <c r="B20932" s="1" t="str">
        <f>"000357887 - RICHS DOUGH ICING-SODEXO"</f>
        <v>000357887 - RICHS DOUGH ICING-SODEXO</v>
      </c>
      <c r="C20932" t="s">
        <v>552</v>
      </c>
      <c r="D20932" s="1" t="str">
        <f t="shared" si="565"/>
        <v>PRG-1047656</v>
      </c>
      <c r="E20932" t="s">
        <v>48</v>
      </c>
      <c r="F20932" t="s">
        <v>4</v>
      </c>
      <c r="G20932" t="str">
        <f>""</f>
        <v/>
      </c>
    </row>
    <row r="20933" spans="1:7" x14ac:dyDescent="0.25">
      <c r="A20933" t="s">
        <v>8</v>
      </c>
      <c r="B20933" s="1" t="str">
        <f>"000359759 - RICHS ICING&amp;DOUGH-SODEXO"</f>
        <v>000359759 - RICHS ICING&amp;DOUGH-SODEXO</v>
      </c>
      <c r="C20933" t="s">
        <v>303</v>
      </c>
      <c r="D20933" s="1" t="str">
        <f t="shared" si="565"/>
        <v>PRG-1047656</v>
      </c>
      <c r="E20933" t="s">
        <v>48</v>
      </c>
      <c r="F20933" t="s">
        <v>4</v>
      </c>
      <c r="G20933" t="str">
        <f>""</f>
        <v/>
      </c>
    </row>
    <row r="20934" spans="1:7" x14ac:dyDescent="0.25">
      <c r="A20934" t="s">
        <v>8</v>
      </c>
      <c r="B20934" s="1" t="str">
        <f>"000360244 - RICHS PIZZA DOUGH BB-SODEXO"</f>
        <v>000360244 - RICHS PIZZA DOUGH BB-SODEXO</v>
      </c>
      <c r="C20934" t="s">
        <v>582</v>
      </c>
      <c r="D20934" s="1" t="str">
        <f t="shared" si="565"/>
        <v>PRG-1047656</v>
      </c>
      <c r="E20934" t="s">
        <v>48</v>
      </c>
      <c r="F20934" t="s">
        <v>4</v>
      </c>
      <c r="G20934" t="str">
        <f>""</f>
        <v/>
      </c>
    </row>
    <row r="20935" spans="1:7" x14ac:dyDescent="0.25">
      <c r="A20935" t="s">
        <v>8</v>
      </c>
      <c r="B20935" s="1" t="str">
        <f>"000363365 - RICHS DOUGH&amp;ICING-SODEXO"</f>
        <v>000363365 - RICHS DOUGH&amp;ICING-SODEXO</v>
      </c>
      <c r="C20935" t="s">
        <v>504</v>
      </c>
      <c r="D20935" s="1" t="str">
        <f t="shared" si="565"/>
        <v>PRG-1047656</v>
      </c>
      <c r="E20935" t="s">
        <v>48</v>
      </c>
      <c r="F20935" t="s">
        <v>4</v>
      </c>
      <c r="G20935" t="str">
        <f>""</f>
        <v/>
      </c>
    </row>
    <row r="20936" spans="1:7" x14ac:dyDescent="0.25">
      <c r="A20936" t="s">
        <v>8</v>
      </c>
      <c r="B20936" s="1" t="str">
        <f>"000363859 - RICHS PIZZA DOUGH &amp; ICING-SODX"</f>
        <v>000363859 - RICHS PIZZA DOUGH &amp; ICING-SODX</v>
      </c>
      <c r="C20936" t="s">
        <v>223</v>
      </c>
      <c r="D20936" s="1" t="str">
        <f t="shared" si="565"/>
        <v>PRG-1047656</v>
      </c>
      <c r="E20936" t="s">
        <v>48</v>
      </c>
      <c r="F20936" t="s">
        <v>4</v>
      </c>
      <c r="G20936" t="str">
        <f>""</f>
        <v/>
      </c>
    </row>
    <row r="20937" spans="1:7" x14ac:dyDescent="0.25">
      <c r="A20937" t="s">
        <v>8</v>
      </c>
      <c r="B20937" s="1" t="str">
        <f>"000365085 - RICHS PIZZA DOUGH&amp;ICING-SODEXO"</f>
        <v>000365085 - RICHS PIZZA DOUGH&amp;ICING-SODEXO</v>
      </c>
      <c r="C20937" t="s">
        <v>288</v>
      </c>
      <c r="D20937" s="1" t="str">
        <f t="shared" si="565"/>
        <v>PRG-1047656</v>
      </c>
      <c r="E20937" t="s">
        <v>48</v>
      </c>
      <c r="F20937" t="s">
        <v>4</v>
      </c>
      <c r="G20937" t="str">
        <f>""</f>
        <v/>
      </c>
    </row>
    <row r="20938" spans="1:7" x14ac:dyDescent="0.25">
      <c r="A20938" t="s">
        <v>8</v>
      </c>
      <c r="B20938" s="1" t="str">
        <f>"000365817 - RICHS PIZZA DOUGH &amp; ICING-SODX"</f>
        <v>000365817 - RICHS PIZZA DOUGH &amp; ICING-SODX</v>
      </c>
      <c r="C20938" t="s">
        <v>223</v>
      </c>
      <c r="D20938" s="1" t="str">
        <f t="shared" si="565"/>
        <v>PRG-1047656</v>
      </c>
      <c r="E20938" t="s">
        <v>48</v>
      </c>
      <c r="F20938" t="s">
        <v>4</v>
      </c>
      <c r="G20938" t="str">
        <f>""</f>
        <v/>
      </c>
    </row>
    <row r="20939" spans="1:7" x14ac:dyDescent="0.25">
      <c r="A20939" t="s">
        <v>8</v>
      </c>
      <c r="B20939" s="1" t="str">
        <f>"000366074 - RICH PIZZA DOUGH BB CORE-SODX"</f>
        <v>000366074 - RICH PIZZA DOUGH BB CORE-SODX</v>
      </c>
      <c r="C20939" t="s">
        <v>612</v>
      </c>
      <c r="D20939" s="1" t="str">
        <f t="shared" si="565"/>
        <v>PRG-1047656</v>
      </c>
      <c r="E20939" t="s">
        <v>48</v>
      </c>
      <c r="F20939" t="s">
        <v>4</v>
      </c>
      <c r="G20939" t="str">
        <f>""</f>
        <v/>
      </c>
    </row>
    <row r="20940" spans="1:7" x14ac:dyDescent="0.25">
      <c r="A20940" t="s">
        <v>8</v>
      </c>
      <c r="B20940" s="1" t="str">
        <f>"000366075 - RICH PIZZA DOUGH BB NCORE-SODX"</f>
        <v>000366075 - RICH PIZZA DOUGH BB NCORE-SODX</v>
      </c>
      <c r="C20940" t="s">
        <v>613</v>
      </c>
      <c r="D20940" s="1" t="str">
        <f t="shared" si="565"/>
        <v>PRG-1047656</v>
      </c>
      <c r="E20940" t="s">
        <v>48</v>
      </c>
      <c r="F20940" t="s">
        <v>4</v>
      </c>
      <c r="G20940" t="str">
        <f>""</f>
        <v/>
      </c>
    </row>
    <row r="20941" spans="1:7" x14ac:dyDescent="0.25">
      <c r="A20941" t="s">
        <v>8</v>
      </c>
      <c r="B20941" s="1" t="str">
        <f>"000366620 - RICHS ICING&amp;DOUGH-SODEXO"</f>
        <v>000366620 - RICHS ICING&amp;DOUGH-SODEXO</v>
      </c>
      <c r="C20941" t="s">
        <v>303</v>
      </c>
      <c r="D20941" s="1" t="str">
        <f t="shared" si="565"/>
        <v>PRG-1047656</v>
      </c>
      <c r="E20941" t="s">
        <v>48</v>
      </c>
      <c r="F20941" t="s">
        <v>4</v>
      </c>
      <c r="G20941" t="str">
        <f>""</f>
        <v/>
      </c>
    </row>
    <row r="20942" spans="1:7" x14ac:dyDescent="0.25">
      <c r="A20942" t="s">
        <v>8</v>
      </c>
      <c r="B20942" s="1" t="str">
        <f>"000368121 - RICHS DOUGH&amp;ICING-SODEXO"</f>
        <v>000368121 - RICHS DOUGH&amp;ICING-SODEXO</v>
      </c>
      <c r="C20942" t="s">
        <v>504</v>
      </c>
      <c r="D20942" s="1" t="str">
        <f t="shared" si="565"/>
        <v>PRG-1047656</v>
      </c>
      <c r="E20942" t="s">
        <v>48</v>
      </c>
      <c r="F20942" t="s">
        <v>4</v>
      </c>
      <c r="G20942" t="str">
        <f>""</f>
        <v/>
      </c>
    </row>
    <row r="20943" spans="1:7" x14ac:dyDescent="0.25">
      <c r="A20943" t="s">
        <v>8</v>
      </c>
      <c r="B20943" s="1" t="str">
        <f>"000368887 - RICHS ICING&amp;DOUGH-SODEXO"</f>
        <v>000368887 - RICHS ICING&amp;DOUGH-SODEXO</v>
      </c>
      <c r="C20943" t="s">
        <v>303</v>
      </c>
      <c r="D20943" s="1" t="str">
        <f t="shared" si="565"/>
        <v>PRG-1047656</v>
      </c>
      <c r="E20943" t="s">
        <v>48</v>
      </c>
      <c r="F20943" t="s">
        <v>4</v>
      </c>
      <c r="G20943" t="str">
        <f>""</f>
        <v/>
      </c>
    </row>
    <row r="20944" spans="1:7" x14ac:dyDescent="0.25">
      <c r="A20944" t="s">
        <v>8</v>
      </c>
      <c r="B20944" s="1" t="str">
        <f>"000369796 - RICHS DOUGH ICING-SODEXO"</f>
        <v>000369796 - RICHS DOUGH ICING-SODEXO</v>
      </c>
      <c r="C20944" t="s">
        <v>552</v>
      </c>
      <c r="D20944" s="1" t="str">
        <f t="shared" si="565"/>
        <v>PRG-1047656</v>
      </c>
      <c r="E20944" t="s">
        <v>48</v>
      </c>
      <c r="F20944" t="s">
        <v>4</v>
      </c>
      <c r="G20944" t="str">
        <f>""</f>
        <v/>
      </c>
    </row>
    <row r="20945" spans="1:7" x14ac:dyDescent="0.25">
      <c r="A20945" t="s">
        <v>8</v>
      </c>
      <c r="B20945" s="1" t="str">
        <f>"000371046 - RICHS ICING&amp;DOUGH-SODEXO"</f>
        <v>000371046 - RICHS ICING&amp;DOUGH-SODEXO</v>
      </c>
      <c r="C20945" t="s">
        <v>303</v>
      </c>
      <c r="D20945" s="1" t="str">
        <f t="shared" si="565"/>
        <v>PRG-1047656</v>
      </c>
      <c r="E20945" t="s">
        <v>48</v>
      </c>
      <c r="F20945" t="s">
        <v>4</v>
      </c>
      <c r="G20945" t="str">
        <f>""</f>
        <v/>
      </c>
    </row>
    <row r="20946" spans="1:7" x14ac:dyDescent="0.25">
      <c r="A20946" t="s">
        <v>8</v>
      </c>
      <c r="B20946" s="1" t="str">
        <f>"000372279 - RICHS PIZZA DOUGH&amp;ICING-SODEXO"</f>
        <v>000372279 - RICHS PIZZA DOUGH&amp;ICING-SODEXO</v>
      </c>
      <c r="C20946" t="s">
        <v>288</v>
      </c>
      <c r="D20946" s="1" t="str">
        <f t="shared" si="565"/>
        <v>PRG-1047656</v>
      </c>
      <c r="E20946" t="s">
        <v>48</v>
      </c>
      <c r="F20946" t="s">
        <v>4</v>
      </c>
      <c r="G20946" t="str">
        <f>""</f>
        <v/>
      </c>
    </row>
    <row r="20947" spans="1:7" x14ac:dyDescent="0.25">
      <c r="A20947" t="s">
        <v>8</v>
      </c>
      <c r="B20947" s="1" t="str">
        <f>"000373814 - RICHS ICING&amp;DOUGH-SODEXO"</f>
        <v>000373814 - RICHS ICING&amp;DOUGH-SODEXO</v>
      </c>
      <c r="C20947" t="s">
        <v>303</v>
      </c>
      <c r="D20947" s="1" t="str">
        <f t="shared" si="565"/>
        <v>PRG-1047656</v>
      </c>
      <c r="E20947" t="s">
        <v>48</v>
      </c>
      <c r="F20947" t="s">
        <v>4</v>
      </c>
      <c r="G20947" t="str">
        <f>""</f>
        <v/>
      </c>
    </row>
    <row r="20948" spans="1:7" x14ac:dyDescent="0.25">
      <c r="A20948" t="s">
        <v>8</v>
      </c>
      <c r="B20948" s="1" t="str">
        <f>"000374191 - RICHS PIZZA DOUGH &amp; ICING-SODX"</f>
        <v>000374191 - RICHS PIZZA DOUGH &amp; ICING-SODX</v>
      </c>
      <c r="C20948" t="s">
        <v>223</v>
      </c>
      <c r="D20948" s="1" t="str">
        <f t="shared" si="565"/>
        <v>PRG-1047656</v>
      </c>
      <c r="E20948" t="s">
        <v>48</v>
      </c>
      <c r="F20948" t="s">
        <v>4</v>
      </c>
      <c r="G20948" t="str">
        <f>""</f>
        <v/>
      </c>
    </row>
    <row r="20949" spans="1:7" x14ac:dyDescent="0.25">
      <c r="A20949" t="s">
        <v>8</v>
      </c>
      <c r="B20949" s="1" t="str">
        <f>"000374491 - RICHS PIZZA DOUGH &amp; ICING-SODX"</f>
        <v>000374491 - RICHS PIZZA DOUGH &amp; ICING-SODX</v>
      </c>
      <c r="C20949" t="s">
        <v>223</v>
      </c>
      <c r="D20949" s="1" t="str">
        <f t="shared" si="565"/>
        <v>PRG-1047656</v>
      </c>
      <c r="E20949" t="s">
        <v>48</v>
      </c>
      <c r="F20949" t="s">
        <v>4</v>
      </c>
      <c r="G20949" t="str">
        <f>""</f>
        <v/>
      </c>
    </row>
    <row r="20950" spans="1:7" x14ac:dyDescent="0.25">
      <c r="A20950" t="s">
        <v>8</v>
      </c>
      <c r="B20950" s="1" t="str">
        <f>"000375288 - RICHS ICING&amp;DOUGH-SODEXO"</f>
        <v>000375288 - RICHS ICING&amp;DOUGH-SODEXO</v>
      </c>
      <c r="C20950" t="s">
        <v>303</v>
      </c>
      <c r="D20950" s="1" t="str">
        <f t="shared" si="565"/>
        <v>PRG-1047656</v>
      </c>
      <c r="E20950" t="s">
        <v>48</v>
      </c>
      <c r="F20950" t="s">
        <v>4</v>
      </c>
      <c r="G20950" t="str">
        <f>""</f>
        <v/>
      </c>
    </row>
    <row r="20951" spans="1:7" x14ac:dyDescent="0.25">
      <c r="A20951" t="s">
        <v>8</v>
      </c>
      <c r="B20951" s="1" t="str">
        <f>"000375424 - RICHS PIZZA DOUGH &amp; ICING-SODX"</f>
        <v>000375424 - RICHS PIZZA DOUGH &amp; ICING-SODX</v>
      </c>
      <c r="C20951" t="s">
        <v>223</v>
      </c>
      <c r="D20951" s="1" t="str">
        <f t="shared" si="565"/>
        <v>PRG-1047656</v>
      </c>
      <c r="E20951" t="s">
        <v>48</v>
      </c>
      <c r="F20951" t="s">
        <v>4</v>
      </c>
      <c r="G20951" t="str">
        <f>""</f>
        <v/>
      </c>
    </row>
    <row r="20952" spans="1:7" x14ac:dyDescent="0.25">
      <c r="A20952" t="s">
        <v>8</v>
      </c>
      <c r="B20952" s="1" t="str">
        <f>"000376596 - RICHS DOUGH ICING-SODEXO"</f>
        <v>000376596 - RICHS DOUGH ICING-SODEXO</v>
      </c>
      <c r="C20952" t="s">
        <v>552</v>
      </c>
      <c r="D20952" s="1" t="str">
        <f t="shared" si="565"/>
        <v>PRG-1047656</v>
      </c>
      <c r="E20952" t="s">
        <v>48</v>
      </c>
      <c r="F20952" t="s">
        <v>4</v>
      </c>
      <c r="G20952" t="str">
        <f>""</f>
        <v/>
      </c>
    </row>
    <row r="20953" spans="1:7" x14ac:dyDescent="0.25">
      <c r="A20953" t="s">
        <v>8</v>
      </c>
      <c r="B20953" s="1" t="str">
        <f>"000381464 - RICHS PIZZA DOUGH &amp; ICING-SODX"</f>
        <v>000381464 - RICHS PIZZA DOUGH &amp; ICING-SODX</v>
      </c>
      <c r="C20953" t="s">
        <v>223</v>
      </c>
      <c r="D20953" s="1" t="str">
        <f t="shared" si="565"/>
        <v>PRG-1047656</v>
      </c>
      <c r="E20953" t="s">
        <v>48</v>
      </c>
      <c r="F20953" t="s">
        <v>4</v>
      </c>
      <c r="G20953" t="str">
        <f>""</f>
        <v/>
      </c>
    </row>
    <row r="20954" spans="1:7" x14ac:dyDescent="0.25">
      <c r="A20954" t="s">
        <v>8</v>
      </c>
      <c r="B20954" s="1" t="str">
        <f>"000383655 - RICHS PIZZA DOUGH &amp; ICING-SODX"</f>
        <v>000383655 - RICHS PIZZA DOUGH &amp; ICING-SODX</v>
      </c>
      <c r="C20954" t="s">
        <v>223</v>
      </c>
      <c r="D20954" s="1" t="str">
        <f t="shared" si="565"/>
        <v>PRG-1047656</v>
      </c>
      <c r="E20954" t="s">
        <v>48</v>
      </c>
      <c r="F20954" t="s">
        <v>4</v>
      </c>
      <c r="G20954" t="str">
        <f>""</f>
        <v/>
      </c>
    </row>
    <row r="20955" spans="1:7" x14ac:dyDescent="0.25">
      <c r="A20955" t="s">
        <v>8</v>
      </c>
      <c r="B20955" s="1" t="str">
        <f>"000389543 - RICHS PIZZA DOUGH &amp; ICING-SODX"</f>
        <v>000389543 - RICHS PIZZA DOUGH &amp; ICING-SODX</v>
      </c>
      <c r="C20955" t="s">
        <v>223</v>
      </c>
      <c r="D20955" s="1" t="str">
        <f t="shared" si="565"/>
        <v>PRG-1047656</v>
      </c>
      <c r="E20955" t="s">
        <v>48</v>
      </c>
      <c r="F20955" t="s">
        <v>4</v>
      </c>
      <c r="G20955" t="str">
        <f>""</f>
        <v/>
      </c>
    </row>
    <row r="20956" spans="1:7" x14ac:dyDescent="0.25">
      <c r="A20956" t="s">
        <v>8</v>
      </c>
      <c r="B20956" s="1" t="str">
        <f>"000390711 - RICHS PIZZA DOUGH &amp; ICING-SODX"</f>
        <v>000390711 - RICHS PIZZA DOUGH &amp; ICING-SODX</v>
      </c>
      <c r="C20956" t="s">
        <v>223</v>
      </c>
      <c r="D20956" s="1" t="str">
        <f t="shared" si="565"/>
        <v>PRG-1047656</v>
      </c>
      <c r="E20956" t="s">
        <v>48</v>
      </c>
      <c r="F20956" t="s">
        <v>4</v>
      </c>
      <c r="G20956" t="str">
        <f>""</f>
        <v/>
      </c>
    </row>
    <row r="20957" spans="1:7" x14ac:dyDescent="0.25">
      <c r="A20957" t="s">
        <v>8</v>
      </c>
      <c r="B20957" s="1" t="str">
        <f>"000392803 - RICHS DOUGH ICING-SODEXO"</f>
        <v>000392803 - RICHS DOUGH ICING-SODEXO</v>
      </c>
      <c r="C20957" t="s">
        <v>552</v>
      </c>
      <c r="D20957" s="1" t="str">
        <f t="shared" si="565"/>
        <v>PRG-1047656</v>
      </c>
      <c r="E20957" t="s">
        <v>48</v>
      </c>
      <c r="F20957" t="s">
        <v>4</v>
      </c>
      <c r="G20957" t="str">
        <f>""</f>
        <v/>
      </c>
    </row>
    <row r="20958" spans="1:7" x14ac:dyDescent="0.25">
      <c r="A20958" t="s">
        <v>8</v>
      </c>
      <c r="B20958" s="1" t="str">
        <f>"000394334 - RICHS DOUGH&amp;ICING-SODEXO"</f>
        <v>000394334 - RICHS DOUGH&amp;ICING-SODEXO</v>
      </c>
      <c r="C20958" t="s">
        <v>504</v>
      </c>
      <c r="D20958" s="1" t="str">
        <f t="shared" si="565"/>
        <v>PRG-1047656</v>
      </c>
      <c r="E20958" t="s">
        <v>48</v>
      </c>
      <c r="F20958" t="s">
        <v>4</v>
      </c>
      <c r="G20958" t="str">
        <f>""</f>
        <v/>
      </c>
    </row>
    <row r="20959" spans="1:7" x14ac:dyDescent="0.25">
      <c r="A20959" t="s">
        <v>8</v>
      </c>
      <c r="B20959" s="1" t="str">
        <f>"000395157 - RICHS DOUGH ICING-SODEXO"</f>
        <v>000395157 - RICHS DOUGH ICING-SODEXO</v>
      </c>
      <c r="C20959" t="s">
        <v>552</v>
      </c>
      <c r="D20959" s="1" t="str">
        <f t="shared" si="565"/>
        <v>PRG-1047656</v>
      </c>
      <c r="E20959" t="s">
        <v>48</v>
      </c>
      <c r="F20959" t="s">
        <v>4</v>
      </c>
      <c r="G20959" t="str">
        <f>""</f>
        <v/>
      </c>
    </row>
    <row r="20960" spans="1:7" x14ac:dyDescent="0.25">
      <c r="A20960" t="s">
        <v>8</v>
      </c>
      <c r="B20960" s="1" t="str">
        <f>"000395379 - RICHS DOUGH ICING-SODEXO"</f>
        <v>000395379 - RICHS DOUGH ICING-SODEXO</v>
      </c>
      <c r="C20960" t="s">
        <v>552</v>
      </c>
      <c r="D20960" s="1" t="str">
        <f t="shared" si="565"/>
        <v>PRG-1047656</v>
      </c>
      <c r="E20960" t="s">
        <v>48</v>
      </c>
      <c r="F20960" t="s">
        <v>4</v>
      </c>
      <c r="G20960" t="str">
        <f>""</f>
        <v/>
      </c>
    </row>
    <row r="20961" spans="1:7" x14ac:dyDescent="0.25">
      <c r="A20961" t="s">
        <v>8</v>
      </c>
      <c r="B20961" s="1" t="str">
        <f>"000396920 - RICHS DOUGH&amp;ICING-SODEXO"</f>
        <v>000396920 - RICHS DOUGH&amp;ICING-SODEXO</v>
      </c>
      <c r="C20961" t="s">
        <v>504</v>
      </c>
      <c r="D20961" s="1" t="str">
        <f t="shared" si="565"/>
        <v>PRG-1047656</v>
      </c>
      <c r="E20961" t="s">
        <v>48</v>
      </c>
      <c r="F20961" t="s">
        <v>4</v>
      </c>
      <c r="G20961" t="str">
        <f>""</f>
        <v/>
      </c>
    </row>
    <row r="20962" spans="1:7" x14ac:dyDescent="0.25">
      <c r="A20962" t="s">
        <v>8</v>
      </c>
      <c r="B20962" s="1" t="str">
        <f>"000398341 - RICHS DOUGH ICING-SODEXO"</f>
        <v>000398341 - RICHS DOUGH ICING-SODEXO</v>
      </c>
      <c r="C20962" t="s">
        <v>552</v>
      </c>
      <c r="D20962" s="1" t="str">
        <f t="shared" si="565"/>
        <v>PRG-1047656</v>
      </c>
      <c r="E20962" t="s">
        <v>48</v>
      </c>
      <c r="F20962" t="s">
        <v>4</v>
      </c>
      <c r="G20962" t="str">
        <f>""</f>
        <v/>
      </c>
    </row>
    <row r="20963" spans="1:7" x14ac:dyDescent="0.25">
      <c r="A20963" t="s">
        <v>8</v>
      </c>
      <c r="B20963" s="1" t="str">
        <f>"000400662 - RICHS PIZZA DOUGH &amp; ICING-SODX"</f>
        <v>000400662 - RICHS PIZZA DOUGH &amp; ICING-SODX</v>
      </c>
      <c r="C20963" t="s">
        <v>223</v>
      </c>
      <c r="D20963" s="1" t="str">
        <f t="shared" si="565"/>
        <v>PRG-1047656</v>
      </c>
      <c r="E20963" t="s">
        <v>48</v>
      </c>
      <c r="F20963" t="s">
        <v>4</v>
      </c>
      <c r="G20963" t="str">
        <f>""</f>
        <v/>
      </c>
    </row>
    <row r="20964" spans="1:7" x14ac:dyDescent="0.25">
      <c r="A20964" t="s">
        <v>8</v>
      </c>
      <c r="B20964" s="1" t="str">
        <f>"000400770 - RICHS ICING&amp;DOUGH-SODEXO"</f>
        <v>000400770 - RICHS ICING&amp;DOUGH-SODEXO</v>
      </c>
      <c r="C20964" t="s">
        <v>303</v>
      </c>
      <c r="D20964" s="1" t="str">
        <f t="shared" si="565"/>
        <v>PRG-1047656</v>
      </c>
      <c r="E20964" t="s">
        <v>48</v>
      </c>
      <c r="F20964" t="s">
        <v>4</v>
      </c>
      <c r="G20964" t="str">
        <f>""</f>
        <v/>
      </c>
    </row>
    <row r="20965" spans="1:7" x14ac:dyDescent="0.25">
      <c r="A20965" t="s">
        <v>8</v>
      </c>
      <c r="B20965" s="1" t="str">
        <f>"000401258 - RICHS DOUGH&amp;ICING-SODEXO"</f>
        <v>000401258 - RICHS DOUGH&amp;ICING-SODEXO</v>
      </c>
      <c r="C20965" t="s">
        <v>504</v>
      </c>
      <c r="D20965" s="1" t="str">
        <f t="shared" si="565"/>
        <v>PRG-1047656</v>
      </c>
      <c r="E20965" t="s">
        <v>48</v>
      </c>
      <c r="F20965" t="s">
        <v>4</v>
      </c>
      <c r="G20965" t="str">
        <f>""</f>
        <v/>
      </c>
    </row>
    <row r="20966" spans="1:7" x14ac:dyDescent="0.25">
      <c r="A20966" t="s">
        <v>8</v>
      </c>
      <c r="B20966" s="1" t="str">
        <f>"000406896 - RICHS PIZZA DOUGH &amp; ICING-SODX"</f>
        <v>000406896 - RICHS PIZZA DOUGH &amp; ICING-SODX</v>
      </c>
      <c r="C20966" t="s">
        <v>223</v>
      </c>
      <c r="D20966" s="1" t="str">
        <f t="shared" si="565"/>
        <v>PRG-1047656</v>
      </c>
      <c r="E20966" t="s">
        <v>48</v>
      </c>
      <c r="F20966" t="s">
        <v>4</v>
      </c>
      <c r="G20966" t="str">
        <f>""</f>
        <v/>
      </c>
    </row>
    <row r="20967" spans="1:7" x14ac:dyDescent="0.25">
      <c r="A20967" t="s">
        <v>8</v>
      </c>
      <c r="B20967" s="1" t="str">
        <f>"000407676 - RICHS DOUGH ICING-SODEXO"</f>
        <v>000407676 - RICHS DOUGH ICING-SODEXO</v>
      </c>
      <c r="C20967" t="s">
        <v>552</v>
      </c>
      <c r="D20967" s="1" t="str">
        <f t="shared" si="565"/>
        <v>PRG-1047656</v>
      </c>
      <c r="E20967" t="s">
        <v>48</v>
      </c>
      <c r="F20967" t="s">
        <v>4</v>
      </c>
      <c r="G20967" t="str">
        <f>""</f>
        <v/>
      </c>
    </row>
    <row r="20968" spans="1:7" x14ac:dyDescent="0.25">
      <c r="A20968" t="s">
        <v>8</v>
      </c>
      <c r="B20968" s="1" t="str">
        <f>"000409580 - RICHS DOUGH ICING-SODEXO"</f>
        <v>000409580 - RICHS DOUGH ICING-SODEXO</v>
      </c>
      <c r="C20968" t="s">
        <v>552</v>
      </c>
      <c r="D20968" s="1" t="str">
        <f t="shared" si="565"/>
        <v>PRG-1047656</v>
      </c>
      <c r="E20968" t="s">
        <v>48</v>
      </c>
      <c r="F20968" t="s">
        <v>4</v>
      </c>
      <c r="G20968" t="str">
        <f>""</f>
        <v/>
      </c>
    </row>
    <row r="20969" spans="1:7" x14ac:dyDescent="0.25">
      <c r="A20969" t="s">
        <v>8</v>
      </c>
      <c r="B20969" s="1" t="str">
        <f>"000411122 - RICHS DOUGH ICING-SODEXO"</f>
        <v>000411122 - RICHS DOUGH ICING-SODEXO</v>
      </c>
      <c r="C20969" t="s">
        <v>552</v>
      </c>
      <c r="D20969" s="1" t="str">
        <f t="shared" si="565"/>
        <v>PRG-1047656</v>
      </c>
      <c r="E20969" t="s">
        <v>48</v>
      </c>
      <c r="F20969" t="s">
        <v>4</v>
      </c>
      <c r="G20969" t="str">
        <f>""</f>
        <v/>
      </c>
    </row>
    <row r="20970" spans="1:7" x14ac:dyDescent="0.25">
      <c r="A20970" t="s">
        <v>8</v>
      </c>
      <c r="B20970" s="1" t="str">
        <f>"000411225 - RICHS DOUGH&amp;ICING-SODEXO"</f>
        <v>000411225 - RICHS DOUGH&amp;ICING-SODEXO</v>
      </c>
      <c r="C20970" t="s">
        <v>504</v>
      </c>
      <c r="D20970" s="1" t="str">
        <f t="shared" si="565"/>
        <v>PRG-1047656</v>
      </c>
      <c r="E20970" t="s">
        <v>48</v>
      </c>
      <c r="F20970" t="s">
        <v>4</v>
      </c>
      <c r="G20970" t="str">
        <f>""</f>
        <v/>
      </c>
    </row>
    <row r="20971" spans="1:7" x14ac:dyDescent="0.25">
      <c r="A20971" t="s">
        <v>8</v>
      </c>
      <c r="B20971" s="1" t="str">
        <f>"000412423 - RICHS DOUGH&amp;ICING-SODEXO"</f>
        <v>000412423 - RICHS DOUGH&amp;ICING-SODEXO</v>
      </c>
      <c r="C20971" t="s">
        <v>504</v>
      </c>
      <c r="D20971" s="1" t="str">
        <f t="shared" si="565"/>
        <v>PRG-1047656</v>
      </c>
      <c r="E20971" t="s">
        <v>48</v>
      </c>
      <c r="F20971" t="s">
        <v>4</v>
      </c>
      <c r="G20971" t="str">
        <f>""</f>
        <v/>
      </c>
    </row>
    <row r="20972" spans="1:7" x14ac:dyDescent="0.25">
      <c r="A20972" t="s">
        <v>8</v>
      </c>
      <c r="B20972" s="1" t="str">
        <f>"000414960 - RICHS PIZZA DOUGH &amp; ICING-SODX"</f>
        <v>000414960 - RICHS PIZZA DOUGH &amp; ICING-SODX</v>
      </c>
      <c r="C20972" t="s">
        <v>223</v>
      </c>
      <c r="D20972" s="1" t="str">
        <f t="shared" si="565"/>
        <v>PRG-1047656</v>
      </c>
      <c r="E20972" t="s">
        <v>48</v>
      </c>
      <c r="F20972" t="s">
        <v>4</v>
      </c>
      <c r="G20972" t="str">
        <f>""</f>
        <v/>
      </c>
    </row>
    <row r="20973" spans="1:7" x14ac:dyDescent="0.25">
      <c r="A20973" t="s">
        <v>8</v>
      </c>
      <c r="B20973" s="1" t="str">
        <f>"000419311 - RICHS DOUGH&amp;ICING-SODEXO"</f>
        <v>000419311 - RICHS DOUGH&amp;ICING-SODEXO</v>
      </c>
      <c r="C20973" t="s">
        <v>504</v>
      </c>
      <c r="D20973" s="1" t="str">
        <f t="shared" si="565"/>
        <v>PRG-1047656</v>
      </c>
      <c r="E20973" t="s">
        <v>48</v>
      </c>
      <c r="F20973" t="s">
        <v>4</v>
      </c>
      <c r="G20973" t="str">
        <f>""</f>
        <v/>
      </c>
    </row>
    <row r="20974" spans="1:7" x14ac:dyDescent="0.25">
      <c r="A20974" t="s">
        <v>8</v>
      </c>
      <c r="B20974" s="1" t="str">
        <f>"000421215 - RICHS DOUGH ICING-SODEXO"</f>
        <v>000421215 - RICHS DOUGH ICING-SODEXO</v>
      </c>
      <c r="C20974" t="s">
        <v>552</v>
      </c>
      <c r="D20974" s="1" t="str">
        <f t="shared" si="565"/>
        <v>PRG-1047656</v>
      </c>
      <c r="E20974" t="s">
        <v>48</v>
      </c>
      <c r="F20974" t="s">
        <v>4</v>
      </c>
      <c r="G20974" t="str">
        <f>""</f>
        <v/>
      </c>
    </row>
    <row r="20975" spans="1:7" x14ac:dyDescent="0.25">
      <c r="A20975" t="s">
        <v>8</v>
      </c>
      <c r="B20975" s="1" t="str">
        <f>"000421377 - RICHS DOUGH&amp;ICING-SODEXO"</f>
        <v>000421377 - RICHS DOUGH&amp;ICING-SODEXO</v>
      </c>
      <c r="C20975" t="s">
        <v>504</v>
      </c>
      <c r="D20975" s="1" t="str">
        <f t="shared" si="565"/>
        <v>PRG-1047656</v>
      </c>
      <c r="E20975" t="s">
        <v>48</v>
      </c>
      <c r="F20975" t="s">
        <v>4</v>
      </c>
      <c r="G20975" t="str">
        <f>""</f>
        <v/>
      </c>
    </row>
    <row r="20976" spans="1:7" x14ac:dyDescent="0.25">
      <c r="A20976" t="s">
        <v>8</v>
      </c>
      <c r="B20976" s="1" t="str">
        <f>"000421553 - RICHS DOUGH ICING-SODEXO"</f>
        <v>000421553 - RICHS DOUGH ICING-SODEXO</v>
      </c>
      <c r="C20976" t="s">
        <v>552</v>
      </c>
      <c r="D20976" s="1" t="str">
        <f t="shared" si="565"/>
        <v>PRG-1047656</v>
      </c>
      <c r="E20976" t="s">
        <v>48</v>
      </c>
      <c r="F20976" t="s">
        <v>4</v>
      </c>
      <c r="G20976" t="str">
        <f>""</f>
        <v/>
      </c>
    </row>
    <row r="20977" spans="1:7" x14ac:dyDescent="0.25">
      <c r="A20977" t="s">
        <v>8</v>
      </c>
      <c r="B20977" s="1" t="str">
        <f>"000427289 - RICHS DOUGH ICING-SODEXO"</f>
        <v>000427289 - RICHS DOUGH ICING-SODEXO</v>
      </c>
      <c r="C20977" t="s">
        <v>552</v>
      </c>
      <c r="D20977" s="1" t="str">
        <f t="shared" si="565"/>
        <v>PRG-1047656</v>
      </c>
      <c r="E20977" t="s">
        <v>48</v>
      </c>
      <c r="F20977" t="s">
        <v>4</v>
      </c>
      <c r="G20977" t="str">
        <f>""</f>
        <v/>
      </c>
    </row>
    <row r="20978" spans="1:7" x14ac:dyDescent="0.25">
      <c r="A20978" t="s">
        <v>8</v>
      </c>
      <c r="B20978" s="1" t="str">
        <f>"000427849 - RICHS DOUGH ICING-SODEXO"</f>
        <v>000427849 - RICHS DOUGH ICING-SODEXO</v>
      </c>
      <c r="C20978" t="s">
        <v>552</v>
      </c>
      <c r="D20978" s="1" t="str">
        <f t="shared" si="565"/>
        <v>PRG-1047656</v>
      </c>
      <c r="E20978" t="s">
        <v>48</v>
      </c>
      <c r="F20978" t="s">
        <v>4</v>
      </c>
      <c r="G20978" t="str">
        <f>""</f>
        <v/>
      </c>
    </row>
    <row r="20979" spans="1:7" x14ac:dyDescent="0.25">
      <c r="A20979" t="s">
        <v>8</v>
      </c>
      <c r="B20979" s="1" t="str">
        <f>"000433320 - RICHS DOUGH&amp;ICING-SODEXO"</f>
        <v>000433320 - RICHS DOUGH&amp;ICING-SODEXO</v>
      </c>
      <c r="C20979" t="s">
        <v>504</v>
      </c>
      <c r="D20979" s="1" t="str">
        <f t="shared" si="565"/>
        <v>PRG-1047656</v>
      </c>
      <c r="E20979" t="s">
        <v>48</v>
      </c>
      <c r="F20979" t="s">
        <v>4</v>
      </c>
      <c r="G20979" t="str">
        <f>""</f>
        <v/>
      </c>
    </row>
    <row r="20980" spans="1:7" x14ac:dyDescent="0.25">
      <c r="A20980" t="s">
        <v>8</v>
      </c>
      <c r="B20980" s="1" t="str">
        <f>"000441554 - RICHS DOUGH ICING-SODEXO"</f>
        <v>000441554 - RICHS DOUGH ICING-SODEXO</v>
      </c>
      <c r="C20980" t="s">
        <v>552</v>
      </c>
      <c r="D20980" s="1" t="str">
        <f t="shared" si="565"/>
        <v>PRG-1047656</v>
      </c>
      <c r="E20980" t="s">
        <v>48</v>
      </c>
      <c r="F20980" t="s">
        <v>4</v>
      </c>
      <c r="G20980" t="str">
        <f>""</f>
        <v/>
      </c>
    </row>
    <row r="20981" spans="1:7" x14ac:dyDescent="0.25">
      <c r="A20981" t="s">
        <v>8</v>
      </c>
      <c r="B20981" s="1" t="str">
        <f>"000053751 - RICH FOODS-DAIRY QUEEN"</f>
        <v>000053751 - RICH FOODS-DAIRY QUEEN</v>
      </c>
      <c r="C20981" t="s">
        <v>671</v>
      </c>
      <c r="D20981" s="1" t="str">
        <f t="shared" ref="D20981:D21003" si="566">"PRG-1047662"</f>
        <v>PRG-1047662</v>
      </c>
      <c r="E20981" t="s">
        <v>109</v>
      </c>
      <c r="F20981" t="s">
        <v>4</v>
      </c>
      <c r="G20981" t="str">
        <f>""</f>
        <v/>
      </c>
    </row>
    <row r="20982" spans="1:7" x14ac:dyDescent="0.25">
      <c r="A20982" t="s">
        <v>8</v>
      </c>
      <c r="B20982" s="1" t="str">
        <f>"000057479 - RICH FOODS BB-DAIRY QUEEN"</f>
        <v>000057479 - RICH FOODS BB-DAIRY QUEEN</v>
      </c>
      <c r="C20982" t="s">
        <v>688</v>
      </c>
      <c r="D20982" s="1" t="str">
        <f t="shared" si="566"/>
        <v>PRG-1047662</v>
      </c>
      <c r="E20982" t="s">
        <v>109</v>
      </c>
      <c r="F20982" t="s">
        <v>4</v>
      </c>
      <c r="G20982" t="str">
        <f>""</f>
        <v/>
      </c>
    </row>
    <row r="20983" spans="1:7" x14ac:dyDescent="0.25">
      <c r="A20983" t="s">
        <v>8</v>
      </c>
      <c r="B20983" s="1" t="str">
        <f>"000171353 - RICH DQ BB"</f>
        <v>000171353 - RICH DQ BB</v>
      </c>
      <c r="C20983" t="s">
        <v>771</v>
      </c>
      <c r="D20983" s="1" t="str">
        <f t="shared" si="566"/>
        <v>PRG-1047662</v>
      </c>
      <c r="E20983" t="s">
        <v>109</v>
      </c>
      <c r="F20983" t="s">
        <v>4</v>
      </c>
      <c r="G20983" t="str">
        <f>""</f>
        <v/>
      </c>
    </row>
    <row r="20984" spans="1:7" x14ac:dyDescent="0.25">
      <c r="A20984" t="s">
        <v>8</v>
      </c>
      <c r="B20984" s="1" t="str">
        <f>"000288216 - RICH DAIRY QUEEN  1044186 001"</f>
        <v>000288216 - RICH DAIRY QUEEN  1044186 001</v>
      </c>
      <c r="C20984" t="s">
        <v>2535</v>
      </c>
      <c r="D20984" s="1" t="str">
        <f t="shared" si="566"/>
        <v>PRG-1047662</v>
      </c>
      <c r="E20984" t="s">
        <v>109</v>
      </c>
      <c r="F20984" t="s">
        <v>4</v>
      </c>
      <c r="G20984" t="str">
        <f>""</f>
        <v/>
      </c>
    </row>
    <row r="20985" spans="1:7" x14ac:dyDescent="0.25">
      <c r="A20985" t="s">
        <v>8</v>
      </c>
      <c r="B20985" s="1" t="str">
        <f>"000299889 - RICH'S  DAIRY QUEEN"</f>
        <v>000299889 - RICH'S  DAIRY QUEEN</v>
      </c>
      <c r="C20985" t="s">
        <v>1530</v>
      </c>
      <c r="D20985" s="1" t="str">
        <f t="shared" si="566"/>
        <v>PRG-1047662</v>
      </c>
      <c r="E20985" t="s">
        <v>109</v>
      </c>
      <c r="F20985" t="s">
        <v>4</v>
      </c>
      <c r="G20985" t="str">
        <f>""</f>
        <v/>
      </c>
    </row>
    <row r="20986" spans="1:7" x14ac:dyDescent="0.25">
      <c r="A20986" t="s">
        <v>8</v>
      </c>
      <c r="B20986" s="1" t="str">
        <f>"000326362 - RICH'S DAIRY QUEEN        PM"</f>
        <v>000326362 - RICH'S DAIRY QUEEN        PM</v>
      </c>
      <c r="C20986" t="s">
        <v>3008</v>
      </c>
      <c r="D20986" s="1" t="str">
        <f t="shared" si="566"/>
        <v>PRG-1047662</v>
      </c>
      <c r="E20986" t="s">
        <v>109</v>
      </c>
      <c r="F20986" t="s">
        <v>4</v>
      </c>
      <c r="G20986" t="str">
        <f>""</f>
        <v/>
      </c>
    </row>
    <row r="20987" spans="1:7" x14ac:dyDescent="0.25">
      <c r="A20987" t="s">
        <v>8</v>
      </c>
      <c r="B20987" s="1" t="str">
        <f>"000357440 - RICH'S  DQ VVA LOCAL"</f>
        <v>000357440 - RICH'S  DQ VVA LOCAL</v>
      </c>
      <c r="C20987" t="s">
        <v>3566</v>
      </c>
      <c r="D20987" s="1" t="str">
        <f t="shared" si="566"/>
        <v>PRG-1047662</v>
      </c>
      <c r="E20987" t="s">
        <v>109</v>
      </c>
      <c r="F20987" t="s">
        <v>4</v>
      </c>
      <c r="G20987" t="str">
        <f>""</f>
        <v/>
      </c>
    </row>
    <row r="20988" spans="1:7" x14ac:dyDescent="0.25">
      <c r="A20988" t="s">
        <v>8</v>
      </c>
      <c r="B20988" s="1" t="str">
        <f>"000364205 - RICH FOODS-DAIRY QUEEN"</f>
        <v>000364205 - RICH FOODS-DAIRY QUEEN</v>
      </c>
      <c r="C20988" t="s">
        <v>671</v>
      </c>
      <c r="D20988" s="1" t="str">
        <f t="shared" si="566"/>
        <v>PRG-1047662</v>
      </c>
      <c r="E20988" t="s">
        <v>109</v>
      </c>
      <c r="F20988" t="s">
        <v>4</v>
      </c>
      <c r="G20988" t="str">
        <f>""</f>
        <v/>
      </c>
    </row>
    <row r="20989" spans="1:7" x14ac:dyDescent="0.25">
      <c r="A20989" t="s">
        <v>8</v>
      </c>
      <c r="B20989" s="1" t="str">
        <f>"000377057 - RICH PRODUCTS DQ"</f>
        <v>000377057 - RICH PRODUCTS DQ</v>
      </c>
      <c r="C20989" t="s">
        <v>3645</v>
      </c>
      <c r="D20989" s="1" t="str">
        <f t="shared" si="566"/>
        <v>PRG-1047662</v>
      </c>
      <c r="E20989" t="s">
        <v>109</v>
      </c>
      <c r="F20989" t="s">
        <v>4</v>
      </c>
      <c r="G20989" t="str">
        <f>""</f>
        <v/>
      </c>
    </row>
    <row r="20990" spans="1:7" x14ac:dyDescent="0.25">
      <c r="A20990" t="s">
        <v>8</v>
      </c>
      <c r="B20990" s="1" t="str">
        <f>"46688"</f>
        <v>46688</v>
      </c>
      <c r="C20990" t="s">
        <v>5019</v>
      </c>
      <c r="D20990" s="1" t="str">
        <f t="shared" si="566"/>
        <v>PRG-1047662</v>
      </c>
      <c r="E20990" t="s">
        <v>109</v>
      </c>
      <c r="F20990" t="s">
        <v>7</v>
      </c>
      <c r="G20990" t="str">
        <f>""</f>
        <v/>
      </c>
    </row>
    <row r="20991" spans="1:7" x14ac:dyDescent="0.25">
      <c r="A20991" t="s">
        <v>8</v>
      </c>
      <c r="B20991" s="1" t="str">
        <f>"6026ST11"</f>
        <v>6026ST11</v>
      </c>
      <c r="C20991" t="s">
        <v>5153</v>
      </c>
      <c r="D20991" s="1" t="str">
        <f t="shared" si="566"/>
        <v>PRG-1047662</v>
      </c>
      <c r="E20991" t="s">
        <v>109</v>
      </c>
      <c r="F20991" t="s">
        <v>5</v>
      </c>
      <c r="G20991" t="str">
        <f>""</f>
        <v/>
      </c>
    </row>
    <row r="20992" spans="1:7" x14ac:dyDescent="0.25">
      <c r="A20992" t="s">
        <v>8</v>
      </c>
      <c r="B20992" s="1" t="str">
        <f>"60285762"</f>
        <v>60285762</v>
      </c>
      <c r="C20992" t="s">
        <v>3763</v>
      </c>
      <c r="D20992" s="1" t="str">
        <f t="shared" si="566"/>
        <v>PRG-1047662</v>
      </c>
      <c r="E20992" t="s">
        <v>109</v>
      </c>
      <c r="F20992" t="s">
        <v>5</v>
      </c>
      <c r="G20992" t="str">
        <f>""</f>
        <v/>
      </c>
    </row>
    <row r="20993" spans="1:7" x14ac:dyDescent="0.25">
      <c r="A20993" t="s">
        <v>8</v>
      </c>
      <c r="B20993" s="1" t="str">
        <f>"60295002"</f>
        <v>60295002</v>
      </c>
      <c r="C20993" t="s">
        <v>5234</v>
      </c>
      <c r="D20993" s="1" t="str">
        <f t="shared" si="566"/>
        <v>PRG-1047662</v>
      </c>
      <c r="E20993" t="s">
        <v>109</v>
      </c>
      <c r="F20993" t="s">
        <v>5</v>
      </c>
      <c r="G20993" t="str">
        <f>""</f>
        <v/>
      </c>
    </row>
    <row r="20994" spans="1:7" x14ac:dyDescent="0.25">
      <c r="A20994" t="s">
        <v>8</v>
      </c>
      <c r="B20994" s="1" t="str">
        <f>"S1Z0COX0"</f>
        <v>S1Z0COX0</v>
      </c>
      <c r="C20994" t="s">
        <v>5371</v>
      </c>
      <c r="D20994" s="1" t="str">
        <f t="shared" si="566"/>
        <v>PRG-1047662</v>
      </c>
      <c r="E20994" t="s">
        <v>109</v>
      </c>
      <c r="F20994" t="s">
        <v>5</v>
      </c>
      <c r="G20994" t="str">
        <f>""</f>
        <v/>
      </c>
    </row>
    <row r="20995" spans="1:7" x14ac:dyDescent="0.25">
      <c r="A20995" t="s">
        <v>8</v>
      </c>
      <c r="B20995" s="1" t="str">
        <f>"S1Z0GKQ0"</f>
        <v>S1Z0GKQ0</v>
      </c>
      <c r="C20995" t="s">
        <v>5383</v>
      </c>
      <c r="D20995" s="1" t="str">
        <f t="shared" si="566"/>
        <v>PRG-1047662</v>
      </c>
      <c r="E20995" t="s">
        <v>109</v>
      </c>
      <c r="F20995" t="s">
        <v>5</v>
      </c>
      <c r="G20995" t="str">
        <f>""</f>
        <v/>
      </c>
    </row>
    <row r="20996" spans="1:7" x14ac:dyDescent="0.25">
      <c r="A20996" t="s">
        <v>8</v>
      </c>
      <c r="B20996" s="1" t="str">
        <f>"S1Z0GMS0"</f>
        <v>S1Z0GMS0</v>
      </c>
      <c r="C20996" t="s">
        <v>5384</v>
      </c>
      <c r="D20996" s="1" t="str">
        <f t="shared" si="566"/>
        <v>PRG-1047662</v>
      </c>
      <c r="E20996" t="s">
        <v>109</v>
      </c>
      <c r="F20996" t="s">
        <v>5</v>
      </c>
      <c r="G20996" t="str">
        <f>""</f>
        <v/>
      </c>
    </row>
    <row r="20997" spans="1:7" x14ac:dyDescent="0.25">
      <c r="A20997" t="s">
        <v>8</v>
      </c>
      <c r="B20997" s="1" t="str">
        <f>"S1Z0IBV0"</f>
        <v>S1Z0IBV0</v>
      </c>
      <c r="C20997" t="s">
        <v>5394</v>
      </c>
      <c r="D20997" s="1" t="str">
        <f t="shared" si="566"/>
        <v>PRG-1047662</v>
      </c>
      <c r="E20997" t="s">
        <v>109</v>
      </c>
      <c r="F20997" t="s">
        <v>5</v>
      </c>
      <c r="G20997" t="str">
        <f>""</f>
        <v/>
      </c>
    </row>
    <row r="20998" spans="1:7" x14ac:dyDescent="0.25">
      <c r="A20998" t="s">
        <v>8</v>
      </c>
      <c r="B20998" s="1" t="str">
        <f>"S1Z0IDD0"</f>
        <v>S1Z0IDD0</v>
      </c>
      <c r="C20998" t="s">
        <v>5395</v>
      </c>
      <c r="D20998" s="1" t="str">
        <f t="shared" si="566"/>
        <v>PRG-1047662</v>
      </c>
      <c r="E20998" t="s">
        <v>109</v>
      </c>
      <c r="F20998" t="s">
        <v>5</v>
      </c>
      <c r="G20998" t="str">
        <f>""</f>
        <v/>
      </c>
    </row>
    <row r="20999" spans="1:7" x14ac:dyDescent="0.25">
      <c r="A20999" t="s">
        <v>8</v>
      </c>
      <c r="B20999" s="1" t="str">
        <f>"S1Z0IHB0"</f>
        <v>S1Z0IHB0</v>
      </c>
      <c r="C20999" t="s">
        <v>5398</v>
      </c>
      <c r="D20999" s="1" t="str">
        <f t="shared" si="566"/>
        <v>PRG-1047662</v>
      </c>
      <c r="E20999" t="s">
        <v>109</v>
      </c>
      <c r="F20999" t="s">
        <v>5</v>
      </c>
      <c r="G20999" t="str">
        <f>""</f>
        <v/>
      </c>
    </row>
    <row r="21000" spans="1:7" x14ac:dyDescent="0.25">
      <c r="A21000" t="s">
        <v>8</v>
      </c>
      <c r="B21000" s="1" t="str">
        <f>"S1Z0IIX0"</f>
        <v>S1Z0IIX0</v>
      </c>
      <c r="C21000" t="s">
        <v>5400</v>
      </c>
      <c r="D21000" s="1" t="str">
        <f t="shared" si="566"/>
        <v>PRG-1047662</v>
      </c>
      <c r="E21000" t="s">
        <v>109</v>
      </c>
      <c r="F21000" t="s">
        <v>5</v>
      </c>
      <c r="G21000" t="str">
        <f>""</f>
        <v/>
      </c>
    </row>
    <row r="21001" spans="1:7" x14ac:dyDescent="0.25">
      <c r="A21001" t="s">
        <v>8</v>
      </c>
      <c r="B21001" s="1" t="str">
        <f>"S1Z0KH40"</f>
        <v>S1Z0KH40</v>
      </c>
      <c r="C21001" t="s">
        <v>5411</v>
      </c>
      <c r="D21001" s="1" t="str">
        <f t="shared" si="566"/>
        <v>PRG-1047662</v>
      </c>
      <c r="E21001" t="s">
        <v>109</v>
      </c>
      <c r="F21001" t="s">
        <v>5</v>
      </c>
      <c r="G21001" t="str">
        <f>""</f>
        <v/>
      </c>
    </row>
    <row r="21002" spans="1:7" x14ac:dyDescent="0.25">
      <c r="A21002" t="s">
        <v>8</v>
      </c>
      <c r="B21002" s="1" t="str">
        <f>"S1Z0KHR0"</f>
        <v>S1Z0KHR0</v>
      </c>
      <c r="C21002" t="s">
        <v>5412</v>
      </c>
      <c r="D21002" s="1" t="str">
        <f t="shared" si="566"/>
        <v>PRG-1047662</v>
      </c>
      <c r="E21002" t="s">
        <v>109</v>
      </c>
      <c r="F21002" t="s">
        <v>5</v>
      </c>
      <c r="G21002" t="str">
        <f>""</f>
        <v/>
      </c>
    </row>
    <row r="21003" spans="1:7" x14ac:dyDescent="0.25">
      <c r="A21003" t="s">
        <v>8</v>
      </c>
      <c r="B21003" s="1" t="str">
        <f>"S1Z0KII0"</f>
        <v>S1Z0KII0</v>
      </c>
      <c r="C21003" t="s">
        <v>5413</v>
      </c>
      <c r="D21003" s="1" t="str">
        <f t="shared" si="566"/>
        <v>PRG-1047662</v>
      </c>
      <c r="E21003" t="s">
        <v>109</v>
      </c>
      <c r="F21003" t="s">
        <v>5</v>
      </c>
      <c r="G21003" t="str">
        <f>""</f>
        <v/>
      </c>
    </row>
    <row r="21004" spans="1:7" x14ac:dyDescent="0.25">
      <c r="A21004" t="s">
        <v>8</v>
      </c>
      <c r="B21004" s="1" t="str">
        <f>"S9U02I30"</f>
        <v>S9U02I30</v>
      </c>
      <c r="C21004" t="s">
        <v>6384</v>
      </c>
      <c r="D21004" s="1" t="str">
        <f>"PRG-1047663"</f>
        <v>PRG-1047663</v>
      </c>
      <c r="E21004" t="s">
        <v>6385</v>
      </c>
      <c r="F21004" t="s">
        <v>5</v>
      </c>
      <c r="G21004" t="str">
        <f>""</f>
        <v/>
      </c>
    </row>
    <row r="21005" spans="1:7" x14ac:dyDescent="0.25">
      <c r="A21005" t="s">
        <v>8</v>
      </c>
      <c r="B21005" s="1" t="str">
        <f>"000320603 - RICH'S CHIP'S"</f>
        <v>000320603 - RICH'S CHIP'S</v>
      </c>
      <c r="C21005" t="s">
        <v>3241</v>
      </c>
      <c r="D21005" s="1" t="str">
        <f>"PRG-1047669"</f>
        <v>PRG-1047669</v>
      </c>
      <c r="E21005" t="s">
        <v>3018</v>
      </c>
      <c r="F21005" t="s">
        <v>4</v>
      </c>
      <c r="G21005" t="str">
        <f>""</f>
        <v/>
      </c>
    </row>
    <row r="21006" spans="1:7" x14ac:dyDescent="0.25">
      <c r="A21006" t="s">
        <v>8</v>
      </c>
      <c r="B21006" s="1" t="str">
        <f>"000272420 - RICHS CINEMA CAFE"</f>
        <v>000272420 - RICHS CINEMA CAFE</v>
      </c>
      <c r="C21006" t="s">
        <v>2244</v>
      </c>
      <c r="D21006" s="1" t="str">
        <f>"PRG-1047674"</f>
        <v>PRG-1047674</v>
      </c>
      <c r="E21006" t="s">
        <v>2245</v>
      </c>
      <c r="F21006" t="s">
        <v>4</v>
      </c>
      <c r="G21006" t="str">
        <f>""</f>
        <v/>
      </c>
    </row>
    <row r="21007" spans="1:7" x14ac:dyDescent="0.25">
      <c r="A21007" t="s">
        <v>8</v>
      </c>
      <c r="B21007" s="1" t="str">
        <f>"000154688 - RICH PEERLESS STK HOUSE"</f>
        <v>000154688 - RICH PEERLESS STK HOUSE</v>
      </c>
      <c r="C21007" t="s">
        <v>1028</v>
      </c>
      <c r="D21007" s="1" t="str">
        <f>"PRG-1047675"</f>
        <v>PRG-1047675</v>
      </c>
      <c r="E21007" t="s">
        <v>1029</v>
      </c>
      <c r="F21007" t="s">
        <v>4</v>
      </c>
      <c r="G21007" t="str">
        <f>""</f>
        <v/>
      </c>
    </row>
    <row r="21008" spans="1:7" x14ac:dyDescent="0.25">
      <c r="A21008" t="s">
        <v>8</v>
      </c>
      <c r="B21008" s="1" t="str">
        <f>"S6G00U30"</f>
        <v>S6G00U30</v>
      </c>
      <c r="C21008" t="s">
        <v>6074</v>
      </c>
      <c r="D21008" s="1" t="str">
        <f>"PRG-1047681"</f>
        <v>PRG-1047681</v>
      </c>
      <c r="E21008" t="s">
        <v>6075</v>
      </c>
      <c r="F21008" t="s">
        <v>5</v>
      </c>
      <c r="G21008" t="str">
        <f>""</f>
        <v/>
      </c>
    </row>
    <row r="21009" spans="1:7" x14ac:dyDescent="0.25">
      <c r="A21009" t="s">
        <v>8</v>
      </c>
      <c r="B21009" s="1" t="str">
        <f>"000025836 - RICH'S FOOD BAPA -FOODBUY"</f>
        <v>000025836 - RICH'S FOOD BAPA -FOODBUY</v>
      </c>
      <c r="C21009" t="s">
        <v>363</v>
      </c>
      <c r="D21009" s="1" t="str">
        <f t="shared" ref="D21009:D21072" si="567">"PRG-1047708"</f>
        <v>PRG-1047708</v>
      </c>
      <c r="E21009" t="s">
        <v>147</v>
      </c>
      <c r="F21009" t="s">
        <v>4</v>
      </c>
      <c r="G21009" t="str">
        <f>""</f>
        <v/>
      </c>
    </row>
    <row r="21010" spans="1:7" x14ac:dyDescent="0.25">
      <c r="A21010" t="s">
        <v>8</v>
      </c>
      <c r="B21010" s="1" t="str">
        <f>"000026707 - RICH'S FOOD BAPA -FOODBUY"</f>
        <v>000026707 - RICH'S FOOD BAPA -FOODBUY</v>
      </c>
      <c r="C21010" t="s">
        <v>363</v>
      </c>
      <c r="D21010" s="1" t="str">
        <f t="shared" si="567"/>
        <v>PRG-1047708</v>
      </c>
      <c r="E21010" t="s">
        <v>147</v>
      </c>
      <c r="F21010" t="s">
        <v>4</v>
      </c>
      <c r="G21010" t="str">
        <f>""</f>
        <v/>
      </c>
    </row>
    <row r="21011" spans="1:7" x14ac:dyDescent="0.25">
      <c r="A21011" t="s">
        <v>8</v>
      </c>
      <c r="B21011" s="1" t="str">
        <f>"000037549 - RICH FOODS-FOODBUY"</f>
        <v>000037549 - RICH FOODS-FOODBUY</v>
      </c>
      <c r="C21011" t="s">
        <v>237</v>
      </c>
      <c r="D21011" s="1" t="str">
        <f t="shared" si="567"/>
        <v>PRG-1047708</v>
      </c>
      <c r="E21011" t="s">
        <v>147</v>
      </c>
      <c r="F21011" t="s">
        <v>4</v>
      </c>
      <c r="G21011" t="str">
        <f>""</f>
        <v/>
      </c>
    </row>
    <row r="21012" spans="1:7" x14ac:dyDescent="0.25">
      <c r="A21012" t="s">
        <v>8</v>
      </c>
      <c r="B21012" s="1" t="str">
        <f>"000038643 - RICH FOODS-FOODBUY"</f>
        <v>000038643 - RICH FOODS-FOODBUY</v>
      </c>
      <c r="C21012" t="s">
        <v>237</v>
      </c>
      <c r="D21012" s="1" t="str">
        <f t="shared" si="567"/>
        <v>PRG-1047708</v>
      </c>
      <c r="E21012" t="s">
        <v>147</v>
      </c>
      <c r="F21012" t="s">
        <v>4</v>
      </c>
      <c r="G21012" t="str">
        <f>""</f>
        <v/>
      </c>
    </row>
    <row r="21013" spans="1:7" x14ac:dyDescent="0.25">
      <c r="A21013" t="s">
        <v>8</v>
      </c>
      <c r="B21013" s="1" t="str">
        <f>"000041408 - RICH FOODS PRGM 3-FOODBUY"</f>
        <v>000041408 - RICH FOODS PRGM 3-FOODBUY</v>
      </c>
      <c r="C21013" t="s">
        <v>238</v>
      </c>
      <c r="D21013" s="1" t="str">
        <f t="shared" si="567"/>
        <v>PRG-1047708</v>
      </c>
      <c r="E21013" t="s">
        <v>147</v>
      </c>
      <c r="F21013" t="s">
        <v>4</v>
      </c>
      <c r="G21013" t="str">
        <f>""</f>
        <v/>
      </c>
    </row>
    <row r="21014" spans="1:7" x14ac:dyDescent="0.25">
      <c r="A21014" t="s">
        <v>8</v>
      </c>
      <c r="B21014" s="1" t="str">
        <f>"000042869 - RICH FOODS PRGM 1-FOODBUY"</f>
        <v>000042869 - RICH FOODS PRGM 1-FOODBUY</v>
      </c>
      <c r="C21014" t="s">
        <v>592</v>
      </c>
      <c r="D21014" s="1" t="str">
        <f t="shared" si="567"/>
        <v>PRG-1047708</v>
      </c>
      <c r="E21014" t="s">
        <v>147</v>
      </c>
      <c r="F21014" t="s">
        <v>4</v>
      </c>
      <c r="G21014" t="str">
        <f>""</f>
        <v/>
      </c>
    </row>
    <row r="21015" spans="1:7" x14ac:dyDescent="0.25">
      <c r="A21015" t="s">
        <v>8</v>
      </c>
      <c r="B21015" s="1" t="str">
        <f>"000044178 - RICH FOODS-FOODBUY"</f>
        <v>000044178 - RICH FOODS-FOODBUY</v>
      </c>
      <c r="C21015" t="s">
        <v>237</v>
      </c>
      <c r="D21015" s="1" t="str">
        <f t="shared" si="567"/>
        <v>PRG-1047708</v>
      </c>
      <c r="E21015" t="s">
        <v>147</v>
      </c>
      <c r="F21015" t="s">
        <v>4</v>
      </c>
      <c r="G21015" t="str">
        <f>""</f>
        <v/>
      </c>
    </row>
    <row r="21016" spans="1:7" x14ac:dyDescent="0.25">
      <c r="A21016" t="s">
        <v>8</v>
      </c>
      <c r="B21016" s="1" t="str">
        <f>"000045465 - RICH FOODS-FOODBUY"</f>
        <v>000045465 - RICH FOODS-FOODBUY</v>
      </c>
      <c r="C21016" t="s">
        <v>237</v>
      </c>
      <c r="D21016" s="1" t="str">
        <f t="shared" si="567"/>
        <v>PRG-1047708</v>
      </c>
      <c r="E21016" t="s">
        <v>147</v>
      </c>
      <c r="F21016" t="s">
        <v>4</v>
      </c>
      <c r="G21016" t="str">
        <f>""</f>
        <v/>
      </c>
    </row>
    <row r="21017" spans="1:7" x14ac:dyDescent="0.25">
      <c r="A21017" t="s">
        <v>8</v>
      </c>
      <c r="B21017" s="1" t="str">
        <f>"000050695 - RICH FOODS PRGM 1-FOODBUY"</f>
        <v>000050695 - RICH FOODS PRGM 1-FOODBUY</v>
      </c>
      <c r="C21017" t="s">
        <v>592</v>
      </c>
      <c r="D21017" s="1" t="str">
        <f t="shared" si="567"/>
        <v>PRG-1047708</v>
      </c>
      <c r="E21017" t="s">
        <v>147</v>
      </c>
      <c r="F21017" t="s">
        <v>4</v>
      </c>
      <c r="G21017" t="str">
        <f>""</f>
        <v/>
      </c>
    </row>
    <row r="21018" spans="1:7" x14ac:dyDescent="0.25">
      <c r="A21018" t="s">
        <v>8</v>
      </c>
      <c r="B21018" s="1" t="str">
        <f>"000050796 - RICH FOODS-FOODBUY"</f>
        <v>000050796 - RICH FOODS-FOODBUY</v>
      </c>
      <c r="C21018" t="s">
        <v>237</v>
      </c>
      <c r="D21018" s="1" t="str">
        <f t="shared" si="567"/>
        <v>PRG-1047708</v>
      </c>
      <c r="E21018" t="s">
        <v>147</v>
      </c>
      <c r="F21018" t="s">
        <v>4</v>
      </c>
      <c r="G21018" t="str">
        <f>""</f>
        <v/>
      </c>
    </row>
    <row r="21019" spans="1:7" x14ac:dyDescent="0.25">
      <c r="A21019" t="s">
        <v>8</v>
      </c>
      <c r="B21019" s="1" t="str">
        <f>"000052041 - RICH FOODS-FOODBUY"</f>
        <v>000052041 - RICH FOODS-FOODBUY</v>
      </c>
      <c r="C21019" t="s">
        <v>237</v>
      </c>
      <c r="D21019" s="1" t="str">
        <f t="shared" si="567"/>
        <v>PRG-1047708</v>
      </c>
      <c r="E21019" t="s">
        <v>147</v>
      </c>
      <c r="F21019" t="s">
        <v>4</v>
      </c>
      <c r="G21019" t="str">
        <f>""</f>
        <v/>
      </c>
    </row>
    <row r="21020" spans="1:7" x14ac:dyDescent="0.25">
      <c r="A21020" t="s">
        <v>8</v>
      </c>
      <c r="B21020" s="1" t="str">
        <f>"000053203 - RICH FOODS-FOODBUY"</f>
        <v>000053203 - RICH FOODS-FOODBUY</v>
      </c>
      <c r="C21020" t="s">
        <v>237</v>
      </c>
      <c r="D21020" s="1" t="str">
        <f t="shared" si="567"/>
        <v>PRG-1047708</v>
      </c>
      <c r="E21020" t="s">
        <v>147</v>
      </c>
      <c r="F21020" t="s">
        <v>4</v>
      </c>
      <c r="G21020" t="str">
        <f>""</f>
        <v/>
      </c>
    </row>
    <row r="21021" spans="1:7" x14ac:dyDescent="0.25">
      <c r="A21021" t="s">
        <v>8</v>
      </c>
      <c r="B21021" s="1" t="str">
        <f>"000053461 - RICH FOODS-FOODBUY"</f>
        <v>000053461 - RICH FOODS-FOODBUY</v>
      </c>
      <c r="C21021" t="s">
        <v>237</v>
      </c>
      <c r="D21021" s="1" t="str">
        <f t="shared" si="567"/>
        <v>PRG-1047708</v>
      </c>
      <c r="E21021" t="s">
        <v>147</v>
      </c>
      <c r="F21021" t="s">
        <v>4</v>
      </c>
      <c r="G21021" t="str">
        <f>""</f>
        <v/>
      </c>
    </row>
    <row r="21022" spans="1:7" x14ac:dyDescent="0.25">
      <c r="A21022" t="s">
        <v>8</v>
      </c>
      <c r="B21022" s="1" t="str">
        <f>"000053566 - RICH FOODS-FOODBUY"</f>
        <v>000053566 - RICH FOODS-FOODBUY</v>
      </c>
      <c r="C21022" t="s">
        <v>237</v>
      </c>
      <c r="D21022" s="1" t="str">
        <f t="shared" si="567"/>
        <v>PRG-1047708</v>
      </c>
      <c r="E21022" t="s">
        <v>147</v>
      </c>
      <c r="F21022" t="s">
        <v>4</v>
      </c>
      <c r="G21022" t="str">
        <f>""</f>
        <v/>
      </c>
    </row>
    <row r="21023" spans="1:7" x14ac:dyDescent="0.25">
      <c r="A21023" t="s">
        <v>8</v>
      </c>
      <c r="B21023" s="1" t="str">
        <f>"000053689 - RICH FOODS-FOODBUY"</f>
        <v>000053689 - RICH FOODS-FOODBUY</v>
      </c>
      <c r="C21023" t="s">
        <v>237</v>
      </c>
      <c r="D21023" s="1" t="str">
        <f t="shared" si="567"/>
        <v>PRG-1047708</v>
      </c>
      <c r="E21023" t="s">
        <v>147</v>
      </c>
      <c r="F21023" t="s">
        <v>4</v>
      </c>
      <c r="G21023" t="str">
        <f>""</f>
        <v/>
      </c>
    </row>
    <row r="21024" spans="1:7" x14ac:dyDescent="0.25">
      <c r="A21024" t="s">
        <v>8</v>
      </c>
      <c r="B21024" s="1" t="str">
        <f>"000053857 - RICH FOODS-FOODBUY"</f>
        <v>000053857 - RICH FOODS-FOODBUY</v>
      </c>
      <c r="C21024" t="s">
        <v>237</v>
      </c>
      <c r="D21024" s="1" t="str">
        <f t="shared" si="567"/>
        <v>PRG-1047708</v>
      </c>
      <c r="E21024" t="s">
        <v>147</v>
      </c>
      <c r="F21024" t="s">
        <v>4</v>
      </c>
      <c r="G21024" t="str">
        <f>""</f>
        <v/>
      </c>
    </row>
    <row r="21025" spans="1:7" x14ac:dyDescent="0.25">
      <c r="A21025" t="s">
        <v>8</v>
      </c>
      <c r="B21025" s="1" t="str">
        <f>"000055219 - RICH FOODS-FOODBUY"</f>
        <v>000055219 - RICH FOODS-FOODBUY</v>
      </c>
      <c r="C21025" t="s">
        <v>237</v>
      </c>
      <c r="D21025" s="1" t="str">
        <f t="shared" si="567"/>
        <v>PRG-1047708</v>
      </c>
      <c r="E21025" t="s">
        <v>147</v>
      </c>
      <c r="F21025" t="s">
        <v>4</v>
      </c>
      <c r="G21025" t="str">
        <f>""</f>
        <v/>
      </c>
    </row>
    <row r="21026" spans="1:7" x14ac:dyDescent="0.25">
      <c r="A21026" t="s">
        <v>8</v>
      </c>
      <c r="B21026" s="1" t="str">
        <f>"000055403 - RICH FOODS-FOODBUY"</f>
        <v>000055403 - RICH FOODS-FOODBUY</v>
      </c>
      <c r="C21026" t="s">
        <v>237</v>
      </c>
      <c r="D21026" s="1" t="str">
        <f t="shared" si="567"/>
        <v>PRG-1047708</v>
      </c>
      <c r="E21026" t="s">
        <v>147</v>
      </c>
      <c r="F21026" t="s">
        <v>4</v>
      </c>
      <c r="G21026" t="str">
        <f>""</f>
        <v/>
      </c>
    </row>
    <row r="21027" spans="1:7" x14ac:dyDescent="0.25">
      <c r="A21027" t="s">
        <v>8</v>
      </c>
      <c r="B21027" s="1" t="str">
        <f>"000056339 - RICH FOODS-FOODBUY"</f>
        <v>000056339 - RICH FOODS-FOODBUY</v>
      </c>
      <c r="C21027" t="s">
        <v>237</v>
      </c>
      <c r="D21027" s="1" t="str">
        <f t="shared" si="567"/>
        <v>PRG-1047708</v>
      </c>
      <c r="E21027" t="s">
        <v>147</v>
      </c>
      <c r="F21027" t="s">
        <v>4</v>
      </c>
      <c r="G21027" t="str">
        <f>""</f>
        <v/>
      </c>
    </row>
    <row r="21028" spans="1:7" x14ac:dyDescent="0.25">
      <c r="A21028" t="s">
        <v>8</v>
      </c>
      <c r="B21028" s="1" t="str">
        <f>"000056532 - RICH FOODS-FOODBUY"</f>
        <v>000056532 - RICH FOODS-FOODBUY</v>
      </c>
      <c r="C21028" t="s">
        <v>237</v>
      </c>
      <c r="D21028" s="1" t="str">
        <f t="shared" si="567"/>
        <v>PRG-1047708</v>
      </c>
      <c r="E21028" t="s">
        <v>147</v>
      </c>
      <c r="F21028" t="s">
        <v>4</v>
      </c>
      <c r="G21028" t="str">
        <f>""</f>
        <v/>
      </c>
    </row>
    <row r="21029" spans="1:7" x14ac:dyDescent="0.25">
      <c r="A21029" t="s">
        <v>8</v>
      </c>
      <c r="B21029" s="1" t="str">
        <f>"000056802 - RICH FOODS PRGM 1-FOODBUY"</f>
        <v>000056802 - RICH FOODS PRGM 1-FOODBUY</v>
      </c>
      <c r="C21029" t="s">
        <v>592</v>
      </c>
      <c r="D21029" s="1" t="str">
        <f t="shared" si="567"/>
        <v>PRG-1047708</v>
      </c>
      <c r="E21029" t="s">
        <v>147</v>
      </c>
      <c r="F21029" t="s">
        <v>4</v>
      </c>
      <c r="G21029" t="str">
        <f>""</f>
        <v/>
      </c>
    </row>
    <row r="21030" spans="1:7" x14ac:dyDescent="0.25">
      <c r="A21030" t="s">
        <v>8</v>
      </c>
      <c r="B21030" s="1" t="str">
        <f>"000057094 - RICH FOODS-FOODBUY"</f>
        <v>000057094 - RICH FOODS-FOODBUY</v>
      </c>
      <c r="C21030" t="s">
        <v>237</v>
      </c>
      <c r="D21030" s="1" t="str">
        <f t="shared" si="567"/>
        <v>PRG-1047708</v>
      </c>
      <c r="E21030" t="s">
        <v>147</v>
      </c>
      <c r="F21030" t="s">
        <v>4</v>
      </c>
      <c r="G21030" t="str">
        <f>""</f>
        <v/>
      </c>
    </row>
    <row r="21031" spans="1:7" x14ac:dyDescent="0.25">
      <c r="A21031" t="s">
        <v>8</v>
      </c>
      <c r="B21031" s="1" t="str">
        <f>"000057860 - RICH FOODS-FOODBUY"</f>
        <v>000057860 - RICH FOODS-FOODBUY</v>
      </c>
      <c r="C21031" t="s">
        <v>237</v>
      </c>
      <c r="D21031" s="1" t="str">
        <f t="shared" si="567"/>
        <v>PRG-1047708</v>
      </c>
      <c r="E21031" t="s">
        <v>147</v>
      </c>
      <c r="F21031" t="s">
        <v>4</v>
      </c>
      <c r="G21031" t="str">
        <f>""</f>
        <v/>
      </c>
    </row>
    <row r="21032" spans="1:7" x14ac:dyDescent="0.25">
      <c r="A21032" t="s">
        <v>8</v>
      </c>
      <c r="B21032" s="1" t="str">
        <f>"000058028 - RICH FOODS-FOODBUY"</f>
        <v>000058028 - RICH FOODS-FOODBUY</v>
      </c>
      <c r="C21032" t="s">
        <v>237</v>
      </c>
      <c r="D21032" s="1" t="str">
        <f t="shared" si="567"/>
        <v>PRG-1047708</v>
      </c>
      <c r="E21032" t="s">
        <v>147</v>
      </c>
      <c r="F21032" t="s">
        <v>4</v>
      </c>
      <c r="G21032" t="str">
        <f>""</f>
        <v/>
      </c>
    </row>
    <row r="21033" spans="1:7" x14ac:dyDescent="0.25">
      <c r="A21033" t="s">
        <v>8</v>
      </c>
      <c r="B21033" s="1" t="str">
        <f>"000059283 - RICH FOODS-FOODBUY"</f>
        <v>000059283 - RICH FOODS-FOODBUY</v>
      </c>
      <c r="C21033" t="s">
        <v>237</v>
      </c>
      <c r="D21033" s="1" t="str">
        <f t="shared" si="567"/>
        <v>PRG-1047708</v>
      </c>
      <c r="E21033" t="s">
        <v>147</v>
      </c>
      <c r="F21033" t="s">
        <v>4</v>
      </c>
      <c r="G21033" t="str">
        <f>""</f>
        <v/>
      </c>
    </row>
    <row r="21034" spans="1:7" x14ac:dyDescent="0.25">
      <c r="A21034" t="s">
        <v>8</v>
      </c>
      <c r="B21034" s="1" t="str">
        <f>"000060936 - RICH FOODS PRGM 1-FOODBUY"</f>
        <v>000060936 - RICH FOODS PRGM 1-FOODBUY</v>
      </c>
      <c r="C21034" t="s">
        <v>592</v>
      </c>
      <c r="D21034" s="1" t="str">
        <f t="shared" si="567"/>
        <v>PRG-1047708</v>
      </c>
      <c r="E21034" t="s">
        <v>147</v>
      </c>
      <c r="F21034" t="s">
        <v>4</v>
      </c>
      <c r="G21034" t="str">
        <f>""</f>
        <v/>
      </c>
    </row>
    <row r="21035" spans="1:7" x14ac:dyDescent="0.25">
      <c r="A21035" t="s">
        <v>8</v>
      </c>
      <c r="B21035" s="1" t="str">
        <f>"000061530 - RICH FOODS PRGM 3-FOODBUY"</f>
        <v>000061530 - RICH FOODS PRGM 3-FOODBUY</v>
      </c>
      <c r="C21035" t="s">
        <v>238</v>
      </c>
      <c r="D21035" s="1" t="str">
        <f t="shared" si="567"/>
        <v>PRG-1047708</v>
      </c>
      <c r="E21035" t="s">
        <v>147</v>
      </c>
      <c r="F21035" t="s">
        <v>4</v>
      </c>
      <c r="G21035" t="str">
        <f>""</f>
        <v/>
      </c>
    </row>
    <row r="21036" spans="1:7" x14ac:dyDescent="0.25">
      <c r="A21036" t="s">
        <v>8</v>
      </c>
      <c r="B21036" s="1" t="str">
        <f>"000062313 - RICH FOODS PRGM 3-FOODBUY"</f>
        <v>000062313 - RICH FOODS PRGM 3-FOODBUY</v>
      </c>
      <c r="C21036" t="s">
        <v>238</v>
      </c>
      <c r="D21036" s="1" t="str">
        <f t="shared" si="567"/>
        <v>PRG-1047708</v>
      </c>
      <c r="E21036" t="s">
        <v>147</v>
      </c>
      <c r="F21036" t="s">
        <v>4</v>
      </c>
      <c r="G21036" t="str">
        <f>""</f>
        <v/>
      </c>
    </row>
    <row r="21037" spans="1:7" x14ac:dyDescent="0.25">
      <c r="A21037" t="s">
        <v>8</v>
      </c>
      <c r="B21037" s="1" t="str">
        <f>"000063986 - RICH FOODS PRGM 1-FOODBUY"</f>
        <v>000063986 - RICH FOODS PRGM 1-FOODBUY</v>
      </c>
      <c r="C21037" t="s">
        <v>592</v>
      </c>
      <c r="D21037" s="1" t="str">
        <f t="shared" si="567"/>
        <v>PRG-1047708</v>
      </c>
      <c r="E21037" t="s">
        <v>147</v>
      </c>
      <c r="F21037" t="s">
        <v>4</v>
      </c>
      <c r="G21037" t="str">
        <f>""</f>
        <v/>
      </c>
    </row>
    <row r="21038" spans="1:7" x14ac:dyDescent="0.25">
      <c r="A21038" t="s">
        <v>8</v>
      </c>
      <c r="B21038" s="1" t="str">
        <f>"000064920 - RICH FOODS-FOODBUY"</f>
        <v>000064920 - RICH FOODS-FOODBUY</v>
      </c>
      <c r="C21038" t="s">
        <v>237</v>
      </c>
      <c r="D21038" s="1" t="str">
        <f t="shared" si="567"/>
        <v>PRG-1047708</v>
      </c>
      <c r="E21038" t="s">
        <v>147</v>
      </c>
      <c r="F21038" t="s">
        <v>4</v>
      </c>
      <c r="G21038" t="str">
        <f>""</f>
        <v/>
      </c>
    </row>
    <row r="21039" spans="1:7" x14ac:dyDescent="0.25">
      <c r="A21039" t="s">
        <v>8</v>
      </c>
      <c r="B21039" s="1" t="str">
        <f>"000066398 - RICH FOODS-FOODBUY"</f>
        <v>000066398 - RICH FOODS-FOODBUY</v>
      </c>
      <c r="C21039" t="s">
        <v>237</v>
      </c>
      <c r="D21039" s="1" t="str">
        <f t="shared" si="567"/>
        <v>PRG-1047708</v>
      </c>
      <c r="E21039" t="s">
        <v>147</v>
      </c>
      <c r="F21039" t="s">
        <v>4</v>
      </c>
      <c r="G21039" t="str">
        <f>""</f>
        <v/>
      </c>
    </row>
    <row r="21040" spans="1:7" x14ac:dyDescent="0.25">
      <c r="A21040" t="s">
        <v>8</v>
      </c>
      <c r="B21040" s="1" t="str">
        <f>"000069665 - RICH FOODS-FOODBUY"</f>
        <v>000069665 - RICH FOODS-FOODBUY</v>
      </c>
      <c r="C21040" t="s">
        <v>237</v>
      </c>
      <c r="D21040" s="1" t="str">
        <f t="shared" si="567"/>
        <v>PRG-1047708</v>
      </c>
      <c r="E21040" t="s">
        <v>147</v>
      </c>
      <c r="F21040" t="s">
        <v>4</v>
      </c>
      <c r="G21040" t="str">
        <f>""</f>
        <v/>
      </c>
    </row>
    <row r="21041" spans="1:7" x14ac:dyDescent="0.25">
      <c r="A21041" t="s">
        <v>8</v>
      </c>
      <c r="B21041" s="1" t="str">
        <f>"000071319 - RICH FOODS-FOODBUY"</f>
        <v>000071319 - RICH FOODS-FOODBUY</v>
      </c>
      <c r="C21041" t="s">
        <v>237</v>
      </c>
      <c r="D21041" s="1" t="str">
        <f t="shared" si="567"/>
        <v>PRG-1047708</v>
      </c>
      <c r="E21041" t="s">
        <v>147</v>
      </c>
      <c r="F21041" t="s">
        <v>4</v>
      </c>
      <c r="G21041" t="str">
        <f>""</f>
        <v/>
      </c>
    </row>
    <row r="21042" spans="1:7" x14ac:dyDescent="0.25">
      <c r="A21042" t="s">
        <v>8</v>
      </c>
      <c r="B21042" s="1" t="str">
        <f>"000071648 - RICH FOODS-FOODBUY"</f>
        <v>000071648 - RICH FOODS-FOODBUY</v>
      </c>
      <c r="C21042" t="s">
        <v>237</v>
      </c>
      <c r="D21042" s="1" t="str">
        <f t="shared" si="567"/>
        <v>PRG-1047708</v>
      </c>
      <c r="E21042" t="s">
        <v>147</v>
      </c>
      <c r="F21042" t="s">
        <v>4</v>
      </c>
      <c r="G21042" t="str">
        <f>""</f>
        <v/>
      </c>
    </row>
    <row r="21043" spans="1:7" x14ac:dyDescent="0.25">
      <c r="A21043" t="s">
        <v>8</v>
      </c>
      <c r="B21043" s="1" t="str">
        <f>"000072332 - RICH FOODS PRGM 1-FOODBUY"</f>
        <v>000072332 - RICH FOODS PRGM 1-FOODBUY</v>
      </c>
      <c r="C21043" t="s">
        <v>592</v>
      </c>
      <c r="D21043" s="1" t="str">
        <f t="shared" si="567"/>
        <v>PRG-1047708</v>
      </c>
      <c r="E21043" t="s">
        <v>147</v>
      </c>
      <c r="F21043" t="s">
        <v>4</v>
      </c>
      <c r="G21043" t="str">
        <f>""</f>
        <v/>
      </c>
    </row>
    <row r="21044" spans="1:7" x14ac:dyDescent="0.25">
      <c r="A21044" t="s">
        <v>8</v>
      </c>
      <c r="B21044" s="1" t="str">
        <f>"000073512 - RICH FOODS-FOODBUY"</f>
        <v>000073512 - RICH FOODS-FOODBUY</v>
      </c>
      <c r="C21044" t="s">
        <v>237</v>
      </c>
      <c r="D21044" s="1" t="str">
        <f t="shared" si="567"/>
        <v>PRG-1047708</v>
      </c>
      <c r="E21044" t="s">
        <v>147</v>
      </c>
      <c r="F21044" t="s">
        <v>4</v>
      </c>
      <c r="G21044" t="str">
        <f>""</f>
        <v/>
      </c>
    </row>
    <row r="21045" spans="1:7" x14ac:dyDescent="0.25">
      <c r="A21045" t="s">
        <v>8</v>
      </c>
      <c r="B21045" s="1" t="str">
        <f>"000075666 - RICH FOODS PRGM 3-FOODBUY"</f>
        <v>000075666 - RICH FOODS PRGM 3-FOODBUY</v>
      </c>
      <c r="C21045" t="s">
        <v>238</v>
      </c>
      <c r="D21045" s="1" t="str">
        <f t="shared" si="567"/>
        <v>PRG-1047708</v>
      </c>
      <c r="E21045" t="s">
        <v>147</v>
      </c>
      <c r="F21045" t="s">
        <v>4</v>
      </c>
      <c r="G21045" t="str">
        <f>""</f>
        <v/>
      </c>
    </row>
    <row r="21046" spans="1:7" x14ac:dyDescent="0.25">
      <c r="A21046" t="s">
        <v>8</v>
      </c>
      <c r="B21046" s="1" t="str">
        <f>"000078074 - RICH FOODS PRGM 1-FOODBUY"</f>
        <v>000078074 - RICH FOODS PRGM 1-FOODBUY</v>
      </c>
      <c r="C21046" t="s">
        <v>592</v>
      </c>
      <c r="D21046" s="1" t="str">
        <f t="shared" si="567"/>
        <v>PRG-1047708</v>
      </c>
      <c r="E21046" t="s">
        <v>147</v>
      </c>
      <c r="F21046" t="s">
        <v>4</v>
      </c>
      <c r="G21046" t="str">
        <f>""</f>
        <v/>
      </c>
    </row>
    <row r="21047" spans="1:7" x14ac:dyDescent="0.25">
      <c r="A21047" t="s">
        <v>8</v>
      </c>
      <c r="B21047" s="1" t="str">
        <f>"000081876 - RICH FOODS PRGM 1-FOODBUY"</f>
        <v>000081876 - RICH FOODS PRGM 1-FOODBUY</v>
      </c>
      <c r="C21047" t="s">
        <v>592</v>
      </c>
      <c r="D21047" s="1" t="str">
        <f t="shared" si="567"/>
        <v>PRG-1047708</v>
      </c>
      <c r="E21047" t="s">
        <v>147</v>
      </c>
      <c r="F21047" t="s">
        <v>4</v>
      </c>
      <c r="G21047" t="str">
        <f>""</f>
        <v/>
      </c>
    </row>
    <row r="21048" spans="1:7" x14ac:dyDescent="0.25">
      <c r="A21048" t="s">
        <v>8</v>
      </c>
      <c r="B21048" s="1" t="str">
        <f>"000096303 - RICH FOODS-FOODBUY"</f>
        <v>000096303 - RICH FOODS-FOODBUY</v>
      </c>
      <c r="C21048" t="s">
        <v>237</v>
      </c>
      <c r="D21048" s="1" t="str">
        <f t="shared" si="567"/>
        <v>PRG-1047708</v>
      </c>
      <c r="E21048" t="s">
        <v>147</v>
      </c>
      <c r="F21048" t="s">
        <v>4</v>
      </c>
      <c r="G21048" t="str">
        <f>""</f>
        <v/>
      </c>
    </row>
    <row r="21049" spans="1:7" x14ac:dyDescent="0.25">
      <c r="A21049" t="s">
        <v>8</v>
      </c>
      <c r="B21049" s="1" t="str">
        <f>"000097483 - RICH FOODS-FOODBUY"</f>
        <v>000097483 - RICH FOODS-FOODBUY</v>
      </c>
      <c r="C21049" t="s">
        <v>237</v>
      </c>
      <c r="D21049" s="1" t="str">
        <f t="shared" si="567"/>
        <v>PRG-1047708</v>
      </c>
      <c r="E21049" t="s">
        <v>147</v>
      </c>
      <c r="F21049" t="s">
        <v>4</v>
      </c>
      <c r="G21049" t="str">
        <f>""</f>
        <v/>
      </c>
    </row>
    <row r="21050" spans="1:7" x14ac:dyDescent="0.25">
      <c r="A21050" t="s">
        <v>8</v>
      </c>
      <c r="B21050" s="1" t="str">
        <f>"000101600 - RICH FOODS-FOODBUY"</f>
        <v>000101600 - RICH FOODS-FOODBUY</v>
      </c>
      <c r="C21050" t="s">
        <v>237</v>
      </c>
      <c r="D21050" s="1" t="str">
        <f t="shared" si="567"/>
        <v>PRG-1047708</v>
      </c>
      <c r="E21050" t="s">
        <v>147</v>
      </c>
      <c r="F21050" t="s">
        <v>4</v>
      </c>
      <c r="G21050" t="str">
        <f>""</f>
        <v/>
      </c>
    </row>
    <row r="21051" spans="1:7" x14ac:dyDescent="0.25">
      <c r="A21051" t="s">
        <v>8</v>
      </c>
      <c r="B21051" s="1" t="str">
        <f>"000101824 - RICH FOODS PRGM 1-FOODBUY"</f>
        <v>000101824 - RICH FOODS PRGM 1-FOODBUY</v>
      </c>
      <c r="C21051" t="s">
        <v>592</v>
      </c>
      <c r="D21051" s="1" t="str">
        <f t="shared" si="567"/>
        <v>PRG-1047708</v>
      </c>
      <c r="E21051" t="s">
        <v>147</v>
      </c>
      <c r="F21051" t="s">
        <v>4</v>
      </c>
      <c r="G21051" t="str">
        <f>""</f>
        <v/>
      </c>
    </row>
    <row r="21052" spans="1:7" x14ac:dyDescent="0.25">
      <c r="A21052" t="s">
        <v>8</v>
      </c>
      <c r="B21052" s="1" t="str">
        <f>"000102909 - RICH FOODS-FOODBUY"</f>
        <v>000102909 - RICH FOODS-FOODBUY</v>
      </c>
      <c r="C21052" t="s">
        <v>237</v>
      </c>
      <c r="D21052" s="1" t="str">
        <f t="shared" si="567"/>
        <v>PRG-1047708</v>
      </c>
      <c r="E21052" t="s">
        <v>147</v>
      </c>
      <c r="F21052" t="s">
        <v>4</v>
      </c>
      <c r="G21052" t="str">
        <f>""</f>
        <v/>
      </c>
    </row>
    <row r="21053" spans="1:7" x14ac:dyDescent="0.25">
      <c r="A21053" t="s">
        <v>8</v>
      </c>
      <c r="B21053" s="1" t="str">
        <f>"000119229 - RICH FOODS-FOODBUY"</f>
        <v>000119229 - RICH FOODS-FOODBUY</v>
      </c>
      <c r="C21053" t="s">
        <v>237</v>
      </c>
      <c r="D21053" s="1" t="str">
        <f t="shared" si="567"/>
        <v>PRG-1047708</v>
      </c>
      <c r="E21053" t="s">
        <v>147</v>
      </c>
      <c r="F21053" t="s">
        <v>4</v>
      </c>
      <c r="G21053" t="str">
        <f>""</f>
        <v/>
      </c>
    </row>
    <row r="21054" spans="1:7" x14ac:dyDescent="0.25">
      <c r="A21054" t="s">
        <v>8</v>
      </c>
      <c r="B21054" s="1" t="str">
        <f>"000120592 - RICH FOODS-FOODBUY"</f>
        <v>000120592 - RICH FOODS-FOODBUY</v>
      </c>
      <c r="C21054" t="s">
        <v>237</v>
      </c>
      <c r="D21054" s="1" t="str">
        <f t="shared" si="567"/>
        <v>PRG-1047708</v>
      </c>
      <c r="E21054" t="s">
        <v>147</v>
      </c>
      <c r="F21054" t="s">
        <v>4</v>
      </c>
      <c r="G21054" t="str">
        <f>""</f>
        <v/>
      </c>
    </row>
    <row r="21055" spans="1:7" x14ac:dyDescent="0.25">
      <c r="A21055" t="s">
        <v>8</v>
      </c>
      <c r="B21055" s="1" t="str">
        <f>"000124236 - RICH FOODS PRGM 3-FOODBUY"</f>
        <v>000124236 - RICH FOODS PRGM 3-FOODBUY</v>
      </c>
      <c r="C21055" t="s">
        <v>238</v>
      </c>
      <c r="D21055" s="1" t="str">
        <f t="shared" si="567"/>
        <v>PRG-1047708</v>
      </c>
      <c r="E21055" t="s">
        <v>147</v>
      </c>
      <c r="F21055" t="s">
        <v>4</v>
      </c>
      <c r="G21055" t="str">
        <f>""</f>
        <v/>
      </c>
    </row>
    <row r="21056" spans="1:7" x14ac:dyDescent="0.25">
      <c r="A21056" t="s">
        <v>8</v>
      </c>
      <c r="B21056" s="1" t="str">
        <f>"000126113 - RICH FOODS PRGM 1-FOODBUY"</f>
        <v>000126113 - RICH FOODS PRGM 1-FOODBUY</v>
      </c>
      <c r="C21056" t="s">
        <v>592</v>
      </c>
      <c r="D21056" s="1" t="str">
        <f t="shared" si="567"/>
        <v>PRG-1047708</v>
      </c>
      <c r="E21056" t="s">
        <v>147</v>
      </c>
      <c r="F21056" t="s">
        <v>4</v>
      </c>
      <c r="G21056" t="str">
        <f>""</f>
        <v/>
      </c>
    </row>
    <row r="21057" spans="1:7" x14ac:dyDescent="0.25">
      <c r="A21057" t="s">
        <v>8</v>
      </c>
      <c r="B21057" s="1" t="str">
        <f>"000167259 - RICH FOODS-FOODBUY"</f>
        <v>000167259 - RICH FOODS-FOODBUY</v>
      </c>
      <c r="C21057" t="s">
        <v>237</v>
      </c>
      <c r="D21057" s="1" t="str">
        <f t="shared" si="567"/>
        <v>PRG-1047708</v>
      </c>
      <c r="E21057" t="s">
        <v>147</v>
      </c>
      <c r="F21057" t="s">
        <v>4</v>
      </c>
      <c r="G21057" t="str">
        <f>""</f>
        <v/>
      </c>
    </row>
    <row r="21058" spans="1:7" x14ac:dyDescent="0.25">
      <c r="A21058" t="s">
        <v>8</v>
      </c>
      <c r="B21058" s="1" t="str">
        <f>"000168315 - RICH FOODS-FOODBUY"</f>
        <v>000168315 - RICH FOODS-FOODBUY</v>
      </c>
      <c r="C21058" t="s">
        <v>237</v>
      </c>
      <c r="D21058" s="1" t="str">
        <f t="shared" si="567"/>
        <v>PRG-1047708</v>
      </c>
      <c r="E21058" t="s">
        <v>147</v>
      </c>
      <c r="F21058" t="s">
        <v>4</v>
      </c>
      <c r="G21058" t="str">
        <f>""</f>
        <v/>
      </c>
    </row>
    <row r="21059" spans="1:7" x14ac:dyDescent="0.25">
      <c r="A21059" t="s">
        <v>8</v>
      </c>
      <c r="B21059" s="1" t="str">
        <f>"000171240 - RICH FOODS-FOODBUY"</f>
        <v>000171240 - RICH FOODS-FOODBUY</v>
      </c>
      <c r="C21059" t="s">
        <v>237</v>
      </c>
      <c r="D21059" s="1" t="str">
        <f t="shared" si="567"/>
        <v>PRG-1047708</v>
      </c>
      <c r="E21059" t="s">
        <v>147</v>
      </c>
      <c r="F21059" t="s">
        <v>4</v>
      </c>
      <c r="G21059" t="str">
        <f>""</f>
        <v/>
      </c>
    </row>
    <row r="21060" spans="1:7" x14ac:dyDescent="0.25">
      <c r="A21060" t="s">
        <v>8</v>
      </c>
      <c r="B21060" s="1" t="str">
        <f>"000172142 - RICH FOODS PRGM 1-FOODBUY"</f>
        <v>000172142 - RICH FOODS PRGM 1-FOODBUY</v>
      </c>
      <c r="C21060" t="s">
        <v>592</v>
      </c>
      <c r="D21060" s="1" t="str">
        <f t="shared" si="567"/>
        <v>PRG-1047708</v>
      </c>
      <c r="E21060" t="s">
        <v>147</v>
      </c>
      <c r="F21060" t="s">
        <v>4</v>
      </c>
      <c r="G21060" t="str">
        <f>""</f>
        <v/>
      </c>
    </row>
    <row r="21061" spans="1:7" x14ac:dyDescent="0.25">
      <c r="A21061" t="s">
        <v>8</v>
      </c>
      <c r="B21061" s="1" t="str">
        <f>"000172437 - RICH FOODS-FOODBUY"</f>
        <v>000172437 - RICH FOODS-FOODBUY</v>
      </c>
      <c r="C21061" t="s">
        <v>237</v>
      </c>
      <c r="D21061" s="1" t="str">
        <f t="shared" si="567"/>
        <v>PRG-1047708</v>
      </c>
      <c r="E21061" t="s">
        <v>147</v>
      </c>
      <c r="F21061" t="s">
        <v>4</v>
      </c>
      <c r="G21061" t="str">
        <f>""</f>
        <v/>
      </c>
    </row>
    <row r="21062" spans="1:7" x14ac:dyDescent="0.25">
      <c r="A21062" t="s">
        <v>8</v>
      </c>
      <c r="B21062" s="1" t="str">
        <f>"000177232 - RICH FOODS PRGM 1-FOODBUY"</f>
        <v>000177232 - RICH FOODS PRGM 1-FOODBUY</v>
      </c>
      <c r="C21062" t="s">
        <v>592</v>
      </c>
      <c r="D21062" s="1" t="str">
        <f t="shared" si="567"/>
        <v>PRG-1047708</v>
      </c>
      <c r="E21062" t="s">
        <v>147</v>
      </c>
      <c r="F21062" t="s">
        <v>4</v>
      </c>
      <c r="G21062" t="str">
        <f>""</f>
        <v/>
      </c>
    </row>
    <row r="21063" spans="1:7" x14ac:dyDescent="0.25">
      <c r="A21063" t="s">
        <v>8</v>
      </c>
      <c r="B21063" s="1" t="str">
        <f>"000194934 - RICH FOODS-FOODBUY"</f>
        <v>000194934 - RICH FOODS-FOODBUY</v>
      </c>
      <c r="C21063" t="s">
        <v>237</v>
      </c>
      <c r="D21063" s="1" t="str">
        <f t="shared" si="567"/>
        <v>PRG-1047708</v>
      </c>
      <c r="E21063" t="s">
        <v>147</v>
      </c>
      <c r="F21063" t="s">
        <v>4</v>
      </c>
      <c r="G21063" t="str">
        <f>""</f>
        <v/>
      </c>
    </row>
    <row r="21064" spans="1:7" x14ac:dyDescent="0.25">
      <c r="A21064" t="s">
        <v>8</v>
      </c>
      <c r="B21064" s="1" t="str">
        <f>"000195916 - RICH FOODS-FOODBUY"</f>
        <v>000195916 - RICH FOODS-FOODBUY</v>
      </c>
      <c r="C21064" t="s">
        <v>237</v>
      </c>
      <c r="D21064" s="1" t="str">
        <f t="shared" si="567"/>
        <v>PRG-1047708</v>
      </c>
      <c r="E21064" t="s">
        <v>147</v>
      </c>
      <c r="F21064" t="s">
        <v>4</v>
      </c>
      <c r="G21064" t="str">
        <f>""</f>
        <v/>
      </c>
    </row>
    <row r="21065" spans="1:7" x14ac:dyDescent="0.25">
      <c r="A21065" t="s">
        <v>8</v>
      </c>
      <c r="B21065" s="1" t="str">
        <f>"000196035 - RICH FOODS-FOODBUY"</f>
        <v>000196035 - RICH FOODS-FOODBUY</v>
      </c>
      <c r="C21065" t="s">
        <v>237</v>
      </c>
      <c r="D21065" s="1" t="str">
        <f t="shared" si="567"/>
        <v>PRG-1047708</v>
      </c>
      <c r="E21065" t="s">
        <v>147</v>
      </c>
      <c r="F21065" t="s">
        <v>4</v>
      </c>
      <c r="G21065" t="str">
        <f>""</f>
        <v/>
      </c>
    </row>
    <row r="21066" spans="1:7" x14ac:dyDescent="0.25">
      <c r="A21066" t="s">
        <v>8</v>
      </c>
      <c r="B21066" s="1" t="str">
        <f>"000197121 - RICH FOODS-FOODBUY"</f>
        <v>000197121 - RICH FOODS-FOODBUY</v>
      </c>
      <c r="C21066" t="s">
        <v>237</v>
      </c>
      <c r="D21066" s="1" t="str">
        <f t="shared" si="567"/>
        <v>PRG-1047708</v>
      </c>
      <c r="E21066" t="s">
        <v>147</v>
      </c>
      <c r="F21066" t="s">
        <v>4</v>
      </c>
      <c r="G21066" t="str">
        <f>""</f>
        <v/>
      </c>
    </row>
    <row r="21067" spans="1:7" x14ac:dyDescent="0.25">
      <c r="A21067" t="s">
        <v>8</v>
      </c>
      <c r="B21067" s="1" t="str">
        <f>"000199899 - RICH FOODS PRGM 1-FOODBUY"</f>
        <v>000199899 - RICH FOODS PRGM 1-FOODBUY</v>
      </c>
      <c r="C21067" t="s">
        <v>592</v>
      </c>
      <c r="D21067" s="1" t="str">
        <f t="shared" si="567"/>
        <v>PRG-1047708</v>
      </c>
      <c r="E21067" t="s">
        <v>147</v>
      </c>
      <c r="F21067" t="s">
        <v>4</v>
      </c>
      <c r="G21067" t="str">
        <f>""</f>
        <v/>
      </c>
    </row>
    <row r="21068" spans="1:7" x14ac:dyDescent="0.25">
      <c r="A21068" t="s">
        <v>8</v>
      </c>
      <c r="B21068" s="1" t="str">
        <f>"000200011 - RICH FOODS-FOODBUY"</f>
        <v>000200011 - RICH FOODS-FOODBUY</v>
      </c>
      <c r="C21068" t="s">
        <v>237</v>
      </c>
      <c r="D21068" s="1" t="str">
        <f t="shared" si="567"/>
        <v>PRG-1047708</v>
      </c>
      <c r="E21068" t="s">
        <v>147</v>
      </c>
      <c r="F21068" t="s">
        <v>4</v>
      </c>
      <c r="G21068" t="str">
        <f>""</f>
        <v/>
      </c>
    </row>
    <row r="21069" spans="1:7" x14ac:dyDescent="0.25">
      <c r="A21069" t="s">
        <v>8</v>
      </c>
      <c r="B21069" s="1" t="str">
        <f>"000201211 - RICH FOODS-FOODBUY"</f>
        <v>000201211 - RICH FOODS-FOODBUY</v>
      </c>
      <c r="C21069" t="s">
        <v>237</v>
      </c>
      <c r="D21069" s="1" t="str">
        <f t="shared" si="567"/>
        <v>PRG-1047708</v>
      </c>
      <c r="E21069" t="s">
        <v>147</v>
      </c>
      <c r="F21069" t="s">
        <v>4</v>
      </c>
      <c r="G21069" t="str">
        <f>""</f>
        <v/>
      </c>
    </row>
    <row r="21070" spans="1:7" x14ac:dyDescent="0.25">
      <c r="A21070" t="s">
        <v>8</v>
      </c>
      <c r="B21070" s="1" t="str">
        <f>"000202115 - RICH FOODS PRGM 1-FOODBUY"</f>
        <v>000202115 - RICH FOODS PRGM 1-FOODBUY</v>
      </c>
      <c r="C21070" t="s">
        <v>592</v>
      </c>
      <c r="D21070" s="1" t="str">
        <f t="shared" si="567"/>
        <v>PRG-1047708</v>
      </c>
      <c r="E21070" t="s">
        <v>147</v>
      </c>
      <c r="F21070" t="s">
        <v>4</v>
      </c>
      <c r="G21070" t="str">
        <f>""</f>
        <v/>
      </c>
    </row>
    <row r="21071" spans="1:7" x14ac:dyDescent="0.25">
      <c r="A21071" t="s">
        <v>8</v>
      </c>
      <c r="B21071" s="1" t="str">
        <f>"000204098 - RICH FOODS PRGM 3-FOODBUY"</f>
        <v>000204098 - RICH FOODS PRGM 3-FOODBUY</v>
      </c>
      <c r="C21071" t="s">
        <v>238</v>
      </c>
      <c r="D21071" s="1" t="str">
        <f t="shared" si="567"/>
        <v>PRG-1047708</v>
      </c>
      <c r="E21071" t="s">
        <v>147</v>
      </c>
      <c r="F21071" t="s">
        <v>4</v>
      </c>
      <c r="G21071" t="str">
        <f>""</f>
        <v/>
      </c>
    </row>
    <row r="21072" spans="1:7" x14ac:dyDescent="0.25">
      <c r="A21072" t="s">
        <v>8</v>
      </c>
      <c r="B21072" s="1" t="str">
        <f>"000205730 - RICH FOODS PRGM 1-FOODBUY"</f>
        <v>000205730 - RICH FOODS PRGM 1-FOODBUY</v>
      </c>
      <c r="C21072" t="s">
        <v>592</v>
      </c>
      <c r="D21072" s="1" t="str">
        <f t="shared" si="567"/>
        <v>PRG-1047708</v>
      </c>
      <c r="E21072" t="s">
        <v>147</v>
      </c>
      <c r="F21072" t="s">
        <v>4</v>
      </c>
      <c r="G21072" t="str">
        <f>""</f>
        <v/>
      </c>
    </row>
    <row r="21073" spans="1:7" x14ac:dyDescent="0.25">
      <c r="A21073" t="s">
        <v>8</v>
      </c>
      <c r="B21073" s="1" t="str">
        <f>"000219351 - RICH FOODS-FOODBUY"</f>
        <v>000219351 - RICH FOODS-FOODBUY</v>
      </c>
      <c r="C21073" t="s">
        <v>237</v>
      </c>
      <c r="D21073" s="1" t="str">
        <f t="shared" ref="D21073:D21136" si="568">"PRG-1047708"</f>
        <v>PRG-1047708</v>
      </c>
      <c r="E21073" t="s">
        <v>147</v>
      </c>
      <c r="F21073" t="s">
        <v>4</v>
      </c>
      <c r="G21073" t="str">
        <f>""</f>
        <v/>
      </c>
    </row>
    <row r="21074" spans="1:7" x14ac:dyDescent="0.25">
      <c r="A21074" t="s">
        <v>8</v>
      </c>
      <c r="B21074" s="1" t="str">
        <f>"000223903 - RICH FOODS PRGM 1-FOODBUY"</f>
        <v>000223903 - RICH FOODS PRGM 1-FOODBUY</v>
      </c>
      <c r="C21074" t="s">
        <v>592</v>
      </c>
      <c r="D21074" s="1" t="str">
        <f t="shared" si="568"/>
        <v>PRG-1047708</v>
      </c>
      <c r="E21074" t="s">
        <v>147</v>
      </c>
      <c r="F21074" t="s">
        <v>4</v>
      </c>
      <c r="G21074" t="str">
        <f>""</f>
        <v/>
      </c>
    </row>
    <row r="21075" spans="1:7" x14ac:dyDescent="0.25">
      <c r="A21075" t="s">
        <v>8</v>
      </c>
      <c r="B21075" s="1" t="str">
        <f>"000225830 - RICH'S Y C"</f>
        <v>000225830 - RICH'S Y C</v>
      </c>
      <c r="C21075" t="s">
        <v>1678</v>
      </c>
      <c r="D21075" s="1" t="str">
        <f t="shared" si="568"/>
        <v>PRG-1047708</v>
      </c>
      <c r="E21075" t="s">
        <v>147</v>
      </c>
      <c r="F21075" t="s">
        <v>4</v>
      </c>
      <c r="G21075" t="str">
        <f>""</f>
        <v/>
      </c>
    </row>
    <row r="21076" spans="1:7" x14ac:dyDescent="0.25">
      <c r="A21076" t="s">
        <v>8</v>
      </c>
      <c r="B21076" s="1" t="str">
        <f>"000233554 - RICH FOODS-FOODBUY"</f>
        <v>000233554 - RICH FOODS-FOODBUY</v>
      </c>
      <c r="C21076" t="s">
        <v>237</v>
      </c>
      <c r="D21076" s="1" t="str">
        <f t="shared" si="568"/>
        <v>PRG-1047708</v>
      </c>
      <c r="E21076" t="s">
        <v>147</v>
      </c>
      <c r="F21076" t="s">
        <v>4</v>
      </c>
      <c r="G21076" t="str">
        <f>""</f>
        <v/>
      </c>
    </row>
    <row r="21077" spans="1:7" x14ac:dyDescent="0.25">
      <c r="A21077" t="s">
        <v>8</v>
      </c>
      <c r="B21077" s="1" t="str">
        <f>"000263594 - RICH FOODS-FOODBUY"</f>
        <v>000263594 - RICH FOODS-FOODBUY</v>
      </c>
      <c r="C21077" t="s">
        <v>237</v>
      </c>
      <c r="D21077" s="1" t="str">
        <f t="shared" si="568"/>
        <v>PRG-1047708</v>
      </c>
      <c r="E21077" t="s">
        <v>147</v>
      </c>
      <c r="F21077" t="s">
        <v>4</v>
      </c>
      <c r="G21077" t="str">
        <f>""</f>
        <v/>
      </c>
    </row>
    <row r="21078" spans="1:7" x14ac:dyDescent="0.25">
      <c r="A21078" t="s">
        <v>8</v>
      </c>
      <c r="B21078" s="1" t="str">
        <f>"000268717 - RICH FOODS-FOODBUY"</f>
        <v>000268717 - RICH FOODS-FOODBUY</v>
      </c>
      <c r="C21078" t="s">
        <v>237</v>
      </c>
      <c r="D21078" s="1" t="str">
        <f t="shared" si="568"/>
        <v>PRG-1047708</v>
      </c>
      <c r="E21078" t="s">
        <v>147</v>
      </c>
      <c r="F21078" t="s">
        <v>4</v>
      </c>
      <c r="G21078" t="str">
        <f>""</f>
        <v/>
      </c>
    </row>
    <row r="21079" spans="1:7" x14ac:dyDescent="0.25">
      <c r="A21079" t="s">
        <v>8</v>
      </c>
      <c r="B21079" s="1" t="str">
        <f>"000269794 - RICH FOODS-FOODBUY"</f>
        <v>000269794 - RICH FOODS-FOODBUY</v>
      </c>
      <c r="C21079" t="s">
        <v>237</v>
      </c>
      <c r="D21079" s="1" t="str">
        <f t="shared" si="568"/>
        <v>PRG-1047708</v>
      </c>
      <c r="E21079" t="s">
        <v>147</v>
      </c>
      <c r="F21079" t="s">
        <v>4</v>
      </c>
      <c r="G21079" t="str">
        <f>""</f>
        <v/>
      </c>
    </row>
    <row r="21080" spans="1:7" x14ac:dyDescent="0.25">
      <c r="A21080" t="s">
        <v>8</v>
      </c>
      <c r="B21080" s="1" t="str">
        <f>"000269824 - RICH FOODS PRGM 1-FOODBUY"</f>
        <v>000269824 - RICH FOODS PRGM 1-FOODBUY</v>
      </c>
      <c r="C21080" t="s">
        <v>592</v>
      </c>
      <c r="D21080" s="1" t="str">
        <f t="shared" si="568"/>
        <v>PRG-1047708</v>
      </c>
      <c r="E21080" t="s">
        <v>147</v>
      </c>
      <c r="F21080" t="s">
        <v>4</v>
      </c>
      <c r="G21080" t="str">
        <f>""</f>
        <v/>
      </c>
    </row>
    <row r="21081" spans="1:7" x14ac:dyDescent="0.25">
      <c r="A21081" t="s">
        <v>8</v>
      </c>
      <c r="B21081" s="1" t="str">
        <f>"000271822 - RICH FDS-HOUSLERS (CSM FOODBUY"</f>
        <v>000271822 - RICH FDS-HOUSLERS (CSM FOODBUY</v>
      </c>
      <c r="C21081" t="s">
        <v>2494</v>
      </c>
      <c r="D21081" s="1" t="str">
        <f t="shared" si="568"/>
        <v>PRG-1047708</v>
      </c>
      <c r="E21081" t="s">
        <v>147</v>
      </c>
      <c r="F21081" t="s">
        <v>4</v>
      </c>
      <c r="G21081" t="str">
        <f>""</f>
        <v/>
      </c>
    </row>
    <row r="21082" spans="1:7" x14ac:dyDescent="0.25">
      <c r="A21082" t="s">
        <v>8</v>
      </c>
      <c r="B21082" s="1" t="str">
        <f>"000273153 - RICH FOODS-FOODBUY"</f>
        <v>000273153 - RICH FOODS-FOODBUY</v>
      </c>
      <c r="C21082" t="s">
        <v>237</v>
      </c>
      <c r="D21082" s="1" t="str">
        <f t="shared" si="568"/>
        <v>PRG-1047708</v>
      </c>
      <c r="E21082" t="s">
        <v>147</v>
      </c>
      <c r="F21082" t="s">
        <v>4</v>
      </c>
      <c r="G21082" t="str">
        <f>""</f>
        <v/>
      </c>
    </row>
    <row r="21083" spans="1:7" x14ac:dyDescent="0.25">
      <c r="A21083" t="s">
        <v>8</v>
      </c>
      <c r="B21083" s="1" t="str">
        <f>"000273462 - RICH FOODS-FOODBUY"</f>
        <v>000273462 - RICH FOODS-FOODBUY</v>
      </c>
      <c r="C21083" t="s">
        <v>237</v>
      </c>
      <c r="D21083" s="1" t="str">
        <f t="shared" si="568"/>
        <v>PRG-1047708</v>
      </c>
      <c r="E21083" t="s">
        <v>147</v>
      </c>
      <c r="F21083" t="s">
        <v>4</v>
      </c>
      <c r="G21083" t="str">
        <f>""</f>
        <v/>
      </c>
    </row>
    <row r="21084" spans="1:7" x14ac:dyDescent="0.25">
      <c r="A21084" t="s">
        <v>8</v>
      </c>
      <c r="B21084" s="1" t="str">
        <f>"000274568 - RICH FOODS-FOODBUY"</f>
        <v>000274568 - RICH FOODS-FOODBUY</v>
      </c>
      <c r="C21084" t="s">
        <v>237</v>
      </c>
      <c r="D21084" s="1" t="str">
        <f t="shared" si="568"/>
        <v>PRG-1047708</v>
      </c>
      <c r="E21084" t="s">
        <v>147</v>
      </c>
      <c r="F21084" t="s">
        <v>4</v>
      </c>
      <c r="G21084" t="str">
        <f>""</f>
        <v/>
      </c>
    </row>
    <row r="21085" spans="1:7" x14ac:dyDescent="0.25">
      <c r="A21085" t="s">
        <v>8</v>
      </c>
      <c r="B21085" s="1" t="str">
        <f>"000274603 - RICH FOODS-FOODBUY"</f>
        <v>000274603 - RICH FOODS-FOODBUY</v>
      </c>
      <c r="C21085" t="s">
        <v>237</v>
      </c>
      <c r="D21085" s="1" t="str">
        <f t="shared" si="568"/>
        <v>PRG-1047708</v>
      </c>
      <c r="E21085" t="s">
        <v>147</v>
      </c>
      <c r="F21085" t="s">
        <v>4</v>
      </c>
      <c r="G21085" t="str">
        <f>""</f>
        <v/>
      </c>
    </row>
    <row r="21086" spans="1:7" x14ac:dyDescent="0.25">
      <c r="A21086" t="s">
        <v>8</v>
      </c>
      <c r="B21086" s="1" t="str">
        <f>"000276921 - RICH FOODS-FOODBUY"</f>
        <v>000276921 - RICH FOODS-FOODBUY</v>
      </c>
      <c r="C21086" t="s">
        <v>237</v>
      </c>
      <c r="D21086" s="1" t="str">
        <f t="shared" si="568"/>
        <v>PRG-1047708</v>
      </c>
      <c r="E21086" t="s">
        <v>147</v>
      </c>
      <c r="F21086" t="s">
        <v>4</v>
      </c>
      <c r="G21086" t="str">
        <f>""</f>
        <v/>
      </c>
    </row>
    <row r="21087" spans="1:7" x14ac:dyDescent="0.25">
      <c r="A21087" t="s">
        <v>8</v>
      </c>
      <c r="B21087" s="1" t="str">
        <f>"000277242 - RICH FOODS PRGM 3-FOODBUY"</f>
        <v>000277242 - RICH FOODS PRGM 3-FOODBUY</v>
      </c>
      <c r="C21087" t="s">
        <v>238</v>
      </c>
      <c r="D21087" s="1" t="str">
        <f t="shared" si="568"/>
        <v>PRG-1047708</v>
      </c>
      <c r="E21087" t="s">
        <v>147</v>
      </c>
      <c r="F21087" t="s">
        <v>4</v>
      </c>
      <c r="G21087" t="str">
        <f>""</f>
        <v/>
      </c>
    </row>
    <row r="21088" spans="1:7" x14ac:dyDescent="0.25">
      <c r="A21088" t="s">
        <v>8</v>
      </c>
      <c r="B21088" s="1" t="str">
        <f>"000278028 - RICH FOODS PRGM 3-FOODBUY"</f>
        <v>000278028 - RICH FOODS PRGM 3-FOODBUY</v>
      </c>
      <c r="C21088" t="s">
        <v>238</v>
      </c>
      <c r="D21088" s="1" t="str">
        <f t="shared" si="568"/>
        <v>PRG-1047708</v>
      </c>
      <c r="E21088" t="s">
        <v>147</v>
      </c>
      <c r="F21088" t="s">
        <v>4</v>
      </c>
      <c r="G21088" t="str">
        <f>""</f>
        <v/>
      </c>
    </row>
    <row r="21089" spans="1:7" x14ac:dyDescent="0.25">
      <c r="A21089" t="s">
        <v>8</v>
      </c>
      <c r="B21089" s="1" t="str">
        <f>"000278366 - RICH FOODS-FOODBUY"</f>
        <v>000278366 - RICH FOODS-FOODBUY</v>
      </c>
      <c r="C21089" t="s">
        <v>237</v>
      </c>
      <c r="D21089" s="1" t="str">
        <f t="shared" si="568"/>
        <v>PRG-1047708</v>
      </c>
      <c r="E21089" t="s">
        <v>147</v>
      </c>
      <c r="F21089" t="s">
        <v>4</v>
      </c>
      <c r="G21089" t="str">
        <f>""</f>
        <v/>
      </c>
    </row>
    <row r="21090" spans="1:7" x14ac:dyDescent="0.25">
      <c r="A21090" t="s">
        <v>8</v>
      </c>
      <c r="B21090" s="1" t="str">
        <f>"000278777 - RICH FOODS PRGM 1-FOODBUY"</f>
        <v>000278777 - RICH FOODS PRGM 1-FOODBUY</v>
      </c>
      <c r="C21090" t="s">
        <v>592</v>
      </c>
      <c r="D21090" s="1" t="str">
        <f t="shared" si="568"/>
        <v>PRG-1047708</v>
      </c>
      <c r="E21090" t="s">
        <v>147</v>
      </c>
      <c r="F21090" t="s">
        <v>4</v>
      </c>
      <c r="G21090" t="str">
        <f>""</f>
        <v/>
      </c>
    </row>
    <row r="21091" spans="1:7" x14ac:dyDescent="0.25">
      <c r="A21091" t="s">
        <v>8</v>
      </c>
      <c r="B21091" s="1" t="str">
        <f>"000279945 - RICH FOODS-FOODBUY"</f>
        <v>000279945 - RICH FOODS-FOODBUY</v>
      </c>
      <c r="C21091" t="s">
        <v>237</v>
      </c>
      <c r="D21091" s="1" t="str">
        <f t="shared" si="568"/>
        <v>PRG-1047708</v>
      </c>
      <c r="E21091" t="s">
        <v>147</v>
      </c>
      <c r="F21091" t="s">
        <v>4</v>
      </c>
      <c r="G21091" t="str">
        <f>""</f>
        <v/>
      </c>
    </row>
    <row r="21092" spans="1:7" x14ac:dyDescent="0.25">
      <c r="A21092" t="s">
        <v>8</v>
      </c>
      <c r="B21092" s="1" t="str">
        <f>"000279957 - RICH FOODS PRGM 1-FOODBUY"</f>
        <v>000279957 - RICH FOODS PRGM 1-FOODBUY</v>
      </c>
      <c r="C21092" t="s">
        <v>592</v>
      </c>
      <c r="D21092" s="1" t="str">
        <f t="shared" si="568"/>
        <v>PRG-1047708</v>
      </c>
      <c r="E21092" t="s">
        <v>147</v>
      </c>
      <c r="F21092" t="s">
        <v>4</v>
      </c>
      <c r="G21092" t="str">
        <f>""</f>
        <v/>
      </c>
    </row>
    <row r="21093" spans="1:7" x14ac:dyDescent="0.25">
      <c r="A21093" t="s">
        <v>8</v>
      </c>
      <c r="B21093" s="1" t="str">
        <f>"000282033 - RICH FOODS PRGM 3-FOODBUY"</f>
        <v>000282033 - RICH FOODS PRGM 3-FOODBUY</v>
      </c>
      <c r="C21093" t="s">
        <v>238</v>
      </c>
      <c r="D21093" s="1" t="str">
        <f t="shared" si="568"/>
        <v>PRG-1047708</v>
      </c>
      <c r="E21093" t="s">
        <v>147</v>
      </c>
      <c r="F21093" t="s">
        <v>4</v>
      </c>
      <c r="G21093" t="str">
        <f>""</f>
        <v/>
      </c>
    </row>
    <row r="21094" spans="1:7" x14ac:dyDescent="0.25">
      <c r="A21094" t="s">
        <v>8</v>
      </c>
      <c r="B21094" s="1" t="str">
        <f>"000282306 - RICH FOODS PRGM 3-FOODBUY"</f>
        <v>000282306 - RICH FOODS PRGM 3-FOODBUY</v>
      </c>
      <c r="C21094" t="s">
        <v>238</v>
      </c>
      <c r="D21094" s="1" t="str">
        <f t="shared" si="568"/>
        <v>PRG-1047708</v>
      </c>
      <c r="E21094" t="s">
        <v>147</v>
      </c>
      <c r="F21094" t="s">
        <v>4</v>
      </c>
      <c r="G21094" t="str">
        <f>""</f>
        <v/>
      </c>
    </row>
    <row r="21095" spans="1:7" x14ac:dyDescent="0.25">
      <c r="A21095" t="s">
        <v>8</v>
      </c>
      <c r="B21095" s="1" t="str">
        <f>"000283702 - RICH FOODS PRGM 1-FOODBUY"</f>
        <v>000283702 - RICH FOODS PRGM 1-FOODBUY</v>
      </c>
      <c r="C21095" t="s">
        <v>592</v>
      </c>
      <c r="D21095" s="1" t="str">
        <f t="shared" si="568"/>
        <v>PRG-1047708</v>
      </c>
      <c r="E21095" t="s">
        <v>147</v>
      </c>
      <c r="F21095" t="s">
        <v>4</v>
      </c>
      <c r="G21095" t="str">
        <f>""</f>
        <v/>
      </c>
    </row>
    <row r="21096" spans="1:7" x14ac:dyDescent="0.25">
      <c r="A21096" t="s">
        <v>8</v>
      </c>
      <c r="B21096" s="1" t="str">
        <f>"000284289 - RICH FOODS PRGM 1-FOODBUY"</f>
        <v>000284289 - RICH FOODS PRGM 1-FOODBUY</v>
      </c>
      <c r="C21096" t="s">
        <v>592</v>
      </c>
      <c r="D21096" s="1" t="str">
        <f t="shared" si="568"/>
        <v>PRG-1047708</v>
      </c>
      <c r="E21096" t="s">
        <v>147</v>
      </c>
      <c r="F21096" t="s">
        <v>4</v>
      </c>
      <c r="G21096" t="str">
        <f>""</f>
        <v/>
      </c>
    </row>
    <row r="21097" spans="1:7" x14ac:dyDescent="0.25">
      <c r="A21097" t="s">
        <v>8</v>
      </c>
      <c r="B21097" s="1" t="str">
        <f>"000288474 - RICH FOODS-FOODBUY"</f>
        <v>000288474 - RICH FOODS-FOODBUY</v>
      </c>
      <c r="C21097" t="s">
        <v>237</v>
      </c>
      <c r="D21097" s="1" t="str">
        <f t="shared" si="568"/>
        <v>PRG-1047708</v>
      </c>
      <c r="E21097" t="s">
        <v>147</v>
      </c>
      <c r="F21097" t="s">
        <v>4</v>
      </c>
      <c r="G21097" t="str">
        <f>""</f>
        <v/>
      </c>
    </row>
    <row r="21098" spans="1:7" x14ac:dyDescent="0.25">
      <c r="A21098" t="s">
        <v>8</v>
      </c>
      <c r="B21098" s="1" t="str">
        <f>"000289633 - RICH FOODS-FOODBUY"</f>
        <v>000289633 - RICH FOODS-FOODBUY</v>
      </c>
      <c r="C21098" t="s">
        <v>237</v>
      </c>
      <c r="D21098" s="1" t="str">
        <f t="shared" si="568"/>
        <v>PRG-1047708</v>
      </c>
      <c r="E21098" t="s">
        <v>147</v>
      </c>
      <c r="F21098" t="s">
        <v>4</v>
      </c>
      <c r="G21098" t="str">
        <f>""</f>
        <v/>
      </c>
    </row>
    <row r="21099" spans="1:7" x14ac:dyDescent="0.25">
      <c r="A21099" t="s">
        <v>8</v>
      </c>
      <c r="B21099" s="1" t="str">
        <f>"000291287 - RICH FOODS-FOODBUY"</f>
        <v>000291287 - RICH FOODS-FOODBUY</v>
      </c>
      <c r="C21099" t="s">
        <v>237</v>
      </c>
      <c r="D21099" s="1" t="str">
        <f t="shared" si="568"/>
        <v>PRG-1047708</v>
      </c>
      <c r="E21099" t="s">
        <v>147</v>
      </c>
      <c r="F21099" t="s">
        <v>4</v>
      </c>
      <c r="G21099" t="str">
        <f>""</f>
        <v/>
      </c>
    </row>
    <row r="21100" spans="1:7" x14ac:dyDescent="0.25">
      <c r="A21100" t="s">
        <v>8</v>
      </c>
      <c r="B21100" s="1" t="str">
        <f>"000291755 - RICH FOODS-FOODBUY"</f>
        <v>000291755 - RICH FOODS-FOODBUY</v>
      </c>
      <c r="C21100" t="s">
        <v>237</v>
      </c>
      <c r="D21100" s="1" t="str">
        <f t="shared" si="568"/>
        <v>PRG-1047708</v>
      </c>
      <c r="E21100" t="s">
        <v>147</v>
      </c>
      <c r="F21100" t="s">
        <v>4</v>
      </c>
      <c r="G21100" t="str">
        <f>""</f>
        <v/>
      </c>
    </row>
    <row r="21101" spans="1:7" x14ac:dyDescent="0.25">
      <c r="A21101" t="s">
        <v>8</v>
      </c>
      <c r="B21101" s="1" t="str">
        <f>"000292692 - RICH FOODS-FOODBUY"</f>
        <v>000292692 - RICH FOODS-FOODBUY</v>
      </c>
      <c r="C21101" t="s">
        <v>237</v>
      </c>
      <c r="D21101" s="1" t="str">
        <f t="shared" si="568"/>
        <v>PRG-1047708</v>
      </c>
      <c r="E21101" t="s">
        <v>147</v>
      </c>
      <c r="F21101" t="s">
        <v>4</v>
      </c>
      <c r="G21101" t="str">
        <f>""</f>
        <v/>
      </c>
    </row>
    <row r="21102" spans="1:7" x14ac:dyDescent="0.25">
      <c r="A21102" t="s">
        <v>8</v>
      </c>
      <c r="B21102" s="1" t="str">
        <f>"000292955 - RICH FOODS-FOODBUY"</f>
        <v>000292955 - RICH FOODS-FOODBUY</v>
      </c>
      <c r="C21102" t="s">
        <v>237</v>
      </c>
      <c r="D21102" s="1" t="str">
        <f t="shared" si="568"/>
        <v>PRG-1047708</v>
      </c>
      <c r="E21102" t="s">
        <v>147</v>
      </c>
      <c r="F21102" t="s">
        <v>4</v>
      </c>
      <c r="G21102" t="str">
        <f>""</f>
        <v/>
      </c>
    </row>
    <row r="21103" spans="1:7" x14ac:dyDescent="0.25">
      <c r="A21103" t="s">
        <v>8</v>
      </c>
      <c r="B21103" s="1" t="str">
        <f>"000294163 - RICH FOODS PRGM 1-FOODBUY"</f>
        <v>000294163 - RICH FOODS PRGM 1-FOODBUY</v>
      </c>
      <c r="C21103" t="s">
        <v>592</v>
      </c>
      <c r="D21103" s="1" t="str">
        <f t="shared" si="568"/>
        <v>PRG-1047708</v>
      </c>
      <c r="E21103" t="s">
        <v>147</v>
      </c>
      <c r="F21103" t="s">
        <v>4</v>
      </c>
      <c r="G21103" t="str">
        <f>""</f>
        <v/>
      </c>
    </row>
    <row r="21104" spans="1:7" x14ac:dyDescent="0.25">
      <c r="A21104" t="s">
        <v>8</v>
      </c>
      <c r="B21104" s="1" t="str">
        <f>"000294523 - RICH FOODS-FOODBUY"</f>
        <v>000294523 - RICH FOODS-FOODBUY</v>
      </c>
      <c r="C21104" t="s">
        <v>237</v>
      </c>
      <c r="D21104" s="1" t="str">
        <f t="shared" si="568"/>
        <v>PRG-1047708</v>
      </c>
      <c r="E21104" t="s">
        <v>147</v>
      </c>
      <c r="F21104" t="s">
        <v>4</v>
      </c>
      <c r="G21104" t="str">
        <f>""</f>
        <v/>
      </c>
    </row>
    <row r="21105" spans="1:7" x14ac:dyDescent="0.25">
      <c r="A21105" t="s">
        <v>8</v>
      </c>
      <c r="B21105" s="1" t="str">
        <f>"000295865 - RICH FOODS PRGM 3-FOODBUY"</f>
        <v>000295865 - RICH FOODS PRGM 3-FOODBUY</v>
      </c>
      <c r="C21105" t="s">
        <v>238</v>
      </c>
      <c r="D21105" s="1" t="str">
        <f t="shared" si="568"/>
        <v>PRG-1047708</v>
      </c>
      <c r="E21105" t="s">
        <v>147</v>
      </c>
      <c r="F21105" t="s">
        <v>4</v>
      </c>
      <c r="G21105" t="str">
        <f>""</f>
        <v/>
      </c>
    </row>
    <row r="21106" spans="1:7" x14ac:dyDescent="0.25">
      <c r="A21106" t="s">
        <v>8</v>
      </c>
      <c r="B21106" s="1" t="str">
        <f>"000296449 - RICH FOODS-FOODBUY"</f>
        <v>000296449 - RICH FOODS-FOODBUY</v>
      </c>
      <c r="C21106" t="s">
        <v>237</v>
      </c>
      <c r="D21106" s="1" t="str">
        <f t="shared" si="568"/>
        <v>PRG-1047708</v>
      </c>
      <c r="E21106" t="s">
        <v>147</v>
      </c>
      <c r="F21106" t="s">
        <v>4</v>
      </c>
      <c r="G21106" t="str">
        <f>""</f>
        <v/>
      </c>
    </row>
    <row r="21107" spans="1:7" x14ac:dyDescent="0.25">
      <c r="A21107" t="s">
        <v>8</v>
      </c>
      <c r="B21107" s="1" t="str">
        <f>"000297442 - RICH FOODS PRGM 1-FOODBUY"</f>
        <v>000297442 - RICH FOODS PRGM 1-FOODBUY</v>
      </c>
      <c r="C21107" t="s">
        <v>592</v>
      </c>
      <c r="D21107" s="1" t="str">
        <f t="shared" si="568"/>
        <v>PRG-1047708</v>
      </c>
      <c r="E21107" t="s">
        <v>147</v>
      </c>
      <c r="F21107" t="s">
        <v>4</v>
      </c>
      <c r="G21107" t="str">
        <f>""</f>
        <v/>
      </c>
    </row>
    <row r="21108" spans="1:7" x14ac:dyDescent="0.25">
      <c r="A21108" t="s">
        <v>8</v>
      </c>
      <c r="B21108" s="1" t="str">
        <f>"000297777 - RICH FOODS-FOODBUY"</f>
        <v>000297777 - RICH FOODS-FOODBUY</v>
      </c>
      <c r="C21108" t="s">
        <v>237</v>
      </c>
      <c r="D21108" s="1" t="str">
        <f t="shared" si="568"/>
        <v>PRG-1047708</v>
      </c>
      <c r="E21108" t="s">
        <v>147</v>
      </c>
      <c r="F21108" t="s">
        <v>4</v>
      </c>
      <c r="G21108" t="str">
        <f>""</f>
        <v/>
      </c>
    </row>
    <row r="21109" spans="1:7" x14ac:dyDescent="0.25">
      <c r="A21109" t="s">
        <v>8</v>
      </c>
      <c r="B21109" s="1" t="str">
        <f>"000298059 - RICH FOODS PRGM 1-FOODBUY"</f>
        <v>000298059 - RICH FOODS PRGM 1-FOODBUY</v>
      </c>
      <c r="C21109" t="s">
        <v>592</v>
      </c>
      <c r="D21109" s="1" t="str">
        <f t="shared" si="568"/>
        <v>PRG-1047708</v>
      </c>
      <c r="E21109" t="s">
        <v>147</v>
      </c>
      <c r="F21109" t="s">
        <v>4</v>
      </c>
      <c r="G21109" t="str">
        <f>""</f>
        <v/>
      </c>
    </row>
    <row r="21110" spans="1:7" x14ac:dyDescent="0.25">
      <c r="A21110" t="s">
        <v>8</v>
      </c>
      <c r="B21110" s="1" t="str">
        <f>"000299044 - RICH FOODS-FOODBUY"</f>
        <v>000299044 - RICH FOODS-FOODBUY</v>
      </c>
      <c r="C21110" t="s">
        <v>237</v>
      </c>
      <c r="D21110" s="1" t="str">
        <f t="shared" si="568"/>
        <v>PRG-1047708</v>
      </c>
      <c r="E21110" t="s">
        <v>147</v>
      </c>
      <c r="F21110" t="s">
        <v>4</v>
      </c>
      <c r="G21110" t="str">
        <f>""</f>
        <v/>
      </c>
    </row>
    <row r="21111" spans="1:7" x14ac:dyDescent="0.25">
      <c r="A21111" t="s">
        <v>8</v>
      </c>
      <c r="B21111" s="1" t="str">
        <f>"000299081 - RICH FOODS PRGM 3-FOODBUY"</f>
        <v>000299081 - RICH FOODS PRGM 3-FOODBUY</v>
      </c>
      <c r="C21111" t="s">
        <v>238</v>
      </c>
      <c r="D21111" s="1" t="str">
        <f t="shared" si="568"/>
        <v>PRG-1047708</v>
      </c>
      <c r="E21111" t="s">
        <v>147</v>
      </c>
      <c r="F21111" t="s">
        <v>4</v>
      </c>
      <c r="G21111" t="str">
        <f>""</f>
        <v/>
      </c>
    </row>
    <row r="21112" spans="1:7" x14ac:dyDescent="0.25">
      <c r="A21112" t="s">
        <v>8</v>
      </c>
      <c r="B21112" s="1" t="str">
        <f>"000299999 - RICH FOODS-FOODBUY"</f>
        <v>000299999 - RICH FOODS-FOODBUY</v>
      </c>
      <c r="C21112" t="s">
        <v>237</v>
      </c>
      <c r="D21112" s="1" t="str">
        <f t="shared" si="568"/>
        <v>PRG-1047708</v>
      </c>
      <c r="E21112" t="s">
        <v>147</v>
      </c>
      <c r="F21112" t="s">
        <v>4</v>
      </c>
      <c r="G21112" t="str">
        <f>""</f>
        <v/>
      </c>
    </row>
    <row r="21113" spans="1:7" x14ac:dyDescent="0.25">
      <c r="A21113" t="s">
        <v>8</v>
      </c>
      <c r="B21113" s="1" t="str">
        <f>"000300437 - RICH FOODS-FOODBUY"</f>
        <v>000300437 - RICH FOODS-FOODBUY</v>
      </c>
      <c r="C21113" t="s">
        <v>237</v>
      </c>
      <c r="D21113" s="1" t="str">
        <f t="shared" si="568"/>
        <v>PRG-1047708</v>
      </c>
      <c r="E21113" t="s">
        <v>147</v>
      </c>
      <c r="F21113" t="s">
        <v>4</v>
      </c>
      <c r="G21113" t="str">
        <f>""</f>
        <v/>
      </c>
    </row>
    <row r="21114" spans="1:7" x14ac:dyDescent="0.25">
      <c r="A21114" t="s">
        <v>8</v>
      </c>
      <c r="B21114" s="1" t="str">
        <f>"000301224 - RICH FOODS-FOODBUY"</f>
        <v>000301224 - RICH FOODS-FOODBUY</v>
      </c>
      <c r="C21114" t="s">
        <v>237</v>
      </c>
      <c r="D21114" s="1" t="str">
        <f t="shared" si="568"/>
        <v>PRG-1047708</v>
      </c>
      <c r="E21114" t="s">
        <v>147</v>
      </c>
      <c r="F21114" t="s">
        <v>4</v>
      </c>
      <c r="G21114" t="str">
        <f>""</f>
        <v/>
      </c>
    </row>
    <row r="21115" spans="1:7" x14ac:dyDescent="0.25">
      <c r="A21115" t="s">
        <v>8</v>
      </c>
      <c r="B21115" s="1" t="str">
        <f>"000303113 - RICH FOODS PRGM 1-FOODBUY"</f>
        <v>000303113 - RICH FOODS PRGM 1-FOODBUY</v>
      </c>
      <c r="C21115" t="s">
        <v>592</v>
      </c>
      <c r="D21115" s="1" t="str">
        <f t="shared" si="568"/>
        <v>PRG-1047708</v>
      </c>
      <c r="E21115" t="s">
        <v>147</v>
      </c>
      <c r="F21115" t="s">
        <v>4</v>
      </c>
      <c r="G21115" t="str">
        <f>""</f>
        <v/>
      </c>
    </row>
    <row r="21116" spans="1:7" x14ac:dyDescent="0.25">
      <c r="A21116" t="s">
        <v>8</v>
      </c>
      <c r="B21116" s="1" t="str">
        <f>"000303806 - RICH FOODS-FOODBUY"</f>
        <v>000303806 - RICH FOODS-FOODBUY</v>
      </c>
      <c r="C21116" t="s">
        <v>237</v>
      </c>
      <c r="D21116" s="1" t="str">
        <f t="shared" si="568"/>
        <v>PRG-1047708</v>
      </c>
      <c r="E21116" t="s">
        <v>147</v>
      </c>
      <c r="F21116" t="s">
        <v>4</v>
      </c>
      <c r="G21116" t="str">
        <f>""</f>
        <v/>
      </c>
    </row>
    <row r="21117" spans="1:7" x14ac:dyDescent="0.25">
      <c r="A21117" t="s">
        <v>8</v>
      </c>
      <c r="B21117" s="1" t="str">
        <f>"000304307 - RICH FOODS PRGM 3-FOODBUY"</f>
        <v>000304307 - RICH FOODS PRGM 3-FOODBUY</v>
      </c>
      <c r="C21117" t="s">
        <v>238</v>
      </c>
      <c r="D21117" s="1" t="str">
        <f t="shared" si="568"/>
        <v>PRG-1047708</v>
      </c>
      <c r="E21117" t="s">
        <v>147</v>
      </c>
      <c r="F21117" t="s">
        <v>4</v>
      </c>
      <c r="G21117" t="str">
        <f>""</f>
        <v/>
      </c>
    </row>
    <row r="21118" spans="1:7" x14ac:dyDescent="0.25">
      <c r="A21118" t="s">
        <v>8</v>
      </c>
      <c r="B21118" s="1" t="str">
        <f>"000304857 - RICH FOODS-FOODBUY"</f>
        <v>000304857 - RICH FOODS-FOODBUY</v>
      </c>
      <c r="C21118" t="s">
        <v>237</v>
      </c>
      <c r="D21118" s="1" t="str">
        <f t="shared" si="568"/>
        <v>PRG-1047708</v>
      </c>
      <c r="E21118" t="s">
        <v>147</v>
      </c>
      <c r="F21118" t="s">
        <v>4</v>
      </c>
      <c r="G21118" t="str">
        <f>""</f>
        <v/>
      </c>
    </row>
    <row r="21119" spans="1:7" x14ac:dyDescent="0.25">
      <c r="A21119" t="s">
        <v>8</v>
      </c>
      <c r="B21119" s="1" t="str">
        <f>"000305158 - RICH FOODS-FOODBUY"</f>
        <v>000305158 - RICH FOODS-FOODBUY</v>
      </c>
      <c r="C21119" t="s">
        <v>237</v>
      </c>
      <c r="D21119" s="1" t="str">
        <f t="shared" si="568"/>
        <v>PRG-1047708</v>
      </c>
      <c r="E21119" t="s">
        <v>147</v>
      </c>
      <c r="F21119" t="s">
        <v>4</v>
      </c>
      <c r="G21119" t="str">
        <f>""</f>
        <v/>
      </c>
    </row>
    <row r="21120" spans="1:7" x14ac:dyDescent="0.25">
      <c r="A21120" t="s">
        <v>8</v>
      </c>
      <c r="B21120" s="1" t="str">
        <f>"000306124 - RICH FOODS PRGM 1-FOODBUY"</f>
        <v>000306124 - RICH FOODS PRGM 1-FOODBUY</v>
      </c>
      <c r="C21120" t="s">
        <v>592</v>
      </c>
      <c r="D21120" s="1" t="str">
        <f t="shared" si="568"/>
        <v>PRG-1047708</v>
      </c>
      <c r="E21120" t="s">
        <v>147</v>
      </c>
      <c r="F21120" t="s">
        <v>4</v>
      </c>
      <c r="G21120" t="str">
        <f>""</f>
        <v/>
      </c>
    </row>
    <row r="21121" spans="1:7" x14ac:dyDescent="0.25">
      <c r="A21121" t="s">
        <v>8</v>
      </c>
      <c r="B21121" s="1" t="str">
        <f>"000306389 - RICH FOODS-FOODBUY"</f>
        <v>000306389 - RICH FOODS-FOODBUY</v>
      </c>
      <c r="C21121" t="s">
        <v>237</v>
      </c>
      <c r="D21121" s="1" t="str">
        <f t="shared" si="568"/>
        <v>PRG-1047708</v>
      </c>
      <c r="E21121" t="s">
        <v>147</v>
      </c>
      <c r="F21121" t="s">
        <v>4</v>
      </c>
      <c r="G21121" t="str">
        <f>""</f>
        <v/>
      </c>
    </row>
    <row r="21122" spans="1:7" x14ac:dyDescent="0.25">
      <c r="A21122" t="s">
        <v>8</v>
      </c>
      <c r="B21122" s="1" t="str">
        <f>"000310285 - RICH FOODS-FOODBUY"</f>
        <v>000310285 - RICH FOODS-FOODBUY</v>
      </c>
      <c r="C21122" t="s">
        <v>237</v>
      </c>
      <c r="D21122" s="1" t="str">
        <f t="shared" si="568"/>
        <v>PRG-1047708</v>
      </c>
      <c r="E21122" t="s">
        <v>147</v>
      </c>
      <c r="F21122" t="s">
        <v>4</v>
      </c>
      <c r="G21122" t="str">
        <f>""</f>
        <v/>
      </c>
    </row>
    <row r="21123" spans="1:7" x14ac:dyDescent="0.25">
      <c r="A21123" t="s">
        <v>8</v>
      </c>
      <c r="B21123" s="1" t="str">
        <f>"000310425 - RICH FOODS PRGM 3-FOODBUY"</f>
        <v>000310425 - RICH FOODS PRGM 3-FOODBUY</v>
      </c>
      <c r="C21123" t="s">
        <v>238</v>
      </c>
      <c r="D21123" s="1" t="str">
        <f t="shared" si="568"/>
        <v>PRG-1047708</v>
      </c>
      <c r="E21123" t="s">
        <v>147</v>
      </c>
      <c r="F21123" t="s">
        <v>4</v>
      </c>
      <c r="G21123" t="str">
        <f>""</f>
        <v/>
      </c>
    </row>
    <row r="21124" spans="1:7" x14ac:dyDescent="0.25">
      <c r="A21124" t="s">
        <v>8</v>
      </c>
      <c r="B21124" s="1" t="str">
        <f>"000310670 - RICH FOODS PRGM 1-FOODBUY"</f>
        <v>000310670 - RICH FOODS PRGM 1-FOODBUY</v>
      </c>
      <c r="C21124" t="s">
        <v>592</v>
      </c>
      <c r="D21124" s="1" t="str">
        <f t="shared" si="568"/>
        <v>PRG-1047708</v>
      </c>
      <c r="E21124" t="s">
        <v>147</v>
      </c>
      <c r="F21124" t="s">
        <v>4</v>
      </c>
      <c r="G21124" t="str">
        <f>""</f>
        <v/>
      </c>
    </row>
    <row r="21125" spans="1:7" x14ac:dyDescent="0.25">
      <c r="A21125" t="s">
        <v>8</v>
      </c>
      <c r="B21125" s="1" t="str">
        <f>"000311534 - RICH FOODS-FOODBUY"</f>
        <v>000311534 - RICH FOODS-FOODBUY</v>
      </c>
      <c r="C21125" t="s">
        <v>237</v>
      </c>
      <c r="D21125" s="1" t="str">
        <f t="shared" si="568"/>
        <v>PRG-1047708</v>
      </c>
      <c r="E21125" t="s">
        <v>147</v>
      </c>
      <c r="F21125" t="s">
        <v>4</v>
      </c>
      <c r="G21125" t="str">
        <f>""</f>
        <v/>
      </c>
    </row>
    <row r="21126" spans="1:7" x14ac:dyDescent="0.25">
      <c r="A21126" t="s">
        <v>8</v>
      </c>
      <c r="B21126" s="1" t="str">
        <f>"000313845 - RICH FOODS-FOODBUY"</f>
        <v>000313845 - RICH FOODS-FOODBUY</v>
      </c>
      <c r="C21126" t="s">
        <v>237</v>
      </c>
      <c r="D21126" s="1" t="str">
        <f t="shared" si="568"/>
        <v>PRG-1047708</v>
      </c>
      <c r="E21126" t="s">
        <v>147</v>
      </c>
      <c r="F21126" t="s">
        <v>4</v>
      </c>
      <c r="G21126" t="str">
        <f>""</f>
        <v/>
      </c>
    </row>
    <row r="21127" spans="1:7" x14ac:dyDescent="0.25">
      <c r="A21127" t="s">
        <v>8</v>
      </c>
      <c r="B21127" s="1" t="str">
        <f>"000314160 - RICH FOODS-FOODBUY"</f>
        <v>000314160 - RICH FOODS-FOODBUY</v>
      </c>
      <c r="C21127" t="s">
        <v>237</v>
      </c>
      <c r="D21127" s="1" t="str">
        <f t="shared" si="568"/>
        <v>PRG-1047708</v>
      </c>
      <c r="E21127" t="s">
        <v>147</v>
      </c>
      <c r="F21127" t="s">
        <v>4</v>
      </c>
      <c r="G21127" t="str">
        <f>""</f>
        <v/>
      </c>
    </row>
    <row r="21128" spans="1:7" x14ac:dyDescent="0.25">
      <c r="A21128" t="s">
        <v>8</v>
      </c>
      <c r="B21128" s="1" t="str">
        <f>"000315238 - RICH FOODS-FOODBUY"</f>
        <v>000315238 - RICH FOODS-FOODBUY</v>
      </c>
      <c r="C21128" t="s">
        <v>237</v>
      </c>
      <c r="D21128" s="1" t="str">
        <f t="shared" si="568"/>
        <v>PRG-1047708</v>
      </c>
      <c r="E21128" t="s">
        <v>147</v>
      </c>
      <c r="F21128" t="s">
        <v>4</v>
      </c>
      <c r="G21128" t="str">
        <f>""</f>
        <v/>
      </c>
    </row>
    <row r="21129" spans="1:7" x14ac:dyDescent="0.25">
      <c r="A21129" t="s">
        <v>8</v>
      </c>
      <c r="B21129" s="1" t="str">
        <f>"000315396 - RICH FOODS-FOODBUY"</f>
        <v>000315396 - RICH FOODS-FOODBUY</v>
      </c>
      <c r="C21129" t="s">
        <v>237</v>
      </c>
      <c r="D21129" s="1" t="str">
        <f t="shared" si="568"/>
        <v>PRG-1047708</v>
      </c>
      <c r="E21129" t="s">
        <v>147</v>
      </c>
      <c r="F21129" t="s">
        <v>4</v>
      </c>
      <c r="G21129" t="str">
        <f>""</f>
        <v/>
      </c>
    </row>
    <row r="21130" spans="1:7" x14ac:dyDescent="0.25">
      <c r="A21130" t="s">
        <v>8</v>
      </c>
      <c r="B21130" s="1" t="str">
        <f>"000316697 - RICH FOODS PRGM 1-FOODBUY"</f>
        <v>000316697 - RICH FOODS PRGM 1-FOODBUY</v>
      </c>
      <c r="C21130" t="s">
        <v>592</v>
      </c>
      <c r="D21130" s="1" t="str">
        <f t="shared" si="568"/>
        <v>PRG-1047708</v>
      </c>
      <c r="E21130" t="s">
        <v>147</v>
      </c>
      <c r="F21130" t="s">
        <v>4</v>
      </c>
      <c r="G21130" t="str">
        <f>""</f>
        <v/>
      </c>
    </row>
    <row r="21131" spans="1:7" x14ac:dyDescent="0.25">
      <c r="A21131" t="s">
        <v>8</v>
      </c>
      <c r="B21131" s="1" t="str">
        <f>"000318874 - RICH FOODS-FOODBUY"</f>
        <v>000318874 - RICH FOODS-FOODBUY</v>
      </c>
      <c r="C21131" t="s">
        <v>237</v>
      </c>
      <c r="D21131" s="1" t="str">
        <f t="shared" si="568"/>
        <v>PRG-1047708</v>
      </c>
      <c r="E21131" t="s">
        <v>147</v>
      </c>
      <c r="F21131" t="s">
        <v>4</v>
      </c>
      <c r="G21131" t="str">
        <f>""</f>
        <v/>
      </c>
    </row>
    <row r="21132" spans="1:7" x14ac:dyDescent="0.25">
      <c r="A21132" t="s">
        <v>8</v>
      </c>
      <c r="B21132" s="1" t="str">
        <f>"000320062 - RICH FOODS PRGM 1-FOODBUY"</f>
        <v>000320062 - RICH FOODS PRGM 1-FOODBUY</v>
      </c>
      <c r="C21132" t="s">
        <v>592</v>
      </c>
      <c r="D21132" s="1" t="str">
        <f t="shared" si="568"/>
        <v>PRG-1047708</v>
      </c>
      <c r="E21132" t="s">
        <v>147</v>
      </c>
      <c r="F21132" t="s">
        <v>4</v>
      </c>
      <c r="G21132" t="str">
        <f>""</f>
        <v/>
      </c>
    </row>
    <row r="21133" spans="1:7" x14ac:dyDescent="0.25">
      <c r="A21133" t="s">
        <v>8</v>
      </c>
      <c r="B21133" s="1" t="str">
        <f>"000320176 - RICH FOODS-FOODBUY"</f>
        <v>000320176 - RICH FOODS-FOODBUY</v>
      </c>
      <c r="C21133" t="s">
        <v>237</v>
      </c>
      <c r="D21133" s="1" t="str">
        <f t="shared" si="568"/>
        <v>PRG-1047708</v>
      </c>
      <c r="E21133" t="s">
        <v>147</v>
      </c>
      <c r="F21133" t="s">
        <v>4</v>
      </c>
      <c r="G21133" t="str">
        <f>""</f>
        <v/>
      </c>
    </row>
    <row r="21134" spans="1:7" x14ac:dyDescent="0.25">
      <c r="A21134" t="s">
        <v>8</v>
      </c>
      <c r="B21134" s="1" t="str">
        <f>"000320187 - RICH FOODS-FOODBUY"</f>
        <v>000320187 - RICH FOODS-FOODBUY</v>
      </c>
      <c r="C21134" t="s">
        <v>237</v>
      </c>
      <c r="D21134" s="1" t="str">
        <f t="shared" si="568"/>
        <v>PRG-1047708</v>
      </c>
      <c r="E21134" t="s">
        <v>147</v>
      </c>
      <c r="F21134" t="s">
        <v>4</v>
      </c>
      <c r="G21134" t="str">
        <f>""</f>
        <v/>
      </c>
    </row>
    <row r="21135" spans="1:7" x14ac:dyDescent="0.25">
      <c r="A21135" t="s">
        <v>8</v>
      </c>
      <c r="B21135" s="1" t="str">
        <f>"000320398 - RICH FOODS PRGM 1-FOODBUY"</f>
        <v>000320398 - RICH FOODS PRGM 1-FOODBUY</v>
      </c>
      <c r="C21135" t="s">
        <v>592</v>
      </c>
      <c r="D21135" s="1" t="str">
        <f t="shared" si="568"/>
        <v>PRG-1047708</v>
      </c>
      <c r="E21135" t="s">
        <v>147</v>
      </c>
      <c r="F21135" t="s">
        <v>4</v>
      </c>
      <c r="G21135" t="str">
        <f>""</f>
        <v/>
      </c>
    </row>
    <row r="21136" spans="1:7" x14ac:dyDescent="0.25">
      <c r="A21136" t="s">
        <v>8</v>
      </c>
      <c r="B21136" s="1" t="str">
        <f>"000320758 - RICH FOODS-FOODBUY"</f>
        <v>000320758 - RICH FOODS-FOODBUY</v>
      </c>
      <c r="C21136" t="s">
        <v>237</v>
      </c>
      <c r="D21136" s="1" t="str">
        <f t="shared" si="568"/>
        <v>PRG-1047708</v>
      </c>
      <c r="E21136" t="s">
        <v>147</v>
      </c>
      <c r="F21136" t="s">
        <v>4</v>
      </c>
      <c r="G21136" t="str">
        <f>""</f>
        <v/>
      </c>
    </row>
    <row r="21137" spans="1:7" x14ac:dyDescent="0.25">
      <c r="A21137" t="s">
        <v>8</v>
      </c>
      <c r="B21137" s="1" t="str">
        <f>"000321741 - RICH FOODS-FOODBUY"</f>
        <v>000321741 - RICH FOODS-FOODBUY</v>
      </c>
      <c r="C21137" t="s">
        <v>237</v>
      </c>
      <c r="D21137" s="1" t="str">
        <f t="shared" ref="D21137:D21200" si="569">"PRG-1047708"</f>
        <v>PRG-1047708</v>
      </c>
      <c r="E21137" t="s">
        <v>147</v>
      </c>
      <c r="F21137" t="s">
        <v>4</v>
      </c>
      <c r="G21137" t="str">
        <f>""</f>
        <v/>
      </c>
    </row>
    <row r="21138" spans="1:7" x14ac:dyDescent="0.25">
      <c r="A21138" t="s">
        <v>8</v>
      </c>
      <c r="B21138" s="1" t="str">
        <f>"000321983 - RICH FOODS-FOODBUY"</f>
        <v>000321983 - RICH FOODS-FOODBUY</v>
      </c>
      <c r="C21138" t="s">
        <v>237</v>
      </c>
      <c r="D21138" s="1" t="str">
        <f t="shared" si="569"/>
        <v>PRG-1047708</v>
      </c>
      <c r="E21138" t="s">
        <v>147</v>
      </c>
      <c r="F21138" t="s">
        <v>4</v>
      </c>
      <c r="G21138" t="str">
        <f>""</f>
        <v/>
      </c>
    </row>
    <row r="21139" spans="1:7" x14ac:dyDescent="0.25">
      <c r="A21139" t="s">
        <v>8</v>
      </c>
      <c r="B21139" s="1" t="str">
        <f>"000322037 - RICH FOODS-FOODBUY"</f>
        <v>000322037 - RICH FOODS-FOODBUY</v>
      </c>
      <c r="C21139" t="s">
        <v>237</v>
      </c>
      <c r="D21139" s="1" t="str">
        <f t="shared" si="569"/>
        <v>PRG-1047708</v>
      </c>
      <c r="E21139" t="s">
        <v>147</v>
      </c>
      <c r="F21139" t="s">
        <v>4</v>
      </c>
      <c r="G21139" t="str">
        <f>""</f>
        <v/>
      </c>
    </row>
    <row r="21140" spans="1:7" x14ac:dyDescent="0.25">
      <c r="A21140" t="s">
        <v>8</v>
      </c>
      <c r="B21140" s="1" t="str">
        <f>"000322689 - RICH FOODS-FOODBUY"</f>
        <v>000322689 - RICH FOODS-FOODBUY</v>
      </c>
      <c r="C21140" t="s">
        <v>237</v>
      </c>
      <c r="D21140" s="1" t="str">
        <f t="shared" si="569"/>
        <v>PRG-1047708</v>
      </c>
      <c r="E21140" t="s">
        <v>147</v>
      </c>
      <c r="F21140" t="s">
        <v>4</v>
      </c>
      <c r="G21140" t="str">
        <f>""</f>
        <v/>
      </c>
    </row>
    <row r="21141" spans="1:7" x14ac:dyDescent="0.25">
      <c r="A21141" t="s">
        <v>8</v>
      </c>
      <c r="B21141" s="1" t="str">
        <f>"000323860 - RICH FOODS-FOODBUY"</f>
        <v>000323860 - RICH FOODS-FOODBUY</v>
      </c>
      <c r="C21141" t="s">
        <v>237</v>
      </c>
      <c r="D21141" s="1" t="str">
        <f t="shared" si="569"/>
        <v>PRG-1047708</v>
      </c>
      <c r="E21141" t="s">
        <v>147</v>
      </c>
      <c r="F21141" t="s">
        <v>4</v>
      </c>
      <c r="G21141" t="str">
        <f>""</f>
        <v/>
      </c>
    </row>
    <row r="21142" spans="1:7" x14ac:dyDescent="0.25">
      <c r="A21142" t="s">
        <v>8</v>
      </c>
      <c r="B21142" s="1" t="str">
        <f>"000323889 - RICH FOODS-FOODBUY"</f>
        <v>000323889 - RICH FOODS-FOODBUY</v>
      </c>
      <c r="C21142" t="s">
        <v>237</v>
      </c>
      <c r="D21142" s="1" t="str">
        <f t="shared" si="569"/>
        <v>PRG-1047708</v>
      </c>
      <c r="E21142" t="s">
        <v>147</v>
      </c>
      <c r="F21142" t="s">
        <v>4</v>
      </c>
      <c r="G21142" t="str">
        <f>""</f>
        <v/>
      </c>
    </row>
    <row r="21143" spans="1:7" x14ac:dyDescent="0.25">
      <c r="A21143" t="s">
        <v>8</v>
      </c>
      <c r="B21143" s="1" t="str">
        <f>"000323978 - RICH FOODS-FOODBUY"</f>
        <v>000323978 - RICH FOODS-FOODBUY</v>
      </c>
      <c r="C21143" t="s">
        <v>237</v>
      </c>
      <c r="D21143" s="1" t="str">
        <f t="shared" si="569"/>
        <v>PRG-1047708</v>
      </c>
      <c r="E21143" t="s">
        <v>147</v>
      </c>
      <c r="F21143" t="s">
        <v>4</v>
      </c>
      <c r="G21143" t="str">
        <f>""</f>
        <v/>
      </c>
    </row>
    <row r="21144" spans="1:7" x14ac:dyDescent="0.25">
      <c r="A21144" t="s">
        <v>8</v>
      </c>
      <c r="B21144" s="1" t="str">
        <f>"000325125 - RICH FOODS PRGM 1-FOODBUY"</f>
        <v>000325125 - RICH FOODS PRGM 1-FOODBUY</v>
      </c>
      <c r="C21144" t="s">
        <v>592</v>
      </c>
      <c r="D21144" s="1" t="str">
        <f t="shared" si="569"/>
        <v>PRG-1047708</v>
      </c>
      <c r="E21144" t="s">
        <v>147</v>
      </c>
      <c r="F21144" t="s">
        <v>4</v>
      </c>
      <c r="G21144" t="str">
        <f>""</f>
        <v/>
      </c>
    </row>
    <row r="21145" spans="1:7" x14ac:dyDescent="0.25">
      <c r="A21145" t="s">
        <v>8</v>
      </c>
      <c r="B21145" s="1" t="str">
        <f>"000325249 - RICH FOODS-FOODBUY"</f>
        <v>000325249 - RICH FOODS-FOODBUY</v>
      </c>
      <c r="C21145" t="s">
        <v>237</v>
      </c>
      <c r="D21145" s="1" t="str">
        <f t="shared" si="569"/>
        <v>PRG-1047708</v>
      </c>
      <c r="E21145" t="s">
        <v>147</v>
      </c>
      <c r="F21145" t="s">
        <v>4</v>
      </c>
      <c r="G21145" t="str">
        <f>""</f>
        <v/>
      </c>
    </row>
    <row r="21146" spans="1:7" x14ac:dyDescent="0.25">
      <c r="A21146" t="s">
        <v>8</v>
      </c>
      <c r="B21146" s="1" t="str">
        <f>"000325438 - RICH FOODS-FOODBUY"</f>
        <v>000325438 - RICH FOODS-FOODBUY</v>
      </c>
      <c r="C21146" t="s">
        <v>237</v>
      </c>
      <c r="D21146" s="1" t="str">
        <f t="shared" si="569"/>
        <v>PRG-1047708</v>
      </c>
      <c r="E21146" t="s">
        <v>147</v>
      </c>
      <c r="F21146" t="s">
        <v>4</v>
      </c>
      <c r="G21146" t="str">
        <f>""</f>
        <v/>
      </c>
    </row>
    <row r="21147" spans="1:7" x14ac:dyDescent="0.25">
      <c r="A21147" t="s">
        <v>8</v>
      </c>
      <c r="B21147" s="1" t="str">
        <f>"000325578 - RICH FOODS SEA PAK-FOODBUY"</f>
        <v>000325578 - RICH FOODS SEA PAK-FOODBUY</v>
      </c>
      <c r="C21147" t="s">
        <v>676</v>
      </c>
      <c r="D21147" s="1" t="str">
        <f t="shared" si="569"/>
        <v>PRG-1047708</v>
      </c>
      <c r="E21147" t="s">
        <v>147</v>
      </c>
      <c r="F21147" t="s">
        <v>4</v>
      </c>
      <c r="G21147" t="str">
        <f>""</f>
        <v/>
      </c>
    </row>
    <row r="21148" spans="1:7" x14ac:dyDescent="0.25">
      <c r="A21148" t="s">
        <v>8</v>
      </c>
      <c r="B21148" s="1" t="str">
        <f>"000326552 - RICH FOODS PRGM 1-FOODBUY"</f>
        <v>000326552 - RICH FOODS PRGM 1-FOODBUY</v>
      </c>
      <c r="C21148" t="s">
        <v>592</v>
      </c>
      <c r="D21148" s="1" t="str">
        <f t="shared" si="569"/>
        <v>PRG-1047708</v>
      </c>
      <c r="E21148" t="s">
        <v>147</v>
      </c>
      <c r="F21148" t="s">
        <v>4</v>
      </c>
      <c r="G21148" t="str">
        <f>""</f>
        <v/>
      </c>
    </row>
    <row r="21149" spans="1:7" x14ac:dyDescent="0.25">
      <c r="A21149" t="s">
        <v>8</v>
      </c>
      <c r="B21149" s="1" t="str">
        <f>"000326799 - RICH FOODS-FOODBUY"</f>
        <v>000326799 - RICH FOODS-FOODBUY</v>
      </c>
      <c r="C21149" t="s">
        <v>237</v>
      </c>
      <c r="D21149" s="1" t="str">
        <f t="shared" si="569"/>
        <v>PRG-1047708</v>
      </c>
      <c r="E21149" t="s">
        <v>147</v>
      </c>
      <c r="F21149" t="s">
        <v>4</v>
      </c>
      <c r="G21149" t="str">
        <f>""</f>
        <v/>
      </c>
    </row>
    <row r="21150" spans="1:7" x14ac:dyDescent="0.25">
      <c r="A21150" t="s">
        <v>8</v>
      </c>
      <c r="B21150" s="1" t="str">
        <f>"000327014 - RICH FOODS PRGM 3-FOODBUY"</f>
        <v>000327014 - RICH FOODS PRGM 3-FOODBUY</v>
      </c>
      <c r="C21150" t="s">
        <v>238</v>
      </c>
      <c r="D21150" s="1" t="str">
        <f t="shared" si="569"/>
        <v>PRG-1047708</v>
      </c>
      <c r="E21150" t="s">
        <v>147</v>
      </c>
      <c r="F21150" t="s">
        <v>4</v>
      </c>
      <c r="G21150" t="str">
        <f>""</f>
        <v/>
      </c>
    </row>
    <row r="21151" spans="1:7" x14ac:dyDescent="0.25">
      <c r="A21151" t="s">
        <v>8</v>
      </c>
      <c r="B21151" s="1" t="str">
        <f>"000327815 - RICH FOODS PRGM 1-FOODBUY"</f>
        <v>000327815 - RICH FOODS PRGM 1-FOODBUY</v>
      </c>
      <c r="C21151" t="s">
        <v>592</v>
      </c>
      <c r="D21151" s="1" t="str">
        <f t="shared" si="569"/>
        <v>PRG-1047708</v>
      </c>
      <c r="E21151" t="s">
        <v>147</v>
      </c>
      <c r="F21151" t="s">
        <v>4</v>
      </c>
      <c r="G21151" t="str">
        <f>""</f>
        <v/>
      </c>
    </row>
    <row r="21152" spans="1:7" x14ac:dyDescent="0.25">
      <c r="A21152" t="s">
        <v>8</v>
      </c>
      <c r="B21152" s="1" t="str">
        <f>"000328103 - RICH FOODS-FOODBUY"</f>
        <v>000328103 - RICH FOODS-FOODBUY</v>
      </c>
      <c r="C21152" t="s">
        <v>237</v>
      </c>
      <c r="D21152" s="1" t="str">
        <f t="shared" si="569"/>
        <v>PRG-1047708</v>
      </c>
      <c r="E21152" t="s">
        <v>147</v>
      </c>
      <c r="F21152" t="s">
        <v>4</v>
      </c>
      <c r="G21152" t="str">
        <f>""</f>
        <v/>
      </c>
    </row>
    <row r="21153" spans="1:7" x14ac:dyDescent="0.25">
      <c r="A21153" t="s">
        <v>8</v>
      </c>
      <c r="B21153" s="1" t="str">
        <f>"000328186 - RICH FOODS-FOODBUY"</f>
        <v>000328186 - RICH FOODS-FOODBUY</v>
      </c>
      <c r="C21153" t="s">
        <v>237</v>
      </c>
      <c r="D21153" s="1" t="str">
        <f t="shared" si="569"/>
        <v>PRG-1047708</v>
      </c>
      <c r="E21153" t="s">
        <v>147</v>
      </c>
      <c r="F21153" t="s">
        <v>4</v>
      </c>
      <c r="G21153" t="str">
        <f>""</f>
        <v/>
      </c>
    </row>
    <row r="21154" spans="1:7" x14ac:dyDescent="0.25">
      <c r="A21154" t="s">
        <v>8</v>
      </c>
      <c r="B21154" s="1" t="str">
        <f>"000328425 - RICH FOODS-FOODBUY"</f>
        <v>000328425 - RICH FOODS-FOODBUY</v>
      </c>
      <c r="C21154" t="s">
        <v>237</v>
      </c>
      <c r="D21154" s="1" t="str">
        <f t="shared" si="569"/>
        <v>PRG-1047708</v>
      </c>
      <c r="E21154" t="s">
        <v>147</v>
      </c>
      <c r="F21154" t="s">
        <v>4</v>
      </c>
      <c r="G21154" t="str">
        <f>""</f>
        <v/>
      </c>
    </row>
    <row r="21155" spans="1:7" x14ac:dyDescent="0.25">
      <c r="A21155" t="s">
        <v>8</v>
      </c>
      <c r="B21155" s="1" t="str">
        <f>"000328716 - RICH FOODS PRGM 1-FOODBUY"</f>
        <v>000328716 - RICH FOODS PRGM 1-FOODBUY</v>
      </c>
      <c r="C21155" t="s">
        <v>592</v>
      </c>
      <c r="D21155" s="1" t="str">
        <f t="shared" si="569"/>
        <v>PRG-1047708</v>
      </c>
      <c r="E21155" t="s">
        <v>147</v>
      </c>
      <c r="F21155" t="s">
        <v>4</v>
      </c>
      <c r="G21155" t="str">
        <f>""</f>
        <v/>
      </c>
    </row>
    <row r="21156" spans="1:7" x14ac:dyDescent="0.25">
      <c r="A21156" t="s">
        <v>8</v>
      </c>
      <c r="B21156" s="1" t="str">
        <f>"000329134 - RICH FOODS-FOODBUY"</f>
        <v>000329134 - RICH FOODS-FOODBUY</v>
      </c>
      <c r="C21156" t="s">
        <v>237</v>
      </c>
      <c r="D21156" s="1" t="str">
        <f t="shared" si="569"/>
        <v>PRG-1047708</v>
      </c>
      <c r="E21156" t="s">
        <v>147</v>
      </c>
      <c r="F21156" t="s">
        <v>4</v>
      </c>
      <c r="G21156" t="str">
        <f>""</f>
        <v/>
      </c>
    </row>
    <row r="21157" spans="1:7" x14ac:dyDescent="0.25">
      <c r="A21157" t="s">
        <v>8</v>
      </c>
      <c r="B21157" s="1" t="str">
        <f>"000329517 - RICH FOODS-FOODBUY"</f>
        <v>000329517 - RICH FOODS-FOODBUY</v>
      </c>
      <c r="C21157" t="s">
        <v>237</v>
      </c>
      <c r="D21157" s="1" t="str">
        <f t="shared" si="569"/>
        <v>PRG-1047708</v>
      </c>
      <c r="E21157" t="s">
        <v>147</v>
      </c>
      <c r="F21157" t="s">
        <v>4</v>
      </c>
      <c r="G21157" t="str">
        <f>""</f>
        <v/>
      </c>
    </row>
    <row r="21158" spans="1:7" x14ac:dyDescent="0.25">
      <c r="A21158" t="s">
        <v>8</v>
      </c>
      <c r="B21158" s="1" t="str">
        <f>"000329813 - RICH FOODS PRGM 1-FOODBUY"</f>
        <v>000329813 - RICH FOODS PRGM 1-FOODBUY</v>
      </c>
      <c r="C21158" t="s">
        <v>592</v>
      </c>
      <c r="D21158" s="1" t="str">
        <f t="shared" si="569"/>
        <v>PRG-1047708</v>
      </c>
      <c r="E21158" t="s">
        <v>147</v>
      </c>
      <c r="F21158" t="s">
        <v>4</v>
      </c>
      <c r="G21158" t="str">
        <f>""</f>
        <v/>
      </c>
    </row>
    <row r="21159" spans="1:7" x14ac:dyDescent="0.25">
      <c r="A21159" t="s">
        <v>8</v>
      </c>
      <c r="B21159" s="1" t="str">
        <f>"000329883 - RETRO BB CHARTWELLS AUDIT"</f>
        <v>000329883 - RETRO BB CHARTWELLS AUDIT</v>
      </c>
      <c r="C21159" t="s">
        <v>3338</v>
      </c>
      <c r="D21159" s="1" t="str">
        <f t="shared" si="569"/>
        <v>PRG-1047708</v>
      </c>
      <c r="E21159" t="s">
        <v>147</v>
      </c>
      <c r="F21159" t="s">
        <v>4</v>
      </c>
      <c r="G21159" t="str">
        <f>""</f>
        <v/>
      </c>
    </row>
    <row r="21160" spans="1:7" x14ac:dyDescent="0.25">
      <c r="A21160" t="s">
        <v>8</v>
      </c>
      <c r="B21160" s="1" t="str">
        <f>"000330153 - RICH FOODS-FOODBUY"</f>
        <v>000330153 - RICH FOODS-FOODBUY</v>
      </c>
      <c r="C21160" t="s">
        <v>237</v>
      </c>
      <c r="D21160" s="1" t="str">
        <f t="shared" si="569"/>
        <v>PRG-1047708</v>
      </c>
      <c r="E21160" t="s">
        <v>147</v>
      </c>
      <c r="F21160" t="s">
        <v>4</v>
      </c>
      <c r="G21160" t="str">
        <f>""</f>
        <v/>
      </c>
    </row>
    <row r="21161" spans="1:7" x14ac:dyDescent="0.25">
      <c r="A21161" t="s">
        <v>8</v>
      </c>
      <c r="B21161" s="1" t="str">
        <f>"000330592 - RICH FOODS-FOODBUY"</f>
        <v>000330592 - RICH FOODS-FOODBUY</v>
      </c>
      <c r="C21161" t="s">
        <v>237</v>
      </c>
      <c r="D21161" s="1" t="str">
        <f t="shared" si="569"/>
        <v>PRG-1047708</v>
      </c>
      <c r="E21161" t="s">
        <v>147</v>
      </c>
      <c r="F21161" t="s">
        <v>4</v>
      </c>
      <c r="G21161" t="str">
        <f>""</f>
        <v/>
      </c>
    </row>
    <row r="21162" spans="1:7" x14ac:dyDescent="0.25">
      <c r="A21162" t="s">
        <v>8</v>
      </c>
      <c r="B21162" s="1" t="str">
        <f>"000330614 - RICH FOODS PRGM 1-FOODBUY"</f>
        <v>000330614 - RICH FOODS PRGM 1-FOODBUY</v>
      </c>
      <c r="C21162" t="s">
        <v>592</v>
      </c>
      <c r="D21162" s="1" t="str">
        <f t="shared" si="569"/>
        <v>PRG-1047708</v>
      </c>
      <c r="E21162" t="s">
        <v>147</v>
      </c>
      <c r="F21162" t="s">
        <v>4</v>
      </c>
      <c r="G21162" t="str">
        <f>""</f>
        <v/>
      </c>
    </row>
    <row r="21163" spans="1:7" x14ac:dyDescent="0.25">
      <c r="A21163" t="s">
        <v>8</v>
      </c>
      <c r="B21163" s="1" t="str">
        <f>"000330737 - RETRO BB CHARTWELLS AUDIT"</f>
        <v>000330737 - RETRO BB CHARTWELLS AUDIT</v>
      </c>
      <c r="C21163" t="s">
        <v>3338</v>
      </c>
      <c r="D21163" s="1" t="str">
        <f t="shared" si="569"/>
        <v>PRG-1047708</v>
      </c>
      <c r="E21163" t="s">
        <v>147</v>
      </c>
      <c r="F21163" t="s">
        <v>4</v>
      </c>
      <c r="G21163" t="str">
        <f>""</f>
        <v/>
      </c>
    </row>
    <row r="21164" spans="1:7" x14ac:dyDescent="0.25">
      <c r="A21164" t="s">
        <v>8</v>
      </c>
      <c r="B21164" s="1" t="str">
        <f>"000330913 - RICH FOODS PRGM 1-FOODBUY"</f>
        <v>000330913 - RICH FOODS PRGM 1-FOODBUY</v>
      </c>
      <c r="C21164" t="s">
        <v>592</v>
      </c>
      <c r="D21164" s="1" t="str">
        <f t="shared" si="569"/>
        <v>PRG-1047708</v>
      </c>
      <c r="E21164" t="s">
        <v>147</v>
      </c>
      <c r="F21164" t="s">
        <v>4</v>
      </c>
      <c r="G21164" t="str">
        <f>""</f>
        <v/>
      </c>
    </row>
    <row r="21165" spans="1:7" x14ac:dyDescent="0.25">
      <c r="A21165" t="s">
        <v>8</v>
      </c>
      <c r="B21165" s="1" t="str">
        <f>"000331593 - RICH FOODS PRGM 3-FOODBUY"</f>
        <v>000331593 - RICH FOODS PRGM 3-FOODBUY</v>
      </c>
      <c r="C21165" t="s">
        <v>238</v>
      </c>
      <c r="D21165" s="1" t="str">
        <f t="shared" si="569"/>
        <v>PRG-1047708</v>
      </c>
      <c r="E21165" t="s">
        <v>147</v>
      </c>
      <c r="F21165" t="s">
        <v>4</v>
      </c>
      <c r="G21165" t="str">
        <f>""</f>
        <v/>
      </c>
    </row>
    <row r="21166" spans="1:7" x14ac:dyDescent="0.25">
      <c r="A21166" t="s">
        <v>8</v>
      </c>
      <c r="B21166" s="1" t="str">
        <f>"000333509 - RICH FOODS PRGM 1-FOODBUY"</f>
        <v>000333509 - RICH FOODS PRGM 1-FOODBUY</v>
      </c>
      <c r="C21166" t="s">
        <v>592</v>
      </c>
      <c r="D21166" s="1" t="str">
        <f t="shared" si="569"/>
        <v>PRG-1047708</v>
      </c>
      <c r="E21166" t="s">
        <v>147</v>
      </c>
      <c r="F21166" t="s">
        <v>4</v>
      </c>
      <c r="G21166" t="str">
        <f>""</f>
        <v/>
      </c>
    </row>
    <row r="21167" spans="1:7" x14ac:dyDescent="0.25">
      <c r="A21167" t="s">
        <v>8</v>
      </c>
      <c r="B21167" s="1" t="str">
        <f>"000334848 - RICH FOODS PRGM 1-FOODBUY"</f>
        <v>000334848 - RICH FOODS PRGM 1-FOODBUY</v>
      </c>
      <c r="C21167" t="s">
        <v>592</v>
      </c>
      <c r="D21167" s="1" t="str">
        <f t="shared" si="569"/>
        <v>PRG-1047708</v>
      </c>
      <c r="E21167" t="s">
        <v>147</v>
      </c>
      <c r="F21167" t="s">
        <v>4</v>
      </c>
      <c r="G21167" t="str">
        <f>""</f>
        <v/>
      </c>
    </row>
    <row r="21168" spans="1:7" x14ac:dyDescent="0.25">
      <c r="A21168" t="s">
        <v>8</v>
      </c>
      <c r="B21168" s="1" t="str">
        <f>"000336460 - RICH FOODS PRGM 1-FOODBUY"</f>
        <v>000336460 - RICH FOODS PRGM 1-FOODBUY</v>
      </c>
      <c r="C21168" t="s">
        <v>592</v>
      </c>
      <c r="D21168" s="1" t="str">
        <f t="shared" si="569"/>
        <v>PRG-1047708</v>
      </c>
      <c r="E21168" t="s">
        <v>147</v>
      </c>
      <c r="F21168" t="s">
        <v>4</v>
      </c>
      <c r="G21168" t="str">
        <f>""</f>
        <v/>
      </c>
    </row>
    <row r="21169" spans="1:7" x14ac:dyDescent="0.25">
      <c r="A21169" t="s">
        <v>8</v>
      </c>
      <c r="B21169" s="1" t="str">
        <f>"000337058 - RICH FOODS PRGM 1-FOODBUY"</f>
        <v>000337058 - RICH FOODS PRGM 1-FOODBUY</v>
      </c>
      <c r="C21169" t="s">
        <v>592</v>
      </c>
      <c r="D21169" s="1" t="str">
        <f t="shared" si="569"/>
        <v>PRG-1047708</v>
      </c>
      <c r="E21169" t="s">
        <v>147</v>
      </c>
      <c r="F21169" t="s">
        <v>4</v>
      </c>
      <c r="G21169" t="str">
        <f>""</f>
        <v/>
      </c>
    </row>
    <row r="21170" spans="1:7" x14ac:dyDescent="0.25">
      <c r="A21170" t="s">
        <v>8</v>
      </c>
      <c r="B21170" s="1" t="str">
        <f>"000343529 - RICH FOODS-FOODBUY"</f>
        <v>000343529 - RICH FOODS-FOODBUY</v>
      </c>
      <c r="C21170" t="s">
        <v>237</v>
      </c>
      <c r="D21170" s="1" t="str">
        <f t="shared" si="569"/>
        <v>PRG-1047708</v>
      </c>
      <c r="E21170" t="s">
        <v>147</v>
      </c>
      <c r="F21170" t="s">
        <v>4</v>
      </c>
      <c r="G21170" t="str">
        <f>""</f>
        <v/>
      </c>
    </row>
    <row r="21171" spans="1:7" x14ac:dyDescent="0.25">
      <c r="A21171" t="s">
        <v>8</v>
      </c>
      <c r="B21171" s="1" t="str">
        <f>"000344975 - RICH FOODS-FOODBUY"</f>
        <v>000344975 - RICH FOODS-FOODBUY</v>
      </c>
      <c r="C21171" t="s">
        <v>237</v>
      </c>
      <c r="D21171" s="1" t="str">
        <f t="shared" si="569"/>
        <v>PRG-1047708</v>
      </c>
      <c r="E21171" t="s">
        <v>147</v>
      </c>
      <c r="F21171" t="s">
        <v>4</v>
      </c>
      <c r="G21171" t="str">
        <f>""</f>
        <v/>
      </c>
    </row>
    <row r="21172" spans="1:7" x14ac:dyDescent="0.25">
      <c r="A21172" t="s">
        <v>8</v>
      </c>
      <c r="B21172" s="1" t="str">
        <f>"000348484 - RICH FOODS PRGM 3-FOODBUY"</f>
        <v>000348484 - RICH FOODS PRGM 3-FOODBUY</v>
      </c>
      <c r="C21172" t="s">
        <v>238</v>
      </c>
      <c r="D21172" s="1" t="str">
        <f t="shared" si="569"/>
        <v>PRG-1047708</v>
      </c>
      <c r="E21172" t="s">
        <v>147</v>
      </c>
      <c r="F21172" t="s">
        <v>4</v>
      </c>
      <c r="G21172" t="str">
        <f>""</f>
        <v/>
      </c>
    </row>
    <row r="21173" spans="1:7" x14ac:dyDescent="0.25">
      <c r="A21173" t="s">
        <v>8</v>
      </c>
      <c r="B21173" s="1" t="str">
        <f>"000350444 - RICH FOODS PRGM 1-FOODBUY"</f>
        <v>000350444 - RICH FOODS PRGM 1-FOODBUY</v>
      </c>
      <c r="C21173" t="s">
        <v>592</v>
      </c>
      <c r="D21173" s="1" t="str">
        <f t="shared" si="569"/>
        <v>PRG-1047708</v>
      </c>
      <c r="E21173" t="s">
        <v>147</v>
      </c>
      <c r="F21173" t="s">
        <v>4</v>
      </c>
      <c r="G21173" t="str">
        <f>""</f>
        <v/>
      </c>
    </row>
    <row r="21174" spans="1:7" x14ac:dyDescent="0.25">
      <c r="A21174" t="s">
        <v>8</v>
      </c>
      <c r="B21174" s="1" t="str">
        <f>"000351951 - RICH FOODS-FOODBUY"</f>
        <v>000351951 - RICH FOODS-FOODBUY</v>
      </c>
      <c r="C21174" t="s">
        <v>237</v>
      </c>
      <c r="D21174" s="1" t="str">
        <f t="shared" si="569"/>
        <v>PRG-1047708</v>
      </c>
      <c r="E21174" t="s">
        <v>147</v>
      </c>
      <c r="F21174" t="s">
        <v>4</v>
      </c>
      <c r="G21174" t="str">
        <f>""</f>
        <v/>
      </c>
    </row>
    <row r="21175" spans="1:7" x14ac:dyDescent="0.25">
      <c r="A21175" t="s">
        <v>8</v>
      </c>
      <c r="B21175" s="1" t="str">
        <f>"000353350 - RICH FOODS-FOODBUY"</f>
        <v>000353350 - RICH FOODS-FOODBUY</v>
      </c>
      <c r="C21175" t="s">
        <v>237</v>
      </c>
      <c r="D21175" s="1" t="str">
        <f t="shared" si="569"/>
        <v>PRG-1047708</v>
      </c>
      <c r="E21175" t="s">
        <v>147</v>
      </c>
      <c r="F21175" t="s">
        <v>4</v>
      </c>
      <c r="G21175" t="str">
        <f>""</f>
        <v/>
      </c>
    </row>
    <row r="21176" spans="1:7" x14ac:dyDescent="0.25">
      <c r="A21176" t="s">
        <v>8</v>
      </c>
      <c r="B21176" s="1" t="str">
        <f>"000357684 - RICH FOODS-FOODBUY"</f>
        <v>000357684 - RICH FOODS-FOODBUY</v>
      </c>
      <c r="C21176" t="s">
        <v>237</v>
      </c>
      <c r="D21176" s="1" t="str">
        <f t="shared" si="569"/>
        <v>PRG-1047708</v>
      </c>
      <c r="E21176" t="s">
        <v>147</v>
      </c>
      <c r="F21176" t="s">
        <v>4</v>
      </c>
      <c r="G21176" t="str">
        <f>""</f>
        <v/>
      </c>
    </row>
    <row r="21177" spans="1:7" x14ac:dyDescent="0.25">
      <c r="A21177" t="s">
        <v>8</v>
      </c>
      <c r="B21177" s="1" t="str">
        <f>"000358864 - RICH FOODS-FOODBUY"</f>
        <v>000358864 - RICH FOODS-FOODBUY</v>
      </c>
      <c r="C21177" t="s">
        <v>237</v>
      </c>
      <c r="D21177" s="1" t="str">
        <f t="shared" si="569"/>
        <v>PRG-1047708</v>
      </c>
      <c r="E21177" t="s">
        <v>147</v>
      </c>
      <c r="F21177" t="s">
        <v>4</v>
      </c>
      <c r="G21177" t="str">
        <f>""</f>
        <v/>
      </c>
    </row>
    <row r="21178" spans="1:7" x14ac:dyDescent="0.25">
      <c r="A21178" t="s">
        <v>8</v>
      </c>
      <c r="B21178" s="1" t="str">
        <f>"000359468 - RICH FOODS PRGM 1-FOODBUY"</f>
        <v>000359468 - RICH FOODS PRGM 1-FOODBUY</v>
      </c>
      <c r="C21178" t="s">
        <v>592</v>
      </c>
      <c r="D21178" s="1" t="str">
        <f t="shared" si="569"/>
        <v>PRG-1047708</v>
      </c>
      <c r="E21178" t="s">
        <v>147</v>
      </c>
      <c r="F21178" t="s">
        <v>4</v>
      </c>
      <c r="G21178" t="str">
        <f>""</f>
        <v/>
      </c>
    </row>
    <row r="21179" spans="1:7" x14ac:dyDescent="0.25">
      <c r="A21179" t="s">
        <v>8</v>
      </c>
      <c r="B21179" s="1" t="str">
        <f>"000360707 - RICH FOODS-FOODBUY"</f>
        <v>000360707 - RICH FOODS-FOODBUY</v>
      </c>
      <c r="C21179" t="s">
        <v>237</v>
      </c>
      <c r="D21179" s="1" t="str">
        <f t="shared" si="569"/>
        <v>PRG-1047708</v>
      </c>
      <c r="E21179" t="s">
        <v>147</v>
      </c>
      <c r="F21179" t="s">
        <v>4</v>
      </c>
      <c r="G21179" t="str">
        <f>""</f>
        <v/>
      </c>
    </row>
    <row r="21180" spans="1:7" x14ac:dyDescent="0.25">
      <c r="A21180" t="s">
        <v>8</v>
      </c>
      <c r="B21180" s="1" t="str">
        <f>"000361841 - RICH FOODS-FOODBUY"</f>
        <v>000361841 - RICH FOODS-FOODBUY</v>
      </c>
      <c r="C21180" t="s">
        <v>237</v>
      </c>
      <c r="D21180" s="1" t="str">
        <f t="shared" si="569"/>
        <v>PRG-1047708</v>
      </c>
      <c r="E21180" t="s">
        <v>147</v>
      </c>
      <c r="F21180" t="s">
        <v>4</v>
      </c>
      <c r="G21180" t="str">
        <f>""</f>
        <v/>
      </c>
    </row>
    <row r="21181" spans="1:7" x14ac:dyDescent="0.25">
      <c r="A21181" t="s">
        <v>8</v>
      </c>
      <c r="B21181" s="1" t="str">
        <f>"000363099 - RICH FOODS PRGM 1-FOODBUY"</f>
        <v>000363099 - RICH FOODS PRGM 1-FOODBUY</v>
      </c>
      <c r="C21181" t="s">
        <v>592</v>
      </c>
      <c r="D21181" s="1" t="str">
        <f t="shared" si="569"/>
        <v>PRG-1047708</v>
      </c>
      <c r="E21181" t="s">
        <v>147</v>
      </c>
      <c r="F21181" t="s">
        <v>4</v>
      </c>
      <c r="G21181" t="str">
        <f>""</f>
        <v/>
      </c>
    </row>
    <row r="21182" spans="1:7" x14ac:dyDescent="0.25">
      <c r="A21182" t="s">
        <v>8</v>
      </c>
      <c r="B21182" s="1" t="str">
        <f>"000364327 - RICH FOODS-FOODBUY"</f>
        <v>000364327 - RICH FOODS-FOODBUY</v>
      </c>
      <c r="C21182" t="s">
        <v>237</v>
      </c>
      <c r="D21182" s="1" t="str">
        <f t="shared" si="569"/>
        <v>PRG-1047708</v>
      </c>
      <c r="E21182" t="s">
        <v>147</v>
      </c>
      <c r="F21182" t="s">
        <v>4</v>
      </c>
      <c r="G21182" t="str">
        <f>""</f>
        <v/>
      </c>
    </row>
    <row r="21183" spans="1:7" x14ac:dyDescent="0.25">
      <c r="A21183" t="s">
        <v>8</v>
      </c>
      <c r="B21183" s="1" t="str">
        <f>"000364985 - RICH FOODS PRGM 3-FOODBUY"</f>
        <v>000364985 - RICH FOODS PRGM 3-FOODBUY</v>
      </c>
      <c r="C21183" t="s">
        <v>238</v>
      </c>
      <c r="D21183" s="1" t="str">
        <f t="shared" si="569"/>
        <v>PRG-1047708</v>
      </c>
      <c r="E21183" t="s">
        <v>147</v>
      </c>
      <c r="F21183" t="s">
        <v>4</v>
      </c>
      <c r="G21183" t="str">
        <f>""</f>
        <v/>
      </c>
    </row>
    <row r="21184" spans="1:7" x14ac:dyDescent="0.25">
      <c r="A21184" t="s">
        <v>8</v>
      </c>
      <c r="B21184" s="1" t="str">
        <f>"000365897 - RICH FOODS-FOODBUY"</f>
        <v>000365897 - RICH FOODS-FOODBUY</v>
      </c>
      <c r="C21184" t="s">
        <v>237</v>
      </c>
      <c r="D21184" s="1" t="str">
        <f t="shared" si="569"/>
        <v>PRG-1047708</v>
      </c>
      <c r="E21184" t="s">
        <v>147</v>
      </c>
      <c r="F21184" t="s">
        <v>4</v>
      </c>
      <c r="G21184" t="str">
        <f>""</f>
        <v/>
      </c>
    </row>
    <row r="21185" spans="1:7" x14ac:dyDescent="0.25">
      <c r="A21185" t="s">
        <v>8</v>
      </c>
      <c r="B21185" s="1" t="str">
        <f>"000366571 - RICH FOODS PRGM 1-FOODBUY"</f>
        <v>000366571 - RICH FOODS PRGM 1-FOODBUY</v>
      </c>
      <c r="C21185" t="s">
        <v>592</v>
      </c>
      <c r="D21185" s="1" t="str">
        <f t="shared" si="569"/>
        <v>PRG-1047708</v>
      </c>
      <c r="E21185" t="s">
        <v>147</v>
      </c>
      <c r="F21185" t="s">
        <v>4</v>
      </c>
      <c r="G21185" t="str">
        <f>""</f>
        <v/>
      </c>
    </row>
    <row r="21186" spans="1:7" x14ac:dyDescent="0.25">
      <c r="A21186" t="s">
        <v>8</v>
      </c>
      <c r="B21186" s="1" t="str">
        <f>"000369575 - RICH FOODS-FOODBUY"</f>
        <v>000369575 - RICH FOODS-FOODBUY</v>
      </c>
      <c r="C21186" t="s">
        <v>237</v>
      </c>
      <c r="D21186" s="1" t="str">
        <f t="shared" si="569"/>
        <v>PRG-1047708</v>
      </c>
      <c r="E21186" t="s">
        <v>147</v>
      </c>
      <c r="F21186" t="s">
        <v>4</v>
      </c>
      <c r="G21186" t="str">
        <f>""</f>
        <v/>
      </c>
    </row>
    <row r="21187" spans="1:7" x14ac:dyDescent="0.25">
      <c r="A21187" t="s">
        <v>8</v>
      </c>
      <c r="B21187" s="1" t="str">
        <f>"000370797 - RICH FOODS-FOODBUY"</f>
        <v>000370797 - RICH FOODS-FOODBUY</v>
      </c>
      <c r="C21187" t="s">
        <v>237</v>
      </c>
      <c r="D21187" s="1" t="str">
        <f t="shared" si="569"/>
        <v>PRG-1047708</v>
      </c>
      <c r="E21187" t="s">
        <v>147</v>
      </c>
      <c r="F21187" t="s">
        <v>4</v>
      </c>
      <c r="G21187" t="str">
        <f>""</f>
        <v/>
      </c>
    </row>
    <row r="21188" spans="1:7" x14ac:dyDescent="0.25">
      <c r="A21188" t="s">
        <v>8</v>
      </c>
      <c r="B21188" s="1" t="str">
        <f>"000372252 - RICH FOODS PRGM 1-FOODBUY"</f>
        <v>000372252 - RICH FOODS PRGM 1-FOODBUY</v>
      </c>
      <c r="C21188" t="s">
        <v>592</v>
      </c>
      <c r="D21188" s="1" t="str">
        <f t="shared" si="569"/>
        <v>PRG-1047708</v>
      </c>
      <c r="E21188" t="s">
        <v>147</v>
      </c>
      <c r="F21188" t="s">
        <v>4</v>
      </c>
      <c r="G21188" t="str">
        <f>""</f>
        <v/>
      </c>
    </row>
    <row r="21189" spans="1:7" x14ac:dyDescent="0.25">
      <c r="A21189" t="s">
        <v>8</v>
      </c>
      <c r="B21189" s="1" t="str">
        <f>"000374024 - RICH FOODS PRGM 3-FOODBUY"</f>
        <v>000374024 - RICH FOODS PRGM 3-FOODBUY</v>
      </c>
      <c r="C21189" t="s">
        <v>238</v>
      </c>
      <c r="D21189" s="1" t="str">
        <f t="shared" si="569"/>
        <v>PRG-1047708</v>
      </c>
      <c r="E21189" t="s">
        <v>147</v>
      </c>
      <c r="F21189" t="s">
        <v>4</v>
      </c>
      <c r="G21189" t="str">
        <f>""</f>
        <v/>
      </c>
    </row>
    <row r="21190" spans="1:7" x14ac:dyDescent="0.25">
      <c r="A21190" t="s">
        <v>8</v>
      </c>
      <c r="B21190" s="1" t="str">
        <f>"000375857 - RICH FOODS PRGM 1-FOODBUY"</f>
        <v>000375857 - RICH FOODS PRGM 1-FOODBUY</v>
      </c>
      <c r="C21190" t="s">
        <v>592</v>
      </c>
      <c r="D21190" s="1" t="str">
        <f t="shared" si="569"/>
        <v>PRG-1047708</v>
      </c>
      <c r="E21190" t="s">
        <v>147</v>
      </c>
      <c r="F21190" t="s">
        <v>4</v>
      </c>
      <c r="G21190" t="str">
        <f>""</f>
        <v/>
      </c>
    </row>
    <row r="21191" spans="1:7" x14ac:dyDescent="0.25">
      <c r="A21191" t="s">
        <v>8</v>
      </c>
      <c r="B21191" s="1" t="str">
        <f>"000376341 - RICH FOODS-FOODBUY"</f>
        <v>000376341 - RICH FOODS-FOODBUY</v>
      </c>
      <c r="C21191" t="s">
        <v>237</v>
      </c>
      <c r="D21191" s="1" t="str">
        <f t="shared" si="569"/>
        <v>PRG-1047708</v>
      </c>
      <c r="E21191" t="s">
        <v>147</v>
      </c>
      <c r="F21191" t="s">
        <v>4</v>
      </c>
      <c r="G21191" t="str">
        <f>""</f>
        <v/>
      </c>
    </row>
    <row r="21192" spans="1:7" x14ac:dyDescent="0.25">
      <c r="A21192" t="s">
        <v>8</v>
      </c>
      <c r="B21192" s="1" t="str">
        <f>"000377873 - RICH FOODS-FOODBUY"</f>
        <v>000377873 - RICH FOODS-FOODBUY</v>
      </c>
      <c r="C21192" t="s">
        <v>237</v>
      </c>
      <c r="D21192" s="1" t="str">
        <f t="shared" si="569"/>
        <v>PRG-1047708</v>
      </c>
      <c r="E21192" t="s">
        <v>147</v>
      </c>
      <c r="F21192" t="s">
        <v>4</v>
      </c>
      <c r="G21192" t="str">
        <f>""</f>
        <v/>
      </c>
    </row>
    <row r="21193" spans="1:7" x14ac:dyDescent="0.25">
      <c r="A21193" t="s">
        <v>8</v>
      </c>
      <c r="B21193" s="1" t="str">
        <f>"000384044 - RICH FOODS PRGM 1-FOODBUY"</f>
        <v>000384044 - RICH FOODS PRGM 1-FOODBUY</v>
      </c>
      <c r="C21193" t="s">
        <v>592</v>
      </c>
      <c r="D21193" s="1" t="str">
        <f t="shared" si="569"/>
        <v>PRG-1047708</v>
      </c>
      <c r="E21193" t="s">
        <v>147</v>
      </c>
      <c r="F21193" t="s">
        <v>4</v>
      </c>
      <c r="G21193" t="str">
        <f>""</f>
        <v/>
      </c>
    </row>
    <row r="21194" spans="1:7" x14ac:dyDescent="0.25">
      <c r="A21194" t="s">
        <v>8</v>
      </c>
      <c r="B21194" s="1" t="str">
        <f>"000394085 - RICH FOODS-FOODBUY"</f>
        <v>000394085 - RICH FOODS-FOODBUY</v>
      </c>
      <c r="C21194" t="s">
        <v>237</v>
      </c>
      <c r="D21194" s="1" t="str">
        <f t="shared" si="569"/>
        <v>PRG-1047708</v>
      </c>
      <c r="E21194" t="s">
        <v>147</v>
      </c>
      <c r="F21194" t="s">
        <v>4</v>
      </c>
      <c r="G21194" t="str">
        <f>""</f>
        <v/>
      </c>
    </row>
    <row r="21195" spans="1:7" x14ac:dyDescent="0.25">
      <c r="A21195" t="s">
        <v>8</v>
      </c>
      <c r="B21195" s="1" t="str">
        <f>"000394881 - RICH FOODS-FOODBUY"</f>
        <v>000394881 - RICH FOODS-FOODBUY</v>
      </c>
      <c r="C21195" t="s">
        <v>237</v>
      </c>
      <c r="D21195" s="1" t="str">
        <f t="shared" si="569"/>
        <v>PRG-1047708</v>
      </c>
      <c r="E21195" t="s">
        <v>147</v>
      </c>
      <c r="F21195" t="s">
        <v>4</v>
      </c>
      <c r="G21195" t="str">
        <f>""</f>
        <v/>
      </c>
    </row>
    <row r="21196" spans="1:7" x14ac:dyDescent="0.25">
      <c r="A21196" t="s">
        <v>8</v>
      </c>
      <c r="B21196" s="1" t="str">
        <f>"000395096 - RICH FOODS-FOODBUY"</f>
        <v>000395096 - RICH FOODS-FOODBUY</v>
      </c>
      <c r="C21196" t="s">
        <v>237</v>
      </c>
      <c r="D21196" s="1" t="str">
        <f t="shared" si="569"/>
        <v>PRG-1047708</v>
      </c>
      <c r="E21196" t="s">
        <v>147</v>
      </c>
      <c r="F21196" t="s">
        <v>4</v>
      </c>
      <c r="G21196" t="str">
        <f>""</f>
        <v/>
      </c>
    </row>
    <row r="21197" spans="1:7" x14ac:dyDescent="0.25">
      <c r="A21197" t="s">
        <v>8</v>
      </c>
      <c r="B21197" s="1" t="str">
        <f>"000396482 - RICH FOODS-FOODBUY"</f>
        <v>000396482 - RICH FOODS-FOODBUY</v>
      </c>
      <c r="C21197" t="s">
        <v>237</v>
      </c>
      <c r="D21197" s="1" t="str">
        <f t="shared" si="569"/>
        <v>PRG-1047708</v>
      </c>
      <c r="E21197" t="s">
        <v>147</v>
      </c>
      <c r="F21197" t="s">
        <v>4</v>
      </c>
      <c r="G21197" t="str">
        <f>""</f>
        <v/>
      </c>
    </row>
    <row r="21198" spans="1:7" x14ac:dyDescent="0.25">
      <c r="A21198" t="s">
        <v>8</v>
      </c>
      <c r="B21198" s="1" t="str">
        <f>"000398009 - RICH FOODS-FOODBUY"</f>
        <v>000398009 - RICH FOODS-FOODBUY</v>
      </c>
      <c r="C21198" t="s">
        <v>237</v>
      </c>
      <c r="D21198" s="1" t="str">
        <f t="shared" si="569"/>
        <v>PRG-1047708</v>
      </c>
      <c r="E21198" t="s">
        <v>147</v>
      </c>
      <c r="F21198" t="s">
        <v>4</v>
      </c>
      <c r="G21198" t="str">
        <f>""</f>
        <v/>
      </c>
    </row>
    <row r="21199" spans="1:7" x14ac:dyDescent="0.25">
      <c r="A21199" t="s">
        <v>8</v>
      </c>
      <c r="B21199" s="1" t="str">
        <f>"000398360 - RICH FOODS PRGM 3-FOODBUY"</f>
        <v>000398360 - RICH FOODS PRGM 3-FOODBUY</v>
      </c>
      <c r="C21199" t="s">
        <v>238</v>
      </c>
      <c r="D21199" s="1" t="str">
        <f t="shared" si="569"/>
        <v>PRG-1047708</v>
      </c>
      <c r="E21199" t="s">
        <v>147</v>
      </c>
      <c r="F21199" t="s">
        <v>4</v>
      </c>
      <c r="G21199" t="str">
        <f>""</f>
        <v/>
      </c>
    </row>
    <row r="21200" spans="1:7" x14ac:dyDescent="0.25">
      <c r="A21200" t="s">
        <v>8</v>
      </c>
      <c r="B21200" s="1" t="str">
        <f>"000399778 - RICH FOODS-FOODBUY"</f>
        <v>000399778 - RICH FOODS-FOODBUY</v>
      </c>
      <c r="C21200" t="s">
        <v>237</v>
      </c>
      <c r="D21200" s="1" t="str">
        <f t="shared" si="569"/>
        <v>PRG-1047708</v>
      </c>
      <c r="E21200" t="s">
        <v>147</v>
      </c>
      <c r="F21200" t="s">
        <v>4</v>
      </c>
      <c r="G21200" t="str">
        <f>""</f>
        <v/>
      </c>
    </row>
    <row r="21201" spans="1:7" x14ac:dyDescent="0.25">
      <c r="A21201" t="s">
        <v>8</v>
      </c>
      <c r="B21201" s="1" t="str">
        <f>"000400426 - RICH FOODS PRGM 1-FOODBUY"</f>
        <v>000400426 - RICH FOODS PRGM 1-FOODBUY</v>
      </c>
      <c r="C21201" t="s">
        <v>592</v>
      </c>
      <c r="D21201" s="1" t="str">
        <f t="shared" ref="D21201:D21239" si="570">"PRG-1047708"</f>
        <v>PRG-1047708</v>
      </c>
      <c r="E21201" t="s">
        <v>147</v>
      </c>
      <c r="F21201" t="s">
        <v>4</v>
      </c>
      <c r="G21201" t="str">
        <f>""</f>
        <v/>
      </c>
    </row>
    <row r="21202" spans="1:7" x14ac:dyDescent="0.25">
      <c r="A21202" t="s">
        <v>8</v>
      </c>
      <c r="B21202" s="1" t="str">
        <f>"000401015 - RICH FOODS PRGM 3-FOODBUY"</f>
        <v>000401015 - RICH FOODS PRGM 3-FOODBUY</v>
      </c>
      <c r="C21202" t="s">
        <v>238</v>
      </c>
      <c r="D21202" s="1" t="str">
        <f t="shared" si="570"/>
        <v>PRG-1047708</v>
      </c>
      <c r="E21202" t="s">
        <v>147</v>
      </c>
      <c r="F21202" t="s">
        <v>4</v>
      </c>
      <c r="G21202" t="str">
        <f>""</f>
        <v/>
      </c>
    </row>
    <row r="21203" spans="1:7" x14ac:dyDescent="0.25">
      <c r="A21203" t="s">
        <v>8</v>
      </c>
      <c r="B21203" s="1" t="str">
        <f>"000402167 - RICH FOODS PRGM 1-FOODBUY"</f>
        <v>000402167 - RICH FOODS PRGM 1-FOODBUY</v>
      </c>
      <c r="C21203" t="s">
        <v>592</v>
      </c>
      <c r="D21203" s="1" t="str">
        <f t="shared" si="570"/>
        <v>PRG-1047708</v>
      </c>
      <c r="E21203" t="s">
        <v>147</v>
      </c>
      <c r="F21203" t="s">
        <v>4</v>
      </c>
      <c r="G21203" t="str">
        <f>""</f>
        <v/>
      </c>
    </row>
    <row r="21204" spans="1:7" x14ac:dyDescent="0.25">
      <c r="A21204" t="s">
        <v>8</v>
      </c>
      <c r="B21204" s="1" t="str">
        <f>"000403415 - RICH FOODS-FOODBUY"</f>
        <v>000403415 - RICH FOODS-FOODBUY</v>
      </c>
      <c r="C21204" t="s">
        <v>237</v>
      </c>
      <c r="D21204" s="1" t="str">
        <f t="shared" si="570"/>
        <v>PRG-1047708</v>
      </c>
      <c r="E21204" t="s">
        <v>147</v>
      </c>
      <c r="F21204" t="s">
        <v>4</v>
      </c>
      <c r="G21204" t="str">
        <f>""</f>
        <v/>
      </c>
    </row>
    <row r="21205" spans="1:7" x14ac:dyDescent="0.25">
      <c r="A21205" t="s">
        <v>8</v>
      </c>
      <c r="B21205" s="1" t="str">
        <f>"000403595 - RICH FOODS PRGM 1-FOODBUY"</f>
        <v>000403595 - RICH FOODS PRGM 1-FOODBUY</v>
      </c>
      <c r="C21205" t="s">
        <v>592</v>
      </c>
      <c r="D21205" s="1" t="str">
        <f t="shared" si="570"/>
        <v>PRG-1047708</v>
      </c>
      <c r="E21205" t="s">
        <v>147</v>
      </c>
      <c r="F21205" t="s">
        <v>4</v>
      </c>
      <c r="G21205" t="str">
        <f>""</f>
        <v/>
      </c>
    </row>
    <row r="21206" spans="1:7" x14ac:dyDescent="0.25">
      <c r="A21206" t="s">
        <v>8</v>
      </c>
      <c r="B21206" s="1" t="str">
        <f>"000404292 - RICH FOODS PRGM 3-FOODBUY"</f>
        <v>000404292 - RICH FOODS PRGM 3-FOODBUY</v>
      </c>
      <c r="C21206" t="s">
        <v>238</v>
      </c>
      <c r="D21206" s="1" t="str">
        <f t="shared" si="570"/>
        <v>PRG-1047708</v>
      </c>
      <c r="E21206" t="s">
        <v>147</v>
      </c>
      <c r="F21206" t="s">
        <v>4</v>
      </c>
      <c r="G21206" t="str">
        <f>""</f>
        <v/>
      </c>
    </row>
    <row r="21207" spans="1:7" x14ac:dyDescent="0.25">
      <c r="A21207" t="s">
        <v>8</v>
      </c>
      <c r="B21207" s="1" t="str">
        <f>"000404953 - RICH FOODS-FOODBUY"</f>
        <v>000404953 - RICH FOODS-FOODBUY</v>
      </c>
      <c r="C21207" t="s">
        <v>237</v>
      </c>
      <c r="D21207" s="1" t="str">
        <f t="shared" si="570"/>
        <v>PRG-1047708</v>
      </c>
      <c r="E21207" t="s">
        <v>147</v>
      </c>
      <c r="F21207" t="s">
        <v>4</v>
      </c>
      <c r="G21207" t="str">
        <f>""</f>
        <v/>
      </c>
    </row>
    <row r="21208" spans="1:7" x14ac:dyDescent="0.25">
      <c r="A21208" t="s">
        <v>8</v>
      </c>
      <c r="B21208" s="1" t="str">
        <f>"000406480 - RICH FOODS-FOODBUY"</f>
        <v>000406480 - RICH FOODS-FOODBUY</v>
      </c>
      <c r="C21208" t="s">
        <v>237</v>
      </c>
      <c r="D21208" s="1" t="str">
        <f t="shared" si="570"/>
        <v>PRG-1047708</v>
      </c>
      <c r="E21208" t="s">
        <v>147</v>
      </c>
      <c r="F21208" t="s">
        <v>4</v>
      </c>
      <c r="G21208" t="str">
        <f>""</f>
        <v/>
      </c>
    </row>
    <row r="21209" spans="1:7" x14ac:dyDescent="0.25">
      <c r="A21209" t="s">
        <v>8</v>
      </c>
      <c r="B21209" s="1" t="str">
        <f>"000407048 - RICH FOODS PRGM 1-FOODBUY"</f>
        <v>000407048 - RICH FOODS PRGM 1-FOODBUY</v>
      </c>
      <c r="C21209" t="s">
        <v>592</v>
      </c>
      <c r="D21209" s="1" t="str">
        <f t="shared" si="570"/>
        <v>PRG-1047708</v>
      </c>
      <c r="E21209" t="s">
        <v>147</v>
      </c>
      <c r="F21209" t="s">
        <v>4</v>
      </c>
      <c r="G21209" t="str">
        <f>""</f>
        <v/>
      </c>
    </row>
    <row r="21210" spans="1:7" x14ac:dyDescent="0.25">
      <c r="A21210" t="s">
        <v>8</v>
      </c>
      <c r="B21210" s="1" t="str">
        <f>"000407412 - RICH FOODS-FOODBUY"</f>
        <v>000407412 - RICH FOODS-FOODBUY</v>
      </c>
      <c r="C21210" t="s">
        <v>237</v>
      </c>
      <c r="D21210" s="1" t="str">
        <f t="shared" si="570"/>
        <v>PRG-1047708</v>
      </c>
      <c r="E21210" t="s">
        <v>147</v>
      </c>
      <c r="F21210" t="s">
        <v>4</v>
      </c>
      <c r="G21210" t="str">
        <f>""</f>
        <v/>
      </c>
    </row>
    <row r="21211" spans="1:7" x14ac:dyDescent="0.25">
      <c r="A21211" t="s">
        <v>8</v>
      </c>
      <c r="B21211" s="1" t="str">
        <f>"000408250 - RICH FOODS-FOODBUY"</f>
        <v>000408250 - RICH FOODS-FOODBUY</v>
      </c>
      <c r="C21211" t="s">
        <v>237</v>
      </c>
      <c r="D21211" s="1" t="str">
        <f t="shared" si="570"/>
        <v>PRG-1047708</v>
      </c>
      <c r="E21211" t="s">
        <v>147</v>
      </c>
      <c r="F21211" t="s">
        <v>4</v>
      </c>
      <c r="G21211" t="str">
        <f>""</f>
        <v/>
      </c>
    </row>
    <row r="21212" spans="1:7" x14ac:dyDescent="0.25">
      <c r="A21212" t="s">
        <v>8</v>
      </c>
      <c r="B21212" s="1" t="str">
        <f>"000408860 - RICH FOODS-FOODBUY"</f>
        <v>000408860 - RICH FOODS-FOODBUY</v>
      </c>
      <c r="C21212" t="s">
        <v>237</v>
      </c>
      <c r="D21212" s="1" t="str">
        <f t="shared" si="570"/>
        <v>PRG-1047708</v>
      </c>
      <c r="E21212" t="s">
        <v>147</v>
      </c>
      <c r="F21212" t="s">
        <v>4</v>
      </c>
      <c r="G21212" t="str">
        <f>""</f>
        <v/>
      </c>
    </row>
    <row r="21213" spans="1:7" x14ac:dyDescent="0.25">
      <c r="A21213" t="s">
        <v>8</v>
      </c>
      <c r="B21213" s="1" t="str">
        <f>"000409278 - RICH FOODS-FOODBUY"</f>
        <v>000409278 - RICH FOODS-FOODBUY</v>
      </c>
      <c r="C21213" t="s">
        <v>237</v>
      </c>
      <c r="D21213" s="1" t="str">
        <f t="shared" si="570"/>
        <v>PRG-1047708</v>
      </c>
      <c r="E21213" t="s">
        <v>147</v>
      </c>
      <c r="F21213" t="s">
        <v>4</v>
      </c>
      <c r="G21213" t="str">
        <f>""</f>
        <v/>
      </c>
    </row>
    <row r="21214" spans="1:7" x14ac:dyDescent="0.25">
      <c r="A21214" t="s">
        <v>8</v>
      </c>
      <c r="B21214" s="1" t="str">
        <f>"000410772 - RICH FOODS-FOODBUY"</f>
        <v>000410772 - RICH FOODS-FOODBUY</v>
      </c>
      <c r="C21214" t="s">
        <v>237</v>
      </c>
      <c r="D21214" s="1" t="str">
        <f t="shared" si="570"/>
        <v>PRG-1047708</v>
      </c>
      <c r="E21214" t="s">
        <v>147</v>
      </c>
      <c r="F21214" t="s">
        <v>4</v>
      </c>
      <c r="G21214" t="str">
        <f>""</f>
        <v/>
      </c>
    </row>
    <row r="21215" spans="1:7" x14ac:dyDescent="0.25">
      <c r="A21215" t="s">
        <v>8</v>
      </c>
      <c r="B21215" s="1" t="str">
        <f>"000410824 - RICH FOODS-FOODBUY"</f>
        <v>000410824 - RICH FOODS-FOODBUY</v>
      </c>
      <c r="C21215" t="s">
        <v>237</v>
      </c>
      <c r="D21215" s="1" t="str">
        <f t="shared" si="570"/>
        <v>PRG-1047708</v>
      </c>
      <c r="E21215" t="s">
        <v>147</v>
      </c>
      <c r="F21215" t="s">
        <v>4</v>
      </c>
      <c r="G21215" t="str">
        <f>""</f>
        <v/>
      </c>
    </row>
    <row r="21216" spans="1:7" x14ac:dyDescent="0.25">
      <c r="A21216" t="s">
        <v>8</v>
      </c>
      <c r="B21216" s="1" t="str">
        <f>"000412105 - RICH FOODS PRGM 1-FOODBUY"</f>
        <v>000412105 - RICH FOODS PRGM 1-FOODBUY</v>
      </c>
      <c r="C21216" t="s">
        <v>592</v>
      </c>
      <c r="D21216" s="1" t="str">
        <f t="shared" si="570"/>
        <v>PRG-1047708</v>
      </c>
      <c r="E21216" t="s">
        <v>147</v>
      </c>
      <c r="F21216" t="s">
        <v>4</v>
      </c>
      <c r="G21216" t="str">
        <f>""</f>
        <v/>
      </c>
    </row>
    <row r="21217" spans="1:7" x14ac:dyDescent="0.25">
      <c r="A21217" t="s">
        <v>8</v>
      </c>
      <c r="B21217" s="1" t="str">
        <f>"000412374 - RICH FOODS-FOODBUY"</f>
        <v>000412374 - RICH FOODS-FOODBUY</v>
      </c>
      <c r="C21217" t="s">
        <v>237</v>
      </c>
      <c r="D21217" s="1" t="str">
        <f t="shared" si="570"/>
        <v>PRG-1047708</v>
      </c>
      <c r="E21217" t="s">
        <v>147</v>
      </c>
      <c r="F21217" t="s">
        <v>4</v>
      </c>
      <c r="G21217" t="str">
        <f>""</f>
        <v/>
      </c>
    </row>
    <row r="21218" spans="1:7" x14ac:dyDescent="0.25">
      <c r="A21218" t="s">
        <v>8</v>
      </c>
      <c r="B21218" s="1" t="str">
        <f>"000414818 - RICH FOODS PRGM 1-FOODBUY"</f>
        <v>000414818 - RICH FOODS PRGM 1-FOODBUY</v>
      </c>
      <c r="C21218" t="s">
        <v>592</v>
      </c>
      <c r="D21218" s="1" t="str">
        <f t="shared" si="570"/>
        <v>PRG-1047708</v>
      </c>
      <c r="E21218" t="s">
        <v>147</v>
      </c>
      <c r="F21218" t="s">
        <v>4</v>
      </c>
      <c r="G21218" t="str">
        <f>""</f>
        <v/>
      </c>
    </row>
    <row r="21219" spans="1:7" x14ac:dyDescent="0.25">
      <c r="A21219" t="s">
        <v>8</v>
      </c>
      <c r="B21219" s="1" t="str">
        <f>"000415686 - RICH FOODS PRGM 1-FOODBUY"</f>
        <v>000415686 - RICH FOODS PRGM 1-FOODBUY</v>
      </c>
      <c r="C21219" t="s">
        <v>592</v>
      </c>
      <c r="D21219" s="1" t="str">
        <f t="shared" si="570"/>
        <v>PRG-1047708</v>
      </c>
      <c r="E21219" t="s">
        <v>147</v>
      </c>
      <c r="F21219" t="s">
        <v>4</v>
      </c>
      <c r="G21219" t="str">
        <f>""</f>
        <v/>
      </c>
    </row>
    <row r="21220" spans="1:7" x14ac:dyDescent="0.25">
      <c r="A21220" t="s">
        <v>8</v>
      </c>
      <c r="B21220" s="1" t="str">
        <f>"000416483 - RICH FOODS PRGM 3-FOODBUY"</f>
        <v>000416483 - RICH FOODS PRGM 3-FOODBUY</v>
      </c>
      <c r="C21220" t="s">
        <v>238</v>
      </c>
      <c r="D21220" s="1" t="str">
        <f t="shared" si="570"/>
        <v>PRG-1047708</v>
      </c>
      <c r="E21220" t="s">
        <v>147</v>
      </c>
      <c r="F21220" t="s">
        <v>4</v>
      </c>
      <c r="G21220" t="str">
        <f>""</f>
        <v/>
      </c>
    </row>
    <row r="21221" spans="1:7" x14ac:dyDescent="0.25">
      <c r="A21221" t="s">
        <v>8</v>
      </c>
      <c r="B21221" s="1" t="str">
        <f>"000416509 - RICH FOODS PRGM 1-FOODBUY"</f>
        <v>000416509 - RICH FOODS PRGM 1-FOODBUY</v>
      </c>
      <c r="C21221" t="s">
        <v>592</v>
      </c>
      <c r="D21221" s="1" t="str">
        <f t="shared" si="570"/>
        <v>PRG-1047708</v>
      </c>
      <c r="E21221" t="s">
        <v>147</v>
      </c>
      <c r="F21221" t="s">
        <v>4</v>
      </c>
      <c r="G21221" t="str">
        <f>""</f>
        <v/>
      </c>
    </row>
    <row r="21222" spans="1:7" x14ac:dyDescent="0.25">
      <c r="A21222" t="s">
        <v>8</v>
      </c>
      <c r="B21222" s="1" t="str">
        <f>"000418809 - RICH FOODS PRGM 1-FOODBUY"</f>
        <v>000418809 - RICH FOODS PRGM 1-FOODBUY</v>
      </c>
      <c r="C21222" t="s">
        <v>592</v>
      </c>
      <c r="D21222" s="1" t="str">
        <f t="shared" si="570"/>
        <v>PRG-1047708</v>
      </c>
      <c r="E21222" t="s">
        <v>147</v>
      </c>
      <c r="F21222" t="s">
        <v>4</v>
      </c>
      <c r="G21222" t="str">
        <f>""</f>
        <v/>
      </c>
    </row>
    <row r="21223" spans="1:7" x14ac:dyDescent="0.25">
      <c r="A21223" t="s">
        <v>8</v>
      </c>
      <c r="B21223" s="1" t="str">
        <f>"000420845 - RICH FOODS-FOODBUY"</f>
        <v>000420845 - RICH FOODS-FOODBUY</v>
      </c>
      <c r="C21223" t="s">
        <v>237</v>
      </c>
      <c r="D21223" s="1" t="str">
        <f t="shared" si="570"/>
        <v>PRG-1047708</v>
      </c>
      <c r="E21223" t="s">
        <v>147</v>
      </c>
      <c r="F21223" t="s">
        <v>4</v>
      </c>
      <c r="G21223" t="str">
        <f>""</f>
        <v/>
      </c>
    </row>
    <row r="21224" spans="1:7" x14ac:dyDescent="0.25">
      <c r="A21224" t="s">
        <v>8</v>
      </c>
      <c r="B21224" s="1" t="str">
        <f>"000421280 - RICH FOODS-FOODBUY"</f>
        <v>000421280 - RICH FOODS-FOODBUY</v>
      </c>
      <c r="C21224" t="s">
        <v>237</v>
      </c>
      <c r="D21224" s="1" t="str">
        <f t="shared" si="570"/>
        <v>PRG-1047708</v>
      </c>
      <c r="E21224" t="s">
        <v>147</v>
      </c>
      <c r="F21224" t="s">
        <v>4</v>
      </c>
      <c r="G21224" t="str">
        <f>""</f>
        <v/>
      </c>
    </row>
    <row r="21225" spans="1:7" x14ac:dyDescent="0.25">
      <c r="A21225" t="s">
        <v>8</v>
      </c>
      <c r="B21225" s="1" t="str">
        <f>"000422661 - RICH FOODS-FOODBUY"</f>
        <v>000422661 - RICH FOODS-FOODBUY</v>
      </c>
      <c r="C21225" t="s">
        <v>237</v>
      </c>
      <c r="D21225" s="1" t="str">
        <f t="shared" si="570"/>
        <v>PRG-1047708</v>
      </c>
      <c r="E21225" t="s">
        <v>147</v>
      </c>
      <c r="F21225" t="s">
        <v>4</v>
      </c>
      <c r="G21225" t="str">
        <f>""</f>
        <v/>
      </c>
    </row>
    <row r="21226" spans="1:7" x14ac:dyDescent="0.25">
      <c r="A21226" t="s">
        <v>8</v>
      </c>
      <c r="B21226" s="1" t="str">
        <f>"000423029 - RICH FOODS-FOODBUY"</f>
        <v>000423029 - RICH FOODS-FOODBUY</v>
      </c>
      <c r="C21226" t="s">
        <v>237</v>
      </c>
      <c r="D21226" s="1" t="str">
        <f t="shared" si="570"/>
        <v>PRG-1047708</v>
      </c>
      <c r="E21226" t="s">
        <v>147</v>
      </c>
      <c r="F21226" t="s">
        <v>4</v>
      </c>
      <c r="G21226" t="str">
        <f>""</f>
        <v/>
      </c>
    </row>
    <row r="21227" spans="1:7" x14ac:dyDescent="0.25">
      <c r="A21227" t="s">
        <v>8</v>
      </c>
      <c r="B21227" s="1" t="str">
        <f>"000427027 - RICH FOODS-FOODBUY"</f>
        <v>000427027 - RICH FOODS-FOODBUY</v>
      </c>
      <c r="C21227" t="s">
        <v>237</v>
      </c>
      <c r="D21227" s="1" t="str">
        <f t="shared" si="570"/>
        <v>PRG-1047708</v>
      </c>
      <c r="E21227" t="s">
        <v>147</v>
      </c>
      <c r="F21227" t="s">
        <v>4</v>
      </c>
      <c r="G21227" t="str">
        <f>""</f>
        <v/>
      </c>
    </row>
    <row r="21228" spans="1:7" x14ac:dyDescent="0.25">
      <c r="A21228" t="s">
        <v>8</v>
      </c>
      <c r="B21228" s="1" t="str">
        <f>"000427147 - RICH FOODS PRGM 3-FOODBUY"</f>
        <v>000427147 - RICH FOODS PRGM 3-FOODBUY</v>
      </c>
      <c r="C21228" t="s">
        <v>238</v>
      </c>
      <c r="D21228" s="1" t="str">
        <f t="shared" si="570"/>
        <v>PRG-1047708</v>
      </c>
      <c r="E21228" t="s">
        <v>147</v>
      </c>
      <c r="F21228" t="s">
        <v>4</v>
      </c>
      <c r="G21228" t="str">
        <f>""</f>
        <v/>
      </c>
    </row>
    <row r="21229" spans="1:7" x14ac:dyDescent="0.25">
      <c r="A21229" t="s">
        <v>8</v>
      </c>
      <c r="B21229" s="1" t="str">
        <f>"000427407 - RICH FOODS PRGM 3-FOODBUY"</f>
        <v>000427407 - RICH FOODS PRGM 3-FOODBUY</v>
      </c>
      <c r="C21229" t="s">
        <v>238</v>
      </c>
      <c r="D21229" s="1" t="str">
        <f t="shared" si="570"/>
        <v>PRG-1047708</v>
      </c>
      <c r="E21229" t="s">
        <v>147</v>
      </c>
      <c r="F21229" t="s">
        <v>4</v>
      </c>
      <c r="G21229" t="str">
        <f>""</f>
        <v/>
      </c>
    </row>
    <row r="21230" spans="1:7" x14ac:dyDescent="0.25">
      <c r="A21230" t="s">
        <v>8</v>
      </c>
      <c r="B21230" s="1" t="str">
        <f>"000427630 - RICH FOODS-FOODBUY"</f>
        <v>000427630 - RICH FOODS-FOODBUY</v>
      </c>
      <c r="C21230" t="s">
        <v>237</v>
      </c>
      <c r="D21230" s="1" t="str">
        <f t="shared" si="570"/>
        <v>PRG-1047708</v>
      </c>
      <c r="E21230" t="s">
        <v>147</v>
      </c>
      <c r="F21230" t="s">
        <v>4</v>
      </c>
      <c r="G21230" t="str">
        <f>""</f>
        <v/>
      </c>
    </row>
    <row r="21231" spans="1:7" x14ac:dyDescent="0.25">
      <c r="A21231" t="s">
        <v>8</v>
      </c>
      <c r="B21231" s="1" t="str">
        <f>"000428658 - RICH FOODS-FOODBUY"</f>
        <v>000428658 - RICH FOODS-FOODBUY</v>
      </c>
      <c r="C21231" t="s">
        <v>237</v>
      </c>
      <c r="D21231" s="1" t="str">
        <f t="shared" si="570"/>
        <v>PRG-1047708</v>
      </c>
      <c r="E21231" t="s">
        <v>147</v>
      </c>
      <c r="F21231" t="s">
        <v>4</v>
      </c>
      <c r="G21231" t="str">
        <f>""</f>
        <v/>
      </c>
    </row>
    <row r="21232" spans="1:7" x14ac:dyDescent="0.25">
      <c r="A21232" t="s">
        <v>8</v>
      </c>
      <c r="B21232" s="1" t="str">
        <f>"000428887 - RICH FOODS-FOODBUY"</f>
        <v>000428887 - RICH FOODS-FOODBUY</v>
      </c>
      <c r="C21232" t="s">
        <v>237</v>
      </c>
      <c r="D21232" s="1" t="str">
        <f t="shared" si="570"/>
        <v>PRG-1047708</v>
      </c>
      <c r="E21232" t="s">
        <v>147</v>
      </c>
      <c r="F21232" t="s">
        <v>4</v>
      </c>
      <c r="G21232" t="str">
        <f>""</f>
        <v/>
      </c>
    </row>
    <row r="21233" spans="1:7" x14ac:dyDescent="0.25">
      <c r="A21233" t="s">
        <v>8</v>
      </c>
      <c r="B21233" s="1" t="str">
        <f>"000429800 - RICH FOODS PRGM 1-FOODBUY"</f>
        <v>000429800 - RICH FOODS PRGM 1-FOODBUY</v>
      </c>
      <c r="C21233" t="s">
        <v>592</v>
      </c>
      <c r="D21233" s="1" t="str">
        <f t="shared" si="570"/>
        <v>PRG-1047708</v>
      </c>
      <c r="E21233" t="s">
        <v>147</v>
      </c>
      <c r="F21233" t="s">
        <v>4</v>
      </c>
      <c r="G21233" t="str">
        <f>""</f>
        <v/>
      </c>
    </row>
    <row r="21234" spans="1:7" x14ac:dyDescent="0.25">
      <c r="A21234" t="s">
        <v>8</v>
      </c>
      <c r="B21234" s="1" t="str">
        <f>"000430023 - RICH FOODS PRGM 1-FOODBUY"</f>
        <v>000430023 - RICH FOODS PRGM 1-FOODBUY</v>
      </c>
      <c r="C21234" t="s">
        <v>592</v>
      </c>
      <c r="D21234" s="1" t="str">
        <f t="shared" si="570"/>
        <v>PRG-1047708</v>
      </c>
      <c r="E21234" t="s">
        <v>147</v>
      </c>
      <c r="F21234" t="s">
        <v>4</v>
      </c>
      <c r="G21234" t="str">
        <f>""</f>
        <v/>
      </c>
    </row>
    <row r="21235" spans="1:7" x14ac:dyDescent="0.25">
      <c r="A21235" t="s">
        <v>8</v>
      </c>
      <c r="B21235" s="1" t="str">
        <f>"000433947 - RICH FOODS PRGM 1-FOODBUY"</f>
        <v>000433947 - RICH FOODS PRGM 1-FOODBUY</v>
      </c>
      <c r="C21235" t="s">
        <v>592</v>
      </c>
      <c r="D21235" s="1" t="str">
        <f t="shared" si="570"/>
        <v>PRG-1047708</v>
      </c>
      <c r="E21235" t="s">
        <v>147</v>
      </c>
      <c r="F21235" t="s">
        <v>4</v>
      </c>
      <c r="G21235" t="str">
        <f>""</f>
        <v/>
      </c>
    </row>
    <row r="21236" spans="1:7" x14ac:dyDescent="0.25">
      <c r="A21236" t="s">
        <v>8</v>
      </c>
      <c r="B21236" s="1" t="str">
        <f>"000435063 - RICH FOODS PRGM 1-FOODBUY"</f>
        <v>000435063 - RICH FOODS PRGM 1-FOODBUY</v>
      </c>
      <c r="C21236" t="s">
        <v>592</v>
      </c>
      <c r="D21236" s="1" t="str">
        <f t="shared" si="570"/>
        <v>PRG-1047708</v>
      </c>
      <c r="E21236" t="s">
        <v>147</v>
      </c>
      <c r="F21236" t="s">
        <v>4</v>
      </c>
      <c r="G21236" t="str">
        <f>""</f>
        <v/>
      </c>
    </row>
    <row r="21237" spans="1:7" x14ac:dyDescent="0.25">
      <c r="A21237" t="s">
        <v>8</v>
      </c>
      <c r="B21237" s="1" t="str">
        <f>"000441292 - RICH FOODS-FOODBUY"</f>
        <v>000441292 - RICH FOODS-FOODBUY</v>
      </c>
      <c r="C21237" t="s">
        <v>237</v>
      </c>
      <c r="D21237" s="1" t="str">
        <f t="shared" si="570"/>
        <v>PRG-1047708</v>
      </c>
      <c r="E21237" t="s">
        <v>147</v>
      </c>
      <c r="F21237" t="s">
        <v>4</v>
      </c>
      <c r="G21237" t="str">
        <f>""</f>
        <v/>
      </c>
    </row>
    <row r="21238" spans="1:7" x14ac:dyDescent="0.25">
      <c r="A21238" t="s">
        <v>8</v>
      </c>
      <c r="B21238" s="1" t="str">
        <f>"000442839 - RICH FOODS-FOODBUY"</f>
        <v>000442839 - RICH FOODS-FOODBUY</v>
      </c>
      <c r="C21238" t="s">
        <v>237</v>
      </c>
      <c r="D21238" s="1" t="str">
        <f t="shared" si="570"/>
        <v>PRG-1047708</v>
      </c>
      <c r="E21238" t="s">
        <v>147</v>
      </c>
      <c r="F21238" t="s">
        <v>4</v>
      </c>
      <c r="G21238" t="str">
        <f>""</f>
        <v/>
      </c>
    </row>
    <row r="21239" spans="1:7" x14ac:dyDescent="0.25">
      <c r="A21239" t="s">
        <v>8</v>
      </c>
      <c r="B21239" s="1" t="str">
        <f>"000448969 - RICH FOODS PRGM 1-FOODBUY"</f>
        <v>000448969 - RICH FOODS PRGM 1-FOODBUY</v>
      </c>
      <c r="C21239" t="s">
        <v>592</v>
      </c>
      <c r="D21239" s="1" t="str">
        <f t="shared" si="570"/>
        <v>PRG-1047708</v>
      </c>
      <c r="E21239" t="s">
        <v>147</v>
      </c>
      <c r="F21239" t="s">
        <v>4</v>
      </c>
      <c r="G21239" t="str">
        <f>""</f>
        <v/>
      </c>
    </row>
    <row r="21240" spans="1:7" x14ac:dyDescent="0.25">
      <c r="A21240" t="s">
        <v>8</v>
      </c>
      <c r="B21240" s="1" t="str">
        <f>"000182543 - RICH FOODS-TWO ROADS HOSP"</f>
        <v>000182543 - RICH FOODS-TWO ROADS HOSP</v>
      </c>
      <c r="C21240" t="s">
        <v>1152</v>
      </c>
      <c r="D21240" s="1" t="str">
        <f t="shared" ref="D21240:D21245" si="571">"PRG-1047833"</f>
        <v>PRG-1047833</v>
      </c>
      <c r="E21240" t="s">
        <v>1153</v>
      </c>
      <c r="F21240" t="s">
        <v>4</v>
      </c>
      <c r="G21240" t="str">
        <f>""</f>
        <v/>
      </c>
    </row>
    <row r="21241" spans="1:7" x14ac:dyDescent="0.25">
      <c r="A21241" t="s">
        <v>8</v>
      </c>
      <c r="B21241" s="1" t="str">
        <f>"000184426 - RICH FOODS-TWO ROADS HOSP"</f>
        <v>000184426 - RICH FOODS-TWO ROADS HOSP</v>
      </c>
      <c r="C21241" t="s">
        <v>1152</v>
      </c>
      <c r="D21241" s="1" t="str">
        <f t="shared" si="571"/>
        <v>PRG-1047833</v>
      </c>
      <c r="E21241" t="s">
        <v>1153</v>
      </c>
      <c r="F21241" t="s">
        <v>4</v>
      </c>
      <c r="G21241" t="str">
        <f>""</f>
        <v/>
      </c>
    </row>
    <row r="21242" spans="1:7" x14ac:dyDescent="0.25">
      <c r="A21242" t="s">
        <v>8</v>
      </c>
      <c r="B21242" s="1" t="str">
        <f>"000223505 - RICH FOODS-TWO ROADS HOSP"</f>
        <v>000223505 - RICH FOODS-TWO ROADS HOSP</v>
      </c>
      <c r="C21242" t="s">
        <v>1152</v>
      </c>
      <c r="D21242" s="1" t="str">
        <f t="shared" si="571"/>
        <v>PRG-1047833</v>
      </c>
      <c r="E21242" t="s">
        <v>1153</v>
      </c>
      <c r="F21242" t="s">
        <v>4</v>
      </c>
      <c r="G21242" t="str">
        <f>""</f>
        <v/>
      </c>
    </row>
    <row r="21243" spans="1:7" x14ac:dyDescent="0.25">
      <c r="A21243" t="s">
        <v>8</v>
      </c>
      <c r="B21243" s="1" t="str">
        <f>"000298549 - RICH FOODS-TWO ROADS HOSP"</f>
        <v>000298549 - RICH FOODS-TWO ROADS HOSP</v>
      </c>
      <c r="C21243" t="s">
        <v>1152</v>
      </c>
      <c r="D21243" s="1" t="str">
        <f t="shared" si="571"/>
        <v>PRG-1047833</v>
      </c>
      <c r="E21243" t="s">
        <v>1153</v>
      </c>
      <c r="F21243" t="s">
        <v>4</v>
      </c>
      <c r="G21243" t="str">
        <f>""</f>
        <v/>
      </c>
    </row>
    <row r="21244" spans="1:7" x14ac:dyDescent="0.25">
      <c r="A21244" t="s">
        <v>8</v>
      </c>
      <c r="B21244" s="1" t="str">
        <f>"000348375 - RICH FOODS-TWO ROADS HOSP"</f>
        <v>000348375 - RICH FOODS-TWO ROADS HOSP</v>
      </c>
      <c r="C21244" t="s">
        <v>1152</v>
      </c>
      <c r="D21244" s="1" t="str">
        <f t="shared" si="571"/>
        <v>PRG-1047833</v>
      </c>
      <c r="E21244" t="s">
        <v>1153</v>
      </c>
      <c r="F21244" t="s">
        <v>4</v>
      </c>
      <c r="G21244" t="str">
        <f>""</f>
        <v/>
      </c>
    </row>
    <row r="21245" spans="1:7" x14ac:dyDescent="0.25">
      <c r="A21245" t="s">
        <v>8</v>
      </c>
      <c r="B21245" s="1" t="str">
        <f>"000426134 - RICH FOODS-TWO ROADS HOSP"</f>
        <v>000426134 - RICH FOODS-TWO ROADS HOSP</v>
      </c>
      <c r="C21245" t="s">
        <v>1152</v>
      </c>
      <c r="D21245" s="1" t="str">
        <f t="shared" si="571"/>
        <v>PRG-1047833</v>
      </c>
      <c r="E21245" t="s">
        <v>1153</v>
      </c>
      <c r="F21245" t="s">
        <v>4</v>
      </c>
      <c r="G21245" t="str">
        <f>""</f>
        <v/>
      </c>
    </row>
    <row r="21246" spans="1:7" x14ac:dyDescent="0.25">
      <c r="A21246" t="s">
        <v>8</v>
      </c>
      <c r="B21246" s="1" t="str">
        <f>"000215562 - RICH-AVENDRA"</f>
        <v>000215562 - RICH-AVENDRA</v>
      </c>
      <c r="C21246" t="s">
        <v>1523</v>
      </c>
      <c r="D21246" s="1" t="str">
        <f t="shared" ref="D21246:D21283" si="572">"PRG-1047838"</f>
        <v>PRG-1047838</v>
      </c>
      <c r="E21246" t="s">
        <v>1524</v>
      </c>
      <c r="F21246" t="s">
        <v>4</v>
      </c>
      <c r="G21246" t="str">
        <f>""</f>
        <v/>
      </c>
    </row>
    <row r="21247" spans="1:7" x14ac:dyDescent="0.25">
      <c r="A21247" t="s">
        <v>8</v>
      </c>
      <c r="B21247" s="1" t="str">
        <f>"000233798 - RICH NONCORE-AVENDRA"</f>
        <v>000233798 - RICH NONCORE-AVENDRA</v>
      </c>
      <c r="C21247" t="s">
        <v>1811</v>
      </c>
      <c r="D21247" s="1" t="str">
        <f t="shared" si="572"/>
        <v>PRG-1047838</v>
      </c>
      <c r="E21247" t="s">
        <v>1524</v>
      </c>
      <c r="F21247" t="s">
        <v>4</v>
      </c>
      <c r="G21247" t="str">
        <f>""</f>
        <v/>
      </c>
    </row>
    <row r="21248" spans="1:7" x14ac:dyDescent="0.25">
      <c r="A21248" t="s">
        <v>8</v>
      </c>
      <c r="B21248" s="1" t="str">
        <f>"000234268 - RICH CORE-AVENDRA"</f>
        <v>000234268 - RICH CORE-AVENDRA</v>
      </c>
      <c r="C21248" t="s">
        <v>1693</v>
      </c>
      <c r="D21248" s="1" t="str">
        <f t="shared" si="572"/>
        <v>PRG-1047838</v>
      </c>
      <c r="E21248" t="s">
        <v>1524</v>
      </c>
      <c r="F21248" t="s">
        <v>4</v>
      </c>
      <c r="G21248" t="str">
        <f>""</f>
        <v/>
      </c>
    </row>
    <row r="21249" spans="1:7" x14ac:dyDescent="0.25">
      <c r="A21249" t="s">
        <v>8</v>
      </c>
      <c r="B21249" s="1" t="str">
        <f>"000234269 - RICH NONCORE-AVENDRA"</f>
        <v>000234269 - RICH NONCORE-AVENDRA</v>
      </c>
      <c r="C21249" t="s">
        <v>1811</v>
      </c>
      <c r="D21249" s="1" t="str">
        <f t="shared" si="572"/>
        <v>PRG-1047838</v>
      </c>
      <c r="E21249" t="s">
        <v>1524</v>
      </c>
      <c r="F21249" t="s">
        <v>4</v>
      </c>
      <c r="G21249" t="str">
        <f>""</f>
        <v/>
      </c>
    </row>
    <row r="21250" spans="1:7" x14ac:dyDescent="0.25">
      <c r="A21250" t="s">
        <v>8</v>
      </c>
      <c r="B21250" s="1" t="str">
        <f>"000237242 - RICH NONCORE-AVENDRA"</f>
        <v>000237242 - RICH NONCORE-AVENDRA</v>
      </c>
      <c r="C21250" t="s">
        <v>1811</v>
      </c>
      <c r="D21250" s="1" t="str">
        <f t="shared" si="572"/>
        <v>PRG-1047838</v>
      </c>
      <c r="E21250" t="s">
        <v>1524</v>
      </c>
      <c r="F21250" t="s">
        <v>4</v>
      </c>
      <c r="G21250" t="str">
        <f>""</f>
        <v/>
      </c>
    </row>
    <row r="21251" spans="1:7" x14ac:dyDescent="0.25">
      <c r="A21251" t="s">
        <v>8</v>
      </c>
      <c r="B21251" s="1" t="str">
        <f>"000247257 - RICH (BB NCORE)-AVENDRA"</f>
        <v>000247257 - RICH (BB NCORE)-AVENDRA</v>
      </c>
      <c r="C21251" t="s">
        <v>2031</v>
      </c>
      <c r="D21251" s="1" t="str">
        <f t="shared" si="572"/>
        <v>PRG-1047838</v>
      </c>
      <c r="E21251" t="s">
        <v>1524</v>
      </c>
      <c r="F21251" t="s">
        <v>4</v>
      </c>
      <c r="G21251" t="str">
        <f>""</f>
        <v/>
      </c>
    </row>
    <row r="21252" spans="1:7" x14ac:dyDescent="0.25">
      <c r="A21252" t="s">
        <v>8</v>
      </c>
      <c r="B21252" s="1" t="str">
        <f>"000251486 - RICH (BB CORE)-AVENDRA"</f>
        <v>000251486 - RICH (BB CORE)-AVENDRA</v>
      </c>
      <c r="C21252" t="s">
        <v>2114</v>
      </c>
      <c r="D21252" s="1" t="str">
        <f t="shared" si="572"/>
        <v>PRG-1047838</v>
      </c>
      <c r="E21252" t="s">
        <v>1524</v>
      </c>
      <c r="F21252" t="s">
        <v>4</v>
      </c>
      <c r="G21252" t="str">
        <f>""</f>
        <v/>
      </c>
    </row>
    <row r="21253" spans="1:7" x14ac:dyDescent="0.25">
      <c r="A21253" t="s">
        <v>8</v>
      </c>
      <c r="B21253" s="1" t="str">
        <f>"000252182 - RICH (BB NCORE)-AVENDRA"</f>
        <v>000252182 - RICH (BB NCORE)-AVENDRA</v>
      </c>
      <c r="C21253" t="s">
        <v>2031</v>
      </c>
      <c r="D21253" s="1" t="str">
        <f t="shared" si="572"/>
        <v>PRG-1047838</v>
      </c>
      <c r="E21253" t="s">
        <v>1524</v>
      </c>
      <c r="F21253" t="s">
        <v>4</v>
      </c>
      <c r="G21253" t="str">
        <f>""</f>
        <v/>
      </c>
    </row>
    <row r="21254" spans="1:7" x14ac:dyDescent="0.25">
      <c r="A21254" t="s">
        <v>8</v>
      </c>
      <c r="B21254" s="1" t="str">
        <f>"000252195 - RICH AVENDRA(NC BB 6 8-6 15)"</f>
        <v>000252195 - RICH AVENDRA(NC BB 6 8-6 15)</v>
      </c>
      <c r="C21254" t="s">
        <v>2127</v>
      </c>
      <c r="D21254" s="1" t="str">
        <f t="shared" si="572"/>
        <v>PRG-1047838</v>
      </c>
      <c r="E21254" t="s">
        <v>1524</v>
      </c>
      <c r="F21254" t="s">
        <v>4</v>
      </c>
      <c r="G21254" t="str">
        <f>""</f>
        <v/>
      </c>
    </row>
    <row r="21255" spans="1:7" x14ac:dyDescent="0.25">
      <c r="A21255" t="s">
        <v>8</v>
      </c>
      <c r="B21255" s="1" t="str">
        <f>"000255745 - RICH (BB CORE)-AVENDRA"</f>
        <v>000255745 - RICH (BB CORE)-AVENDRA</v>
      </c>
      <c r="C21255" t="s">
        <v>2114</v>
      </c>
      <c r="D21255" s="1" t="str">
        <f t="shared" si="572"/>
        <v>PRG-1047838</v>
      </c>
      <c r="E21255" t="s">
        <v>1524</v>
      </c>
      <c r="F21255" t="s">
        <v>4</v>
      </c>
      <c r="G21255" t="str">
        <f>""</f>
        <v/>
      </c>
    </row>
    <row r="21256" spans="1:7" x14ac:dyDescent="0.25">
      <c r="A21256" t="s">
        <v>8</v>
      </c>
      <c r="B21256" s="1" t="str">
        <f>"000255748 - RICH (BB NCORE)-AVENDRA"</f>
        <v>000255748 - RICH (BB NCORE)-AVENDRA</v>
      </c>
      <c r="C21256" t="s">
        <v>2031</v>
      </c>
      <c r="D21256" s="1" t="str">
        <f t="shared" si="572"/>
        <v>PRG-1047838</v>
      </c>
      <c r="E21256" t="s">
        <v>1524</v>
      </c>
      <c r="F21256" t="s">
        <v>4</v>
      </c>
      <c r="G21256" t="str">
        <f>""</f>
        <v/>
      </c>
    </row>
    <row r="21257" spans="1:7" x14ac:dyDescent="0.25">
      <c r="A21257" t="s">
        <v>8</v>
      </c>
      <c r="B21257" s="1" t="str">
        <f>"000262285 - RICH (BB CORE)-AVENDRA"</f>
        <v>000262285 - RICH (BB CORE)-AVENDRA</v>
      </c>
      <c r="C21257" t="s">
        <v>2114</v>
      </c>
      <c r="D21257" s="1" t="str">
        <f t="shared" si="572"/>
        <v>PRG-1047838</v>
      </c>
      <c r="E21257" t="s">
        <v>1524</v>
      </c>
      <c r="F21257" t="s">
        <v>4</v>
      </c>
      <c r="G21257" t="str">
        <f>""</f>
        <v/>
      </c>
    </row>
    <row r="21258" spans="1:7" x14ac:dyDescent="0.25">
      <c r="A21258" t="s">
        <v>8</v>
      </c>
      <c r="B21258" s="1" t="str">
        <f>"000262286 - RICH (BB NCORE)-AVENDRA"</f>
        <v>000262286 - RICH (BB NCORE)-AVENDRA</v>
      </c>
      <c r="C21258" t="s">
        <v>2031</v>
      </c>
      <c r="D21258" s="1" t="str">
        <f t="shared" si="572"/>
        <v>PRG-1047838</v>
      </c>
      <c r="E21258" t="s">
        <v>1524</v>
      </c>
      <c r="F21258" t="s">
        <v>4</v>
      </c>
      <c r="G21258" t="str">
        <f>""</f>
        <v/>
      </c>
    </row>
    <row r="21259" spans="1:7" x14ac:dyDescent="0.25">
      <c r="A21259" t="s">
        <v>8</v>
      </c>
      <c r="B21259" s="1" t="str">
        <f>"000265772 - RICH FOODS-AVENDRA"</f>
        <v>000265772 - RICH FOODS-AVENDRA</v>
      </c>
      <c r="C21259" t="s">
        <v>1456</v>
      </c>
      <c r="D21259" s="1" t="str">
        <f t="shared" si="572"/>
        <v>PRG-1047838</v>
      </c>
      <c r="E21259" t="s">
        <v>1524</v>
      </c>
      <c r="F21259" t="s">
        <v>4</v>
      </c>
      <c r="G21259" t="str">
        <f>""</f>
        <v/>
      </c>
    </row>
    <row r="21260" spans="1:7" x14ac:dyDescent="0.25">
      <c r="A21260" t="s">
        <v>8</v>
      </c>
      <c r="B21260" s="1" t="str">
        <f>"000270361 - RICH FOODS-AVENDRA"</f>
        <v>000270361 - RICH FOODS-AVENDRA</v>
      </c>
      <c r="C21260" t="s">
        <v>1456</v>
      </c>
      <c r="D21260" s="1" t="str">
        <f t="shared" si="572"/>
        <v>PRG-1047838</v>
      </c>
      <c r="E21260" t="s">
        <v>1524</v>
      </c>
      <c r="F21260" t="s">
        <v>4</v>
      </c>
      <c r="G21260" t="str">
        <f>""</f>
        <v/>
      </c>
    </row>
    <row r="21261" spans="1:7" x14ac:dyDescent="0.25">
      <c r="A21261" t="s">
        <v>8</v>
      </c>
      <c r="B21261" s="1" t="str">
        <f>"000272866 - RICH FOODS-AVENDRA"</f>
        <v>000272866 - RICH FOODS-AVENDRA</v>
      </c>
      <c r="C21261" t="s">
        <v>1456</v>
      </c>
      <c r="D21261" s="1" t="str">
        <f t="shared" si="572"/>
        <v>PRG-1047838</v>
      </c>
      <c r="E21261" t="s">
        <v>1524</v>
      </c>
      <c r="F21261" t="s">
        <v>4</v>
      </c>
      <c r="G21261" t="str">
        <f>""</f>
        <v/>
      </c>
    </row>
    <row r="21262" spans="1:7" x14ac:dyDescent="0.25">
      <c r="A21262" t="s">
        <v>8</v>
      </c>
      <c r="B21262" s="1" t="str">
        <f>"000274611 - RICH FOODS-AVENDRA"</f>
        <v>000274611 - RICH FOODS-AVENDRA</v>
      </c>
      <c r="C21262" t="s">
        <v>1456</v>
      </c>
      <c r="D21262" s="1" t="str">
        <f t="shared" si="572"/>
        <v>PRG-1047838</v>
      </c>
      <c r="E21262" t="s">
        <v>1524</v>
      </c>
      <c r="F21262" t="s">
        <v>4</v>
      </c>
      <c r="G21262" t="str">
        <f>""</f>
        <v/>
      </c>
    </row>
    <row r="21263" spans="1:7" x14ac:dyDescent="0.25">
      <c r="A21263" t="s">
        <v>8</v>
      </c>
      <c r="B21263" s="1" t="str">
        <f>"000291274 - RICH-AVENDRA"</f>
        <v>000291274 - RICH-AVENDRA</v>
      </c>
      <c r="C21263" t="s">
        <v>1523</v>
      </c>
      <c r="D21263" s="1" t="str">
        <f t="shared" si="572"/>
        <v>PRG-1047838</v>
      </c>
      <c r="E21263" t="s">
        <v>1524</v>
      </c>
      <c r="F21263" t="s">
        <v>4</v>
      </c>
      <c r="G21263" t="str">
        <f>""</f>
        <v/>
      </c>
    </row>
    <row r="21264" spans="1:7" x14ac:dyDescent="0.25">
      <c r="A21264" t="s">
        <v>8</v>
      </c>
      <c r="B21264" s="1" t="str">
        <f>"000310986 - RICH NONCORE-AVENDRA"</f>
        <v>000310986 - RICH NONCORE-AVENDRA</v>
      </c>
      <c r="C21264" t="s">
        <v>1811</v>
      </c>
      <c r="D21264" s="1" t="str">
        <f t="shared" si="572"/>
        <v>PRG-1047838</v>
      </c>
      <c r="E21264" t="s">
        <v>1524</v>
      </c>
      <c r="F21264" t="s">
        <v>4</v>
      </c>
      <c r="G21264" t="str">
        <f>""</f>
        <v/>
      </c>
    </row>
    <row r="21265" spans="1:7" x14ac:dyDescent="0.25">
      <c r="A21265" t="s">
        <v>8</v>
      </c>
      <c r="B21265" s="1" t="str">
        <f>"000311512 - RICH NONCORE-AVENDRA"</f>
        <v>000311512 - RICH NONCORE-AVENDRA</v>
      </c>
      <c r="C21265" t="s">
        <v>1811</v>
      </c>
      <c r="D21265" s="1" t="str">
        <f t="shared" si="572"/>
        <v>PRG-1047838</v>
      </c>
      <c r="E21265" t="s">
        <v>1524</v>
      </c>
      <c r="F21265" t="s">
        <v>4</v>
      </c>
      <c r="G21265" t="str">
        <f>""</f>
        <v/>
      </c>
    </row>
    <row r="21266" spans="1:7" x14ac:dyDescent="0.25">
      <c r="A21266" t="s">
        <v>8</v>
      </c>
      <c r="B21266" s="1" t="str">
        <f>"000340454 - RICH (BB CORE)-AVENDRA"</f>
        <v>000340454 - RICH (BB CORE)-AVENDRA</v>
      </c>
      <c r="C21266" t="s">
        <v>2114</v>
      </c>
      <c r="D21266" s="1" t="str">
        <f t="shared" si="572"/>
        <v>PRG-1047838</v>
      </c>
      <c r="E21266" t="s">
        <v>1524</v>
      </c>
      <c r="F21266" t="s">
        <v>4</v>
      </c>
      <c r="G21266" t="str">
        <f>""</f>
        <v/>
      </c>
    </row>
    <row r="21267" spans="1:7" x14ac:dyDescent="0.25">
      <c r="A21267" t="s">
        <v>8</v>
      </c>
      <c r="B21267" s="1" t="str">
        <f>"000340455 - RICH (BB NCORE)-AVENDRA"</f>
        <v>000340455 - RICH (BB NCORE)-AVENDRA</v>
      </c>
      <c r="C21267" t="s">
        <v>2031</v>
      </c>
      <c r="D21267" s="1" t="str">
        <f t="shared" si="572"/>
        <v>PRG-1047838</v>
      </c>
      <c r="E21267" t="s">
        <v>1524</v>
      </c>
      <c r="F21267" t="s">
        <v>4</v>
      </c>
      <c r="G21267" t="str">
        <f>""</f>
        <v/>
      </c>
    </row>
    <row r="21268" spans="1:7" x14ac:dyDescent="0.25">
      <c r="A21268" t="s">
        <v>8</v>
      </c>
      <c r="B21268" s="1" t="str">
        <f>"6026GL61"</f>
        <v>6026GL61</v>
      </c>
      <c r="C21268" t="s">
        <v>5074</v>
      </c>
      <c r="D21268" s="1" t="str">
        <f t="shared" si="572"/>
        <v>PRG-1047838</v>
      </c>
      <c r="E21268" t="s">
        <v>1524</v>
      </c>
      <c r="F21268" t="s">
        <v>5</v>
      </c>
      <c r="G21268" t="str">
        <f>""</f>
        <v/>
      </c>
    </row>
    <row r="21269" spans="1:7" x14ac:dyDescent="0.25">
      <c r="A21269" t="s">
        <v>8</v>
      </c>
      <c r="B21269" s="1" t="str">
        <f>"6026GR13"</f>
        <v>6026GR13</v>
      </c>
      <c r="C21269" t="s">
        <v>5075</v>
      </c>
      <c r="D21269" s="1" t="str">
        <f t="shared" si="572"/>
        <v>PRG-1047838</v>
      </c>
      <c r="E21269" t="s">
        <v>1524</v>
      </c>
      <c r="F21269" t="s">
        <v>5</v>
      </c>
      <c r="G21269" t="str">
        <f>""</f>
        <v/>
      </c>
    </row>
    <row r="21270" spans="1:7" x14ac:dyDescent="0.25">
      <c r="A21270" t="s">
        <v>8</v>
      </c>
      <c r="B21270" s="1" t="str">
        <f>"6026GV14"</f>
        <v>6026GV14</v>
      </c>
      <c r="C21270" t="s">
        <v>5076</v>
      </c>
      <c r="D21270" s="1" t="str">
        <f t="shared" si="572"/>
        <v>PRG-1047838</v>
      </c>
      <c r="E21270" t="s">
        <v>1524</v>
      </c>
      <c r="F21270" t="s">
        <v>5</v>
      </c>
      <c r="G21270" t="str">
        <f>""</f>
        <v/>
      </c>
    </row>
    <row r="21271" spans="1:7" x14ac:dyDescent="0.25">
      <c r="A21271" t="s">
        <v>8</v>
      </c>
      <c r="B21271" s="1" t="str">
        <f>"6026J363"</f>
        <v>6026J363</v>
      </c>
      <c r="C21271" t="s">
        <v>5086</v>
      </c>
      <c r="D21271" s="1" t="str">
        <f t="shared" si="572"/>
        <v>PRG-1047838</v>
      </c>
      <c r="E21271" t="s">
        <v>1524</v>
      </c>
      <c r="F21271" t="s">
        <v>5</v>
      </c>
      <c r="G21271" t="str">
        <f>""</f>
        <v/>
      </c>
    </row>
    <row r="21272" spans="1:7" x14ac:dyDescent="0.25">
      <c r="A21272" t="s">
        <v>8</v>
      </c>
      <c r="B21272" s="1" t="str">
        <f>"60272252"</f>
        <v>60272252</v>
      </c>
      <c r="C21272" t="s">
        <v>5180</v>
      </c>
      <c r="D21272" s="1" t="str">
        <f t="shared" si="572"/>
        <v>PRG-1047838</v>
      </c>
      <c r="E21272" t="s">
        <v>1524</v>
      </c>
      <c r="F21272" t="s">
        <v>5</v>
      </c>
      <c r="G21272" t="str">
        <f>""</f>
        <v/>
      </c>
    </row>
    <row r="21273" spans="1:7" x14ac:dyDescent="0.25">
      <c r="A21273" t="s">
        <v>8</v>
      </c>
      <c r="B21273" s="1" t="str">
        <f>"60272253"</f>
        <v>60272253</v>
      </c>
      <c r="C21273" t="s">
        <v>5181</v>
      </c>
      <c r="D21273" s="1" t="str">
        <f t="shared" si="572"/>
        <v>PRG-1047838</v>
      </c>
      <c r="E21273" t="s">
        <v>1524</v>
      </c>
      <c r="F21273" t="s">
        <v>5</v>
      </c>
      <c r="G21273" t="str">
        <f>""</f>
        <v/>
      </c>
    </row>
    <row r="21274" spans="1:7" x14ac:dyDescent="0.25">
      <c r="A21274" t="s">
        <v>8</v>
      </c>
      <c r="B21274" s="1" t="str">
        <f>"60272254"</f>
        <v>60272254</v>
      </c>
      <c r="C21274" t="s">
        <v>5182</v>
      </c>
      <c r="D21274" s="1" t="str">
        <f t="shared" si="572"/>
        <v>PRG-1047838</v>
      </c>
      <c r="E21274" t="s">
        <v>1524</v>
      </c>
      <c r="F21274" t="s">
        <v>5</v>
      </c>
      <c r="G21274" t="str">
        <f>""</f>
        <v/>
      </c>
    </row>
    <row r="21275" spans="1:7" x14ac:dyDescent="0.25">
      <c r="A21275" t="s">
        <v>8</v>
      </c>
      <c r="B21275" s="1" t="str">
        <f>"60272255"</f>
        <v>60272255</v>
      </c>
      <c r="C21275" t="s">
        <v>5183</v>
      </c>
      <c r="D21275" s="1" t="str">
        <f t="shared" si="572"/>
        <v>PRG-1047838</v>
      </c>
      <c r="E21275" t="s">
        <v>1524</v>
      </c>
      <c r="F21275" t="s">
        <v>5</v>
      </c>
      <c r="G21275" t="str">
        <f>""</f>
        <v/>
      </c>
    </row>
    <row r="21276" spans="1:7" x14ac:dyDescent="0.25">
      <c r="A21276" t="s">
        <v>8</v>
      </c>
      <c r="B21276" s="1" t="str">
        <f>"60272256"</f>
        <v>60272256</v>
      </c>
      <c r="C21276" t="s">
        <v>5184</v>
      </c>
      <c r="D21276" s="1" t="str">
        <f t="shared" si="572"/>
        <v>PRG-1047838</v>
      </c>
      <c r="E21276" t="s">
        <v>1524</v>
      </c>
      <c r="F21276" t="s">
        <v>5</v>
      </c>
      <c r="G21276" t="str">
        <f>""</f>
        <v/>
      </c>
    </row>
    <row r="21277" spans="1:7" x14ac:dyDescent="0.25">
      <c r="A21277" t="s">
        <v>8</v>
      </c>
      <c r="B21277" s="1" t="str">
        <f>"60272257"</f>
        <v>60272257</v>
      </c>
      <c r="C21277" t="s">
        <v>5185</v>
      </c>
      <c r="D21277" s="1" t="str">
        <f t="shared" si="572"/>
        <v>PRG-1047838</v>
      </c>
      <c r="E21277" t="s">
        <v>1524</v>
      </c>
      <c r="F21277" t="s">
        <v>5</v>
      </c>
      <c r="G21277" t="str">
        <f>""</f>
        <v/>
      </c>
    </row>
    <row r="21278" spans="1:7" x14ac:dyDescent="0.25">
      <c r="A21278" t="s">
        <v>8</v>
      </c>
      <c r="B21278" s="1" t="str">
        <f>"60272258"</f>
        <v>60272258</v>
      </c>
      <c r="C21278" t="s">
        <v>5186</v>
      </c>
      <c r="D21278" s="1" t="str">
        <f t="shared" si="572"/>
        <v>PRG-1047838</v>
      </c>
      <c r="E21278" t="s">
        <v>1524</v>
      </c>
      <c r="F21278" t="s">
        <v>5</v>
      </c>
      <c r="G21278" t="str">
        <f>""</f>
        <v/>
      </c>
    </row>
    <row r="21279" spans="1:7" x14ac:dyDescent="0.25">
      <c r="A21279" t="s">
        <v>8</v>
      </c>
      <c r="B21279" s="1" t="str">
        <f>"60272259"</f>
        <v>60272259</v>
      </c>
      <c r="C21279" t="s">
        <v>5187</v>
      </c>
      <c r="D21279" s="1" t="str">
        <f t="shared" si="572"/>
        <v>PRG-1047838</v>
      </c>
      <c r="E21279" t="s">
        <v>1524</v>
      </c>
      <c r="F21279" t="s">
        <v>5</v>
      </c>
      <c r="G21279" t="str">
        <f>""</f>
        <v/>
      </c>
    </row>
    <row r="21280" spans="1:7" x14ac:dyDescent="0.25">
      <c r="A21280" t="s">
        <v>8</v>
      </c>
      <c r="B21280" s="1" t="str">
        <f>"60272260"</f>
        <v>60272260</v>
      </c>
      <c r="C21280" t="s">
        <v>5188</v>
      </c>
      <c r="D21280" s="1" t="str">
        <f t="shared" si="572"/>
        <v>PRG-1047838</v>
      </c>
      <c r="E21280" t="s">
        <v>1524</v>
      </c>
      <c r="F21280" t="s">
        <v>5</v>
      </c>
      <c r="G21280" t="str">
        <f>""</f>
        <v/>
      </c>
    </row>
    <row r="21281" spans="1:7" x14ac:dyDescent="0.25">
      <c r="A21281" t="s">
        <v>8</v>
      </c>
      <c r="B21281" s="1" t="str">
        <f>"60272261"</f>
        <v>60272261</v>
      </c>
      <c r="C21281" t="s">
        <v>5189</v>
      </c>
      <c r="D21281" s="1" t="str">
        <f t="shared" si="572"/>
        <v>PRG-1047838</v>
      </c>
      <c r="E21281" t="s">
        <v>1524</v>
      </c>
      <c r="F21281" t="s">
        <v>5</v>
      </c>
      <c r="G21281" t="str">
        <f>""</f>
        <v/>
      </c>
    </row>
    <row r="21282" spans="1:7" x14ac:dyDescent="0.25">
      <c r="A21282" t="s">
        <v>8</v>
      </c>
      <c r="B21282" s="1" t="str">
        <f>"60272262"</f>
        <v>60272262</v>
      </c>
      <c r="C21282" t="s">
        <v>5190</v>
      </c>
      <c r="D21282" s="1" t="str">
        <f t="shared" si="572"/>
        <v>PRG-1047838</v>
      </c>
      <c r="E21282" t="s">
        <v>1524</v>
      </c>
      <c r="F21282" t="s">
        <v>5</v>
      </c>
      <c r="G21282" t="str">
        <f>""</f>
        <v/>
      </c>
    </row>
    <row r="21283" spans="1:7" x14ac:dyDescent="0.25">
      <c r="A21283" t="s">
        <v>8</v>
      </c>
      <c r="B21283" s="1" t="str">
        <f>"60272263"</f>
        <v>60272263</v>
      </c>
      <c r="C21283" t="s">
        <v>5191</v>
      </c>
      <c r="D21283" s="1" t="str">
        <f t="shared" si="572"/>
        <v>PRG-1047838</v>
      </c>
      <c r="E21283" t="s">
        <v>1524</v>
      </c>
      <c r="F21283" t="s">
        <v>5</v>
      </c>
      <c r="G21283" t="str">
        <f>""</f>
        <v/>
      </c>
    </row>
    <row r="21284" spans="1:7" x14ac:dyDescent="0.25">
      <c r="A21284" t="s">
        <v>8</v>
      </c>
      <c r="B21284" s="1" t="str">
        <f>"2110F877"</f>
        <v>2110F877</v>
      </c>
      <c r="C21284" t="s">
        <v>4125</v>
      </c>
      <c r="D21284" s="1" t="str">
        <f>"PRG-1047843"</f>
        <v>PRG-1047843</v>
      </c>
      <c r="E21284" t="s">
        <v>4126</v>
      </c>
      <c r="F21284" t="s">
        <v>5</v>
      </c>
      <c r="G21284" t="str">
        <f>""</f>
        <v/>
      </c>
    </row>
    <row r="21285" spans="1:7" x14ac:dyDescent="0.25">
      <c r="A21285" t="s">
        <v>8</v>
      </c>
      <c r="B21285" s="1" t="str">
        <f>"000301443 - RICHS  RENOS"</f>
        <v>000301443 - RICHS  RENOS</v>
      </c>
      <c r="C21285" t="s">
        <v>1427</v>
      </c>
      <c r="D21285" s="1" t="str">
        <f>"PRG-1047846"</f>
        <v>PRG-1047846</v>
      </c>
      <c r="E21285" t="s">
        <v>2846</v>
      </c>
      <c r="F21285" t="s">
        <v>4</v>
      </c>
      <c r="G21285" t="str">
        <f>""</f>
        <v/>
      </c>
    </row>
    <row r="21286" spans="1:7" x14ac:dyDescent="0.25">
      <c r="A21286" t="s">
        <v>8</v>
      </c>
      <c r="B21286" s="1" t="str">
        <f>"000383041 - RICH FOODS-ROCKFISH GRILL"</f>
        <v>000383041 - RICH FOODS-ROCKFISH GRILL</v>
      </c>
      <c r="C21286" t="s">
        <v>3623</v>
      </c>
      <c r="D21286" s="1" t="str">
        <f>"PRG-1047849"</f>
        <v>PRG-1047849</v>
      </c>
      <c r="E21286" t="s">
        <v>3478</v>
      </c>
      <c r="F21286" t="s">
        <v>4</v>
      </c>
      <c r="G21286" t="str">
        <f>""</f>
        <v/>
      </c>
    </row>
    <row r="21287" spans="1:7" x14ac:dyDescent="0.25">
      <c r="A21287" t="s">
        <v>8</v>
      </c>
      <c r="B21287" s="1" t="str">
        <f>"000392711 - RICH FOODS-ROCKFISH GRILL"</f>
        <v>000392711 - RICH FOODS-ROCKFISH GRILL</v>
      </c>
      <c r="C21287" t="s">
        <v>3623</v>
      </c>
      <c r="D21287" s="1" t="str">
        <f>"PRG-1047849"</f>
        <v>PRG-1047849</v>
      </c>
      <c r="E21287" t="s">
        <v>3478</v>
      </c>
      <c r="F21287" t="s">
        <v>4</v>
      </c>
      <c r="G21287" t="str">
        <f>""</f>
        <v/>
      </c>
    </row>
    <row r="21288" spans="1:7" x14ac:dyDescent="0.25">
      <c r="A21288" t="s">
        <v>8</v>
      </c>
      <c r="B21288" s="1" t="str">
        <f>"000418264 - RICH FOODS-ROCKFISH GRILL"</f>
        <v>000418264 - RICH FOODS-ROCKFISH GRILL</v>
      </c>
      <c r="C21288" t="s">
        <v>3623</v>
      </c>
      <c r="D21288" s="1" t="str">
        <f>"PRG-1047849"</f>
        <v>PRG-1047849</v>
      </c>
      <c r="E21288" t="s">
        <v>3478</v>
      </c>
      <c r="F21288" t="s">
        <v>4</v>
      </c>
      <c r="G21288" t="str">
        <f>""</f>
        <v/>
      </c>
    </row>
    <row r="21289" spans="1:7" x14ac:dyDescent="0.25">
      <c r="A21289" t="s">
        <v>8</v>
      </c>
      <c r="B21289" s="1" t="str">
        <f>"000240602 - RICH FOODS-AFV"</f>
        <v>000240602 - RICH FOODS-AFV</v>
      </c>
      <c r="C21289" t="s">
        <v>1907</v>
      </c>
      <c r="D21289" s="1" t="str">
        <f t="shared" ref="D21289:D21297" si="573">"PRG-1047850"</f>
        <v>PRG-1047850</v>
      </c>
      <c r="E21289" t="s">
        <v>1908</v>
      </c>
      <c r="F21289" t="s">
        <v>4</v>
      </c>
      <c r="G21289" t="str">
        <f>""</f>
        <v/>
      </c>
    </row>
    <row r="21290" spans="1:7" x14ac:dyDescent="0.25">
      <c r="A21290" t="s">
        <v>8</v>
      </c>
      <c r="B21290" s="1" t="str">
        <f>"000290224 - RICH FOODS-AFV"</f>
        <v>000290224 - RICH FOODS-AFV</v>
      </c>
      <c r="C21290" t="s">
        <v>1907</v>
      </c>
      <c r="D21290" s="1" t="str">
        <f t="shared" si="573"/>
        <v>PRG-1047850</v>
      </c>
      <c r="E21290" t="s">
        <v>1908</v>
      </c>
      <c r="F21290" t="s">
        <v>4</v>
      </c>
      <c r="G21290" t="str">
        <f>""</f>
        <v/>
      </c>
    </row>
    <row r="21291" spans="1:7" x14ac:dyDescent="0.25">
      <c r="A21291" t="s">
        <v>8</v>
      </c>
      <c r="B21291" s="1" t="str">
        <f>"000291602 - RICH FOODS-AFV"</f>
        <v>000291602 - RICH FOODS-AFV</v>
      </c>
      <c r="C21291" t="s">
        <v>1907</v>
      </c>
      <c r="D21291" s="1" t="str">
        <f t="shared" si="573"/>
        <v>PRG-1047850</v>
      </c>
      <c r="E21291" t="s">
        <v>1908</v>
      </c>
      <c r="F21291" t="s">
        <v>4</v>
      </c>
      <c r="G21291" t="str">
        <f>""</f>
        <v/>
      </c>
    </row>
    <row r="21292" spans="1:7" x14ac:dyDescent="0.25">
      <c r="A21292" t="s">
        <v>8</v>
      </c>
      <c r="B21292" s="1" t="str">
        <f>"000297045 - RICH FOODS-AFV"</f>
        <v>000297045 - RICH FOODS-AFV</v>
      </c>
      <c r="C21292" t="s">
        <v>1907</v>
      </c>
      <c r="D21292" s="1" t="str">
        <f t="shared" si="573"/>
        <v>PRG-1047850</v>
      </c>
      <c r="E21292" t="s">
        <v>1908</v>
      </c>
      <c r="F21292" t="s">
        <v>4</v>
      </c>
      <c r="G21292" t="str">
        <f>""</f>
        <v/>
      </c>
    </row>
    <row r="21293" spans="1:7" x14ac:dyDescent="0.25">
      <c r="A21293" t="s">
        <v>8</v>
      </c>
      <c r="B21293" s="1" t="str">
        <f>"000303098 - RICH FOODS-AFV"</f>
        <v>000303098 - RICH FOODS-AFV</v>
      </c>
      <c r="C21293" t="s">
        <v>1907</v>
      </c>
      <c r="D21293" s="1" t="str">
        <f t="shared" si="573"/>
        <v>PRG-1047850</v>
      </c>
      <c r="E21293" t="s">
        <v>1908</v>
      </c>
      <c r="F21293" t="s">
        <v>4</v>
      </c>
      <c r="G21293" t="str">
        <f>""</f>
        <v/>
      </c>
    </row>
    <row r="21294" spans="1:7" x14ac:dyDescent="0.25">
      <c r="A21294" t="s">
        <v>8</v>
      </c>
      <c r="B21294" s="1" t="str">
        <f>"000305826 - RICH FOODS-AFV"</f>
        <v>000305826 - RICH FOODS-AFV</v>
      </c>
      <c r="C21294" t="s">
        <v>1907</v>
      </c>
      <c r="D21294" s="1" t="str">
        <f t="shared" si="573"/>
        <v>PRG-1047850</v>
      </c>
      <c r="E21294" t="s">
        <v>1908</v>
      </c>
      <c r="F21294" t="s">
        <v>4</v>
      </c>
      <c r="G21294" t="str">
        <f>""</f>
        <v/>
      </c>
    </row>
    <row r="21295" spans="1:7" x14ac:dyDescent="0.25">
      <c r="A21295" t="s">
        <v>8</v>
      </c>
      <c r="B21295" s="1" t="str">
        <f>"000374724 - RICH FOODS-AFV"</f>
        <v>000374724 - RICH FOODS-AFV</v>
      </c>
      <c r="C21295" t="s">
        <v>1907</v>
      </c>
      <c r="D21295" s="1" t="str">
        <f t="shared" si="573"/>
        <v>PRG-1047850</v>
      </c>
      <c r="E21295" t="s">
        <v>1908</v>
      </c>
      <c r="F21295" t="s">
        <v>4</v>
      </c>
      <c r="G21295" t="str">
        <f>""</f>
        <v/>
      </c>
    </row>
    <row r="21296" spans="1:7" x14ac:dyDescent="0.25">
      <c r="A21296" t="s">
        <v>8</v>
      </c>
      <c r="B21296" s="1" t="str">
        <f>"000376158 - RICH FOODS-AFV"</f>
        <v>000376158 - RICH FOODS-AFV</v>
      </c>
      <c r="C21296" t="s">
        <v>1907</v>
      </c>
      <c r="D21296" s="1" t="str">
        <f t="shared" si="573"/>
        <v>PRG-1047850</v>
      </c>
      <c r="E21296" t="s">
        <v>1908</v>
      </c>
      <c r="F21296" t="s">
        <v>4</v>
      </c>
      <c r="G21296" t="str">
        <f>""</f>
        <v/>
      </c>
    </row>
    <row r="21297" spans="1:7" x14ac:dyDescent="0.25">
      <c r="A21297" t="s">
        <v>8</v>
      </c>
      <c r="B21297" s="1" t="str">
        <f>"000391745 - RICH FOODS-AFV"</f>
        <v>000391745 - RICH FOODS-AFV</v>
      </c>
      <c r="C21297" t="s">
        <v>1907</v>
      </c>
      <c r="D21297" s="1" t="str">
        <f t="shared" si="573"/>
        <v>PRG-1047850</v>
      </c>
      <c r="E21297" t="s">
        <v>1908</v>
      </c>
      <c r="F21297" t="s">
        <v>4</v>
      </c>
      <c r="G21297" t="str">
        <f>""</f>
        <v/>
      </c>
    </row>
    <row r="21298" spans="1:7" x14ac:dyDescent="0.25">
      <c r="A21298" t="s">
        <v>8</v>
      </c>
      <c r="B21298" s="1" t="str">
        <f>"000392531 - RICH PRODUCTS  ALONTI DELI"</f>
        <v>000392531 - RICH PRODUCTS  ALONTI DELI</v>
      </c>
      <c r="C21298" t="s">
        <v>2029</v>
      </c>
      <c r="D21298" s="1" t="str">
        <f>"PRG-1047851"</f>
        <v>PRG-1047851</v>
      </c>
      <c r="E21298" t="s">
        <v>1950</v>
      </c>
      <c r="F21298" t="s">
        <v>4</v>
      </c>
      <c r="G21298" t="str">
        <f>""</f>
        <v/>
      </c>
    </row>
    <row r="21299" spans="1:7" x14ac:dyDescent="0.25">
      <c r="A21299" t="s">
        <v>8</v>
      </c>
      <c r="B21299" s="1" t="str">
        <f>"000407937 - RICH FOODS ALONTI"</f>
        <v>000407937 - RICH FOODS ALONTI</v>
      </c>
      <c r="C21299" t="s">
        <v>1949</v>
      </c>
      <c r="D21299" s="1" t="str">
        <f>"PRG-1047851"</f>
        <v>PRG-1047851</v>
      </c>
      <c r="E21299" t="s">
        <v>1950</v>
      </c>
      <c r="F21299" t="s">
        <v>4</v>
      </c>
      <c r="G21299" t="str">
        <f>""</f>
        <v/>
      </c>
    </row>
    <row r="21300" spans="1:7" x14ac:dyDescent="0.25">
      <c r="A21300" t="s">
        <v>8</v>
      </c>
      <c r="B21300" s="1" t="str">
        <f>"000422089 - RICH FOODS-ALONTI PEPI CORP"</f>
        <v>000422089 - RICH FOODS-ALONTI PEPI CORP</v>
      </c>
      <c r="C21300" t="s">
        <v>3739</v>
      </c>
      <c r="D21300" s="1" t="str">
        <f>"PRG-1047851"</f>
        <v>PRG-1047851</v>
      </c>
      <c r="E21300" t="s">
        <v>1950</v>
      </c>
      <c r="F21300" t="s">
        <v>4</v>
      </c>
      <c r="G21300" t="str">
        <f>""</f>
        <v/>
      </c>
    </row>
    <row r="21301" spans="1:7" x14ac:dyDescent="0.25">
      <c r="A21301" t="s">
        <v>8</v>
      </c>
      <c r="B21301" s="1" t="str">
        <f>"000424388 - RICH FOODS BB-ALONTI PEPI"</f>
        <v>000424388 - RICH FOODS BB-ALONTI PEPI</v>
      </c>
      <c r="C21301" t="s">
        <v>3742</v>
      </c>
      <c r="D21301" s="1" t="str">
        <f>"PRG-1047851"</f>
        <v>PRG-1047851</v>
      </c>
      <c r="E21301" t="s">
        <v>1950</v>
      </c>
      <c r="F21301" t="s">
        <v>4</v>
      </c>
      <c r="G21301" t="str">
        <f>""</f>
        <v/>
      </c>
    </row>
    <row r="21302" spans="1:7" x14ac:dyDescent="0.25">
      <c r="A21302" t="s">
        <v>8</v>
      </c>
      <c r="B21302" s="1" t="str">
        <f>"000442470 - RICH FOODS ALONTI'S-PEPI'S"</f>
        <v>000442470 - RICH FOODS ALONTI'S-PEPI'S</v>
      </c>
      <c r="C21302" t="s">
        <v>3019</v>
      </c>
      <c r="D21302" s="1" t="str">
        <f>"PRG-1047851"</f>
        <v>PRG-1047851</v>
      </c>
      <c r="E21302" t="s">
        <v>1950</v>
      </c>
      <c r="F21302" t="s">
        <v>4</v>
      </c>
      <c r="G21302" t="str">
        <f>""</f>
        <v/>
      </c>
    </row>
    <row r="21303" spans="1:7" x14ac:dyDescent="0.25">
      <c r="A21303" t="s">
        <v>8</v>
      </c>
      <c r="B21303" s="1" t="str">
        <f>"000117546 - RICH-COOKIES AYRES"</f>
        <v>000117546 - RICH-COOKIES AYRES</v>
      </c>
      <c r="C21303" t="s">
        <v>740</v>
      </c>
      <c r="D21303" s="1" t="str">
        <f>"PRG-1047854"</f>
        <v>PRG-1047854</v>
      </c>
      <c r="E21303" t="s">
        <v>741</v>
      </c>
      <c r="F21303" t="s">
        <v>4</v>
      </c>
      <c r="G21303" t="str">
        <f>""</f>
        <v/>
      </c>
    </row>
    <row r="21304" spans="1:7" x14ac:dyDescent="0.25">
      <c r="A21304" t="s">
        <v>8</v>
      </c>
      <c r="B21304" s="1" t="str">
        <f>"000439298 - RICH PROD AYRES HOTELS"</f>
        <v>000439298 - RICH PROD AYRES HOTELS</v>
      </c>
      <c r="C21304" t="s">
        <v>3672</v>
      </c>
      <c r="D21304" s="1" t="str">
        <f>"PRG-1047854"</f>
        <v>PRG-1047854</v>
      </c>
      <c r="E21304" t="s">
        <v>741</v>
      </c>
      <c r="F21304" t="s">
        <v>4</v>
      </c>
      <c r="G21304" t="str">
        <f>""</f>
        <v/>
      </c>
    </row>
    <row r="21305" spans="1:7" x14ac:dyDescent="0.25">
      <c r="A21305" t="s">
        <v>8</v>
      </c>
      <c r="B21305" s="1" t="str">
        <f>"000393105 - RICH FDS BUPPY'S GCST"</f>
        <v>000393105 - RICH FDS BUPPY'S GCST</v>
      </c>
      <c r="C21305" t="s">
        <v>3611</v>
      </c>
      <c r="D21305" s="1" t="str">
        <f>"PRG-1047855"</f>
        <v>PRG-1047855</v>
      </c>
      <c r="E21305" t="s">
        <v>3612</v>
      </c>
      <c r="F21305" t="s">
        <v>4</v>
      </c>
      <c r="G21305" t="str">
        <f>""</f>
        <v/>
      </c>
    </row>
    <row r="21306" spans="1:7" x14ac:dyDescent="0.25">
      <c r="A21306" t="s">
        <v>8</v>
      </c>
      <c r="B21306" s="1" t="str">
        <f>"000320520 - RICH GEISSLERS SUPER MARKETS"</f>
        <v>000320520 - RICH GEISSLERS SUPER MARKETS</v>
      </c>
      <c r="C21306" t="s">
        <v>3089</v>
      </c>
      <c r="D21306" s="1" t="str">
        <f>"PRG-1047864"</f>
        <v>PRG-1047864</v>
      </c>
      <c r="E21306" t="s">
        <v>3090</v>
      </c>
      <c r="F21306" t="s">
        <v>4</v>
      </c>
      <c r="G21306" t="str">
        <f>""</f>
        <v/>
      </c>
    </row>
    <row r="21307" spans="1:7" x14ac:dyDescent="0.25">
      <c r="A21307" t="s">
        <v>8</v>
      </c>
      <c r="B21307" s="1" t="str">
        <f>"000364519 - RICHS-CC THE TEXAN"</f>
        <v>000364519 - RICHS-CC THE TEXAN</v>
      </c>
      <c r="C21307" t="s">
        <v>3359</v>
      </c>
      <c r="D21307" s="1" t="str">
        <f>"PRG-1047866"</f>
        <v>PRG-1047866</v>
      </c>
      <c r="E21307" t="s">
        <v>3360</v>
      </c>
      <c r="F21307" t="s">
        <v>4</v>
      </c>
      <c r="G21307" t="str">
        <f>""</f>
        <v/>
      </c>
    </row>
    <row r="21308" spans="1:7" x14ac:dyDescent="0.25">
      <c r="A21308" t="s">
        <v>8</v>
      </c>
      <c r="B21308" s="1" t="str">
        <f>"000194236 - RICHS-THE LOOP REST"</f>
        <v>000194236 - RICHS-THE LOOP REST</v>
      </c>
      <c r="C21308" t="s">
        <v>1240</v>
      </c>
      <c r="D21308" s="1" t="str">
        <f>"PRG-1047867"</f>
        <v>PRG-1047867</v>
      </c>
      <c r="E21308" t="s">
        <v>841</v>
      </c>
      <c r="F21308" t="s">
        <v>4</v>
      </c>
      <c r="G21308" t="str">
        <f>""</f>
        <v/>
      </c>
    </row>
    <row r="21309" spans="1:7" x14ac:dyDescent="0.25">
      <c r="A21309" t="s">
        <v>8</v>
      </c>
      <c r="B21309" s="1" t="str">
        <f>"000293129 - RICH LOOP PIZZA"</f>
        <v>000293129 - RICH LOOP PIZZA</v>
      </c>
      <c r="C21309" t="s">
        <v>1400</v>
      </c>
      <c r="D21309" s="1" t="str">
        <f>"PRG-1047867"</f>
        <v>PRG-1047867</v>
      </c>
      <c r="E21309" t="s">
        <v>841</v>
      </c>
      <c r="F21309" t="s">
        <v>4</v>
      </c>
      <c r="G21309" t="str">
        <f>""</f>
        <v/>
      </c>
    </row>
    <row r="21310" spans="1:7" x14ac:dyDescent="0.25">
      <c r="A21310" t="s">
        <v>8</v>
      </c>
      <c r="B21310" s="1" t="str">
        <f>"S1Z0CSK0"</f>
        <v>S1Z0CSK0</v>
      </c>
      <c r="C21310" t="s">
        <v>5373</v>
      </c>
      <c r="D21310" s="1" t="str">
        <f>"PRG-1047869"</f>
        <v>PRG-1047869</v>
      </c>
      <c r="E21310" t="s">
        <v>5374</v>
      </c>
      <c r="F21310" t="s">
        <v>5</v>
      </c>
      <c r="G21310" t="str">
        <f>""</f>
        <v/>
      </c>
    </row>
    <row r="21311" spans="1:7" x14ac:dyDescent="0.25">
      <c r="A21311" t="s">
        <v>8</v>
      </c>
      <c r="B21311" s="1" t="str">
        <f>"10680"</f>
        <v>10680</v>
      </c>
      <c r="C21311" t="s">
        <v>3793</v>
      </c>
      <c r="D21311" s="1" t="str">
        <f>"PRG-1047871"</f>
        <v>PRG-1047871</v>
      </c>
      <c r="E21311" t="s">
        <v>3794</v>
      </c>
      <c r="F21311" t="s">
        <v>7</v>
      </c>
      <c r="G21311" t="str">
        <f>""</f>
        <v/>
      </c>
    </row>
    <row r="21312" spans="1:7" x14ac:dyDescent="0.25">
      <c r="A21312" t="s">
        <v>8</v>
      </c>
      <c r="B21312" s="1" t="str">
        <f>"000352793 - VITOS - RICH PRODUCTS"</f>
        <v>000352793 - VITOS - RICH PRODUCTS</v>
      </c>
      <c r="C21312" t="s">
        <v>2323</v>
      </c>
      <c r="D21312" s="1" t="str">
        <f>"PRG-1047872"</f>
        <v>PRG-1047872</v>
      </c>
      <c r="E21312" t="s">
        <v>1127</v>
      </c>
      <c r="F21312" t="s">
        <v>4</v>
      </c>
      <c r="G21312" t="str">
        <f>""</f>
        <v/>
      </c>
    </row>
    <row r="21313" spans="1:7" x14ac:dyDescent="0.25">
      <c r="A21313" t="s">
        <v>8</v>
      </c>
      <c r="B21313" s="1" t="str">
        <f>"60313298"</f>
        <v>60313298</v>
      </c>
      <c r="C21313" t="s">
        <v>5278</v>
      </c>
      <c r="D21313" s="1" t="str">
        <f>"PRG-1047873"</f>
        <v>PRG-1047873</v>
      </c>
      <c r="E21313" t="s">
        <v>5279</v>
      </c>
      <c r="F21313" t="s">
        <v>5</v>
      </c>
      <c r="G21313" t="str">
        <f>""</f>
        <v/>
      </c>
    </row>
    <row r="21314" spans="1:7" x14ac:dyDescent="0.25">
      <c r="A21314" t="s">
        <v>8</v>
      </c>
      <c r="B21314" s="1" t="str">
        <f>"000267481 - RICH COREBB-SEAWORLD"</f>
        <v>000267481 - RICH COREBB-SEAWORLD</v>
      </c>
      <c r="C21314" t="s">
        <v>2422</v>
      </c>
      <c r="D21314" s="1" t="str">
        <f t="shared" ref="D21314:D21336" si="574">"PRG-1047879"</f>
        <v>PRG-1047879</v>
      </c>
      <c r="E21314" t="s">
        <v>2067</v>
      </c>
      <c r="F21314" t="s">
        <v>4</v>
      </c>
      <c r="G21314" t="str">
        <f>""</f>
        <v/>
      </c>
    </row>
    <row r="21315" spans="1:7" x14ac:dyDescent="0.25">
      <c r="A21315" t="s">
        <v>8</v>
      </c>
      <c r="B21315" s="1" t="str">
        <f>"000322710 - RICH-SEAWORLD"</f>
        <v>000322710 - RICH-SEAWORLD</v>
      </c>
      <c r="C21315" t="s">
        <v>2066</v>
      </c>
      <c r="D21315" s="1" t="str">
        <f t="shared" si="574"/>
        <v>PRG-1047879</v>
      </c>
      <c r="E21315" t="s">
        <v>2067</v>
      </c>
      <c r="F21315" t="s">
        <v>4</v>
      </c>
      <c r="G21315" t="str">
        <f>""</f>
        <v/>
      </c>
    </row>
    <row r="21316" spans="1:7" x14ac:dyDescent="0.25">
      <c r="A21316" t="s">
        <v>8</v>
      </c>
      <c r="B21316" s="1" t="str">
        <f>"000323178 - RICH - SEAWORLD"</f>
        <v>000323178 - RICH - SEAWORLD</v>
      </c>
      <c r="C21316" t="s">
        <v>2197</v>
      </c>
      <c r="D21316" s="1" t="str">
        <f t="shared" si="574"/>
        <v>PRG-1047879</v>
      </c>
      <c r="E21316" t="s">
        <v>2067</v>
      </c>
      <c r="F21316" t="s">
        <v>4</v>
      </c>
      <c r="G21316" t="str">
        <f>""</f>
        <v/>
      </c>
    </row>
    <row r="21317" spans="1:7" x14ac:dyDescent="0.25">
      <c r="A21317" t="s">
        <v>8</v>
      </c>
      <c r="B21317" s="1" t="str">
        <f>"000325661 - RICH STDBB-SEAWORLD"</f>
        <v>000325661 - RICH STDBB-SEAWORLD</v>
      </c>
      <c r="C21317" t="s">
        <v>3288</v>
      </c>
      <c r="D21317" s="1" t="str">
        <f t="shared" si="574"/>
        <v>PRG-1047879</v>
      </c>
      <c r="E21317" t="s">
        <v>2067</v>
      </c>
      <c r="F21317" t="s">
        <v>4</v>
      </c>
      <c r="G21317" t="str">
        <f>""</f>
        <v/>
      </c>
    </row>
    <row r="21318" spans="1:7" x14ac:dyDescent="0.25">
      <c r="A21318" t="s">
        <v>8</v>
      </c>
      <c r="B21318" s="1" t="str">
        <f>"000325662 - RICH FIXBB-SEAWORLD"</f>
        <v>000325662 - RICH FIXBB-SEAWORLD</v>
      </c>
      <c r="C21318" t="s">
        <v>2249</v>
      </c>
      <c r="D21318" s="1" t="str">
        <f t="shared" si="574"/>
        <v>PRG-1047879</v>
      </c>
      <c r="E21318" t="s">
        <v>2067</v>
      </c>
      <c r="F21318" t="s">
        <v>4</v>
      </c>
      <c r="G21318" t="str">
        <f>""</f>
        <v/>
      </c>
    </row>
    <row r="21319" spans="1:7" x14ac:dyDescent="0.25">
      <c r="A21319" t="s">
        <v>8</v>
      </c>
      <c r="B21319" s="1" t="str">
        <f>"000329510 - RICH-SEAWORLD"</f>
        <v>000329510 - RICH-SEAWORLD</v>
      </c>
      <c r="C21319" t="s">
        <v>2066</v>
      </c>
      <c r="D21319" s="1" t="str">
        <f t="shared" si="574"/>
        <v>PRG-1047879</v>
      </c>
      <c r="E21319" t="s">
        <v>2067</v>
      </c>
      <c r="F21319" t="s">
        <v>4</v>
      </c>
      <c r="G21319" t="str">
        <f>""</f>
        <v/>
      </c>
    </row>
    <row r="21320" spans="1:7" x14ac:dyDescent="0.25">
      <c r="A21320" t="s">
        <v>8</v>
      </c>
      <c r="B21320" s="1" t="str">
        <f>"000331306 - RICH - SEAWORLD"</f>
        <v>000331306 - RICH - SEAWORLD</v>
      </c>
      <c r="C21320" t="s">
        <v>2197</v>
      </c>
      <c r="D21320" s="1" t="str">
        <f t="shared" si="574"/>
        <v>PRG-1047879</v>
      </c>
      <c r="E21320" t="s">
        <v>2067</v>
      </c>
      <c r="F21320" t="s">
        <v>4</v>
      </c>
      <c r="G21320" t="str">
        <f>""</f>
        <v/>
      </c>
    </row>
    <row r="21321" spans="1:7" x14ac:dyDescent="0.25">
      <c r="A21321" t="s">
        <v>8</v>
      </c>
      <c r="B21321" s="1" t="str">
        <f>"000333822 - RICH NCBB-SEAWORLD"</f>
        <v>000333822 - RICH NCBB-SEAWORLD</v>
      </c>
      <c r="C21321" t="s">
        <v>3376</v>
      </c>
      <c r="D21321" s="1" t="str">
        <f t="shared" si="574"/>
        <v>PRG-1047879</v>
      </c>
      <c r="E21321" t="s">
        <v>2067</v>
      </c>
      <c r="F21321" t="s">
        <v>4</v>
      </c>
      <c r="G21321" t="str">
        <f>""</f>
        <v/>
      </c>
    </row>
    <row r="21322" spans="1:7" x14ac:dyDescent="0.25">
      <c r="A21322" t="s">
        <v>8</v>
      </c>
      <c r="B21322" s="1" t="str">
        <f>"000333823 - RICH COREBB-SEAWORLD"</f>
        <v>000333823 - RICH COREBB-SEAWORLD</v>
      </c>
      <c r="C21322" t="s">
        <v>2422</v>
      </c>
      <c r="D21322" s="1" t="str">
        <f t="shared" si="574"/>
        <v>PRG-1047879</v>
      </c>
      <c r="E21322" t="s">
        <v>2067</v>
      </c>
      <c r="F21322" t="s">
        <v>4</v>
      </c>
      <c r="G21322" t="str">
        <f>""</f>
        <v/>
      </c>
    </row>
    <row r="21323" spans="1:7" x14ac:dyDescent="0.25">
      <c r="A21323" t="s">
        <v>8</v>
      </c>
      <c r="B21323" s="1" t="str">
        <f>"000334886 - RICH FIXBB-SEAWORLD"</f>
        <v>000334886 - RICH FIXBB-SEAWORLD</v>
      </c>
      <c r="C21323" t="s">
        <v>2249</v>
      </c>
      <c r="D21323" s="1" t="str">
        <f t="shared" si="574"/>
        <v>PRG-1047879</v>
      </c>
      <c r="E21323" t="s">
        <v>2067</v>
      </c>
      <c r="F21323" t="s">
        <v>4</v>
      </c>
      <c r="G21323" t="str">
        <f>""</f>
        <v/>
      </c>
    </row>
    <row r="21324" spans="1:7" x14ac:dyDescent="0.25">
      <c r="A21324" t="s">
        <v>8</v>
      </c>
      <c r="B21324" s="1" t="str">
        <f>"000341957 - RICH - SEAWORLD"</f>
        <v>000341957 - RICH - SEAWORLD</v>
      </c>
      <c r="C21324" t="s">
        <v>2197</v>
      </c>
      <c r="D21324" s="1" t="str">
        <f t="shared" si="574"/>
        <v>PRG-1047879</v>
      </c>
      <c r="E21324" t="s">
        <v>2067</v>
      </c>
      <c r="F21324" t="s">
        <v>4</v>
      </c>
      <c r="G21324" t="str">
        <f>""</f>
        <v/>
      </c>
    </row>
    <row r="21325" spans="1:7" x14ac:dyDescent="0.25">
      <c r="A21325" t="s">
        <v>8</v>
      </c>
      <c r="B21325" s="1" t="str">
        <f>"000344161 - RICH-SEAWORLD"</f>
        <v>000344161 - RICH-SEAWORLD</v>
      </c>
      <c r="C21325" t="s">
        <v>2066</v>
      </c>
      <c r="D21325" s="1" t="str">
        <f t="shared" si="574"/>
        <v>PRG-1047879</v>
      </c>
      <c r="E21325" t="s">
        <v>2067</v>
      </c>
      <c r="F21325" t="s">
        <v>4</v>
      </c>
      <c r="G21325" t="str">
        <f>""</f>
        <v/>
      </c>
    </row>
    <row r="21326" spans="1:7" x14ac:dyDescent="0.25">
      <c r="A21326" t="s">
        <v>8</v>
      </c>
      <c r="B21326" s="1" t="str">
        <f>"000344645 - RICH NCBB-SEAWORLD"</f>
        <v>000344645 - RICH NCBB-SEAWORLD</v>
      </c>
      <c r="C21326" t="s">
        <v>3376</v>
      </c>
      <c r="D21326" s="1" t="str">
        <f t="shared" si="574"/>
        <v>PRG-1047879</v>
      </c>
      <c r="E21326" t="s">
        <v>2067</v>
      </c>
      <c r="F21326" t="s">
        <v>4</v>
      </c>
      <c r="G21326" t="str">
        <f>""</f>
        <v/>
      </c>
    </row>
    <row r="21327" spans="1:7" x14ac:dyDescent="0.25">
      <c r="A21327" t="s">
        <v>8</v>
      </c>
      <c r="B21327" s="1" t="str">
        <f>"000344646 - RICH COREBB-SEAWORLD"</f>
        <v>000344646 - RICH COREBB-SEAWORLD</v>
      </c>
      <c r="C21327" t="s">
        <v>2422</v>
      </c>
      <c r="D21327" s="1" t="str">
        <f t="shared" si="574"/>
        <v>PRG-1047879</v>
      </c>
      <c r="E21327" t="s">
        <v>2067</v>
      </c>
      <c r="F21327" t="s">
        <v>4</v>
      </c>
      <c r="G21327" t="str">
        <f>""</f>
        <v/>
      </c>
    </row>
    <row r="21328" spans="1:7" x14ac:dyDescent="0.25">
      <c r="A21328" t="s">
        <v>8</v>
      </c>
      <c r="B21328" s="1" t="str">
        <f>"000353495 - RICH-SEAWORLD"</f>
        <v>000353495 - RICH-SEAWORLD</v>
      </c>
      <c r="C21328" t="s">
        <v>2066</v>
      </c>
      <c r="D21328" s="1" t="str">
        <f t="shared" si="574"/>
        <v>PRG-1047879</v>
      </c>
      <c r="E21328" t="s">
        <v>2067</v>
      </c>
      <c r="F21328" t="s">
        <v>4</v>
      </c>
      <c r="G21328" t="str">
        <f>""</f>
        <v/>
      </c>
    </row>
    <row r="21329" spans="1:7" x14ac:dyDescent="0.25">
      <c r="A21329" t="s">
        <v>8</v>
      </c>
      <c r="B21329" s="1" t="str">
        <f>"000357567 - RICH-SEAWORLD"</f>
        <v>000357567 - RICH-SEAWORLD</v>
      </c>
      <c r="C21329" t="s">
        <v>2066</v>
      </c>
      <c r="D21329" s="1" t="str">
        <f t="shared" si="574"/>
        <v>PRG-1047879</v>
      </c>
      <c r="E21329" t="s">
        <v>2067</v>
      </c>
      <c r="F21329" t="s">
        <v>4</v>
      </c>
      <c r="G21329" t="str">
        <f>""</f>
        <v/>
      </c>
    </row>
    <row r="21330" spans="1:7" x14ac:dyDescent="0.25">
      <c r="A21330" t="s">
        <v>8</v>
      </c>
      <c r="B21330" s="1" t="str">
        <f>"000387697 - RICH-SEAWORLD"</f>
        <v>000387697 - RICH-SEAWORLD</v>
      </c>
      <c r="C21330" t="s">
        <v>2066</v>
      </c>
      <c r="D21330" s="1" t="str">
        <f t="shared" si="574"/>
        <v>PRG-1047879</v>
      </c>
      <c r="E21330" t="s">
        <v>2067</v>
      </c>
      <c r="F21330" t="s">
        <v>4</v>
      </c>
      <c r="G21330" t="str">
        <f>""</f>
        <v/>
      </c>
    </row>
    <row r="21331" spans="1:7" x14ac:dyDescent="0.25">
      <c r="A21331" t="s">
        <v>8</v>
      </c>
      <c r="B21331" s="1" t="str">
        <f>"000390041 - RICH-SEAWORLD"</f>
        <v>000390041 - RICH-SEAWORLD</v>
      </c>
      <c r="C21331" t="s">
        <v>2066</v>
      </c>
      <c r="D21331" s="1" t="str">
        <f t="shared" si="574"/>
        <v>PRG-1047879</v>
      </c>
      <c r="E21331" t="s">
        <v>2067</v>
      </c>
      <c r="F21331" t="s">
        <v>4</v>
      </c>
      <c r="G21331" t="str">
        <f>""</f>
        <v/>
      </c>
    </row>
    <row r="21332" spans="1:7" x14ac:dyDescent="0.25">
      <c r="A21332" t="s">
        <v>8</v>
      </c>
      <c r="B21332" s="1" t="str">
        <f>"000393519 - RICH-SEAWORLD"</f>
        <v>000393519 - RICH-SEAWORLD</v>
      </c>
      <c r="C21332" t="s">
        <v>2066</v>
      </c>
      <c r="D21332" s="1" t="str">
        <f t="shared" si="574"/>
        <v>PRG-1047879</v>
      </c>
      <c r="E21332" t="s">
        <v>2067</v>
      </c>
      <c r="F21332" t="s">
        <v>4</v>
      </c>
      <c r="G21332" t="str">
        <f>""</f>
        <v/>
      </c>
    </row>
    <row r="21333" spans="1:7" x14ac:dyDescent="0.25">
      <c r="A21333" t="s">
        <v>8</v>
      </c>
      <c r="B21333" s="1" t="str">
        <f>"000404853 - RICH-SEAWORLD"</f>
        <v>000404853 - RICH-SEAWORLD</v>
      </c>
      <c r="C21333" t="s">
        <v>2066</v>
      </c>
      <c r="D21333" s="1" t="str">
        <f t="shared" si="574"/>
        <v>PRG-1047879</v>
      </c>
      <c r="E21333" t="s">
        <v>2067</v>
      </c>
      <c r="F21333" t="s">
        <v>4</v>
      </c>
      <c r="G21333" t="str">
        <f>""</f>
        <v/>
      </c>
    </row>
    <row r="21334" spans="1:7" x14ac:dyDescent="0.25">
      <c r="A21334" t="s">
        <v>8</v>
      </c>
      <c r="B21334" s="1" t="str">
        <f>"000411797 - RICH-SEAWORLD"</f>
        <v>000411797 - RICH-SEAWORLD</v>
      </c>
      <c r="C21334" t="s">
        <v>2066</v>
      </c>
      <c r="D21334" s="1" t="str">
        <f t="shared" si="574"/>
        <v>PRG-1047879</v>
      </c>
      <c r="E21334" t="s">
        <v>2067</v>
      </c>
      <c r="F21334" t="s">
        <v>4</v>
      </c>
      <c r="G21334" t="str">
        <f>""</f>
        <v/>
      </c>
    </row>
    <row r="21335" spans="1:7" x14ac:dyDescent="0.25">
      <c r="A21335" t="s">
        <v>8</v>
      </c>
      <c r="B21335" s="1" t="str">
        <f>"000423742 - RICH-SEAWORLD"</f>
        <v>000423742 - RICH-SEAWORLD</v>
      </c>
      <c r="C21335" t="s">
        <v>2066</v>
      </c>
      <c r="D21335" s="1" t="str">
        <f t="shared" si="574"/>
        <v>PRG-1047879</v>
      </c>
      <c r="E21335" t="s">
        <v>2067</v>
      </c>
      <c r="F21335" t="s">
        <v>4</v>
      </c>
      <c r="G21335" t="str">
        <f>""</f>
        <v/>
      </c>
    </row>
    <row r="21336" spans="1:7" x14ac:dyDescent="0.25">
      <c r="A21336" t="s">
        <v>8</v>
      </c>
      <c r="B21336" s="1" t="str">
        <f>"000428475 - RICH-SEAWORLD"</f>
        <v>000428475 - RICH-SEAWORLD</v>
      </c>
      <c r="C21336" t="s">
        <v>2066</v>
      </c>
      <c r="D21336" s="1" t="str">
        <f t="shared" si="574"/>
        <v>PRG-1047879</v>
      </c>
      <c r="E21336" t="s">
        <v>2067</v>
      </c>
      <c r="F21336" t="s">
        <v>4</v>
      </c>
      <c r="G21336" t="str">
        <f>""</f>
        <v/>
      </c>
    </row>
    <row r="21337" spans="1:7" x14ac:dyDescent="0.25">
      <c r="A21337" t="s">
        <v>8</v>
      </c>
      <c r="B21337" s="1" t="str">
        <f>"000398355 - RICH PRODUCTS-OLD SPAG FACTORY"</f>
        <v>000398355 - RICH PRODUCTS-OLD SPAG FACTORY</v>
      </c>
      <c r="C21337" t="s">
        <v>280</v>
      </c>
      <c r="D21337" s="1" t="str">
        <f>"PRG-1047883"</f>
        <v>PRG-1047883</v>
      </c>
      <c r="E21337" t="s">
        <v>227</v>
      </c>
      <c r="F21337" t="s">
        <v>4</v>
      </c>
      <c r="G21337" t="str">
        <f>""</f>
        <v/>
      </c>
    </row>
    <row r="21338" spans="1:7" x14ac:dyDescent="0.25">
      <c r="A21338" t="s">
        <v>8</v>
      </c>
      <c r="B21338" s="1" t="str">
        <f>"000442235 - RICH FOODS KINGS HAWAIIAN"</f>
        <v>000442235 - RICH FOODS KINGS HAWAIIAN</v>
      </c>
      <c r="C21338" t="s">
        <v>3528</v>
      </c>
      <c r="D21338" s="1" t="str">
        <f>"PRG-1047888"</f>
        <v>PRG-1047888</v>
      </c>
      <c r="E21338" t="s">
        <v>3529</v>
      </c>
      <c r="F21338" t="s">
        <v>4</v>
      </c>
      <c r="G21338" t="str">
        <f>""</f>
        <v/>
      </c>
    </row>
    <row r="21339" spans="1:7" x14ac:dyDescent="0.25">
      <c r="A21339" t="s">
        <v>8</v>
      </c>
      <c r="B21339" s="1" t="str">
        <f>"000317596 - RICH DC-H&amp;H PURCHASING"</f>
        <v>000317596 - RICH DC-H&amp;H PURCHASING</v>
      </c>
      <c r="C21339" t="s">
        <v>3206</v>
      </c>
      <c r="D21339" s="1" t="str">
        <f>"PRG-1047890"</f>
        <v>PRG-1047890</v>
      </c>
      <c r="E21339" t="s">
        <v>1565</v>
      </c>
      <c r="F21339" t="s">
        <v>4</v>
      </c>
      <c r="G21339" t="str">
        <f>""</f>
        <v/>
      </c>
    </row>
    <row r="21340" spans="1:7" x14ac:dyDescent="0.25">
      <c r="A21340" t="s">
        <v>8</v>
      </c>
      <c r="B21340" s="1" t="str">
        <f>"000404183 - RICH(CC) GOLDEN BOY PIE"</f>
        <v>000404183 - RICH(CC) GOLDEN BOY PIE</v>
      </c>
      <c r="C21340" t="s">
        <v>3726</v>
      </c>
      <c r="D21340" s="1" t="str">
        <f>"PRG-1047892"</f>
        <v>PRG-1047892</v>
      </c>
      <c r="E21340" t="s">
        <v>2960</v>
      </c>
      <c r="F21340" t="s">
        <v>4</v>
      </c>
      <c r="G21340" t="str">
        <f>""</f>
        <v/>
      </c>
    </row>
    <row r="21341" spans="1:7" x14ac:dyDescent="0.25">
      <c r="A21341" t="s">
        <v>8</v>
      </c>
      <c r="B21341" s="1" t="str">
        <f>"000351080 - FUDDRUCKERS - RICH PRODUCTS"</f>
        <v>000351080 - FUDDRUCKERS - RICH PRODUCTS</v>
      </c>
      <c r="C21341" t="s">
        <v>2298</v>
      </c>
      <c r="D21341" s="1" t="str">
        <f>"PRG-1047893"</f>
        <v>PRG-1047893</v>
      </c>
      <c r="E21341" t="s">
        <v>2851</v>
      </c>
      <c r="F21341" t="s">
        <v>4</v>
      </c>
      <c r="G21341" t="str">
        <f>""</f>
        <v/>
      </c>
    </row>
    <row r="21342" spans="1:7" x14ac:dyDescent="0.25">
      <c r="A21342" t="s">
        <v>8</v>
      </c>
      <c r="B21342" s="1" t="str">
        <f>"4117B634"</f>
        <v>4117B634</v>
      </c>
      <c r="C21342" t="s">
        <v>4962</v>
      </c>
      <c r="D21342" s="1" t="str">
        <f>"PRG-1047893"</f>
        <v>PRG-1047893</v>
      </c>
      <c r="E21342" t="s">
        <v>2851</v>
      </c>
      <c r="F21342" t="s">
        <v>5</v>
      </c>
      <c r="G21342" t="str">
        <f>""</f>
        <v/>
      </c>
    </row>
    <row r="21343" spans="1:7" x14ac:dyDescent="0.25">
      <c r="A21343" t="s">
        <v>8</v>
      </c>
      <c r="B21343" s="1" t="str">
        <f>"000001709 - RICH FOOD-BEEF O BRADY"</f>
        <v>000001709 - RICH FOOD-BEEF O BRADY</v>
      </c>
      <c r="C21343" t="s">
        <v>92</v>
      </c>
      <c r="D21343" s="1" t="str">
        <f t="shared" ref="D21343:D21379" si="575">"PRG-1047896"</f>
        <v>PRG-1047896</v>
      </c>
      <c r="E21343" t="s">
        <v>93</v>
      </c>
      <c r="F21343" t="s">
        <v>4</v>
      </c>
      <c r="G21343" t="str">
        <f>""</f>
        <v/>
      </c>
    </row>
    <row r="21344" spans="1:7" x14ac:dyDescent="0.25">
      <c r="A21344" t="s">
        <v>8</v>
      </c>
      <c r="B21344" s="1" t="str">
        <f>"000005355 - RICH PRODUCTS-BEEF O BRADY"</f>
        <v>000005355 - RICH PRODUCTS-BEEF O BRADY</v>
      </c>
      <c r="C21344" t="s">
        <v>219</v>
      </c>
      <c r="D21344" s="1" t="str">
        <f t="shared" si="575"/>
        <v>PRG-1047896</v>
      </c>
      <c r="E21344" t="s">
        <v>93</v>
      </c>
      <c r="F21344" t="s">
        <v>4</v>
      </c>
      <c r="G21344" t="str">
        <f>""</f>
        <v/>
      </c>
    </row>
    <row r="21345" spans="1:7" x14ac:dyDescent="0.25">
      <c r="A21345" t="s">
        <v>8</v>
      </c>
      <c r="B21345" s="1" t="str">
        <f>"000015418 - RICH FOODS BAPA-BEEF OBRADY"</f>
        <v>000015418 - RICH FOODS BAPA-BEEF OBRADY</v>
      </c>
      <c r="C21345" t="s">
        <v>366</v>
      </c>
      <c r="D21345" s="1" t="str">
        <f t="shared" si="575"/>
        <v>PRG-1047896</v>
      </c>
      <c r="E21345" t="s">
        <v>93</v>
      </c>
      <c r="F21345" t="s">
        <v>4</v>
      </c>
      <c r="G21345" t="str">
        <f>""</f>
        <v/>
      </c>
    </row>
    <row r="21346" spans="1:7" x14ac:dyDescent="0.25">
      <c r="A21346" t="s">
        <v>8</v>
      </c>
      <c r="B21346" s="1" t="str">
        <f>"000045317 - RICH FOODS-BOB"</f>
        <v>000045317 - RICH FOODS-BOB</v>
      </c>
      <c r="C21346" t="s">
        <v>445</v>
      </c>
      <c r="D21346" s="1" t="str">
        <f t="shared" si="575"/>
        <v>PRG-1047896</v>
      </c>
      <c r="E21346" t="s">
        <v>93</v>
      </c>
      <c r="F21346" t="s">
        <v>4</v>
      </c>
      <c r="G21346" t="str">
        <f>""</f>
        <v/>
      </c>
    </row>
    <row r="21347" spans="1:7" x14ac:dyDescent="0.25">
      <c r="A21347" t="s">
        <v>8</v>
      </c>
      <c r="B21347" s="1" t="str">
        <f>"000118763 - RICH FOOD-BEEF O BRADY"</f>
        <v>000118763 - RICH FOOD-BEEF O BRADY</v>
      </c>
      <c r="C21347" t="s">
        <v>92</v>
      </c>
      <c r="D21347" s="1" t="str">
        <f t="shared" si="575"/>
        <v>PRG-1047896</v>
      </c>
      <c r="E21347" t="s">
        <v>93</v>
      </c>
      <c r="F21347" t="s">
        <v>4</v>
      </c>
      <c r="G21347" t="str">
        <f>""</f>
        <v/>
      </c>
    </row>
    <row r="21348" spans="1:7" x14ac:dyDescent="0.25">
      <c r="A21348" t="s">
        <v>8</v>
      </c>
      <c r="B21348" s="1" t="str">
        <f>"000168743 - RICH PRODUCTS-BEEF O BRADY"</f>
        <v>000168743 - RICH PRODUCTS-BEEF O BRADY</v>
      </c>
      <c r="C21348" t="s">
        <v>219</v>
      </c>
      <c r="D21348" s="1" t="str">
        <f t="shared" si="575"/>
        <v>PRG-1047896</v>
      </c>
      <c r="E21348" t="s">
        <v>93</v>
      </c>
      <c r="F21348" t="s">
        <v>4</v>
      </c>
      <c r="G21348" t="str">
        <f>""</f>
        <v/>
      </c>
    </row>
    <row r="21349" spans="1:7" x14ac:dyDescent="0.25">
      <c r="A21349" t="s">
        <v>8</v>
      </c>
      <c r="B21349" s="1" t="str">
        <f>"000197409 - RICH PRODUCTS-BEEF O BRADY"</f>
        <v>000197409 - RICH PRODUCTS-BEEF O BRADY</v>
      </c>
      <c r="C21349" t="s">
        <v>219</v>
      </c>
      <c r="D21349" s="1" t="str">
        <f t="shared" si="575"/>
        <v>PRG-1047896</v>
      </c>
      <c r="E21349" t="s">
        <v>93</v>
      </c>
      <c r="F21349" t="s">
        <v>4</v>
      </c>
      <c r="G21349" t="str">
        <f>""</f>
        <v/>
      </c>
    </row>
    <row r="21350" spans="1:7" x14ac:dyDescent="0.25">
      <c r="A21350" t="s">
        <v>8</v>
      </c>
      <c r="B21350" s="1" t="str">
        <f>"000262580 - RICH FOODS BAPA-BEEF OBRADY"</f>
        <v>000262580 - RICH FOODS BAPA-BEEF OBRADY</v>
      </c>
      <c r="C21350" t="s">
        <v>366</v>
      </c>
      <c r="D21350" s="1" t="str">
        <f t="shared" si="575"/>
        <v>PRG-1047896</v>
      </c>
      <c r="E21350" t="s">
        <v>93</v>
      </c>
      <c r="F21350" t="s">
        <v>4</v>
      </c>
      <c r="G21350" t="str">
        <f>""</f>
        <v/>
      </c>
    </row>
    <row r="21351" spans="1:7" x14ac:dyDescent="0.25">
      <c r="A21351" t="s">
        <v>8</v>
      </c>
      <c r="B21351" s="1" t="str">
        <f>"000263310 - RICH FOODS BAPA-BEEF OBRADY"</f>
        <v>000263310 - RICH FOODS BAPA-BEEF OBRADY</v>
      </c>
      <c r="C21351" t="s">
        <v>366</v>
      </c>
      <c r="D21351" s="1" t="str">
        <f t="shared" si="575"/>
        <v>PRG-1047896</v>
      </c>
      <c r="E21351" t="s">
        <v>93</v>
      </c>
      <c r="F21351" t="s">
        <v>4</v>
      </c>
      <c r="G21351" t="str">
        <f>""</f>
        <v/>
      </c>
    </row>
    <row r="21352" spans="1:7" x14ac:dyDescent="0.25">
      <c r="A21352" t="s">
        <v>8</v>
      </c>
      <c r="B21352" s="1" t="str">
        <f>"000271638 - RICH FOOD-BEEF O BRADY"</f>
        <v>000271638 - RICH FOOD-BEEF O BRADY</v>
      </c>
      <c r="C21352" t="s">
        <v>92</v>
      </c>
      <c r="D21352" s="1" t="str">
        <f t="shared" si="575"/>
        <v>PRG-1047896</v>
      </c>
      <c r="E21352" t="s">
        <v>93</v>
      </c>
      <c r="F21352" t="s">
        <v>4</v>
      </c>
      <c r="G21352" t="str">
        <f>""</f>
        <v/>
      </c>
    </row>
    <row r="21353" spans="1:7" x14ac:dyDescent="0.25">
      <c r="A21353" t="s">
        <v>8</v>
      </c>
      <c r="B21353" s="1" t="str">
        <f>"000284393 - RICH FOODS BAPA-BEEF OBRADY"</f>
        <v>000284393 - RICH FOODS BAPA-BEEF OBRADY</v>
      </c>
      <c r="C21353" t="s">
        <v>366</v>
      </c>
      <c r="D21353" s="1" t="str">
        <f t="shared" si="575"/>
        <v>PRG-1047896</v>
      </c>
      <c r="E21353" t="s">
        <v>93</v>
      </c>
      <c r="F21353" t="s">
        <v>4</v>
      </c>
      <c r="G21353" t="str">
        <f>""</f>
        <v/>
      </c>
    </row>
    <row r="21354" spans="1:7" x14ac:dyDescent="0.25">
      <c r="A21354" t="s">
        <v>8</v>
      </c>
      <c r="B21354" s="1" t="str">
        <f>"000287011 - RICH FOOD-BEEF O BRADY"</f>
        <v>000287011 - RICH FOOD-BEEF O BRADY</v>
      </c>
      <c r="C21354" t="s">
        <v>92</v>
      </c>
      <c r="D21354" s="1" t="str">
        <f t="shared" si="575"/>
        <v>PRG-1047896</v>
      </c>
      <c r="E21354" t="s">
        <v>93</v>
      </c>
      <c r="F21354" t="s">
        <v>4</v>
      </c>
      <c r="G21354" t="str">
        <f>""</f>
        <v/>
      </c>
    </row>
    <row r="21355" spans="1:7" x14ac:dyDescent="0.25">
      <c r="A21355" t="s">
        <v>8</v>
      </c>
      <c r="B21355" s="1" t="str">
        <f>"000289594 - RICH FOOD-BEEF O BRADY"</f>
        <v>000289594 - RICH FOOD-BEEF O BRADY</v>
      </c>
      <c r="C21355" t="s">
        <v>92</v>
      </c>
      <c r="D21355" s="1" t="str">
        <f t="shared" si="575"/>
        <v>PRG-1047896</v>
      </c>
      <c r="E21355" t="s">
        <v>93</v>
      </c>
      <c r="F21355" t="s">
        <v>4</v>
      </c>
      <c r="G21355" t="str">
        <f>""</f>
        <v/>
      </c>
    </row>
    <row r="21356" spans="1:7" x14ac:dyDescent="0.25">
      <c r="A21356" t="s">
        <v>8</v>
      </c>
      <c r="B21356" s="1" t="str">
        <f>"000290254 - RICH FOOD-BEEF O BRADY"</f>
        <v>000290254 - RICH FOOD-BEEF O BRADY</v>
      </c>
      <c r="C21356" t="s">
        <v>92</v>
      </c>
      <c r="D21356" s="1" t="str">
        <f t="shared" si="575"/>
        <v>PRG-1047896</v>
      </c>
      <c r="E21356" t="s">
        <v>93</v>
      </c>
      <c r="F21356" t="s">
        <v>4</v>
      </c>
      <c r="G21356" t="str">
        <f>""</f>
        <v/>
      </c>
    </row>
    <row r="21357" spans="1:7" x14ac:dyDescent="0.25">
      <c r="A21357" t="s">
        <v>8</v>
      </c>
      <c r="B21357" s="1" t="str">
        <f>"000293471 - RICH PRODUCTS-BEEF O BRADY"</f>
        <v>000293471 - RICH PRODUCTS-BEEF O BRADY</v>
      </c>
      <c r="C21357" t="s">
        <v>219</v>
      </c>
      <c r="D21357" s="1" t="str">
        <f t="shared" si="575"/>
        <v>PRG-1047896</v>
      </c>
      <c r="E21357" t="s">
        <v>93</v>
      </c>
      <c r="F21357" t="s">
        <v>4</v>
      </c>
      <c r="G21357" t="str">
        <f>""</f>
        <v/>
      </c>
    </row>
    <row r="21358" spans="1:7" x14ac:dyDescent="0.25">
      <c r="A21358" t="s">
        <v>8</v>
      </c>
      <c r="B21358" s="1" t="str">
        <f>"000295828 - RICH PRODUCTS-BEEF O BRADY"</f>
        <v>000295828 - RICH PRODUCTS-BEEF O BRADY</v>
      </c>
      <c r="C21358" t="s">
        <v>219</v>
      </c>
      <c r="D21358" s="1" t="str">
        <f t="shared" si="575"/>
        <v>PRG-1047896</v>
      </c>
      <c r="E21358" t="s">
        <v>93</v>
      </c>
      <c r="F21358" t="s">
        <v>4</v>
      </c>
      <c r="G21358" t="str">
        <f>""</f>
        <v/>
      </c>
    </row>
    <row r="21359" spans="1:7" x14ac:dyDescent="0.25">
      <c r="A21359" t="s">
        <v>8</v>
      </c>
      <c r="B21359" s="1" t="str">
        <f>"000295850 - RICH FOOD-BEEF O BRADY"</f>
        <v>000295850 - RICH FOOD-BEEF O BRADY</v>
      </c>
      <c r="C21359" t="s">
        <v>92</v>
      </c>
      <c r="D21359" s="1" t="str">
        <f t="shared" si="575"/>
        <v>PRG-1047896</v>
      </c>
      <c r="E21359" t="s">
        <v>93</v>
      </c>
      <c r="F21359" t="s">
        <v>4</v>
      </c>
      <c r="G21359" t="str">
        <f>""</f>
        <v/>
      </c>
    </row>
    <row r="21360" spans="1:7" x14ac:dyDescent="0.25">
      <c r="A21360" t="s">
        <v>8</v>
      </c>
      <c r="B21360" s="1" t="str">
        <f>"000305687 - RICH FOOD-BEEF O BRADY"</f>
        <v>000305687 - RICH FOOD-BEEF O BRADY</v>
      </c>
      <c r="C21360" t="s">
        <v>92</v>
      </c>
      <c r="D21360" s="1" t="str">
        <f t="shared" si="575"/>
        <v>PRG-1047896</v>
      </c>
      <c r="E21360" t="s">
        <v>93</v>
      </c>
      <c r="F21360" t="s">
        <v>4</v>
      </c>
      <c r="G21360" t="str">
        <f>""</f>
        <v/>
      </c>
    </row>
    <row r="21361" spans="1:7" x14ac:dyDescent="0.25">
      <c r="A21361" t="s">
        <v>8</v>
      </c>
      <c r="B21361" s="1" t="str">
        <f>"000309434 - RICH FOOD-BEEF O BRADY"</f>
        <v>000309434 - RICH FOOD-BEEF O BRADY</v>
      </c>
      <c r="C21361" t="s">
        <v>92</v>
      </c>
      <c r="D21361" s="1" t="str">
        <f t="shared" si="575"/>
        <v>PRG-1047896</v>
      </c>
      <c r="E21361" t="s">
        <v>93</v>
      </c>
      <c r="F21361" t="s">
        <v>4</v>
      </c>
      <c r="G21361" t="str">
        <f>""</f>
        <v/>
      </c>
    </row>
    <row r="21362" spans="1:7" x14ac:dyDescent="0.25">
      <c r="A21362" t="s">
        <v>8</v>
      </c>
      <c r="B21362" s="1" t="str">
        <f>"000315768 - RICH PRODUCTS-BEEF O BRADY"</f>
        <v>000315768 - RICH PRODUCTS-BEEF O BRADY</v>
      </c>
      <c r="C21362" t="s">
        <v>219</v>
      </c>
      <c r="D21362" s="1" t="str">
        <f t="shared" si="575"/>
        <v>PRG-1047896</v>
      </c>
      <c r="E21362" t="s">
        <v>93</v>
      </c>
      <c r="F21362" t="s">
        <v>4</v>
      </c>
      <c r="G21362" t="str">
        <f>""</f>
        <v/>
      </c>
    </row>
    <row r="21363" spans="1:7" x14ac:dyDescent="0.25">
      <c r="A21363" t="s">
        <v>8</v>
      </c>
      <c r="B21363" s="1" t="str">
        <f>"000322815 - RICH FOOD-BEEF O BRADY"</f>
        <v>000322815 - RICH FOOD-BEEF O BRADY</v>
      </c>
      <c r="C21363" t="s">
        <v>92</v>
      </c>
      <c r="D21363" s="1" t="str">
        <f t="shared" si="575"/>
        <v>PRG-1047896</v>
      </c>
      <c r="E21363" t="s">
        <v>93</v>
      </c>
      <c r="F21363" t="s">
        <v>4</v>
      </c>
      <c r="G21363" t="str">
        <f>""</f>
        <v/>
      </c>
    </row>
    <row r="21364" spans="1:7" x14ac:dyDescent="0.25">
      <c r="A21364" t="s">
        <v>8</v>
      </c>
      <c r="B21364" s="1" t="str">
        <f>"000322926 - RICH FOOD-BEEF O BRADY"</f>
        <v>000322926 - RICH FOOD-BEEF O BRADY</v>
      </c>
      <c r="C21364" t="s">
        <v>92</v>
      </c>
      <c r="D21364" s="1" t="str">
        <f t="shared" si="575"/>
        <v>PRG-1047896</v>
      </c>
      <c r="E21364" t="s">
        <v>93</v>
      </c>
      <c r="F21364" t="s">
        <v>4</v>
      </c>
      <c r="G21364" t="str">
        <f>""</f>
        <v/>
      </c>
    </row>
    <row r="21365" spans="1:7" x14ac:dyDescent="0.25">
      <c r="A21365" t="s">
        <v>8</v>
      </c>
      <c r="B21365" s="1" t="str">
        <f>"000325766 - RICH PRODUCTS-BEEF O BRADY"</f>
        <v>000325766 - RICH PRODUCTS-BEEF O BRADY</v>
      </c>
      <c r="C21365" t="s">
        <v>219</v>
      </c>
      <c r="D21365" s="1" t="str">
        <f t="shared" si="575"/>
        <v>PRG-1047896</v>
      </c>
      <c r="E21365" t="s">
        <v>93</v>
      </c>
      <c r="F21365" t="s">
        <v>4</v>
      </c>
      <c r="G21365" t="str">
        <f>""</f>
        <v/>
      </c>
    </row>
    <row r="21366" spans="1:7" x14ac:dyDescent="0.25">
      <c r="A21366" t="s">
        <v>8</v>
      </c>
      <c r="B21366" s="1" t="str">
        <f>"000328156 - RICH PRODUCTS-BEEF O BRADY"</f>
        <v>000328156 - RICH PRODUCTS-BEEF O BRADY</v>
      </c>
      <c r="C21366" t="s">
        <v>219</v>
      </c>
      <c r="D21366" s="1" t="str">
        <f t="shared" si="575"/>
        <v>PRG-1047896</v>
      </c>
      <c r="E21366" t="s">
        <v>93</v>
      </c>
      <c r="F21366" t="s">
        <v>4</v>
      </c>
      <c r="G21366" t="str">
        <f>""</f>
        <v/>
      </c>
    </row>
    <row r="21367" spans="1:7" x14ac:dyDescent="0.25">
      <c r="A21367" t="s">
        <v>8</v>
      </c>
      <c r="B21367" s="1" t="str">
        <f>"000331358 - RICH FOOD-BEEF O BRADY"</f>
        <v>000331358 - RICH FOOD-BEEF O BRADY</v>
      </c>
      <c r="C21367" t="s">
        <v>92</v>
      </c>
      <c r="D21367" s="1" t="str">
        <f t="shared" si="575"/>
        <v>PRG-1047896</v>
      </c>
      <c r="E21367" t="s">
        <v>93</v>
      </c>
      <c r="F21367" t="s">
        <v>4</v>
      </c>
      <c r="G21367" t="str">
        <f>""</f>
        <v/>
      </c>
    </row>
    <row r="21368" spans="1:7" x14ac:dyDescent="0.25">
      <c r="A21368" t="s">
        <v>8</v>
      </c>
      <c r="B21368" s="1" t="str">
        <f>"000347819 - RICH FOODS BAPA-BEEF OBRADY"</f>
        <v>000347819 - RICH FOODS BAPA-BEEF OBRADY</v>
      </c>
      <c r="C21368" t="s">
        <v>366</v>
      </c>
      <c r="D21368" s="1" t="str">
        <f t="shared" si="575"/>
        <v>PRG-1047896</v>
      </c>
      <c r="E21368" t="s">
        <v>93</v>
      </c>
      <c r="F21368" t="s">
        <v>4</v>
      </c>
      <c r="G21368" t="str">
        <f>""</f>
        <v/>
      </c>
    </row>
    <row r="21369" spans="1:7" x14ac:dyDescent="0.25">
      <c r="A21369" t="s">
        <v>8</v>
      </c>
      <c r="B21369" s="1" t="str">
        <f>"000354004 - RICH FOODS BAPA-BEEF OBRADY"</f>
        <v>000354004 - RICH FOODS BAPA-BEEF OBRADY</v>
      </c>
      <c r="C21369" t="s">
        <v>366</v>
      </c>
      <c r="D21369" s="1" t="str">
        <f t="shared" si="575"/>
        <v>PRG-1047896</v>
      </c>
      <c r="E21369" t="s">
        <v>93</v>
      </c>
      <c r="F21369" t="s">
        <v>4</v>
      </c>
      <c r="G21369" t="str">
        <f>""</f>
        <v/>
      </c>
    </row>
    <row r="21370" spans="1:7" x14ac:dyDescent="0.25">
      <c r="A21370" t="s">
        <v>8</v>
      </c>
      <c r="B21370" s="1" t="str">
        <f>"000360862 - RICH PRODUCTS-BEEF O BRADY"</f>
        <v>000360862 - RICH PRODUCTS-BEEF O BRADY</v>
      </c>
      <c r="C21370" t="s">
        <v>219</v>
      </c>
      <c r="D21370" s="1" t="str">
        <f t="shared" si="575"/>
        <v>PRG-1047896</v>
      </c>
      <c r="E21370" t="s">
        <v>93</v>
      </c>
      <c r="F21370" t="s">
        <v>4</v>
      </c>
      <c r="G21370" t="str">
        <f>""</f>
        <v/>
      </c>
    </row>
    <row r="21371" spans="1:7" x14ac:dyDescent="0.25">
      <c r="A21371" t="s">
        <v>8</v>
      </c>
      <c r="B21371" s="1" t="str">
        <f>"000362221 - RICH FOODS BAPA-BEEF OBRADY"</f>
        <v>000362221 - RICH FOODS BAPA-BEEF OBRADY</v>
      </c>
      <c r="C21371" t="s">
        <v>366</v>
      </c>
      <c r="D21371" s="1" t="str">
        <f t="shared" si="575"/>
        <v>PRG-1047896</v>
      </c>
      <c r="E21371" t="s">
        <v>93</v>
      </c>
      <c r="F21371" t="s">
        <v>4</v>
      </c>
      <c r="G21371" t="str">
        <f>""</f>
        <v/>
      </c>
    </row>
    <row r="21372" spans="1:7" x14ac:dyDescent="0.25">
      <c r="A21372" t="s">
        <v>8</v>
      </c>
      <c r="B21372" s="1" t="str">
        <f>"000365647 - RICH FOODS BAPA-BEEF OBRADY"</f>
        <v>000365647 - RICH FOODS BAPA-BEEF OBRADY</v>
      </c>
      <c r="C21372" t="s">
        <v>366</v>
      </c>
      <c r="D21372" s="1" t="str">
        <f t="shared" si="575"/>
        <v>PRG-1047896</v>
      </c>
      <c r="E21372" t="s">
        <v>93</v>
      </c>
      <c r="F21372" t="s">
        <v>4</v>
      </c>
      <c r="G21372" t="str">
        <f>""</f>
        <v/>
      </c>
    </row>
    <row r="21373" spans="1:7" x14ac:dyDescent="0.25">
      <c r="A21373" t="s">
        <v>8</v>
      </c>
      <c r="B21373" s="1" t="str">
        <f>"000389122 - RICH PRODUCTS-BEEF O BRADY"</f>
        <v>000389122 - RICH PRODUCTS-BEEF O BRADY</v>
      </c>
      <c r="C21373" t="s">
        <v>219</v>
      </c>
      <c r="D21373" s="1" t="str">
        <f t="shared" si="575"/>
        <v>PRG-1047896</v>
      </c>
      <c r="E21373" t="s">
        <v>93</v>
      </c>
      <c r="F21373" t="s">
        <v>4</v>
      </c>
      <c r="G21373" t="str">
        <f>""</f>
        <v/>
      </c>
    </row>
    <row r="21374" spans="1:7" x14ac:dyDescent="0.25">
      <c r="A21374" t="s">
        <v>8</v>
      </c>
      <c r="B21374" s="1" t="str">
        <f>"000391387 - RICH PRODUCTS-BEEF O BRADY"</f>
        <v>000391387 - RICH PRODUCTS-BEEF O BRADY</v>
      </c>
      <c r="C21374" t="s">
        <v>219</v>
      </c>
      <c r="D21374" s="1" t="str">
        <f t="shared" si="575"/>
        <v>PRG-1047896</v>
      </c>
      <c r="E21374" t="s">
        <v>93</v>
      </c>
      <c r="F21374" t="s">
        <v>4</v>
      </c>
      <c r="G21374" t="str">
        <f>""</f>
        <v/>
      </c>
    </row>
    <row r="21375" spans="1:7" x14ac:dyDescent="0.25">
      <c r="A21375" t="s">
        <v>8</v>
      </c>
      <c r="B21375" s="1" t="str">
        <f>"000393340 - RICH PRODUCTS-BEEF O BRADY"</f>
        <v>000393340 - RICH PRODUCTS-BEEF O BRADY</v>
      </c>
      <c r="C21375" t="s">
        <v>219</v>
      </c>
      <c r="D21375" s="1" t="str">
        <f t="shared" si="575"/>
        <v>PRG-1047896</v>
      </c>
      <c r="E21375" t="s">
        <v>93</v>
      </c>
      <c r="F21375" t="s">
        <v>4</v>
      </c>
      <c r="G21375" t="str">
        <f>""</f>
        <v/>
      </c>
    </row>
    <row r="21376" spans="1:7" x14ac:dyDescent="0.25">
      <c r="A21376" t="s">
        <v>8</v>
      </c>
      <c r="B21376" s="1" t="str">
        <f>"000406763 - RICH PRODUCTS-BEEF O BRADY"</f>
        <v>000406763 - RICH PRODUCTS-BEEF O BRADY</v>
      </c>
      <c r="C21376" t="s">
        <v>219</v>
      </c>
      <c r="D21376" s="1" t="str">
        <f t="shared" si="575"/>
        <v>PRG-1047896</v>
      </c>
      <c r="E21376" t="s">
        <v>93</v>
      </c>
      <c r="F21376" t="s">
        <v>4</v>
      </c>
      <c r="G21376" t="str">
        <f>""</f>
        <v/>
      </c>
    </row>
    <row r="21377" spans="1:7" x14ac:dyDescent="0.25">
      <c r="A21377" t="s">
        <v>8</v>
      </c>
      <c r="B21377" s="1" t="str">
        <f>"000416658 - RICH PRODUCTS-BEEF O BRADY"</f>
        <v>000416658 - RICH PRODUCTS-BEEF O BRADY</v>
      </c>
      <c r="C21377" t="s">
        <v>219</v>
      </c>
      <c r="D21377" s="1" t="str">
        <f t="shared" si="575"/>
        <v>PRG-1047896</v>
      </c>
      <c r="E21377" t="s">
        <v>93</v>
      </c>
      <c r="F21377" t="s">
        <v>4</v>
      </c>
      <c r="G21377" t="str">
        <f>""</f>
        <v/>
      </c>
    </row>
    <row r="21378" spans="1:7" x14ac:dyDescent="0.25">
      <c r="A21378" t="s">
        <v>8</v>
      </c>
      <c r="B21378" s="1" t="str">
        <f>"000423803 - RICH PRODUCTS-BEEF O BRADY"</f>
        <v>000423803 - RICH PRODUCTS-BEEF O BRADY</v>
      </c>
      <c r="C21378" t="s">
        <v>219</v>
      </c>
      <c r="D21378" s="1" t="str">
        <f t="shared" si="575"/>
        <v>PRG-1047896</v>
      </c>
      <c r="E21378" t="s">
        <v>93</v>
      </c>
      <c r="F21378" t="s">
        <v>4</v>
      </c>
      <c r="G21378" t="str">
        <f>""</f>
        <v/>
      </c>
    </row>
    <row r="21379" spans="1:7" x14ac:dyDescent="0.25">
      <c r="A21379" t="s">
        <v>8</v>
      </c>
      <c r="B21379" s="1" t="str">
        <f>"2000305373 - RICH FOODS-BEEF O BRADY'S"</f>
        <v>2000305373 - RICH FOODS-BEEF O BRADY'S</v>
      </c>
      <c r="C21379" t="s">
        <v>3990</v>
      </c>
      <c r="D21379" s="1" t="str">
        <f t="shared" si="575"/>
        <v>PRG-1047896</v>
      </c>
      <c r="E21379" t="s">
        <v>93</v>
      </c>
      <c r="F21379" t="s">
        <v>4</v>
      </c>
      <c r="G21379" t="str">
        <f>""</f>
        <v/>
      </c>
    </row>
    <row r="21380" spans="1:7" x14ac:dyDescent="0.25">
      <c r="A21380" t="s">
        <v>8</v>
      </c>
      <c r="B21380" s="1" t="str">
        <f>"000411889 - RICH FDS-EARL OF SANDWICH"</f>
        <v>000411889 - RICH FDS-EARL OF SANDWICH</v>
      </c>
      <c r="C21380" t="s">
        <v>3731</v>
      </c>
      <c r="D21380" s="1" t="str">
        <f>"PRG-1047903"</f>
        <v>PRG-1047903</v>
      </c>
      <c r="E21380" t="s">
        <v>3732</v>
      </c>
      <c r="F21380" t="s">
        <v>4</v>
      </c>
      <c r="G21380" t="str">
        <f>""</f>
        <v/>
      </c>
    </row>
    <row r="21381" spans="1:7" x14ac:dyDescent="0.25">
      <c r="A21381" t="s">
        <v>8</v>
      </c>
      <c r="B21381" s="1" t="str">
        <f>"000147397 - RICH FOODS-HURRICANE GRILL"</f>
        <v>000147397 - RICH FOODS-HURRICANE GRILL</v>
      </c>
      <c r="C21381" t="s">
        <v>475</v>
      </c>
      <c r="D21381" s="1" t="str">
        <f t="shared" ref="D21381:D21397" si="576">"PRG-1047907"</f>
        <v>PRG-1047907</v>
      </c>
      <c r="E21381" t="s">
        <v>233</v>
      </c>
      <c r="F21381" t="s">
        <v>4</v>
      </c>
      <c r="G21381" t="str">
        <f>""</f>
        <v/>
      </c>
    </row>
    <row r="21382" spans="1:7" x14ac:dyDescent="0.25">
      <c r="A21382" t="s">
        <v>8</v>
      </c>
      <c r="B21382" s="1" t="str">
        <f>"000149823 - RICH PRODUCTS HURRICANE GRILL"</f>
        <v>000149823 - RICH PRODUCTS HURRICANE GRILL</v>
      </c>
      <c r="C21382" t="s">
        <v>1008</v>
      </c>
      <c r="D21382" s="1" t="str">
        <f t="shared" si="576"/>
        <v>PRG-1047907</v>
      </c>
      <c r="E21382" t="s">
        <v>233</v>
      </c>
      <c r="F21382" t="s">
        <v>4</v>
      </c>
      <c r="G21382" t="str">
        <f>""</f>
        <v/>
      </c>
    </row>
    <row r="21383" spans="1:7" x14ac:dyDescent="0.25">
      <c r="A21383" t="s">
        <v>8</v>
      </c>
      <c r="B21383" s="1" t="str">
        <f>"000247833 - RICH FOODS-HURRICANE GRILL"</f>
        <v>000247833 - RICH FOODS-HURRICANE GRILL</v>
      </c>
      <c r="C21383" t="s">
        <v>475</v>
      </c>
      <c r="D21383" s="1" t="str">
        <f t="shared" si="576"/>
        <v>PRG-1047907</v>
      </c>
      <c r="E21383" t="s">
        <v>233</v>
      </c>
      <c r="F21383" t="s">
        <v>4</v>
      </c>
      <c r="G21383" t="str">
        <f>""</f>
        <v/>
      </c>
    </row>
    <row r="21384" spans="1:7" x14ac:dyDescent="0.25">
      <c r="A21384" t="s">
        <v>8</v>
      </c>
      <c r="B21384" s="1" t="str">
        <f>"000264548 - RICH NCBB-HURRICANE GRILL"</f>
        <v>000264548 - RICH NCBB-HURRICANE GRILL</v>
      </c>
      <c r="C21384" t="s">
        <v>232</v>
      </c>
      <c r="D21384" s="1" t="str">
        <f t="shared" si="576"/>
        <v>PRG-1047907</v>
      </c>
      <c r="E21384" t="s">
        <v>233</v>
      </c>
      <c r="F21384" t="s">
        <v>4</v>
      </c>
      <c r="G21384" t="str">
        <f>""</f>
        <v/>
      </c>
    </row>
    <row r="21385" spans="1:7" x14ac:dyDescent="0.25">
      <c r="A21385" t="s">
        <v>8</v>
      </c>
      <c r="B21385" s="1" t="str">
        <f>"000280597 - RICH FOODS-HURRICANE GRILL"</f>
        <v>000280597 - RICH FOODS-HURRICANE GRILL</v>
      </c>
      <c r="C21385" t="s">
        <v>475</v>
      </c>
      <c r="D21385" s="1" t="str">
        <f t="shared" si="576"/>
        <v>PRG-1047907</v>
      </c>
      <c r="E21385" t="s">
        <v>233</v>
      </c>
      <c r="F21385" t="s">
        <v>4</v>
      </c>
      <c r="G21385" t="str">
        <f>""</f>
        <v/>
      </c>
    </row>
    <row r="21386" spans="1:7" x14ac:dyDescent="0.25">
      <c r="A21386" t="s">
        <v>8</v>
      </c>
      <c r="B21386" s="1" t="str">
        <f>"000301131 - RICH FOODS-HURRICANE GRILL"</f>
        <v>000301131 - RICH FOODS-HURRICANE GRILL</v>
      </c>
      <c r="C21386" t="s">
        <v>475</v>
      </c>
      <c r="D21386" s="1" t="str">
        <f t="shared" si="576"/>
        <v>PRG-1047907</v>
      </c>
      <c r="E21386" t="s">
        <v>233</v>
      </c>
      <c r="F21386" t="s">
        <v>4</v>
      </c>
      <c r="G21386" t="str">
        <f>""</f>
        <v/>
      </c>
    </row>
    <row r="21387" spans="1:7" x14ac:dyDescent="0.25">
      <c r="A21387" t="s">
        <v>8</v>
      </c>
      <c r="B21387" s="1" t="str">
        <f>"000303037 - RICHS NONCORE-HURRICANE GRILL"</f>
        <v>000303037 - RICHS NONCORE-HURRICANE GRILL</v>
      </c>
      <c r="C21387" t="s">
        <v>605</v>
      </c>
      <c r="D21387" s="1" t="str">
        <f t="shared" si="576"/>
        <v>PRG-1047907</v>
      </c>
      <c r="E21387" t="s">
        <v>233</v>
      </c>
      <c r="F21387" t="s">
        <v>4</v>
      </c>
      <c r="G21387" t="str">
        <f>""</f>
        <v/>
      </c>
    </row>
    <row r="21388" spans="1:7" x14ac:dyDescent="0.25">
      <c r="A21388" t="s">
        <v>8</v>
      </c>
      <c r="B21388" s="1" t="str">
        <f>"000303039 - RICHS BB-HURRICANE GRILL"</f>
        <v>000303039 - RICHS BB-HURRICANE GRILL</v>
      </c>
      <c r="C21388" t="s">
        <v>606</v>
      </c>
      <c r="D21388" s="1" t="str">
        <f t="shared" si="576"/>
        <v>PRG-1047907</v>
      </c>
      <c r="E21388" t="s">
        <v>233</v>
      </c>
      <c r="F21388" t="s">
        <v>4</v>
      </c>
      <c r="G21388" t="str">
        <f>""</f>
        <v/>
      </c>
    </row>
    <row r="21389" spans="1:7" x14ac:dyDescent="0.25">
      <c r="A21389" t="s">
        <v>8</v>
      </c>
      <c r="B21389" s="1" t="str">
        <f>"000310556 - RICH FOODS-HURRICANE GRILL"</f>
        <v>000310556 - RICH FOODS-HURRICANE GRILL</v>
      </c>
      <c r="C21389" t="s">
        <v>475</v>
      </c>
      <c r="D21389" s="1" t="str">
        <f t="shared" si="576"/>
        <v>PRG-1047907</v>
      </c>
      <c r="E21389" t="s">
        <v>233</v>
      </c>
      <c r="F21389" t="s">
        <v>4</v>
      </c>
      <c r="G21389" t="str">
        <f>""</f>
        <v/>
      </c>
    </row>
    <row r="21390" spans="1:7" x14ac:dyDescent="0.25">
      <c r="A21390" t="s">
        <v>8</v>
      </c>
      <c r="B21390" s="1" t="str">
        <f>"000312813 - RICHS NONCORE-HURRICANE GRILL"</f>
        <v>000312813 - RICHS NONCORE-HURRICANE GRILL</v>
      </c>
      <c r="C21390" t="s">
        <v>605</v>
      </c>
      <c r="D21390" s="1" t="str">
        <f t="shared" si="576"/>
        <v>PRG-1047907</v>
      </c>
      <c r="E21390" t="s">
        <v>233</v>
      </c>
      <c r="F21390" t="s">
        <v>4</v>
      </c>
      <c r="G21390" t="str">
        <f>""</f>
        <v/>
      </c>
    </row>
    <row r="21391" spans="1:7" x14ac:dyDescent="0.25">
      <c r="A21391" t="s">
        <v>8</v>
      </c>
      <c r="B21391" s="1" t="str">
        <f>"000313564 - RICH CORE BB-HURRICANE GRILL"</f>
        <v>000313564 - RICH CORE BB-HURRICANE GRILL</v>
      </c>
      <c r="C21391" t="s">
        <v>648</v>
      </c>
      <c r="D21391" s="1" t="str">
        <f t="shared" si="576"/>
        <v>PRG-1047907</v>
      </c>
      <c r="E21391" t="s">
        <v>233</v>
      </c>
      <c r="F21391" t="s">
        <v>4</v>
      </c>
      <c r="G21391" t="str">
        <f>""</f>
        <v/>
      </c>
    </row>
    <row r="21392" spans="1:7" x14ac:dyDescent="0.25">
      <c r="A21392" t="s">
        <v>8</v>
      </c>
      <c r="B21392" s="1" t="str">
        <f>"000323648 - RICH NCBB-HURRICANE GRILL"</f>
        <v>000323648 - RICH NCBB-HURRICANE GRILL</v>
      </c>
      <c r="C21392" t="s">
        <v>232</v>
      </c>
      <c r="D21392" s="1" t="str">
        <f t="shared" si="576"/>
        <v>PRG-1047907</v>
      </c>
      <c r="E21392" t="s">
        <v>233</v>
      </c>
      <c r="F21392" t="s">
        <v>4</v>
      </c>
      <c r="G21392" t="str">
        <f>""</f>
        <v/>
      </c>
    </row>
    <row r="21393" spans="1:7" x14ac:dyDescent="0.25">
      <c r="A21393" t="s">
        <v>8</v>
      </c>
      <c r="B21393" s="1" t="str">
        <f>"000323650 - RICH CORE BB-HURRICANE GRILL"</f>
        <v>000323650 - RICH CORE BB-HURRICANE GRILL</v>
      </c>
      <c r="C21393" t="s">
        <v>648</v>
      </c>
      <c r="D21393" s="1" t="str">
        <f t="shared" si="576"/>
        <v>PRG-1047907</v>
      </c>
      <c r="E21393" t="s">
        <v>233</v>
      </c>
      <c r="F21393" t="s">
        <v>4</v>
      </c>
      <c r="G21393" t="str">
        <f>""</f>
        <v/>
      </c>
    </row>
    <row r="21394" spans="1:7" x14ac:dyDescent="0.25">
      <c r="A21394" t="s">
        <v>8</v>
      </c>
      <c r="B21394" s="1" t="str">
        <f>"000328601 - RICH(BB&amp;CC) HURRICANE GRILL"</f>
        <v>000328601 - RICH(BB&amp;CC) HURRICANE GRILL</v>
      </c>
      <c r="C21394" t="s">
        <v>3325</v>
      </c>
      <c r="D21394" s="1" t="str">
        <f t="shared" si="576"/>
        <v>PRG-1047907</v>
      </c>
      <c r="E21394" t="s">
        <v>233</v>
      </c>
      <c r="F21394" t="s">
        <v>4</v>
      </c>
      <c r="G21394" t="str">
        <f>""</f>
        <v/>
      </c>
    </row>
    <row r="21395" spans="1:7" x14ac:dyDescent="0.25">
      <c r="A21395" t="s">
        <v>8</v>
      </c>
      <c r="B21395" s="1" t="str">
        <f>"000328604 - RICH(BB&amp;CC) HURRICANE GRILL"</f>
        <v>000328604 - RICH(BB&amp;CC) HURRICANE GRILL</v>
      </c>
      <c r="C21395" t="s">
        <v>3325</v>
      </c>
      <c r="D21395" s="1" t="str">
        <f t="shared" si="576"/>
        <v>PRG-1047907</v>
      </c>
      <c r="E21395" t="s">
        <v>233</v>
      </c>
      <c r="F21395" t="s">
        <v>4</v>
      </c>
      <c r="G21395" t="str">
        <f>""</f>
        <v/>
      </c>
    </row>
    <row r="21396" spans="1:7" x14ac:dyDescent="0.25">
      <c r="A21396" t="s">
        <v>8</v>
      </c>
      <c r="B21396" s="1" t="str">
        <f>"000336490 - RICH NCBB-HURRICANE GRILL"</f>
        <v>000336490 - RICH NCBB-HURRICANE GRILL</v>
      </c>
      <c r="C21396" t="s">
        <v>232</v>
      </c>
      <c r="D21396" s="1" t="str">
        <f t="shared" si="576"/>
        <v>PRG-1047907</v>
      </c>
      <c r="E21396" t="s">
        <v>233</v>
      </c>
      <c r="F21396" t="s">
        <v>4</v>
      </c>
      <c r="G21396" t="str">
        <f>""</f>
        <v/>
      </c>
    </row>
    <row r="21397" spans="1:7" x14ac:dyDescent="0.25">
      <c r="A21397" t="s">
        <v>8</v>
      </c>
      <c r="B21397" s="1" t="str">
        <f>"000367641 - RICH NCBB-HURRICANE GRILL"</f>
        <v>000367641 - RICH NCBB-HURRICANE GRILL</v>
      </c>
      <c r="C21397" t="s">
        <v>232</v>
      </c>
      <c r="D21397" s="1" t="str">
        <f t="shared" si="576"/>
        <v>PRG-1047907</v>
      </c>
      <c r="E21397" t="s">
        <v>233</v>
      </c>
      <c r="F21397" t="s">
        <v>4</v>
      </c>
      <c r="G21397" t="str">
        <f>""</f>
        <v/>
      </c>
    </row>
    <row r="21398" spans="1:7" x14ac:dyDescent="0.25">
      <c r="A21398" t="s">
        <v>8</v>
      </c>
      <c r="B21398" s="1" t="str">
        <f>"S1Z0DZQ0"</f>
        <v>S1Z0DZQ0</v>
      </c>
      <c r="C21398" t="s">
        <v>5376</v>
      </c>
      <c r="D21398" s="1" t="str">
        <f>"PRG-1047912"</f>
        <v>PRG-1047912</v>
      </c>
      <c r="E21398" t="s">
        <v>5377</v>
      </c>
      <c r="F21398" t="s">
        <v>5</v>
      </c>
      <c r="G21398" t="str">
        <f>""</f>
        <v/>
      </c>
    </row>
    <row r="21399" spans="1:7" x14ac:dyDescent="0.25">
      <c r="A21399" t="s">
        <v>8</v>
      </c>
      <c r="B21399" s="1" t="str">
        <f>"S8V003Y0"</f>
        <v>S8V003Y0</v>
      </c>
      <c r="C21399" t="s">
        <v>6292</v>
      </c>
      <c r="D21399" s="1" t="str">
        <f>"PRG-1047912"</f>
        <v>PRG-1047912</v>
      </c>
      <c r="E21399" t="s">
        <v>5377</v>
      </c>
      <c r="F21399" t="s">
        <v>5</v>
      </c>
      <c r="G21399" t="str">
        <f>""</f>
        <v/>
      </c>
    </row>
    <row r="21400" spans="1:7" x14ac:dyDescent="0.25">
      <c r="A21400" t="s">
        <v>8</v>
      </c>
      <c r="B21400" s="1" t="str">
        <f>"000281928 - RICH FOODS-SLIM CHICKENS"</f>
        <v>000281928 - RICH FOODS-SLIM CHICKENS</v>
      </c>
      <c r="C21400" t="s">
        <v>2660</v>
      </c>
      <c r="D21400" s="1" t="str">
        <f>"PRG-1047915"</f>
        <v>PRG-1047915</v>
      </c>
      <c r="E21400" t="s">
        <v>2661</v>
      </c>
      <c r="F21400" t="s">
        <v>4</v>
      </c>
      <c r="G21400" t="str">
        <f>""</f>
        <v/>
      </c>
    </row>
    <row r="21401" spans="1:7" x14ac:dyDescent="0.25">
      <c r="A21401" t="s">
        <v>8</v>
      </c>
      <c r="B21401" s="1" t="str">
        <f>"000198699 - RICH FOODS-SONNYS BBQ"</f>
        <v>000198699 - RICH FOODS-SONNYS BBQ</v>
      </c>
      <c r="C21401" t="s">
        <v>1055</v>
      </c>
      <c r="D21401" s="1" t="str">
        <f t="shared" ref="D21401:D21406" si="577">"PRG-1047917"</f>
        <v>PRG-1047917</v>
      </c>
      <c r="E21401" t="s">
        <v>793</v>
      </c>
      <c r="F21401" t="s">
        <v>4</v>
      </c>
      <c r="G21401" t="str">
        <f>""</f>
        <v/>
      </c>
    </row>
    <row r="21402" spans="1:7" x14ac:dyDescent="0.25">
      <c r="A21402" t="s">
        <v>8</v>
      </c>
      <c r="B21402" s="1" t="str">
        <f>"000299321 - RICH FOODS BAPA-SONNYS BBQ"</f>
        <v>000299321 - RICH FOODS BAPA-SONNYS BBQ</v>
      </c>
      <c r="C21402" t="s">
        <v>1121</v>
      </c>
      <c r="D21402" s="1" t="str">
        <f t="shared" si="577"/>
        <v>PRG-1047917</v>
      </c>
      <c r="E21402" t="s">
        <v>793</v>
      </c>
      <c r="F21402" t="s">
        <v>4</v>
      </c>
      <c r="G21402" t="str">
        <f>""</f>
        <v/>
      </c>
    </row>
    <row r="21403" spans="1:7" x14ac:dyDescent="0.25">
      <c r="A21403" t="s">
        <v>8</v>
      </c>
      <c r="B21403" s="1" t="str">
        <f>"000327551 - RICH FOODS-SONNYS BBQ"</f>
        <v>000327551 - RICH FOODS-SONNYS BBQ</v>
      </c>
      <c r="C21403" t="s">
        <v>1055</v>
      </c>
      <c r="D21403" s="1" t="str">
        <f t="shared" si="577"/>
        <v>PRG-1047917</v>
      </c>
      <c r="E21403" t="s">
        <v>793</v>
      </c>
      <c r="F21403" t="s">
        <v>4</v>
      </c>
      <c r="G21403" t="str">
        <f>""</f>
        <v/>
      </c>
    </row>
    <row r="21404" spans="1:7" x14ac:dyDescent="0.25">
      <c r="A21404" t="s">
        <v>8</v>
      </c>
      <c r="B21404" s="1" t="str">
        <f>"000357022 - RICH FOODS-SONNYS BBQ"</f>
        <v>000357022 - RICH FOODS-SONNYS BBQ</v>
      </c>
      <c r="C21404" t="s">
        <v>1055</v>
      </c>
      <c r="D21404" s="1" t="str">
        <f t="shared" si="577"/>
        <v>PRG-1047917</v>
      </c>
      <c r="E21404" t="s">
        <v>793</v>
      </c>
      <c r="F21404" t="s">
        <v>4</v>
      </c>
      <c r="G21404" t="str">
        <f>""</f>
        <v/>
      </c>
    </row>
    <row r="21405" spans="1:7" x14ac:dyDescent="0.25">
      <c r="A21405" t="s">
        <v>8</v>
      </c>
      <c r="B21405" s="1" t="str">
        <f>"000408718 - RICH FOODS-SONNYS BBQ"</f>
        <v>000408718 - RICH FOODS-SONNYS BBQ</v>
      </c>
      <c r="C21405" t="s">
        <v>1055</v>
      </c>
      <c r="D21405" s="1" t="str">
        <f t="shared" si="577"/>
        <v>PRG-1047917</v>
      </c>
      <c r="E21405" t="s">
        <v>793</v>
      </c>
      <c r="F21405" t="s">
        <v>4</v>
      </c>
      <c r="G21405" t="str">
        <f>""</f>
        <v/>
      </c>
    </row>
    <row r="21406" spans="1:7" x14ac:dyDescent="0.25">
      <c r="A21406" t="s">
        <v>8</v>
      </c>
      <c r="B21406" s="1" t="str">
        <f>"000419412 - RICH FOODS-SONNYS BBQ"</f>
        <v>000419412 - RICH FOODS-SONNYS BBQ</v>
      </c>
      <c r="C21406" t="s">
        <v>1055</v>
      </c>
      <c r="D21406" s="1" t="str">
        <f t="shared" si="577"/>
        <v>PRG-1047917</v>
      </c>
      <c r="E21406" t="s">
        <v>793</v>
      </c>
      <c r="F21406" t="s">
        <v>4</v>
      </c>
      <c r="G21406" t="str">
        <f>""</f>
        <v/>
      </c>
    </row>
    <row r="21407" spans="1:7" x14ac:dyDescent="0.25">
      <c r="A21407" t="s">
        <v>8</v>
      </c>
      <c r="B21407" s="1" t="str">
        <f>"000299640 - RICH FOODS-SPAGHETTI WAREHOUSE"</f>
        <v>000299640 - RICH FOODS-SPAGHETTI WAREHOUSE</v>
      </c>
      <c r="C21407" t="s">
        <v>1423</v>
      </c>
      <c r="D21407" s="1" t="str">
        <f t="shared" ref="D21407:D21413" si="578">"PRG-1047918"</f>
        <v>PRG-1047918</v>
      </c>
      <c r="E21407" t="s">
        <v>1219</v>
      </c>
      <c r="F21407" t="s">
        <v>4</v>
      </c>
      <c r="G21407" t="str">
        <f>""</f>
        <v/>
      </c>
    </row>
    <row r="21408" spans="1:7" x14ac:dyDescent="0.25">
      <c r="A21408" t="s">
        <v>8</v>
      </c>
      <c r="B21408" s="1" t="str">
        <f>"000316556 - RICH FOODS-SPAGHETTI WAREHOUSE"</f>
        <v>000316556 - RICH FOODS-SPAGHETTI WAREHOUSE</v>
      </c>
      <c r="C21408" t="s">
        <v>1423</v>
      </c>
      <c r="D21408" s="1" t="str">
        <f t="shared" si="578"/>
        <v>PRG-1047918</v>
      </c>
      <c r="E21408" t="s">
        <v>1219</v>
      </c>
      <c r="F21408" t="s">
        <v>4</v>
      </c>
      <c r="G21408" t="str">
        <f>""</f>
        <v/>
      </c>
    </row>
    <row r="21409" spans="1:7" x14ac:dyDescent="0.25">
      <c r="A21409" t="s">
        <v>8</v>
      </c>
      <c r="B21409" s="1" t="str">
        <f>"000324373 - RICH FOODS-SPAGHETTI WAREHOUSE"</f>
        <v>000324373 - RICH FOODS-SPAGHETTI WAREHOUSE</v>
      </c>
      <c r="C21409" t="s">
        <v>1423</v>
      </c>
      <c r="D21409" s="1" t="str">
        <f t="shared" si="578"/>
        <v>PRG-1047918</v>
      </c>
      <c r="E21409" t="s">
        <v>1219</v>
      </c>
      <c r="F21409" t="s">
        <v>4</v>
      </c>
      <c r="G21409" t="str">
        <f>""</f>
        <v/>
      </c>
    </row>
    <row r="21410" spans="1:7" x14ac:dyDescent="0.25">
      <c r="A21410" t="s">
        <v>8</v>
      </c>
      <c r="B21410" s="1" t="str">
        <f>"000378776 - RICH FOODS-SPAGHETTI WAREHOUSE"</f>
        <v>000378776 - RICH FOODS-SPAGHETTI WAREHOUSE</v>
      </c>
      <c r="C21410" t="s">
        <v>1423</v>
      </c>
      <c r="D21410" s="1" t="str">
        <f t="shared" si="578"/>
        <v>PRG-1047918</v>
      </c>
      <c r="E21410" t="s">
        <v>1219</v>
      </c>
      <c r="F21410" t="s">
        <v>4</v>
      </c>
      <c r="G21410" t="str">
        <f>""</f>
        <v/>
      </c>
    </row>
    <row r="21411" spans="1:7" x14ac:dyDescent="0.25">
      <c r="A21411" t="s">
        <v>8</v>
      </c>
      <c r="B21411" s="1" t="str">
        <f>"2000285283 - RICH PRODUCTS-SPAGHETTI WAREHOUSE"</f>
        <v>2000285283 - RICH PRODUCTS-SPAGHETTI WAREHOUSE</v>
      </c>
      <c r="C21411" t="s">
        <v>4018</v>
      </c>
      <c r="D21411" s="1" t="str">
        <f t="shared" si="578"/>
        <v>PRG-1047918</v>
      </c>
      <c r="E21411" t="s">
        <v>1219</v>
      </c>
      <c r="F21411" t="s">
        <v>4</v>
      </c>
      <c r="G21411" t="str">
        <f>""</f>
        <v/>
      </c>
    </row>
    <row r="21412" spans="1:7" x14ac:dyDescent="0.25">
      <c r="A21412" t="s">
        <v>8</v>
      </c>
      <c r="B21412" s="1" t="str">
        <f>"2000379343 - RICH PRODUCTS-SPAGHETTI WAREHOUSE"</f>
        <v>2000379343 - RICH PRODUCTS-SPAGHETTI WAREHOUSE</v>
      </c>
      <c r="C21412" t="s">
        <v>4018</v>
      </c>
      <c r="D21412" s="1" t="str">
        <f t="shared" si="578"/>
        <v>PRG-1047918</v>
      </c>
      <c r="E21412" t="s">
        <v>1219</v>
      </c>
      <c r="F21412" t="s">
        <v>4</v>
      </c>
      <c r="G21412" t="str">
        <f>""</f>
        <v/>
      </c>
    </row>
    <row r="21413" spans="1:7" x14ac:dyDescent="0.25">
      <c r="A21413" t="s">
        <v>8</v>
      </c>
      <c r="B21413" s="1" t="str">
        <f>"2000417396 - RICH PRODUCTS-SPAGHETTI WAREHOUSE"</f>
        <v>2000417396 - RICH PRODUCTS-SPAGHETTI WAREHOUSE</v>
      </c>
      <c r="C21413" t="s">
        <v>4018</v>
      </c>
      <c r="D21413" s="1" t="str">
        <f t="shared" si="578"/>
        <v>PRG-1047918</v>
      </c>
      <c r="E21413" t="s">
        <v>1219</v>
      </c>
      <c r="F21413" t="s">
        <v>4</v>
      </c>
      <c r="G21413" t="str">
        <f>""</f>
        <v/>
      </c>
    </row>
    <row r="21414" spans="1:7" x14ac:dyDescent="0.25">
      <c r="A21414" t="s">
        <v>8</v>
      </c>
      <c r="B21414" s="1" t="str">
        <f>"000346397 - RICH FOODS-TONY ROMA'S"</f>
        <v>000346397 - RICH FOODS-TONY ROMA'S</v>
      </c>
      <c r="C21414" t="s">
        <v>689</v>
      </c>
      <c r="D21414" s="1" t="str">
        <f>"PRG-1047919"</f>
        <v>PRG-1047919</v>
      </c>
      <c r="E21414" t="s">
        <v>690</v>
      </c>
      <c r="F21414" t="s">
        <v>4</v>
      </c>
      <c r="G21414" t="str">
        <f>""</f>
        <v/>
      </c>
    </row>
    <row r="21415" spans="1:7" x14ac:dyDescent="0.25">
      <c r="A21415" t="s">
        <v>8</v>
      </c>
      <c r="B21415" s="1" t="str">
        <f>"000369127 - RICH FOODS-TONY ROMA'S"</f>
        <v>000369127 - RICH FOODS-TONY ROMA'S</v>
      </c>
      <c r="C21415" t="s">
        <v>689</v>
      </c>
      <c r="D21415" s="1" t="str">
        <f>"PRG-1047919"</f>
        <v>PRG-1047919</v>
      </c>
      <c r="E21415" t="s">
        <v>690</v>
      </c>
      <c r="F21415" t="s">
        <v>4</v>
      </c>
      <c r="G21415" t="str">
        <f>""</f>
        <v/>
      </c>
    </row>
    <row r="21416" spans="1:7" x14ac:dyDescent="0.25">
      <c r="A21416" t="s">
        <v>8</v>
      </c>
      <c r="B21416" s="1" t="str">
        <f>"000378632 - RICH FOODS-TONY ROMA'S"</f>
        <v>000378632 - RICH FOODS-TONY ROMA'S</v>
      </c>
      <c r="C21416" t="s">
        <v>689</v>
      </c>
      <c r="D21416" s="1" t="str">
        <f>"PRG-1047919"</f>
        <v>PRG-1047919</v>
      </c>
      <c r="E21416" t="s">
        <v>690</v>
      </c>
      <c r="F21416" t="s">
        <v>4</v>
      </c>
      <c r="G21416" t="str">
        <f>""</f>
        <v/>
      </c>
    </row>
    <row r="21417" spans="1:7" x14ac:dyDescent="0.25">
      <c r="A21417" t="s">
        <v>8</v>
      </c>
      <c r="B21417" s="1" t="str">
        <f>"000426945 - RICH FOODS-TONY ROMA'S"</f>
        <v>000426945 - RICH FOODS-TONY ROMA'S</v>
      </c>
      <c r="C21417" t="s">
        <v>689</v>
      </c>
      <c r="D21417" s="1" t="str">
        <f>"PRG-1047919"</f>
        <v>PRG-1047919</v>
      </c>
      <c r="E21417" t="s">
        <v>690</v>
      </c>
      <c r="F21417" t="s">
        <v>4</v>
      </c>
      <c r="G21417" t="str">
        <f>""</f>
        <v/>
      </c>
    </row>
    <row r="21418" spans="1:7" x14ac:dyDescent="0.25">
      <c r="A21418" t="s">
        <v>8</v>
      </c>
      <c r="B21418" s="1" t="str">
        <f>"000440579 - RICH FOODS-TONY ROMA'S"</f>
        <v>000440579 - RICH FOODS-TONY ROMA'S</v>
      </c>
      <c r="C21418" t="s">
        <v>689</v>
      </c>
      <c r="D21418" s="1" t="str">
        <f>"PRG-1047919"</f>
        <v>PRG-1047919</v>
      </c>
      <c r="E21418" t="s">
        <v>690</v>
      </c>
      <c r="F21418" t="s">
        <v>4</v>
      </c>
      <c r="G21418" t="str">
        <f>""</f>
        <v/>
      </c>
    </row>
    <row r="21419" spans="1:7" x14ac:dyDescent="0.25">
      <c r="A21419" t="s">
        <v>8</v>
      </c>
      <c r="B21419" s="1" t="str">
        <f>"000292717 - RICH FOODS-WOODYS BBQ"</f>
        <v>000292717 - RICH FOODS-WOODYS BBQ</v>
      </c>
      <c r="C21419" t="s">
        <v>2749</v>
      </c>
      <c r="D21419" s="1" t="str">
        <f t="shared" ref="D21419:D21424" si="579">"PRG-1047920"</f>
        <v>PRG-1047920</v>
      </c>
      <c r="E21419" t="s">
        <v>1643</v>
      </c>
      <c r="F21419" t="s">
        <v>4</v>
      </c>
      <c r="G21419" t="str">
        <f>""</f>
        <v/>
      </c>
    </row>
    <row r="21420" spans="1:7" x14ac:dyDescent="0.25">
      <c r="A21420" t="s">
        <v>8</v>
      </c>
      <c r="B21420" s="1" t="str">
        <f>"000302839 - RICH FOODS-WOODYS BBQ"</f>
        <v>000302839 - RICH FOODS-WOODYS BBQ</v>
      </c>
      <c r="C21420" t="s">
        <v>2749</v>
      </c>
      <c r="D21420" s="1" t="str">
        <f t="shared" si="579"/>
        <v>PRG-1047920</v>
      </c>
      <c r="E21420" t="s">
        <v>1643</v>
      </c>
      <c r="F21420" t="s">
        <v>4</v>
      </c>
      <c r="G21420" t="str">
        <f>""</f>
        <v/>
      </c>
    </row>
    <row r="21421" spans="1:7" x14ac:dyDescent="0.25">
      <c r="A21421" t="s">
        <v>8</v>
      </c>
      <c r="B21421" s="1" t="str">
        <f>"000310641 - RICH   WOODYS BBQ"</f>
        <v>000310641 - RICH   WOODYS BBQ</v>
      </c>
      <c r="C21421" t="s">
        <v>2341</v>
      </c>
      <c r="D21421" s="1" t="str">
        <f t="shared" si="579"/>
        <v>PRG-1047920</v>
      </c>
      <c r="E21421" t="s">
        <v>1643</v>
      </c>
      <c r="F21421" t="s">
        <v>4</v>
      </c>
      <c r="G21421" t="str">
        <f>""</f>
        <v/>
      </c>
    </row>
    <row r="21422" spans="1:7" x14ac:dyDescent="0.25">
      <c r="A21422" t="s">
        <v>8</v>
      </c>
      <c r="B21422" s="1" t="str">
        <f>"000315735 - RICH FOODS-WOODYS BBQ"</f>
        <v>000315735 - RICH FOODS-WOODYS BBQ</v>
      </c>
      <c r="C21422" t="s">
        <v>2749</v>
      </c>
      <c r="D21422" s="1" t="str">
        <f t="shared" si="579"/>
        <v>PRG-1047920</v>
      </c>
      <c r="E21422" t="s">
        <v>1643</v>
      </c>
      <c r="F21422" t="s">
        <v>4</v>
      </c>
      <c r="G21422" t="str">
        <f>""</f>
        <v/>
      </c>
    </row>
    <row r="21423" spans="1:7" x14ac:dyDescent="0.25">
      <c r="A21423" t="s">
        <v>8</v>
      </c>
      <c r="B21423" s="1" t="str">
        <f>"000318928 - RICH FOODS-WOODYS BBQ"</f>
        <v>000318928 - RICH FOODS-WOODYS BBQ</v>
      </c>
      <c r="C21423" t="s">
        <v>2749</v>
      </c>
      <c r="D21423" s="1" t="str">
        <f t="shared" si="579"/>
        <v>PRG-1047920</v>
      </c>
      <c r="E21423" t="s">
        <v>1643</v>
      </c>
      <c r="F21423" t="s">
        <v>4</v>
      </c>
      <c r="G21423" t="str">
        <f>""</f>
        <v/>
      </c>
    </row>
    <row r="21424" spans="1:7" x14ac:dyDescent="0.25">
      <c r="A21424" t="s">
        <v>8</v>
      </c>
      <c r="B21424" s="1" t="str">
        <f>"000390467 - RICH FOODS-WOODYS BBQ"</f>
        <v>000390467 - RICH FOODS-WOODYS BBQ</v>
      </c>
      <c r="C21424" t="s">
        <v>2749</v>
      </c>
      <c r="D21424" s="1" t="str">
        <f t="shared" si="579"/>
        <v>PRG-1047920</v>
      </c>
      <c r="E21424" t="s">
        <v>1643</v>
      </c>
      <c r="F21424" t="s">
        <v>4</v>
      </c>
      <c r="G21424" t="str">
        <f>""</f>
        <v/>
      </c>
    </row>
    <row r="21425" spans="1:7" x14ac:dyDescent="0.25">
      <c r="A21425" t="s">
        <v>8</v>
      </c>
      <c r="B21425" s="1" t="str">
        <f>"000073158 - RICH PRODUCTS WORLD OF BEER"</f>
        <v>000073158 - RICH PRODUCTS WORLD OF BEER</v>
      </c>
      <c r="C21425" t="s">
        <v>738</v>
      </c>
      <c r="D21425" s="1" t="str">
        <f>"PRG-1047921"</f>
        <v>PRG-1047921</v>
      </c>
      <c r="E21425" t="s">
        <v>739</v>
      </c>
      <c r="F21425" t="s">
        <v>4</v>
      </c>
      <c r="G21425" t="str">
        <f>""</f>
        <v/>
      </c>
    </row>
    <row r="21426" spans="1:7" x14ac:dyDescent="0.25">
      <c r="A21426" t="s">
        <v>8</v>
      </c>
      <c r="B21426" s="1" t="str">
        <f>"000401783 - RICH PRODUCTS WORLD OF BEER"</f>
        <v>000401783 - RICH PRODUCTS WORLD OF BEER</v>
      </c>
      <c r="C21426" t="s">
        <v>738</v>
      </c>
      <c r="D21426" s="1" t="str">
        <f>"PRG-1047921"</f>
        <v>PRG-1047921</v>
      </c>
      <c r="E21426" t="s">
        <v>739</v>
      </c>
      <c r="F21426" t="s">
        <v>4</v>
      </c>
      <c r="G21426" t="str">
        <f>""</f>
        <v/>
      </c>
    </row>
    <row r="21427" spans="1:7" x14ac:dyDescent="0.25">
      <c r="A21427" t="s">
        <v>8</v>
      </c>
      <c r="B21427" s="1" t="str">
        <f>"000290892 - RICH FOODS-RTPT RIVR"</f>
        <v>000290892 - RICH FOODS-RTPT RIVR</v>
      </c>
      <c r="C21427" t="s">
        <v>2833</v>
      </c>
      <c r="D21427" s="1" t="str">
        <f t="shared" ref="D21427:D21432" si="580">"PRG-1047924"</f>
        <v>PRG-1047924</v>
      </c>
      <c r="E21427" t="s">
        <v>2681</v>
      </c>
      <c r="F21427" t="s">
        <v>4</v>
      </c>
      <c r="G21427" t="str">
        <f>""</f>
        <v/>
      </c>
    </row>
    <row r="21428" spans="1:7" x14ac:dyDescent="0.25">
      <c r="A21428" t="s">
        <v>8</v>
      </c>
      <c r="B21428" s="1" t="str">
        <f>"000293567 - RICH FOODS-RTPT RIVR"</f>
        <v>000293567 - RICH FOODS-RTPT RIVR</v>
      </c>
      <c r="C21428" t="s">
        <v>2833</v>
      </c>
      <c r="D21428" s="1" t="str">
        <f t="shared" si="580"/>
        <v>PRG-1047924</v>
      </c>
      <c r="E21428" t="s">
        <v>2681</v>
      </c>
      <c r="F21428" t="s">
        <v>4</v>
      </c>
      <c r="G21428" t="str">
        <f>""</f>
        <v/>
      </c>
    </row>
    <row r="21429" spans="1:7" x14ac:dyDescent="0.25">
      <c r="A21429" t="s">
        <v>8</v>
      </c>
      <c r="B21429" s="1" t="str">
        <f>"000358222 - JACQUELINES-RTPT 4 RIVERS"</f>
        <v>000358222 - JACQUELINES-RTPT 4 RIVERS</v>
      </c>
      <c r="C21429" t="s">
        <v>2680</v>
      </c>
      <c r="D21429" s="1" t="str">
        <f t="shared" si="580"/>
        <v>PRG-1047924</v>
      </c>
      <c r="E21429" t="s">
        <v>2681</v>
      </c>
      <c r="F21429" t="s">
        <v>4</v>
      </c>
      <c r="G21429" t="str">
        <f>""</f>
        <v/>
      </c>
    </row>
    <row r="21430" spans="1:7" x14ac:dyDescent="0.25">
      <c r="A21430" t="s">
        <v>8</v>
      </c>
      <c r="B21430" s="1" t="str">
        <f>"000381763 - RICH FOODS-RTPT 4 RIVERS"</f>
        <v>000381763 - RICH FOODS-RTPT 4 RIVERS</v>
      </c>
      <c r="C21430" t="s">
        <v>2410</v>
      </c>
      <c r="D21430" s="1" t="str">
        <f t="shared" si="580"/>
        <v>PRG-1047924</v>
      </c>
      <c r="E21430" t="s">
        <v>2681</v>
      </c>
      <c r="F21430" t="s">
        <v>4</v>
      </c>
      <c r="G21430" t="str">
        <f>""</f>
        <v/>
      </c>
    </row>
    <row r="21431" spans="1:7" x14ac:dyDescent="0.25">
      <c r="A21431" t="s">
        <v>8</v>
      </c>
      <c r="B21431" s="1" t="str">
        <f>"000405421 - RICH FOODS-RTPT RIVR"</f>
        <v>000405421 - RICH FOODS-RTPT RIVR</v>
      </c>
      <c r="C21431" t="s">
        <v>2833</v>
      </c>
      <c r="D21431" s="1" t="str">
        <f t="shared" si="580"/>
        <v>PRG-1047924</v>
      </c>
      <c r="E21431" t="s">
        <v>2681</v>
      </c>
      <c r="F21431" t="s">
        <v>4</v>
      </c>
      <c r="G21431" t="str">
        <f>""</f>
        <v/>
      </c>
    </row>
    <row r="21432" spans="1:7" x14ac:dyDescent="0.25">
      <c r="A21432" t="s">
        <v>8</v>
      </c>
      <c r="B21432" s="1" t="str">
        <f>"000409222 - RICH FOODS-RTPT RIVR"</f>
        <v>000409222 - RICH FOODS-RTPT RIVR</v>
      </c>
      <c r="C21432" t="s">
        <v>2833</v>
      </c>
      <c r="D21432" s="1" t="str">
        <f t="shared" si="580"/>
        <v>PRG-1047924</v>
      </c>
      <c r="E21432" t="s">
        <v>2681</v>
      </c>
      <c r="F21432" t="s">
        <v>4</v>
      </c>
      <c r="G21432" t="str">
        <f>""</f>
        <v/>
      </c>
    </row>
    <row r="21433" spans="1:7" x14ac:dyDescent="0.25">
      <c r="A21433" t="s">
        <v>8</v>
      </c>
      <c r="B21433" s="1" t="str">
        <f>"000052014 - RICH FOODS-TOP GOLF"</f>
        <v>000052014 - RICH FOODS-TOP GOLF</v>
      </c>
      <c r="C21433" t="s">
        <v>203</v>
      </c>
      <c r="D21433" s="1" t="str">
        <f>"PRG-1047927"</f>
        <v>PRG-1047927</v>
      </c>
      <c r="E21433" t="s">
        <v>204</v>
      </c>
      <c r="F21433" t="s">
        <v>4</v>
      </c>
      <c r="G21433" t="str">
        <f>""</f>
        <v/>
      </c>
    </row>
    <row r="21434" spans="1:7" x14ac:dyDescent="0.25">
      <c r="A21434" t="s">
        <v>8</v>
      </c>
      <c r="B21434" s="1" t="str">
        <f>"000054142 - RICH FOODS-LANDRYS"</f>
        <v>000054142 - RICH FOODS-LANDRYS</v>
      </c>
      <c r="C21434" t="s">
        <v>435</v>
      </c>
      <c r="D21434" s="1" t="str">
        <f t="shared" ref="D21434:D21457" si="581">"PRG-1047932"</f>
        <v>PRG-1047932</v>
      </c>
      <c r="E21434" t="s">
        <v>199</v>
      </c>
      <c r="F21434" t="s">
        <v>4</v>
      </c>
      <c r="G21434" t="str">
        <f>""</f>
        <v/>
      </c>
    </row>
    <row r="21435" spans="1:7" x14ac:dyDescent="0.25">
      <c r="A21435" t="s">
        <v>8</v>
      </c>
      <c r="B21435" s="1" t="str">
        <f>"000056797 - RICH FOODS-LANDRYS"</f>
        <v>000056797 - RICH FOODS-LANDRYS</v>
      </c>
      <c r="C21435" t="s">
        <v>435</v>
      </c>
      <c r="D21435" s="1" t="str">
        <f t="shared" si="581"/>
        <v>PRG-1047932</v>
      </c>
      <c r="E21435" t="s">
        <v>199</v>
      </c>
      <c r="F21435" t="s">
        <v>4</v>
      </c>
      <c r="G21435" t="str">
        <f>""</f>
        <v/>
      </c>
    </row>
    <row r="21436" spans="1:7" x14ac:dyDescent="0.25">
      <c r="A21436" t="s">
        <v>8</v>
      </c>
      <c r="B21436" s="1" t="str">
        <f>"000070028 - RICH FOODS-LANDRYS"</f>
        <v>000070028 - RICH FOODS-LANDRYS</v>
      </c>
      <c r="C21436" t="s">
        <v>435</v>
      </c>
      <c r="D21436" s="1" t="str">
        <f t="shared" si="581"/>
        <v>PRG-1047932</v>
      </c>
      <c r="E21436" t="s">
        <v>199</v>
      </c>
      <c r="F21436" t="s">
        <v>4</v>
      </c>
      <c r="G21436" t="str">
        <f>""</f>
        <v/>
      </c>
    </row>
    <row r="21437" spans="1:7" x14ac:dyDescent="0.25">
      <c r="A21437" t="s">
        <v>8</v>
      </c>
      <c r="B21437" s="1" t="str">
        <f>"000071998 - RICH FOODS-LANDRYS"</f>
        <v>000071998 - RICH FOODS-LANDRYS</v>
      </c>
      <c r="C21437" t="s">
        <v>435</v>
      </c>
      <c r="D21437" s="1" t="str">
        <f t="shared" si="581"/>
        <v>PRG-1047932</v>
      </c>
      <c r="E21437" t="s">
        <v>199</v>
      </c>
      <c r="F21437" t="s">
        <v>4</v>
      </c>
      <c r="G21437" t="str">
        <f>""</f>
        <v/>
      </c>
    </row>
    <row r="21438" spans="1:7" x14ac:dyDescent="0.25">
      <c r="A21438" t="s">
        <v>8</v>
      </c>
      <c r="B21438" s="1" t="str">
        <f>"000119459 - RICH FOODS-LANDRYS"</f>
        <v>000119459 - RICH FOODS-LANDRYS</v>
      </c>
      <c r="C21438" t="s">
        <v>435</v>
      </c>
      <c r="D21438" s="1" t="str">
        <f t="shared" si="581"/>
        <v>PRG-1047932</v>
      </c>
      <c r="E21438" t="s">
        <v>199</v>
      </c>
      <c r="F21438" t="s">
        <v>4</v>
      </c>
      <c r="G21438" t="str">
        <f>""</f>
        <v/>
      </c>
    </row>
    <row r="21439" spans="1:7" x14ac:dyDescent="0.25">
      <c r="A21439" t="s">
        <v>8</v>
      </c>
      <c r="B21439" s="1" t="str">
        <f>"000277215 - RICH FOODS-LANDRYS"</f>
        <v>000277215 - RICH FOODS-LANDRYS</v>
      </c>
      <c r="C21439" t="s">
        <v>435</v>
      </c>
      <c r="D21439" s="1" t="str">
        <f t="shared" si="581"/>
        <v>PRG-1047932</v>
      </c>
      <c r="E21439" t="s">
        <v>199</v>
      </c>
      <c r="F21439" t="s">
        <v>4</v>
      </c>
      <c r="G21439" t="str">
        <f>""</f>
        <v/>
      </c>
    </row>
    <row r="21440" spans="1:7" x14ac:dyDescent="0.25">
      <c r="A21440" t="s">
        <v>8</v>
      </c>
      <c r="B21440" s="1" t="str">
        <f>"000285675 - RICH FOODS BAPA-SSS ARAMARK"</f>
        <v>000285675 - RICH FOODS BAPA-SSS ARAMARK</v>
      </c>
      <c r="C21440" t="s">
        <v>373</v>
      </c>
      <c r="D21440" s="1" t="str">
        <f t="shared" si="581"/>
        <v>PRG-1047932</v>
      </c>
      <c r="E21440" t="s">
        <v>199</v>
      </c>
      <c r="F21440" t="s">
        <v>4</v>
      </c>
      <c r="G21440" t="str">
        <f>""</f>
        <v/>
      </c>
    </row>
    <row r="21441" spans="1:7" x14ac:dyDescent="0.25">
      <c r="A21441" t="s">
        <v>8</v>
      </c>
      <c r="B21441" s="1" t="str">
        <f>"000305127 - RICH FOODS-LANDRYS"</f>
        <v>000305127 - RICH FOODS-LANDRYS</v>
      </c>
      <c r="C21441" t="s">
        <v>435</v>
      </c>
      <c r="D21441" s="1" t="str">
        <f t="shared" si="581"/>
        <v>PRG-1047932</v>
      </c>
      <c r="E21441" t="s">
        <v>199</v>
      </c>
      <c r="F21441" t="s">
        <v>4</v>
      </c>
      <c r="G21441" t="str">
        <f>""</f>
        <v/>
      </c>
    </row>
    <row r="21442" spans="1:7" x14ac:dyDescent="0.25">
      <c r="A21442" t="s">
        <v>8</v>
      </c>
      <c r="B21442" s="1" t="str">
        <f>"000306298 - RICH FOODS CBB-LANDRYS"</f>
        <v>000306298 - RICH FOODS CBB-LANDRYS</v>
      </c>
      <c r="C21442" t="s">
        <v>198</v>
      </c>
      <c r="D21442" s="1" t="str">
        <f t="shared" si="581"/>
        <v>PRG-1047932</v>
      </c>
      <c r="E21442" t="s">
        <v>199</v>
      </c>
      <c r="F21442" t="s">
        <v>4</v>
      </c>
      <c r="G21442" t="str">
        <f>""</f>
        <v/>
      </c>
    </row>
    <row r="21443" spans="1:7" x14ac:dyDescent="0.25">
      <c r="A21443" t="s">
        <v>8</v>
      </c>
      <c r="B21443" s="1" t="str">
        <f>"000311690 - RICH FOODS-LANDRYS BAPA LOGIC"</f>
        <v>000311690 - RICH FOODS-LANDRYS BAPA LOGIC</v>
      </c>
      <c r="C21443" t="s">
        <v>260</v>
      </c>
      <c r="D21443" s="1" t="str">
        <f t="shared" si="581"/>
        <v>PRG-1047932</v>
      </c>
      <c r="E21443" t="s">
        <v>199</v>
      </c>
      <c r="F21443" t="s">
        <v>4</v>
      </c>
      <c r="G21443" t="str">
        <f>""</f>
        <v/>
      </c>
    </row>
    <row r="21444" spans="1:7" x14ac:dyDescent="0.25">
      <c r="A21444" t="s">
        <v>8</v>
      </c>
      <c r="B21444" s="1" t="str">
        <f>"000327072 - RICH FOODS-LANDRYS"</f>
        <v>000327072 - RICH FOODS-LANDRYS</v>
      </c>
      <c r="C21444" t="s">
        <v>435</v>
      </c>
      <c r="D21444" s="1" t="str">
        <f t="shared" si="581"/>
        <v>PRG-1047932</v>
      </c>
      <c r="E21444" t="s">
        <v>199</v>
      </c>
      <c r="F21444" t="s">
        <v>4</v>
      </c>
      <c r="G21444" t="str">
        <f>""</f>
        <v/>
      </c>
    </row>
    <row r="21445" spans="1:7" x14ac:dyDescent="0.25">
      <c r="A21445" t="s">
        <v>8</v>
      </c>
      <c r="B21445" s="1" t="str">
        <f>"000328409 - RICH FOODS-LANDRYS"</f>
        <v>000328409 - RICH FOODS-LANDRYS</v>
      </c>
      <c r="C21445" t="s">
        <v>435</v>
      </c>
      <c r="D21445" s="1" t="str">
        <f t="shared" si="581"/>
        <v>PRG-1047932</v>
      </c>
      <c r="E21445" t="s">
        <v>199</v>
      </c>
      <c r="F21445" t="s">
        <v>4</v>
      </c>
      <c r="G21445" t="str">
        <f>""</f>
        <v/>
      </c>
    </row>
    <row r="21446" spans="1:7" x14ac:dyDescent="0.25">
      <c r="A21446" t="s">
        <v>8</v>
      </c>
      <c r="B21446" s="1" t="str">
        <f>"000328724 - RICH FOODS-LANDRYS"</f>
        <v>000328724 - RICH FOODS-LANDRYS</v>
      </c>
      <c r="C21446" t="s">
        <v>435</v>
      </c>
      <c r="D21446" s="1" t="str">
        <f t="shared" si="581"/>
        <v>PRG-1047932</v>
      </c>
      <c r="E21446" t="s">
        <v>199</v>
      </c>
      <c r="F21446" t="s">
        <v>4</v>
      </c>
      <c r="G21446" t="str">
        <f>""</f>
        <v/>
      </c>
    </row>
    <row r="21447" spans="1:7" x14ac:dyDescent="0.25">
      <c r="A21447" t="s">
        <v>8</v>
      </c>
      <c r="B21447" s="1" t="str">
        <f>"000364624 - RICH FOODS-LANDRYS"</f>
        <v>000364624 - RICH FOODS-LANDRYS</v>
      </c>
      <c r="C21447" t="s">
        <v>435</v>
      </c>
      <c r="D21447" s="1" t="str">
        <f t="shared" si="581"/>
        <v>PRG-1047932</v>
      </c>
      <c r="E21447" t="s">
        <v>199</v>
      </c>
      <c r="F21447" t="s">
        <v>4</v>
      </c>
      <c r="G21447" t="str">
        <f>""</f>
        <v/>
      </c>
    </row>
    <row r="21448" spans="1:7" x14ac:dyDescent="0.25">
      <c r="A21448" t="s">
        <v>8</v>
      </c>
      <c r="B21448" s="1" t="str">
        <f>"000376620 - RICH FOODS-LANDRYS"</f>
        <v>000376620 - RICH FOODS-LANDRYS</v>
      </c>
      <c r="C21448" t="s">
        <v>435</v>
      </c>
      <c r="D21448" s="1" t="str">
        <f t="shared" si="581"/>
        <v>PRG-1047932</v>
      </c>
      <c r="E21448" t="s">
        <v>199</v>
      </c>
      <c r="F21448" t="s">
        <v>4</v>
      </c>
      <c r="G21448" t="str">
        <f>""</f>
        <v/>
      </c>
    </row>
    <row r="21449" spans="1:7" x14ac:dyDescent="0.25">
      <c r="A21449" t="s">
        <v>8</v>
      </c>
      <c r="B21449" s="1" t="str">
        <f>"000395428 - RICH FOODS-LANDRYS"</f>
        <v>000395428 - RICH FOODS-LANDRYS</v>
      </c>
      <c r="C21449" t="s">
        <v>435</v>
      </c>
      <c r="D21449" s="1" t="str">
        <f t="shared" si="581"/>
        <v>PRG-1047932</v>
      </c>
      <c r="E21449" t="s">
        <v>199</v>
      </c>
      <c r="F21449" t="s">
        <v>4</v>
      </c>
      <c r="G21449" t="str">
        <f>""</f>
        <v/>
      </c>
    </row>
    <row r="21450" spans="1:7" x14ac:dyDescent="0.25">
      <c r="A21450" t="s">
        <v>8</v>
      </c>
      <c r="B21450" s="1" t="str">
        <f>"000398371 - RICH FOODS-LANDRYS"</f>
        <v>000398371 - RICH FOODS-LANDRYS</v>
      </c>
      <c r="C21450" t="s">
        <v>435</v>
      </c>
      <c r="D21450" s="1" t="str">
        <f t="shared" si="581"/>
        <v>PRG-1047932</v>
      </c>
      <c r="E21450" t="s">
        <v>199</v>
      </c>
      <c r="F21450" t="s">
        <v>4</v>
      </c>
      <c r="G21450" t="str">
        <f>""</f>
        <v/>
      </c>
    </row>
    <row r="21451" spans="1:7" x14ac:dyDescent="0.25">
      <c r="A21451" t="s">
        <v>8</v>
      </c>
      <c r="B21451" s="1" t="str">
        <f>"000406087 - RICH FOODS-LANDRYS BAPA LOGIC"</f>
        <v>000406087 - RICH FOODS-LANDRYS BAPA LOGIC</v>
      </c>
      <c r="C21451" t="s">
        <v>260</v>
      </c>
      <c r="D21451" s="1" t="str">
        <f t="shared" si="581"/>
        <v>PRG-1047932</v>
      </c>
      <c r="E21451" t="s">
        <v>199</v>
      </c>
      <c r="F21451" t="s">
        <v>4</v>
      </c>
      <c r="G21451" t="str">
        <f>""</f>
        <v/>
      </c>
    </row>
    <row r="21452" spans="1:7" x14ac:dyDescent="0.25">
      <c r="A21452" t="s">
        <v>8</v>
      </c>
      <c r="B21452" s="1" t="str">
        <f>"000406820 - RICH FOODS-LANDRYS"</f>
        <v>000406820 - RICH FOODS-LANDRYS</v>
      </c>
      <c r="C21452" t="s">
        <v>435</v>
      </c>
      <c r="D21452" s="1" t="str">
        <f t="shared" si="581"/>
        <v>PRG-1047932</v>
      </c>
      <c r="E21452" t="s">
        <v>199</v>
      </c>
      <c r="F21452" t="s">
        <v>4</v>
      </c>
      <c r="G21452" t="str">
        <f>""</f>
        <v/>
      </c>
    </row>
    <row r="21453" spans="1:7" x14ac:dyDescent="0.25">
      <c r="A21453" t="s">
        <v>8</v>
      </c>
      <c r="B21453" s="1" t="str">
        <f>"000407707 - RICH FOODS-LANDRYS"</f>
        <v>000407707 - RICH FOODS-LANDRYS</v>
      </c>
      <c r="C21453" t="s">
        <v>435</v>
      </c>
      <c r="D21453" s="1" t="str">
        <f t="shared" si="581"/>
        <v>PRG-1047932</v>
      </c>
      <c r="E21453" t="s">
        <v>199</v>
      </c>
      <c r="F21453" t="s">
        <v>4</v>
      </c>
      <c r="G21453" t="str">
        <f>""</f>
        <v/>
      </c>
    </row>
    <row r="21454" spans="1:7" x14ac:dyDescent="0.25">
      <c r="A21454" t="s">
        <v>8</v>
      </c>
      <c r="B21454" s="1" t="str">
        <f>"000411147 - RICH FOODS-LANDRYS"</f>
        <v>000411147 - RICH FOODS-LANDRYS</v>
      </c>
      <c r="C21454" t="s">
        <v>435</v>
      </c>
      <c r="D21454" s="1" t="str">
        <f t="shared" si="581"/>
        <v>PRG-1047932</v>
      </c>
      <c r="E21454" t="s">
        <v>199</v>
      </c>
      <c r="F21454" t="s">
        <v>4</v>
      </c>
      <c r="G21454" t="str">
        <f>""</f>
        <v/>
      </c>
    </row>
    <row r="21455" spans="1:7" x14ac:dyDescent="0.25">
      <c r="A21455" t="s">
        <v>8</v>
      </c>
      <c r="B21455" s="1" t="str">
        <f>"000421247 - RICH FOODS-LANDRYS"</f>
        <v>000421247 - RICH FOODS-LANDRYS</v>
      </c>
      <c r="C21455" t="s">
        <v>435</v>
      </c>
      <c r="D21455" s="1" t="str">
        <f t="shared" si="581"/>
        <v>PRG-1047932</v>
      </c>
      <c r="E21455" t="s">
        <v>199</v>
      </c>
      <c r="F21455" t="s">
        <v>4</v>
      </c>
      <c r="G21455" t="str">
        <f>""</f>
        <v/>
      </c>
    </row>
    <row r="21456" spans="1:7" x14ac:dyDescent="0.25">
      <c r="A21456" t="s">
        <v>8</v>
      </c>
      <c r="B21456" s="1" t="str">
        <f>"000427317 - RICH FOODS-LANDRYS"</f>
        <v>000427317 - RICH FOODS-LANDRYS</v>
      </c>
      <c r="C21456" t="s">
        <v>435</v>
      </c>
      <c r="D21456" s="1" t="str">
        <f t="shared" si="581"/>
        <v>PRG-1047932</v>
      </c>
      <c r="E21456" t="s">
        <v>199</v>
      </c>
      <c r="F21456" t="s">
        <v>4</v>
      </c>
      <c r="G21456" t="str">
        <f>""</f>
        <v/>
      </c>
    </row>
    <row r="21457" spans="1:7" x14ac:dyDescent="0.25">
      <c r="A21457" t="s">
        <v>8</v>
      </c>
      <c r="B21457" s="1" t="str">
        <f>"000427869 - RICH FOODS-LANDRYS"</f>
        <v>000427869 - RICH FOODS-LANDRYS</v>
      </c>
      <c r="C21457" t="s">
        <v>435</v>
      </c>
      <c r="D21457" s="1" t="str">
        <f t="shared" si="581"/>
        <v>PRG-1047932</v>
      </c>
      <c r="E21457" t="s">
        <v>199</v>
      </c>
      <c r="F21457" t="s">
        <v>4</v>
      </c>
      <c r="G21457" t="str">
        <f>""</f>
        <v/>
      </c>
    </row>
    <row r="21458" spans="1:7" x14ac:dyDescent="0.25">
      <c r="A21458" t="s">
        <v>8</v>
      </c>
      <c r="B21458" s="1" t="str">
        <f>"000188515 - RICH FOODS-SKY ZONE"</f>
        <v>000188515 - RICH FOODS-SKY ZONE</v>
      </c>
      <c r="C21458" t="s">
        <v>630</v>
      </c>
      <c r="D21458" s="1" t="str">
        <f t="shared" ref="D21458:D21466" si="582">"PRG-1047936"</f>
        <v>PRG-1047936</v>
      </c>
      <c r="E21458" t="s">
        <v>1191</v>
      </c>
      <c r="F21458" t="s">
        <v>4</v>
      </c>
      <c r="G21458" t="str">
        <f>""</f>
        <v/>
      </c>
    </row>
    <row r="21459" spans="1:7" x14ac:dyDescent="0.25">
      <c r="A21459" t="s">
        <v>8</v>
      </c>
      <c r="B21459" s="1" t="str">
        <f>"000274008 - RICH FOODS-SKY ZONE"</f>
        <v>000274008 - RICH FOODS-SKY ZONE</v>
      </c>
      <c r="C21459" t="s">
        <v>630</v>
      </c>
      <c r="D21459" s="1" t="str">
        <f t="shared" si="582"/>
        <v>PRG-1047936</v>
      </c>
      <c r="E21459" t="s">
        <v>1191</v>
      </c>
      <c r="F21459" t="s">
        <v>4</v>
      </c>
      <c r="G21459" t="str">
        <f>""</f>
        <v/>
      </c>
    </row>
    <row r="21460" spans="1:7" x14ac:dyDescent="0.25">
      <c r="A21460" t="s">
        <v>8</v>
      </c>
      <c r="B21460" s="1" t="str">
        <f>"000276498 - RICH FOODS-SKY ZONE"</f>
        <v>000276498 - RICH FOODS-SKY ZONE</v>
      </c>
      <c r="C21460" t="s">
        <v>630</v>
      </c>
      <c r="D21460" s="1" t="str">
        <f t="shared" si="582"/>
        <v>PRG-1047936</v>
      </c>
      <c r="E21460" t="s">
        <v>1191</v>
      </c>
      <c r="F21460" t="s">
        <v>4</v>
      </c>
      <c r="G21460" t="str">
        <f>""</f>
        <v/>
      </c>
    </row>
    <row r="21461" spans="1:7" x14ac:dyDescent="0.25">
      <c r="A21461" t="s">
        <v>8</v>
      </c>
      <c r="B21461" s="1" t="str">
        <f>"000287762 - RICH FOODS-SKY ZONE"</f>
        <v>000287762 - RICH FOODS-SKY ZONE</v>
      </c>
      <c r="C21461" t="s">
        <v>630</v>
      </c>
      <c r="D21461" s="1" t="str">
        <f t="shared" si="582"/>
        <v>PRG-1047936</v>
      </c>
      <c r="E21461" t="s">
        <v>1191</v>
      </c>
      <c r="F21461" t="s">
        <v>4</v>
      </c>
      <c r="G21461" t="str">
        <f>""</f>
        <v/>
      </c>
    </row>
    <row r="21462" spans="1:7" x14ac:dyDescent="0.25">
      <c r="A21462" t="s">
        <v>8</v>
      </c>
      <c r="B21462" s="1" t="str">
        <f>"000291434 - RICH FOODS-SKY ZONE"</f>
        <v>000291434 - RICH FOODS-SKY ZONE</v>
      </c>
      <c r="C21462" t="s">
        <v>630</v>
      </c>
      <c r="D21462" s="1" t="str">
        <f t="shared" si="582"/>
        <v>PRG-1047936</v>
      </c>
      <c r="E21462" t="s">
        <v>1191</v>
      </c>
      <c r="F21462" t="s">
        <v>4</v>
      </c>
      <c r="G21462" t="str">
        <f>""</f>
        <v/>
      </c>
    </row>
    <row r="21463" spans="1:7" x14ac:dyDescent="0.25">
      <c r="A21463" t="s">
        <v>8</v>
      </c>
      <c r="B21463" s="1" t="str">
        <f>"000316441 - RICH FOODS-SKY ZONE"</f>
        <v>000316441 - RICH FOODS-SKY ZONE</v>
      </c>
      <c r="C21463" t="s">
        <v>630</v>
      </c>
      <c r="D21463" s="1" t="str">
        <f t="shared" si="582"/>
        <v>PRG-1047936</v>
      </c>
      <c r="E21463" t="s">
        <v>1191</v>
      </c>
      <c r="F21463" t="s">
        <v>4</v>
      </c>
      <c r="G21463" t="str">
        <f>""</f>
        <v/>
      </c>
    </row>
    <row r="21464" spans="1:7" x14ac:dyDescent="0.25">
      <c r="A21464" t="s">
        <v>8</v>
      </c>
      <c r="B21464" s="1" t="str">
        <f>"000323532 - RICH FOODS-SKY ZONE"</f>
        <v>000323532 - RICH FOODS-SKY ZONE</v>
      </c>
      <c r="C21464" t="s">
        <v>630</v>
      </c>
      <c r="D21464" s="1" t="str">
        <f t="shared" si="582"/>
        <v>PRG-1047936</v>
      </c>
      <c r="E21464" t="s">
        <v>1191</v>
      </c>
      <c r="F21464" t="s">
        <v>4</v>
      </c>
      <c r="G21464" t="str">
        <f>""</f>
        <v/>
      </c>
    </row>
    <row r="21465" spans="1:7" x14ac:dyDescent="0.25">
      <c r="A21465" t="s">
        <v>8</v>
      </c>
      <c r="B21465" s="1" t="str">
        <f>"000401090 - RICH FOODS-SKY ZONE"</f>
        <v>000401090 - RICH FOODS-SKY ZONE</v>
      </c>
      <c r="C21465" t="s">
        <v>630</v>
      </c>
      <c r="D21465" s="1" t="str">
        <f t="shared" si="582"/>
        <v>PRG-1047936</v>
      </c>
      <c r="E21465" t="s">
        <v>1191</v>
      </c>
      <c r="F21465" t="s">
        <v>4</v>
      </c>
      <c r="G21465" t="str">
        <f>""</f>
        <v/>
      </c>
    </row>
    <row r="21466" spans="1:7" x14ac:dyDescent="0.25">
      <c r="A21466" t="s">
        <v>8</v>
      </c>
      <c r="B21466" s="1" t="str">
        <f>"000440816 - RICH FOODS-SKY ZONE"</f>
        <v>000440816 - RICH FOODS-SKY ZONE</v>
      </c>
      <c r="C21466" t="s">
        <v>630</v>
      </c>
      <c r="D21466" s="1" t="str">
        <f t="shared" si="582"/>
        <v>PRG-1047936</v>
      </c>
      <c r="E21466" t="s">
        <v>1191</v>
      </c>
      <c r="F21466" t="s">
        <v>4</v>
      </c>
      <c r="G21466" t="str">
        <f>""</f>
        <v/>
      </c>
    </row>
    <row r="21467" spans="1:7" x14ac:dyDescent="0.25">
      <c r="A21467" t="s">
        <v>8</v>
      </c>
      <c r="B21467" s="1" t="str">
        <f>"000325335 - RICH INDIA RESTAURANT"</f>
        <v>000325335 - RICH INDIA RESTAURANT</v>
      </c>
      <c r="C21467" t="s">
        <v>3181</v>
      </c>
      <c r="D21467" s="1" t="str">
        <f>"PRG-1047942"</f>
        <v>PRG-1047942</v>
      </c>
      <c r="E21467" t="s">
        <v>3283</v>
      </c>
      <c r="F21467" t="s">
        <v>4</v>
      </c>
      <c r="G21467" t="str">
        <f>""</f>
        <v/>
      </c>
    </row>
    <row r="21468" spans="1:7" x14ac:dyDescent="0.25">
      <c r="A21468" t="s">
        <v>8</v>
      </c>
      <c r="B21468" s="1" t="str">
        <f>"000299211 - RICH  CIRCLE K STORE"</f>
        <v>000299211 - RICH  CIRCLE K STORE</v>
      </c>
      <c r="C21468" t="s">
        <v>2950</v>
      </c>
      <c r="D21468" s="1" t="str">
        <f>"PRG-1047978"</f>
        <v>PRG-1047978</v>
      </c>
      <c r="E21468" t="s">
        <v>2951</v>
      </c>
      <c r="F21468" t="s">
        <v>4</v>
      </c>
      <c r="G21468" t="str">
        <f>""</f>
        <v/>
      </c>
    </row>
    <row r="21469" spans="1:7" x14ac:dyDescent="0.25">
      <c r="A21469" t="s">
        <v>8</v>
      </c>
      <c r="B21469" s="1" t="str">
        <f>"000288922 - RICHS BIG STEER"</f>
        <v>000288922 - RICHS BIG STEER</v>
      </c>
      <c r="C21469" t="s">
        <v>2789</v>
      </c>
      <c r="D21469" s="1" t="str">
        <f>"PRG-1048037"</f>
        <v>PRG-1048037</v>
      </c>
      <c r="E21469" t="s">
        <v>1545</v>
      </c>
      <c r="F21469" t="s">
        <v>4</v>
      </c>
      <c r="G21469" t="str">
        <f>""</f>
        <v/>
      </c>
    </row>
    <row r="21470" spans="1:7" x14ac:dyDescent="0.25">
      <c r="A21470" t="s">
        <v>8</v>
      </c>
      <c r="B21470" s="1" t="str">
        <f>"000290151 - RICHS BIG STEER"</f>
        <v>000290151 - RICHS BIG STEER</v>
      </c>
      <c r="C21470" t="s">
        <v>2789</v>
      </c>
      <c r="D21470" s="1" t="str">
        <f>"PRG-1048037"</f>
        <v>PRG-1048037</v>
      </c>
      <c r="E21470" t="s">
        <v>1545</v>
      </c>
      <c r="F21470" t="s">
        <v>4</v>
      </c>
      <c r="G21470" t="str">
        <f>""</f>
        <v/>
      </c>
    </row>
    <row r="21471" spans="1:7" x14ac:dyDescent="0.25">
      <c r="A21471" t="s">
        <v>8</v>
      </c>
      <c r="B21471" s="1" t="str">
        <f>"000002570 - CASA DIBRTACHI PROTEIN-ARAMARK"</f>
        <v>000002570 - CASA DIBRTACHI PROTEIN-ARAMARK</v>
      </c>
      <c r="C21471" t="s">
        <v>122</v>
      </c>
      <c r="D21471" s="1" t="str">
        <f t="shared" ref="D21471:D21502" si="583">"PRG-1048044"</f>
        <v>PRG-1048044</v>
      </c>
      <c r="E21471" t="s">
        <v>123</v>
      </c>
      <c r="F21471" t="s">
        <v>4</v>
      </c>
      <c r="G21471" t="str">
        <f>""</f>
        <v/>
      </c>
    </row>
    <row r="21472" spans="1:7" x14ac:dyDescent="0.25">
      <c r="A21472" t="s">
        <v>8</v>
      </c>
      <c r="B21472" s="1" t="str">
        <f>"000003057 - CASA DIBRTACHI PROTEIN-ARAMARK"</f>
        <v>000003057 - CASA DIBRTACHI PROTEIN-ARAMARK</v>
      </c>
      <c r="C21472" t="s">
        <v>122</v>
      </c>
      <c r="D21472" s="1" t="str">
        <f t="shared" si="583"/>
        <v>PRG-1048044</v>
      </c>
      <c r="E21472" t="s">
        <v>123</v>
      </c>
      <c r="F21472" t="s">
        <v>4</v>
      </c>
      <c r="G21472" t="str">
        <f>""</f>
        <v/>
      </c>
    </row>
    <row r="21473" spans="1:7" x14ac:dyDescent="0.25">
      <c r="A21473" t="s">
        <v>8</v>
      </c>
      <c r="B21473" s="1" t="str">
        <f>"000005485 - CASA DIBRTACHI PROTEIN-ARAMARK"</f>
        <v>000005485 - CASA DIBRTACHI PROTEIN-ARAMARK</v>
      </c>
      <c r="C21473" t="s">
        <v>122</v>
      </c>
      <c r="D21473" s="1" t="str">
        <f t="shared" si="583"/>
        <v>PRG-1048044</v>
      </c>
      <c r="E21473" t="s">
        <v>123</v>
      </c>
      <c r="F21473" t="s">
        <v>4</v>
      </c>
      <c r="G21473" t="str">
        <f>""</f>
        <v/>
      </c>
    </row>
    <row r="21474" spans="1:7" x14ac:dyDescent="0.25">
      <c r="A21474" t="s">
        <v>8</v>
      </c>
      <c r="B21474" s="1" t="str">
        <f>"000012029 - CASA DIBRITACHI PROTEIN-ARAMAR"</f>
        <v>000012029 - CASA DIBRITACHI PROTEIN-ARAMAR</v>
      </c>
      <c r="C21474" t="s">
        <v>330</v>
      </c>
      <c r="D21474" s="1" t="str">
        <f t="shared" si="583"/>
        <v>PRG-1048044</v>
      </c>
      <c r="E21474" t="s">
        <v>123</v>
      </c>
      <c r="F21474" t="s">
        <v>4</v>
      </c>
      <c r="G21474" t="str">
        <f>""</f>
        <v/>
      </c>
    </row>
    <row r="21475" spans="1:7" x14ac:dyDescent="0.25">
      <c r="A21475" t="s">
        <v>8</v>
      </c>
      <c r="B21475" s="1" t="str">
        <f>"000014483 - CASA DIBRITACHI PROTEIN-ARMARK"</f>
        <v>000014483 - CASA DIBRITACHI PROTEIN-ARMARK</v>
      </c>
      <c r="C21475" t="s">
        <v>246</v>
      </c>
      <c r="D21475" s="1" t="str">
        <f t="shared" si="583"/>
        <v>PRG-1048044</v>
      </c>
      <c r="E21475" t="s">
        <v>123</v>
      </c>
      <c r="F21475" t="s">
        <v>4</v>
      </c>
      <c r="G21475" t="str">
        <f>""</f>
        <v/>
      </c>
    </row>
    <row r="21476" spans="1:7" x14ac:dyDescent="0.25">
      <c r="A21476" t="s">
        <v>8</v>
      </c>
      <c r="B21476" s="1" t="str">
        <f>"000020173 - CASA DIBRITACHI PROTEIN-ARAMAR"</f>
        <v>000020173 - CASA DIBRITACHI PROTEIN-ARAMAR</v>
      </c>
      <c r="C21476" t="s">
        <v>330</v>
      </c>
      <c r="D21476" s="1" t="str">
        <f t="shared" si="583"/>
        <v>PRG-1048044</v>
      </c>
      <c r="E21476" t="s">
        <v>123</v>
      </c>
      <c r="F21476" t="s">
        <v>4</v>
      </c>
      <c r="G21476" t="str">
        <f>""</f>
        <v/>
      </c>
    </row>
    <row r="21477" spans="1:7" x14ac:dyDescent="0.25">
      <c r="A21477" t="s">
        <v>8</v>
      </c>
      <c r="B21477" s="1" t="str">
        <f>"000020594 - CASA DIBRITACHI PROTEIN-ARAMAR"</f>
        <v>000020594 - CASA DIBRITACHI PROTEIN-ARAMAR</v>
      </c>
      <c r="C21477" t="s">
        <v>330</v>
      </c>
      <c r="D21477" s="1" t="str">
        <f t="shared" si="583"/>
        <v>PRG-1048044</v>
      </c>
      <c r="E21477" t="s">
        <v>123</v>
      </c>
      <c r="F21477" t="s">
        <v>4</v>
      </c>
      <c r="G21477" t="str">
        <f>""</f>
        <v/>
      </c>
    </row>
    <row r="21478" spans="1:7" x14ac:dyDescent="0.25">
      <c r="A21478" t="s">
        <v>8</v>
      </c>
      <c r="B21478" s="1" t="str">
        <f>"000022603 - CASA DIBRITACHI PROTEIN-ARAMAR"</f>
        <v>000022603 - CASA DIBRITACHI PROTEIN-ARAMAR</v>
      </c>
      <c r="C21478" t="s">
        <v>330</v>
      </c>
      <c r="D21478" s="1" t="str">
        <f t="shared" si="583"/>
        <v>PRG-1048044</v>
      </c>
      <c r="E21478" t="s">
        <v>123</v>
      </c>
      <c r="F21478" t="s">
        <v>4</v>
      </c>
      <c r="G21478" t="str">
        <f>""</f>
        <v/>
      </c>
    </row>
    <row r="21479" spans="1:7" x14ac:dyDescent="0.25">
      <c r="A21479" t="s">
        <v>8</v>
      </c>
      <c r="B21479" s="1" t="str">
        <f>"000023750 - CASA DIBRITACHI PROTEIN-ARMARK"</f>
        <v>000023750 - CASA DIBRITACHI PROTEIN-ARMARK</v>
      </c>
      <c r="C21479" t="s">
        <v>246</v>
      </c>
      <c r="D21479" s="1" t="str">
        <f t="shared" si="583"/>
        <v>PRG-1048044</v>
      </c>
      <c r="E21479" t="s">
        <v>123</v>
      </c>
      <c r="F21479" t="s">
        <v>4</v>
      </c>
      <c r="G21479" t="str">
        <f>""</f>
        <v/>
      </c>
    </row>
    <row r="21480" spans="1:7" x14ac:dyDescent="0.25">
      <c r="A21480" t="s">
        <v>8</v>
      </c>
      <c r="B21480" s="1" t="str">
        <f>"000024004 - CASA DIBRITACHI PROTEIN-ARAMAR"</f>
        <v>000024004 - CASA DIBRITACHI PROTEIN-ARAMAR</v>
      </c>
      <c r="C21480" t="s">
        <v>330</v>
      </c>
      <c r="D21480" s="1" t="str">
        <f t="shared" si="583"/>
        <v>PRG-1048044</v>
      </c>
      <c r="E21480" t="s">
        <v>123</v>
      </c>
      <c r="F21480" t="s">
        <v>4</v>
      </c>
      <c r="G21480" t="str">
        <f>""</f>
        <v/>
      </c>
    </row>
    <row r="21481" spans="1:7" x14ac:dyDescent="0.25">
      <c r="A21481" t="s">
        <v>8</v>
      </c>
      <c r="B21481" s="1" t="str">
        <f>"000027786 - CASA DIBRITACHI PROTEIN-ARAMAR"</f>
        <v>000027786 - CASA DIBRITACHI PROTEIN-ARAMAR</v>
      </c>
      <c r="C21481" t="s">
        <v>330</v>
      </c>
      <c r="D21481" s="1" t="str">
        <f t="shared" si="583"/>
        <v>PRG-1048044</v>
      </c>
      <c r="E21481" t="s">
        <v>123</v>
      </c>
      <c r="F21481" t="s">
        <v>4</v>
      </c>
      <c r="G21481" t="str">
        <f>""</f>
        <v/>
      </c>
    </row>
    <row r="21482" spans="1:7" x14ac:dyDescent="0.25">
      <c r="A21482" t="s">
        <v>8</v>
      </c>
      <c r="B21482" s="1" t="str">
        <f>"000028446 - CASA DIBRITACHI PROTEIN-ARAMAR"</f>
        <v>000028446 - CASA DIBRITACHI PROTEIN-ARAMAR</v>
      </c>
      <c r="C21482" t="s">
        <v>330</v>
      </c>
      <c r="D21482" s="1" t="str">
        <f t="shared" si="583"/>
        <v>PRG-1048044</v>
      </c>
      <c r="E21482" t="s">
        <v>123</v>
      </c>
      <c r="F21482" t="s">
        <v>4</v>
      </c>
      <c r="G21482" t="str">
        <f>""</f>
        <v/>
      </c>
    </row>
    <row r="21483" spans="1:7" x14ac:dyDescent="0.25">
      <c r="A21483" t="s">
        <v>8</v>
      </c>
      <c r="B21483" s="1" t="str">
        <f>"000034459 - CASA DIBERTACCHI-ARAMARK MAIN"</f>
        <v>000034459 - CASA DIBERTACCHI-ARAMARK MAIN</v>
      </c>
      <c r="C21483" t="s">
        <v>517</v>
      </c>
      <c r="D21483" s="1" t="str">
        <f t="shared" si="583"/>
        <v>PRG-1048044</v>
      </c>
      <c r="E21483" t="s">
        <v>123</v>
      </c>
      <c r="F21483" t="s">
        <v>4</v>
      </c>
      <c r="G21483" t="str">
        <f>""</f>
        <v/>
      </c>
    </row>
    <row r="21484" spans="1:7" x14ac:dyDescent="0.25">
      <c r="A21484" t="s">
        <v>8</v>
      </c>
      <c r="B21484" s="1" t="str">
        <f>"000035346 - CASA DIBERTACCHI-ARAMARK"</f>
        <v>000035346 - CASA DIBERTACCHI-ARAMARK</v>
      </c>
      <c r="C21484" t="s">
        <v>104</v>
      </c>
      <c r="D21484" s="1" t="str">
        <f t="shared" si="583"/>
        <v>PRG-1048044</v>
      </c>
      <c r="E21484" t="s">
        <v>123</v>
      </c>
      <c r="F21484" t="s">
        <v>4</v>
      </c>
      <c r="G21484" t="str">
        <f>""</f>
        <v/>
      </c>
    </row>
    <row r="21485" spans="1:7" x14ac:dyDescent="0.25">
      <c r="A21485" t="s">
        <v>8</v>
      </c>
      <c r="B21485" s="1" t="str">
        <f>"000035772 - CASA DIBRITACHI PROTEIN-ARAMAR"</f>
        <v>000035772 - CASA DIBRITACHI PROTEIN-ARAMAR</v>
      </c>
      <c r="C21485" t="s">
        <v>330</v>
      </c>
      <c r="D21485" s="1" t="str">
        <f t="shared" si="583"/>
        <v>PRG-1048044</v>
      </c>
      <c r="E21485" t="s">
        <v>123</v>
      </c>
      <c r="F21485" t="s">
        <v>4</v>
      </c>
      <c r="G21485" t="str">
        <f>""</f>
        <v/>
      </c>
    </row>
    <row r="21486" spans="1:7" x14ac:dyDescent="0.25">
      <c r="A21486" t="s">
        <v>8</v>
      </c>
      <c r="B21486" s="1" t="str">
        <f>"000035917 - CASA DIBRITACHI PROTEIN-ARAMAR"</f>
        <v>000035917 - CASA DIBRITACHI PROTEIN-ARAMAR</v>
      </c>
      <c r="C21486" t="s">
        <v>330</v>
      </c>
      <c r="D21486" s="1" t="str">
        <f t="shared" si="583"/>
        <v>PRG-1048044</v>
      </c>
      <c r="E21486" t="s">
        <v>123</v>
      </c>
      <c r="F21486" t="s">
        <v>4</v>
      </c>
      <c r="G21486" t="str">
        <f>""</f>
        <v/>
      </c>
    </row>
    <row r="21487" spans="1:7" x14ac:dyDescent="0.25">
      <c r="A21487" t="s">
        <v>8</v>
      </c>
      <c r="B21487" s="1" t="str">
        <f>"000039446 - CASA DIBRITACHI PROTEIN-ARAMAR"</f>
        <v>000039446 - CASA DIBRITACHI PROTEIN-ARAMAR</v>
      </c>
      <c r="C21487" t="s">
        <v>330</v>
      </c>
      <c r="D21487" s="1" t="str">
        <f t="shared" si="583"/>
        <v>PRG-1048044</v>
      </c>
      <c r="E21487" t="s">
        <v>123</v>
      </c>
      <c r="F21487" t="s">
        <v>4</v>
      </c>
      <c r="G21487" t="str">
        <f>""</f>
        <v/>
      </c>
    </row>
    <row r="21488" spans="1:7" x14ac:dyDescent="0.25">
      <c r="A21488" t="s">
        <v>8</v>
      </c>
      <c r="B21488" s="1" t="str">
        <f>"000039893 - CASA DIBERTACCHI-ARAMARK"</f>
        <v>000039893 - CASA DIBERTACCHI-ARAMARK</v>
      </c>
      <c r="C21488" t="s">
        <v>104</v>
      </c>
      <c r="D21488" s="1" t="str">
        <f t="shared" si="583"/>
        <v>PRG-1048044</v>
      </c>
      <c r="E21488" t="s">
        <v>123</v>
      </c>
      <c r="F21488" t="s">
        <v>4</v>
      </c>
      <c r="G21488" t="str">
        <f>""</f>
        <v/>
      </c>
    </row>
    <row r="21489" spans="1:7" x14ac:dyDescent="0.25">
      <c r="A21489" t="s">
        <v>8</v>
      </c>
      <c r="B21489" s="1" t="str">
        <f>"000040449 - CASA DIBRITACHI PROTEIN-ARAMAR"</f>
        <v>000040449 - CASA DIBRITACHI PROTEIN-ARAMAR</v>
      </c>
      <c r="C21489" t="s">
        <v>330</v>
      </c>
      <c r="D21489" s="1" t="str">
        <f t="shared" si="583"/>
        <v>PRG-1048044</v>
      </c>
      <c r="E21489" t="s">
        <v>123</v>
      </c>
      <c r="F21489" t="s">
        <v>4</v>
      </c>
      <c r="G21489" t="str">
        <f>""</f>
        <v/>
      </c>
    </row>
    <row r="21490" spans="1:7" x14ac:dyDescent="0.25">
      <c r="A21490" t="s">
        <v>8</v>
      </c>
      <c r="B21490" s="1" t="str">
        <f>"000040471 - CASA DIBERTACCHI-ARAMARK MAIN"</f>
        <v>000040471 - CASA DIBERTACCHI-ARAMARK MAIN</v>
      </c>
      <c r="C21490" t="s">
        <v>517</v>
      </c>
      <c r="D21490" s="1" t="str">
        <f t="shared" si="583"/>
        <v>PRG-1048044</v>
      </c>
      <c r="E21490" t="s">
        <v>123</v>
      </c>
      <c r="F21490" t="s">
        <v>4</v>
      </c>
      <c r="G21490" t="str">
        <f>""</f>
        <v/>
      </c>
    </row>
    <row r="21491" spans="1:7" x14ac:dyDescent="0.25">
      <c r="A21491" t="s">
        <v>8</v>
      </c>
      <c r="B21491" s="1" t="str">
        <f>"000044736 - CASA DIBRITACHI PROTEIN-ARAMAR"</f>
        <v>000044736 - CASA DIBRITACHI PROTEIN-ARAMAR</v>
      </c>
      <c r="C21491" t="s">
        <v>330</v>
      </c>
      <c r="D21491" s="1" t="str">
        <f t="shared" si="583"/>
        <v>PRG-1048044</v>
      </c>
      <c r="E21491" t="s">
        <v>123</v>
      </c>
      <c r="F21491" t="s">
        <v>4</v>
      </c>
      <c r="G21491" t="str">
        <f>""</f>
        <v/>
      </c>
    </row>
    <row r="21492" spans="1:7" x14ac:dyDescent="0.25">
      <c r="A21492" t="s">
        <v>8</v>
      </c>
      <c r="B21492" s="1" t="str">
        <f>"000045516 - CASA DIBRITACHI PROTEIN-ARAMAR"</f>
        <v>000045516 - CASA DIBRITACHI PROTEIN-ARAMAR</v>
      </c>
      <c r="C21492" t="s">
        <v>330</v>
      </c>
      <c r="D21492" s="1" t="str">
        <f t="shared" si="583"/>
        <v>PRG-1048044</v>
      </c>
      <c r="E21492" t="s">
        <v>123</v>
      </c>
      <c r="F21492" t="s">
        <v>4</v>
      </c>
      <c r="G21492" t="str">
        <f>""</f>
        <v/>
      </c>
    </row>
    <row r="21493" spans="1:7" x14ac:dyDescent="0.25">
      <c r="A21493" t="s">
        <v>8</v>
      </c>
      <c r="B21493" s="1" t="str">
        <f>"000046801 - CASA DIBERTACCHI-ARAMARK MAIN"</f>
        <v>000046801 - CASA DIBERTACCHI-ARAMARK MAIN</v>
      </c>
      <c r="C21493" t="s">
        <v>517</v>
      </c>
      <c r="D21493" s="1" t="str">
        <f t="shared" si="583"/>
        <v>PRG-1048044</v>
      </c>
      <c r="E21493" t="s">
        <v>123</v>
      </c>
      <c r="F21493" t="s">
        <v>4</v>
      </c>
      <c r="G21493" t="str">
        <f>""</f>
        <v/>
      </c>
    </row>
    <row r="21494" spans="1:7" x14ac:dyDescent="0.25">
      <c r="A21494" t="s">
        <v>8</v>
      </c>
      <c r="B21494" s="1" t="str">
        <f>"000046802 - CASA DEIBERTACCHI-SSS ARAMARK"</f>
        <v>000046802 - CASA DEIBERTACCHI-SSS ARAMARK</v>
      </c>
      <c r="C21494" t="s">
        <v>465</v>
      </c>
      <c r="D21494" s="1" t="str">
        <f t="shared" si="583"/>
        <v>PRG-1048044</v>
      </c>
      <c r="E21494" t="s">
        <v>123</v>
      </c>
      <c r="F21494" t="s">
        <v>4</v>
      </c>
      <c r="G21494" t="str">
        <f>""</f>
        <v/>
      </c>
    </row>
    <row r="21495" spans="1:7" x14ac:dyDescent="0.25">
      <c r="A21495" t="s">
        <v>8</v>
      </c>
      <c r="B21495" s="1" t="str">
        <f>"000049880 - CASA DIBERTACCHI-ARAMARK MAIN"</f>
        <v>000049880 - CASA DIBERTACCHI-ARAMARK MAIN</v>
      </c>
      <c r="C21495" t="s">
        <v>517</v>
      </c>
      <c r="D21495" s="1" t="str">
        <f t="shared" si="583"/>
        <v>PRG-1048044</v>
      </c>
      <c r="E21495" t="s">
        <v>123</v>
      </c>
      <c r="F21495" t="s">
        <v>4</v>
      </c>
      <c r="G21495" t="str">
        <f>""</f>
        <v/>
      </c>
    </row>
    <row r="21496" spans="1:7" x14ac:dyDescent="0.25">
      <c r="A21496" t="s">
        <v>8</v>
      </c>
      <c r="B21496" s="1" t="str">
        <f>"000052557 - CASA DIBERTACCHI-ARAMARK MAIN"</f>
        <v>000052557 - CASA DIBERTACCHI-ARAMARK MAIN</v>
      </c>
      <c r="C21496" t="s">
        <v>517</v>
      </c>
      <c r="D21496" s="1" t="str">
        <f t="shared" si="583"/>
        <v>PRG-1048044</v>
      </c>
      <c r="E21496" t="s">
        <v>123</v>
      </c>
      <c r="F21496" t="s">
        <v>4</v>
      </c>
      <c r="G21496" t="str">
        <f>""</f>
        <v/>
      </c>
    </row>
    <row r="21497" spans="1:7" x14ac:dyDescent="0.25">
      <c r="A21497" t="s">
        <v>8</v>
      </c>
      <c r="B21497" s="1" t="str">
        <f>"000053466 - CASA DIBERTACCHI-ARAMARK"</f>
        <v>000053466 - CASA DIBERTACCHI-ARAMARK</v>
      </c>
      <c r="C21497" t="s">
        <v>104</v>
      </c>
      <c r="D21497" s="1" t="str">
        <f t="shared" si="583"/>
        <v>PRG-1048044</v>
      </c>
      <c r="E21497" t="s">
        <v>123</v>
      </c>
      <c r="F21497" t="s">
        <v>4</v>
      </c>
      <c r="G21497" t="str">
        <f>""</f>
        <v/>
      </c>
    </row>
    <row r="21498" spans="1:7" x14ac:dyDescent="0.25">
      <c r="A21498" t="s">
        <v>8</v>
      </c>
      <c r="B21498" s="1" t="str">
        <f>"000053738 - CASA DIBERTACCHI-ARAMARK"</f>
        <v>000053738 - CASA DIBERTACCHI-ARAMARK</v>
      </c>
      <c r="C21498" t="s">
        <v>104</v>
      </c>
      <c r="D21498" s="1" t="str">
        <f t="shared" si="583"/>
        <v>PRG-1048044</v>
      </c>
      <c r="E21498" t="s">
        <v>123</v>
      </c>
      <c r="F21498" t="s">
        <v>4</v>
      </c>
      <c r="G21498" t="str">
        <f>""</f>
        <v/>
      </c>
    </row>
    <row r="21499" spans="1:7" x14ac:dyDescent="0.25">
      <c r="A21499" t="s">
        <v>8</v>
      </c>
      <c r="B21499" s="1" t="str">
        <f>"000054372 - CASA DIBERTACCHI-ARAMARK MAIN"</f>
        <v>000054372 - CASA DIBERTACCHI-ARAMARK MAIN</v>
      </c>
      <c r="C21499" t="s">
        <v>517</v>
      </c>
      <c r="D21499" s="1" t="str">
        <f t="shared" si="583"/>
        <v>PRG-1048044</v>
      </c>
      <c r="E21499" t="s">
        <v>123</v>
      </c>
      <c r="F21499" t="s">
        <v>4</v>
      </c>
      <c r="G21499" t="str">
        <f>""</f>
        <v/>
      </c>
    </row>
    <row r="21500" spans="1:7" x14ac:dyDescent="0.25">
      <c r="A21500" t="s">
        <v>8</v>
      </c>
      <c r="B21500" s="1" t="str">
        <f>"000057036 - CASA DIBERTACCHI-ARAMARK"</f>
        <v>000057036 - CASA DIBERTACCHI-ARAMARK</v>
      </c>
      <c r="C21500" t="s">
        <v>104</v>
      </c>
      <c r="D21500" s="1" t="str">
        <f t="shared" si="583"/>
        <v>PRG-1048044</v>
      </c>
      <c r="E21500" t="s">
        <v>123</v>
      </c>
      <c r="F21500" t="s">
        <v>4</v>
      </c>
      <c r="G21500" t="str">
        <f>""</f>
        <v/>
      </c>
    </row>
    <row r="21501" spans="1:7" x14ac:dyDescent="0.25">
      <c r="A21501" t="s">
        <v>8</v>
      </c>
      <c r="B21501" s="1" t="str">
        <f>"000059532 - CASA DIBERTACCHI-ARAMARK"</f>
        <v>000059532 - CASA DIBERTACCHI-ARAMARK</v>
      </c>
      <c r="C21501" t="s">
        <v>104</v>
      </c>
      <c r="D21501" s="1" t="str">
        <f t="shared" si="583"/>
        <v>PRG-1048044</v>
      </c>
      <c r="E21501" t="s">
        <v>123</v>
      </c>
      <c r="F21501" t="s">
        <v>4</v>
      </c>
      <c r="G21501" t="str">
        <f>""</f>
        <v/>
      </c>
    </row>
    <row r="21502" spans="1:7" x14ac:dyDescent="0.25">
      <c r="A21502" t="s">
        <v>8</v>
      </c>
      <c r="B21502" s="1" t="str">
        <f>"000060702 - CASA DIBERTACCHI-ARAMARK"</f>
        <v>000060702 - CASA DIBERTACCHI-ARAMARK</v>
      </c>
      <c r="C21502" t="s">
        <v>104</v>
      </c>
      <c r="D21502" s="1" t="str">
        <f t="shared" si="583"/>
        <v>PRG-1048044</v>
      </c>
      <c r="E21502" t="s">
        <v>123</v>
      </c>
      <c r="F21502" t="s">
        <v>4</v>
      </c>
      <c r="G21502" t="str">
        <f>""</f>
        <v/>
      </c>
    </row>
    <row r="21503" spans="1:7" x14ac:dyDescent="0.25">
      <c r="A21503" t="s">
        <v>8</v>
      </c>
      <c r="B21503" s="1" t="str">
        <f>"000064811 - CASA DIBERTACCHI-ARAMARK MAIN"</f>
        <v>000064811 - CASA DIBERTACCHI-ARAMARK MAIN</v>
      </c>
      <c r="C21503" t="s">
        <v>517</v>
      </c>
      <c r="D21503" s="1" t="str">
        <f t="shared" ref="D21503:D21534" si="584">"PRG-1048044"</f>
        <v>PRG-1048044</v>
      </c>
      <c r="E21503" t="s">
        <v>123</v>
      </c>
      <c r="F21503" t="s">
        <v>4</v>
      </c>
      <c r="G21503" t="str">
        <f>""</f>
        <v/>
      </c>
    </row>
    <row r="21504" spans="1:7" x14ac:dyDescent="0.25">
      <c r="A21504" t="s">
        <v>8</v>
      </c>
      <c r="B21504" s="1" t="str">
        <f>"000065519 - CASA DIBERTACCHI-ARAMARK MAIN"</f>
        <v>000065519 - CASA DIBERTACCHI-ARAMARK MAIN</v>
      </c>
      <c r="C21504" t="s">
        <v>517</v>
      </c>
      <c r="D21504" s="1" t="str">
        <f t="shared" si="584"/>
        <v>PRG-1048044</v>
      </c>
      <c r="E21504" t="s">
        <v>123</v>
      </c>
      <c r="F21504" t="s">
        <v>4</v>
      </c>
      <c r="G21504" t="str">
        <f>""</f>
        <v/>
      </c>
    </row>
    <row r="21505" spans="1:7" x14ac:dyDescent="0.25">
      <c r="A21505" t="s">
        <v>8</v>
      </c>
      <c r="B21505" s="1" t="str">
        <f>"000073195 - CASA DIBERTACCHI-ARAMARK"</f>
        <v>000073195 - CASA DIBERTACCHI-ARAMARK</v>
      </c>
      <c r="C21505" t="s">
        <v>104</v>
      </c>
      <c r="D21505" s="1" t="str">
        <f t="shared" si="584"/>
        <v>PRG-1048044</v>
      </c>
      <c r="E21505" t="s">
        <v>123</v>
      </c>
      <c r="F21505" t="s">
        <v>4</v>
      </c>
      <c r="G21505" t="str">
        <f>""</f>
        <v/>
      </c>
    </row>
    <row r="21506" spans="1:7" x14ac:dyDescent="0.25">
      <c r="A21506" t="s">
        <v>8</v>
      </c>
      <c r="B21506" s="1" t="str">
        <f>"000075990 - CASA DIBERTACCHI-ARAMARK"</f>
        <v>000075990 - CASA DIBERTACCHI-ARAMARK</v>
      </c>
      <c r="C21506" t="s">
        <v>104</v>
      </c>
      <c r="D21506" s="1" t="str">
        <f t="shared" si="584"/>
        <v>PRG-1048044</v>
      </c>
      <c r="E21506" t="s">
        <v>123</v>
      </c>
      <c r="F21506" t="s">
        <v>4</v>
      </c>
      <c r="G21506" t="str">
        <f>""</f>
        <v/>
      </c>
    </row>
    <row r="21507" spans="1:7" x14ac:dyDescent="0.25">
      <c r="A21507" t="s">
        <v>8</v>
      </c>
      <c r="B21507" s="1" t="str">
        <f>"000079125 - CASA DIBRITACHI PROTEIN-ARAMAR"</f>
        <v>000079125 - CASA DIBRITACHI PROTEIN-ARAMAR</v>
      </c>
      <c r="C21507" t="s">
        <v>330</v>
      </c>
      <c r="D21507" s="1" t="str">
        <f t="shared" si="584"/>
        <v>PRG-1048044</v>
      </c>
      <c r="E21507" t="s">
        <v>123</v>
      </c>
      <c r="F21507" t="s">
        <v>4</v>
      </c>
      <c r="G21507" t="str">
        <f>""</f>
        <v/>
      </c>
    </row>
    <row r="21508" spans="1:7" x14ac:dyDescent="0.25">
      <c r="A21508" t="s">
        <v>8</v>
      </c>
      <c r="B21508" s="1" t="str">
        <f>"000081747 - CASA DIBRITACHI PROTEIN-ARAMAR"</f>
        <v>000081747 - CASA DIBRITACHI PROTEIN-ARAMAR</v>
      </c>
      <c r="C21508" t="s">
        <v>330</v>
      </c>
      <c r="D21508" s="1" t="str">
        <f t="shared" si="584"/>
        <v>PRG-1048044</v>
      </c>
      <c r="E21508" t="s">
        <v>123</v>
      </c>
      <c r="F21508" t="s">
        <v>4</v>
      </c>
      <c r="G21508" t="str">
        <f>""</f>
        <v/>
      </c>
    </row>
    <row r="21509" spans="1:7" x14ac:dyDescent="0.25">
      <c r="A21509" t="s">
        <v>8</v>
      </c>
      <c r="B21509" s="1" t="str">
        <f>"000087785 - CASA DIBRITACHI PROTEIN-ARAMAR"</f>
        <v>000087785 - CASA DIBRITACHI PROTEIN-ARAMAR</v>
      </c>
      <c r="C21509" t="s">
        <v>330</v>
      </c>
      <c r="D21509" s="1" t="str">
        <f t="shared" si="584"/>
        <v>PRG-1048044</v>
      </c>
      <c r="E21509" t="s">
        <v>123</v>
      </c>
      <c r="F21509" t="s">
        <v>4</v>
      </c>
      <c r="G21509" t="str">
        <f>""</f>
        <v/>
      </c>
    </row>
    <row r="21510" spans="1:7" x14ac:dyDescent="0.25">
      <c r="A21510" t="s">
        <v>8</v>
      </c>
      <c r="B21510" s="1" t="str">
        <f>"000092832 - CASA DIBERTACCHI-ARAMARK MAIN"</f>
        <v>000092832 - CASA DIBERTACCHI-ARAMARK MAIN</v>
      </c>
      <c r="C21510" t="s">
        <v>517</v>
      </c>
      <c r="D21510" s="1" t="str">
        <f t="shared" si="584"/>
        <v>PRG-1048044</v>
      </c>
      <c r="E21510" t="s">
        <v>123</v>
      </c>
      <c r="F21510" t="s">
        <v>4</v>
      </c>
      <c r="G21510" t="str">
        <f>""</f>
        <v/>
      </c>
    </row>
    <row r="21511" spans="1:7" x14ac:dyDescent="0.25">
      <c r="A21511" t="s">
        <v>8</v>
      </c>
      <c r="B21511" s="1" t="str">
        <f>"000098082 - CASA DIBERTACCHI-ARAMARK MAIN"</f>
        <v>000098082 - CASA DIBERTACCHI-ARAMARK MAIN</v>
      </c>
      <c r="C21511" t="s">
        <v>517</v>
      </c>
      <c r="D21511" s="1" t="str">
        <f t="shared" si="584"/>
        <v>PRG-1048044</v>
      </c>
      <c r="E21511" t="s">
        <v>123</v>
      </c>
      <c r="F21511" t="s">
        <v>4</v>
      </c>
      <c r="G21511" t="str">
        <f>""</f>
        <v/>
      </c>
    </row>
    <row r="21512" spans="1:7" x14ac:dyDescent="0.25">
      <c r="A21512" t="s">
        <v>8</v>
      </c>
      <c r="B21512" s="1" t="str">
        <f>"000115642 - CASA DIBERTACCHI-ARAMARK MAIN"</f>
        <v>000115642 - CASA DIBERTACCHI-ARAMARK MAIN</v>
      </c>
      <c r="C21512" t="s">
        <v>517</v>
      </c>
      <c r="D21512" s="1" t="str">
        <f t="shared" si="584"/>
        <v>PRG-1048044</v>
      </c>
      <c r="E21512" t="s">
        <v>123</v>
      </c>
      <c r="F21512" t="s">
        <v>4</v>
      </c>
      <c r="G21512" t="str">
        <f>""</f>
        <v/>
      </c>
    </row>
    <row r="21513" spans="1:7" x14ac:dyDescent="0.25">
      <c r="A21513" t="s">
        <v>8</v>
      </c>
      <c r="B21513" s="1" t="str">
        <f>"000122197 - CASA DIBERTACCHI-ARAMARK"</f>
        <v>000122197 - CASA DIBERTACCHI-ARAMARK</v>
      </c>
      <c r="C21513" t="s">
        <v>104</v>
      </c>
      <c r="D21513" s="1" t="str">
        <f t="shared" si="584"/>
        <v>PRG-1048044</v>
      </c>
      <c r="E21513" t="s">
        <v>123</v>
      </c>
      <c r="F21513" t="s">
        <v>4</v>
      </c>
      <c r="G21513" t="str">
        <f>""</f>
        <v/>
      </c>
    </row>
    <row r="21514" spans="1:7" x14ac:dyDescent="0.25">
      <c r="A21514" t="s">
        <v>8</v>
      </c>
      <c r="B21514" s="1" t="str">
        <f>"000142947 - CASA DIBRITACHI PROTEIN-ARAMAR"</f>
        <v>000142947 - CASA DIBRITACHI PROTEIN-ARAMAR</v>
      </c>
      <c r="C21514" t="s">
        <v>330</v>
      </c>
      <c r="D21514" s="1" t="str">
        <f t="shared" si="584"/>
        <v>PRG-1048044</v>
      </c>
      <c r="E21514" t="s">
        <v>123</v>
      </c>
      <c r="F21514" t="s">
        <v>4</v>
      </c>
      <c r="G21514" t="str">
        <f>""</f>
        <v/>
      </c>
    </row>
    <row r="21515" spans="1:7" x14ac:dyDescent="0.25">
      <c r="A21515" t="s">
        <v>8</v>
      </c>
      <c r="B21515" s="1" t="str">
        <f>"000154833 - CASA DIBRITACHI PROTEIN-ARAMAR"</f>
        <v>000154833 - CASA DIBRITACHI PROTEIN-ARAMAR</v>
      </c>
      <c r="C21515" t="s">
        <v>330</v>
      </c>
      <c r="D21515" s="1" t="str">
        <f t="shared" si="584"/>
        <v>PRG-1048044</v>
      </c>
      <c r="E21515" t="s">
        <v>123</v>
      </c>
      <c r="F21515" t="s">
        <v>4</v>
      </c>
      <c r="G21515" t="str">
        <f>""</f>
        <v/>
      </c>
    </row>
    <row r="21516" spans="1:7" x14ac:dyDescent="0.25">
      <c r="A21516" t="s">
        <v>8</v>
      </c>
      <c r="B21516" s="1" t="str">
        <f>"000164570 - CASA DIBERTACCHI-ARAMARK MAIN"</f>
        <v>000164570 - CASA DIBERTACCHI-ARAMARK MAIN</v>
      </c>
      <c r="C21516" t="s">
        <v>517</v>
      </c>
      <c r="D21516" s="1" t="str">
        <f t="shared" si="584"/>
        <v>PRG-1048044</v>
      </c>
      <c r="E21516" t="s">
        <v>123</v>
      </c>
      <c r="F21516" t="s">
        <v>4</v>
      </c>
      <c r="G21516" t="str">
        <f>""</f>
        <v/>
      </c>
    </row>
    <row r="21517" spans="1:7" x14ac:dyDescent="0.25">
      <c r="A21517" t="s">
        <v>8</v>
      </c>
      <c r="B21517" s="1" t="str">
        <f>"000167357 - CASA DIBRITACHI PROTEIN-ARMARK"</f>
        <v>000167357 - CASA DIBRITACHI PROTEIN-ARMARK</v>
      </c>
      <c r="C21517" t="s">
        <v>246</v>
      </c>
      <c r="D21517" s="1" t="str">
        <f t="shared" si="584"/>
        <v>PRG-1048044</v>
      </c>
      <c r="E21517" t="s">
        <v>123</v>
      </c>
      <c r="F21517" t="s">
        <v>4</v>
      </c>
      <c r="G21517" t="str">
        <f>""</f>
        <v/>
      </c>
    </row>
    <row r="21518" spans="1:7" x14ac:dyDescent="0.25">
      <c r="A21518" t="s">
        <v>8</v>
      </c>
      <c r="B21518" s="1" t="str">
        <f>"000168041 - CASA DIBERTACCHI-ARAMARK MAIN"</f>
        <v>000168041 - CASA DIBERTACCHI-ARAMARK MAIN</v>
      </c>
      <c r="C21518" t="s">
        <v>517</v>
      </c>
      <c r="D21518" s="1" t="str">
        <f t="shared" si="584"/>
        <v>PRG-1048044</v>
      </c>
      <c r="E21518" t="s">
        <v>123</v>
      </c>
      <c r="F21518" t="s">
        <v>4</v>
      </c>
      <c r="G21518" t="str">
        <f>""</f>
        <v/>
      </c>
    </row>
    <row r="21519" spans="1:7" x14ac:dyDescent="0.25">
      <c r="A21519" t="s">
        <v>8</v>
      </c>
      <c r="B21519" s="1" t="str">
        <f>"000169464 - CASA DIBERTACCHI-ARAMARK"</f>
        <v>000169464 - CASA DIBERTACCHI-ARAMARK</v>
      </c>
      <c r="C21519" t="s">
        <v>104</v>
      </c>
      <c r="D21519" s="1" t="str">
        <f t="shared" si="584"/>
        <v>PRG-1048044</v>
      </c>
      <c r="E21519" t="s">
        <v>123</v>
      </c>
      <c r="F21519" t="s">
        <v>4</v>
      </c>
      <c r="G21519" t="str">
        <f>""</f>
        <v/>
      </c>
    </row>
    <row r="21520" spans="1:7" x14ac:dyDescent="0.25">
      <c r="A21520" t="s">
        <v>8</v>
      </c>
      <c r="B21520" s="1" t="str">
        <f>"000171657 - CASA DIBRITACHI PROTEIN-ARAMAR"</f>
        <v>000171657 - CASA DIBRITACHI PROTEIN-ARAMAR</v>
      </c>
      <c r="C21520" t="s">
        <v>330</v>
      </c>
      <c r="D21520" s="1" t="str">
        <f t="shared" si="584"/>
        <v>PRG-1048044</v>
      </c>
      <c r="E21520" t="s">
        <v>123</v>
      </c>
      <c r="F21520" t="s">
        <v>4</v>
      </c>
      <c r="G21520" t="str">
        <f>""</f>
        <v/>
      </c>
    </row>
    <row r="21521" spans="1:7" x14ac:dyDescent="0.25">
      <c r="A21521" t="s">
        <v>8</v>
      </c>
      <c r="B21521" s="1" t="str">
        <f>"000173457 - CASA DIBRITACHI PROTEIN-ARAMAR"</f>
        <v>000173457 - CASA DIBRITACHI PROTEIN-ARAMAR</v>
      </c>
      <c r="C21521" t="s">
        <v>330</v>
      </c>
      <c r="D21521" s="1" t="str">
        <f t="shared" si="584"/>
        <v>PRG-1048044</v>
      </c>
      <c r="E21521" t="s">
        <v>123</v>
      </c>
      <c r="F21521" t="s">
        <v>4</v>
      </c>
      <c r="G21521" t="str">
        <f>""</f>
        <v/>
      </c>
    </row>
    <row r="21522" spans="1:7" x14ac:dyDescent="0.25">
      <c r="A21522" t="s">
        <v>8</v>
      </c>
      <c r="B21522" s="1" t="str">
        <f>"000173832 - CASA DIBERTACCHI-ARAMARK"</f>
        <v>000173832 - CASA DIBERTACCHI-ARAMARK</v>
      </c>
      <c r="C21522" t="s">
        <v>104</v>
      </c>
      <c r="D21522" s="1" t="str">
        <f t="shared" si="584"/>
        <v>PRG-1048044</v>
      </c>
      <c r="E21522" t="s">
        <v>123</v>
      </c>
      <c r="F21522" t="s">
        <v>4</v>
      </c>
      <c r="G21522" t="str">
        <f>""</f>
        <v/>
      </c>
    </row>
    <row r="21523" spans="1:7" x14ac:dyDescent="0.25">
      <c r="A21523" t="s">
        <v>8</v>
      </c>
      <c r="B21523" s="1" t="str">
        <f>"000191920 - CASA DIBERTACCHI-ARAMARK MAIN"</f>
        <v>000191920 - CASA DIBERTACCHI-ARAMARK MAIN</v>
      </c>
      <c r="C21523" t="s">
        <v>517</v>
      </c>
      <c r="D21523" s="1" t="str">
        <f t="shared" si="584"/>
        <v>PRG-1048044</v>
      </c>
      <c r="E21523" t="s">
        <v>123</v>
      </c>
      <c r="F21523" t="s">
        <v>4</v>
      </c>
      <c r="G21523" t="str">
        <f>""</f>
        <v/>
      </c>
    </row>
    <row r="21524" spans="1:7" x14ac:dyDescent="0.25">
      <c r="A21524" t="s">
        <v>8</v>
      </c>
      <c r="B21524" s="1" t="str">
        <f>"000191921 - CASA DEIBERTACCHI-SSS ARAMARK"</f>
        <v>000191921 - CASA DEIBERTACCHI-SSS ARAMARK</v>
      </c>
      <c r="C21524" t="s">
        <v>465</v>
      </c>
      <c r="D21524" s="1" t="str">
        <f t="shared" si="584"/>
        <v>PRG-1048044</v>
      </c>
      <c r="E21524" t="s">
        <v>123</v>
      </c>
      <c r="F21524" t="s">
        <v>4</v>
      </c>
      <c r="G21524" t="str">
        <f>""</f>
        <v/>
      </c>
    </row>
    <row r="21525" spans="1:7" x14ac:dyDescent="0.25">
      <c r="A21525" t="s">
        <v>8</v>
      </c>
      <c r="B21525" s="1" t="str">
        <f>"000198469 - CASA DIBERTACCHI-ARAMARK"</f>
        <v>000198469 - CASA DIBERTACCHI-ARAMARK</v>
      </c>
      <c r="C21525" t="s">
        <v>104</v>
      </c>
      <c r="D21525" s="1" t="str">
        <f t="shared" si="584"/>
        <v>PRG-1048044</v>
      </c>
      <c r="E21525" t="s">
        <v>123</v>
      </c>
      <c r="F21525" t="s">
        <v>4</v>
      </c>
      <c r="G21525" t="str">
        <f>""</f>
        <v/>
      </c>
    </row>
    <row r="21526" spans="1:7" x14ac:dyDescent="0.25">
      <c r="A21526" t="s">
        <v>8</v>
      </c>
      <c r="B21526" s="1" t="str">
        <f>"000215271 - CASA DIBERTACCHI-ARAMARK MAIN"</f>
        <v>000215271 - CASA DIBERTACCHI-ARAMARK MAIN</v>
      </c>
      <c r="C21526" t="s">
        <v>517</v>
      </c>
      <c r="D21526" s="1" t="str">
        <f t="shared" si="584"/>
        <v>PRG-1048044</v>
      </c>
      <c r="E21526" t="s">
        <v>123</v>
      </c>
      <c r="F21526" t="s">
        <v>4</v>
      </c>
      <c r="G21526" t="str">
        <f>""</f>
        <v/>
      </c>
    </row>
    <row r="21527" spans="1:7" x14ac:dyDescent="0.25">
      <c r="A21527" t="s">
        <v>8</v>
      </c>
      <c r="B21527" s="1" t="str">
        <f>"000233460 - CASA DIBRITACHI PROTEIN-ARAMAR"</f>
        <v>000233460 - CASA DIBRITACHI PROTEIN-ARAMAR</v>
      </c>
      <c r="C21527" t="s">
        <v>330</v>
      </c>
      <c r="D21527" s="1" t="str">
        <f t="shared" si="584"/>
        <v>PRG-1048044</v>
      </c>
      <c r="E21527" t="s">
        <v>123</v>
      </c>
      <c r="F21527" t="s">
        <v>4</v>
      </c>
      <c r="G21527" t="str">
        <f>""</f>
        <v/>
      </c>
    </row>
    <row r="21528" spans="1:7" x14ac:dyDescent="0.25">
      <c r="A21528" t="s">
        <v>8</v>
      </c>
      <c r="B21528" s="1" t="str">
        <f>"000241591 - CASA DIBRITACHI PROTEIN-ARAMAR"</f>
        <v>000241591 - CASA DIBRITACHI PROTEIN-ARAMAR</v>
      </c>
      <c r="C21528" t="s">
        <v>330</v>
      </c>
      <c r="D21528" s="1" t="str">
        <f t="shared" si="584"/>
        <v>PRG-1048044</v>
      </c>
      <c r="E21528" t="s">
        <v>123</v>
      </c>
      <c r="F21528" t="s">
        <v>4</v>
      </c>
      <c r="G21528" t="str">
        <f>""</f>
        <v/>
      </c>
    </row>
    <row r="21529" spans="1:7" x14ac:dyDescent="0.25">
      <c r="A21529" t="s">
        <v>8</v>
      </c>
      <c r="B21529" s="1" t="str">
        <f>"000244867 - CASA DIBRITACHI PROTEIN-ARAMAR"</f>
        <v>000244867 - CASA DIBRITACHI PROTEIN-ARAMAR</v>
      </c>
      <c r="C21529" t="s">
        <v>330</v>
      </c>
      <c r="D21529" s="1" t="str">
        <f t="shared" si="584"/>
        <v>PRG-1048044</v>
      </c>
      <c r="E21529" t="s">
        <v>123</v>
      </c>
      <c r="F21529" t="s">
        <v>4</v>
      </c>
      <c r="G21529" t="str">
        <f>""</f>
        <v/>
      </c>
    </row>
    <row r="21530" spans="1:7" x14ac:dyDescent="0.25">
      <c r="A21530" t="s">
        <v>8</v>
      </c>
      <c r="B21530" s="1" t="str">
        <f>"000247246 - CASA DIBRITACHI PROTEIN-ARAMAR"</f>
        <v>000247246 - CASA DIBRITACHI PROTEIN-ARAMAR</v>
      </c>
      <c r="C21530" t="s">
        <v>330</v>
      </c>
      <c r="D21530" s="1" t="str">
        <f t="shared" si="584"/>
        <v>PRG-1048044</v>
      </c>
      <c r="E21530" t="s">
        <v>123</v>
      </c>
      <c r="F21530" t="s">
        <v>4</v>
      </c>
      <c r="G21530" t="str">
        <f>""</f>
        <v/>
      </c>
    </row>
    <row r="21531" spans="1:7" x14ac:dyDescent="0.25">
      <c r="A21531" t="s">
        <v>8</v>
      </c>
      <c r="B21531" s="1" t="str">
        <f>"000256210 - CASA DIBRITACHI PROTEIN-ARAMAR"</f>
        <v>000256210 - CASA DIBRITACHI PROTEIN-ARAMAR</v>
      </c>
      <c r="C21531" t="s">
        <v>330</v>
      </c>
      <c r="D21531" s="1" t="str">
        <f t="shared" si="584"/>
        <v>PRG-1048044</v>
      </c>
      <c r="E21531" t="s">
        <v>123</v>
      </c>
      <c r="F21531" t="s">
        <v>4</v>
      </c>
      <c r="G21531" t="str">
        <f>""</f>
        <v/>
      </c>
    </row>
    <row r="21532" spans="1:7" x14ac:dyDescent="0.25">
      <c r="A21532" t="s">
        <v>8</v>
      </c>
      <c r="B21532" s="1" t="str">
        <f>"000256222 - CASA DIBRITACHI PROTEIN-ARAMAR"</f>
        <v>000256222 - CASA DIBRITACHI PROTEIN-ARAMAR</v>
      </c>
      <c r="C21532" t="s">
        <v>330</v>
      </c>
      <c r="D21532" s="1" t="str">
        <f t="shared" si="584"/>
        <v>PRG-1048044</v>
      </c>
      <c r="E21532" t="s">
        <v>123</v>
      </c>
      <c r="F21532" t="s">
        <v>4</v>
      </c>
      <c r="G21532" t="str">
        <f>""</f>
        <v/>
      </c>
    </row>
    <row r="21533" spans="1:7" x14ac:dyDescent="0.25">
      <c r="A21533" t="s">
        <v>8</v>
      </c>
      <c r="B21533" s="1" t="str">
        <f>"000260287 - CASA DIBERTACCHI-ARAMARK MAIN"</f>
        <v>000260287 - CASA DIBERTACCHI-ARAMARK MAIN</v>
      </c>
      <c r="C21533" t="s">
        <v>517</v>
      </c>
      <c r="D21533" s="1" t="str">
        <f t="shared" si="584"/>
        <v>PRG-1048044</v>
      </c>
      <c r="E21533" t="s">
        <v>123</v>
      </c>
      <c r="F21533" t="s">
        <v>4</v>
      </c>
      <c r="G21533" t="str">
        <f>""</f>
        <v/>
      </c>
    </row>
    <row r="21534" spans="1:7" x14ac:dyDescent="0.25">
      <c r="A21534" t="s">
        <v>8</v>
      </c>
      <c r="B21534" s="1" t="str">
        <f>"000263428 - CASA DIBRITACHI PROTEIN-ARAMAR"</f>
        <v>000263428 - CASA DIBRITACHI PROTEIN-ARAMAR</v>
      </c>
      <c r="C21534" t="s">
        <v>330</v>
      </c>
      <c r="D21534" s="1" t="str">
        <f t="shared" si="584"/>
        <v>PRG-1048044</v>
      </c>
      <c r="E21534" t="s">
        <v>123</v>
      </c>
      <c r="F21534" t="s">
        <v>4</v>
      </c>
      <c r="G21534" t="str">
        <f>""</f>
        <v/>
      </c>
    </row>
    <row r="21535" spans="1:7" x14ac:dyDescent="0.25">
      <c r="A21535" t="s">
        <v>8</v>
      </c>
      <c r="B21535" s="1" t="str">
        <f>"000264408 - CASA DIBRITACHI PROTEIN-ARAMAR"</f>
        <v>000264408 - CASA DIBRITACHI PROTEIN-ARAMAR</v>
      </c>
      <c r="C21535" t="s">
        <v>330</v>
      </c>
      <c r="D21535" s="1" t="str">
        <f t="shared" ref="D21535:D21566" si="585">"PRG-1048044"</f>
        <v>PRG-1048044</v>
      </c>
      <c r="E21535" t="s">
        <v>123</v>
      </c>
      <c r="F21535" t="s">
        <v>4</v>
      </c>
      <c r="G21535" t="str">
        <f>""</f>
        <v/>
      </c>
    </row>
    <row r="21536" spans="1:7" x14ac:dyDescent="0.25">
      <c r="A21536" t="s">
        <v>8</v>
      </c>
      <c r="B21536" s="1" t="str">
        <f>"000269182 - CASA DIBERTACCHI-ARAMARK MAIN"</f>
        <v>000269182 - CASA DIBERTACCHI-ARAMARK MAIN</v>
      </c>
      <c r="C21536" t="s">
        <v>517</v>
      </c>
      <c r="D21536" s="1" t="str">
        <f t="shared" si="585"/>
        <v>PRG-1048044</v>
      </c>
      <c r="E21536" t="s">
        <v>123</v>
      </c>
      <c r="F21536" t="s">
        <v>4</v>
      </c>
      <c r="G21536" t="str">
        <f>""</f>
        <v/>
      </c>
    </row>
    <row r="21537" spans="1:7" x14ac:dyDescent="0.25">
      <c r="A21537" t="s">
        <v>8</v>
      </c>
      <c r="B21537" s="1" t="str">
        <f>"000269819 - CASA DIBRITACHI PROTEIN-ARAMAR"</f>
        <v>000269819 - CASA DIBRITACHI PROTEIN-ARAMAR</v>
      </c>
      <c r="C21537" t="s">
        <v>330</v>
      </c>
      <c r="D21537" s="1" t="str">
        <f t="shared" si="585"/>
        <v>PRG-1048044</v>
      </c>
      <c r="E21537" t="s">
        <v>123</v>
      </c>
      <c r="F21537" t="s">
        <v>4</v>
      </c>
      <c r="G21537" t="str">
        <f>""</f>
        <v/>
      </c>
    </row>
    <row r="21538" spans="1:7" x14ac:dyDescent="0.25">
      <c r="A21538" t="s">
        <v>8</v>
      </c>
      <c r="B21538" s="1" t="str">
        <f>"000270072 - CASA DIBRITACHI PROTEIN-ARAMAR"</f>
        <v>000270072 - CASA DIBRITACHI PROTEIN-ARAMAR</v>
      </c>
      <c r="C21538" t="s">
        <v>330</v>
      </c>
      <c r="D21538" s="1" t="str">
        <f t="shared" si="585"/>
        <v>PRG-1048044</v>
      </c>
      <c r="E21538" t="s">
        <v>123</v>
      </c>
      <c r="F21538" t="s">
        <v>4</v>
      </c>
      <c r="G21538" t="str">
        <f>""</f>
        <v/>
      </c>
    </row>
    <row r="21539" spans="1:7" x14ac:dyDescent="0.25">
      <c r="A21539" t="s">
        <v>8</v>
      </c>
      <c r="B21539" s="1" t="str">
        <f>"000272716 - CASA DIBERTACCHI-ARAMARK MAIN"</f>
        <v>000272716 - CASA DIBERTACCHI-ARAMARK MAIN</v>
      </c>
      <c r="C21539" t="s">
        <v>517</v>
      </c>
      <c r="D21539" s="1" t="str">
        <f t="shared" si="585"/>
        <v>PRG-1048044</v>
      </c>
      <c r="E21539" t="s">
        <v>123</v>
      </c>
      <c r="F21539" t="s">
        <v>4</v>
      </c>
      <c r="G21539" t="str">
        <f>""</f>
        <v/>
      </c>
    </row>
    <row r="21540" spans="1:7" x14ac:dyDescent="0.25">
      <c r="A21540" t="s">
        <v>8</v>
      </c>
      <c r="B21540" s="1" t="str">
        <f>"000275815 - CASA DIBERTACCHI-ARAMARK"</f>
        <v>000275815 - CASA DIBERTACCHI-ARAMARK</v>
      </c>
      <c r="C21540" t="s">
        <v>104</v>
      </c>
      <c r="D21540" s="1" t="str">
        <f t="shared" si="585"/>
        <v>PRG-1048044</v>
      </c>
      <c r="E21540" t="s">
        <v>123</v>
      </c>
      <c r="F21540" t="s">
        <v>4</v>
      </c>
      <c r="G21540" t="str">
        <f>""</f>
        <v/>
      </c>
    </row>
    <row r="21541" spans="1:7" x14ac:dyDescent="0.25">
      <c r="A21541" t="s">
        <v>8</v>
      </c>
      <c r="B21541" s="1" t="str">
        <f>"000276201 - CASA DIBERTACCHI-ARAMARK"</f>
        <v>000276201 - CASA DIBERTACCHI-ARAMARK</v>
      </c>
      <c r="C21541" t="s">
        <v>104</v>
      </c>
      <c r="D21541" s="1" t="str">
        <f t="shared" si="585"/>
        <v>PRG-1048044</v>
      </c>
      <c r="E21541" t="s">
        <v>123</v>
      </c>
      <c r="F21541" t="s">
        <v>4</v>
      </c>
      <c r="G21541" t="str">
        <f>""</f>
        <v/>
      </c>
    </row>
    <row r="21542" spans="1:7" x14ac:dyDescent="0.25">
      <c r="A21542" t="s">
        <v>8</v>
      </c>
      <c r="B21542" s="1" t="str">
        <f>"000276443 - CASA DIBERTACCHI-ARAMARK MAIN"</f>
        <v>000276443 - CASA DIBERTACCHI-ARAMARK MAIN</v>
      </c>
      <c r="C21542" t="s">
        <v>517</v>
      </c>
      <c r="D21542" s="1" t="str">
        <f t="shared" si="585"/>
        <v>PRG-1048044</v>
      </c>
      <c r="E21542" t="s">
        <v>123</v>
      </c>
      <c r="F21542" t="s">
        <v>4</v>
      </c>
      <c r="G21542" t="str">
        <f>""</f>
        <v/>
      </c>
    </row>
    <row r="21543" spans="1:7" x14ac:dyDescent="0.25">
      <c r="A21543" t="s">
        <v>8</v>
      </c>
      <c r="B21543" s="1" t="str">
        <f>"000276799 - CASA DIBRITACHI PROTEIN-ARMARK"</f>
        <v>000276799 - CASA DIBRITACHI PROTEIN-ARMARK</v>
      </c>
      <c r="C21543" t="s">
        <v>246</v>
      </c>
      <c r="D21543" s="1" t="str">
        <f t="shared" si="585"/>
        <v>PRG-1048044</v>
      </c>
      <c r="E21543" t="s">
        <v>123</v>
      </c>
      <c r="F21543" t="s">
        <v>4</v>
      </c>
      <c r="G21543" t="str">
        <f>""</f>
        <v/>
      </c>
    </row>
    <row r="21544" spans="1:7" x14ac:dyDescent="0.25">
      <c r="A21544" t="s">
        <v>8</v>
      </c>
      <c r="B21544" s="1" t="str">
        <f>"000281043 - CASA DIBERTACCHI-ARAMARK"</f>
        <v>000281043 - CASA DIBERTACCHI-ARAMARK</v>
      </c>
      <c r="C21544" t="s">
        <v>104</v>
      </c>
      <c r="D21544" s="1" t="str">
        <f t="shared" si="585"/>
        <v>PRG-1048044</v>
      </c>
      <c r="E21544" t="s">
        <v>123</v>
      </c>
      <c r="F21544" t="s">
        <v>4</v>
      </c>
      <c r="G21544" t="str">
        <f>""</f>
        <v/>
      </c>
    </row>
    <row r="21545" spans="1:7" x14ac:dyDescent="0.25">
      <c r="A21545" t="s">
        <v>8</v>
      </c>
      <c r="B21545" s="1" t="str">
        <f>"000281309 - CASA DIBRITACHI PROTEIN-ARAMAR"</f>
        <v>000281309 - CASA DIBRITACHI PROTEIN-ARAMAR</v>
      </c>
      <c r="C21545" t="s">
        <v>330</v>
      </c>
      <c r="D21545" s="1" t="str">
        <f t="shared" si="585"/>
        <v>PRG-1048044</v>
      </c>
      <c r="E21545" t="s">
        <v>123</v>
      </c>
      <c r="F21545" t="s">
        <v>4</v>
      </c>
      <c r="G21545" t="str">
        <f>""</f>
        <v/>
      </c>
    </row>
    <row r="21546" spans="1:7" x14ac:dyDescent="0.25">
      <c r="A21546" t="s">
        <v>8</v>
      </c>
      <c r="B21546" s="1" t="str">
        <f>"000282938 - CASA DIBRITACHI PROTEIN-ARAMAR"</f>
        <v>000282938 - CASA DIBRITACHI PROTEIN-ARAMAR</v>
      </c>
      <c r="C21546" t="s">
        <v>330</v>
      </c>
      <c r="D21546" s="1" t="str">
        <f t="shared" si="585"/>
        <v>PRG-1048044</v>
      </c>
      <c r="E21546" t="s">
        <v>123</v>
      </c>
      <c r="F21546" t="s">
        <v>4</v>
      </c>
      <c r="G21546" t="str">
        <f>""</f>
        <v/>
      </c>
    </row>
    <row r="21547" spans="1:7" x14ac:dyDescent="0.25">
      <c r="A21547" t="s">
        <v>8</v>
      </c>
      <c r="B21547" s="1" t="str">
        <f>"000287263 - CASA DIBERTACCHI-ARAMARK MAIN"</f>
        <v>000287263 - CASA DIBERTACCHI-ARAMARK MAIN</v>
      </c>
      <c r="C21547" t="s">
        <v>517</v>
      </c>
      <c r="D21547" s="1" t="str">
        <f t="shared" si="585"/>
        <v>PRG-1048044</v>
      </c>
      <c r="E21547" t="s">
        <v>123</v>
      </c>
      <c r="F21547" t="s">
        <v>4</v>
      </c>
      <c r="G21547" t="str">
        <f>""</f>
        <v/>
      </c>
    </row>
    <row r="21548" spans="1:7" x14ac:dyDescent="0.25">
      <c r="A21548" t="s">
        <v>8</v>
      </c>
      <c r="B21548" s="1" t="str">
        <f>"000288674 - CASA DIBERTACCHI-ARAMARK MAIN"</f>
        <v>000288674 - CASA DIBERTACCHI-ARAMARK MAIN</v>
      </c>
      <c r="C21548" t="s">
        <v>517</v>
      </c>
      <c r="D21548" s="1" t="str">
        <f t="shared" si="585"/>
        <v>PRG-1048044</v>
      </c>
      <c r="E21548" t="s">
        <v>123</v>
      </c>
      <c r="F21548" t="s">
        <v>4</v>
      </c>
      <c r="G21548" t="str">
        <f>""</f>
        <v/>
      </c>
    </row>
    <row r="21549" spans="1:7" x14ac:dyDescent="0.25">
      <c r="A21549" t="s">
        <v>8</v>
      </c>
      <c r="B21549" s="1" t="str">
        <f>"000289564 - CASA DIBRITACHI PROTEIN-ARAMAR"</f>
        <v>000289564 - CASA DIBRITACHI PROTEIN-ARAMAR</v>
      </c>
      <c r="C21549" t="s">
        <v>330</v>
      </c>
      <c r="D21549" s="1" t="str">
        <f t="shared" si="585"/>
        <v>PRG-1048044</v>
      </c>
      <c r="E21549" t="s">
        <v>123</v>
      </c>
      <c r="F21549" t="s">
        <v>4</v>
      </c>
      <c r="G21549" t="str">
        <f>""</f>
        <v/>
      </c>
    </row>
    <row r="21550" spans="1:7" x14ac:dyDescent="0.25">
      <c r="A21550" t="s">
        <v>8</v>
      </c>
      <c r="B21550" s="1" t="str">
        <f>"000289890 - CASA DIBRITACHI PROTEIN-ARAMAR"</f>
        <v>000289890 - CASA DIBRITACHI PROTEIN-ARAMAR</v>
      </c>
      <c r="C21550" t="s">
        <v>330</v>
      </c>
      <c r="D21550" s="1" t="str">
        <f t="shared" si="585"/>
        <v>PRG-1048044</v>
      </c>
      <c r="E21550" t="s">
        <v>123</v>
      </c>
      <c r="F21550" t="s">
        <v>4</v>
      </c>
      <c r="G21550" t="str">
        <f>""</f>
        <v/>
      </c>
    </row>
    <row r="21551" spans="1:7" x14ac:dyDescent="0.25">
      <c r="A21551" t="s">
        <v>8</v>
      </c>
      <c r="B21551" s="1" t="str">
        <f>"000290906 - CASA DIBERTACCHI-ARAMARK MAIN"</f>
        <v>000290906 - CASA DIBERTACCHI-ARAMARK MAIN</v>
      </c>
      <c r="C21551" t="s">
        <v>517</v>
      </c>
      <c r="D21551" s="1" t="str">
        <f t="shared" si="585"/>
        <v>PRG-1048044</v>
      </c>
      <c r="E21551" t="s">
        <v>123</v>
      </c>
      <c r="F21551" t="s">
        <v>4</v>
      </c>
      <c r="G21551" t="str">
        <f>""</f>
        <v/>
      </c>
    </row>
    <row r="21552" spans="1:7" x14ac:dyDescent="0.25">
      <c r="A21552" t="s">
        <v>8</v>
      </c>
      <c r="B21552" s="1" t="str">
        <f>"000291427 - CASA DIBRITACHI PROTEIN-ARAMAR"</f>
        <v>000291427 - CASA DIBRITACHI PROTEIN-ARAMAR</v>
      </c>
      <c r="C21552" t="s">
        <v>330</v>
      </c>
      <c r="D21552" s="1" t="str">
        <f t="shared" si="585"/>
        <v>PRG-1048044</v>
      </c>
      <c r="E21552" t="s">
        <v>123</v>
      </c>
      <c r="F21552" t="s">
        <v>4</v>
      </c>
      <c r="G21552" t="str">
        <f>""</f>
        <v/>
      </c>
    </row>
    <row r="21553" spans="1:7" x14ac:dyDescent="0.25">
      <c r="A21553" t="s">
        <v>8</v>
      </c>
      <c r="B21553" s="1" t="str">
        <f>"000294253 - CASA DIBERTACCHI-ARAMARK"</f>
        <v>000294253 - CASA DIBERTACCHI-ARAMARK</v>
      </c>
      <c r="C21553" t="s">
        <v>104</v>
      </c>
      <c r="D21553" s="1" t="str">
        <f t="shared" si="585"/>
        <v>PRG-1048044</v>
      </c>
      <c r="E21553" t="s">
        <v>123</v>
      </c>
      <c r="F21553" t="s">
        <v>4</v>
      </c>
      <c r="G21553" t="str">
        <f>""</f>
        <v/>
      </c>
    </row>
    <row r="21554" spans="1:7" x14ac:dyDescent="0.25">
      <c r="A21554" t="s">
        <v>8</v>
      </c>
      <c r="B21554" s="1" t="str">
        <f>"000294274 - CASA DIBERTACCHI-ARAMARK"</f>
        <v>000294274 - CASA DIBERTACCHI-ARAMARK</v>
      </c>
      <c r="C21554" t="s">
        <v>104</v>
      </c>
      <c r="D21554" s="1" t="str">
        <f t="shared" si="585"/>
        <v>PRG-1048044</v>
      </c>
      <c r="E21554" t="s">
        <v>123</v>
      </c>
      <c r="F21554" t="s">
        <v>4</v>
      </c>
      <c r="G21554" t="str">
        <f>""</f>
        <v/>
      </c>
    </row>
    <row r="21555" spans="1:7" x14ac:dyDescent="0.25">
      <c r="A21555" t="s">
        <v>8</v>
      </c>
      <c r="B21555" s="1" t="str">
        <f>"000296312 - CASA DIBERTACCHI-ARAMARK MAIN"</f>
        <v>000296312 - CASA DIBERTACCHI-ARAMARK MAIN</v>
      </c>
      <c r="C21555" t="s">
        <v>517</v>
      </c>
      <c r="D21555" s="1" t="str">
        <f t="shared" si="585"/>
        <v>PRG-1048044</v>
      </c>
      <c r="E21555" t="s">
        <v>123</v>
      </c>
      <c r="F21555" t="s">
        <v>4</v>
      </c>
      <c r="G21555" t="str">
        <f>""</f>
        <v/>
      </c>
    </row>
    <row r="21556" spans="1:7" x14ac:dyDescent="0.25">
      <c r="A21556" t="s">
        <v>8</v>
      </c>
      <c r="B21556" s="1" t="str">
        <f>"000296313 - CASA DEIBERTACCHI-SSS ARAMARK"</f>
        <v>000296313 - CASA DEIBERTACCHI-SSS ARAMARK</v>
      </c>
      <c r="C21556" t="s">
        <v>465</v>
      </c>
      <c r="D21556" s="1" t="str">
        <f t="shared" si="585"/>
        <v>PRG-1048044</v>
      </c>
      <c r="E21556" t="s">
        <v>123</v>
      </c>
      <c r="F21556" t="s">
        <v>4</v>
      </c>
      <c r="G21556" t="str">
        <f>""</f>
        <v/>
      </c>
    </row>
    <row r="21557" spans="1:7" x14ac:dyDescent="0.25">
      <c r="A21557" t="s">
        <v>8</v>
      </c>
      <c r="B21557" s="1" t="str">
        <f>"000296947 - CASA DIBRITACHI PROTEIN-ARAMAR"</f>
        <v>000296947 - CASA DIBRITACHI PROTEIN-ARAMAR</v>
      </c>
      <c r="C21557" t="s">
        <v>330</v>
      </c>
      <c r="D21557" s="1" t="str">
        <f t="shared" si="585"/>
        <v>PRG-1048044</v>
      </c>
      <c r="E21557" t="s">
        <v>123</v>
      </c>
      <c r="F21557" t="s">
        <v>4</v>
      </c>
      <c r="G21557" t="str">
        <f>""</f>
        <v/>
      </c>
    </row>
    <row r="21558" spans="1:7" x14ac:dyDescent="0.25">
      <c r="A21558" t="s">
        <v>8</v>
      </c>
      <c r="B21558" s="1" t="str">
        <f>"000297371 - CASA DIBERTACCHI-ARAMARK"</f>
        <v>000297371 - CASA DIBERTACCHI-ARAMARK</v>
      </c>
      <c r="C21558" t="s">
        <v>104</v>
      </c>
      <c r="D21558" s="1" t="str">
        <f t="shared" si="585"/>
        <v>PRG-1048044</v>
      </c>
      <c r="E21558" t="s">
        <v>123</v>
      </c>
      <c r="F21558" t="s">
        <v>4</v>
      </c>
      <c r="G21558" t="str">
        <f>""</f>
        <v/>
      </c>
    </row>
    <row r="21559" spans="1:7" x14ac:dyDescent="0.25">
      <c r="A21559" t="s">
        <v>8</v>
      </c>
      <c r="B21559" s="1" t="str">
        <f>"000297514 - CASA DIBRI PROTEIN-ARMARK JMU"</f>
        <v>000297514 - CASA DIBRI PROTEIN-ARMARK JMU</v>
      </c>
      <c r="C21559" t="s">
        <v>2926</v>
      </c>
      <c r="D21559" s="1" t="str">
        <f t="shared" si="585"/>
        <v>PRG-1048044</v>
      </c>
      <c r="E21559" t="s">
        <v>123</v>
      </c>
      <c r="F21559" t="s">
        <v>4</v>
      </c>
      <c r="G21559" t="str">
        <f>""</f>
        <v/>
      </c>
    </row>
    <row r="21560" spans="1:7" x14ac:dyDescent="0.25">
      <c r="A21560" t="s">
        <v>8</v>
      </c>
      <c r="B21560" s="1" t="str">
        <f>"000299278 - CASA DIBERTACCHI-ARAMARK MAIN"</f>
        <v>000299278 - CASA DIBERTACCHI-ARAMARK MAIN</v>
      </c>
      <c r="C21560" t="s">
        <v>517</v>
      </c>
      <c r="D21560" s="1" t="str">
        <f t="shared" si="585"/>
        <v>PRG-1048044</v>
      </c>
      <c r="E21560" t="s">
        <v>123</v>
      </c>
      <c r="F21560" t="s">
        <v>4</v>
      </c>
      <c r="G21560" t="str">
        <f>""</f>
        <v/>
      </c>
    </row>
    <row r="21561" spans="1:7" x14ac:dyDescent="0.25">
      <c r="A21561" t="s">
        <v>8</v>
      </c>
      <c r="B21561" s="1" t="str">
        <f>"000299327 - CASA DIBERTACCHI-ARAMARK"</f>
        <v>000299327 - CASA DIBERTACCHI-ARAMARK</v>
      </c>
      <c r="C21561" t="s">
        <v>104</v>
      </c>
      <c r="D21561" s="1" t="str">
        <f t="shared" si="585"/>
        <v>PRG-1048044</v>
      </c>
      <c r="E21561" t="s">
        <v>123</v>
      </c>
      <c r="F21561" t="s">
        <v>4</v>
      </c>
      <c r="G21561" t="str">
        <f>""</f>
        <v/>
      </c>
    </row>
    <row r="21562" spans="1:7" x14ac:dyDescent="0.25">
      <c r="A21562" t="s">
        <v>8</v>
      </c>
      <c r="B21562" s="1" t="str">
        <f>"000299783 - CASA DIBRITACHI PROTEIN-ARAMAR"</f>
        <v>000299783 - CASA DIBRITACHI PROTEIN-ARAMAR</v>
      </c>
      <c r="C21562" t="s">
        <v>330</v>
      </c>
      <c r="D21562" s="1" t="str">
        <f t="shared" si="585"/>
        <v>PRG-1048044</v>
      </c>
      <c r="E21562" t="s">
        <v>123</v>
      </c>
      <c r="F21562" t="s">
        <v>4</v>
      </c>
      <c r="G21562" t="str">
        <f>""</f>
        <v/>
      </c>
    </row>
    <row r="21563" spans="1:7" x14ac:dyDescent="0.25">
      <c r="A21563" t="s">
        <v>8</v>
      </c>
      <c r="B21563" s="1" t="str">
        <f>"000300580 - CASA DIBERTACCHI-ARAMARK MAIN"</f>
        <v>000300580 - CASA DIBERTACCHI-ARAMARK MAIN</v>
      </c>
      <c r="C21563" t="s">
        <v>517</v>
      </c>
      <c r="D21563" s="1" t="str">
        <f t="shared" si="585"/>
        <v>PRG-1048044</v>
      </c>
      <c r="E21563" t="s">
        <v>123</v>
      </c>
      <c r="F21563" t="s">
        <v>4</v>
      </c>
      <c r="G21563" t="str">
        <f>""</f>
        <v/>
      </c>
    </row>
    <row r="21564" spans="1:7" x14ac:dyDescent="0.25">
      <c r="A21564" t="s">
        <v>8</v>
      </c>
      <c r="B21564" s="1" t="str">
        <f>"000301916 - CASA DIBRITACHI PROTEIN-ARAMAR"</f>
        <v>000301916 - CASA DIBRITACHI PROTEIN-ARAMAR</v>
      </c>
      <c r="C21564" t="s">
        <v>330</v>
      </c>
      <c r="D21564" s="1" t="str">
        <f t="shared" si="585"/>
        <v>PRG-1048044</v>
      </c>
      <c r="E21564" t="s">
        <v>123</v>
      </c>
      <c r="F21564" t="s">
        <v>4</v>
      </c>
      <c r="G21564" t="str">
        <f>""</f>
        <v/>
      </c>
    </row>
    <row r="21565" spans="1:7" x14ac:dyDescent="0.25">
      <c r="A21565" t="s">
        <v>8</v>
      </c>
      <c r="B21565" s="1" t="str">
        <f>"000302092 - CASA DIBERTACCHI-ARAMARK"</f>
        <v>000302092 - CASA DIBERTACCHI-ARAMARK</v>
      </c>
      <c r="C21565" t="s">
        <v>104</v>
      </c>
      <c r="D21565" s="1" t="str">
        <f t="shared" si="585"/>
        <v>PRG-1048044</v>
      </c>
      <c r="E21565" t="s">
        <v>123</v>
      </c>
      <c r="F21565" t="s">
        <v>4</v>
      </c>
      <c r="G21565" t="str">
        <f>""</f>
        <v/>
      </c>
    </row>
    <row r="21566" spans="1:7" x14ac:dyDescent="0.25">
      <c r="A21566" t="s">
        <v>8</v>
      </c>
      <c r="B21566" s="1" t="str">
        <f>"000302614 - CASA DIBERTACCHI-ARAMARK"</f>
        <v>000302614 - CASA DIBERTACCHI-ARAMARK</v>
      </c>
      <c r="C21566" t="s">
        <v>104</v>
      </c>
      <c r="D21566" s="1" t="str">
        <f t="shared" si="585"/>
        <v>PRG-1048044</v>
      </c>
      <c r="E21566" t="s">
        <v>123</v>
      </c>
      <c r="F21566" t="s">
        <v>4</v>
      </c>
      <c r="G21566" t="str">
        <f>""</f>
        <v/>
      </c>
    </row>
    <row r="21567" spans="1:7" x14ac:dyDescent="0.25">
      <c r="A21567" t="s">
        <v>8</v>
      </c>
      <c r="B21567" s="1" t="str">
        <f>"000303670 - CASA DIBERTACCHI-ARAMARK"</f>
        <v>000303670 - CASA DIBERTACCHI-ARAMARK</v>
      </c>
      <c r="C21567" t="s">
        <v>104</v>
      </c>
      <c r="D21567" s="1" t="str">
        <f t="shared" ref="D21567:D21598" si="586">"PRG-1048044"</f>
        <v>PRG-1048044</v>
      </c>
      <c r="E21567" t="s">
        <v>123</v>
      </c>
      <c r="F21567" t="s">
        <v>4</v>
      </c>
      <c r="G21567" t="str">
        <f>""</f>
        <v/>
      </c>
    </row>
    <row r="21568" spans="1:7" x14ac:dyDescent="0.25">
      <c r="A21568" t="s">
        <v>8</v>
      </c>
      <c r="B21568" s="1" t="str">
        <f>"000306586 - CASA DIBRITACHI PROTEIN-ARAMAR"</f>
        <v>000306586 - CASA DIBRITACHI PROTEIN-ARAMAR</v>
      </c>
      <c r="C21568" t="s">
        <v>330</v>
      </c>
      <c r="D21568" s="1" t="str">
        <f t="shared" si="586"/>
        <v>PRG-1048044</v>
      </c>
      <c r="E21568" t="s">
        <v>123</v>
      </c>
      <c r="F21568" t="s">
        <v>4</v>
      </c>
      <c r="G21568" t="str">
        <f>""</f>
        <v/>
      </c>
    </row>
    <row r="21569" spans="1:7" x14ac:dyDescent="0.25">
      <c r="A21569" t="s">
        <v>8</v>
      </c>
      <c r="B21569" s="1" t="str">
        <f>"000308297 - CASA DIBERTACCHI-ARAMARK"</f>
        <v>000308297 - CASA DIBERTACCHI-ARAMARK</v>
      </c>
      <c r="C21569" t="s">
        <v>104</v>
      </c>
      <c r="D21569" s="1" t="str">
        <f t="shared" si="586"/>
        <v>PRG-1048044</v>
      </c>
      <c r="E21569" t="s">
        <v>123</v>
      </c>
      <c r="F21569" t="s">
        <v>4</v>
      </c>
      <c r="G21569" t="str">
        <f>""</f>
        <v/>
      </c>
    </row>
    <row r="21570" spans="1:7" x14ac:dyDescent="0.25">
      <c r="A21570" t="s">
        <v>8</v>
      </c>
      <c r="B21570" s="1" t="str">
        <f>"000310968 - CASA DIBERTACCHI-ARAMARK MAIN"</f>
        <v>000310968 - CASA DIBERTACCHI-ARAMARK MAIN</v>
      </c>
      <c r="C21570" t="s">
        <v>517</v>
      </c>
      <c r="D21570" s="1" t="str">
        <f t="shared" si="586"/>
        <v>PRG-1048044</v>
      </c>
      <c r="E21570" t="s">
        <v>123</v>
      </c>
      <c r="F21570" t="s">
        <v>4</v>
      </c>
      <c r="G21570" t="str">
        <f>""</f>
        <v/>
      </c>
    </row>
    <row r="21571" spans="1:7" x14ac:dyDescent="0.25">
      <c r="A21571" t="s">
        <v>8</v>
      </c>
      <c r="B21571" s="1" t="str">
        <f>"000313032 - CASA DIBERTACCHI-ARAMARK"</f>
        <v>000313032 - CASA DIBERTACCHI-ARAMARK</v>
      </c>
      <c r="C21571" t="s">
        <v>104</v>
      </c>
      <c r="D21571" s="1" t="str">
        <f t="shared" si="586"/>
        <v>PRG-1048044</v>
      </c>
      <c r="E21571" t="s">
        <v>123</v>
      </c>
      <c r="F21571" t="s">
        <v>4</v>
      </c>
      <c r="G21571" t="str">
        <f>""</f>
        <v/>
      </c>
    </row>
    <row r="21572" spans="1:7" x14ac:dyDescent="0.25">
      <c r="A21572" t="s">
        <v>8</v>
      </c>
      <c r="B21572" s="1" t="str">
        <f>"000314589 - CASA DIBERTACCHI-ARAMARK MAIN"</f>
        <v>000314589 - CASA DIBERTACCHI-ARAMARK MAIN</v>
      </c>
      <c r="C21572" t="s">
        <v>517</v>
      </c>
      <c r="D21572" s="1" t="str">
        <f t="shared" si="586"/>
        <v>PRG-1048044</v>
      </c>
      <c r="E21572" t="s">
        <v>123</v>
      </c>
      <c r="F21572" t="s">
        <v>4</v>
      </c>
      <c r="G21572" t="str">
        <f>""</f>
        <v/>
      </c>
    </row>
    <row r="21573" spans="1:7" x14ac:dyDescent="0.25">
      <c r="A21573" t="s">
        <v>8</v>
      </c>
      <c r="B21573" s="1" t="str">
        <f>"000315401 - CASA DIBERTACCHI-ARAMARK MAIN"</f>
        <v>000315401 - CASA DIBERTACCHI-ARAMARK MAIN</v>
      </c>
      <c r="C21573" t="s">
        <v>517</v>
      </c>
      <c r="D21573" s="1" t="str">
        <f t="shared" si="586"/>
        <v>PRG-1048044</v>
      </c>
      <c r="E21573" t="s">
        <v>123</v>
      </c>
      <c r="F21573" t="s">
        <v>4</v>
      </c>
      <c r="G21573" t="str">
        <f>""</f>
        <v/>
      </c>
    </row>
    <row r="21574" spans="1:7" x14ac:dyDescent="0.25">
      <c r="A21574" t="s">
        <v>8</v>
      </c>
      <c r="B21574" s="1" t="str">
        <f>"000315817 - CASA DIBERTACCHI-ARAMARK MAIN"</f>
        <v>000315817 - CASA DIBERTACCHI-ARAMARK MAIN</v>
      </c>
      <c r="C21574" t="s">
        <v>517</v>
      </c>
      <c r="D21574" s="1" t="str">
        <f t="shared" si="586"/>
        <v>PRG-1048044</v>
      </c>
      <c r="E21574" t="s">
        <v>123</v>
      </c>
      <c r="F21574" t="s">
        <v>4</v>
      </c>
      <c r="G21574" t="str">
        <f>""</f>
        <v/>
      </c>
    </row>
    <row r="21575" spans="1:7" x14ac:dyDescent="0.25">
      <c r="A21575" t="s">
        <v>8</v>
      </c>
      <c r="B21575" s="1" t="str">
        <f>"000316784 - CASA DIBERTACCHI-ARAMARK"</f>
        <v>000316784 - CASA DIBERTACCHI-ARAMARK</v>
      </c>
      <c r="C21575" t="s">
        <v>104</v>
      </c>
      <c r="D21575" s="1" t="str">
        <f t="shared" si="586"/>
        <v>PRG-1048044</v>
      </c>
      <c r="E21575" t="s">
        <v>123</v>
      </c>
      <c r="F21575" t="s">
        <v>4</v>
      </c>
      <c r="G21575" t="str">
        <f>""</f>
        <v/>
      </c>
    </row>
    <row r="21576" spans="1:7" x14ac:dyDescent="0.25">
      <c r="A21576" t="s">
        <v>8</v>
      </c>
      <c r="B21576" s="1" t="str">
        <f>"000317493 - CASA DIBERTACCHI-ARAMARK MAIN"</f>
        <v>000317493 - CASA DIBERTACCHI-ARAMARK MAIN</v>
      </c>
      <c r="C21576" t="s">
        <v>517</v>
      </c>
      <c r="D21576" s="1" t="str">
        <f t="shared" si="586"/>
        <v>PRG-1048044</v>
      </c>
      <c r="E21576" t="s">
        <v>123</v>
      </c>
      <c r="F21576" t="s">
        <v>4</v>
      </c>
      <c r="G21576" t="str">
        <f>""</f>
        <v/>
      </c>
    </row>
    <row r="21577" spans="1:7" x14ac:dyDescent="0.25">
      <c r="A21577" t="s">
        <v>8</v>
      </c>
      <c r="B21577" s="1" t="str">
        <f>"000318414 - CASA DIBRITACHI PROTEIN-ARAMAR"</f>
        <v>000318414 - CASA DIBRITACHI PROTEIN-ARAMAR</v>
      </c>
      <c r="C21577" t="s">
        <v>330</v>
      </c>
      <c r="D21577" s="1" t="str">
        <f t="shared" si="586"/>
        <v>PRG-1048044</v>
      </c>
      <c r="E21577" t="s">
        <v>123</v>
      </c>
      <c r="F21577" t="s">
        <v>4</v>
      </c>
      <c r="G21577" t="str">
        <f>""</f>
        <v/>
      </c>
    </row>
    <row r="21578" spans="1:7" x14ac:dyDescent="0.25">
      <c r="A21578" t="s">
        <v>8</v>
      </c>
      <c r="B21578" s="1" t="str">
        <f>"000319595 - CASA DIBERTACCHI-ARAMARK MAIN"</f>
        <v>000319595 - CASA DIBERTACCHI-ARAMARK MAIN</v>
      </c>
      <c r="C21578" t="s">
        <v>517</v>
      </c>
      <c r="D21578" s="1" t="str">
        <f t="shared" si="586"/>
        <v>PRG-1048044</v>
      </c>
      <c r="E21578" t="s">
        <v>123</v>
      </c>
      <c r="F21578" t="s">
        <v>4</v>
      </c>
      <c r="G21578" t="str">
        <f>""</f>
        <v/>
      </c>
    </row>
    <row r="21579" spans="1:7" x14ac:dyDescent="0.25">
      <c r="A21579" t="s">
        <v>8</v>
      </c>
      <c r="B21579" s="1" t="str">
        <f>"000319835 - CASA DIBERTACCHI-ARAMARK MAIN"</f>
        <v>000319835 - CASA DIBERTACCHI-ARAMARK MAIN</v>
      </c>
      <c r="C21579" t="s">
        <v>517</v>
      </c>
      <c r="D21579" s="1" t="str">
        <f t="shared" si="586"/>
        <v>PRG-1048044</v>
      </c>
      <c r="E21579" t="s">
        <v>123</v>
      </c>
      <c r="F21579" t="s">
        <v>4</v>
      </c>
      <c r="G21579" t="str">
        <f>""</f>
        <v/>
      </c>
    </row>
    <row r="21580" spans="1:7" x14ac:dyDescent="0.25">
      <c r="A21580" t="s">
        <v>8</v>
      </c>
      <c r="B21580" s="1" t="str">
        <f>"000319895 - CASA DIBERTACCHI-ARAMARK MAIN"</f>
        <v>000319895 - CASA DIBERTACCHI-ARAMARK MAIN</v>
      </c>
      <c r="C21580" t="s">
        <v>517</v>
      </c>
      <c r="D21580" s="1" t="str">
        <f t="shared" si="586"/>
        <v>PRG-1048044</v>
      </c>
      <c r="E21580" t="s">
        <v>123</v>
      </c>
      <c r="F21580" t="s">
        <v>4</v>
      </c>
      <c r="G21580" t="str">
        <f>""</f>
        <v/>
      </c>
    </row>
    <row r="21581" spans="1:7" x14ac:dyDescent="0.25">
      <c r="A21581" t="s">
        <v>8</v>
      </c>
      <c r="B21581" s="1" t="str">
        <f>"000322168 - CASA DIBRITACHI PROTEIN-ARAMAR"</f>
        <v>000322168 - CASA DIBRITACHI PROTEIN-ARAMAR</v>
      </c>
      <c r="C21581" t="s">
        <v>330</v>
      </c>
      <c r="D21581" s="1" t="str">
        <f t="shared" si="586"/>
        <v>PRG-1048044</v>
      </c>
      <c r="E21581" t="s">
        <v>123</v>
      </c>
      <c r="F21581" t="s">
        <v>4</v>
      </c>
      <c r="G21581" t="str">
        <f>""</f>
        <v/>
      </c>
    </row>
    <row r="21582" spans="1:7" x14ac:dyDescent="0.25">
      <c r="A21582" t="s">
        <v>8</v>
      </c>
      <c r="B21582" s="1" t="str">
        <f>"000322976 - CASA DIBERTACCHI-ARAMARK MAIN"</f>
        <v>000322976 - CASA DIBERTACCHI-ARAMARK MAIN</v>
      </c>
      <c r="C21582" t="s">
        <v>517</v>
      </c>
      <c r="D21582" s="1" t="str">
        <f t="shared" si="586"/>
        <v>PRG-1048044</v>
      </c>
      <c r="E21582" t="s">
        <v>123</v>
      </c>
      <c r="F21582" t="s">
        <v>4</v>
      </c>
      <c r="G21582" t="str">
        <f>""</f>
        <v/>
      </c>
    </row>
    <row r="21583" spans="1:7" x14ac:dyDescent="0.25">
      <c r="A21583" t="s">
        <v>8</v>
      </c>
      <c r="B21583" s="1" t="str">
        <f>"000323332 - CASA DIBERTACCHI-ARAMARK MAIN"</f>
        <v>000323332 - CASA DIBERTACCHI-ARAMARK MAIN</v>
      </c>
      <c r="C21583" t="s">
        <v>517</v>
      </c>
      <c r="D21583" s="1" t="str">
        <f t="shared" si="586"/>
        <v>PRG-1048044</v>
      </c>
      <c r="E21583" t="s">
        <v>123</v>
      </c>
      <c r="F21583" t="s">
        <v>4</v>
      </c>
      <c r="G21583" t="str">
        <f>""</f>
        <v/>
      </c>
    </row>
    <row r="21584" spans="1:7" x14ac:dyDescent="0.25">
      <c r="A21584" t="s">
        <v>8</v>
      </c>
      <c r="B21584" s="1" t="str">
        <f>"000323349 - CASA DIBERTACCHI-ARAMARK"</f>
        <v>000323349 - CASA DIBERTACCHI-ARAMARK</v>
      </c>
      <c r="C21584" t="s">
        <v>104</v>
      </c>
      <c r="D21584" s="1" t="str">
        <f t="shared" si="586"/>
        <v>PRG-1048044</v>
      </c>
      <c r="E21584" t="s">
        <v>123</v>
      </c>
      <c r="F21584" t="s">
        <v>4</v>
      </c>
      <c r="G21584" t="str">
        <f>""</f>
        <v/>
      </c>
    </row>
    <row r="21585" spans="1:7" x14ac:dyDescent="0.25">
      <c r="A21585" t="s">
        <v>8</v>
      </c>
      <c r="B21585" s="1" t="str">
        <f>"000323495 - CASA DIBERTACCHI-ARAMARK"</f>
        <v>000323495 - CASA DIBERTACCHI-ARAMARK</v>
      </c>
      <c r="C21585" t="s">
        <v>104</v>
      </c>
      <c r="D21585" s="1" t="str">
        <f t="shared" si="586"/>
        <v>PRG-1048044</v>
      </c>
      <c r="E21585" t="s">
        <v>123</v>
      </c>
      <c r="F21585" t="s">
        <v>4</v>
      </c>
      <c r="G21585" t="str">
        <f>""</f>
        <v/>
      </c>
    </row>
    <row r="21586" spans="1:7" x14ac:dyDescent="0.25">
      <c r="A21586" t="s">
        <v>8</v>
      </c>
      <c r="B21586" s="1" t="str">
        <f>"000324304 - CASA DIBERTACCHI-ARAMARK MAIN"</f>
        <v>000324304 - CASA DIBERTACCHI-ARAMARK MAIN</v>
      </c>
      <c r="C21586" t="s">
        <v>517</v>
      </c>
      <c r="D21586" s="1" t="str">
        <f t="shared" si="586"/>
        <v>PRG-1048044</v>
      </c>
      <c r="E21586" t="s">
        <v>123</v>
      </c>
      <c r="F21586" t="s">
        <v>4</v>
      </c>
      <c r="G21586" t="str">
        <f>""</f>
        <v/>
      </c>
    </row>
    <row r="21587" spans="1:7" x14ac:dyDescent="0.25">
      <c r="A21587" t="s">
        <v>8</v>
      </c>
      <c r="B21587" s="1" t="str">
        <f>"000324305 - CASA DEIBERTACCHI-SSS ARAMARK"</f>
        <v>000324305 - CASA DEIBERTACCHI-SSS ARAMARK</v>
      </c>
      <c r="C21587" t="s">
        <v>465</v>
      </c>
      <c r="D21587" s="1" t="str">
        <f t="shared" si="586"/>
        <v>PRG-1048044</v>
      </c>
      <c r="E21587" t="s">
        <v>123</v>
      </c>
      <c r="F21587" t="s">
        <v>4</v>
      </c>
      <c r="G21587" t="str">
        <f>""</f>
        <v/>
      </c>
    </row>
    <row r="21588" spans="1:7" x14ac:dyDescent="0.25">
      <c r="A21588" t="s">
        <v>8</v>
      </c>
      <c r="B21588" s="1" t="str">
        <f>"000324391 - CASA DIBERTACCHI-ARAMARK"</f>
        <v>000324391 - CASA DIBERTACCHI-ARAMARK</v>
      </c>
      <c r="C21588" t="s">
        <v>104</v>
      </c>
      <c r="D21588" s="1" t="str">
        <f t="shared" si="586"/>
        <v>PRG-1048044</v>
      </c>
      <c r="E21588" t="s">
        <v>123</v>
      </c>
      <c r="F21588" t="s">
        <v>4</v>
      </c>
      <c r="G21588" t="str">
        <f>""</f>
        <v/>
      </c>
    </row>
    <row r="21589" spans="1:7" x14ac:dyDescent="0.25">
      <c r="A21589" t="s">
        <v>8</v>
      </c>
      <c r="B21589" s="1" t="str">
        <f>"000324898 - CASA DIBERTACCHI-ARAMARK MAIN"</f>
        <v>000324898 - CASA DIBERTACCHI-ARAMARK MAIN</v>
      </c>
      <c r="C21589" t="s">
        <v>517</v>
      </c>
      <c r="D21589" s="1" t="str">
        <f t="shared" si="586"/>
        <v>PRG-1048044</v>
      </c>
      <c r="E21589" t="s">
        <v>123</v>
      </c>
      <c r="F21589" t="s">
        <v>4</v>
      </c>
      <c r="G21589" t="str">
        <f>""</f>
        <v/>
      </c>
    </row>
    <row r="21590" spans="1:7" x14ac:dyDescent="0.25">
      <c r="A21590" t="s">
        <v>8</v>
      </c>
      <c r="B21590" s="1" t="str">
        <f>"000325344 - CASA DIBERTACCHI-ARAMARK"</f>
        <v>000325344 - CASA DIBERTACCHI-ARAMARK</v>
      </c>
      <c r="C21590" t="s">
        <v>104</v>
      </c>
      <c r="D21590" s="1" t="str">
        <f t="shared" si="586"/>
        <v>PRG-1048044</v>
      </c>
      <c r="E21590" t="s">
        <v>123</v>
      </c>
      <c r="F21590" t="s">
        <v>4</v>
      </c>
      <c r="G21590" t="str">
        <f>""</f>
        <v/>
      </c>
    </row>
    <row r="21591" spans="1:7" x14ac:dyDescent="0.25">
      <c r="A21591" t="s">
        <v>8</v>
      </c>
      <c r="B21591" s="1" t="str">
        <f>"000326881 - CASA DIBERTACCHI-ARAMARK"</f>
        <v>000326881 - CASA DIBERTACCHI-ARAMARK</v>
      </c>
      <c r="C21591" t="s">
        <v>104</v>
      </c>
      <c r="D21591" s="1" t="str">
        <f t="shared" si="586"/>
        <v>PRG-1048044</v>
      </c>
      <c r="E21591" t="s">
        <v>123</v>
      </c>
      <c r="F21591" t="s">
        <v>4</v>
      </c>
      <c r="G21591" t="str">
        <f>""</f>
        <v/>
      </c>
    </row>
    <row r="21592" spans="1:7" x14ac:dyDescent="0.25">
      <c r="A21592" t="s">
        <v>8</v>
      </c>
      <c r="B21592" s="1" t="str">
        <f>"000327050 - CASA DIBERTACCHI-ARAMARK"</f>
        <v>000327050 - CASA DIBERTACCHI-ARAMARK</v>
      </c>
      <c r="C21592" t="s">
        <v>104</v>
      </c>
      <c r="D21592" s="1" t="str">
        <f t="shared" si="586"/>
        <v>PRG-1048044</v>
      </c>
      <c r="E21592" t="s">
        <v>123</v>
      </c>
      <c r="F21592" t="s">
        <v>4</v>
      </c>
      <c r="G21592" t="str">
        <f>""</f>
        <v/>
      </c>
    </row>
    <row r="21593" spans="1:7" x14ac:dyDescent="0.25">
      <c r="A21593" t="s">
        <v>8</v>
      </c>
      <c r="B21593" s="1" t="str">
        <f>"000329753 - CASA DIBERTACCHI-ARAMARK"</f>
        <v>000329753 - CASA DIBERTACCHI-ARAMARK</v>
      </c>
      <c r="C21593" t="s">
        <v>104</v>
      </c>
      <c r="D21593" s="1" t="str">
        <f t="shared" si="586"/>
        <v>PRG-1048044</v>
      </c>
      <c r="E21593" t="s">
        <v>123</v>
      </c>
      <c r="F21593" t="s">
        <v>4</v>
      </c>
      <c r="G21593" t="str">
        <f>""</f>
        <v/>
      </c>
    </row>
    <row r="21594" spans="1:7" x14ac:dyDescent="0.25">
      <c r="A21594" t="s">
        <v>8</v>
      </c>
      <c r="B21594" s="1" t="str">
        <f>"000330814 - CASA DIBRITACHI PROTEIN-ARAMAR"</f>
        <v>000330814 - CASA DIBRITACHI PROTEIN-ARAMAR</v>
      </c>
      <c r="C21594" t="s">
        <v>330</v>
      </c>
      <c r="D21594" s="1" t="str">
        <f t="shared" si="586"/>
        <v>PRG-1048044</v>
      </c>
      <c r="E21594" t="s">
        <v>123</v>
      </c>
      <c r="F21594" t="s">
        <v>4</v>
      </c>
      <c r="G21594" t="str">
        <f>""</f>
        <v/>
      </c>
    </row>
    <row r="21595" spans="1:7" x14ac:dyDescent="0.25">
      <c r="A21595" t="s">
        <v>8</v>
      </c>
      <c r="B21595" s="1" t="str">
        <f>"000331074 - CASA DIBERTACCHI-ARAMARK"</f>
        <v>000331074 - CASA DIBERTACCHI-ARAMARK</v>
      </c>
      <c r="C21595" t="s">
        <v>104</v>
      </c>
      <c r="D21595" s="1" t="str">
        <f t="shared" si="586"/>
        <v>PRG-1048044</v>
      </c>
      <c r="E21595" t="s">
        <v>123</v>
      </c>
      <c r="F21595" t="s">
        <v>4</v>
      </c>
      <c r="G21595" t="str">
        <f>""</f>
        <v/>
      </c>
    </row>
    <row r="21596" spans="1:7" x14ac:dyDescent="0.25">
      <c r="A21596" t="s">
        <v>8</v>
      </c>
      <c r="B21596" s="1" t="str">
        <f>"000332232 - CASA DIBERTACCHI-ARAMARK"</f>
        <v>000332232 - CASA DIBERTACCHI-ARAMARK</v>
      </c>
      <c r="C21596" t="s">
        <v>104</v>
      </c>
      <c r="D21596" s="1" t="str">
        <f t="shared" si="586"/>
        <v>PRG-1048044</v>
      </c>
      <c r="E21596" t="s">
        <v>123</v>
      </c>
      <c r="F21596" t="s">
        <v>4</v>
      </c>
      <c r="G21596" t="str">
        <f>""</f>
        <v/>
      </c>
    </row>
    <row r="21597" spans="1:7" x14ac:dyDescent="0.25">
      <c r="A21597" t="s">
        <v>8</v>
      </c>
      <c r="B21597" s="1" t="str">
        <f>"000332326 - CASA DIBERTACCHI-ARAMARK"</f>
        <v>000332326 - CASA DIBERTACCHI-ARAMARK</v>
      </c>
      <c r="C21597" t="s">
        <v>104</v>
      </c>
      <c r="D21597" s="1" t="str">
        <f t="shared" si="586"/>
        <v>PRG-1048044</v>
      </c>
      <c r="E21597" t="s">
        <v>123</v>
      </c>
      <c r="F21597" t="s">
        <v>4</v>
      </c>
      <c r="G21597" t="str">
        <f>""</f>
        <v/>
      </c>
    </row>
    <row r="21598" spans="1:7" x14ac:dyDescent="0.25">
      <c r="A21598" t="s">
        <v>8</v>
      </c>
      <c r="B21598" s="1" t="str">
        <f>"000333344 - CASA DIBRITACHI PROTEIN-ARMARK"</f>
        <v>000333344 - CASA DIBRITACHI PROTEIN-ARMARK</v>
      </c>
      <c r="C21598" t="s">
        <v>246</v>
      </c>
      <c r="D21598" s="1" t="str">
        <f t="shared" si="586"/>
        <v>PRG-1048044</v>
      </c>
      <c r="E21598" t="s">
        <v>123</v>
      </c>
      <c r="F21598" t="s">
        <v>4</v>
      </c>
      <c r="G21598" t="str">
        <f>""</f>
        <v/>
      </c>
    </row>
    <row r="21599" spans="1:7" x14ac:dyDescent="0.25">
      <c r="A21599" t="s">
        <v>8</v>
      </c>
      <c r="B21599" s="1" t="str">
        <f>"000339334 - CASA DIBRITACHI PROTEIN-ARAMAR"</f>
        <v>000339334 - CASA DIBRITACHI PROTEIN-ARAMAR</v>
      </c>
      <c r="C21599" t="s">
        <v>330</v>
      </c>
      <c r="D21599" s="1" t="str">
        <f t="shared" ref="D21599:D21630" si="587">"PRG-1048044"</f>
        <v>PRG-1048044</v>
      </c>
      <c r="E21599" t="s">
        <v>123</v>
      </c>
      <c r="F21599" t="s">
        <v>4</v>
      </c>
      <c r="G21599" t="str">
        <f>""</f>
        <v/>
      </c>
    </row>
    <row r="21600" spans="1:7" x14ac:dyDescent="0.25">
      <c r="A21600" t="s">
        <v>8</v>
      </c>
      <c r="B21600" s="1" t="str">
        <f>"000339825 - CASA DIBERTACCHI-ARAMARK MAIN"</f>
        <v>000339825 - CASA DIBERTACCHI-ARAMARK MAIN</v>
      </c>
      <c r="C21600" t="s">
        <v>517</v>
      </c>
      <c r="D21600" s="1" t="str">
        <f t="shared" si="587"/>
        <v>PRG-1048044</v>
      </c>
      <c r="E21600" t="s">
        <v>123</v>
      </c>
      <c r="F21600" t="s">
        <v>4</v>
      </c>
      <c r="G21600" t="str">
        <f>""</f>
        <v/>
      </c>
    </row>
    <row r="21601" spans="1:7" x14ac:dyDescent="0.25">
      <c r="A21601" t="s">
        <v>8</v>
      </c>
      <c r="B21601" s="1" t="str">
        <f>"000343440 - CASA DIBRITACHI PROTEIN-ARAMAR"</f>
        <v>000343440 - CASA DIBRITACHI PROTEIN-ARAMAR</v>
      </c>
      <c r="C21601" t="s">
        <v>330</v>
      </c>
      <c r="D21601" s="1" t="str">
        <f t="shared" si="587"/>
        <v>PRG-1048044</v>
      </c>
      <c r="E21601" t="s">
        <v>123</v>
      </c>
      <c r="F21601" t="s">
        <v>4</v>
      </c>
      <c r="G21601" t="str">
        <f>""</f>
        <v/>
      </c>
    </row>
    <row r="21602" spans="1:7" x14ac:dyDescent="0.25">
      <c r="A21602" t="s">
        <v>8</v>
      </c>
      <c r="B21602" s="1" t="str">
        <f>"000346633 - CASA DIBERTACCHI-ARAMARK"</f>
        <v>000346633 - CASA DIBERTACCHI-ARAMARK</v>
      </c>
      <c r="C21602" t="s">
        <v>104</v>
      </c>
      <c r="D21602" s="1" t="str">
        <f t="shared" si="587"/>
        <v>PRG-1048044</v>
      </c>
      <c r="E21602" t="s">
        <v>123</v>
      </c>
      <c r="F21602" t="s">
        <v>4</v>
      </c>
      <c r="G21602" t="str">
        <f>""</f>
        <v/>
      </c>
    </row>
    <row r="21603" spans="1:7" x14ac:dyDescent="0.25">
      <c r="A21603" t="s">
        <v>8</v>
      </c>
      <c r="B21603" s="1" t="str">
        <f>"000347719 - CASA DIBERTACCHI-ARAMARK MAIN"</f>
        <v>000347719 - CASA DIBERTACCHI-ARAMARK MAIN</v>
      </c>
      <c r="C21603" t="s">
        <v>517</v>
      </c>
      <c r="D21603" s="1" t="str">
        <f t="shared" si="587"/>
        <v>PRG-1048044</v>
      </c>
      <c r="E21603" t="s">
        <v>123</v>
      </c>
      <c r="F21603" t="s">
        <v>4</v>
      </c>
      <c r="G21603" t="str">
        <f>""</f>
        <v/>
      </c>
    </row>
    <row r="21604" spans="1:7" x14ac:dyDescent="0.25">
      <c r="A21604" t="s">
        <v>8</v>
      </c>
      <c r="B21604" s="1" t="str">
        <f>"000352505 - CASA DIBRITACHI PROTEIN-ARAMAR"</f>
        <v>000352505 - CASA DIBRITACHI PROTEIN-ARAMAR</v>
      </c>
      <c r="C21604" t="s">
        <v>330</v>
      </c>
      <c r="D21604" s="1" t="str">
        <f t="shared" si="587"/>
        <v>PRG-1048044</v>
      </c>
      <c r="E21604" t="s">
        <v>123</v>
      </c>
      <c r="F21604" t="s">
        <v>4</v>
      </c>
      <c r="G21604" t="str">
        <f>""</f>
        <v/>
      </c>
    </row>
    <row r="21605" spans="1:7" x14ac:dyDescent="0.25">
      <c r="A21605" t="s">
        <v>8</v>
      </c>
      <c r="B21605" s="1" t="str">
        <f>"000353265 - CASA DIBERTACCHI-ARAMARK"</f>
        <v>000353265 - CASA DIBERTACCHI-ARAMARK</v>
      </c>
      <c r="C21605" t="s">
        <v>104</v>
      </c>
      <c r="D21605" s="1" t="str">
        <f t="shared" si="587"/>
        <v>PRG-1048044</v>
      </c>
      <c r="E21605" t="s">
        <v>123</v>
      </c>
      <c r="F21605" t="s">
        <v>4</v>
      </c>
      <c r="G21605" t="str">
        <f>""</f>
        <v/>
      </c>
    </row>
    <row r="21606" spans="1:7" x14ac:dyDescent="0.25">
      <c r="A21606" t="s">
        <v>8</v>
      </c>
      <c r="B21606" s="1" t="str">
        <f>"000354207 - CASA DIBERTACCHI-ARAMARK MAIN"</f>
        <v>000354207 - CASA DIBERTACCHI-ARAMARK MAIN</v>
      </c>
      <c r="C21606" t="s">
        <v>517</v>
      </c>
      <c r="D21606" s="1" t="str">
        <f t="shared" si="587"/>
        <v>PRG-1048044</v>
      </c>
      <c r="E21606" t="s">
        <v>123</v>
      </c>
      <c r="F21606" t="s">
        <v>4</v>
      </c>
      <c r="G21606" t="str">
        <f>""</f>
        <v/>
      </c>
    </row>
    <row r="21607" spans="1:7" x14ac:dyDescent="0.25">
      <c r="A21607" t="s">
        <v>8</v>
      </c>
      <c r="B21607" s="1" t="str">
        <f>"000354208 - RICH'S CEDAR FAIR"</f>
        <v>000354208 - RICH'S CEDAR FAIR</v>
      </c>
      <c r="C21607" t="s">
        <v>3543</v>
      </c>
      <c r="D21607" s="1" t="str">
        <f t="shared" si="587"/>
        <v>PRG-1048044</v>
      </c>
      <c r="E21607" t="s">
        <v>123</v>
      </c>
      <c r="F21607" t="s">
        <v>4</v>
      </c>
      <c r="G21607" t="str">
        <f>""</f>
        <v/>
      </c>
    </row>
    <row r="21608" spans="1:7" x14ac:dyDescent="0.25">
      <c r="A21608" t="s">
        <v>8</v>
      </c>
      <c r="B21608" s="1" t="str">
        <f>"000355360 - CASA DIBERTACCHI-ARAMARK"</f>
        <v>000355360 - CASA DIBERTACCHI-ARAMARK</v>
      </c>
      <c r="C21608" t="s">
        <v>104</v>
      </c>
      <c r="D21608" s="1" t="str">
        <f t="shared" si="587"/>
        <v>PRG-1048044</v>
      </c>
      <c r="E21608" t="s">
        <v>123</v>
      </c>
      <c r="F21608" t="s">
        <v>4</v>
      </c>
      <c r="G21608" t="str">
        <f>""</f>
        <v/>
      </c>
    </row>
    <row r="21609" spans="1:7" x14ac:dyDescent="0.25">
      <c r="A21609" t="s">
        <v>8</v>
      </c>
      <c r="B21609" s="1" t="str">
        <f>"000357609 - CASA DIBERTACCHI-ARAMARK MAIN"</f>
        <v>000357609 - CASA DIBERTACCHI-ARAMARK MAIN</v>
      </c>
      <c r="C21609" t="s">
        <v>517</v>
      </c>
      <c r="D21609" s="1" t="str">
        <f t="shared" si="587"/>
        <v>PRG-1048044</v>
      </c>
      <c r="E21609" t="s">
        <v>123</v>
      </c>
      <c r="F21609" t="s">
        <v>4</v>
      </c>
      <c r="G21609" t="str">
        <f>""</f>
        <v/>
      </c>
    </row>
    <row r="21610" spans="1:7" x14ac:dyDescent="0.25">
      <c r="A21610" t="s">
        <v>8</v>
      </c>
      <c r="B21610" s="1" t="str">
        <f>"000359883 - CASA DIBERTACCHI-ARAMARK MAIN"</f>
        <v>000359883 - CASA DIBERTACCHI-ARAMARK MAIN</v>
      </c>
      <c r="C21610" t="s">
        <v>517</v>
      </c>
      <c r="D21610" s="1" t="str">
        <f t="shared" si="587"/>
        <v>PRG-1048044</v>
      </c>
      <c r="E21610" t="s">
        <v>123</v>
      </c>
      <c r="F21610" t="s">
        <v>4</v>
      </c>
      <c r="G21610" t="str">
        <f>""</f>
        <v/>
      </c>
    </row>
    <row r="21611" spans="1:7" x14ac:dyDescent="0.25">
      <c r="A21611" t="s">
        <v>8</v>
      </c>
      <c r="B21611" s="1" t="str">
        <f>"000360238 - CASA DIBERTACCHI-ARAMARK"</f>
        <v>000360238 - CASA DIBERTACCHI-ARAMARK</v>
      </c>
      <c r="C21611" t="s">
        <v>104</v>
      </c>
      <c r="D21611" s="1" t="str">
        <f t="shared" si="587"/>
        <v>PRG-1048044</v>
      </c>
      <c r="E21611" t="s">
        <v>123</v>
      </c>
      <c r="F21611" t="s">
        <v>4</v>
      </c>
      <c r="G21611" t="str">
        <f>""</f>
        <v/>
      </c>
    </row>
    <row r="21612" spans="1:7" x14ac:dyDescent="0.25">
      <c r="A21612" t="s">
        <v>8</v>
      </c>
      <c r="B21612" s="1" t="str">
        <f>"000361365 - CASA DIBRITACHI PROTEIN-ARMARK"</f>
        <v>000361365 - CASA DIBRITACHI PROTEIN-ARMARK</v>
      </c>
      <c r="C21612" t="s">
        <v>246</v>
      </c>
      <c r="D21612" s="1" t="str">
        <f t="shared" si="587"/>
        <v>PRG-1048044</v>
      </c>
      <c r="E21612" t="s">
        <v>123</v>
      </c>
      <c r="F21612" t="s">
        <v>4</v>
      </c>
      <c r="G21612" t="str">
        <f>""</f>
        <v/>
      </c>
    </row>
    <row r="21613" spans="1:7" x14ac:dyDescent="0.25">
      <c r="A21613" t="s">
        <v>8</v>
      </c>
      <c r="B21613" s="1" t="str">
        <f>"000362103 - CASA DIBRITACHI PROTEIN-ARAMAR"</f>
        <v>000362103 - CASA DIBRITACHI PROTEIN-ARAMAR</v>
      </c>
      <c r="C21613" t="s">
        <v>330</v>
      </c>
      <c r="D21613" s="1" t="str">
        <f t="shared" si="587"/>
        <v>PRG-1048044</v>
      </c>
      <c r="E21613" t="s">
        <v>123</v>
      </c>
      <c r="F21613" t="s">
        <v>4</v>
      </c>
      <c r="G21613" t="str">
        <f>""</f>
        <v/>
      </c>
    </row>
    <row r="21614" spans="1:7" x14ac:dyDescent="0.25">
      <c r="A21614" t="s">
        <v>8</v>
      </c>
      <c r="B21614" s="1" t="str">
        <f>"000363241 - CASA DIBERTACCHI-ARAMARK"</f>
        <v>000363241 - CASA DIBERTACCHI-ARAMARK</v>
      </c>
      <c r="C21614" t="s">
        <v>104</v>
      </c>
      <c r="D21614" s="1" t="str">
        <f t="shared" si="587"/>
        <v>PRG-1048044</v>
      </c>
      <c r="E21614" t="s">
        <v>123</v>
      </c>
      <c r="F21614" t="s">
        <v>4</v>
      </c>
      <c r="G21614" t="str">
        <f>""</f>
        <v/>
      </c>
    </row>
    <row r="21615" spans="1:7" x14ac:dyDescent="0.25">
      <c r="A21615" t="s">
        <v>8</v>
      </c>
      <c r="B21615" s="1" t="str">
        <f>"000368666 - CASA DIBRITACHI PROTEIN-ARAMAR"</f>
        <v>000368666 - CASA DIBRITACHI PROTEIN-ARAMAR</v>
      </c>
      <c r="C21615" t="s">
        <v>330</v>
      </c>
      <c r="D21615" s="1" t="str">
        <f t="shared" si="587"/>
        <v>PRG-1048044</v>
      </c>
      <c r="E21615" t="s">
        <v>123</v>
      </c>
      <c r="F21615" t="s">
        <v>4</v>
      </c>
      <c r="G21615" t="str">
        <f>""</f>
        <v/>
      </c>
    </row>
    <row r="21616" spans="1:7" x14ac:dyDescent="0.25">
      <c r="A21616" t="s">
        <v>8</v>
      </c>
      <c r="B21616" s="1" t="str">
        <f>"000371121 - CASA DIBRITACHI PROTEIN-ARAMAR"</f>
        <v>000371121 - CASA DIBRITACHI PROTEIN-ARAMAR</v>
      </c>
      <c r="C21616" t="s">
        <v>330</v>
      </c>
      <c r="D21616" s="1" t="str">
        <f t="shared" si="587"/>
        <v>PRG-1048044</v>
      </c>
      <c r="E21616" t="s">
        <v>123</v>
      </c>
      <c r="F21616" t="s">
        <v>4</v>
      </c>
      <c r="G21616" t="str">
        <f>""</f>
        <v/>
      </c>
    </row>
    <row r="21617" spans="1:7" x14ac:dyDescent="0.25">
      <c r="A21617" t="s">
        <v>8</v>
      </c>
      <c r="B21617" s="1" t="str">
        <f>"000371652 - CASA DIBERTACCHI-ARAMARK MAIN"</f>
        <v>000371652 - CASA DIBERTACCHI-ARAMARK MAIN</v>
      </c>
      <c r="C21617" t="s">
        <v>517</v>
      </c>
      <c r="D21617" s="1" t="str">
        <f t="shared" si="587"/>
        <v>PRG-1048044</v>
      </c>
      <c r="E21617" t="s">
        <v>123</v>
      </c>
      <c r="F21617" t="s">
        <v>4</v>
      </c>
      <c r="G21617" t="str">
        <f>""</f>
        <v/>
      </c>
    </row>
    <row r="21618" spans="1:7" x14ac:dyDescent="0.25">
      <c r="A21618" t="s">
        <v>8</v>
      </c>
      <c r="B21618" s="1" t="str">
        <f>"000372815 - CASA DIBRITACHI PROTEIN-ARAMAR"</f>
        <v>000372815 - CASA DIBRITACHI PROTEIN-ARAMAR</v>
      </c>
      <c r="C21618" t="s">
        <v>330</v>
      </c>
      <c r="D21618" s="1" t="str">
        <f t="shared" si="587"/>
        <v>PRG-1048044</v>
      </c>
      <c r="E21618" t="s">
        <v>123</v>
      </c>
      <c r="F21618" t="s">
        <v>4</v>
      </c>
      <c r="G21618" t="str">
        <f>""</f>
        <v/>
      </c>
    </row>
    <row r="21619" spans="1:7" x14ac:dyDescent="0.25">
      <c r="A21619" t="s">
        <v>8</v>
      </c>
      <c r="B21619" s="1" t="str">
        <f>"000376072 - CASA DIBRITACHI PROTEIN-ARAMAR"</f>
        <v>000376072 - CASA DIBRITACHI PROTEIN-ARAMAR</v>
      </c>
      <c r="C21619" t="s">
        <v>330</v>
      </c>
      <c r="D21619" s="1" t="str">
        <f t="shared" si="587"/>
        <v>PRG-1048044</v>
      </c>
      <c r="E21619" t="s">
        <v>123</v>
      </c>
      <c r="F21619" t="s">
        <v>4</v>
      </c>
      <c r="G21619" t="str">
        <f>""</f>
        <v/>
      </c>
    </row>
    <row r="21620" spans="1:7" x14ac:dyDescent="0.25">
      <c r="A21620" t="s">
        <v>8</v>
      </c>
      <c r="B21620" s="1" t="str">
        <f>"000379661 - CASA DIBERTACCHI-ARAMARK"</f>
        <v>000379661 - CASA DIBERTACCHI-ARAMARK</v>
      </c>
      <c r="C21620" t="s">
        <v>104</v>
      </c>
      <c r="D21620" s="1" t="str">
        <f t="shared" si="587"/>
        <v>PRG-1048044</v>
      </c>
      <c r="E21620" t="s">
        <v>123</v>
      </c>
      <c r="F21620" t="s">
        <v>4</v>
      </c>
      <c r="G21620" t="str">
        <f>""</f>
        <v/>
      </c>
    </row>
    <row r="21621" spans="1:7" x14ac:dyDescent="0.25">
      <c r="A21621" t="s">
        <v>8</v>
      </c>
      <c r="B21621" s="1" t="str">
        <f>"000384198 - CASA DIBRITACHI PROTEIN-ARAMAR"</f>
        <v>000384198 - CASA DIBRITACHI PROTEIN-ARAMAR</v>
      </c>
      <c r="C21621" t="s">
        <v>330</v>
      </c>
      <c r="D21621" s="1" t="str">
        <f t="shared" si="587"/>
        <v>PRG-1048044</v>
      </c>
      <c r="E21621" t="s">
        <v>123</v>
      </c>
      <c r="F21621" t="s">
        <v>4</v>
      </c>
      <c r="G21621" t="str">
        <f>""</f>
        <v/>
      </c>
    </row>
    <row r="21622" spans="1:7" x14ac:dyDescent="0.25">
      <c r="A21622" t="s">
        <v>8</v>
      </c>
      <c r="B21622" s="1" t="str">
        <f>"000390269 - CASA DIBERTACCHI-ARAMARK MAIN"</f>
        <v>000390269 - CASA DIBERTACCHI-ARAMARK MAIN</v>
      </c>
      <c r="C21622" t="s">
        <v>517</v>
      </c>
      <c r="D21622" s="1" t="str">
        <f t="shared" si="587"/>
        <v>PRG-1048044</v>
      </c>
      <c r="E21622" t="s">
        <v>123</v>
      </c>
      <c r="F21622" t="s">
        <v>4</v>
      </c>
      <c r="G21622" t="str">
        <f>""</f>
        <v/>
      </c>
    </row>
    <row r="21623" spans="1:7" x14ac:dyDescent="0.25">
      <c r="A21623" t="s">
        <v>8</v>
      </c>
      <c r="B21623" s="1" t="str">
        <f>"000390489 - CASA DIBERTACCHI-ARAMARK MAIN"</f>
        <v>000390489 - CASA DIBERTACCHI-ARAMARK MAIN</v>
      </c>
      <c r="C21623" t="s">
        <v>517</v>
      </c>
      <c r="D21623" s="1" t="str">
        <f t="shared" si="587"/>
        <v>PRG-1048044</v>
      </c>
      <c r="E21623" t="s">
        <v>123</v>
      </c>
      <c r="F21623" t="s">
        <v>4</v>
      </c>
      <c r="G21623" t="str">
        <f>""</f>
        <v/>
      </c>
    </row>
    <row r="21624" spans="1:7" x14ac:dyDescent="0.25">
      <c r="A21624" t="s">
        <v>8</v>
      </c>
      <c r="B21624" s="1" t="str">
        <f>"000391850 - CASA DIBERTACCHI-ARAMARK MAIN"</f>
        <v>000391850 - CASA DIBERTACCHI-ARAMARK MAIN</v>
      </c>
      <c r="C21624" t="s">
        <v>517</v>
      </c>
      <c r="D21624" s="1" t="str">
        <f t="shared" si="587"/>
        <v>PRG-1048044</v>
      </c>
      <c r="E21624" t="s">
        <v>123</v>
      </c>
      <c r="F21624" t="s">
        <v>4</v>
      </c>
      <c r="G21624" t="str">
        <f>""</f>
        <v/>
      </c>
    </row>
    <row r="21625" spans="1:7" x14ac:dyDescent="0.25">
      <c r="A21625" t="s">
        <v>8</v>
      </c>
      <c r="B21625" s="1" t="str">
        <f>"000398146 - CASA DIBERTACCHI-ARAMARK"</f>
        <v>000398146 - CASA DIBERTACCHI-ARAMARK</v>
      </c>
      <c r="C21625" t="s">
        <v>104</v>
      </c>
      <c r="D21625" s="1" t="str">
        <f t="shared" si="587"/>
        <v>PRG-1048044</v>
      </c>
      <c r="E21625" t="s">
        <v>123</v>
      </c>
      <c r="F21625" t="s">
        <v>4</v>
      </c>
      <c r="G21625" t="str">
        <f>""</f>
        <v/>
      </c>
    </row>
    <row r="21626" spans="1:7" x14ac:dyDescent="0.25">
      <c r="A21626" t="s">
        <v>8</v>
      </c>
      <c r="B21626" s="1" t="str">
        <f>"000398215 - CASA DIBERTACCHI-ARAMARK MAIN"</f>
        <v>000398215 - CASA DIBERTACCHI-ARAMARK MAIN</v>
      </c>
      <c r="C21626" t="s">
        <v>517</v>
      </c>
      <c r="D21626" s="1" t="str">
        <f t="shared" si="587"/>
        <v>PRG-1048044</v>
      </c>
      <c r="E21626" t="s">
        <v>123</v>
      </c>
      <c r="F21626" t="s">
        <v>4</v>
      </c>
      <c r="G21626" t="str">
        <f>""</f>
        <v/>
      </c>
    </row>
    <row r="21627" spans="1:7" x14ac:dyDescent="0.25">
      <c r="A21627" t="s">
        <v>8</v>
      </c>
      <c r="B21627" s="1" t="str">
        <f>"000398216 - CASA DEIBERTACCHI-SSS ARAMARK"</f>
        <v>000398216 - CASA DEIBERTACCHI-SSS ARAMARK</v>
      </c>
      <c r="C21627" t="s">
        <v>465</v>
      </c>
      <c r="D21627" s="1" t="str">
        <f t="shared" si="587"/>
        <v>PRG-1048044</v>
      </c>
      <c r="E21627" t="s">
        <v>123</v>
      </c>
      <c r="F21627" t="s">
        <v>4</v>
      </c>
      <c r="G21627" t="str">
        <f>""</f>
        <v/>
      </c>
    </row>
    <row r="21628" spans="1:7" x14ac:dyDescent="0.25">
      <c r="A21628" t="s">
        <v>8</v>
      </c>
      <c r="B21628" s="1" t="str">
        <f>"000398709 - CASA DIBERTACCHI-ARAMARK"</f>
        <v>000398709 - CASA DIBERTACCHI-ARAMARK</v>
      </c>
      <c r="C21628" t="s">
        <v>104</v>
      </c>
      <c r="D21628" s="1" t="str">
        <f t="shared" si="587"/>
        <v>PRG-1048044</v>
      </c>
      <c r="E21628" t="s">
        <v>123</v>
      </c>
      <c r="F21628" t="s">
        <v>4</v>
      </c>
      <c r="G21628" t="str">
        <f>""</f>
        <v/>
      </c>
    </row>
    <row r="21629" spans="1:7" x14ac:dyDescent="0.25">
      <c r="A21629" t="s">
        <v>8</v>
      </c>
      <c r="B21629" s="1" t="str">
        <f>"000401068 - CASA DIBERTACCHI-ARAMARK MAIN"</f>
        <v>000401068 - CASA DIBERTACCHI-ARAMARK MAIN</v>
      </c>
      <c r="C21629" t="s">
        <v>517</v>
      </c>
      <c r="D21629" s="1" t="str">
        <f t="shared" si="587"/>
        <v>PRG-1048044</v>
      </c>
      <c r="E21629" t="s">
        <v>123</v>
      </c>
      <c r="F21629" t="s">
        <v>4</v>
      </c>
      <c r="G21629" t="str">
        <f>""</f>
        <v/>
      </c>
    </row>
    <row r="21630" spans="1:7" x14ac:dyDescent="0.25">
      <c r="A21630" t="s">
        <v>8</v>
      </c>
      <c r="B21630" s="1" t="str">
        <f>"000401856 - CASA DIBERTACCHI-ARAMARK"</f>
        <v>000401856 - CASA DIBERTACCHI-ARAMARK</v>
      </c>
      <c r="C21630" t="s">
        <v>104</v>
      </c>
      <c r="D21630" s="1" t="str">
        <f t="shared" si="587"/>
        <v>PRG-1048044</v>
      </c>
      <c r="E21630" t="s">
        <v>123</v>
      </c>
      <c r="F21630" t="s">
        <v>4</v>
      </c>
      <c r="G21630" t="str">
        <f>""</f>
        <v/>
      </c>
    </row>
    <row r="21631" spans="1:7" x14ac:dyDescent="0.25">
      <c r="A21631" t="s">
        <v>8</v>
      </c>
      <c r="B21631" s="1" t="str">
        <f>"000403127 - CASA DIBERTACCHI-ARAMARK MAIN"</f>
        <v>000403127 - CASA DIBERTACCHI-ARAMARK MAIN</v>
      </c>
      <c r="C21631" t="s">
        <v>517</v>
      </c>
      <c r="D21631" s="1" t="str">
        <f t="shared" ref="D21631:D21644" si="588">"PRG-1048044"</f>
        <v>PRG-1048044</v>
      </c>
      <c r="E21631" t="s">
        <v>123</v>
      </c>
      <c r="F21631" t="s">
        <v>4</v>
      </c>
      <c r="G21631" t="str">
        <f>""</f>
        <v/>
      </c>
    </row>
    <row r="21632" spans="1:7" x14ac:dyDescent="0.25">
      <c r="A21632" t="s">
        <v>8</v>
      </c>
      <c r="B21632" s="1" t="str">
        <f>"000404707 - CASA DIBERTACCHI-ARAMARK MAIN"</f>
        <v>000404707 - CASA DIBERTACCHI-ARAMARK MAIN</v>
      </c>
      <c r="C21632" t="s">
        <v>517</v>
      </c>
      <c r="D21632" s="1" t="str">
        <f t="shared" si="588"/>
        <v>PRG-1048044</v>
      </c>
      <c r="E21632" t="s">
        <v>123</v>
      </c>
      <c r="F21632" t="s">
        <v>4</v>
      </c>
      <c r="G21632" t="str">
        <f>""</f>
        <v/>
      </c>
    </row>
    <row r="21633" spans="1:7" x14ac:dyDescent="0.25">
      <c r="A21633" t="s">
        <v>8</v>
      </c>
      <c r="B21633" s="1" t="str">
        <f>"000405442 - CASA DIBERTACCHI-ARAMARK MAIN"</f>
        <v>000405442 - CASA DIBERTACCHI-ARAMARK MAIN</v>
      </c>
      <c r="C21633" t="s">
        <v>517</v>
      </c>
      <c r="D21633" s="1" t="str">
        <f t="shared" si="588"/>
        <v>PRG-1048044</v>
      </c>
      <c r="E21633" t="s">
        <v>123</v>
      </c>
      <c r="F21633" t="s">
        <v>4</v>
      </c>
      <c r="G21633" t="str">
        <f>""</f>
        <v/>
      </c>
    </row>
    <row r="21634" spans="1:7" x14ac:dyDescent="0.25">
      <c r="A21634" t="s">
        <v>8</v>
      </c>
      <c r="B21634" s="1" t="str">
        <f>"000407038 - CASA DIBERTACCHI-ARAMARK"</f>
        <v>000407038 - CASA DIBERTACCHI-ARAMARK</v>
      </c>
      <c r="C21634" t="s">
        <v>104</v>
      </c>
      <c r="D21634" s="1" t="str">
        <f t="shared" si="588"/>
        <v>PRG-1048044</v>
      </c>
      <c r="E21634" t="s">
        <v>123</v>
      </c>
      <c r="F21634" t="s">
        <v>4</v>
      </c>
      <c r="G21634" t="str">
        <f>""</f>
        <v/>
      </c>
    </row>
    <row r="21635" spans="1:7" x14ac:dyDescent="0.25">
      <c r="A21635" t="s">
        <v>8</v>
      </c>
      <c r="B21635" s="1" t="str">
        <f>"000410418 - CASA DIBERTACCHI-ARAMARK"</f>
        <v>000410418 - CASA DIBERTACCHI-ARAMARK</v>
      </c>
      <c r="C21635" t="s">
        <v>104</v>
      </c>
      <c r="D21635" s="1" t="str">
        <f t="shared" si="588"/>
        <v>PRG-1048044</v>
      </c>
      <c r="E21635" t="s">
        <v>123</v>
      </c>
      <c r="F21635" t="s">
        <v>4</v>
      </c>
      <c r="G21635" t="str">
        <f>""</f>
        <v/>
      </c>
    </row>
    <row r="21636" spans="1:7" x14ac:dyDescent="0.25">
      <c r="A21636" t="s">
        <v>8</v>
      </c>
      <c r="B21636" s="1" t="str">
        <f>"000410662 - CASA DIBERTACCHI-ARAMARK"</f>
        <v>000410662 - CASA DIBERTACCHI-ARAMARK</v>
      </c>
      <c r="C21636" t="s">
        <v>104</v>
      </c>
      <c r="D21636" s="1" t="str">
        <f t="shared" si="588"/>
        <v>PRG-1048044</v>
      </c>
      <c r="E21636" t="s">
        <v>123</v>
      </c>
      <c r="F21636" t="s">
        <v>4</v>
      </c>
      <c r="G21636" t="str">
        <f>""</f>
        <v/>
      </c>
    </row>
    <row r="21637" spans="1:7" x14ac:dyDescent="0.25">
      <c r="A21637" t="s">
        <v>8</v>
      </c>
      <c r="B21637" s="1" t="str">
        <f>"000412455 - CASA DIBERTACCHI-ARAMARK"</f>
        <v>000412455 - CASA DIBERTACCHI-ARAMARK</v>
      </c>
      <c r="C21637" t="s">
        <v>104</v>
      </c>
      <c r="D21637" s="1" t="str">
        <f t="shared" si="588"/>
        <v>PRG-1048044</v>
      </c>
      <c r="E21637" t="s">
        <v>123</v>
      </c>
      <c r="F21637" t="s">
        <v>4</v>
      </c>
      <c r="G21637" t="str">
        <f>""</f>
        <v/>
      </c>
    </row>
    <row r="21638" spans="1:7" x14ac:dyDescent="0.25">
      <c r="A21638" t="s">
        <v>8</v>
      </c>
      <c r="B21638" s="1" t="str">
        <f>"000414233 - CASA DIBERTACCHI-ARAMARK"</f>
        <v>000414233 - CASA DIBERTACCHI-ARAMARK</v>
      </c>
      <c r="C21638" t="s">
        <v>104</v>
      </c>
      <c r="D21638" s="1" t="str">
        <f t="shared" si="588"/>
        <v>PRG-1048044</v>
      </c>
      <c r="E21638" t="s">
        <v>123</v>
      </c>
      <c r="F21638" t="s">
        <v>4</v>
      </c>
      <c r="G21638" t="str">
        <f>""</f>
        <v/>
      </c>
    </row>
    <row r="21639" spans="1:7" x14ac:dyDescent="0.25">
      <c r="A21639" t="s">
        <v>8</v>
      </c>
      <c r="B21639" s="1" t="str">
        <f>"000415559 - CASA DIBERTACCHI-ARAMARK MAIN"</f>
        <v>000415559 - CASA DIBERTACCHI-ARAMARK MAIN</v>
      </c>
      <c r="C21639" t="s">
        <v>517</v>
      </c>
      <c r="D21639" s="1" t="str">
        <f t="shared" si="588"/>
        <v>PRG-1048044</v>
      </c>
      <c r="E21639" t="s">
        <v>123</v>
      </c>
      <c r="F21639" t="s">
        <v>4</v>
      </c>
      <c r="G21639" t="str">
        <f>""</f>
        <v/>
      </c>
    </row>
    <row r="21640" spans="1:7" x14ac:dyDescent="0.25">
      <c r="A21640" t="s">
        <v>8</v>
      </c>
      <c r="B21640" s="1" t="str">
        <f>"000416250 - CASA DIBERTACCHI-ARAMARK MAIN"</f>
        <v>000416250 - CASA DIBERTACCHI-ARAMARK MAIN</v>
      </c>
      <c r="C21640" t="s">
        <v>517</v>
      </c>
      <c r="D21640" s="1" t="str">
        <f t="shared" si="588"/>
        <v>PRG-1048044</v>
      </c>
      <c r="E21640" t="s">
        <v>123</v>
      </c>
      <c r="F21640" t="s">
        <v>4</v>
      </c>
      <c r="G21640" t="str">
        <f>""</f>
        <v/>
      </c>
    </row>
    <row r="21641" spans="1:7" x14ac:dyDescent="0.25">
      <c r="A21641" t="s">
        <v>8</v>
      </c>
      <c r="B21641" s="1" t="str">
        <f>"000422863 - CASA DIBERTACCHI-ARAMARK MAIN"</f>
        <v>000422863 - CASA DIBERTACCHI-ARAMARK MAIN</v>
      </c>
      <c r="C21641" t="s">
        <v>517</v>
      </c>
      <c r="D21641" s="1" t="str">
        <f t="shared" si="588"/>
        <v>PRG-1048044</v>
      </c>
      <c r="E21641" t="s">
        <v>123</v>
      </c>
      <c r="F21641" t="s">
        <v>4</v>
      </c>
      <c r="G21641" t="str">
        <f>""</f>
        <v/>
      </c>
    </row>
    <row r="21642" spans="1:7" x14ac:dyDescent="0.25">
      <c r="A21642" t="s">
        <v>8</v>
      </c>
      <c r="B21642" s="1" t="str">
        <f>"000424791 - CASA DIBERTACCHI-ARAMARK"</f>
        <v>000424791 - CASA DIBERTACCHI-ARAMARK</v>
      </c>
      <c r="C21642" t="s">
        <v>104</v>
      </c>
      <c r="D21642" s="1" t="str">
        <f t="shared" si="588"/>
        <v>PRG-1048044</v>
      </c>
      <c r="E21642" t="s">
        <v>123</v>
      </c>
      <c r="F21642" t="s">
        <v>4</v>
      </c>
      <c r="G21642" t="str">
        <f>""</f>
        <v/>
      </c>
    </row>
    <row r="21643" spans="1:7" x14ac:dyDescent="0.25">
      <c r="A21643" t="s">
        <v>8</v>
      </c>
      <c r="B21643" s="1" t="str">
        <f>"000425078 - CASA DIBERTACCHI-ARAMARK"</f>
        <v>000425078 - CASA DIBERTACCHI-ARAMARK</v>
      </c>
      <c r="C21643" t="s">
        <v>104</v>
      </c>
      <c r="D21643" s="1" t="str">
        <f t="shared" si="588"/>
        <v>PRG-1048044</v>
      </c>
      <c r="E21643" t="s">
        <v>123</v>
      </c>
      <c r="F21643" t="s">
        <v>4</v>
      </c>
      <c r="G21643" t="str">
        <f>""</f>
        <v/>
      </c>
    </row>
    <row r="21644" spans="1:7" x14ac:dyDescent="0.25">
      <c r="A21644" t="s">
        <v>8</v>
      </c>
      <c r="B21644" s="1" t="str">
        <f>"000430502 - CASA DIBERTACCHI-ARAMARK"</f>
        <v>000430502 - CASA DIBERTACCHI-ARAMARK</v>
      </c>
      <c r="C21644" t="s">
        <v>104</v>
      </c>
      <c r="D21644" s="1" t="str">
        <f t="shared" si="588"/>
        <v>PRG-1048044</v>
      </c>
      <c r="E21644" t="s">
        <v>123</v>
      </c>
      <c r="F21644" t="s">
        <v>4</v>
      </c>
      <c r="G21644" t="str">
        <f>""</f>
        <v/>
      </c>
    </row>
    <row r="21645" spans="1:7" x14ac:dyDescent="0.25">
      <c r="A21645" t="s">
        <v>8</v>
      </c>
      <c r="B21645" s="1" t="str">
        <f>"S1Z00Y50"</f>
        <v>S1Z00Y50</v>
      </c>
      <c r="C21645" t="s">
        <v>5329</v>
      </c>
      <c r="D21645" s="1" t="str">
        <f>"PRG-1048069"</f>
        <v>PRG-1048069</v>
      </c>
      <c r="E21645" t="s">
        <v>5330</v>
      </c>
      <c r="F21645" t="s">
        <v>5</v>
      </c>
      <c r="G21645" t="str">
        <f>""</f>
        <v/>
      </c>
    </row>
    <row r="21646" spans="1:7" x14ac:dyDescent="0.25">
      <c r="A21646" t="s">
        <v>8</v>
      </c>
      <c r="B21646" s="1" t="str">
        <f>"000036283 - RICH FOODS-STAR BUFFET"</f>
        <v>000036283 - RICH FOODS-STAR BUFFET</v>
      </c>
      <c r="C21646" t="s">
        <v>531</v>
      </c>
      <c r="D21646" s="1" t="str">
        <f t="shared" ref="D21646:D21653" si="589">"PRG-1048076"</f>
        <v>PRG-1048076</v>
      </c>
      <c r="E21646" t="s">
        <v>532</v>
      </c>
      <c r="F21646" t="s">
        <v>4</v>
      </c>
      <c r="G21646" t="str">
        <f>""</f>
        <v/>
      </c>
    </row>
    <row r="21647" spans="1:7" x14ac:dyDescent="0.25">
      <c r="A21647" t="s">
        <v>8</v>
      </c>
      <c r="B21647" s="1" t="str">
        <f>"000073044 - RICH FOODS-STAR BUFFET"</f>
        <v>000073044 - RICH FOODS-STAR BUFFET</v>
      </c>
      <c r="C21647" t="s">
        <v>531</v>
      </c>
      <c r="D21647" s="1" t="str">
        <f t="shared" si="589"/>
        <v>PRG-1048076</v>
      </c>
      <c r="E21647" t="s">
        <v>532</v>
      </c>
      <c r="F21647" t="s">
        <v>4</v>
      </c>
      <c r="G21647" t="str">
        <f>""</f>
        <v/>
      </c>
    </row>
    <row r="21648" spans="1:7" x14ac:dyDescent="0.25">
      <c r="A21648" t="s">
        <v>8</v>
      </c>
      <c r="B21648" s="1" t="str">
        <f>"000073676 - RICH FOODS-STAR BUFFET"</f>
        <v>000073676 - RICH FOODS-STAR BUFFET</v>
      </c>
      <c r="C21648" t="s">
        <v>531</v>
      </c>
      <c r="D21648" s="1" t="str">
        <f t="shared" si="589"/>
        <v>PRG-1048076</v>
      </c>
      <c r="E21648" t="s">
        <v>532</v>
      </c>
      <c r="F21648" t="s">
        <v>4</v>
      </c>
      <c r="G21648" t="str">
        <f>""</f>
        <v/>
      </c>
    </row>
    <row r="21649" spans="1:7" x14ac:dyDescent="0.25">
      <c r="A21649" t="s">
        <v>8</v>
      </c>
      <c r="B21649" s="1" t="str">
        <f>"000314888 - RICH FOODS-STAR BUFFET"</f>
        <v>000314888 - RICH FOODS-STAR BUFFET</v>
      </c>
      <c r="C21649" t="s">
        <v>531</v>
      </c>
      <c r="D21649" s="1" t="str">
        <f t="shared" si="589"/>
        <v>PRG-1048076</v>
      </c>
      <c r="E21649" t="s">
        <v>532</v>
      </c>
      <c r="F21649" t="s">
        <v>4</v>
      </c>
      <c r="G21649" t="str">
        <f>""</f>
        <v/>
      </c>
    </row>
    <row r="21650" spans="1:7" x14ac:dyDescent="0.25">
      <c r="A21650" t="s">
        <v>8</v>
      </c>
      <c r="B21650" s="1" t="str">
        <f>"000315347 - RICH FOODS-STAR BUFFET"</f>
        <v>000315347 - RICH FOODS-STAR BUFFET</v>
      </c>
      <c r="C21650" t="s">
        <v>531</v>
      </c>
      <c r="D21650" s="1" t="str">
        <f t="shared" si="589"/>
        <v>PRG-1048076</v>
      </c>
      <c r="E21650" t="s">
        <v>532</v>
      </c>
      <c r="F21650" t="s">
        <v>4</v>
      </c>
      <c r="G21650" t="str">
        <f>""</f>
        <v/>
      </c>
    </row>
    <row r="21651" spans="1:7" x14ac:dyDescent="0.25">
      <c r="A21651" t="s">
        <v>8</v>
      </c>
      <c r="B21651" s="1" t="str">
        <f>"000364039 - RICH FOODS-STAR BUFFET"</f>
        <v>000364039 - RICH FOODS-STAR BUFFET</v>
      </c>
      <c r="C21651" t="s">
        <v>531</v>
      </c>
      <c r="D21651" s="1" t="str">
        <f t="shared" si="589"/>
        <v>PRG-1048076</v>
      </c>
      <c r="E21651" t="s">
        <v>532</v>
      </c>
      <c r="F21651" t="s">
        <v>4</v>
      </c>
      <c r="G21651" t="str">
        <f>""</f>
        <v/>
      </c>
    </row>
    <row r="21652" spans="1:7" x14ac:dyDescent="0.25">
      <c r="A21652" t="s">
        <v>8</v>
      </c>
      <c r="B21652" s="1" t="str">
        <f>"2000329121 - RICH FOODS-STAR BUFFET"</f>
        <v>2000329121 - RICH FOODS-STAR BUFFET</v>
      </c>
      <c r="C21652" t="s">
        <v>531</v>
      </c>
      <c r="D21652" s="1" t="str">
        <f t="shared" si="589"/>
        <v>PRG-1048076</v>
      </c>
      <c r="E21652" t="s">
        <v>532</v>
      </c>
      <c r="F21652" t="s">
        <v>4</v>
      </c>
      <c r="G21652" t="str">
        <f>""</f>
        <v/>
      </c>
    </row>
    <row r="21653" spans="1:7" x14ac:dyDescent="0.25">
      <c r="A21653" t="s">
        <v>8</v>
      </c>
      <c r="B21653" s="1" t="str">
        <f>"4118B248"</f>
        <v>4118B248</v>
      </c>
      <c r="C21653" t="s">
        <v>4979</v>
      </c>
      <c r="D21653" s="1" t="str">
        <f t="shared" si="589"/>
        <v>PRG-1048076</v>
      </c>
      <c r="E21653" t="s">
        <v>532</v>
      </c>
      <c r="F21653" t="s">
        <v>5</v>
      </c>
      <c r="G21653" t="str">
        <f>""</f>
        <v/>
      </c>
    </row>
    <row r="21654" spans="1:7" x14ac:dyDescent="0.25">
      <c r="A21654" t="s">
        <v>8</v>
      </c>
      <c r="B21654" s="1" t="str">
        <f>"000307723 - RICH FOODS-BLACK BEAR"</f>
        <v>000307723 - RICH FOODS-BLACK BEAR</v>
      </c>
      <c r="C21654" t="s">
        <v>397</v>
      </c>
      <c r="D21654" s="1" t="str">
        <f>"PRG-1048080"</f>
        <v>PRG-1048080</v>
      </c>
      <c r="E21654" t="s">
        <v>3071</v>
      </c>
      <c r="F21654" t="s">
        <v>4</v>
      </c>
      <c r="G21654" t="str">
        <f>""</f>
        <v/>
      </c>
    </row>
    <row r="21655" spans="1:7" x14ac:dyDescent="0.25">
      <c r="A21655" t="s">
        <v>8</v>
      </c>
      <c r="B21655" s="1" t="str">
        <f>"000103019 - RICH FOODS APEX PARKS"</f>
        <v>000103019 - RICH FOODS APEX PARKS</v>
      </c>
      <c r="C21655" t="s">
        <v>807</v>
      </c>
      <c r="D21655" s="1" t="str">
        <f>"PRG-1048112"</f>
        <v>PRG-1048112</v>
      </c>
      <c r="E21655" t="s">
        <v>808</v>
      </c>
      <c r="F21655" t="s">
        <v>4</v>
      </c>
      <c r="G21655" t="str">
        <f>""</f>
        <v/>
      </c>
    </row>
    <row r="21656" spans="1:7" x14ac:dyDescent="0.25">
      <c r="A21656" t="s">
        <v>8</v>
      </c>
      <c r="B21656" s="1" t="str">
        <f>"000002661 - RICH BETTERCREME CORE BB-CLDST"</f>
        <v>000002661 - RICH BETTERCREME CORE BB-CLDST</v>
      </c>
      <c r="C21656" t="s">
        <v>106</v>
      </c>
      <c r="D21656" s="1" t="str">
        <f t="shared" ref="D21656:D21687" si="590">"PRG-1048122"</f>
        <v>PRG-1048122</v>
      </c>
      <c r="E21656" t="s">
        <v>132</v>
      </c>
      <c r="F21656" t="s">
        <v>4</v>
      </c>
      <c r="G21656" t="str">
        <f>""</f>
        <v/>
      </c>
    </row>
    <row r="21657" spans="1:7" x14ac:dyDescent="0.25">
      <c r="A21657" t="s">
        <v>8</v>
      </c>
      <c r="B21657" s="1" t="str">
        <f>"000002662 - RICH BETTERCREME NCORE-CLDSTNE"</f>
        <v>000002662 - RICH BETTERCREME NCORE-CLDSTNE</v>
      </c>
      <c r="C21657" t="s">
        <v>107</v>
      </c>
      <c r="D21657" s="1" t="str">
        <f t="shared" si="590"/>
        <v>PRG-1048122</v>
      </c>
      <c r="E21657" t="s">
        <v>132</v>
      </c>
      <c r="F21657" t="s">
        <v>4</v>
      </c>
      <c r="G21657" t="str">
        <f>""</f>
        <v/>
      </c>
    </row>
    <row r="21658" spans="1:7" x14ac:dyDescent="0.25">
      <c r="A21658" t="s">
        <v>8</v>
      </c>
      <c r="B21658" s="1" t="str">
        <f>"000011036 - RICH FOODS BETTERCREME-COLDSTO"</f>
        <v>000011036 - RICH FOODS BETTERCREME-COLDSTO</v>
      </c>
      <c r="C21658" t="s">
        <v>319</v>
      </c>
      <c r="D21658" s="1" t="str">
        <f t="shared" si="590"/>
        <v>PRG-1048122</v>
      </c>
      <c r="E21658" t="s">
        <v>132</v>
      </c>
      <c r="F21658" t="s">
        <v>4</v>
      </c>
      <c r="G21658" t="str">
        <f>""</f>
        <v/>
      </c>
    </row>
    <row r="21659" spans="1:7" x14ac:dyDescent="0.25">
      <c r="A21659" t="s">
        <v>8</v>
      </c>
      <c r="B21659" s="1" t="str">
        <f>"000012180 - RICH FOODS-COLD STONE"</f>
        <v>000012180 - RICH FOODS-COLD STONE</v>
      </c>
      <c r="C21659" t="s">
        <v>332</v>
      </c>
      <c r="D21659" s="1" t="str">
        <f t="shared" si="590"/>
        <v>PRG-1048122</v>
      </c>
      <c r="E21659" t="s">
        <v>132</v>
      </c>
      <c r="F21659" t="s">
        <v>4</v>
      </c>
      <c r="G21659" t="str">
        <f>""</f>
        <v/>
      </c>
    </row>
    <row r="21660" spans="1:7" x14ac:dyDescent="0.25">
      <c r="A21660" t="s">
        <v>8</v>
      </c>
      <c r="B21660" s="1" t="str">
        <f>"000012753 - RICH FOODS-COLD STONE"</f>
        <v>000012753 - RICH FOODS-COLD STONE</v>
      </c>
      <c r="C21660" t="s">
        <v>332</v>
      </c>
      <c r="D21660" s="1" t="str">
        <f t="shared" si="590"/>
        <v>PRG-1048122</v>
      </c>
      <c r="E21660" t="s">
        <v>132</v>
      </c>
      <c r="F21660" t="s">
        <v>4</v>
      </c>
      <c r="G21660" t="str">
        <f>""</f>
        <v/>
      </c>
    </row>
    <row r="21661" spans="1:7" x14ac:dyDescent="0.25">
      <c r="A21661" t="s">
        <v>8</v>
      </c>
      <c r="B21661" s="1" t="str">
        <f>"000014065 - RICH FOODS-BETTERCREME-COLDSTO"</f>
        <v>000014065 - RICH FOODS-BETTERCREME-COLDSTO</v>
      </c>
      <c r="C21661" t="s">
        <v>286</v>
      </c>
      <c r="D21661" s="1" t="str">
        <f t="shared" si="590"/>
        <v>PRG-1048122</v>
      </c>
      <c r="E21661" t="s">
        <v>132</v>
      </c>
      <c r="F21661" t="s">
        <v>4</v>
      </c>
      <c r="G21661" t="str">
        <f>""</f>
        <v/>
      </c>
    </row>
    <row r="21662" spans="1:7" x14ac:dyDescent="0.25">
      <c r="A21662" t="s">
        <v>8</v>
      </c>
      <c r="B21662" s="1" t="str">
        <f>"000017527 - RICH FOODS-BETTERCREME-COLDSTO"</f>
        <v>000017527 - RICH FOODS-BETTERCREME-COLDSTO</v>
      </c>
      <c r="C21662" t="s">
        <v>286</v>
      </c>
      <c r="D21662" s="1" t="str">
        <f t="shared" si="590"/>
        <v>PRG-1048122</v>
      </c>
      <c r="E21662" t="s">
        <v>132</v>
      </c>
      <c r="F21662" t="s">
        <v>4</v>
      </c>
      <c r="G21662" t="str">
        <f>""</f>
        <v/>
      </c>
    </row>
    <row r="21663" spans="1:7" x14ac:dyDescent="0.25">
      <c r="A21663" t="s">
        <v>8</v>
      </c>
      <c r="B21663" s="1" t="str">
        <f>"000023279 - RICH FOODS BETTERCREME-COLDSTO"</f>
        <v>000023279 - RICH FOODS BETTERCREME-COLDSTO</v>
      </c>
      <c r="C21663" t="s">
        <v>319</v>
      </c>
      <c r="D21663" s="1" t="str">
        <f t="shared" si="590"/>
        <v>PRG-1048122</v>
      </c>
      <c r="E21663" t="s">
        <v>132</v>
      </c>
      <c r="F21663" t="s">
        <v>4</v>
      </c>
      <c r="G21663" t="str">
        <f>""</f>
        <v/>
      </c>
    </row>
    <row r="21664" spans="1:7" x14ac:dyDescent="0.25">
      <c r="A21664" t="s">
        <v>8</v>
      </c>
      <c r="B21664" s="1" t="str">
        <f>"000025156 - RICH FOODS BETTERCREME-COLDSTO"</f>
        <v>000025156 - RICH FOODS BETTERCREME-COLDSTO</v>
      </c>
      <c r="C21664" t="s">
        <v>319</v>
      </c>
      <c r="D21664" s="1" t="str">
        <f t="shared" si="590"/>
        <v>PRG-1048122</v>
      </c>
      <c r="E21664" t="s">
        <v>132</v>
      </c>
      <c r="F21664" t="s">
        <v>4</v>
      </c>
      <c r="G21664" t="str">
        <f>""</f>
        <v/>
      </c>
    </row>
    <row r="21665" spans="1:7" x14ac:dyDescent="0.25">
      <c r="A21665" t="s">
        <v>8</v>
      </c>
      <c r="B21665" s="1" t="str">
        <f>"000026796 - RICH FOODS BETTERCREME-COLDSTO"</f>
        <v>000026796 - RICH FOODS BETTERCREME-COLDSTO</v>
      </c>
      <c r="C21665" t="s">
        <v>319</v>
      </c>
      <c r="D21665" s="1" t="str">
        <f t="shared" si="590"/>
        <v>PRG-1048122</v>
      </c>
      <c r="E21665" t="s">
        <v>132</v>
      </c>
      <c r="F21665" t="s">
        <v>4</v>
      </c>
      <c r="G21665" t="str">
        <f>""</f>
        <v/>
      </c>
    </row>
    <row r="21666" spans="1:7" x14ac:dyDescent="0.25">
      <c r="A21666" t="s">
        <v>8</v>
      </c>
      <c r="B21666" s="1" t="str">
        <f>"000054900 - RICH FOODS-COLDSTONE"</f>
        <v>000054900 - RICH FOODS-COLDSTONE</v>
      </c>
      <c r="C21666" t="s">
        <v>675</v>
      </c>
      <c r="D21666" s="1" t="str">
        <f t="shared" si="590"/>
        <v>PRG-1048122</v>
      </c>
      <c r="E21666" t="s">
        <v>132</v>
      </c>
      <c r="F21666" t="s">
        <v>4</v>
      </c>
      <c r="G21666" t="str">
        <f>""</f>
        <v/>
      </c>
    </row>
    <row r="21667" spans="1:7" x14ac:dyDescent="0.25">
      <c r="A21667" t="s">
        <v>8</v>
      </c>
      <c r="B21667" s="1" t="str">
        <f>"000065977 - RICH FOODS-COLDSTONE"</f>
        <v>000065977 - RICH FOODS-COLDSTONE</v>
      </c>
      <c r="C21667" t="s">
        <v>675</v>
      </c>
      <c r="D21667" s="1" t="str">
        <f t="shared" si="590"/>
        <v>PRG-1048122</v>
      </c>
      <c r="E21667" t="s">
        <v>132</v>
      </c>
      <c r="F21667" t="s">
        <v>4</v>
      </c>
      <c r="G21667" t="str">
        <f>""</f>
        <v/>
      </c>
    </row>
    <row r="21668" spans="1:7" x14ac:dyDescent="0.25">
      <c r="A21668" t="s">
        <v>8</v>
      </c>
      <c r="B21668" s="1" t="str">
        <f>"000070834 - RICH FOODS-COLDSTONE"</f>
        <v>000070834 - RICH FOODS-COLDSTONE</v>
      </c>
      <c r="C21668" t="s">
        <v>675</v>
      </c>
      <c r="D21668" s="1" t="str">
        <f t="shared" si="590"/>
        <v>PRG-1048122</v>
      </c>
      <c r="E21668" t="s">
        <v>132</v>
      </c>
      <c r="F21668" t="s">
        <v>4</v>
      </c>
      <c r="G21668" t="str">
        <f>""</f>
        <v/>
      </c>
    </row>
    <row r="21669" spans="1:7" x14ac:dyDescent="0.25">
      <c r="A21669" t="s">
        <v>8</v>
      </c>
      <c r="B21669" s="1" t="str">
        <f>"000072961 - RICH FOODS-COLDSTONE"</f>
        <v>000072961 - RICH FOODS-COLDSTONE</v>
      </c>
      <c r="C21669" t="s">
        <v>675</v>
      </c>
      <c r="D21669" s="1" t="str">
        <f t="shared" si="590"/>
        <v>PRG-1048122</v>
      </c>
      <c r="E21669" t="s">
        <v>132</v>
      </c>
      <c r="F21669" t="s">
        <v>4</v>
      </c>
      <c r="G21669" t="str">
        <f>""</f>
        <v/>
      </c>
    </row>
    <row r="21670" spans="1:7" x14ac:dyDescent="0.25">
      <c r="A21670" t="s">
        <v>8</v>
      </c>
      <c r="B21670" s="1" t="str">
        <f>"000097140 - RICH FOODS-COLDSTONE"</f>
        <v>000097140 - RICH FOODS-COLDSTONE</v>
      </c>
      <c r="C21670" t="s">
        <v>675</v>
      </c>
      <c r="D21670" s="1" t="str">
        <f t="shared" si="590"/>
        <v>PRG-1048122</v>
      </c>
      <c r="E21670" t="s">
        <v>132</v>
      </c>
      <c r="F21670" t="s">
        <v>4</v>
      </c>
      <c r="G21670" t="str">
        <f>""</f>
        <v/>
      </c>
    </row>
    <row r="21671" spans="1:7" x14ac:dyDescent="0.25">
      <c r="A21671" t="s">
        <v>8</v>
      </c>
      <c r="B21671" s="1" t="str">
        <f>"000124068 - RICH FOOD BETTERCREME-COLDSTNE"</f>
        <v>000124068 - RICH FOOD BETTERCREME-COLDSTNE</v>
      </c>
      <c r="C21671" t="s">
        <v>906</v>
      </c>
      <c r="D21671" s="1" t="str">
        <f t="shared" si="590"/>
        <v>PRG-1048122</v>
      </c>
      <c r="E21671" t="s">
        <v>132</v>
      </c>
      <c r="F21671" t="s">
        <v>4</v>
      </c>
      <c r="G21671" t="str">
        <f>""</f>
        <v/>
      </c>
    </row>
    <row r="21672" spans="1:7" x14ac:dyDescent="0.25">
      <c r="A21672" t="s">
        <v>8</v>
      </c>
      <c r="B21672" s="1" t="str">
        <f>"000133705 - RICH FOODS-COLD STONE"</f>
        <v>000133705 - RICH FOODS-COLD STONE</v>
      </c>
      <c r="C21672" t="s">
        <v>332</v>
      </c>
      <c r="D21672" s="1" t="str">
        <f t="shared" si="590"/>
        <v>PRG-1048122</v>
      </c>
      <c r="E21672" t="s">
        <v>132</v>
      </c>
      <c r="F21672" t="s">
        <v>4</v>
      </c>
      <c r="G21672" t="str">
        <f>""</f>
        <v/>
      </c>
    </row>
    <row r="21673" spans="1:7" x14ac:dyDescent="0.25">
      <c r="A21673" t="s">
        <v>8</v>
      </c>
      <c r="B21673" s="1" t="str">
        <f>"000145031 - RICH FOOD BETTERCREME-COLDSTNE"</f>
        <v>000145031 - RICH FOOD BETTERCREME-COLDSTNE</v>
      </c>
      <c r="C21673" t="s">
        <v>906</v>
      </c>
      <c r="D21673" s="1" t="str">
        <f t="shared" si="590"/>
        <v>PRG-1048122</v>
      </c>
      <c r="E21673" t="s">
        <v>132</v>
      </c>
      <c r="F21673" t="s">
        <v>4</v>
      </c>
      <c r="G21673" t="str">
        <f>""</f>
        <v/>
      </c>
    </row>
    <row r="21674" spans="1:7" x14ac:dyDescent="0.25">
      <c r="A21674" t="s">
        <v>8</v>
      </c>
      <c r="B21674" s="1" t="str">
        <f>"000146850 - RICH BETTERCREME NCORE-COLDSTN"</f>
        <v>000146850 - RICH BETTERCREME NCORE-COLDSTN</v>
      </c>
      <c r="C21674" t="s">
        <v>914</v>
      </c>
      <c r="D21674" s="1" t="str">
        <f t="shared" si="590"/>
        <v>PRG-1048122</v>
      </c>
      <c r="E21674" t="s">
        <v>132</v>
      </c>
      <c r="F21674" t="s">
        <v>4</v>
      </c>
      <c r="G21674" t="str">
        <f>""</f>
        <v/>
      </c>
    </row>
    <row r="21675" spans="1:7" x14ac:dyDescent="0.25">
      <c r="A21675" t="s">
        <v>8</v>
      </c>
      <c r="B21675" s="1" t="str">
        <f>"000146852 - RICH BETTERCREME CORE BB-CLDST"</f>
        <v>000146852 - RICH BETTERCREME CORE BB-CLDST</v>
      </c>
      <c r="C21675" t="s">
        <v>106</v>
      </c>
      <c r="D21675" s="1" t="str">
        <f t="shared" si="590"/>
        <v>PRG-1048122</v>
      </c>
      <c r="E21675" t="s">
        <v>132</v>
      </c>
      <c r="F21675" t="s">
        <v>4</v>
      </c>
      <c r="G21675" t="str">
        <f>""</f>
        <v/>
      </c>
    </row>
    <row r="21676" spans="1:7" x14ac:dyDescent="0.25">
      <c r="A21676" t="s">
        <v>8</v>
      </c>
      <c r="B21676" s="1" t="str">
        <f>"000150798 - RICH BETTERCREME CORE BB-CLDST"</f>
        <v>000150798 - RICH BETTERCREME CORE BB-CLDST</v>
      </c>
      <c r="C21676" t="s">
        <v>106</v>
      </c>
      <c r="D21676" s="1" t="str">
        <f t="shared" si="590"/>
        <v>PRG-1048122</v>
      </c>
      <c r="E21676" t="s">
        <v>132</v>
      </c>
      <c r="F21676" t="s">
        <v>4</v>
      </c>
      <c r="G21676" t="str">
        <f>""</f>
        <v/>
      </c>
    </row>
    <row r="21677" spans="1:7" x14ac:dyDescent="0.25">
      <c r="A21677" t="s">
        <v>8</v>
      </c>
      <c r="B21677" s="1" t="str">
        <f>"000150799 - RICH BETTERCREME NCORE-CLDSTNE"</f>
        <v>000150799 - RICH BETTERCREME NCORE-CLDSTNE</v>
      </c>
      <c r="C21677" t="s">
        <v>107</v>
      </c>
      <c r="D21677" s="1" t="str">
        <f t="shared" si="590"/>
        <v>PRG-1048122</v>
      </c>
      <c r="E21677" t="s">
        <v>132</v>
      </c>
      <c r="F21677" t="s">
        <v>4</v>
      </c>
      <c r="G21677" t="str">
        <f>""</f>
        <v/>
      </c>
    </row>
    <row r="21678" spans="1:7" x14ac:dyDescent="0.25">
      <c r="A21678" t="s">
        <v>8</v>
      </c>
      <c r="B21678" s="1" t="str">
        <f>"000154558 - RICH FOODS-COLD STONE"</f>
        <v>000154558 - RICH FOODS-COLD STONE</v>
      </c>
      <c r="C21678" t="s">
        <v>332</v>
      </c>
      <c r="D21678" s="1" t="str">
        <f t="shared" si="590"/>
        <v>PRG-1048122</v>
      </c>
      <c r="E21678" t="s">
        <v>132</v>
      </c>
      <c r="F21678" t="s">
        <v>4</v>
      </c>
      <c r="G21678" t="str">
        <f>""</f>
        <v/>
      </c>
    </row>
    <row r="21679" spans="1:7" x14ac:dyDescent="0.25">
      <c r="A21679" t="s">
        <v>8</v>
      </c>
      <c r="B21679" s="1" t="str">
        <f>"000157620 - RICH FOODS-BETTERCREME-COLDSTO"</f>
        <v>000157620 - RICH FOODS-BETTERCREME-COLDSTO</v>
      </c>
      <c r="C21679" t="s">
        <v>286</v>
      </c>
      <c r="D21679" s="1" t="str">
        <f t="shared" si="590"/>
        <v>PRG-1048122</v>
      </c>
      <c r="E21679" t="s">
        <v>132</v>
      </c>
      <c r="F21679" t="s">
        <v>4</v>
      </c>
      <c r="G21679" t="str">
        <f>""</f>
        <v/>
      </c>
    </row>
    <row r="21680" spans="1:7" x14ac:dyDescent="0.25">
      <c r="A21680" t="s">
        <v>8</v>
      </c>
      <c r="B21680" s="1" t="str">
        <f>"000164150 - RICH FOODS NON RETAIL-COLDSTNE"</f>
        <v>000164150 - RICH FOODS NON RETAIL-COLDSTNE</v>
      </c>
      <c r="C21680" t="s">
        <v>903</v>
      </c>
      <c r="D21680" s="1" t="str">
        <f t="shared" si="590"/>
        <v>PRG-1048122</v>
      </c>
      <c r="E21680" t="s">
        <v>132</v>
      </c>
      <c r="F21680" t="s">
        <v>4</v>
      </c>
      <c r="G21680" t="str">
        <f>""</f>
        <v/>
      </c>
    </row>
    <row r="21681" spans="1:7" x14ac:dyDescent="0.25">
      <c r="A21681" t="s">
        <v>8</v>
      </c>
      <c r="B21681" s="1" t="str">
        <f>"000165345 - RICH FOOD BETTERCREME-COLDSTNE"</f>
        <v>000165345 - RICH FOOD BETTERCREME-COLDSTNE</v>
      </c>
      <c r="C21681" t="s">
        <v>906</v>
      </c>
      <c r="D21681" s="1" t="str">
        <f t="shared" si="590"/>
        <v>PRG-1048122</v>
      </c>
      <c r="E21681" t="s">
        <v>132</v>
      </c>
      <c r="F21681" t="s">
        <v>4</v>
      </c>
      <c r="G21681" t="str">
        <f>""</f>
        <v/>
      </c>
    </row>
    <row r="21682" spans="1:7" x14ac:dyDescent="0.25">
      <c r="A21682" t="s">
        <v>8</v>
      </c>
      <c r="B21682" s="1" t="str">
        <f>"000167209 - RICH FDS NONRTL NCORE-COLDSTNE"</f>
        <v>000167209 - RICH FDS NONRTL NCORE-COLDSTNE</v>
      </c>
      <c r="C21682" t="s">
        <v>1079</v>
      </c>
      <c r="D21682" s="1" t="str">
        <f t="shared" si="590"/>
        <v>PRG-1048122</v>
      </c>
      <c r="E21682" t="s">
        <v>132</v>
      </c>
      <c r="F21682" t="s">
        <v>4</v>
      </c>
      <c r="G21682" t="str">
        <f>""</f>
        <v/>
      </c>
    </row>
    <row r="21683" spans="1:7" x14ac:dyDescent="0.25">
      <c r="A21683" t="s">
        <v>8</v>
      </c>
      <c r="B21683" s="1" t="str">
        <f>"000167795 - RICH BETTERCREME NCORE-COLDSTN"</f>
        <v>000167795 - RICH BETTERCREME NCORE-COLDSTN</v>
      </c>
      <c r="C21683" t="s">
        <v>914</v>
      </c>
      <c r="D21683" s="1" t="str">
        <f t="shared" si="590"/>
        <v>PRG-1048122</v>
      </c>
      <c r="E21683" t="s">
        <v>132</v>
      </c>
      <c r="F21683" t="s">
        <v>4</v>
      </c>
      <c r="G21683" t="str">
        <f>""</f>
        <v/>
      </c>
    </row>
    <row r="21684" spans="1:7" x14ac:dyDescent="0.25">
      <c r="A21684" t="s">
        <v>8</v>
      </c>
      <c r="B21684" s="1" t="str">
        <f>"000167797 - RICH BETTERCREME CORE BB-CLDST"</f>
        <v>000167797 - RICH BETTERCREME CORE BB-CLDST</v>
      </c>
      <c r="C21684" t="s">
        <v>106</v>
      </c>
      <c r="D21684" s="1" t="str">
        <f t="shared" si="590"/>
        <v>PRG-1048122</v>
      </c>
      <c r="E21684" t="s">
        <v>132</v>
      </c>
      <c r="F21684" t="s">
        <v>4</v>
      </c>
      <c r="G21684" t="str">
        <f>""</f>
        <v/>
      </c>
    </row>
    <row r="21685" spans="1:7" x14ac:dyDescent="0.25">
      <c r="A21685" t="s">
        <v>8</v>
      </c>
      <c r="B21685" s="1" t="str">
        <f>"000168006 - RICH FOODS-COLDSTONE"</f>
        <v>000168006 - RICH FOODS-COLDSTONE</v>
      </c>
      <c r="C21685" t="s">
        <v>675</v>
      </c>
      <c r="D21685" s="1" t="str">
        <f t="shared" si="590"/>
        <v>PRG-1048122</v>
      </c>
      <c r="E21685" t="s">
        <v>132</v>
      </c>
      <c r="F21685" t="s">
        <v>4</v>
      </c>
      <c r="G21685" t="str">
        <f>""</f>
        <v/>
      </c>
    </row>
    <row r="21686" spans="1:7" x14ac:dyDescent="0.25">
      <c r="A21686" t="s">
        <v>8</v>
      </c>
      <c r="B21686" s="1" t="str">
        <f>"000172959 - RICH BETTERCREME CORE BB-CLDST"</f>
        <v>000172959 - RICH BETTERCREME CORE BB-CLDST</v>
      </c>
      <c r="C21686" t="s">
        <v>106</v>
      </c>
      <c r="D21686" s="1" t="str">
        <f t="shared" si="590"/>
        <v>PRG-1048122</v>
      </c>
      <c r="E21686" t="s">
        <v>132</v>
      </c>
      <c r="F21686" t="s">
        <v>4</v>
      </c>
      <c r="G21686" t="str">
        <f>""</f>
        <v/>
      </c>
    </row>
    <row r="21687" spans="1:7" x14ac:dyDescent="0.25">
      <c r="A21687" t="s">
        <v>8</v>
      </c>
      <c r="B21687" s="1" t="str">
        <f>"000172960 - RICH BETTERCREME NCORE-CLDSTNE"</f>
        <v>000172960 - RICH BETTERCREME NCORE-CLDSTNE</v>
      </c>
      <c r="C21687" t="s">
        <v>107</v>
      </c>
      <c r="D21687" s="1" t="str">
        <f t="shared" si="590"/>
        <v>PRG-1048122</v>
      </c>
      <c r="E21687" t="s">
        <v>132</v>
      </c>
      <c r="F21687" t="s">
        <v>4</v>
      </c>
      <c r="G21687" t="str">
        <f>""</f>
        <v/>
      </c>
    </row>
    <row r="21688" spans="1:7" x14ac:dyDescent="0.25">
      <c r="A21688" t="s">
        <v>8</v>
      </c>
      <c r="B21688" s="1" t="str">
        <f>"000177350 - RICH FOODS-COLD STONE"</f>
        <v>000177350 - RICH FOODS-COLD STONE</v>
      </c>
      <c r="C21688" t="s">
        <v>332</v>
      </c>
      <c r="D21688" s="1" t="str">
        <f t="shared" ref="D21688:D21719" si="591">"PRG-1048122"</f>
        <v>PRG-1048122</v>
      </c>
      <c r="E21688" t="s">
        <v>132</v>
      </c>
      <c r="F21688" t="s">
        <v>4</v>
      </c>
      <c r="G21688" t="str">
        <f>""</f>
        <v/>
      </c>
    </row>
    <row r="21689" spans="1:7" x14ac:dyDescent="0.25">
      <c r="A21689" t="s">
        <v>8</v>
      </c>
      <c r="B21689" s="1" t="str">
        <f>"000181410 - RICH FOODS-BETTERCREME-COLDSTO"</f>
        <v>000181410 - RICH FOODS-BETTERCREME-COLDSTO</v>
      </c>
      <c r="C21689" t="s">
        <v>286</v>
      </c>
      <c r="D21689" s="1" t="str">
        <f t="shared" si="591"/>
        <v>PRG-1048122</v>
      </c>
      <c r="E21689" t="s">
        <v>132</v>
      </c>
      <c r="F21689" t="s">
        <v>4</v>
      </c>
      <c r="G21689" t="str">
        <f>""</f>
        <v/>
      </c>
    </row>
    <row r="21690" spans="1:7" x14ac:dyDescent="0.25">
      <c r="A21690" t="s">
        <v>8</v>
      </c>
      <c r="B21690" s="1" t="str">
        <f>"000219039 - RICH FOODS-COLDSTONE"</f>
        <v>000219039 - RICH FOODS-COLDSTONE</v>
      </c>
      <c r="C21690" t="s">
        <v>675</v>
      </c>
      <c r="D21690" s="1" t="str">
        <f t="shared" si="591"/>
        <v>PRG-1048122</v>
      </c>
      <c r="E21690" t="s">
        <v>132</v>
      </c>
      <c r="F21690" t="s">
        <v>4</v>
      </c>
      <c r="G21690" t="str">
        <f>""</f>
        <v/>
      </c>
    </row>
    <row r="21691" spans="1:7" x14ac:dyDescent="0.25">
      <c r="A21691" t="s">
        <v>8</v>
      </c>
      <c r="B21691" s="1" t="str">
        <f>"000220603 - RICH FOODS NORTL-COLD STONE"</f>
        <v>000220603 - RICH FOODS NORTL-COLD STONE</v>
      </c>
      <c r="C21691" t="s">
        <v>110</v>
      </c>
      <c r="D21691" s="1" t="str">
        <f t="shared" si="591"/>
        <v>PRG-1048122</v>
      </c>
      <c r="E21691" t="s">
        <v>132</v>
      </c>
      <c r="F21691" t="s">
        <v>4</v>
      </c>
      <c r="G21691" t="str">
        <f>""</f>
        <v/>
      </c>
    </row>
    <row r="21692" spans="1:7" x14ac:dyDescent="0.25">
      <c r="A21692" t="s">
        <v>8</v>
      </c>
      <c r="B21692" s="1" t="str">
        <f>"000237994 - RICH FOOD BETTERCREME-COLDSTNE"</f>
        <v>000237994 - RICH FOOD BETTERCREME-COLDSTNE</v>
      </c>
      <c r="C21692" t="s">
        <v>906</v>
      </c>
      <c r="D21692" s="1" t="str">
        <f t="shared" si="591"/>
        <v>PRG-1048122</v>
      </c>
      <c r="E21692" t="s">
        <v>132</v>
      </c>
      <c r="F21692" t="s">
        <v>4</v>
      </c>
      <c r="G21692" t="str">
        <f>""</f>
        <v/>
      </c>
    </row>
    <row r="21693" spans="1:7" x14ac:dyDescent="0.25">
      <c r="A21693" t="s">
        <v>8</v>
      </c>
      <c r="B21693" s="1" t="str">
        <f>"000240054 - RICH FOODS NON RETAIL-COLDSTNE"</f>
        <v>000240054 - RICH FOODS NON RETAIL-COLDSTNE</v>
      </c>
      <c r="C21693" t="s">
        <v>903</v>
      </c>
      <c r="D21693" s="1" t="str">
        <f t="shared" si="591"/>
        <v>PRG-1048122</v>
      </c>
      <c r="E21693" t="s">
        <v>132</v>
      </c>
      <c r="F21693" t="s">
        <v>4</v>
      </c>
      <c r="G21693" t="str">
        <f>""</f>
        <v/>
      </c>
    </row>
    <row r="21694" spans="1:7" x14ac:dyDescent="0.25">
      <c r="A21694" t="s">
        <v>8</v>
      </c>
      <c r="B21694" s="1" t="str">
        <f>"000241190 - RICH FOOD BETTERCREME-COLDSTNE"</f>
        <v>000241190 - RICH FOOD BETTERCREME-COLDSTNE</v>
      </c>
      <c r="C21694" t="s">
        <v>906</v>
      </c>
      <c r="D21694" s="1" t="str">
        <f t="shared" si="591"/>
        <v>PRG-1048122</v>
      </c>
      <c r="E21694" t="s">
        <v>132</v>
      </c>
      <c r="F21694" t="s">
        <v>4</v>
      </c>
      <c r="G21694" t="str">
        <f>""</f>
        <v/>
      </c>
    </row>
    <row r="21695" spans="1:7" x14ac:dyDescent="0.25">
      <c r="A21695" t="s">
        <v>8</v>
      </c>
      <c r="B21695" s="1" t="str">
        <f>"000243530 - RICH BETTERCREME NCORE-COLDSTN"</f>
        <v>000243530 - RICH BETTERCREME NCORE-COLDSTN</v>
      </c>
      <c r="C21695" t="s">
        <v>914</v>
      </c>
      <c r="D21695" s="1" t="str">
        <f t="shared" si="591"/>
        <v>PRG-1048122</v>
      </c>
      <c r="E21695" t="s">
        <v>132</v>
      </c>
      <c r="F21695" t="s">
        <v>4</v>
      </c>
      <c r="G21695" t="str">
        <f>""</f>
        <v/>
      </c>
    </row>
    <row r="21696" spans="1:7" x14ac:dyDescent="0.25">
      <c r="A21696" t="s">
        <v>8</v>
      </c>
      <c r="B21696" s="1" t="str">
        <f>"000243532 - RICH BETTERCREME CORE BB-CLDST"</f>
        <v>000243532 - RICH BETTERCREME CORE BB-CLDST</v>
      </c>
      <c r="C21696" t="s">
        <v>106</v>
      </c>
      <c r="D21696" s="1" t="str">
        <f t="shared" si="591"/>
        <v>PRG-1048122</v>
      </c>
      <c r="E21696" t="s">
        <v>132</v>
      </c>
      <c r="F21696" t="s">
        <v>4</v>
      </c>
      <c r="G21696" t="str">
        <f>""</f>
        <v/>
      </c>
    </row>
    <row r="21697" spans="1:7" x14ac:dyDescent="0.25">
      <c r="A21697" t="s">
        <v>8</v>
      </c>
      <c r="B21697" s="1" t="str">
        <f>"000248003 - RICH BETTERCREME CORE BB-CLDST"</f>
        <v>000248003 - RICH BETTERCREME CORE BB-CLDST</v>
      </c>
      <c r="C21697" t="s">
        <v>106</v>
      </c>
      <c r="D21697" s="1" t="str">
        <f t="shared" si="591"/>
        <v>PRG-1048122</v>
      </c>
      <c r="E21697" t="s">
        <v>132</v>
      </c>
      <c r="F21697" t="s">
        <v>4</v>
      </c>
      <c r="G21697" t="str">
        <f>""</f>
        <v/>
      </c>
    </row>
    <row r="21698" spans="1:7" x14ac:dyDescent="0.25">
      <c r="A21698" t="s">
        <v>8</v>
      </c>
      <c r="B21698" s="1" t="str">
        <f>"000248004 - RICH BETTERCREME NCORE-CLDSTNE"</f>
        <v>000248004 - RICH BETTERCREME NCORE-CLDSTNE</v>
      </c>
      <c r="C21698" t="s">
        <v>107</v>
      </c>
      <c r="D21698" s="1" t="str">
        <f t="shared" si="591"/>
        <v>PRG-1048122</v>
      </c>
      <c r="E21698" t="s">
        <v>132</v>
      </c>
      <c r="F21698" t="s">
        <v>4</v>
      </c>
      <c r="G21698" t="str">
        <f>""</f>
        <v/>
      </c>
    </row>
    <row r="21699" spans="1:7" x14ac:dyDescent="0.25">
      <c r="A21699" t="s">
        <v>8</v>
      </c>
      <c r="B21699" s="1" t="str">
        <f>"000248557 - RICH FOODS-COLD STONE"</f>
        <v>000248557 - RICH FOODS-COLD STONE</v>
      </c>
      <c r="C21699" t="s">
        <v>332</v>
      </c>
      <c r="D21699" s="1" t="str">
        <f t="shared" si="591"/>
        <v>PRG-1048122</v>
      </c>
      <c r="E21699" t="s">
        <v>132</v>
      </c>
      <c r="F21699" t="s">
        <v>4</v>
      </c>
      <c r="G21699" t="str">
        <f>""</f>
        <v/>
      </c>
    </row>
    <row r="21700" spans="1:7" x14ac:dyDescent="0.25">
      <c r="A21700" t="s">
        <v>8</v>
      </c>
      <c r="B21700" s="1" t="str">
        <f>"000249849 - RICH FOODS-BETTERCREME-COLDSTO"</f>
        <v>000249849 - RICH FOODS-BETTERCREME-COLDSTO</v>
      </c>
      <c r="C21700" t="s">
        <v>286</v>
      </c>
      <c r="D21700" s="1" t="str">
        <f t="shared" si="591"/>
        <v>PRG-1048122</v>
      </c>
      <c r="E21700" t="s">
        <v>132</v>
      </c>
      <c r="F21700" t="s">
        <v>4</v>
      </c>
      <c r="G21700" t="str">
        <f>""</f>
        <v/>
      </c>
    </row>
    <row r="21701" spans="1:7" x14ac:dyDescent="0.25">
      <c r="A21701" t="s">
        <v>8</v>
      </c>
      <c r="B21701" s="1" t="str">
        <f>"000252469 - RICH FOODS-COLD STONE"</f>
        <v>000252469 - RICH FOODS-COLD STONE</v>
      </c>
      <c r="C21701" t="s">
        <v>332</v>
      </c>
      <c r="D21701" s="1" t="str">
        <f t="shared" si="591"/>
        <v>PRG-1048122</v>
      </c>
      <c r="E21701" t="s">
        <v>132</v>
      </c>
      <c r="F21701" t="s">
        <v>4</v>
      </c>
      <c r="G21701" t="str">
        <f>""</f>
        <v/>
      </c>
    </row>
    <row r="21702" spans="1:7" x14ac:dyDescent="0.25">
      <c r="A21702" t="s">
        <v>8</v>
      </c>
      <c r="B21702" s="1" t="str">
        <f>"000252493 - RICH FOODS NON RETAIL-COLDSTNE"</f>
        <v>000252493 - RICH FOODS NON RETAIL-COLDSTNE</v>
      </c>
      <c r="C21702" t="s">
        <v>903</v>
      </c>
      <c r="D21702" s="1" t="str">
        <f t="shared" si="591"/>
        <v>PRG-1048122</v>
      </c>
      <c r="E21702" t="s">
        <v>132</v>
      </c>
      <c r="F21702" t="s">
        <v>4</v>
      </c>
      <c r="G21702" t="str">
        <f>""</f>
        <v/>
      </c>
    </row>
    <row r="21703" spans="1:7" x14ac:dyDescent="0.25">
      <c r="A21703" t="s">
        <v>8</v>
      </c>
      <c r="B21703" s="1" t="str">
        <f>"000253823 - RICH FOOD BETTERCREME-COLDSTNE"</f>
        <v>000253823 - RICH FOOD BETTERCREME-COLDSTNE</v>
      </c>
      <c r="C21703" t="s">
        <v>906</v>
      </c>
      <c r="D21703" s="1" t="str">
        <f t="shared" si="591"/>
        <v>PRG-1048122</v>
      </c>
      <c r="E21703" t="s">
        <v>132</v>
      </c>
      <c r="F21703" t="s">
        <v>4</v>
      </c>
      <c r="G21703" t="str">
        <f>""</f>
        <v/>
      </c>
    </row>
    <row r="21704" spans="1:7" x14ac:dyDescent="0.25">
      <c r="A21704" t="s">
        <v>8</v>
      </c>
      <c r="B21704" s="1" t="str">
        <f>"000256154 - RICH FOODS-BETTERCREME-COLDSTO"</f>
        <v>000256154 - RICH FOODS-BETTERCREME-COLDSTO</v>
      </c>
      <c r="C21704" t="s">
        <v>286</v>
      </c>
      <c r="D21704" s="1" t="str">
        <f t="shared" si="591"/>
        <v>PRG-1048122</v>
      </c>
      <c r="E21704" t="s">
        <v>132</v>
      </c>
      <c r="F21704" t="s">
        <v>4</v>
      </c>
      <c r="G21704" t="str">
        <f>""</f>
        <v/>
      </c>
    </row>
    <row r="21705" spans="1:7" x14ac:dyDescent="0.25">
      <c r="A21705" t="s">
        <v>8</v>
      </c>
      <c r="B21705" s="1" t="str">
        <f>"000256691 - RICH BETTERCREME NCORE-COLDSTN"</f>
        <v>000256691 - RICH BETTERCREME NCORE-COLDSTN</v>
      </c>
      <c r="C21705" t="s">
        <v>914</v>
      </c>
      <c r="D21705" s="1" t="str">
        <f t="shared" si="591"/>
        <v>PRG-1048122</v>
      </c>
      <c r="E21705" t="s">
        <v>132</v>
      </c>
      <c r="F21705" t="s">
        <v>4</v>
      </c>
      <c r="G21705" t="str">
        <f>""</f>
        <v/>
      </c>
    </row>
    <row r="21706" spans="1:7" x14ac:dyDescent="0.25">
      <c r="A21706" t="s">
        <v>8</v>
      </c>
      <c r="B21706" s="1" t="str">
        <f>"000256693 - RICH BETTERCREME CORE BB-CLDST"</f>
        <v>000256693 - RICH BETTERCREME CORE BB-CLDST</v>
      </c>
      <c r="C21706" t="s">
        <v>106</v>
      </c>
      <c r="D21706" s="1" t="str">
        <f t="shared" si="591"/>
        <v>PRG-1048122</v>
      </c>
      <c r="E21706" t="s">
        <v>132</v>
      </c>
      <c r="F21706" t="s">
        <v>4</v>
      </c>
      <c r="G21706" t="str">
        <f>""</f>
        <v/>
      </c>
    </row>
    <row r="21707" spans="1:7" x14ac:dyDescent="0.25">
      <c r="A21707" t="s">
        <v>8</v>
      </c>
      <c r="B21707" s="1" t="str">
        <f>"000262089 - RICH BETTERCREME CORE BB-CLDST"</f>
        <v>000262089 - RICH BETTERCREME CORE BB-CLDST</v>
      </c>
      <c r="C21707" t="s">
        <v>106</v>
      </c>
      <c r="D21707" s="1" t="str">
        <f t="shared" si="591"/>
        <v>PRG-1048122</v>
      </c>
      <c r="E21707" t="s">
        <v>132</v>
      </c>
      <c r="F21707" t="s">
        <v>4</v>
      </c>
      <c r="G21707" t="str">
        <f>""</f>
        <v/>
      </c>
    </row>
    <row r="21708" spans="1:7" x14ac:dyDescent="0.25">
      <c r="A21708" t="s">
        <v>8</v>
      </c>
      <c r="B21708" s="1" t="str">
        <f>"000262090 - RICH BETTERCREME NCORE-CLDSTNE"</f>
        <v>000262090 - RICH BETTERCREME NCORE-CLDSTNE</v>
      </c>
      <c r="C21708" t="s">
        <v>107</v>
      </c>
      <c r="D21708" s="1" t="str">
        <f t="shared" si="591"/>
        <v>PRG-1048122</v>
      </c>
      <c r="E21708" t="s">
        <v>132</v>
      </c>
      <c r="F21708" t="s">
        <v>4</v>
      </c>
      <c r="G21708" t="str">
        <f>""</f>
        <v/>
      </c>
    </row>
    <row r="21709" spans="1:7" x14ac:dyDescent="0.25">
      <c r="A21709" t="s">
        <v>8</v>
      </c>
      <c r="B21709" s="1" t="str">
        <f>"000267166 - RICH FOODS BETTERCREME-COLDSTO"</f>
        <v>000267166 - RICH FOODS BETTERCREME-COLDSTO</v>
      </c>
      <c r="C21709" t="s">
        <v>319</v>
      </c>
      <c r="D21709" s="1" t="str">
        <f t="shared" si="591"/>
        <v>PRG-1048122</v>
      </c>
      <c r="E21709" t="s">
        <v>132</v>
      </c>
      <c r="F21709" t="s">
        <v>4</v>
      </c>
      <c r="G21709" t="str">
        <f>""</f>
        <v/>
      </c>
    </row>
    <row r="21710" spans="1:7" x14ac:dyDescent="0.25">
      <c r="A21710" t="s">
        <v>8</v>
      </c>
      <c r="B21710" s="1" t="str">
        <f>"000267207 - RICH FOODS-COLD STONE"</f>
        <v>000267207 - RICH FOODS-COLD STONE</v>
      </c>
      <c r="C21710" t="s">
        <v>332</v>
      </c>
      <c r="D21710" s="1" t="str">
        <f t="shared" si="591"/>
        <v>PRG-1048122</v>
      </c>
      <c r="E21710" t="s">
        <v>132</v>
      </c>
      <c r="F21710" t="s">
        <v>4</v>
      </c>
      <c r="G21710" t="str">
        <f>""</f>
        <v/>
      </c>
    </row>
    <row r="21711" spans="1:7" x14ac:dyDescent="0.25">
      <c r="A21711" t="s">
        <v>8</v>
      </c>
      <c r="B21711" s="1" t="str">
        <f>"000271629 - RICH FOODS-BETTERCREME-COLDSTO"</f>
        <v>000271629 - RICH FOODS-BETTERCREME-COLDSTO</v>
      </c>
      <c r="C21711" t="s">
        <v>286</v>
      </c>
      <c r="D21711" s="1" t="str">
        <f t="shared" si="591"/>
        <v>PRG-1048122</v>
      </c>
      <c r="E21711" t="s">
        <v>132</v>
      </c>
      <c r="F21711" t="s">
        <v>4</v>
      </c>
      <c r="G21711" t="str">
        <f>""</f>
        <v/>
      </c>
    </row>
    <row r="21712" spans="1:7" x14ac:dyDescent="0.25">
      <c r="A21712" t="s">
        <v>8</v>
      </c>
      <c r="B21712" s="1" t="str">
        <f>"000277373 - RICH FOODS BETTERCREME-COLDSTO"</f>
        <v>000277373 - RICH FOODS BETTERCREME-COLDSTO</v>
      </c>
      <c r="C21712" t="s">
        <v>319</v>
      </c>
      <c r="D21712" s="1" t="str">
        <f t="shared" si="591"/>
        <v>PRG-1048122</v>
      </c>
      <c r="E21712" t="s">
        <v>132</v>
      </c>
      <c r="F21712" t="s">
        <v>4</v>
      </c>
      <c r="G21712" t="str">
        <f>""</f>
        <v/>
      </c>
    </row>
    <row r="21713" spans="1:7" x14ac:dyDescent="0.25">
      <c r="A21713" t="s">
        <v>8</v>
      </c>
      <c r="B21713" s="1" t="str">
        <f>"000280882 - RICH BETTERCREME NCORE-COLDSTN"</f>
        <v>000280882 - RICH BETTERCREME NCORE-COLDSTN</v>
      </c>
      <c r="C21713" t="s">
        <v>914</v>
      </c>
      <c r="D21713" s="1" t="str">
        <f t="shared" si="591"/>
        <v>PRG-1048122</v>
      </c>
      <c r="E21713" t="s">
        <v>132</v>
      </c>
      <c r="F21713" t="s">
        <v>4</v>
      </c>
      <c r="G21713" t="str">
        <f>""</f>
        <v/>
      </c>
    </row>
    <row r="21714" spans="1:7" x14ac:dyDescent="0.25">
      <c r="A21714" t="s">
        <v>8</v>
      </c>
      <c r="B21714" s="1" t="str">
        <f>"000280884 - RICH BETTERCREME CORE BB-CLDST"</f>
        <v>000280884 - RICH BETTERCREME CORE BB-CLDST</v>
      </c>
      <c r="C21714" t="s">
        <v>106</v>
      </c>
      <c r="D21714" s="1" t="str">
        <f t="shared" si="591"/>
        <v>PRG-1048122</v>
      </c>
      <c r="E21714" t="s">
        <v>132</v>
      </c>
      <c r="F21714" t="s">
        <v>4</v>
      </c>
      <c r="G21714" t="str">
        <f>""</f>
        <v/>
      </c>
    </row>
    <row r="21715" spans="1:7" x14ac:dyDescent="0.25">
      <c r="A21715" t="s">
        <v>8</v>
      </c>
      <c r="B21715" s="1" t="str">
        <f>"000286658 - RICH FOODS-BETTERCREME-COLDSTO"</f>
        <v>000286658 - RICH FOODS-BETTERCREME-COLDSTO</v>
      </c>
      <c r="C21715" t="s">
        <v>286</v>
      </c>
      <c r="D21715" s="1" t="str">
        <f t="shared" si="591"/>
        <v>PRG-1048122</v>
      </c>
      <c r="E21715" t="s">
        <v>132</v>
      </c>
      <c r="F21715" t="s">
        <v>4</v>
      </c>
      <c r="G21715" t="str">
        <f>""</f>
        <v/>
      </c>
    </row>
    <row r="21716" spans="1:7" x14ac:dyDescent="0.25">
      <c r="A21716" t="s">
        <v>8</v>
      </c>
      <c r="B21716" s="1" t="str">
        <f>"000288085 - RICH BETTERCREME CORE BB-CLDST"</f>
        <v>000288085 - RICH BETTERCREME CORE BB-CLDST</v>
      </c>
      <c r="C21716" t="s">
        <v>106</v>
      </c>
      <c r="D21716" s="1" t="str">
        <f t="shared" si="591"/>
        <v>PRG-1048122</v>
      </c>
      <c r="E21716" t="s">
        <v>132</v>
      </c>
      <c r="F21716" t="s">
        <v>4</v>
      </c>
      <c r="G21716" t="str">
        <f>""</f>
        <v/>
      </c>
    </row>
    <row r="21717" spans="1:7" x14ac:dyDescent="0.25">
      <c r="A21717" t="s">
        <v>8</v>
      </c>
      <c r="B21717" s="1" t="str">
        <f>"000288086 - RICH BETTERCREME NCORE-CLDSTNE"</f>
        <v>000288086 - RICH BETTERCREME NCORE-CLDSTNE</v>
      </c>
      <c r="C21717" t="s">
        <v>107</v>
      </c>
      <c r="D21717" s="1" t="str">
        <f t="shared" si="591"/>
        <v>PRG-1048122</v>
      </c>
      <c r="E21717" t="s">
        <v>132</v>
      </c>
      <c r="F21717" t="s">
        <v>4</v>
      </c>
      <c r="G21717" t="str">
        <f>""</f>
        <v/>
      </c>
    </row>
    <row r="21718" spans="1:7" x14ac:dyDescent="0.25">
      <c r="A21718" t="s">
        <v>8</v>
      </c>
      <c r="B21718" s="1" t="str">
        <f>"000289301 - RICH FOODS-COLDSTONE"</f>
        <v>000289301 - RICH FOODS-COLDSTONE</v>
      </c>
      <c r="C21718" t="s">
        <v>675</v>
      </c>
      <c r="D21718" s="1" t="str">
        <f t="shared" si="591"/>
        <v>PRG-1048122</v>
      </c>
      <c r="E21718" t="s">
        <v>132</v>
      </c>
      <c r="F21718" t="s">
        <v>4</v>
      </c>
      <c r="G21718" t="str">
        <f>""</f>
        <v/>
      </c>
    </row>
    <row r="21719" spans="1:7" x14ac:dyDescent="0.25">
      <c r="A21719" t="s">
        <v>8</v>
      </c>
      <c r="B21719" s="1" t="str">
        <f>"000292313 - RICH FOODS-COLDSTONE"</f>
        <v>000292313 - RICH FOODS-COLDSTONE</v>
      </c>
      <c r="C21719" t="s">
        <v>675</v>
      </c>
      <c r="D21719" s="1" t="str">
        <f t="shared" si="591"/>
        <v>PRG-1048122</v>
      </c>
      <c r="E21719" t="s">
        <v>132</v>
      </c>
      <c r="F21719" t="s">
        <v>4</v>
      </c>
      <c r="G21719" t="str">
        <f>""</f>
        <v/>
      </c>
    </row>
    <row r="21720" spans="1:7" x14ac:dyDescent="0.25">
      <c r="A21720" t="s">
        <v>8</v>
      </c>
      <c r="B21720" s="1" t="str">
        <f>"000293783 - RICH FOODS-COLD STONE"</f>
        <v>000293783 - RICH FOODS-COLD STONE</v>
      </c>
      <c r="C21720" t="s">
        <v>332</v>
      </c>
      <c r="D21720" s="1" t="str">
        <f t="shared" ref="D21720:D21751" si="592">"PRG-1048122"</f>
        <v>PRG-1048122</v>
      </c>
      <c r="E21720" t="s">
        <v>132</v>
      </c>
      <c r="F21720" t="s">
        <v>4</v>
      </c>
      <c r="G21720" t="str">
        <f>""</f>
        <v/>
      </c>
    </row>
    <row r="21721" spans="1:7" x14ac:dyDescent="0.25">
      <c r="A21721" t="s">
        <v>8</v>
      </c>
      <c r="B21721" s="1" t="str">
        <f>"000302977 - RICH FOOD BETTERCREME-COLDSTNE"</f>
        <v>000302977 - RICH FOOD BETTERCREME-COLDSTNE</v>
      </c>
      <c r="C21721" t="s">
        <v>906</v>
      </c>
      <c r="D21721" s="1" t="str">
        <f t="shared" si="592"/>
        <v>PRG-1048122</v>
      </c>
      <c r="E21721" t="s">
        <v>132</v>
      </c>
      <c r="F21721" t="s">
        <v>4</v>
      </c>
      <c r="G21721" t="str">
        <f>""</f>
        <v/>
      </c>
    </row>
    <row r="21722" spans="1:7" x14ac:dyDescent="0.25">
      <c r="A21722" t="s">
        <v>8</v>
      </c>
      <c r="B21722" s="1" t="str">
        <f>"000306873 - RICH FOODS NONRTL-COLD STONE"</f>
        <v>000306873 - RICH FOODS NONRTL-COLD STONE</v>
      </c>
      <c r="C21722" t="s">
        <v>842</v>
      </c>
      <c r="D21722" s="1" t="str">
        <f t="shared" si="592"/>
        <v>PRG-1048122</v>
      </c>
      <c r="E21722" t="s">
        <v>132</v>
      </c>
      <c r="F21722" t="s">
        <v>4</v>
      </c>
      <c r="G21722" t="str">
        <f>""</f>
        <v/>
      </c>
    </row>
    <row r="21723" spans="1:7" x14ac:dyDescent="0.25">
      <c r="A21723" t="s">
        <v>8</v>
      </c>
      <c r="B21723" s="1" t="str">
        <f>"000306958 - RICH FOODS NON RETAIL-COLDSTNE"</f>
        <v>000306958 - RICH FOODS NON RETAIL-COLDSTNE</v>
      </c>
      <c r="C21723" t="s">
        <v>903</v>
      </c>
      <c r="D21723" s="1" t="str">
        <f t="shared" si="592"/>
        <v>PRG-1048122</v>
      </c>
      <c r="E21723" t="s">
        <v>132</v>
      </c>
      <c r="F21723" t="s">
        <v>4</v>
      </c>
      <c r="G21723" t="str">
        <f>""</f>
        <v/>
      </c>
    </row>
    <row r="21724" spans="1:7" x14ac:dyDescent="0.25">
      <c r="A21724" t="s">
        <v>8</v>
      </c>
      <c r="B21724" s="1" t="str">
        <f>"000308521 - RICH FOOD BETTERCREME-COLDSTNE"</f>
        <v>000308521 - RICH FOOD BETTERCREME-COLDSTNE</v>
      </c>
      <c r="C21724" t="s">
        <v>906</v>
      </c>
      <c r="D21724" s="1" t="str">
        <f t="shared" si="592"/>
        <v>PRG-1048122</v>
      </c>
      <c r="E21724" t="s">
        <v>132</v>
      </c>
      <c r="F21724" t="s">
        <v>4</v>
      </c>
      <c r="G21724" t="str">
        <f>""</f>
        <v/>
      </c>
    </row>
    <row r="21725" spans="1:7" x14ac:dyDescent="0.25">
      <c r="A21725" t="s">
        <v>8</v>
      </c>
      <c r="B21725" s="1" t="str">
        <f>"000310590 - RICH FDS NONRTL NCORE-COLDSTNE"</f>
        <v>000310590 - RICH FDS NONRTL NCORE-COLDSTNE</v>
      </c>
      <c r="C21725" t="s">
        <v>1079</v>
      </c>
      <c r="D21725" s="1" t="str">
        <f t="shared" si="592"/>
        <v>PRG-1048122</v>
      </c>
      <c r="E21725" t="s">
        <v>132</v>
      </c>
      <c r="F21725" t="s">
        <v>4</v>
      </c>
      <c r="G21725" t="str">
        <f>""</f>
        <v/>
      </c>
    </row>
    <row r="21726" spans="1:7" x14ac:dyDescent="0.25">
      <c r="A21726" t="s">
        <v>8</v>
      </c>
      <c r="B21726" s="1" t="str">
        <f>"000311231 - RICH BETTERCREME NCORE-COLDSTN"</f>
        <v>000311231 - RICH BETTERCREME NCORE-COLDSTN</v>
      </c>
      <c r="C21726" t="s">
        <v>914</v>
      </c>
      <c r="D21726" s="1" t="str">
        <f t="shared" si="592"/>
        <v>PRG-1048122</v>
      </c>
      <c r="E21726" t="s">
        <v>132</v>
      </c>
      <c r="F21726" t="s">
        <v>4</v>
      </c>
      <c r="G21726" t="str">
        <f>""</f>
        <v/>
      </c>
    </row>
    <row r="21727" spans="1:7" x14ac:dyDescent="0.25">
      <c r="A21727" t="s">
        <v>8</v>
      </c>
      <c r="B21727" s="1" t="str">
        <f>"000311233 - RICH BETTERCREME CORE BB-CLDST"</f>
        <v>000311233 - RICH BETTERCREME CORE BB-CLDST</v>
      </c>
      <c r="C21727" t="s">
        <v>106</v>
      </c>
      <c r="D21727" s="1" t="str">
        <f t="shared" si="592"/>
        <v>PRG-1048122</v>
      </c>
      <c r="E21727" t="s">
        <v>132</v>
      </c>
      <c r="F21727" t="s">
        <v>4</v>
      </c>
      <c r="G21727" t="str">
        <f>""</f>
        <v/>
      </c>
    </row>
    <row r="21728" spans="1:7" x14ac:dyDescent="0.25">
      <c r="A21728" t="s">
        <v>8</v>
      </c>
      <c r="B21728" s="1" t="str">
        <f>"000314833 - RICH FOODS-COLDSTONE"</f>
        <v>000314833 - RICH FOODS-COLDSTONE</v>
      </c>
      <c r="C21728" t="s">
        <v>675</v>
      </c>
      <c r="D21728" s="1" t="str">
        <f t="shared" si="592"/>
        <v>PRG-1048122</v>
      </c>
      <c r="E21728" t="s">
        <v>132</v>
      </c>
      <c r="F21728" t="s">
        <v>4</v>
      </c>
      <c r="G21728" t="str">
        <f>""</f>
        <v/>
      </c>
    </row>
    <row r="21729" spans="1:7" x14ac:dyDescent="0.25">
      <c r="A21729" t="s">
        <v>8</v>
      </c>
      <c r="B21729" s="1" t="str">
        <f>"000315576 - RICH FOODS-COLD STONE"</f>
        <v>000315576 - RICH FOODS-COLD STONE</v>
      </c>
      <c r="C21729" t="s">
        <v>332</v>
      </c>
      <c r="D21729" s="1" t="str">
        <f t="shared" si="592"/>
        <v>PRG-1048122</v>
      </c>
      <c r="E21729" t="s">
        <v>132</v>
      </c>
      <c r="F21729" t="s">
        <v>4</v>
      </c>
      <c r="G21729" t="str">
        <f>""</f>
        <v/>
      </c>
    </row>
    <row r="21730" spans="1:7" x14ac:dyDescent="0.25">
      <c r="A21730" t="s">
        <v>8</v>
      </c>
      <c r="B21730" s="1" t="str">
        <f>"000317061 - RICH BETTERCREME CORE BB-CLDST"</f>
        <v>000317061 - RICH BETTERCREME CORE BB-CLDST</v>
      </c>
      <c r="C21730" t="s">
        <v>106</v>
      </c>
      <c r="D21730" s="1" t="str">
        <f t="shared" si="592"/>
        <v>PRG-1048122</v>
      </c>
      <c r="E21730" t="s">
        <v>132</v>
      </c>
      <c r="F21730" t="s">
        <v>4</v>
      </c>
      <c r="G21730" t="str">
        <f>""</f>
        <v/>
      </c>
    </row>
    <row r="21731" spans="1:7" x14ac:dyDescent="0.25">
      <c r="A21731" t="s">
        <v>8</v>
      </c>
      <c r="B21731" s="1" t="str">
        <f>"000317062 - RICH BETTERCREME NCORE-CLDSTNE"</f>
        <v>000317062 - RICH BETTERCREME NCORE-CLDSTNE</v>
      </c>
      <c r="C21731" t="s">
        <v>107</v>
      </c>
      <c r="D21731" s="1" t="str">
        <f t="shared" si="592"/>
        <v>PRG-1048122</v>
      </c>
      <c r="E21731" t="s">
        <v>132</v>
      </c>
      <c r="F21731" t="s">
        <v>4</v>
      </c>
      <c r="G21731" t="str">
        <f>""</f>
        <v/>
      </c>
    </row>
    <row r="21732" spans="1:7" x14ac:dyDescent="0.25">
      <c r="A21732" t="s">
        <v>8</v>
      </c>
      <c r="B21732" s="1" t="str">
        <f>"000322599 - RICH FOODS-COLD STONE"</f>
        <v>000322599 - RICH FOODS-COLD STONE</v>
      </c>
      <c r="C21732" t="s">
        <v>332</v>
      </c>
      <c r="D21732" s="1" t="str">
        <f t="shared" si="592"/>
        <v>PRG-1048122</v>
      </c>
      <c r="E21732" t="s">
        <v>132</v>
      </c>
      <c r="F21732" t="s">
        <v>4</v>
      </c>
      <c r="G21732" t="str">
        <f>""</f>
        <v/>
      </c>
    </row>
    <row r="21733" spans="1:7" x14ac:dyDescent="0.25">
      <c r="A21733" t="s">
        <v>8</v>
      </c>
      <c r="B21733" s="1" t="str">
        <f>"000324316 - RICH FOODS-BETTERCREME-COLDSTO"</f>
        <v>000324316 - RICH FOODS-BETTERCREME-COLDSTO</v>
      </c>
      <c r="C21733" t="s">
        <v>286</v>
      </c>
      <c r="D21733" s="1" t="str">
        <f t="shared" si="592"/>
        <v>PRG-1048122</v>
      </c>
      <c r="E21733" t="s">
        <v>132</v>
      </c>
      <c r="F21733" t="s">
        <v>4</v>
      </c>
      <c r="G21733" t="str">
        <f>""</f>
        <v/>
      </c>
    </row>
    <row r="21734" spans="1:7" x14ac:dyDescent="0.25">
      <c r="A21734" t="s">
        <v>8</v>
      </c>
      <c r="B21734" s="1" t="str">
        <f>"000325581 - RICH FOODS NON RETAIL-COLDSTNE"</f>
        <v>000325581 - RICH FOODS NON RETAIL-COLDSTNE</v>
      </c>
      <c r="C21734" t="s">
        <v>903</v>
      </c>
      <c r="D21734" s="1" t="str">
        <f t="shared" si="592"/>
        <v>PRG-1048122</v>
      </c>
      <c r="E21734" t="s">
        <v>132</v>
      </c>
      <c r="F21734" t="s">
        <v>4</v>
      </c>
      <c r="G21734" t="str">
        <f>""</f>
        <v/>
      </c>
    </row>
    <row r="21735" spans="1:7" x14ac:dyDescent="0.25">
      <c r="A21735" t="s">
        <v>8</v>
      </c>
      <c r="B21735" s="1" t="str">
        <f>"000327450 - RICH FOOD BETTERCREME-COLDSTNE"</f>
        <v>000327450 - RICH FOOD BETTERCREME-COLDSTNE</v>
      </c>
      <c r="C21735" t="s">
        <v>906</v>
      </c>
      <c r="D21735" s="1" t="str">
        <f t="shared" si="592"/>
        <v>PRG-1048122</v>
      </c>
      <c r="E21735" t="s">
        <v>132</v>
      </c>
      <c r="F21735" t="s">
        <v>4</v>
      </c>
      <c r="G21735" t="str">
        <f>""</f>
        <v/>
      </c>
    </row>
    <row r="21736" spans="1:7" x14ac:dyDescent="0.25">
      <c r="A21736" t="s">
        <v>8</v>
      </c>
      <c r="B21736" s="1" t="str">
        <f>"000327585 - RICH FOODS-BETTERCREME-COLDSTO"</f>
        <v>000327585 - RICH FOODS-BETTERCREME-COLDSTO</v>
      </c>
      <c r="C21736" t="s">
        <v>286</v>
      </c>
      <c r="D21736" s="1" t="str">
        <f t="shared" si="592"/>
        <v>PRG-1048122</v>
      </c>
      <c r="E21736" t="s">
        <v>132</v>
      </c>
      <c r="F21736" t="s">
        <v>4</v>
      </c>
      <c r="G21736" t="str">
        <f>""</f>
        <v/>
      </c>
    </row>
    <row r="21737" spans="1:7" x14ac:dyDescent="0.25">
      <c r="A21737" t="s">
        <v>8</v>
      </c>
      <c r="B21737" s="1" t="str">
        <f>"000329837 - RICH FDS NONRTL NCORE-COLDSTNE"</f>
        <v>000329837 - RICH FDS NONRTL NCORE-COLDSTNE</v>
      </c>
      <c r="C21737" t="s">
        <v>1079</v>
      </c>
      <c r="D21737" s="1" t="str">
        <f t="shared" si="592"/>
        <v>PRG-1048122</v>
      </c>
      <c r="E21737" t="s">
        <v>132</v>
      </c>
      <c r="F21737" t="s">
        <v>4</v>
      </c>
      <c r="G21737" t="str">
        <f>""</f>
        <v/>
      </c>
    </row>
    <row r="21738" spans="1:7" x14ac:dyDescent="0.25">
      <c r="A21738" t="s">
        <v>8</v>
      </c>
      <c r="B21738" s="1" t="str">
        <f>"000330471 - RICH BETTERCREME NCORE-COLDSTN"</f>
        <v>000330471 - RICH BETTERCREME NCORE-COLDSTN</v>
      </c>
      <c r="C21738" t="s">
        <v>914</v>
      </c>
      <c r="D21738" s="1" t="str">
        <f t="shared" si="592"/>
        <v>PRG-1048122</v>
      </c>
      <c r="E21738" t="s">
        <v>132</v>
      </c>
      <c r="F21738" t="s">
        <v>4</v>
      </c>
      <c r="G21738" t="str">
        <f>""</f>
        <v/>
      </c>
    </row>
    <row r="21739" spans="1:7" x14ac:dyDescent="0.25">
      <c r="A21739" t="s">
        <v>8</v>
      </c>
      <c r="B21739" s="1" t="str">
        <f>"000330473 - RICH BETTERCREME CORE BB-CLDST"</f>
        <v>000330473 - RICH BETTERCREME CORE BB-CLDST</v>
      </c>
      <c r="C21739" t="s">
        <v>106</v>
      </c>
      <c r="D21739" s="1" t="str">
        <f t="shared" si="592"/>
        <v>PRG-1048122</v>
      </c>
      <c r="E21739" t="s">
        <v>132</v>
      </c>
      <c r="F21739" t="s">
        <v>4</v>
      </c>
      <c r="G21739" t="str">
        <f>""</f>
        <v/>
      </c>
    </row>
    <row r="21740" spans="1:7" x14ac:dyDescent="0.25">
      <c r="A21740" t="s">
        <v>8</v>
      </c>
      <c r="B21740" s="1" t="str">
        <f>"000337182 - RICH BETTERCREME CORE BB-CLDST"</f>
        <v>000337182 - RICH BETTERCREME CORE BB-CLDST</v>
      </c>
      <c r="C21740" t="s">
        <v>106</v>
      </c>
      <c r="D21740" s="1" t="str">
        <f t="shared" si="592"/>
        <v>PRG-1048122</v>
      </c>
      <c r="E21740" t="s">
        <v>132</v>
      </c>
      <c r="F21740" t="s">
        <v>4</v>
      </c>
      <c r="G21740" t="str">
        <f>""</f>
        <v/>
      </c>
    </row>
    <row r="21741" spans="1:7" x14ac:dyDescent="0.25">
      <c r="A21741" t="s">
        <v>8</v>
      </c>
      <c r="B21741" s="1" t="str">
        <f>"000337183 - RICH BETTERCREME NCORE-CLDSTNE"</f>
        <v>000337183 - RICH BETTERCREME NCORE-CLDSTNE</v>
      </c>
      <c r="C21741" t="s">
        <v>107</v>
      </c>
      <c r="D21741" s="1" t="str">
        <f t="shared" si="592"/>
        <v>PRG-1048122</v>
      </c>
      <c r="E21741" t="s">
        <v>132</v>
      </c>
      <c r="F21741" t="s">
        <v>4</v>
      </c>
      <c r="G21741" t="str">
        <f>""</f>
        <v/>
      </c>
    </row>
    <row r="21742" spans="1:7" x14ac:dyDescent="0.25">
      <c r="A21742" t="s">
        <v>8</v>
      </c>
      <c r="B21742" s="1" t="str">
        <f>"000339151 - RICH FOODS NON RETAIL-COLDSTNE"</f>
        <v>000339151 - RICH FOODS NON RETAIL-COLDSTNE</v>
      </c>
      <c r="C21742" t="s">
        <v>903</v>
      </c>
      <c r="D21742" s="1" t="str">
        <f t="shared" si="592"/>
        <v>PRG-1048122</v>
      </c>
      <c r="E21742" t="s">
        <v>132</v>
      </c>
      <c r="F21742" t="s">
        <v>4</v>
      </c>
      <c r="G21742" t="str">
        <f>""</f>
        <v/>
      </c>
    </row>
    <row r="21743" spans="1:7" x14ac:dyDescent="0.25">
      <c r="A21743" t="s">
        <v>8</v>
      </c>
      <c r="B21743" s="1" t="str">
        <f>"000339378 - RICH FOODS-COLD STONE"</f>
        <v>000339378 - RICH FOODS-COLD STONE</v>
      </c>
      <c r="C21743" t="s">
        <v>332</v>
      </c>
      <c r="D21743" s="1" t="str">
        <f t="shared" si="592"/>
        <v>PRG-1048122</v>
      </c>
      <c r="E21743" t="s">
        <v>132</v>
      </c>
      <c r="F21743" t="s">
        <v>4</v>
      </c>
      <c r="G21743" t="str">
        <f>""</f>
        <v/>
      </c>
    </row>
    <row r="21744" spans="1:7" x14ac:dyDescent="0.25">
      <c r="A21744" t="s">
        <v>8</v>
      </c>
      <c r="B21744" s="1" t="str">
        <f>"000340818 - RICH FOOD BETTERCREME-COLDSTNE"</f>
        <v>000340818 - RICH FOOD BETTERCREME-COLDSTNE</v>
      </c>
      <c r="C21744" t="s">
        <v>906</v>
      </c>
      <c r="D21744" s="1" t="str">
        <f t="shared" si="592"/>
        <v>PRG-1048122</v>
      </c>
      <c r="E21744" t="s">
        <v>132</v>
      </c>
      <c r="F21744" t="s">
        <v>4</v>
      </c>
      <c r="G21744" t="str">
        <f>""</f>
        <v/>
      </c>
    </row>
    <row r="21745" spans="1:7" x14ac:dyDescent="0.25">
      <c r="A21745" t="s">
        <v>8</v>
      </c>
      <c r="B21745" s="1" t="str">
        <f>"000343151 - RICH FDS NONRTL NCORE-COLDSTNE"</f>
        <v>000343151 - RICH FDS NONRTL NCORE-COLDSTNE</v>
      </c>
      <c r="C21745" t="s">
        <v>1079</v>
      </c>
      <c r="D21745" s="1" t="str">
        <f t="shared" si="592"/>
        <v>PRG-1048122</v>
      </c>
      <c r="E21745" t="s">
        <v>132</v>
      </c>
      <c r="F21745" t="s">
        <v>4</v>
      </c>
      <c r="G21745" t="str">
        <f>""</f>
        <v/>
      </c>
    </row>
    <row r="21746" spans="1:7" x14ac:dyDescent="0.25">
      <c r="A21746" t="s">
        <v>8</v>
      </c>
      <c r="B21746" s="1" t="str">
        <f>"000343461 - RICH FOODS-COLD STONE"</f>
        <v>000343461 - RICH FOODS-COLD STONE</v>
      </c>
      <c r="C21746" t="s">
        <v>332</v>
      </c>
      <c r="D21746" s="1" t="str">
        <f t="shared" si="592"/>
        <v>PRG-1048122</v>
      </c>
      <c r="E21746" t="s">
        <v>132</v>
      </c>
      <c r="F21746" t="s">
        <v>4</v>
      </c>
      <c r="G21746" t="str">
        <f>""</f>
        <v/>
      </c>
    </row>
    <row r="21747" spans="1:7" x14ac:dyDescent="0.25">
      <c r="A21747" t="s">
        <v>8</v>
      </c>
      <c r="B21747" s="1" t="str">
        <f>"000343859 - RICH BETTERCREME CORE BB-CLDST"</f>
        <v>000343859 - RICH BETTERCREME CORE BB-CLDST</v>
      </c>
      <c r="C21747" t="s">
        <v>106</v>
      </c>
      <c r="D21747" s="1" t="str">
        <f t="shared" si="592"/>
        <v>PRG-1048122</v>
      </c>
      <c r="E21747" t="s">
        <v>132</v>
      </c>
      <c r="F21747" t="s">
        <v>4</v>
      </c>
      <c r="G21747" t="str">
        <f>""</f>
        <v/>
      </c>
    </row>
    <row r="21748" spans="1:7" x14ac:dyDescent="0.25">
      <c r="A21748" t="s">
        <v>8</v>
      </c>
      <c r="B21748" s="1" t="str">
        <f>"000344607 - RICH FOODS-COLDSTONE"</f>
        <v>000344607 - RICH FOODS-COLDSTONE</v>
      </c>
      <c r="C21748" t="s">
        <v>675</v>
      </c>
      <c r="D21748" s="1" t="str">
        <f t="shared" si="592"/>
        <v>PRG-1048122</v>
      </c>
      <c r="E21748" t="s">
        <v>132</v>
      </c>
      <c r="F21748" t="s">
        <v>4</v>
      </c>
      <c r="G21748" t="str">
        <f>""</f>
        <v/>
      </c>
    </row>
    <row r="21749" spans="1:7" x14ac:dyDescent="0.25">
      <c r="A21749" t="s">
        <v>8</v>
      </c>
      <c r="B21749" s="1" t="str">
        <f>"000345221 - RICH FOODS-BETTERCREME-COLDSTO"</f>
        <v>000345221 - RICH FOODS-BETTERCREME-COLDSTO</v>
      </c>
      <c r="C21749" t="s">
        <v>286</v>
      </c>
      <c r="D21749" s="1" t="str">
        <f t="shared" si="592"/>
        <v>PRG-1048122</v>
      </c>
      <c r="E21749" t="s">
        <v>132</v>
      </c>
      <c r="F21749" t="s">
        <v>4</v>
      </c>
      <c r="G21749" t="str">
        <f>""</f>
        <v/>
      </c>
    </row>
    <row r="21750" spans="1:7" x14ac:dyDescent="0.25">
      <c r="A21750" t="s">
        <v>8</v>
      </c>
      <c r="B21750" s="1" t="str">
        <f>"000345394 - RICH FOODS-BETTERCREME-COLDSTO"</f>
        <v>000345394 - RICH FOODS-BETTERCREME-COLDSTO</v>
      </c>
      <c r="C21750" t="s">
        <v>286</v>
      </c>
      <c r="D21750" s="1" t="str">
        <f t="shared" si="592"/>
        <v>PRG-1048122</v>
      </c>
      <c r="E21750" t="s">
        <v>132</v>
      </c>
      <c r="F21750" t="s">
        <v>4</v>
      </c>
      <c r="G21750" t="str">
        <f>""</f>
        <v/>
      </c>
    </row>
    <row r="21751" spans="1:7" x14ac:dyDescent="0.25">
      <c r="A21751" t="s">
        <v>8</v>
      </c>
      <c r="B21751" s="1" t="str">
        <f>"000348797 - RICH FOODS-BETTERCREME-COLDSTO"</f>
        <v>000348797 - RICH FOODS-BETTERCREME-COLDSTO</v>
      </c>
      <c r="C21751" t="s">
        <v>286</v>
      </c>
      <c r="D21751" s="1" t="str">
        <f t="shared" si="592"/>
        <v>PRG-1048122</v>
      </c>
      <c r="E21751" t="s">
        <v>132</v>
      </c>
      <c r="F21751" t="s">
        <v>4</v>
      </c>
      <c r="G21751" t="str">
        <f>""</f>
        <v/>
      </c>
    </row>
    <row r="21752" spans="1:7" x14ac:dyDescent="0.25">
      <c r="A21752" t="s">
        <v>8</v>
      </c>
      <c r="B21752" s="1" t="str">
        <f>"000349950 - RICH BETTERCREME CORE BB-CLDST"</f>
        <v>000349950 - RICH BETTERCREME CORE BB-CLDST</v>
      </c>
      <c r="C21752" t="s">
        <v>106</v>
      </c>
      <c r="D21752" s="1" t="str">
        <f t="shared" ref="D21752:D21778" si="593">"PRG-1048122"</f>
        <v>PRG-1048122</v>
      </c>
      <c r="E21752" t="s">
        <v>132</v>
      </c>
      <c r="F21752" t="s">
        <v>4</v>
      </c>
      <c r="G21752" t="str">
        <f>""</f>
        <v/>
      </c>
    </row>
    <row r="21753" spans="1:7" x14ac:dyDescent="0.25">
      <c r="A21753" t="s">
        <v>8</v>
      </c>
      <c r="B21753" s="1" t="str">
        <f>"000349951 - RICH BETTERCREME NCORE-CLDSTNE"</f>
        <v>000349951 - RICH BETTERCREME NCORE-CLDSTNE</v>
      </c>
      <c r="C21753" t="s">
        <v>107</v>
      </c>
      <c r="D21753" s="1" t="str">
        <f t="shared" si="593"/>
        <v>PRG-1048122</v>
      </c>
      <c r="E21753" t="s">
        <v>132</v>
      </c>
      <c r="F21753" t="s">
        <v>4</v>
      </c>
      <c r="G21753" t="str">
        <f>""</f>
        <v/>
      </c>
    </row>
    <row r="21754" spans="1:7" x14ac:dyDescent="0.25">
      <c r="A21754" t="s">
        <v>8</v>
      </c>
      <c r="B21754" s="1" t="str">
        <f>"000355837 - RICH FOODS-COLD STONE"</f>
        <v>000355837 - RICH FOODS-COLD STONE</v>
      </c>
      <c r="C21754" t="s">
        <v>332</v>
      </c>
      <c r="D21754" s="1" t="str">
        <f t="shared" si="593"/>
        <v>PRG-1048122</v>
      </c>
      <c r="E21754" t="s">
        <v>132</v>
      </c>
      <c r="F21754" t="s">
        <v>4</v>
      </c>
      <c r="G21754" t="str">
        <f>""</f>
        <v/>
      </c>
    </row>
    <row r="21755" spans="1:7" x14ac:dyDescent="0.25">
      <c r="A21755" t="s">
        <v>8</v>
      </c>
      <c r="B21755" s="1" t="str">
        <f>"000357532 - RICH FOODS-BETTERCREME-COLDSTO"</f>
        <v>000357532 - RICH FOODS-BETTERCREME-COLDSTO</v>
      </c>
      <c r="C21755" t="s">
        <v>286</v>
      </c>
      <c r="D21755" s="1" t="str">
        <f t="shared" si="593"/>
        <v>PRG-1048122</v>
      </c>
      <c r="E21755" t="s">
        <v>132</v>
      </c>
      <c r="F21755" t="s">
        <v>4</v>
      </c>
      <c r="G21755" t="str">
        <f>""</f>
        <v/>
      </c>
    </row>
    <row r="21756" spans="1:7" x14ac:dyDescent="0.25">
      <c r="A21756" t="s">
        <v>8</v>
      </c>
      <c r="B21756" s="1" t="str">
        <f>"000357759 - RICH FOODS-BETTERCREME-COLDSTO"</f>
        <v>000357759 - RICH FOODS-BETTERCREME-COLDSTO</v>
      </c>
      <c r="C21756" t="s">
        <v>286</v>
      </c>
      <c r="D21756" s="1" t="str">
        <f t="shared" si="593"/>
        <v>PRG-1048122</v>
      </c>
      <c r="E21756" t="s">
        <v>132</v>
      </c>
      <c r="F21756" t="s">
        <v>4</v>
      </c>
      <c r="G21756" t="str">
        <f>""</f>
        <v/>
      </c>
    </row>
    <row r="21757" spans="1:7" x14ac:dyDescent="0.25">
      <c r="A21757" t="s">
        <v>8</v>
      </c>
      <c r="B21757" s="1" t="str">
        <f>"000358542 - RICH FOODS-COLDSTONE"</f>
        <v>000358542 - RICH FOODS-COLDSTONE</v>
      </c>
      <c r="C21757" t="s">
        <v>675</v>
      </c>
      <c r="D21757" s="1" t="str">
        <f t="shared" si="593"/>
        <v>PRG-1048122</v>
      </c>
      <c r="E21757" t="s">
        <v>132</v>
      </c>
      <c r="F21757" t="s">
        <v>4</v>
      </c>
      <c r="G21757" t="str">
        <f>""</f>
        <v/>
      </c>
    </row>
    <row r="21758" spans="1:7" x14ac:dyDescent="0.25">
      <c r="A21758" t="s">
        <v>8</v>
      </c>
      <c r="B21758" s="1" t="str">
        <f>"000361123 - RICH FOODS-BETTERCREME-COLDSTO"</f>
        <v>000361123 - RICH FOODS-BETTERCREME-COLDSTO</v>
      </c>
      <c r="C21758" t="s">
        <v>286</v>
      </c>
      <c r="D21758" s="1" t="str">
        <f t="shared" si="593"/>
        <v>PRG-1048122</v>
      </c>
      <c r="E21758" t="s">
        <v>132</v>
      </c>
      <c r="F21758" t="s">
        <v>4</v>
      </c>
      <c r="G21758" t="str">
        <f>""</f>
        <v/>
      </c>
    </row>
    <row r="21759" spans="1:7" x14ac:dyDescent="0.25">
      <c r="A21759" t="s">
        <v>8</v>
      </c>
      <c r="B21759" s="1" t="str">
        <f>"000370985 - RICH FOOD BETTERCREME-COLDSTNE"</f>
        <v>000370985 - RICH FOOD BETTERCREME-COLDSTNE</v>
      </c>
      <c r="C21759" t="s">
        <v>906</v>
      </c>
      <c r="D21759" s="1" t="str">
        <f t="shared" si="593"/>
        <v>PRG-1048122</v>
      </c>
      <c r="E21759" t="s">
        <v>132</v>
      </c>
      <c r="F21759" t="s">
        <v>4</v>
      </c>
      <c r="G21759" t="str">
        <f>""</f>
        <v/>
      </c>
    </row>
    <row r="21760" spans="1:7" x14ac:dyDescent="0.25">
      <c r="A21760" t="s">
        <v>8</v>
      </c>
      <c r="B21760" s="1" t="str">
        <f>"000373481 - RICH BETTERCREME NCORE-COLDSTN"</f>
        <v>000373481 - RICH BETTERCREME NCORE-COLDSTN</v>
      </c>
      <c r="C21760" t="s">
        <v>914</v>
      </c>
      <c r="D21760" s="1" t="str">
        <f t="shared" si="593"/>
        <v>PRG-1048122</v>
      </c>
      <c r="E21760" t="s">
        <v>132</v>
      </c>
      <c r="F21760" t="s">
        <v>4</v>
      </c>
      <c r="G21760" t="str">
        <f>""</f>
        <v/>
      </c>
    </row>
    <row r="21761" spans="1:7" x14ac:dyDescent="0.25">
      <c r="A21761" t="s">
        <v>8</v>
      </c>
      <c r="B21761" s="1" t="str">
        <f>"000373483 - RICH BETTERCREME CORE BB-CLDST"</f>
        <v>000373483 - RICH BETTERCREME CORE BB-CLDST</v>
      </c>
      <c r="C21761" t="s">
        <v>106</v>
      </c>
      <c r="D21761" s="1" t="str">
        <f t="shared" si="593"/>
        <v>PRG-1048122</v>
      </c>
      <c r="E21761" t="s">
        <v>132</v>
      </c>
      <c r="F21761" t="s">
        <v>4</v>
      </c>
      <c r="G21761" t="str">
        <f>""</f>
        <v/>
      </c>
    </row>
    <row r="21762" spans="1:7" x14ac:dyDescent="0.25">
      <c r="A21762" t="s">
        <v>8</v>
      </c>
      <c r="B21762" s="1" t="str">
        <f>"000377441 - RICH FOODS-COLDSTONE"</f>
        <v>000377441 - RICH FOODS-COLDSTONE</v>
      </c>
      <c r="C21762" t="s">
        <v>675</v>
      </c>
      <c r="D21762" s="1" t="str">
        <f t="shared" si="593"/>
        <v>PRG-1048122</v>
      </c>
      <c r="E21762" t="s">
        <v>132</v>
      </c>
      <c r="F21762" t="s">
        <v>4</v>
      </c>
      <c r="G21762" t="str">
        <f>""</f>
        <v/>
      </c>
    </row>
    <row r="21763" spans="1:7" x14ac:dyDescent="0.25">
      <c r="A21763" t="s">
        <v>8</v>
      </c>
      <c r="B21763" s="1" t="str">
        <f>"000378816 - RICH BETTERCREME CORE BB-CLDST"</f>
        <v>000378816 - RICH BETTERCREME CORE BB-CLDST</v>
      </c>
      <c r="C21763" t="s">
        <v>106</v>
      </c>
      <c r="D21763" s="1" t="str">
        <f t="shared" si="593"/>
        <v>PRG-1048122</v>
      </c>
      <c r="E21763" t="s">
        <v>132</v>
      </c>
      <c r="F21763" t="s">
        <v>4</v>
      </c>
      <c r="G21763" t="str">
        <f>""</f>
        <v/>
      </c>
    </row>
    <row r="21764" spans="1:7" x14ac:dyDescent="0.25">
      <c r="A21764" t="s">
        <v>8</v>
      </c>
      <c r="B21764" s="1" t="str">
        <f>"000378817 - RICH BETTERCREME NCORE-CLDSTNE"</f>
        <v>000378817 - RICH BETTERCREME NCORE-CLDSTNE</v>
      </c>
      <c r="C21764" t="s">
        <v>107</v>
      </c>
      <c r="D21764" s="1" t="str">
        <f t="shared" si="593"/>
        <v>PRG-1048122</v>
      </c>
      <c r="E21764" t="s">
        <v>132</v>
      </c>
      <c r="F21764" t="s">
        <v>4</v>
      </c>
      <c r="G21764" t="str">
        <f>""</f>
        <v/>
      </c>
    </row>
    <row r="21765" spans="1:7" x14ac:dyDescent="0.25">
      <c r="A21765" t="s">
        <v>8</v>
      </c>
      <c r="B21765" s="1" t="str">
        <f>"000383688 - RICH FOODS-COLD STONE"</f>
        <v>000383688 - RICH FOODS-COLD STONE</v>
      </c>
      <c r="C21765" t="s">
        <v>332</v>
      </c>
      <c r="D21765" s="1" t="str">
        <f t="shared" si="593"/>
        <v>PRG-1048122</v>
      </c>
      <c r="E21765" t="s">
        <v>132</v>
      </c>
      <c r="F21765" t="s">
        <v>4</v>
      </c>
      <c r="G21765" t="str">
        <f>""</f>
        <v/>
      </c>
    </row>
    <row r="21766" spans="1:7" x14ac:dyDescent="0.25">
      <c r="A21766" t="s">
        <v>8</v>
      </c>
      <c r="B21766" s="1" t="str">
        <f>"000384998 - RICH FOODS-BETTERCREME-COLDSTO"</f>
        <v>000384998 - RICH FOODS-BETTERCREME-COLDSTO</v>
      </c>
      <c r="C21766" t="s">
        <v>286</v>
      </c>
      <c r="D21766" s="1" t="str">
        <f t="shared" si="593"/>
        <v>PRG-1048122</v>
      </c>
      <c r="E21766" t="s">
        <v>132</v>
      </c>
      <c r="F21766" t="s">
        <v>4</v>
      </c>
      <c r="G21766" t="str">
        <f>""</f>
        <v/>
      </c>
    </row>
    <row r="21767" spans="1:7" x14ac:dyDescent="0.25">
      <c r="A21767" t="s">
        <v>8</v>
      </c>
      <c r="B21767" s="1" t="str">
        <f>"000385119 - RICH FOODS-BETTERCREME-COLDSTO"</f>
        <v>000385119 - RICH FOODS-BETTERCREME-COLDSTO</v>
      </c>
      <c r="C21767" t="s">
        <v>286</v>
      </c>
      <c r="D21767" s="1" t="str">
        <f t="shared" si="593"/>
        <v>PRG-1048122</v>
      </c>
      <c r="E21767" t="s">
        <v>132</v>
      </c>
      <c r="F21767" t="s">
        <v>4</v>
      </c>
      <c r="G21767" t="str">
        <f>""</f>
        <v/>
      </c>
    </row>
    <row r="21768" spans="1:7" x14ac:dyDescent="0.25">
      <c r="A21768" t="s">
        <v>8</v>
      </c>
      <c r="B21768" s="1" t="str">
        <f>"000387919 - RICH FOODS-BETTERCREME-COLDSTO"</f>
        <v>000387919 - RICH FOODS-BETTERCREME-COLDSTO</v>
      </c>
      <c r="C21768" t="s">
        <v>286</v>
      </c>
      <c r="D21768" s="1" t="str">
        <f t="shared" si="593"/>
        <v>PRG-1048122</v>
      </c>
      <c r="E21768" t="s">
        <v>132</v>
      </c>
      <c r="F21768" t="s">
        <v>4</v>
      </c>
      <c r="G21768" t="str">
        <f>""</f>
        <v/>
      </c>
    </row>
    <row r="21769" spans="1:7" x14ac:dyDescent="0.25">
      <c r="A21769" t="s">
        <v>8</v>
      </c>
      <c r="B21769" s="1" t="str">
        <f>"000404487 - RICH FOODS-COLDSTONE"</f>
        <v>000404487 - RICH FOODS-COLDSTONE</v>
      </c>
      <c r="C21769" t="s">
        <v>675</v>
      </c>
      <c r="D21769" s="1" t="str">
        <f t="shared" si="593"/>
        <v>PRG-1048122</v>
      </c>
      <c r="E21769" t="s">
        <v>132</v>
      </c>
      <c r="F21769" t="s">
        <v>4</v>
      </c>
      <c r="G21769" t="str">
        <f>""</f>
        <v/>
      </c>
    </row>
    <row r="21770" spans="1:7" x14ac:dyDescent="0.25">
      <c r="A21770" t="s">
        <v>8</v>
      </c>
      <c r="B21770" s="1" t="str">
        <f>"000406301 - RICH FOODS BETTERCREME-COLDSTO"</f>
        <v>000406301 - RICH FOODS BETTERCREME-COLDSTO</v>
      </c>
      <c r="C21770" t="s">
        <v>319</v>
      </c>
      <c r="D21770" s="1" t="str">
        <f t="shared" si="593"/>
        <v>PRG-1048122</v>
      </c>
      <c r="E21770" t="s">
        <v>132</v>
      </c>
      <c r="F21770" t="s">
        <v>4</v>
      </c>
      <c r="G21770" t="str">
        <f>""</f>
        <v/>
      </c>
    </row>
    <row r="21771" spans="1:7" x14ac:dyDescent="0.25">
      <c r="A21771" t="s">
        <v>8</v>
      </c>
      <c r="B21771" s="1" t="str">
        <f>"000407686 - RICH FOODS-COLDSTONE"</f>
        <v>000407686 - RICH FOODS-COLDSTONE</v>
      </c>
      <c r="C21771" t="s">
        <v>675</v>
      </c>
      <c r="D21771" s="1" t="str">
        <f t="shared" si="593"/>
        <v>PRG-1048122</v>
      </c>
      <c r="E21771" t="s">
        <v>132</v>
      </c>
      <c r="F21771" t="s">
        <v>4</v>
      </c>
      <c r="G21771" t="str">
        <f>""</f>
        <v/>
      </c>
    </row>
    <row r="21772" spans="1:7" x14ac:dyDescent="0.25">
      <c r="A21772" t="s">
        <v>8</v>
      </c>
      <c r="B21772" s="1" t="str">
        <f>"000410362 - RICH FOODS-COLDSTONE"</f>
        <v>000410362 - RICH FOODS-COLDSTONE</v>
      </c>
      <c r="C21772" t="s">
        <v>675</v>
      </c>
      <c r="D21772" s="1" t="str">
        <f t="shared" si="593"/>
        <v>PRG-1048122</v>
      </c>
      <c r="E21772" t="s">
        <v>132</v>
      </c>
      <c r="F21772" t="s">
        <v>4</v>
      </c>
      <c r="G21772" t="str">
        <f>""</f>
        <v/>
      </c>
    </row>
    <row r="21773" spans="1:7" x14ac:dyDescent="0.25">
      <c r="A21773" t="s">
        <v>8</v>
      </c>
      <c r="B21773" s="1" t="str">
        <f>"000428170 - RICH FOODS-COLDSTONE"</f>
        <v>000428170 - RICH FOODS-COLDSTONE</v>
      </c>
      <c r="C21773" t="s">
        <v>675</v>
      </c>
      <c r="D21773" s="1" t="str">
        <f t="shared" si="593"/>
        <v>PRG-1048122</v>
      </c>
      <c r="E21773" t="s">
        <v>132</v>
      </c>
      <c r="F21773" t="s">
        <v>4</v>
      </c>
      <c r="G21773" t="str">
        <f>""</f>
        <v/>
      </c>
    </row>
    <row r="21774" spans="1:7" x14ac:dyDescent="0.25">
      <c r="A21774" t="s">
        <v>8</v>
      </c>
      <c r="B21774" s="1" t="str">
        <f>"000428534 - RICH FOODS-COLDSTONE"</f>
        <v>000428534 - RICH FOODS-COLDSTONE</v>
      </c>
      <c r="C21774" t="s">
        <v>675</v>
      </c>
      <c r="D21774" s="1" t="str">
        <f t="shared" si="593"/>
        <v>PRG-1048122</v>
      </c>
      <c r="E21774" t="s">
        <v>132</v>
      </c>
      <c r="F21774" t="s">
        <v>4</v>
      </c>
      <c r="G21774" t="str">
        <f>""</f>
        <v/>
      </c>
    </row>
    <row r="21775" spans="1:7" x14ac:dyDescent="0.25">
      <c r="A21775" t="s">
        <v>8</v>
      </c>
      <c r="B21775" s="1" t="str">
        <f>"000442402 - RICH FOODS-COLDSTONE"</f>
        <v>000442402 - RICH FOODS-COLDSTONE</v>
      </c>
      <c r="C21775" t="s">
        <v>675</v>
      </c>
      <c r="D21775" s="1" t="str">
        <f t="shared" si="593"/>
        <v>PRG-1048122</v>
      </c>
      <c r="E21775" t="s">
        <v>132</v>
      </c>
      <c r="F21775" t="s">
        <v>4</v>
      </c>
      <c r="G21775" t="str">
        <f>""</f>
        <v/>
      </c>
    </row>
    <row r="21776" spans="1:7" x14ac:dyDescent="0.25">
      <c r="A21776" t="s">
        <v>8</v>
      </c>
      <c r="B21776" s="1" t="str">
        <f>"2000405129 - RICH FOODS-COLD STONE CREAMERY"</f>
        <v>2000405129 - RICH FOODS-COLD STONE CREAMERY</v>
      </c>
      <c r="C21776" t="s">
        <v>68</v>
      </c>
      <c r="D21776" s="1" t="str">
        <f t="shared" si="593"/>
        <v>PRG-1048122</v>
      </c>
      <c r="E21776" t="s">
        <v>132</v>
      </c>
      <c r="F21776" t="s">
        <v>4</v>
      </c>
      <c r="G21776" t="str">
        <f>""</f>
        <v/>
      </c>
    </row>
    <row r="21777" spans="1:7" x14ac:dyDescent="0.25">
      <c r="A21777" t="s">
        <v>8</v>
      </c>
      <c r="B21777" s="1" t="str">
        <f>"2000432676 - RICH FOODS INLAND-COLD STONE CREAME"</f>
        <v>2000432676 - RICH FOODS INLAND-COLD STONE CREAME</v>
      </c>
      <c r="C21777" t="s">
        <v>4076</v>
      </c>
      <c r="D21777" s="1" t="str">
        <f t="shared" si="593"/>
        <v>PRG-1048122</v>
      </c>
      <c r="E21777" t="s">
        <v>132</v>
      </c>
      <c r="F21777" t="s">
        <v>4</v>
      </c>
      <c r="G21777" t="str">
        <f>""</f>
        <v/>
      </c>
    </row>
    <row r="21778" spans="1:7" x14ac:dyDescent="0.25">
      <c r="A21778" t="s">
        <v>8</v>
      </c>
      <c r="B21778" s="1" t="str">
        <f>"2000434957 - &amp;MP RICH FOODS-COLD STONE"</f>
        <v>2000434957 - &amp;MP RICH FOODS-COLD STONE</v>
      </c>
      <c r="C21778" t="s">
        <v>4079</v>
      </c>
      <c r="D21778" s="1" t="str">
        <f t="shared" si="593"/>
        <v>PRG-1048122</v>
      </c>
      <c r="E21778" t="s">
        <v>132</v>
      </c>
      <c r="F21778" t="s">
        <v>4</v>
      </c>
      <c r="G21778" t="str">
        <f>""</f>
        <v/>
      </c>
    </row>
    <row r="21779" spans="1:7" x14ac:dyDescent="0.25">
      <c r="A21779" t="s">
        <v>8</v>
      </c>
      <c r="B21779" s="1" t="str">
        <f>"000120361 - RICH FOODS JOHNS INCREDIBLE"</f>
        <v>000120361 - RICH FOODS JOHNS INCREDIBLE</v>
      </c>
      <c r="C21779" t="s">
        <v>885</v>
      </c>
      <c r="D21779" s="1" t="str">
        <f>"PRG-1048215"</f>
        <v>PRG-1048215</v>
      </c>
      <c r="E21779" t="s">
        <v>886</v>
      </c>
      <c r="F21779" t="s">
        <v>4</v>
      </c>
      <c r="G21779" t="str">
        <f>""</f>
        <v/>
      </c>
    </row>
    <row r="21780" spans="1:7" x14ac:dyDescent="0.25">
      <c r="A21780" t="s">
        <v>8</v>
      </c>
      <c r="B21780" s="1" t="str">
        <f>"000428721 - RICHS JIPC 1180791 1180704"</f>
        <v>000428721 - RICHS JIPC 1180791 1180704</v>
      </c>
      <c r="C21780" t="s">
        <v>3749</v>
      </c>
      <c r="D21780" s="1" t="str">
        <f>"PRG-1048215"</f>
        <v>PRG-1048215</v>
      </c>
      <c r="E21780" t="s">
        <v>886</v>
      </c>
      <c r="F21780" t="s">
        <v>4</v>
      </c>
      <c r="G21780" t="str">
        <f>""</f>
        <v/>
      </c>
    </row>
    <row r="21781" spans="1:7" x14ac:dyDescent="0.25">
      <c r="A21781" t="s">
        <v>8</v>
      </c>
      <c r="B21781" s="1" t="str">
        <f>"000276995 - RICHS   MPS"</f>
        <v>000276995 - RICHS   MPS</v>
      </c>
      <c r="C21781" t="s">
        <v>2591</v>
      </c>
      <c r="D21781" s="1" t="str">
        <f>"PRG-1048220"</f>
        <v>PRG-1048220</v>
      </c>
      <c r="E21781" t="s">
        <v>2592</v>
      </c>
      <c r="F21781" t="s">
        <v>4</v>
      </c>
      <c r="G21781" t="str">
        <f>""</f>
        <v/>
      </c>
    </row>
    <row r="21782" spans="1:7" x14ac:dyDescent="0.25">
      <c r="A21782" t="s">
        <v>8</v>
      </c>
      <c r="B21782" s="1" t="str">
        <f>"000253678 - TN201810726 REELFOOT-RICHS"</f>
        <v>000253678 - TN201810726 REELFOOT-RICHS</v>
      </c>
      <c r="C21782" t="s">
        <v>2143</v>
      </c>
      <c r="D21782" s="1" t="str">
        <f>"PRG-1048432"</f>
        <v>PRG-1048432</v>
      </c>
      <c r="E21782" t="s">
        <v>2144</v>
      </c>
      <c r="F21782" t="s">
        <v>4</v>
      </c>
      <c r="G21782" t="str">
        <f>""</f>
        <v/>
      </c>
    </row>
    <row r="21783" spans="1:7" x14ac:dyDescent="0.25">
      <c r="A21783" t="s">
        <v>8</v>
      </c>
      <c r="B21783" s="1" t="str">
        <f>"000294777 - IHOP RICH'S-ON TOP"</f>
        <v>000294777 - IHOP RICH'S-ON TOP</v>
      </c>
      <c r="C21783" t="s">
        <v>2893</v>
      </c>
      <c r="D21783" s="1" t="str">
        <f t="shared" ref="D21783:D21788" si="594">"PRG-1048547"</f>
        <v>PRG-1048547</v>
      </c>
      <c r="E21783" t="s">
        <v>357</v>
      </c>
      <c r="F21783" t="s">
        <v>4</v>
      </c>
      <c r="G21783" t="str">
        <f>""</f>
        <v/>
      </c>
    </row>
    <row r="21784" spans="1:7" x14ac:dyDescent="0.25">
      <c r="A21784" t="s">
        <v>8</v>
      </c>
      <c r="B21784" s="1" t="str">
        <f>"000311568 - RICH PRODUCTS         MAY IHOP"</f>
        <v>000311568 - RICH PRODUCTS         MAY IHOP</v>
      </c>
      <c r="C21784" t="s">
        <v>3121</v>
      </c>
      <c r="D21784" s="1" t="str">
        <f t="shared" si="594"/>
        <v>PRG-1048547</v>
      </c>
      <c r="E21784" t="s">
        <v>357</v>
      </c>
      <c r="F21784" t="s">
        <v>4</v>
      </c>
      <c r="G21784" t="str">
        <f>""</f>
        <v/>
      </c>
    </row>
    <row r="21785" spans="1:7" x14ac:dyDescent="0.25">
      <c r="A21785" t="s">
        <v>8</v>
      </c>
      <c r="B21785" s="1" t="str">
        <f>"000340022 - IHOP RICH'S ON TOP TOPPING"</f>
        <v>000340022 - IHOP RICH'S ON TOP TOPPING</v>
      </c>
      <c r="C21785" t="s">
        <v>3436</v>
      </c>
      <c r="D21785" s="1" t="str">
        <f t="shared" si="594"/>
        <v>PRG-1048547</v>
      </c>
      <c r="E21785" t="s">
        <v>357</v>
      </c>
      <c r="F21785" t="s">
        <v>4</v>
      </c>
      <c r="G21785" t="str">
        <f>""</f>
        <v/>
      </c>
    </row>
    <row r="21786" spans="1:7" x14ac:dyDescent="0.25">
      <c r="A21786" t="s">
        <v>8</v>
      </c>
      <c r="B21786" s="1" t="str">
        <f>"60260697"</f>
        <v>60260697</v>
      </c>
      <c r="C21786" t="s">
        <v>5026</v>
      </c>
      <c r="D21786" s="1" t="str">
        <f t="shared" si="594"/>
        <v>PRG-1048547</v>
      </c>
      <c r="E21786" t="s">
        <v>357</v>
      </c>
      <c r="F21786" t="s">
        <v>5</v>
      </c>
      <c r="G21786" t="str">
        <f>""</f>
        <v/>
      </c>
    </row>
    <row r="21787" spans="1:7" x14ac:dyDescent="0.25">
      <c r="A21787" t="s">
        <v>8</v>
      </c>
      <c r="B21787" s="1" t="str">
        <f>"6026VB82"</f>
        <v>6026VB82</v>
      </c>
      <c r="C21787" t="s">
        <v>5166</v>
      </c>
      <c r="D21787" s="1" t="str">
        <f t="shared" si="594"/>
        <v>PRG-1048547</v>
      </c>
      <c r="E21787" t="s">
        <v>357</v>
      </c>
      <c r="F21787" t="s">
        <v>5</v>
      </c>
      <c r="G21787" t="str">
        <f>""</f>
        <v/>
      </c>
    </row>
    <row r="21788" spans="1:7" x14ac:dyDescent="0.25">
      <c r="A21788" t="s">
        <v>8</v>
      </c>
      <c r="B21788" s="1" t="str">
        <f>"60291923"</f>
        <v>60291923</v>
      </c>
      <c r="C21788" t="s">
        <v>5228</v>
      </c>
      <c r="D21788" s="1" t="str">
        <f t="shared" si="594"/>
        <v>PRG-1048547</v>
      </c>
      <c r="E21788" t="s">
        <v>357</v>
      </c>
      <c r="F21788" t="s">
        <v>5</v>
      </c>
      <c r="G21788" t="str">
        <f>""</f>
        <v/>
      </c>
    </row>
    <row r="21789" spans="1:7" x14ac:dyDescent="0.25">
      <c r="A21789" t="s">
        <v>8</v>
      </c>
      <c r="B21789" s="1" t="str">
        <f>"000029532 - RICH FOODS-BLACK ANGUS"</f>
        <v>000029532 - RICH FOODS-BLACK ANGUS</v>
      </c>
      <c r="C21789" t="s">
        <v>188</v>
      </c>
      <c r="D21789" s="1" t="str">
        <f>"PRG-1048561"</f>
        <v>PRG-1048561</v>
      </c>
      <c r="E21789" t="s">
        <v>488</v>
      </c>
      <c r="F21789" t="s">
        <v>4</v>
      </c>
      <c r="G21789" t="str">
        <f>""</f>
        <v/>
      </c>
    </row>
    <row r="21790" spans="1:7" x14ac:dyDescent="0.25">
      <c r="A21790" t="s">
        <v>8</v>
      </c>
      <c r="B21790" s="1" t="str">
        <f>"000197988 - RICH FOODS-BLACK ANGUS"</f>
        <v>000197988 - RICH FOODS-BLACK ANGUS</v>
      </c>
      <c r="C21790" t="s">
        <v>188</v>
      </c>
      <c r="D21790" s="1" t="str">
        <f>"PRG-1048561"</f>
        <v>PRG-1048561</v>
      </c>
      <c r="E21790" t="s">
        <v>488</v>
      </c>
      <c r="F21790" t="s">
        <v>4</v>
      </c>
      <c r="G21790" t="str">
        <f>""</f>
        <v/>
      </c>
    </row>
    <row r="21791" spans="1:7" x14ac:dyDescent="0.25">
      <c r="A21791" t="s">
        <v>8</v>
      </c>
      <c r="B21791" s="1" t="str">
        <f>"000286650 - RICH FOODS-BLACK ANGUS"</f>
        <v>000286650 - RICH FOODS-BLACK ANGUS</v>
      </c>
      <c r="C21791" t="s">
        <v>188</v>
      </c>
      <c r="D21791" s="1" t="str">
        <f>"PRG-1048561"</f>
        <v>PRG-1048561</v>
      </c>
      <c r="E21791" t="s">
        <v>488</v>
      </c>
      <c r="F21791" t="s">
        <v>4</v>
      </c>
      <c r="G21791" t="str">
        <f>""</f>
        <v/>
      </c>
    </row>
    <row r="21792" spans="1:7" x14ac:dyDescent="0.25">
      <c r="A21792" t="s">
        <v>8</v>
      </c>
      <c r="B21792" s="1" t="str">
        <f>"000045405 - RICH FOODS-TOP GOLF"</f>
        <v>000045405 - RICH FOODS-TOP GOLF</v>
      </c>
      <c r="C21792" t="s">
        <v>203</v>
      </c>
      <c r="D21792" s="1" t="str">
        <f t="shared" ref="D21792:D21838" si="595">"PRG-1048592"</f>
        <v>PRG-1048592</v>
      </c>
      <c r="E21792" t="s">
        <v>204</v>
      </c>
      <c r="F21792" t="s">
        <v>4</v>
      </c>
      <c r="G21792" t="str">
        <f>""</f>
        <v/>
      </c>
    </row>
    <row r="21793" spans="1:7" x14ac:dyDescent="0.25">
      <c r="A21793" t="s">
        <v>8</v>
      </c>
      <c r="B21793" s="1" t="str">
        <f>"000055318 - RICH FOODS-TOP GOLF"</f>
        <v>000055318 - RICH FOODS-TOP GOLF</v>
      </c>
      <c r="C21793" t="s">
        <v>203</v>
      </c>
      <c r="D21793" s="1" t="str">
        <f t="shared" si="595"/>
        <v>PRG-1048592</v>
      </c>
      <c r="E21793" t="s">
        <v>204</v>
      </c>
      <c r="F21793" t="s">
        <v>4</v>
      </c>
      <c r="G21793" t="str">
        <f>""</f>
        <v/>
      </c>
    </row>
    <row r="21794" spans="1:7" x14ac:dyDescent="0.25">
      <c r="A21794" t="s">
        <v>8</v>
      </c>
      <c r="B21794" s="1" t="str">
        <f>"000057805 - RICH FOODS-TOP GOLF"</f>
        <v>000057805 - RICH FOODS-TOP GOLF</v>
      </c>
      <c r="C21794" t="s">
        <v>203</v>
      </c>
      <c r="D21794" s="1" t="str">
        <f t="shared" si="595"/>
        <v>PRG-1048592</v>
      </c>
      <c r="E21794" t="s">
        <v>204</v>
      </c>
      <c r="F21794" t="s">
        <v>4</v>
      </c>
      <c r="G21794" t="str">
        <f>""</f>
        <v/>
      </c>
    </row>
    <row r="21795" spans="1:7" x14ac:dyDescent="0.25">
      <c r="A21795" t="s">
        <v>8</v>
      </c>
      <c r="B21795" s="1" t="str">
        <f>"000066318 - RICH FOODS-TOP GOLF"</f>
        <v>000066318 - RICH FOODS-TOP GOLF</v>
      </c>
      <c r="C21795" t="s">
        <v>203</v>
      </c>
      <c r="D21795" s="1" t="str">
        <f t="shared" si="595"/>
        <v>PRG-1048592</v>
      </c>
      <c r="E21795" t="s">
        <v>204</v>
      </c>
      <c r="F21795" t="s">
        <v>4</v>
      </c>
      <c r="G21795" t="str">
        <f>""</f>
        <v/>
      </c>
    </row>
    <row r="21796" spans="1:7" x14ac:dyDescent="0.25">
      <c r="A21796" t="s">
        <v>8</v>
      </c>
      <c r="B21796" s="1" t="str">
        <f>"000070890 - RICH FOODS-TOP GOLF"</f>
        <v>000070890 - RICH FOODS-TOP GOLF</v>
      </c>
      <c r="C21796" t="s">
        <v>203</v>
      </c>
      <c r="D21796" s="1" t="str">
        <f t="shared" si="595"/>
        <v>PRG-1048592</v>
      </c>
      <c r="E21796" t="s">
        <v>204</v>
      </c>
      <c r="F21796" t="s">
        <v>4</v>
      </c>
      <c r="G21796" t="str">
        <f>""</f>
        <v/>
      </c>
    </row>
    <row r="21797" spans="1:7" x14ac:dyDescent="0.25">
      <c r="A21797" t="s">
        <v>8</v>
      </c>
      <c r="B21797" s="1" t="str">
        <f>"000071249 - RICH FOODS-TOP GOLF"</f>
        <v>000071249 - RICH FOODS-TOP GOLF</v>
      </c>
      <c r="C21797" t="s">
        <v>203</v>
      </c>
      <c r="D21797" s="1" t="str">
        <f t="shared" si="595"/>
        <v>PRG-1048592</v>
      </c>
      <c r="E21797" t="s">
        <v>204</v>
      </c>
      <c r="F21797" t="s">
        <v>4</v>
      </c>
      <c r="G21797" t="str">
        <f>""</f>
        <v/>
      </c>
    </row>
    <row r="21798" spans="1:7" x14ac:dyDescent="0.25">
      <c r="A21798" t="s">
        <v>8</v>
      </c>
      <c r="B21798" s="1" t="str">
        <f>"000073430 - RICH FOODS-TOP GOLF"</f>
        <v>000073430 - RICH FOODS-TOP GOLF</v>
      </c>
      <c r="C21798" t="s">
        <v>203</v>
      </c>
      <c r="D21798" s="1" t="str">
        <f t="shared" si="595"/>
        <v>PRG-1048592</v>
      </c>
      <c r="E21798" t="s">
        <v>204</v>
      </c>
      <c r="F21798" t="s">
        <v>4</v>
      </c>
      <c r="G21798" t="str">
        <f>""</f>
        <v/>
      </c>
    </row>
    <row r="21799" spans="1:7" x14ac:dyDescent="0.25">
      <c r="A21799" t="s">
        <v>8</v>
      </c>
      <c r="B21799" s="1" t="str">
        <f>"000076509 - RICH FOODS-TOP GOLF"</f>
        <v>000076509 - RICH FOODS-TOP GOLF</v>
      </c>
      <c r="C21799" t="s">
        <v>203</v>
      </c>
      <c r="D21799" s="1" t="str">
        <f t="shared" si="595"/>
        <v>PRG-1048592</v>
      </c>
      <c r="E21799" t="s">
        <v>204</v>
      </c>
      <c r="F21799" t="s">
        <v>4</v>
      </c>
      <c r="G21799" t="str">
        <f>""</f>
        <v/>
      </c>
    </row>
    <row r="21800" spans="1:7" x14ac:dyDescent="0.25">
      <c r="A21800" t="s">
        <v>8</v>
      </c>
      <c r="B21800" s="1" t="str">
        <f>"000268673 - RICH FOODS-TOP GOLF"</f>
        <v>000268673 - RICH FOODS-TOP GOLF</v>
      </c>
      <c r="C21800" t="s">
        <v>203</v>
      </c>
      <c r="D21800" s="1" t="str">
        <f t="shared" si="595"/>
        <v>PRG-1048592</v>
      </c>
      <c r="E21800" t="s">
        <v>204</v>
      </c>
      <c r="F21800" t="s">
        <v>4</v>
      </c>
      <c r="G21800" t="str">
        <f>""</f>
        <v/>
      </c>
    </row>
    <row r="21801" spans="1:7" x14ac:dyDescent="0.25">
      <c r="A21801" t="s">
        <v>8</v>
      </c>
      <c r="B21801" s="1" t="str">
        <f>"000274553 - RICH FOODS-TOP GOLF"</f>
        <v>000274553 - RICH FOODS-TOP GOLF</v>
      </c>
      <c r="C21801" t="s">
        <v>203</v>
      </c>
      <c r="D21801" s="1" t="str">
        <f t="shared" si="595"/>
        <v>PRG-1048592</v>
      </c>
      <c r="E21801" t="s">
        <v>204</v>
      </c>
      <c r="F21801" t="s">
        <v>4</v>
      </c>
      <c r="G21801" t="str">
        <f>""</f>
        <v/>
      </c>
    </row>
    <row r="21802" spans="1:7" x14ac:dyDescent="0.25">
      <c r="A21802" t="s">
        <v>8</v>
      </c>
      <c r="B21802" s="1" t="str">
        <f>"000278303 - RICH FOODS-TOP GOLF"</f>
        <v>000278303 - RICH FOODS-TOP GOLF</v>
      </c>
      <c r="C21802" t="s">
        <v>203</v>
      </c>
      <c r="D21802" s="1" t="str">
        <f t="shared" si="595"/>
        <v>PRG-1048592</v>
      </c>
      <c r="E21802" t="s">
        <v>204</v>
      </c>
      <c r="F21802" t="s">
        <v>4</v>
      </c>
      <c r="G21802" t="str">
        <f>""</f>
        <v/>
      </c>
    </row>
    <row r="21803" spans="1:7" x14ac:dyDescent="0.25">
      <c r="A21803" t="s">
        <v>8</v>
      </c>
      <c r="B21803" s="1" t="str">
        <f>"000292631 - RICH FOODS-TOP GOLF"</f>
        <v>000292631 - RICH FOODS-TOP GOLF</v>
      </c>
      <c r="C21803" t="s">
        <v>203</v>
      </c>
      <c r="D21803" s="1" t="str">
        <f t="shared" si="595"/>
        <v>PRG-1048592</v>
      </c>
      <c r="E21803" t="s">
        <v>204</v>
      </c>
      <c r="F21803" t="s">
        <v>4</v>
      </c>
      <c r="G21803" t="str">
        <f>""</f>
        <v/>
      </c>
    </row>
    <row r="21804" spans="1:7" x14ac:dyDescent="0.25">
      <c r="A21804" t="s">
        <v>8</v>
      </c>
      <c r="B21804" s="1" t="str">
        <f>"000297725 - RICH FOODS-TOP GOLF"</f>
        <v>000297725 - RICH FOODS-TOP GOLF</v>
      </c>
      <c r="C21804" t="s">
        <v>203</v>
      </c>
      <c r="D21804" s="1" t="str">
        <f t="shared" si="595"/>
        <v>PRG-1048592</v>
      </c>
      <c r="E21804" t="s">
        <v>204</v>
      </c>
      <c r="F21804" t="s">
        <v>4</v>
      </c>
      <c r="G21804" t="str">
        <f>""</f>
        <v/>
      </c>
    </row>
    <row r="21805" spans="1:7" x14ac:dyDescent="0.25">
      <c r="A21805" t="s">
        <v>8</v>
      </c>
      <c r="B21805" s="1" t="str">
        <f>"000305097 - RICH FOODS-TOP GOLF"</f>
        <v>000305097 - RICH FOODS-TOP GOLF</v>
      </c>
      <c r="C21805" t="s">
        <v>203</v>
      </c>
      <c r="D21805" s="1" t="str">
        <f t="shared" si="595"/>
        <v>PRG-1048592</v>
      </c>
      <c r="E21805" t="s">
        <v>204</v>
      </c>
      <c r="F21805" t="s">
        <v>4</v>
      </c>
      <c r="G21805" t="str">
        <f>""</f>
        <v/>
      </c>
    </row>
    <row r="21806" spans="1:7" x14ac:dyDescent="0.25">
      <c r="A21806" t="s">
        <v>8</v>
      </c>
      <c r="B21806" s="1" t="str">
        <f>"000309396 - RICH FOODS-TOP GOLF"</f>
        <v>000309396 - RICH FOODS-TOP GOLF</v>
      </c>
      <c r="C21806" t="s">
        <v>203</v>
      </c>
      <c r="D21806" s="1" t="str">
        <f t="shared" si="595"/>
        <v>PRG-1048592</v>
      </c>
      <c r="E21806" t="s">
        <v>204</v>
      </c>
      <c r="F21806" t="s">
        <v>4</v>
      </c>
      <c r="G21806" t="str">
        <f>""</f>
        <v/>
      </c>
    </row>
    <row r="21807" spans="1:7" x14ac:dyDescent="0.25">
      <c r="A21807" t="s">
        <v>8</v>
      </c>
      <c r="B21807" s="1" t="str">
        <f>"000310550 - RICH -TOP GOLF DPM RECOUP"</f>
        <v>000310550 - RICH -TOP GOLF DPM RECOUP</v>
      </c>
      <c r="C21807" t="s">
        <v>3109</v>
      </c>
      <c r="D21807" s="1" t="str">
        <f t="shared" si="595"/>
        <v>PRG-1048592</v>
      </c>
      <c r="E21807" t="s">
        <v>204</v>
      </c>
      <c r="F21807" t="s">
        <v>4</v>
      </c>
      <c r="G21807" t="str">
        <f>""</f>
        <v/>
      </c>
    </row>
    <row r="21808" spans="1:7" x14ac:dyDescent="0.25">
      <c r="A21808" t="s">
        <v>8</v>
      </c>
      <c r="B21808" s="1" t="str">
        <f>"000311140 - RICH FOODS-TOP GOLF"</f>
        <v>000311140 - RICH FOODS-TOP GOLF</v>
      </c>
      <c r="C21808" t="s">
        <v>203</v>
      </c>
      <c r="D21808" s="1" t="str">
        <f t="shared" si="595"/>
        <v>PRG-1048592</v>
      </c>
      <c r="E21808" t="s">
        <v>204</v>
      </c>
      <c r="F21808" t="s">
        <v>4</v>
      </c>
      <c r="G21808" t="str">
        <f>""</f>
        <v/>
      </c>
    </row>
    <row r="21809" spans="1:7" x14ac:dyDescent="0.25">
      <c r="A21809" t="s">
        <v>8</v>
      </c>
      <c r="B21809" s="1" t="str">
        <f>"000318846 - RICH FOODS-TOP GOLF"</f>
        <v>000318846 - RICH FOODS-TOP GOLF</v>
      </c>
      <c r="C21809" t="s">
        <v>203</v>
      </c>
      <c r="D21809" s="1" t="str">
        <f t="shared" si="595"/>
        <v>PRG-1048592</v>
      </c>
      <c r="E21809" t="s">
        <v>204</v>
      </c>
      <c r="F21809" t="s">
        <v>4</v>
      </c>
      <c r="G21809" t="str">
        <f>""</f>
        <v/>
      </c>
    </row>
    <row r="21810" spans="1:7" x14ac:dyDescent="0.25">
      <c r="A21810" t="s">
        <v>8</v>
      </c>
      <c r="B21810" s="1" t="str">
        <f>"000320113 - RICH FOODS-TOP GOLF"</f>
        <v>000320113 - RICH FOODS-TOP GOLF</v>
      </c>
      <c r="C21810" t="s">
        <v>203</v>
      </c>
      <c r="D21810" s="1" t="str">
        <f t="shared" si="595"/>
        <v>PRG-1048592</v>
      </c>
      <c r="E21810" t="s">
        <v>204</v>
      </c>
      <c r="F21810" t="s">
        <v>4</v>
      </c>
      <c r="G21810" t="str">
        <f>""</f>
        <v/>
      </c>
    </row>
    <row r="21811" spans="1:7" x14ac:dyDescent="0.25">
      <c r="A21811" t="s">
        <v>8</v>
      </c>
      <c r="B21811" s="1" t="str">
        <f>"000321947 - RICH FOODS-TOP GOLF"</f>
        <v>000321947 - RICH FOODS-TOP GOLF</v>
      </c>
      <c r="C21811" t="s">
        <v>203</v>
      </c>
      <c r="D21811" s="1" t="str">
        <f t="shared" si="595"/>
        <v>PRG-1048592</v>
      </c>
      <c r="E21811" t="s">
        <v>204</v>
      </c>
      <c r="F21811" t="s">
        <v>4</v>
      </c>
      <c r="G21811" t="str">
        <f>""</f>
        <v/>
      </c>
    </row>
    <row r="21812" spans="1:7" x14ac:dyDescent="0.25">
      <c r="A21812" t="s">
        <v>8</v>
      </c>
      <c r="B21812" s="1" t="str">
        <f>"000323269 - RICH PRODUCTS(R)-TOPGOLF"</f>
        <v>000323269 - RICH PRODUCTS(R)-TOPGOLF</v>
      </c>
      <c r="C21812" t="s">
        <v>3265</v>
      </c>
      <c r="D21812" s="1" t="str">
        <f t="shared" si="595"/>
        <v>PRG-1048592</v>
      </c>
      <c r="E21812" t="s">
        <v>204</v>
      </c>
      <c r="F21812" t="s">
        <v>4</v>
      </c>
      <c r="G21812" t="str">
        <f>""</f>
        <v/>
      </c>
    </row>
    <row r="21813" spans="1:7" x14ac:dyDescent="0.25">
      <c r="A21813" t="s">
        <v>8</v>
      </c>
      <c r="B21813" s="1" t="str">
        <f>"000325378 - RICH FOODS-TOP GOLF"</f>
        <v>000325378 - RICH FOODS-TOP GOLF</v>
      </c>
      <c r="C21813" t="s">
        <v>203</v>
      </c>
      <c r="D21813" s="1" t="str">
        <f t="shared" si="595"/>
        <v>PRG-1048592</v>
      </c>
      <c r="E21813" t="s">
        <v>204</v>
      </c>
      <c r="F21813" t="s">
        <v>4</v>
      </c>
      <c r="G21813" t="str">
        <f>""</f>
        <v/>
      </c>
    </row>
    <row r="21814" spans="1:7" x14ac:dyDescent="0.25">
      <c r="A21814" t="s">
        <v>8</v>
      </c>
      <c r="B21814" s="1" t="str">
        <f>"000327955 - RICH FOODS-TOP GOLF"</f>
        <v>000327955 - RICH FOODS-TOP GOLF</v>
      </c>
      <c r="C21814" t="s">
        <v>203</v>
      </c>
      <c r="D21814" s="1" t="str">
        <f t="shared" si="595"/>
        <v>PRG-1048592</v>
      </c>
      <c r="E21814" t="s">
        <v>204</v>
      </c>
      <c r="F21814" t="s">
        <v>4</v>
      </c>
      <c r="G21814" t="str">
        <f>""</f>
        <v/>
      </c>
    </row>
    <row r="21815" spans="1:7" x14ac:dyDescent="0.25">
      <c r="A21815" t="s">
        <v>8</v>
      </c>
      <c r="B21815" s="1" t="str">
        <f>"000328125 - RICH FOODS-TOP GOLF"</f>
        <v>000328125 - RICH FOODS-TOP GOLF</v>
      </c>
      <c r="C21815" t="s">
        <v>203</v>
      </c>
      <c r="D21815" s="1" t="str">
        <f t="shared" si="595"/>
        <v>PRG-1048592</v>
      </c>
      <c r="E21815" t="s">
        <v>204</v>
      </c>
      <c r="F21815" t="s">
        <v>4</v>
      </c>
      <c r="G21815" t="str">
        <f>""</f>
        <v/>
      </c>
    </row>
    <row r="21816" spans="1:7" x14ac:dyDescent="0.25">
      <c r="A21816" t="s">
        <v>8</v>
      </c>
      <c r="B21816" s="1" t="str">
        <f>"000329594 - RICH FOODS-TOP GOLF"</f>
        <v>000329594 - RICH FOODS-TOP GOLF</v>
      </c>
      <c r="C21816" t="s">
        <v>203</v>
      </c>
      <c r="D21816" s="1" t="str">
        <f t="shared" si="595"/>
        <v>PRG-1048592</v>
      </c>
      <c r="E21816" t="s">
        <v>204</v>
      </c>
      <c r="F21816" t="s">
        <v>4</v>
      </c>
      <c r="G21816" t="str">
        <f>""</f>
        <v/>
      </c>
    </row>
    <row r="21817" spans="1:7" x14ac:dyDescent="0.25">
      <c r="A21817" t="s">
        <v>8</v>
      </c>
      <c r="B21817" s="1" t="str">
        <f>"000330519 - RICH FOODS-TOP GOLF"</f>
        <v>000330519 - RICH FOODS-TOP GOLF</v>
      </c>
      <c r="C21817" t="s">
        <v>203</v>
      </c>
      <c r="D21817" s="1" t="str">
        <f t="shared" si="595"/>
        <v>PRG-1048592</v>
      </c>
      <c r="E21817" t="s">
        <v>204</v>
      </c>
      <c r="F21817" t="s">
        <v>4</v>
      </c>
      <c r="G21817" t="str">
        <f>""</f>
        <v/>
      </c>
    </row>
    <row r="21818" spans="1:7" x14ac:dyDescent="0.25">
      <c r="A21818" t="s">
        <v>8</v>
      </c>
      <c r="B21818" s="1" t="str">
        <f>"000332201 - RICH FOODS-TOP GOLF"</f>
        <v>000332201 - RICH FOODS-TOP GOLF</v>
      </c>
      <c r="C21818" t="s">
        <v>203</v>
      </c>
      <c r="D21818" s="1" t="str">
        <f t="shared" si="595"/>
        <v>PRG-1048592</v>
      </c>
      <c r="E21818" t="s">
        <v>204</v>
      </c>
      <c r="F21818" t="s">
        <v>4</v>
      </c>
      <c r="G21818" t="str">
        <f>""</f>
        <v/>
      </c>
    </row>
    <row r="21819" spans="1:7" x14ac:dyDescent="0.25">
      <c r="A21819" t="s">
        <v>8</v>
      </c>
      <c r="B21819" s="1" t="str">
        <f>"000338196 - RICH PRODUCTS-TOP GOLF"</f>
        <v>000338196 - RICH PRODUCTS-TOP GOLF</v>
      </c>
      <c r="C21819" t="s">
        <v>3428</v>
      </c>
      <c r="D21819" s="1" t="str">
        <f t="shared" si="595"/>
        <v>PRG-1048592</v>
      </c>
      <c r="E21819" t="s">
        <v>204</v>
      </c>
      <c r="F21819" t="s">
        <v>4</v>
      </c>
      <c r="G21819" t="str">
        <f>""</f>
        <v/>
      </c>
    </row>
    <row r="21820" spans="1:7" x14ac:dyDescent="0.25">
      <c r="A21820" t="s">
        <v>8</v>
      </c>
      <c r="B21820" s="1" t="str">
        <f>"000338198 - RICH PRODUCTS(R)-TOP GOLF"</f>
        <v>000338198 - RICH PRODUCTS(R)-TOP GOLF</v>
      </c>
      <c r="C21820" t="s">
        <v>3429</v>
      </c>
      <c r="D21820" s="1" t="str">
        <f t="shared" si="595"/>
        <v>PRG-1048592</v>
      </c>
      <c r="E21820" t="s">
        <v>204</v>
      </c>
      <c r="F21820" t="s">
        <v>4</v>
      </c>
      <c r="G21820" t="str">
        <f>""</f>
        <v/>
      </c>
    </row>
    <row r="21821" spans="1:7" x14ac:dyDescent="0.25">
      <c r="A21821" t="s">
        <v>8</v>
      </c>
      <c r="B21821" s="1" t="str">
        <f>"000358021 - RICH FOODS-TOP GOLF"</f>
        <v>000358021 - RICH FOODS-TOP GOLF</v>
      </c>
      <c r="C21821" t="s">
        <v>203</v>
      </c>
      <c r="D21821" s="1" t="str">
        <f t="shared" si="595"/>
        <v>PRG-1048592</v>
      </c>
      <c r="E21821" t="s">
        <v>204</v>
      </c>
      <c r="F21821" t="s">
        <v>4</v>
      </c>
      <c r="G21821" t="str">
        <f>""</f>
        <v/>
      </c>
    </row>
    <row r="21822" spans="1:7" x14ac:dyDescent="0.25">
      <c r="A21822" t="s">
        <v>8</v>
      </c>
      <c r="B21822" s="1" t="str">
        <f>"000370755 - RICH FOODS-TOP GOLF"</f>
        <v>000370755 - RICH FOODS-TOP GOLF</v>
      </c>
      <c r="C21822" t="s">
        <v>203</v>
      </c>
      <c r="D21822" s="1" t="str">
        <f t="shared" si="595"/>
        <v>PRG-1048592</v>
      </c>
      <c r="E21822" t="s">
        <v>204</v>
      </c>
      <c r="F21822" t="s">
        <v>4</v>
      </c>
      <c r="G21822" t="str">
        <f>""</f>
        <v/>
      </c>
    </row>
    <row r="21823" spans="1:7" x14ac:dyDescent="0.25">
      <c r="A21823" t="s">
        <v>8</v>
      </c>
      <c r="B21823" s="1" t="str">
        <f>"000377777 - RICH FOODS-TOP GOLF"</f>
        <v>000377777 - RICH FOODS-TOP GOLF</v>
      </c>
      <c r="C21823" t="s">
        <v>203</v>
      </c>
      <c r="D21823" s="1" t="str">
        <f t="shared" si="595"/>
        <v>PRG-1048592</v>
      </c>
      <c r="E21823" t="s">
        <v>204</v>
      </c>
      <c r="F21823" t="s">
        <v>4</v>
      </c>
      <c r="G21823" t="str">
        <f>""</f>
        <v/>
      </c>
    </row>
    <row r="21824" spans="1:7" x14ac:dyDescent="0.25">
      <c r="A21824" t="s">
        <v>8</v>
      </c>
      <c r="B21824" s="1" t="str">
        <f>"000394013 - RICH FOODS-TOP GOLF"</f>
        <v>000394013 - RICH FOODS-TOP GOLF</v>
      </c>
      <c r="C21824" t="s">
        <v>203</v>
      </c>
      <c r="D21824" s="1" t="str">
        <f t="shared" si="595"/>
        <v>PRG-1048592</v>
      </c>
      <c r="E21824" t="s">
        <v>204</v>
      </c>
      <c r="F21824" t="s">
        <v>4</v>
      </c>
      <c r="G21824" t="str">
        <f>""</f>
        <v/>
      </c>
    </row>
    <row r="21825" spans="1:7" x14ac:dyDescent="0.25">
      <c r="A21825" t="s">
        <v>8</v>
      </c>
      <c r="B21825" s="1" t="str">
        <f>"000396632 - RICH FOODS-TOP GOLF"</f>
        <v>000396632 - RICH FOODS-TOP GOLF</v>
      </c>
      <c r="C21825" t="s">
        <v>203</v>
      </c>
      <c r="D21825" s="1" t="str">
        <f t="shared" si="595"/>
        <v>PRG-1048592</v>
      </c>
      <c r="E21825" t="s">
        <v>204</v>
      </c>
      <c r="F21825" t="s">
        <v>4</v>
      </c>
      <c r="G21825" t="str">
        <f>""</f>
        <v/>
      </c>
    </row>
    <row r="21826" spans="1:7" x14ac:dyDescent="0.25">
      <c r="A21826" t="s">
        <v>8</v>
      </c>
      <c r="B21826" s="1" t="str">
        <f>"000399038 - RICH FOODS-TOP GOLF"</f>
        <v>000399038 - RICH FOODS-TOP GOLF</v>
      </c>
      <c r="C21826" t="s">
        <v>203</v>
      </c>
      <c r="D21826" s="1" t="str">
        <f t="shared" si="595"/>
        <v>PRG-1048592</v>
      </c>
      <c r="E21826" t="s">
        <v>204</v>
      </c>
      <c r="F21826" t="s">
        <v>4</v>
      </c>
      <c r="G21826" t="str">
        <f>""</f>
        <v/>
      </c>
    </row>
    <row r="21827" spans="1:7" x14ac:dyDescent="0.25">
      <c r="A21827" t="s">
        <v>8</v>
      </c>
      <c r="B21827" s="1" t="str">
        <f>"000399702 - RICH FOODS-TOP GOLF"</f>
        <v>000399702 - RICH FOODS-TOP GOLF</v>
      </c>
      <c r="C21827" t="s">
        <v>203</v>
      </c>
      <c r="D21827" s="1" t="str">
        <f t="shared" si="595"/>
        <v>PRG-1048592</v>
      </c>
      <c r="E21827" t="s">
        <v>204</v>
      </c>
      <c r="F21827" t="s">
        <v>4</v>
      </c>
      <c r="G21827" t="str">
        <f>""</f>
        <v/>
      </c>
    </row>
    <row r="21828" spans="1:7" x14ac:dyDescent="0.25">
      <c r="A21828" t="s">
        <v>8</v>
      </c>
      <c r="B21828" s="1" t="str">
        <f>"000401841 - RICH FOODS-TOP GOLF"</f>
        <v>000401841 - RICH FOODS-TOP GOLF</v>
      </c>
      <c r="C21828" t="s">
        <v>203</v>
      </c>
      <c r="D21828" s="1" t="str">
        <f t="shared" si="595"/>
        <v>PRG-1048592</v>
      </c>
      <c r="E21828" t="s">
        <v>204</v>
      </c>
      <c r="F21828" t="s">
        <v>4</v>
      </c>
      <c r="G21828" t="str">
        <f>""</f>
        <v/>
      </c>
    </row>
    <row r="21829" spans="1:7" x14ac:dyDescent="0.25">
      <c r="A21829" t="s">
        <v>8</v>
      </c>
      <c r="B21829" s="1" t="str">
        <f>"000404890 - RICH FOODS-TOP GOLF"</f>
        <v>000404890 - RICH FOODS-TOP GOLF</v>
      </c>
      <c r="C21829" t="s">
        <v>203</v>
      </c>
      <c r="D21829" s="1" t="str">
        <f t="shared" si="595"/>
        <v>PRG-1048592</v>
      </c>
      <c r="E21829" t="s">
        <v>204</v>
      </c>
      <c r="F21829" t="s">
        <v>4</v>
      </c>
      <c r="G21829" t="str">
        <f>""</f>
        <v/>
      </c>
    </row>
    <row r="21830" spans="1:7" x14ac:dyDescent="0.25">
      <c r="A21830" t="s">
        <v>8</v>
      </c>
      <c r="B21830" s="1" t="str">
        <f>"000405169 - RICH FOODS-TOP GOLF"</f>
        <v>000405169 - RICH FOODS-TOP GOLF</v>
      </c>
      <c r="C21830" t="s">
        <v>203</v>
      </c>
      <c r="D21830" s="1" t="str">
        <f t="shared" si="595"/>
        <v>PRG-1048592</v>
      </c>
      <c r="E21830" t="s">
        <v>204</v>
      </c>
      <c r="F21830" t="s">
        <v>4</v>
      </c>
      <c r="G21830" t="str">
        <f>""</f>
        <v/>
      </c>
    </row>
    <row r="21831" spans="1:7" x14ac:dyDescent="0.25">
      <c r="A21831" t="s">
        <v>8</v>
      </c>
      <c r="B21831" s="1" t="str">
        <f>"000408177 - RICH FOODS-TOP GOLF"</f>
        <v>000408177 - RICH FOODS-TOP GOLF</v>
      </c>
      <c r="C21831" t="s">
        <v>203</v>
      </c>
      <c r="D21831" s="1" t="str">
        <f t="shared" si="595"/>
        <v>PRG-1048592</v>
      </c>
      <c r="E21831" t="s">
        <v>204</v>
      </c>
      <c r="F21831" t="s">
        <v>4</v>
      </c>
      <c r="G21831" t="str">
        <f>""</f>
        <v/>
      </c>
    </row>
    <row r="21832" spans="1:7" x14ac:dyDescent="0.25">
      <c r="A21832" t="s">
        <v>8</v>
      </c>
      <c r="B21832" s="1" t="str">
        <f>"000413836 - RICH FOODS-TOP GOLF"</f>
        <v>000413836 - RICH FOODS-TOP GOLF</v>
      </c>
      <c r="C21832" t="s">
        <v>203</v>
      </c>
      <c r="D21832" s="1" t="str">
        <f t="shared" si="595"/>
        <v>PRG-1048592</v>
      </c>
      <c r="E21832" t="s">
        <v>204</v>
      </c>
      <c r="F21832" t="s">
        <v>4</v>
      </c>
      <c r="G21832" t="str">
        <f>""</f>
        <v/>
      </c>
    </row>
    <row r="21833" spans="1:7" x14ac:dyDescent="0.25">
      <c r="A21833" t="s">
        <v>8</v>
      </c>
      <c r="B21833" s="1" t="str">
        <f>"000422595 - RICH FOODS-TOP GOLF"</f>
        <v>000422595 - RICH FOODS-TOP GOLF</v>
      </c>
      <c r="C21833" t="s">
        <v>203</v>
      </c>
      <c r="D21833" s="1" t="str">
        <f t="shared" si="595"/>
        <v>PRG-1048592</v>
      </c>
      <c r="E21833" t="s">
        <v>204</v>
      </c>
      <c r="F21833" t="s">
        <v>4</v>
      </c>
      <c r="G21833" t="str">
        <f>""</f>
        <v/>
      </c>
    </row>
    <row r="21834" spans="1:7" x14ac:dyDescent="0.25">
      <c r="A21834" t="s">
        <v>8</v>
      </c>
      <c r="B21834" s="1" t="str">
        <f>"000422944 - RICH FOODS-TOP GOLF"</f>
        <v>000422944 - RICH FOODS-TOP GOLF</v>
      </c>
      <c r="C21834" t="s">
        <v>203</v>
      </c>
      <c r="D21834" s="1" t="str">
        <f t="shared" si="595"/>
        <v>PRG-1048592</v>
      </c>
      <c r="E21834" t="s">
        <v>204</v>
      </c>
      <c r="F21834" t="s">
        <v>4</v>
      </c>
      <c r="G21834" t="str">
        <f>""</f>
        <v/>
      </c>
    </row>
    <row r="21835" spans="1:7" x14ac:dyDescent="0.25">
      <c r="A21835" t="s">
        <v>8</v>
      </c>
      <c r="B21835" s="1" t="str">
        <f>"000428013 - RICH FOODS-TOP GOLF"</f>
        <v>000428013 - RICH FOODS-TOP GOLF</v>
      </c>
      <c r="C21835" t="s">
        <v>203</v>
      </c>
      <c r="D21835" s="1" t="str">
        <f t="shared" si="595"/>
        <v>PRG-1048592</v>
      </c>
      <c r="E21835" t="s">
        <v>204</v>
      </c>
      <c r="F21835" t="s">
        <v>4</v>
      </c>
      <c r="G21835" t="str">
        <f>""</f>
        <v/>
      </c>
    </row>
    <row r="21836" spans="1:7" x14ac:dyDescent="0.25">
      <c r="A21836" t="s">
        <v>8</v>
      </c>
      <c r="B21836" s="1" t="str">
        <f>"000428223 - RICH FOODS-TOP GOLF"</f>
        <v>000428223 - RICH FOODS-TOP GOLF</v>
      </c>
      <c r="C21836" t="s">
        <v>203</v>
      </c>
      <c r="D21836" s="1" t="str">
        <f t="shared" si="595"/>
        <v>PRG-1048592</v>
      </c>
      <c r="E21836" t="s">
        <v>204</v>
      </c>
      <c r="F21836" t="s">
        <v>4</v>
      </c>
      <c r="G21836" t="str">
        <f>""</f>
        <v/>
      </c>
    </row>
    <row r="21837" spans="1:7" x14ac:dyDescent="0.25">
      <c r="A21837" t="s">
        <v>8</v>
      </c>
      <c r="B21837" s="1" t="str">
        <f>"000428590 - RICH FOODS-TOP GOLF"</f>
        <v>000428590 - RICH FOODS-TOP GOLF</v>
      </c>
      <c r="C21837" t="s">
        <v>203</v>
      </c>
      <c r="D21837" s="1" t="str">
        <f t="shared" si="595"/>
        <v>PRG-1048592</v>
      </c>
      <c r="E21837" t="s">
        <v>204</v>
      </c>
      <c r="F21837" t="s">
        <v>4</v>
      </c>
      <c r="G21837" t="str">
        <f>""</f>
        <v/>
      </c>
    </row>
    <row r="21838" spans="1:7" x14ac:dyDescent="0.25">
      <c r="A21838" t="s">
        <v>8</v>
      </c>
      <c r="B21838" s="1" t="str">
        <f>"000433582 - RICH FOODS-TOP GOLF"</f>
        <v>000433582 - RICH FOODS-TOP GOLF</v>
      </c>
      <c r="C21838" t="s">
        <v>203</v>
      </c>
      <c r="D21838" s="1" t="str">
        <f t="shared" si="595"/>
        <v>PRG-1048592</v>
      </c>
      <c r="E21838" t="s">
        <v>204</v>
      </c>
      <c r="F21838" t="s">
        <v>4</v>
      </c>
      <c r="G21838" t="str">
        <f>""</f>
        <v/>
      </c>
    </row>
    <row r="21839" spans="1:7" x14ac:dyDescent="0.25">
      <c r="A21839" t="s">
        <v>8</v>
      </c>
      <c r="B21839" s="1" t="str">
        <f>"000055715 - RICH FOODS-RACE TRAC"</f>
        <v>000055715 - RICH FOODS-RACE TRAC</v>
      </c>
      <c r="C21839" t="s">
        <v>666</v>
      </c>
      <c r="D21839" s="1" t="str">
        <f t="shared" ref="D21839:D21846" si="596">"PRG-1048641"</f>
        <v>PRG-1048641</v>
      </c>
      <c r="E21839" t="s">
        <v>681</v>
      </c>
      <c r="F21839" t="s">
        <v>4</v>
      </c>
      <c r="G21839" t="str">
        <f>""</f>
        <v/>
      </c>
    </row>
    <row r="21840" spans="1:7" x14ac:dyDescent="0.25">
      <c r="A21840" t="s">
        <v>8</v>
      </c>
      <c r="B21840" s="1" t="str">
        <f>"000057790 - RICH FOODS-RACE TRAC"</f>
        <v>000057790 - RICH FOODS-RACE TRAC</v>
      </c>
      <c r="C21840" t="s">
        <v>666</v>
      </c>
      <c r="D21840" s="1" t="str">
        <f t="shared" si="596"/>
        <v>PRG-1048641</v>
      </c>
      <c r="E21840" t="s">
        <v>681</v>
      </c>
      <c r="F21840" t="s">
        <v>4</v>
      </c>
      <c r="G21840" t="str">
        <f>""</f>
        <v/>
      </c>
    </row>
    <row r="21841" spans="1:7" x14ac:dyDescent="0.25">
      <c r="A21841" t="s">
        <v>8</v>
      </c>
      <c r="B21841" s="1" t="str">
        <f>"000409706 - RICH FOODS-RACE TRAC"</f>
        <v>000409706 - RICH FOODS-RACE TRAC</v>
      </c>
      <c r="C21841" t="s">
        <v>666</v>
      </c>
      <c r="D21841" s="1" t="str">
        <f t="shared" si="596"/>
        <v>PRG-1048641</v>
      </c>
      <c r="E21841" t="s">
        <v>681</v>
      </c>
      <c r="F21841" t="s">
        <v>4</v>
      </c>
      <c r="G21841" t="str">
        <f>""</f>
        <v/>
      </c>
    </row>
    <row r="21842" spans="1:7" x14ac:dyDescent="0.25">
      <c r="A21842" t="s">
        <v>8</v>
      </c>
      <c r="B21842" s="1" t="str">
        <f>"000412293 - RICH FOODS-RACE TRAC"</f>
        <v>000412293 - RICH FOODS-RACE TRAC</v>
      </c>
      <c r="C21842" t="s">
        <v>666</v>
      </c>
      <c r="D21842" s="1" t="str">
        <f t="shared" si="596"/>
        <v>PRG-1048641</v>
      </c>
      <c r="E21842" t="s">
        <v>681</v>
      </c>
      <c r="F21842" t="s">
        <v>4</v>
      </c>
      <c r="G21842" t="str">
        <f>""</f>
        <v/>
      </c>
    </row>
    <row r="21843" spans="1:7" x14ac:dyDescent="0.25">
      <c r="A21843" t="s">
        <v>8</v>
      </c>
      <c r="B21843" s="1" t="str">
        <f>"000419780 - RICH FOODS-RACE TRAC"</f>
        <v>000419780 - RICH FOODS-RACE TRAC</v>
      </c>
      <c r="C21843" t="s">
        <v>666</v>
      </c>
      <c r="D21843" s="1" t="str">
        <f t="shared" si="596"/>
        <v>PRG-1048641</v>
      </c>
      <c r="E21843" t="s">
        <v>681</v>
      </c>
      <c r="F21843" t="s">
        <v>4</v>
      </c>
      <c r="G21843" t="str">
        <f>""</f>
        <v/>
      </c>
    </row>
    <row r="21844" spans="1:7" x14ac:dyDescent="0.25">
      <c r="A21844" t="s">
        <v>8</v>
      </c>
      <c r="B21844" s="1" t="str">
        <f>"000420312 - RICH FOODS-RACE TRAC"</f>
        <v>000420312 - RICH FOODS-RACE TRAC</v>
      </c>
      <c r="C21844" t="s">
        <v>666</v>
      </c>
      <c r="D21844" s="1" t="str">
        <f t="shared" si="596"/>
        <v>PRG-1048641</v>
      </c>
      <c r="E21844" t="s">
        <v>681</v>
      </c>
      <c r="F21844" t="s">
        <v>4</v>
      </c>
      <c r="G21844" t="str">
        <f>""</f>
        <v/>
      </c>
    </row>
    <row r="21845" spans="1:7" x14ac:dyDescent="0.25">
      <c r="A21845" t="s">
        <v>8</v>
      </c>
      <c r="B21845" s="1" t="str">
        <f>"000422583 - RICH FOODS-RACE TRAC"</f>
        <v>000422583 - RICH FOODS-RACE TRAC</v>
      </c>
      <c r="C21845" t="s">
        <v>666</v>
      </c>
      <c r="D21845" s="1" t="str">
        <f t="shared" si="596"/>
        <v>PRG-1048641</v>
      </c>
      <c r="E21845" t="s">
        <v>681</v>
      </c>
      <c r="F21845" t="s">
        <v>4</v>
      </c>
      <c r="G21845" t="str">
        <f>""</f>
        <v/>
      </c>
    </row>
    <row r="21846" spans="1:7" x14ac:dyDescent="0.25">
      <c r="A21846" t="s">
        <v>8</v>
      </c>
      <c r="B21846" s="1" t="str">
        <f>"000422923 - RICH FOODS-RACE TRAC"</f>
        <v>000422923 - RICH FOODS-RACE TRAC</v>
      </c>
      <c r="C21846" t="s">
        <v>666</v>
      </c>
      <c r="D21846" s="1" t="str">
        <f t="shared" si="596"/>
        <v>PRG-1048641</v>
      </c>
      <c r="E21846" t="s">
        <v>681</v>
      </c>
      <c r="F21846" t="s">
        <v>4</v>
      </c>
      <c r="G21846" t="str">
        <f>""</f>
        <v/>
      </c>
    </row>
    <row r="21847" spans="1:7" x14ac:dyDescent="0.25">
      <c r="A21847" t="s">
        <v>8</v>
      </c>
      <c r="B21847" s="1" t="str">
        <f>"000071753 - RICH'S ALL CUSTOMER"</f>
        <v>000071753 - RICH'S ALL CUSTOMER</v>
      </c>
      <c r="C21847" t="s">
        <v>733</v>
      </c>
      <c r="D21847" s="1" t="str">
        <f>"PRG-1048792"</f>
        <v>PRG-1048792</v>
      </c>
      <c r="E21847" t="s">
        <v>734</v>
      </c>
      <c r="F21847" t="s">
        <v>4</v>
      </c>
      <c r="G21847" t="str">
        <f>""</f>
        <v/>
      </c>
    </row>
    <row r="21848" spans="1:7" x14ac:dyDescent="0.25">
      <c r="A21848" t="s">
        <v>8</v>
      </c>
      <c r="B21848" s="1" t="str">
        <f>"000002985 - RICH FOODS BB NCORE HILTON"</f>
        <v>000002985 - RICH FOODS BB NCORE HILTON</v>
      </c>
      <c r="C21848" t="s">
        <v>143</v>
      </c>
      <c r="D21848" s="1" t="str">
        <f t="shared" ref="D21848:D21879" si="597">"PRG-1048797"</f>
        <v>PRG-1048797</v>
      </c>
      <c r="E21848" t="s">
        <v>125</v>
      </c>
      <c r="F21848" t="s">
        <v>4</v>
      </c>
      <c r="G21848" t="str">
        <f>""</f>
        <v/>
      </c>
    </row>
    <row r="21849" spans="1:7" x14ac:dyDescent="0.25">
      <c r="A21849" t="s">
        <v>8</v>
      </c>
      <c r="B21849" s="1" t="str">
        <f>"000019801 - RICH PRODUCTS BAPA HILTON"</f>
        <v>000019801 - RICH PRODUCTS BAPA HILTON</v>
      </c>
      <c r="C21849" t="s">
        <v>399</v>
      </c>
      <c r="D21849" s="1" t="str">
        <f t="shared" si="597"/>
        <v>PRG-1048797</v>
      </c>
      <c r="E21849" t="s">
        <v>125</v>
      </c>
      <c r="F21849" t="s">
        <v>4</v>
      </c>
      <c r="G21849" t="str">
        <f>""</f>
        <v/>
      </c>
    </row>
    <row r="21850" spans="1:7" x14ac:dyDescent="0.25">
      <c r="A21850" t="s">
        <v>8</v>
      </c>
      <c r="B21850" s="1" t="str">
        <f>"000020324 - RICH FOODS-HILTON"</f>
        <v>000020324 - RICH FOODS-HILTON</v>
      </c>
      <c r="C21850" t="s">
        <v>183</v>
      </c>
      <c r="D21850" s="1" t="str">
        <f t="shared" si="597"/>
        <v>PRG-1048797</v>
      </c>
      <c r="E21850" t="s">
        <v>125</v>
      </c>
      <c r="F21850" t="s">
        <v>4</v>
      </c>
      <c r="G21850" t="str">
        <f>""</f>
        <v/>
      </c>
    </row>
    <row r="21851" spans="1:7" x14ac:dyDescent="0.25">
      <c r="A21851" t="s">
        <v>8</v>
      </c>
      <c r="B21851" s="1" t="str">
        <f>"000027279 - RICH FOODS-HILTON"</f>
        <v>000027279 - RICH FOODS-HILTON</v>
      </c>
      <c r="C21851" t="s">
        <v>183</v>
      </c>
      <c r="D21851" s="1" t="str">
        <f t="shared" si="597"/>
        <v>PRG-1048797</v>
      </c>
      <c r="E21851" t="s">
        <v>125</v>
      </c>
      <c r="F21851" t="s">
        <v>4</v>
      </c>
      <c r="G21851" t="str">
        <f>""</f>
        <v/>
      </c>
    </row>
    <row r="21852" spans="1:7" x14ac:dyDescent="0.25">
      <c r="A21852" t="s">
        <v>8</v>
      </c>
      <c r="B21852" s="1" t="str">
        <f>"000031546 - RICH FOODS-HILTON"</f>
        <v>000031546 - RICH FOODS-HILTON</v>
      </c>
      <c r="C21852" t="s">
        <v>183</v>
      </c>
      <c r="D21852" s="1" t="str">
        <f t="shared" si="597"/>
        <v>PRG-1048797</v>
      </c>
      <c r="E21852" t="s">
        <v>125</v>
      </c>
      <c r="F21852" t="s">
        <v>4</v>
      </c>
      <c r="G21852" t="str">
        <f>""</f>
        <v/>
      </c>
    </row>
    <row r="21853" spans="1:7" x14ac:dyDescent="0.25">
      <c r="A21853" t="s">
        <v>8</v>
      </c>
      <c r="B21853" s="1" t="str">
        <f>"000034044 - RICH FOODS-HILTON"</f>
        <v>000034044 - RICH FOODS-HILTON</v>
      </c>
      <c r="C21853" t="s">
        <v>183</v>
      </c>
      <c r="D21853" s="1" t="str">
        <f t="shared" si="597"/>
        <v>PRG-1048797</v>
      </c>
      <c r="E21853" t="s">
        <v>125</v>
      </c>
      <c r="F21853" t="s">
        <v>4</v>
      </c>
      <c r="G21853" t="str">
        <f>""</f>
        <v/>
      </c>
    </row>
    <row r="21854" spans="1:7" x14ac:dyDescent="0.25">
      <c r="A21854" t="s">
        <v>8</v>
      </c>
      <c r="B21854" s="1" t="str">
        <f>"000035277 - RICH FOODS-HILTON"</f>
        <v>000035277 - RICH FOODS-HILTON</v>
      </c>
      <c r="C21854" t="s">
        <v>183</v>
      </c>
      <c r="D21854" s="1" t="str">
        <f t="shared" si="597"/>
        <v>PRG-1048797</v>
      </c>
      <c r="E21854" t="s">
        <v>125</v>
      </c>
      <c r="F21854" t="s">
        <v>4</v>
      </c>
      <c r="G21854" t="str">
        <f>""</f>
        <v/>
      </c>
    </row>
    <row r="21855" spans="1:7" x14ac:dyDescent="0.25">
      <c r="A21855" t="s">
        <v>8</v>
      </c>
      <c r="B21855" s="1" t="str">
        <f>"000037937 - RICH PRODUCTS-HILTON"</f>
        <v>000037937 - RICH PRODUCTS-HILTON</v>
      </c>
      <c r="C21855" t="s">
        <v>554</v>
      </c>
      <c r="D21855" s="1" t="str">
        <f t="shared" si="597"/>
        <v>PRG-1048797</v>
      </c>
      <c r="E21855" t="s">
        <v>125</v>
      </c>
      <c r="F21855" t="s">
        <v>4</v>
      </c>
      <c r="G21855" t="str">
        <f>""</f>
        <v/>
      </c>
    </row>
    <row r="21856" spans="1:7" x14ac:dyDescent="0.25">
      <c r="A21856" t="s">
        <v>8</v>
      </c>
      <c r="B21856" s="1" t="str">
        <f>"000039540 - RICH FOODS-HILTON"</f>
        <v>000039540 - RICH FOODS-HILTON</v>
      </c>
      <c r="C21856" t="s">
        <v>183</v>
      </c>
      <c r="D21856" s="1" t="str">
        <f t="shared" si="597"/>
        <v>PRG-1048797</v>
      </c>
      <c r="E21856" t="s">
        <v>125</v>
      </c>
      <c r="F21856" t="s">
        <v>4</v>
      </c>
      <c r="G21856" t="str">
        <f>""</f>
        <v/>
      </c>
    </row>
    <row r="21857" spans="1:7" x14ac:dyDescent="0.25">
      <c r="A21857" t="s">
        <v>8</v>
      </c>
      <c r="B21857" s="1" t="str">
        <f>"000044650 - RICH PRODUCTS-HILTON"</f>
        <v>000044650 - RICH PRODUCTS-HILTON</v>
      </c>
      <c r="C21857" t="s">
        <v>554</v>
      </c>
      <c r="D21857" s="1" t="str">
        <f t="shared" si="597"/>
        <v>PRG-1048797</v>
      </c>
      <c r="E21857" t="s">
        <v>125</v>
      </c>
      <c r="F21857" t="s">
        <v>4</v>
      </c>
      <c r="G21857" t="str">
        <f>""</f>
        <v/>
      </c>
    </row>
    <row r="21858" spans="1:7" x14ac:dyDescent="0.25">
      <c r="A21858" t="s">
        <v>8</v>
      </c>
      <c r="B21858" s="1" t="str">
        <f>"000051208 - RICH PRODUCTS-HILTON"</f>
        <v>000051208 - RICH PRODUCTS-HILTON</v>
      </c>
      <c r="C21858" t="s">
        <v>554</v>
      </c>
      <c r="D21858" s="1" t="str">
        <f t="shared" si="597"/>
        <v>PRG-1048797</v>
      </c>
      <c r="E21858" t="s">
        <v>125</v>
      </c>
      <c r="F21858" t="s">
        <v>4</v>
      </c>
      <c r="G21858" t="str">
        <f>""</f>
        <v/>
      </c>
    </row>
    <row r="21859" spans="1:7" x14ac:dyDescent="0.25">
      <c r="A21859" t="s">
        <v>8</v>
      </c>
      <c r="B21859" s="1" t="str">
        <f>"000054344 - RICH PRODUCTS-HILTON"</f>
        <v>000054344 - RICH PRODUCTS-HILTON</v>
      </c>
      <c r="C21859" t="s">
        <v>554</v>
      </c>
      <c r="D21859" s="1" t="str">
        <f t="shared" si="597"/>
        <v>PRG-1048797</v>
      </c>
      <c r="E21859" t="s">
        <v>125</v>
      </c>
      <c r="F21859" t="s">
        <v>4</v>
      </c>
      <c r="G21859" t="str">
        <f>""</f>
        <v/>
      </c>
    </row>
    <row r="21860" spans="1:7" x14ac:dyDescent="0.25">
      <c r="A21860" t="s">
        <v>8</v>
      </c>
      <c r="B21860" s="1" t="str">
        <f>"000056965 - RICH PRODUCTS-HILTON"</f>
        <v>000056965 - RICH PRODUCTS-HILTON</v>
      </c>
      <c r="C21860" t="s">
        <v>554</v>
      </c>
      <c r="D21860" s="1" t="str">
        <f t="shared" si="597"/>
        <v>PRG-1048797</v>
      </c>
      <c r="E21860" t="s">
        <v>125</v>
      </c>
      <c r="F21860" t="s">
        <v>4</v>
      </c>
      <c r="G21860" t="str">
        <f>""</f>
        <v/>
      </c>
    </row>
    <row r="21861" spans="1:7" x14ac:dyDescent="0.25">
      <c r="A21861" t="s">
        <v>8</v>
      </c>
      <c r="B21861" s="1" t="str">
        <f>"000058468 - RICH PRODUCTS-HILTON"</f>
        <v>000058468 - RICH PRODUCTS-HILTON</v>
      </c>
      <c r="C21861" t="s">
        <v>554</v>
      </c>
      <c r="D21861" s="1" t="str">
        <f t="shared" si="597"/>
        <v>PRG-1048797</v>
      </c>
      <c r="E21861" t="s">
        <v>125</v>
      </c>
      <c r="F21861" t="s">
        <v>4</v>
      </c>
      <c r="G21861" t="str">
        <f>""</f>
        <v/>
      </c>
    </row>
    <row r="21862" spans="1:7" x14ac:dyDescent="0.25">
      <c r="A21862" t="s">
        <v>8</v>
      </c>
      <c r="B21862" s="1" t="str">
        <f>"000065430 - RICH PRODUCTS-HILTON"</f>
        <v>000065430 - RICH PRODUCTS-HILTON</v>
      </c>
      <c r="C21862" t="s">
        <v>554</v>
      </c>
      <c r="D21862" s="1" t="str">
        <f t="shared" si="597"/>
        <v>PRG-1048797</v>
      </c>
      <c r="E21862" t="s">
        <v>125</v>
      </c>
      <c r="F21862" t="s">
        <v>4</v>
      </c>
      <c r="G21862" t="str">
        <f>""</f>
        <v/>
      </c>
    </row>
    <row r="21863" spans="1:7" x14ac:dyDescent="0.25">
      <c r="A21863" t="s">
        <v>8</v>
      </c>
      <c r="B21863" s="1" t="str">
        <f>"000070231 - RICH PRODUCTS-HILTON"</f>
        <v>000070231 - RICH PRODUCTS-HILTON</v>
      </c>
      <c r="C21863" t="s">
        <v>554</v>
      </c>
      <c r="D21863" s="1" t="str">
        <f t="shared" si="597"/>
        <v>PRG-1048797</v>
      </c>
      <c r="E21863" t="s">
        <v>125</v>
      </c>
      <c r="F21863" t="s">
        <v>4</v>
      </c>
      <c r="G21863" t="str">
        <f>""</f>
        <v/>
      </c>
    </row>
    <row r="21864" spans="1:7" x14ac:dyDescent="0.25">
      <c r="A21864" t="s">
        <v>8</v>
      </c>
      <c r="B21864" s="1" t="str">
        <f>"000072223 - RICH PRODUCTS-HILTON"</f>
        <v>000072223 - RICH PRODUCTS-HILTON</v>
      </c>
      <c r="C21864" t="s">
        <v>554</v>
      </c>
      <c r="D21864" s="1" t="str">
        <f t="shared" si="597"/>
        <v>PRG-1048797</v>
      </c>
      <c r="E21864" t="s">
        <v>125</v>
      </c>
      <c r="F21864" t="s">
        <v>4</v>
      </c>
      <c r="G21864" t="str">
        <f>""</f>
        <v/>
      </c>
    </row>
    <row r="21865" spans="1:7" x14ac:dyDescent="0.25">
      <c r="A21865" t="s">
        <v>8</v>
      </c>
      <c r="B21865" s="1" t="str">
        <f>"000075743 - RICH FOODS-HILTON"</f>
        <v>000075743 - RICH FOODS-HILTON</v>
      </c>
      <c r="C21865" t="s">
        <v>183</v>
      </c>
      <c r="D21865" s="1" t="str">
        <f t="shared" si="597"/>
        <v>PRG-1048797</v>
      </c>
      <c r="E21865" t="s">
        <v>125</v>
      </c>
      <c r="F21865" t="s">
        <v>4</v>
      </c>
      <c r="G21865" t="str">
        <f>""</f>
        <v/>
      </c>
    </row>
    <row r="21866" spans="1:7" x14ac:dyDescent="0.25">
      <c r="A21866" t="s">
        <v>8</v>
      </c>
      <c r="B21866" s="1" t="str">
        <f>"000095233 - RICH FOODS-HILTON"</f>
        <v>000095233 - RICH FOODS-HILTON</v>
      </c>
      <c r="C21866" t="s">
        <v>183</v>
      </c>
      <c r="D21866" s="1" t="str">
        <f t="shared" si="597"/>
        <v>PRG-1048797</v>
      </c>
      <c r="E21866" t="s">
        <v>125</v>
      </c>
      <c r="F21866" t="s">
        <v>4</v>
      </c>
      <c r="G21866" t="str">
        <f>""</f>
        <v/>
      </c>
    </row>
    <row r="21867" spans="1:7" x14ac:dyDescent="0.25">
      <c r="A21867" t="s">
        <v>8</v>
      </c>
      <c r="B21867" s="1" t="str">
        <f>"000096692 - RICH PRODUCTS-HILTON"</f>
        <v>000096692 - RICH PRODUCTS-HILTON</v>
      </c>
      <c r="C21867" t="s">
        <v>554</v>
      </c>
      <c r="D21867" s="1" t="str">
        <f t="shared" si="597"/>
        <v>PRG-1048797</v>
      </c>
      <c r="E21867" t="s">
        <v>125</v>
      </c>
      <c r="F21867" t="s">
        <v>4</v>
      </c>
      <c r="G21867" t="str">
        <f>""</f>
        <v/>
      </c>
    </row>
    <row r="21868" spans="1:7" x14ac:dyDescent="0.25">
      <c r="A21868" t="s">
        <v>8</v>
      </c>
      <c r="B21868" s="1" t="str">
        <f>"000102057 - RICH PRODUCTS-HILTON"</f>
        <v>000102057 - RICH PRODUCTS-HILTON</v>
      </c>
      <c r="C21868" t="s">
        <v>554</v>
      </c>
      <c r="D21868" s="1" t="str">
        <f t="shared" si="597"/>
        <v>PRG-1048797</v>
      </c>
      <c r="E21868" t="s">
        <v>125</v>
      </c>
      <c r="F21868" t="s">
        <v>4</v>
      </c>
      <c r="G21868" t="str">
        <f>""</f>
        <v/>
      </c>
    </row>
    <row r="21869" spans="1:7" x14ac:dyDescent="0.25">
      <c r="A21869" t="s">
        <v>8</v>
      </c>
      <c r="B21869" s="1" t="str">
        <f>"000119636 - RICH PRODUCTS-HILTON"</f>
        <v>000119636 - RICH PRODUCTS-HILTON</v>
      </c>
      <c r="C21869" t="s">
        <v>554</v>
      </c>
      <c r="D21869" s="1" t="str">
        <f t="shared" si="597"/>
        <v>PRG-1048797</v>
      </c>
      <c r="E21869" t="s">
        <v>125</v>
      </c>
      <c r="F21869" t="s">
        <v>4</v>
      </c>
      <c r="G21869" t="str">
        <f>""</f>
        <v/>
      </c>
    </row>
    <row r="21870" spans="1:7" x14ac:dyDescent="0.25">
      <c r="A21870" t="s">
        <v>8</v>
      </c>
      <c r="B21870" s="1" t="str">
        <f>"000141145 - RICH FOODS BB NCORE HILTON"</f>
        <v>000141145 - RICH FOODS BB NCORE HILTON</v>
      </c>
      <c r="C21870" t="s">
        <v>143</v>
      </c>
      <c r="D21870" s="1" t="str">
        <f t="shared" si="597"/>
        <v>PRG-1048797</v>
      </c>
      <c r="E21870" t="s">
        <v>125</v>
      </c>
      <c r="F21870" t="s">
        <v>4</v>
      </c>
      <c r="G21870" t="str">
        <f>""</f>
        <v/>
      </c>
    </row>
    <row r="21871" spans="1:7" x14ac:dyDescent="0.25">
      <c r="A21871" t="s">
        <v>8</v>
      </c>
      <c r="B21871" s="1" t="str">
        <f>"000145601 - RICH FOODS BB NCORE HILTON"</f>
        <v>000145601 - RICH FOODS BB NCORE HILTON</v>
      </c>
      <c r="C21871" t="s">
        <v>143</v>
      </c>
      <c r="D21871" s="1" t="str">
        <f t="shared" si="597"/>
        <v>PRG-1048797</v>
      </c>
      <c r="E21871" t="s">
        <v>125</v>
      </c>
      <c r="F21871" t="s">
        <v>4</v>
      </c>
      <c r="G21871" t="str">
        <f>""</f>
        <v/>
      </c>
    </row>
    <row r="21872" spans="1:7" x14ac:dyDescent="0.25">
      <c r="A21872" t="s">
        <v>8</v>
      </c>
      <c r="B21872" s="1" t="str">
        <f>"000149246 - RICH FOODS-HILTON"</f>
        <v>000149246 - RICH FOODS-HILTON</v>
      </c>
      <c r="C21872" t="s">
        <v>183</v>
      </c>
      <c r="D21872" s="1" t="str">
        <f t="shared" si="597"/>
        <v>PRG-1048797</v>
      </c>
      <c r="E21872" t="s">
        <v>125</v>
      </c>
      <c r="F21872" t="s">
        <v>4</v>
      </c>
      <c r="G21872" t="str">
        <f>""</f>
        <v/>
      </c>
    </row>
    <row r="21873" spans="1:7" x14ac:dyDescent="0.25">
      <c r="A21873" t="s">
        <v>8</v>
      </c>
      <c r="B21873" s="1" t="str">
        <f>"000154103 - RICH FOODS HILTON NCORE"</f>
        <v>000154103 - RICH FOODS HILTON NCORE</v>
      </c>
      <c r="C21873" t="s">
        <v>561</v>
      </c>
      <c r="D21873" s="1" t="str">
        <f t="shared" si="597"/>
        <v>PRG-1048797</v>
      </c>
      <c r="E21873" t="s">
        <v>125</v>
      </c>
      <c r="F21873" t="s">
        <v>4</v>
      </c>
      <c r="G21873" t="str">
        <f>""</f>
        <v/>
      </c>
    </row>
    <row r="21874" spans="1:7" x14ac:dyDescent="0.25">
      <c r="A21874" t="s">
        <v>8</v>
      </c>
      <c r="B21874" s="1" t="str">
        <f>"000154814 - RICH FOODS NCBB-HILTON"</f>
        <v>000154814 - RICH FOODS NCBB-HILTON</v>
      </c>
      <c r="C21874" t="s">
        <v>197</v>
      </c>
      <c r="D21874" s="1" t="str">
        <f t="shared" si="597"/>
        <v>PRG-1048797</v>
      </c>
      <c r="E21874" t="s">
        <v>125</v>
      </c>
      <c r="F21874" t="s">
        <v>4</v>
      </c>
      <c r="G21874" t="str">
        <f>""</f>
        <v/>
      </c>
    </row>
    <row r="21875" spans="1:7" x14ac:dyDescent="0.25">
      <c r="A21875" t="s">
        <v>8</v>
      </c>
      <c r="B21875" s="1" t="str">
        <f>"000160727 - RICH FOODS BB NCORE HILTON"</f>
        <v>000160727 - RICH FOODS BB NCORE HILTON</v>
      </c>
      <c r="C21875" t="s">
        <v>143</v>
      </c>
      <c r="D21875" s="1" t="str">
        <f t="shared" si="597"/>
        <v>PRG-1048797</v>
      </c>
      <c r="E21875" t="s">
        <v>125</v>
      </c>
      <c r="F21875" t="s">
        <v>4</v>
      </c>
      <c r="G21875" t="str">
        <f>""</f>
        <v/>
      </c>
    </row>
    <row r="21876" spans="1:7" x14ac:dyDescent="0.25">
      <c r="A21876" t="s">
        <v>8</v>
      </c>
      <c r="B21876" s="1" t="str">
        <f>"000167613 - RICH PRODUCTS-HILTON"</f>
        <v>000167613 - RICH PRODUCTS-HILTON</v>
      </c>
      <c r="C21876" t="s">
        <v>554</v>
      </c>
      <c r="D21876" s="1" t="str">
        <f t="shared" si="597"/>
        <v>PRG-1048797</v>
      </c>
      <c r="E21876" t="s">
        <v>125</v>
      </c>
      <c r="F21876" t="s">
        <v>4</v>
      </c>
      <c r="G21876" t="str">
        <f>""</f>
        <v/>
      </c>
    </row>
    <row r="21877" spans="1:7" x14ac:dyDescent="0.25">
      <c r="A21877" t="s">
        <v>8</v>
      </c>
      <c r="B21877" s="1" t="str">
        <f>"000171701 - RICH PRODUCTS-HILTON"</f>
        <v>000171701 - RICH PRODUCTS-HILTON</v>
      </c>
      <c r="C21877" t="s">
        <v>554</v>
      </c>
      <c r="D21877" s="1" t="str">
        <f t="shared" si="597"/>
        <v>PRG-1048797</v>
      </c>
      <c r="E21877" t="s">
        <v>125</v>
      </c>
      <c r="F21877" t="s">
        <v>4</v>
      </c>
      <c r="G21877" t="str">
        <f>""</f>
        <v/>
      </c>
    </row>
    <row r="21878" spans="1:7" x14ac:dyDescent="0.25">
      <c r="A21878" t="s">
        <v>8</v>
      </c>
      <c r="B21878" s="1" t="str">
        <f>"000171815 - RICH FOODS-HILTON"</f>
        <v>000171815 - RICH FOODS-HILTON</v>
      </c>
      <c r="C21878" t="s">
        <v>183</v>
      </c>
      <c r="D21878" s="1" t="str">
        <f t="shared" si="597"/>
        <v>PRG-1048797</v>
      </c>
      <c r="E21878" t="s">
        <v>125</v>
      </c>
      <c r="F21878" t="s">
        <v>4</v>
      </c>
      <c r="G21878" t="str">
        <f>""</f>
        <v/>
      </c>
    </row>
    <row r="21879" spans="1:7" x14ac:dyDescent="0.25">
      <c r="A21879" t="s">
        <v>8</v>
      </c>
      <c r="B21879" s="1" t="str">
        <f>"000180541 - RICH FOODS HILTON NCORE"</f>
        <v>000180541 - RICH FOODS HILTON NCORE</v>
      </c>
      <c r="C21879" t="s">
        <v>561</v>
      </c>
      <c r="D21879" s="1" t="str">
        <f t="shared" si="597"/>
        <v>PRG-1048797</v>
      </c>
      <c r="E21879" t="s">
        <v>125</v>
      </c>
      <c r="F21879" t="s">
        <v>4</v>
      </c>
      <c r="G21879" t="str">
        <f>""</f>
        <v/>
      </c>
    </row>
    <row r="21880" spans="1:7" x14ac:dyDescent="0.25">
      <c r="A21880" t="s">
        <v>8</v>
      </c>
      <c r="B21880" s="1" t="str">
        <f>"000195323 - RICH PRODUCTS-HILTON"</f>
        <v>000195323 - RICH PRODUCTS-HILTON</v>
      </c>
      <c r="C21880" t="s">
        <v>554</v>
      </c>
      <c r="D21880" s="1" t="str">
        <f t="shared" ref="D21880:D21911" si="598">"PRG-1048797"</f>
        <v>PRG-1048797</v>
      </c>
      <c r="E21880" t="s">
        <v>125</v>
      </c>
      <c r="F21880" t="s">
        <v>4</v>
      </c>
      <c r="G21880" t="str">
        <f>""</f>
        <v/>
      </c>
    </row>
    <row r="21881" spans="1:7" x14ac:dyDescent="0.25">
      <c r="A21881" t="s">
        <v>8</v>
      </c>
      <c r="B21881" s="1" t="str">
        <f>"000195501 - RICH FOODS HILTON NONCORE"</f>
        <v>000195501 - RICH FOODS HILTON NONCORE</v>
      </c>
      <c r="C21881" t="s">
        <v>516</v>
      </c>
      <c r="D21881" s="1" t="str">
        <f t="shared" si="598"/>
        <v>PRG-1048797</v>
      </c>
      <c r="E21881" t="s">
        <v>125</v>
      </c>
      <c r="F21881" t="s">
        <v>4</v>
      </c>
      <c r="G21881" t="str">
        <f>""</f>
        <v/>
      </c>
    </row>
    <row r="21882" spans="1:7" x14ac:dyDescent="0.25">
      <c r="A21882" t="s">
        <v>8</v>
      </c>
      <c r="B21882" s="1" t="str">
        <f>"000196359 - RICH PRODUCTS-HILTON"</f>
        <v>000196359 - RICH PRODUCTS-HILTON</v>
      </c>
      <c r="C21882" t="s">
        <v>554</v>
      </c>
      <c r="D21882" s="1" t="str">
        <f t="shared" si="598"/>
        <v>PRG-1048797</v>
      </c>
      <c r="E21882" t="s">
        <v>125</v>
      </c>
      <c r="F21882" t="s">
        <v>4</v>
      </c>
      <c r="G21882" t="str">
        <f>""</f>
        <v/>
      </c>
    </row>
    <row r="21883" spans="1:7" x14ac:dyDescent="0.25">
      <c r="A21883" t="s">
        <v>8</v>
      </c>
      <c r="B21883" s="1" t="str">
        <f>"000196748 - RICH FOODS-HILTON"</f>
        <v>000196748 - RICH FOODS-HILTON</v>
      </c>
      <c r="C21883" t="s">
        <v>183</v>
      </c>
      <c r="D21883" s="1" t="str">
        <f t="shared" si="598"/>
        <v>PRG-1048797</v>
      </c>
      <c r="E21883" t="s">
        <v>125</v>
      </c>
      <c r="F21883" t="s">
        <v>4</v>
      </c>
      <c r="G21883" t="str">
        <f>""</f>
        <v/>
      </c>
    </row>
    <row r="21884" spans="1:7" x14ac:dyDescent="0.25">
      <c r="A21884" t="s">
        <v>8</v>
      </c>
      <c r="B21884" s="1" t="str">
        <f>"000200436 - RICH PRODUCTS-HILTON"</f>
        <v>000200436 - RICH PRODUCTS-HILTON</v>
      </c>
      <c r="C21884" t="s">
        <v>554</v>
      </c>
      <c r="D21884" s="1" t="str">
        <f t="shared" si="598"/>
        <v>PRG-1048797</v>
      </c>
      <c r="E21884" t="s">
        <v>125</v>
      </c>
      <c r="F21884" t="s">
        <v>4</v>
      </c>
      <c r="G21884" t="str">
        <f>""</f>
        <v/>
      </c>
    </row>
    <row r="21885" spans="1:7" x14ac:dyDescent="0.25">
      <c r="A21885" t="s">
        <v>8</v>
      </c>
      <c r="B21885" s="1" t="str">
        <f>"000200819 - RICH FOODS NCBB-HILTON"</f>
        <v>000200819 - RICH FOODS NCBB-HILTON</v>
      </c>
      <c r="C21885" t="s">
        <v>197</v>
      </c>
      <c r="D21885" s="1" t="str">
        <f t="shared" si="598"/>
        <v>PRG-1048797</v>
      </c>
      <c r="E21885" t="s">
        <v>125</v>
      </c>
      <c r="F21885" t="s">
        <v>4</v>
      </c>
      <c r="G21885" t="str">
        <f>""</f>
        <v/>
      </c>
    </row>
    <row r="21886" spans="1:7" x14ac:dyDescent="0.25">
      <c r="A21886" t="s">
        <v>8</v>
      </c>
      <c r="B21886" s="1" t="str">
        <f>"000201568 - RICH HILTON CORE WBB"</f>
        <v>000201568 - RICH HILTON CORE WBB</v>
      </c>
      <c r="C21886" t="s">
        <v>1315</v>
      </c>
      <c r="D21886" s="1" t="str">
        <f t="shared" si="598"/>
        <v>PRG-1048797</v>
      </c>
      <c r="E21886" t="s">
        <v>125</v>
      </c>
      <c r="F21886" t="s">
        <v>4</v>
      </c>
      <c r="G21886" t="str">
        <f>""</f>
        <v/>
      </c>
    </row>
    <row r="21887" spans="1:7" x14ac:dyDescent="0.25">
      <c r="A21887" t="s">
        <v>8</v>
      </c>
      <c r="B21887" s="1" t="str">
        <f>"000202682 - RICH FOODS BB NCORE HILTON"</f>
        <v>000202682 - RICH FOODS BB NCORE HILTON</v>
      </c>
      <c r="C21887" t="s">
        <v>143</v>
      </c>
      <c r="D21887" s="1" t="str">
        <f t="shared" si="598"/>
        <v>PRG-1048797</v>
      </c>
      <c r="E21887" t="s">
        <v>125</v>
      </c>
      <c r="F21887" t="s">
        <v>4</v>
      </c>
      <c r="G21887" t="str">
        <f>""</f>
        <v/>
      </c>
    </row>
    <row r="21888" spans="1:7" x14ac:dyDescent="0.25">
      <c r="A21888" t="s">
        <v>8</v>
      </c>
      <c r="B21888" s="1" t="str">
        <f>"000214038 - RICH FOODS HILTON NCORE"</f>
        <v>000214038 - RICH FOODS HILTON NCORE</v>
      </c>
      <c r="C21888" t="s">
        <v>561</v>
      </c>
      <c r="D21888" s="1" t="str">
        <f t="shared" si="598"/>
        <v>PRG-1048797</v>
      </c>
      <c r="E21888" t="s">
        <v>125</v>
      </c>
      <c r="F21888" t="s">
        <v>4</v>
      </c>
      <c r="G21888" t="str">
        <f>""</f>
        <v/>
      </c>
    </row>
    <row r="21889" spans="1:7" x14ac:dyDescent="0.25">
      <c r="A21889" t="s">
        <v>8</v>
      </c>
      <c r="B21889" s="1" t="str">
        <f>"000214047 - BB HILTON DPM FX NCORE RICH"</f>
        <v>000214047 - BB HILTON DPM FX NCORE RICH</v>
      </c>
      <c r="C21889" t="s">
        <v>1490</v>
      </c>
      <c r="D21889" s="1" t="str">
        <f t="shared" si="598"/>
        <v>PRG-1048797</v>
      </c>
      <c r="E21889" t="s">
        <v>125</v>
      </c>
      <c r="F21889" t="s">
        <v>4</v>
      </c>
      <c r="G21889" t="str">
        <f>""</f>
        <v/>
      </c>
    </row>
    <row r="21890" spans="1:7" x14ac:dyDescent="0.25">
      <c r="A21890" t="s">
        <v>8</v>
      </c>
      <c r="B21890" s="1" t="str">
        <f>"000215716 - RICH FOODS-HILTON"</f>
        <v>000215716 - RICH FOODS-HILTON</v>
      </c>
      <c r="C21890" t="s">
        <v>183</v>
      </c>
      <c r="D21890" s="1" t="str">
        <f t="shared" si="598"/>
        <v>PRG-1048797</v>
      </c>
      <c r="E21890" t="s">
        <v>125</v>
      </c>
      <c r="F21890" t="s">
        <v>4</v>
      </c>
      <c r="G21890" t="str">
        <f>""</f>
        <v/>
      </c>
    </row>
    <row r="21891" spans="1:7" x14ac:dyDescent="0.25">
      <c r="A21891" t="s">
        <v>8</v>
      </c>
      <c r="B21891" s="1" t="str">
        <f>"000218642 - RICH PRODUCTS-HILTON"</f>
        <v>000218642 - RICH PRODUCTS-HILTON</v>
      </c>
      <c r="C21891" t="s">
        <v>554</v>
      </c>
      <c r="D21891" s="1" t="str">
        <f t="shared" si="598"/>
        <v>PRG-1048797</v>
      </c>
      <c r="E21891" t="s">
        <v>125</v>
      </c>
      <c r="F21891" t="s">
        <v>4</v>
      </c>
      <c r="G21891" t="str">
        <f>""</f>
        <v/>
      </c>
    </row>
    <row r="21892" spans="1:7" x14ac:dyDescent="0.25">
      <c r="A21892" t="s">
        <v>8</v>
      </c>
      <c r="B21892" s="1" t="str">
        <f>"000230547 - RICH FOODS HILTON NCORE"</f>
        <v>000230547 - RICH FOODS HILTON NCORE</v>
      </c>
      <c r="C21892" t="s">
        <v>561</v>
      </c>
      <c r="D21892" s="1" t="str">
        <f t="shared" si="598"/>
        <v>PRG-1048797</v>
      </c>
      <c r="E21892" t="s">
        <v>125</v>
      </c>
      <c r="F21892" t="s">
        <v>4</v>
      </c>
      <c r="G21892" t="str">
        <f>""</f>
        <v/>
      </c>
    </row>
    <row r="21893" spans="1:7" x14ac:dyDescent="0.25">
      <c r="A21893" t="s">
        <v>8</v>
      </c>
      <c r="B21893" s="1" t="str">
        <f>"000234331 - RICH FOODS HILTON NCORE"</f>
        <v>000234331 - RICH FOODS HILTON NCORE</v>
      </c>
      <c r="C21893" t="s">
        <v>561</v>
      </c>
      <c r="D21893" s="1" t="str">
        <f t="shared" si="598"/>
        <v>PRG-1048797</v>
      </c>
      <c r="E21893" t="s">
        <v>125</v>
      </c>
      <c r="F21893" t="s">
        <v>4</v>
      </c>
      <c r="G21893" t="str">
        <f>""</f>
        <v/>
      </c>
    </row>
    <row r="21894" spans="1:7" x14ac:dyDescent="0.25">
      <c r="A21894" t="s">
        <v>8</v>
      </c>
      <c r="B21894" s="1" t="str">
        <f>"000234333 - RICH HILTON CORE WBB"</f>
        <v>000234333 - RICH HILTON CORE WBB</v>
      </c>
      <c r="C21894" t="s">
        <v>1315</v>
      </c>
      <c r="D21894" s="1" t="str">
        <f t="shared" si="598"/>
        <v>PRG-1048797</v>
      </c>
      <c r="E21894" t="s">
        <v>125</v>
      </c>
      <c r="F21894" t="s">
        <v>4</v>
      </c>
      <c r="G21894" t="str">
        <f>""</f>
        <v/>
      </c>
    </row>
    <row r="21895" spans="1:7" x14ac:dyDescent="0.25">
      <c r="A21895" t="s">
        <v>8</v>
      </c>
      <c r="B21895" s="1" t="str">
        <f>"000240873 - RICH FOODS-HILTON"</f>
        <v>000240873 - RICH FOODS-HILTON</v>
      </c>
      <c r="C21895" t="s">
        <v>183</v>
      </c>
      <c r="D21895" s="1" t="str">
        <f t="shared" si="598"/>
        <v>PRG-1048797</v>
      </c>
      <c r="E21895" t="s">
        <v>125</v>
      </c>
      <c r="F21895" t="s">
        <v>4</v>
      </c>
      <c r="G21895" t="str">
        <f>""</f>
        <v/>
      </c>
    </row>
    <row r="21896" spans="1:7" x14ac:dyDescent="0.25">
      <c r="A21896" t="s">
        <v>8</v>
      </c>
      <c r="B21896" s="1" t="str">
        <f>"000241689 - RICH HILTON CORE WBB"</f>
        <v>000241689 - RICH HILTON CORE WBB</v>
      </c>
      <c r="C21896" t="s">
        <v>1315</v>
      </c>
      <c r="D21896" s="1" t="str">
        <f t="shared" si="598"/>
        <v>PRG-1048797</v>
      </c>
      <c r="E21896" t="s">
        <v>125</v>
      </c>
      <c r="F21896" t="s">
        <v>4</v>
      </c>
      <c r="G21896" t="str">
        <f>""</f>
        <v/>
      </c>
    </row>
    <row r="21897" spans="1:7" x14ac:dyDescent="0.25">
      <c r="A21897" t="s">
        <v>8</v>
      </c>
      <c r="B21897" s="1" t="str">
        <f>"000243618 - RICH FOODS BB NCORE HILTON"</f>
        <v>000243618 - RICH FOODS BB NCORE HILTON</v>
      </c>
      <c r="C21897" t="s">
        <v>143</v>
      </c>
      <c r="D21897" s="1" t="str">
        <f t="shared" si="598"/>
        <v>PRG-1048797</v>
      </c>
      <c r="E21897" t="s">
        <v>125</v>
      </c>
      <c r="F21897" t="s">
        <v>4</v>
      </c>
      <c r="G21897" t="str">
        <f>""</f>
        <v/>
      </c>
    </row>
    <row r="21898" spans="1:7" x14ac:dyDescent="0.25">
      <c r="A21898" t="s">
        <v>8</v>
      </c>
      <c r="B21898" s="1" t="str">
        <f>"000247511 - RICH FOODS-HILTON"</f>
        <v>000247511 - RICH FOODS-HILTON</v>
      </c>
      <c r="C21898" t="s">
        <v>183</v>
      </c>
      <c r="D21898" s="1" t="str">
        <f t="shared" si="598"/>
        <v>PRG-1048797</v>
      </c>
      <c r="E21898" t="s">
        <v>125</v>
      </c>
      <c r="F21898" t="s">
        <v>4</v>
      </c>
      <c r="G21898" t="str">
        <f>""</f>
        <v/>
      </c>
    </row>
    <row r="21899" spans="1:7" x14ac:dyDescent="0.25">
      <c r="A21899" t="s">
        <v>8</v>
      </c>
      <c r="B21899" s="1" t="str">
        <f>"000248845 - RICH FOODS BB NCORE HILTON"</f>
        <v>000248845 - RICH FOODS BB NCORE HILTON</v>
      </c>
      <c r="C21899" t="s">
        <v>143</v>
      </c>
      <c r="D21899" s="1" t="str">
        <f t="shared" si="598"/>
        <v>PRG-1048797</v>
      </c>
      <c r="E21899" t="s">
        <v>125</v>
      </c>
      <c r="F21899" t="s">
        <v>4</v>
      </c>
      <c r="G21899" t="str">
        <f>""</f>
        <v/>
      </c>
    </row>
    <row r="21900" spans="1:7" x14ac:dyDescent="0.25">
      <c r="A21900" t="s">
        <v>8</v>
      </c>
      <c r="B21900" s="1" t="str">
        <f>"000248846 - RICH FOODS CORE BB HILTON"</f>
        <v>000248846 - RICH FOODS CORE BB HILTON</v>
      </c>
      <c r="C21900" t="s">
        <v>1816</v>
      </c>
      <c r="D21900" s="1" t="str">
        <f t="shared" si="598"/>
        <v>PRG-1048797</v>
      </c>
      <c r="E21900" t="s">
        <v>125</v>
      </c>
      <c r="F21900" t="s">
        <v>4</v>
      </c>
      <c r="G21900" t="str">
        <f>""</f>
        <v/>
      </c>
    </row>
    <row r="21901" spans="1:7" x14ac:dyDescent="0.25">
      <c r="A21901" t="s">
        <v>8</v>
      </c>
      <c r="B21901" s="1" t="str">
        <f>"000250733 - RICH FOODS BB NCORE HILTON"</f>
        <v>000250733 - RICH FOODS BB NCORE HILTON</v>
      </c>
      <c r="C21901" t="s">
        <v>143</v>
      </c>
      <c r="D21901" s="1" t="str">
        <f t="shared" si="598"/>
        <v>PRG-1048797</v>
      </c>
      <c r="E21901" t="s">
        <v>125</v>
      </c>
      <c r="F21901" t="s">
        <v>4</v>
      </c>
      <c r="G21901" t="str">
        <f>""</f>
        <v/>
      </c>
    </row>
    <row r="21902" spans="1:7" x14ac:dyDescent="0.25">
      <c r="A21902" t="s">
        <v>8</v>
      </c>
      <c r="B21902" s="1" t="str">
        <f>"000250818 - RICH FOODS HILTON NCORE"</f>
        <v>000250818 - RICH FOODS HILTON NCORE</v>
      </c>
      <c r="C21902" t="s">
        <v>561</v>
      </c>
      <c r="D21902" s="1" t="str">
        <f t="shared" si="598"/>
        <v>PRG-1048797</v>
      </c>
      <c r="E21902" t="s">
        <v>125</v>
      </c>
      <c r="F21902" t="s">
        <v>4</v>
      </c>
      <c r="G21902" t="str">
        <f>""</f>
        <v/>
      </c>
    </row>
    <row r="21903" spans="1:7" x14ac:dyDescent="0.25">
      <c r="A21903" t="s">
        <v>8</v>
      </c>
      <c r="B21903" s="1" t="str">
        <f>"000261650 - RICH FOODS-HILTON"</f>
        <v>000261650 - RICH FOODS-HILTON</v>
      </c>
      <c r="C21903" t="s">
        <v>183</v>
      </c>
      <c r="D21903" s="1" t="str">
        <f t="shared" si="598"/>
        <v>PRG-1048797</v>
      </c>
      <c r="E21903" t="s">
        <v>125</v>
      </c>
      <c r="F21903" t="s">
        <v>4</v>
      </c>
      <c r="G21903" t="str">
        <f>""</f>
        <v/>
      </c>
    </row>
    <row r="21904" spans="1:7" x14ac:dyDescent="0.25">
      <c r="A21904" t="s">
        <v>8</v>
      </c>
      <c r="B21904" s="1" t="str">
        <f>"000263256 - RICH FOODS HILTON NCORE"</f>
        <v>000263256 - RICH FOODS HILTON NCORE</v>
      </c>
      <c r="C21904" t="s">
        <v>561</v>
      </c>
      <c r="D21904" s="1" t="str">
        <f t="shared" si="598"/>
        <v>PRG-1048797</v>
      </c>
      <c r="E21904" t="s">
        <v>125</v>
      </c>
      <c r="F21904" t="s">
        <v>4</v>
      </c>
      <c r="G21904" t="str">
        <f>""</f>
        <v/>
      </c>
    </row>
    <row r="21905" spans="1:7" x14ac:dyDescent="0.25">
      <c r="A21905" t="s">
        <v>8</v>
      </c>
      <c r="B21905" s="1" t="str">
        <f>"000263994 - RICH PRODUCTS-HILTON"</f>
        <v>000263994 - RICH PRODUCTS-HILTON</v>
      </c>
      <c r="C21905" t="s">
        <v>554</v>
      </c>
      <c r="D21905" s="1" t="str">
        <f t="shared" si="598"/>
        <v>PRG-1048797</v>
      </c>
      <c r="E21905" t="s">
        <v>125</v>
      </c>
      <c r="F21905" t="s">
        <v>4</v>
      </c>
      <c r="G21905" t="str">
        <f>""</f>
        <v/>
      </c>
    </row>
    <row r="21906" spans="1:7" x14ac:dyDescent="0.25">
      <c r="A21906" t="s">
        <v>8</v>
      </c>
      <c r="B21906" s="1" t="str">
        <f>"000269064 - RICH PRODUCTS-HILTON"</f>
        <v>000269064 - RICH PRODUCTS-HILTON</v>
      </c>
      <c r="C21906" t="s">
        <v>554</v>
      </c>
      <c r="D21906" s="1" t="str">
        <f t="shared" si="598"/>
        <v>PRG-1048797</v>
      </c>
      <c r="E21906" t="s">
        <v>125</v>
      </c>
      <c r="F21906" t="s">
        <v>4</v>
      </c>
      <c r="G21906" t="str">
        <f>""</f>
        <v/>
      </c>
    </row>
    <row r="21907" spans="1:7" x14ac:dyDescent="0.25">
      <c r="A21907" t="s">
        <v>8</v>
      </c>
      <c r="B21907" s="1" t="str">
        <f>"000270762 - RICH FOODS-HILTON"</f>
        <v>000270762 - RICH FOODS-HILTON</v>
      </c>
      <c r="C21907" t="s">
        <v>183</v>
      </c>
      <c r="D21907" s="1" t="str">
        <f t="shared" si="598"/>
        <v>PRG-1048797</v>
      </c>
      <c r="E21907" t="s">
        <v>125</v>
      </c>
      <c r="F21907" t="s">
        <v>4</v>
      </c>
      <c r="G21907" t="str">
        <f>""</f>
        <v/>
      </c>
    </row>
    <row r="21908" spans="1:7" x14ac:dyDescent="0.25">
      <c r="A21908" t="s">
        <v>8</v>
      </c>
      <c r="B21908" s="1" t="str">
        <f>"000270965 - RICH FOODS-HILTON"</f>
        <v>000270965 - RICH FOODS-HILTON</v>
      </c>
      <c r="C21908" t="s">
        <v>183</v>
      </c>
      <c r="D21908" s="1" t="str">
        <f t="shared" si="598"/>
        <v>PRG-1048797</v>
      </c>
      <c r="E21908" t="s">
        <v>125</v>
      </c>
      <c r="F21908" t="s">
        <v>4</v>
      </c>
      <c r="G21908" t="str">
        <f>""</f>
        <v/>
      </c>
    </row>
    <row r="21909" spans="1:7" x14ac:dyDescent="0.25">
      <c r="A21909" t="s">
        <v>8</v>
      </c>
      <c r="B21909" s="1" t="str">
        <f>"000272299 - RICH FOODS BB NCORE HILTON"</f>
        <v>000272299 - RICH FOODS BB NCORE HILTON</v>
      </c>
      <c r="C21909" t="s">
        <v>143</v>
      </c>
      <c r="D21909" s="1" t="str">
        <f t="shared" si="598"/>
        <v>PRG-1048797</v>
      </c>
      <c r="E21909" t="s">
        <v>125</v>
      </c>
      <c r="F21909" t="s">
        <v>4</v>
      </c>
      <c r="G21909" t="str">
        <f>""</f>
        <v/>
      </c>
    </row>
    <row r="21910" spans="1:7" x14ac:dyDescent="0.25">
      <c r="A21910" t="s">
        <v>8</v>
      </c>
      <c r="B21910" s="1" t="str">
        <f>"000272478 - RICH FOODS-HILTON"</f>
        <v>000272478 - RICH FOODS-HILTON</v>
      </c>
      <c r="C21910" t="s">
        <v>183</v>
      </c>
      <c r="D21910" s="1" t="str">
        <f t="shared" si="598"/>
        <v>PRG-1048797</v>
      </c>
      <c r="E21910" t="s">
        <v>125</v>
      </c>
      <c r="F21910" t="s">
        <v>4</v>
      </c>
      <c r="G21910" t="str">
        <f>""</f>
        <v/>
      </c>
    </row>
    <row r="21911" spans="1:7" x14ac:dyDescent="0.25">
      <c r="A21911" t="s">
        <v>8</v>
      </c>
      <c r="B21911" s="1" t="str">
        <f>"000273598 - RICH PRODUCTS-HILTON"</f>
        <v>000273598 - RICH PRODUCTS-HILTON</v>
      </c>
      <c r="C21911" t="s">
        <v>554</v>
      </c>
      <c r="D21911" s="1" t="str">
        <f t="shared" si="598"/>
        <v>PRG-1048797</v>
      </c>
      <c r="E21911" t="s">
        <v>125</v>
      </c>
      <c r="F21911" t="s">
        <v>4</v>
      </c>
      <c r="G21911" t="str">
        <f>""</f>
        <v/>
      </c>
    </row>
    <row r="21912" spans="1:7" x14ac:dyDescent="0.25">
      <c r="A21912" t="s">
        <v>8</v>
      </c>
      <c r="B21912" s="1" t="str">
        <f>"000273833 - RICH PRODUCTS-HILTON"</f>
        <v>000273833 - RICH PRODUCTS-HILTON</v>
      </c>
      <c r="C21912" t="s">
        <v>554</v>
      </c>
      <c r="D21912" s="1" t="str">
        <f t="shared" ref="D21912:D21943" si="599">"PRG-1048797"</f>
        <v>PRG-1048797</v>
      </c>
      <c r="E21912" t="s">
        <v>125</v>
      </c>
      <c r="F21912" t="s">
        <v>4</v>
      </c>
      <c r="G21912" t="str">
        <f>""</f>
        <v/>
      </c>
    </row>
    <row r="21913" spans="1:7" x14ac:dyDescent="0.25">
      <c r="A21913" t="s">
        <v>8</v>
      </c>
      <c r="B21913" s="1" t="str">
        <f>"000275443 - RICH PRODUCTS-HILTON"</f>
        <v>000275443 - RICH PRODUCTS-HILTON</v>
      </c>
      <c r="C21913" t="s">
        <v>554</v>
      </c>
      <c r="D21913" s="1" t="str">
        <f t="shared" si="599"/>
        <v>PRG-1048797</v>
      </c>
      <c r="E21913" t="s">
        <v>125</v>
      </c>
      <c r="F21913" t="s">
        <v>4</v>
      </c>
      <c r="G21913" t="str">
        <f>""</f>
        <v/>
      </c>
    </row>
    <row r="21914" spans="1:7" x14ac:dyDescent="0.25">
      <c r="A21914" t="s">
        <v>8</v>
      </c>
      <c r="B21914" s="1" t="str">
        <f>"000277069 - RICH FOODS-HILTON"</f>
        <v>000277069 - RICH FOODS-HILTON</v>
      </c>
      <c r="C21914" t="s">
        <v>183</v>
      </c>
      <c r="D21914" s="1" t="str">
        <f t="shared" si="599"/>
        <v>PRG-1048797</v>
      </c>
      <c r="E21914" t="s">
        <v>125</v>
      </c>
      <c r="F21914" t="s">
        <v>4</v>
      </c>
      <c r="G21914" t="str">
        <f>""</f>
        <v/>
      </c>
    </row>
    <row r="21915" spans="1:7" x14ac:dyDescent="0.25">
      <c r="A21915" t="s">
        <v>8</v>
      </c>
      <c r="B21915" s="1" t="str">
        <f>"000277412 - RICH PRODUCTS-HILTON"</f>
        <v>000277412 - RICH PRODUCTS-HILTON</v>
      </c>
      <c r="C21915" t="s">
        <v>554</v>
      </c>
      <c r="D21915" s="1" t="str">
        <f t="shared" si="599"/>
        <v>PRG-1048797</v>
      </c>
      <c r="E21915" t="s">
        <v>125</v>
      </c>
      <c r="F21915" t="s">
        <v>4</v>
      </c>
      <c r="G21915" t="str">
        <f>""</f>
        <v/>
      </c>
    </row>
    <row r="21916" spans="1:7" x14ac:dyDescent="0.25">
      <c r="A21916" t="s">
        <v>8</v>
      </c>
      <c r="B21916" s="1" t="str">
        <f>"000278205 - RICH FOODS-HILTON"</f>
        <v>000278205 - RICH FOODS-HILTON</v>
      </c>
      <c r="C21916" t="s">
        <v>183</v>
      </c>
      <c r="D21916" s="1" t="str">
        <f t="shared" si="599"/>
        <v>PRG-1048797</v>
      </c>
      <c r="E21916" t="s">
        <v>125</v>
      </c>
      <c r="F21916" t="s">
        <v>4</v>
      </c>
      <c r="G21916" t="str">
        <f>""</f>
        <v/>
      </c>
    </row>
    <row r="21917" spans="1:7" x14ac:dyDescent="0.25">
      <c r="A21917" t="s">
        <v>8</v>
      </c>
      <c r="B21917" s="1" t="str">
        <f>"000279318 - RICH PRODUCTS-HILTON"</f>
        <v>000279318 - RICH PRODUCTS-HILTON</v>
      </c>
      <c r="C21917" t="s">
        <v>554</v>
      </c>
      <c r="D21917" s="1" t="str">
        <f t="shared" si="599"/>
        <v>PRG-1048797</v>
      </c>
      <c r="E21917" t="s">
        <v>125</v>
      </c>
      <c r="F21917" t="s">
        <v>4</v>
      </c>
      <c r="G21917" t="str">
        <f>""</f>
        <v/>
      </c>
    </row>
    <row r="21918" spans="1:7" x14ac:dyDescent="0.25">
      <c r="A21918" t="s">
        <v>8</v>
      </c>
      <c r="B21918" s="1" t="str">
        <f>"000285501 - RICH FOODS HILTON NONCORE"</f>
        <v>000285501 - RICH FOODS HILTON NONCORE</v>
      </c>
      <c r="C21918" t="s">
        <v>516</v>
      </c>
      <c r="D21918" s="1" t="str">
        <f t="shared" si="599"/>
        <v>PRG-1048797</v>
      </c>
      <c r="E21918" t="s">
        <v>125</v>
      </c>
      <c r="F21918" t="s">
        <v>4</v>
      </c>
      <c r="G21918" t="str">
        <f>""</f>
        <v/>
      </c>
    </row>
    <row r="21919" spans="1:7" x14ac:dyDescent="0.25">
      <c r="A21919" t="s">
        <v>8</v>
      </c>
      <c r="B21919" s="1" t="str">
        <f>"000288879 - RICH PRODUCTS-HILTON"</f>
        <v>000288879 - RICH PRODUCTS-HILTON</v>
      </c>
      <c r="C21919" t="s">
        <v>554</v>
      </c>
      <c r="D21919" s="1" t="str">
        <f t="shared" si="599"/>
        <v>PRG-1048797</v>
      </c>
      <c r="E21919" t="s">
        <v>125</v>
      </c>
      <c r="F21919" t="s">
        <v>4</v>
      </c>
      <c r="G21919" t="str">
        <f>""</f>
        <v/>
      </c>
    </row>
    <row r="21920" spans="1:7" x14ac:dyDescent="0.25">
      <c r="A21920" t="s">
        <v>8</v>
      </c>
      <c r="B21920" s="1" t="str">
        <f>"000291207 - RICH FOODS HILTON NCORE"</f>
        <v>000291207 - RICH FOODS HILTON NCORE</v>
      </c>
      <c r="C21920" t="s">
        <v>561</v>
      </c>
      <c r="D21920" s="1" t="str">
        <f t="shared" si="599"/>
        <v>PRG-1048797</v>
      </c>
      <c r="E21920" t="s">
        <v>125</v>
      </c>
      <c r="F21920" t="s">
        <v>4</v>
      </c>
      <c r="G21920" t="str">
        <f>""</f>
        <v/>
      </c>
    </row>
    <row r="21921" spans="1:7" x14ac:dyDescent="0.25">
      <c r="A21921" t="s">
        <v>8</v>
      </c>
      <c r="B21921" s="1" t="str">
        <f>"000291679 - RICH FOODS HILTON NONCORE RETR"</f>
        <v>000291679 - RICH FOODS HILTON NONCORE RETR</v>
      </c>
      <c r="C21921" t="s">
        <v>1635</v>
      </c>
      <c r="D21921" s="1" t="str">
        <f t="shared" si="599"/>
        <v>PRG-1048797</v>
      </c>
      <c r="E21921" t="s">
        <v>125</v>
      </c>
      <c r="F21921" t="s">
        <v>4</v>
      </c>
      <c r="G21921" t="str">
        <f>""</f>
        <v/>
      </c>
    </row>
    <row r="21922" spans="1:7" x14ac:dyDescent="0.25">
      <c r="A21922" t="s">
        <v>8</v>
      </c>
      <c r="B21922" s="1" t="str">
        <f>"000291745 - RICH PRODUCTS-HILTON"</f>
        <v>000291745 - RICH PRODUCTS-HILTON</v>
      </c>
      <c r="C21922" t="s">
        <v>554</v>
      </c>
      <c r="D21922" s="1" t="str">
        <f t="shared" si="599"/>
        <v>PRG-1048797</v>
      </c>
      <c r="E21922" t="s">
        <v>125</v>
      </c>
      <c r="F21922" t="s">
        <v>4</v>
      </c>
      <c r="G21922" t="str">
        <f>""</f>
        <v/>
      </c>
    </row>
    <row r="21923" spans="1:7" x14ac:dyDescent="0.25">
      <c r="A21923" t="s">
        <v>8</v>
      </c>
      <c r="B21923" s="1" t="str">
        <f>"000292172 - RICH PRODUCTS-HILTON"</f>
        <v>000292172 - RICH PRODUCTS-HILTON</v>
      </c>
      <c r="C21923" t="s">
        <v>554</v>
      </c>
      <c r="D21923" s="1" t="str">
        <f t="shared" si="599"/>
        <v>PRG-1048797</v>
      </c>
      <c r="E21923" t="s">
        <v>125</v>
      </c>
      <c r="F21923" t="s">
        <v>4</v>
      </c>
      <c r="G21923" t="str">
        <f>""</f>
        <v/>
      </c>
    </row>
    <row r="21924" spans="1:7" x14ac:dyDescent="0.25">
      <c r="A21924" t="s">
        <v>8</v>
      </c>
      <c r="B21924" s="1" t="str">
        <f>"000294137 - RICH HILTON CORE WBB"</f>
        <v>000294137 - RICH HILTON CORE WBB</v>
      </c>
      <c r="C21924" t="s">
        <v>1315</v>
      </c>
      <c r="D21924" s="1" t="str">
        <f t="shared" si="599"/>
        <v>PRG-1048797</v>
      </c>
      <c r="E21924" t="s">
        <v>125</v>
      </c>
      <c r="F21924" t="s">
        <v>4</v>
      </c>
      <c r="G21924" t="str">
        <f>""</f>
        <v/>
      </c>
    </row>
    <row r="21925" spans="1:7" x14ac:dyDescent="0.25">
      <c r="A21925" t="s">
        <v>8</v>
      </c>
      <c r="B21925" s="1" t="str">
        <f>"000294764 - RICH FOODS BB NCORE HILTON"</f>
        <v>000294764 - RICH FOODS BB NCORE HILTON</v>
      </c>
      <c r="C21925" t="s">
        <v>143</v>
      </c>
      <c r="D21925" s="1" t="str">
        <f t="shared" si="599"/>
        <v>PRG-1048797</v>
      </c>
      <c r="E21925" t="s">
        <v>125</v>
      </c>
      <c r="F21925" t="s">
        <v>4</v>
      </c>
      <c r="G21925" t="str">
        <f>""</f>
        <v/>
      </c>
    </row>
    <row r="21926" spans="1:7" x14ac:dyDescent="0.25">
      <c r="A21926" t="s">
        <v>8</v>
      </c>
      <c r="B21926" s="1" t="str">
        <f>"000294968 - RICH PRODUCTS-HILTON"</f>
        <v>000294968 - RICH PRODUCTS-HILTON</v>
      </c>
      <c r="C21926" t="s">
        <v>554</v>
      </c>
      <c r="D21926" s="1" t="str">
        <f t="shared" si="599"/>
        <v>PRG-1048797</v>
      </c>
      <c r="E21926" t="s">
        <v>125</v>
      </c>
      <c r="F21926" t="s">
        <v>4</v>
      </c>
      <c r="G21926" t="str">
        <f>""</f>
        <v/>
      </c>
    </row>
    <row r="21927" spans="1:7" x14ac:dyDescent="0.25">
      <c r="A21927" t="s">
        <v>8</v>
      </c>
      <c r="B21927" s="1" t="str">
        <f>"000295549 - RICH FOODS HILTON NCORE"</f>
        <v>000295549 - RICH FOODS HILTON NCORE</v>
      </c>
      <c r="C21927" t="s">
        <v>561</v>
      </c>
      <c r="D21927" s="1" t="str">
        <f t="shared" si="599"/>
        <v>PRG-1048797</v>
      </c>
      <c r="E21927" t="s">
        <v>125</v>
      </c>
      <c r="F21927" t="s">
        <v>4</v>
      </c>
      <c r="G21927" t="str">
        <f>""</f>
        <v/>
      </c>
    </row>
    <row r="21928" spans="1:7" x14ac:dyDescent="0.25">
      <c r="A21928" t="s">
        <v>8</v>
      </c>
      <c r="B21928" s="1" t="str">
        <f>"000296129 - RICH FOODS-HILTON"</f>
        <v>000296129 - RICH FOODS-HILTON</v>
      </c>
      <c r="C21928" t="s">
        <v>183</v>
      </c>
      <c r="D21928" s="1" t="str">
        <f t="shared" si="599"/>
        <v>PRG-1048797</v>
      </c>
      <c r="E21928" t="s">
        <v>125</v>
      </c>
      <c r="F21928" t="s">
        <v>4</v>
      </c>
      <c r="G21928" t="str">
        <f>""</f>
        <v/>
      </c>
    </row>
    <row r="21929" spans="1:7" x14ac:dyDescent="0.25">
      <c r="A21929" t="s">
        <v>8</v>
      </c>
      <c r="B21929" s="1" t="str">
        <f>"000296922 - RICH PRODUCTS-HILTON"</f>
        <v>000296922 - RICH PRODUCTS-HILTON</v>
      </c>
      <c r="C21929" t="s">
        <v>554</v>
      </c>
      <c r="D21929" s="1" t="str">
        <f t="shared" si="599"/>
        <v>PRG-1048797</v>
      </c>
      <c r="E21929" t="s">
        <v>125</v>
      </c>
      <c r="F21929" t="s">
        <v>4</v>
      </c>
      <c r="G21929" t="str">
        <f>""</f>
        <v/>
      </c>
    </row>
    <row r="21930" spans="1:7" x14ac:dyDescent="0.25">
      <c r="A21930" t="s">
        <v>8</v>
      </c>
      <c r="B21930" s="1" t="str">
        <f>"000297305 - RICH FOODS-HILTON"</f>
        <v>000297305 - RICH FOODS-HILTON</v>
      </c>
      <c r="C21930" t="s">
        <v>183</v>
      </c>
      <c r="D21930" s="1" t="str">
        <f t="shared" si="599"/>
        <v>PRG-1048797</v>
      </c>
      <c r="E21930" t="s">
        <v>125</v>
      </c>
      <c r="F21930" t="s">
        <v>4</v>
      </c>
      <c r="G21930" t="str">
        <f>""</f>
        <v/>
      </c>
    </row>
    <row r="21931" spans="1:7" x14ac:dyDescent="0.25">
      <c r="A21931" t="s">
        <v>8</v>
      </c>
      <c r="B21931" s="1" t="str">
        <f>"000299490 - RICH PRODUCTS-HILTON"</f>
        <v>000299490 - RICH PRODUCTS-HILTON</v>
      </c>
      <c r="C21931" t="s">
        <v>554</v>
      </c>
      <c r="D21931" s="1" t="str">
        <f t="shared" si="599"/>
        <v>PRG-1048797</v>
      </c>
      <c r="E21931" t="s">
        <v>125</v>
      </c>
      <c r="F21931" t="s">
        <v>4</v>
      </c>
      <c r="G21931" t="str">
        <f>""</f>
        <v/>
      </c>
    </row>
    <row r="21932" spans="1:7" x14ac:dyDescent="0.25">
      <c r="A21932" t="s">
        <v>8</v>
      </c>
      <c r="B21932" s="1" t="str">
        <f>"000300422 - RICH PRODUCTS-HILTON"</f>
        <v>000300422 - RICH PRODUCTS-HILTON</v>
      </c>
      <c r="C21932" t="s">
        <v>554</v>
      </c>
      <c r="D21932" s="1" t="str">
        <f t="shared" si="599"/>
        <v>PRG-1048797</v>
      </c>
      <c r="E21932" t="s">
        <v>125</v>
      </c>
      <c r="F21932" t="s">
        <v>4</v>
      </c>
      <c r="G21932" t="str">
        <f>""</f>
        <v/>
      </c>
    </row>
    <row r="21933" spans="1:7" x14ac:dyDescent="0.25">
      <c r="A21933" t="s">
        <v>8</v>
      </c>
      <c r="B21933" s="1" t="str">
        <f>"000302390 - RICH FOODS-HILTON"</f>
        <v>000302390 - RICH FOODS-HILTON</v>
      </c>
      <c r="C21933" t="s">
        <v>183</v>
      </c>
      <c r="D21933" s="1" t="str">
        <f t="shared" si="599"/>
        <v>PRG-1048797</v>
      </c>
      <c r="E21933" t="s">
        <v>125</v>
      </c>
      <c r="F21933" t="s">
        <v>4</v>
      </c>
      <c r="G21933" t="str">
        <f>""</f>
        <v/>
      </c>
    </row>
    <row r="21934" spans="1:7" x14ac:dyDescent="0.25">
      <c r="A21934" t="s">
        <v>8</v>
      </c>
      <c r="B21934" s="1" t="str">
        <f>"000302891 - RICH FOODS BB NCORE HILTON"</f>
        <v>000302891 - RICH FOODS BB NCORE HILTON</v>
      </c>
      <c r="C21934" t="s">
        <v>143</v>
      </c>
      <c r="D21934" s="1" t="str">
        <f t="shared" si="599"/>
        <v>PRG-1048797</v>
      </c>
      <c r="E21934" t="s">
        <v>125</v>
      </c>
      <c r="F21934" t="s">
        <v>4</v>
      </c>
      <c r="G21934" t="str">
        <f>""</f>
        <v/>
      </c>
    </row>
    <row r="21935" spans="1:7" x14ac:dyDescent="0.25">
      <c r="A21935" t="s">
        <v>8</v>
      </c>
      <c r="B21935" s="1" t="str">
        <f>"000304201 - RICH PRODUCTS-HILTON"</f>
        <v>000304201 - RICH PRODUCTS-HILTON</v>
      </c>
      <c r="C21935" t="s">
        <v>554</v>
      </c>
      <c r="D21935" s="1" t="str">
        <f t="shared" si="599"/>
        <v>PRG-1048797</v>
      </c>
      <c r="E21935" t="s">
        <v>125</v>
      </c>
      <c r="F21935" t="s">
        <v>4</v>
      </c>
      <c r="G21935" t="str">
        <f>""</f>
        <v/>
      </c>
    </row>
    <row r="21936" spans="1:7" x14ac:dyDescent="0.25">
      <c r="A21936" t="s">
        <v>8</v>
      </c>
      <c r="B21936" s="1" t="str">
        <f>"000304225 - RICH FOODS-HILTON"</f>
        <v>000304225 - RICH FOODS-HILTON</v>
      </c>
      <c r="C21936" t="s">
        <v>183</v>
      </c>
      <c r="D21936" s="1" t="str">
        <f t="shared" si="599"/>
        <v>PRG-1048797</v>
      </c>
      <c r="E21936" t="s">
        <v>125</v>
      </c>
      <c r="F21936" t="s">
        <v>4</v>
      </c>
      <c r="G21936" t="str">
        <f>""</f>
        <v/>
      </c>
    </row>
    <row r="21937" spans="1:7" x14ac:dyDescent="0.25">
      <c r="A21937" t="s">
        <v>8</v>
      </c>
      <c r="B21937" s="1" t="str">
        <f>"000304553 - RICH FOODS BB NCORE HILTON"</f>
        <v>000304553 - RICH FOODS BB NCORE HILTON</v>
      </c>
      <c r="C21937" t="s">
        <v>124</v>
      </c>
      <c r="D21937" s="1" t="str">
        <f t="shared" si="599"/>
        <v>PRG-1048797</v>
      </c>
      <c r="E21937" t="s">
        <v>125</v>
      </c>
      <c r="F21937" t="s">
        <v>4</v>
      </c>
      <c r="G21937" t="str">
        <f>""</f>
        <v/>
      </c>
    </row>
    <row r="21938" spans="1:7" x14ac:dyDescent="0.25">
      <c r="A21938" t="s">
        <v>8</v>
      </c>
      <c r="B21938" s="1" t="str">
        <f>"000305304 - RICH PRODUCTS-HILTON"</f>
        <v>000305304 - RICH PRODUCTS-HILTON</v>
      </c>
      <c r="C21938" t="s">
        <v>554</v>
      </c>
      <c r="D21938" s="1" t="str">
        <f t="shared" si="599"/>
        <v>PRG-1048797</v>
      </c>
      <c r="E21938" t="s">
        <v>125</v>
      </c>
      <c r="F21938" t="s">
        <v>4</v>
      </c>
      <c r="G21938" t="str">
        <f>""</f>
        <v/>
      </c>
    </row>
    <row r="21939" spans="1:7" x14ac:dyDescent="0.25">
      <c r="A21939" t="s">
        <v>8</v>
      </c>
      <c r="B21939" s="1" t="str">
        <f>"000305407 - RICH FOODS HILTON NCORE"</f>
        <v>000305407 - RICH FOODS HILTON NCORE</v>
      </c>
      <c r="C21939" t="s">
        <v>561</v>
      </c>
      <c r="D21939" s="1" t="str">
        <f t="shared" si="599"/>
        <v>PRG-1048797</v>
      </c>
      <c r="E21939" t="s">
        <v>125</v>
      </c>
      <c r="F21939" t="s">
        <v>4</v>
      </c>
      <c r="G21939" t="str">
        <f>""</f>
        <v/>
      </c>
    </row>
    <row r="21940" spans="1:7" x14ac:dyDescent="0.25">
      <c r="A21940" t="s">
        <v>8</v>
      </c>
      <c r="B21940" s="1" t="str">
        <f>"000310533 - RICH FOODS HILTON NCORE"</f>
        <v>000310533 - RICH FOODS HILTON NCORE</v>
      </c>
      <c r="C21940" t="s">
        <v>561</v>
      </c>
      <c r="D21940" s="1" t="str">
        <f t="shared" si="599"/>
        <v>PRG-1048797</v>
      </c>
      <c r="E21940" t="s">
        <v>125</v>
      </c>
      <c r="F21940" t="s">
        <v>4</v>
      </c>
      <c r="G21940" t="str">
        <f>""</f>
        <v/>
      </c>
    </row>
    <row r="21941" spans="1:7" x14ac:dyDescent="0.25">
      <c r="A21941" t="s">
        <v>8</v>
      </c>
      <c r="B21941" s="1" t="str">
        <f>"000310664 - RICH PRODUCTS-HILTON"</f>
        <v>000310664 - RICH PRODUCTS-HILTON</v>
      </c>
      <c r="C21941" t="s">
        <v>554</v>
      </c>
      <c r="D21941" s="1" t="str">
        <f t="shared" si="599"/>
        <v>PRG-1048797</v>
      </c>
      <c r="E21941" t="s">
        <v>125</v>
      </c>
      <c r="F21941" t="s">
        <v>4</v>
      </c>
      <c r="G21941" t="str">
        <f>""</f>
        <v/>
      </c>
    </row>
    <row r="21942" spans="1:7" x14ac:dyDescent="0.25">
      <c r="A21942" t="s">
        <v>8</v>
      </c>
      <c r="B21942" s="1" t="str">
        <f>"000312002 - RICH FOODS HILTON NCORE"</f>
        <v>000312002 - RICH FOODS HILTON NCORE</v>
      </c>
      <c r="C21942" t="s">
        <v>561</v>
      </c>
      <c r="D21942" s="1" t="str">
        <f t="shared" si="599"/>
        <v>PRG-1048797</v>
      </c>
      <c r="E21942" t="s">
        <v>125</v>
      </c>
      <c r="F21942" t="s">
        <v>4</v>
      </c>
      <c r="G21942" t="str">
        <f>""</f>
        <v/>
      </c>
    </row>
    <row r="21943" spans="1:7" x14ac:dyDescent="0.25">
      <c r="A21943" t="s">
        <v>8</v>
      </c>
      <c r="B21943" s="1" t="str">
        <f>"000314546 - RICH PRODUCTS-HILTON"</f>
        <v>000314546 - RICH PRODUCTS-HILTON</v>
      </c>
      <c r="C21943" t="s">
        <v>554</v>
      </c>
      <c r="D21943" s="1" t="str">
        <f t="shared" si="599"/>
        <v>PRG-1048797</v>
      </c>
      <c r="E21943" t="s">
        <v>125</v>
      </c>
      <c r="F21943" t="s">
        <v>4</v>
      </c>
      <c r="G21943" t="str">
        <f>""</f>
        <v/>
      </c>
    </row>
    <row r="21944" spans="1:7" x14ac:dyDescent="0.25">
      <c r="A21944" t="s">
        <v>8</v>
      </c>
      <c r="B21944" s="1" t="str">
        <f>"000314826 - RICH FOODS BB NCORE HILTON"</f>
        <v>000314826 - RICH FOODS BB NCORE HILTON</v>
      </c>
      <c r="C21944" t="s">
        <v>124</v>
      </c>
      <c r="D21944" s="1" t="str">
        <f t="shared" ref="D21944:D21975" si="600">"PRG-1048797"</f>
        <v>PRG-1048797</v>
      </c>
      <c r="E21944" t="s">
        <v>125</v>
      </c>
      <c r="F21944" t="s">
        <v>4</v>
      </c>
      <c r="G21944" t="str">
        <f>""</f>
        <v/>
      </c>
    </row>
    <row r="21945" spans="1:7" x14ac:dyDescent="0.25">
      <c r="A21945" t="s">
        <v>8</v>
      </c>
      <c r="B21945" s="1" t="str">
        <f>"000317717 - RICH FOODS-HILTON"</f>
        <v>000317717 - RICH FOODS-HILTON</v>
      </c>
      <c r="C21945" t="s">
        <v>183</v>
      </c>
      <c r="D21945" s="1" t="str">
        <f t="shared" si="600"/>
        <v>PRG-1048797</v>
      </c>
      <c r="E21945" t="s">
        <v>125</v>
      </c>
      <c r="F21945" t="s">
        <v>4</v>
      </c>
      <c r="G21945" t="str">
        <f>""</f>
        <v/>
      </c>
    </row>
    <row r="21946" spans="1:7" x14ac:dyDescent="0.25">
      <c r="A21946" t="s">
        <v>8</v>
      </c>
      <c r="B21946" s="1" t="str">
        <f>"000319333 - RICH PRODUCTS-HILTON"</f>
        <v>000319333 - RICH PRODUCTS-HILTON</v>
      </c>
      <c r="C21946" t="s">
        <v>554</v>
      </c>
      <c r="D21946" s="1" t="str">
        <f t="shared" si="600"/>
        <v>PRG-1048797</v>
      </c>
      <c r="E21946" t="s">
        <v>125</v>
      </c>
      <c r="F21946" t="s">
        <v>4</v>
      </c>
      <c r="G21946" t="str">
        <f>""</f>
        <v/>
      </c>
    </row>
    <row r="21947" spans="1:7" x14ac:dyDescent="0.25">
      <c r="A21947" t="s">
        <v>8</v>
      </c>
      <c r="B21947" s="1" t="str">
        <f>"000320690 - RICH PRODUCTS-HILTON"</f>
        <v>000320690 - RICH PRODUCTS-HILTON</v>
      </c>
      <c r="C21947" t="s">
        <v>554</v>
      </c>
      <c r="D21947" s="1" t="str">
        <f t="shared" si="600"/>
        <v>PRG-1048797</v>
      </c>
      <c r="E21947" t="s">
        <v>125</v>
      </c>
      <c r="F21947" t="s">
        <v>4</v>
      </c>
      <c r="G21947" t="str">
        <f>""</f>
        <v/>
      </c>
    </row>
    <row r="21948" spans="1:7" x14ac:dyDescent="0.25">
      <c r="A21948" t="s">
        <v>8</v>
      </c>
      <c r="B21948" s="1" t="str">
        <f>"000320751 - RICH PRODUCTS-HILTON"</f>
        <v>000320751 - RICH PRODUCTS-HILTON</v>
      </c>
      <c r="C21948" t="s">
        <v>554</v>
      </c>
      <c r="D21948" s="1" t="str">
        <f t="shared" si="600"/>
        <v>PRG-1048797</v>
      </c>
      <c r="E21948" t="s">
        <v>125</v>
      </c>
      <c r="F21948" t="s">
        <v>4</v>
      </c>
      <c r="G21948" t="str">
        <f>""</f>
        <v/>
      </c>
    </row>
    <row r="21949" spans="1:7" x14ac:dyDescent="0.25">
      <c r="A21949" t="s">
        <v>8</v>
      </c>
      <c r="B21949" s="1" t="str">
        <f>"000321171 - RICH PRODUCTS-HILTON"</f>
        <v>000321171 - RICH PRODUCTS-HILTON</v>
      </c>
      <c r="C21949" t="s">
        <v>554</v>
      </c>
      <c r="D21949" s="1" t="str">
        <f t="shared" si="600"/>
        <v>PRG-1048797</v>
      </c>
      <c r="E21949" t="s">
        <v>125</v>
      </c>
      <c r="F21949" t="s">
        <v>4</v>
      </c>
      <c r="G21949" t="str">
        <f>""</f>
        <v/>
      </c>
    </row>
    <row r="21950" spans="1:7" x14ac:dyDescent="0.25">
      <c r="A21950" t="s">
        <v>8</v>
      </c>
      <c r="B21950" s="1" t="str">
        <f>"000321205 - RICH FOODS BB NCORE HILTON"</f>
        <v>000321205 - RICH FOODS BB NCORE HILTON</v>
      </c>
      <c r="C21950" t="s">
        <v>143</v>
      </c>
      <c r="D21950" s="1" t="str">
        <f t="shared" si="600"/>
        <v>PRG-1048797</v>
      </c>
      <c r="E21950" t="s">
        <v>125</v>
      </c>
      <c r="F21950" t="s">
        <v>4</v>
      </c>
      <c r="G21950" t="str">
        <f>""</f>
        <v/>
      </c>
    </row>
    <row r="21951" spans="1:7" x14ac:dyDescent="0.25">
      <c r="A21951" t="s">
        <v>8</v>
      </c>
      <c r="B21951" s="1" t="str">
        <f>"000321783 - RICH FOODS BB NCORE HILTON"</f>
        <v>000321783 - RICH FOODS BB NCORE HILTON</v>
      </c>
      <c r="C21951" t="s">
        <v>143</v>
      </c>
      <c r="D21951" s="1" t="str">
        <f t="shared" si="600"/>
        <v>PRG-1048797</v>
      </c>
      <c r="E21951" t="s">
        <v>125</v>
      </c>
      <c r="F21951" t="s">
        <v>4</v>
      </c>
      <c r="G21951" t="str">
        <f>""</f>
        <v/>
      </c>
    </row>
    <row r="21952" spans="1:7" x14ac:dyDescent="0.25">
      <c r="A21952" t="s">
        <v>8</v>
      </c>
      <c r="B21952" s="1" t="str">
        <f>"000322242 - RICH FOODS BB NCORE HILTON"</f>
        <v>000322242 - RICH FOODS BB NCORE HILTON</v>
      </c>
      <c r="C21952" t="s">
        <v>124</v>
      </c>
      <c r="D21952" s="1" t="str">
        <f t="shared" si="600"/>
        <v>PRG-1048797</v>
      </c>
      <c r="E21952" t="s">
        <v>125</v>
      </c>
      <c r="F21952" t="s">
        <v>4</v>
      </c>
      <c r="G21952" t="str">
        <f>""</f>
        <v/>
      </c>
    </row>
    <row r="21953" spans="1:7" x14ac:dyDescent="0.25">
      <c r="A21953" t="s">
        <v>8</v>
      </c>
      <c r="B21953" s="1" t="str">
        <f>"000322893 - RICH FOODS HILTON NCORE"</f>
        <v>000322893 - RICH FOODS HILTON NCORE</v>
      </c>
      <c r="C21953" t="s">
        <v>561</v>
      </c>
      <c r="D21953" s="1" t="str">
        <f t="shared" si="600"/>
        <v>PRG-1048797</v>
      </c>
      <c r="E21953" t="s">
        <v>125</v>
      </c>
      <c r="F21953" t="s">
        <v>4</v>
      </c>
      <c r="G21953" t="str">
        <f>""</f>
        <v/>
      </c>
    </row>
    <row r="21954" spans="1:7" x14ac:dyDescent="0.25">
      <c r="A21954" t="s">
        <v>8</v>
      </c>
      <c r="B21954" s="1" t="str">
        <f>"000323105 - RICH PRODUCTS-HILTON"</f>
        <v>000323105 - RICH PRODUCTS-HILTON</v>
      </c>
      <c r="C21954" t="s">
        <v>554</v>
      </c>
      <c r="D21954" s="1" t="str">
        <f t="shared" si="600"/>
        <v>PRG-1048797</v>
      </c>
      <c r="E21954" t="s">
        <v>125</v>
      </c>
      <c r="F21954" t="s">
        <v>4</v>
      </c>
      <c r="G21954" t="str">
        <f>""</f>
        <v/>
      </c>
    </row>
    <row r="21955" spans="1:7" x14ac:dyDescent="0.25">
      <c r="A21955" t="s">
        <v>8</v>
      </c>
      <c r="B21955" s="1" t="str">
        <f>"000323974 - RICH FOODS NCBB-HILTON"</f>
        <v>000323974 - RICH FOODS NCBB-HILTON</v>
      </c>
      <c r="C21955" t="s">
        <v>197</v>
      </c>
      <c r="D21955" s="1" t="str">
        <f t="shared" si="600"/>
        <v>PRG-1048797</v>
      </c>
      <c r="E21955" t="s">
        <v>125</v>
      </c>
      <c r="F21955" t="s">
        <v>4</v>
      </c>
      <c r="G21955" t="str">
        <f>""</f>
        <v/>
      </c>
    </row>
    <row r="21956" spans="1:7" x14ac:dyDescent="0.25">
      <c r="A21956" t="s">
        <v>8</v>
      </c>
      <c r="B21956" s="1" t="str">
        <f>"000324317 - RICH PRODUCTS-HILTON"</f>
        <v>000324317 - RICH PRODUCTS-HILTON</v>
      </c>
      <c r="C21956" t="s">
        <v>554</v>
      </c>
      <c r="D21956" s="1" t="str">
        <f t="shared" si="600"/>
        <v>PRG-1048797</v>
      </c>
      <c r="E21956" t="s">
        <v>125</v>
      </c>
      <c r="F21956" t="s">
        <v>4</v>
      </c>
      <c r="G21956" t="str">
        <f>""</f>
        <v/>
      </c>
    </row>
    <row r="21957" spans="1:7" x14ac:dyDescent="0.25">
      <c r="A21957" t="s">
        <v>8</v>
      </c>
      <c r="B21957" s="1" t="str">
        <f>"000324449 - RICH PRODUCTS-HILTON"</f>
        <v>000324449 - RICH PRODUCTS-HILTON</v>
      </c>
      <c r="C21957" t="s">
        <v>554</v>
      </c>
      <c r="D21957" s="1" t="str">
        <f t="shared" si="600"/>
        <v>PRG-1048797</v>
      </c>
      <c r="E21957" t="s">
        <v>125</v>
      </c>
      <c r="F21957" t="s">
        <v>4</v>
      </c>
      <c r="G21957" t="str">
        <f>""</f>
        <v/>
      </c>
    </row>
    <row r="21958" spans="1:7" x14ac:dyDescent="0.25">
      <c r="A21958" t="s">
        <v>8</v>
      </c>
      <c r="B21958" s="1" t="str">
        <f>"000324957 - RICH PRODUCTS-HILTON"</f>
        <v>000324957 - RICH PRODUCTS-HILTON</v>
      </c>
      <c r="C21958" t="s">
        <v>554</v>
      </c>
      <c r="D21958" s="1" t="str">
        <f t="shared" si="600"/>
        <v>PRG-1048797</v>
      </c>
      <c r="E21958" t="s">
        <v>125</v>
      </c>
      <c r="F21958" t="s">
        <v>4</v>
      </c>
      <c r="G21958" t="str">
        <f>""</f>
        <v/>
      </c>
    </row>
    <row r="21959" spans="1:7" x14ac:dyDescent="0.25">
      <c r="A21959" t="s">
        <v>8</v>
      </c>
      <c r="B21959" s="1" t="str">
        <f>"000325501 - RICH FOODS HILTON NCORE"</f>
        <v>000325501 - RICH FOODS HILTON NCORE</v>
      </c>
      <c r="C21959" t="s">
        <v>561</v>
      </c>
      <c r="D21959" s="1" t="str">
        <f t="shared" si="600"/>
        <v>PRG-1048797</v>
      </c>
      <c r="E21959" t="s">
        <v>125</v>
      </c>
      <c r="F21959" t="s">
        <v>4</v>
      </c>
      <c r="G21959" t="str">
        <f>""</f>
        <v/>
      </c>
    </row>
    <row r="21960" spans="1:7" x14ac:dyDescent="0.25">
      <c r="A21960" t="s">
        <v>8</v>
      </c>
      <c r="B21960" s="1" t="str">
        <f>"000325775 - RICH HILTON CORE WBB"</f>
        <v>000325775 - RICH HILTON CORE WBB</v>
      </c>
      <c r="C21960" t="s">
        <v>1315</v>
      </c>
      <c r="D21960" s="1" t="str">
        <f t="shared" si="600"/>
        <v>PRG-1048797</v>
      </c>
      <c r="E21960" t="s">
        <v>125</v>
      </c>
      <c r="F21960" t="s">
        <v>4</v>
      </c>
      <c r="G21960" t="str">
        <f>""</f>
        <v/>
      </c>
    </row>
    <row r="21961" spans="1:7" x14ac:dyDescent="0.25">
      <c r="A21961" t="s">
        <v>8</v>
      </c>
      <c r="B21961" s="1" t="str">
        <f>"000327280 - RICH PRODUCTS-HILTON"</f>
        <v>000327280 - RICH PRODUCTS-HILTON</v>
      </c>
      <c r="C21961" t="s">
        <v>554</v>
      </c>
      <c r="D21961" s="1" t="str">
        <f t="shared" si="600"/>
        <v>PRG-1048797</v>
      </c>
      <c r="E21961" t="s">
        <v>125</v>
      </c>
      <c r="F21961" t="s">
        <v>4</v>
      </c>
      <c r="G21961" t="str">
        <f>""</f>
        <v/>
      </c>
    </row>
    <row r="21962" spans="1:7" x14ac:dyDescent="0.25">
      <c r="A21962" t="s">
        <v>8</v>
      </c>
      <c r="B21962" s="1" t="str">
        <f>"000328568 - RICH PRODUCTS-HILTON"</f>
        <v>000328568 - RICH PRODUCTS-HILTON</v>
      </c>
      <c r="C21962" t="s">
        <v>554</v>
      </c>
      <c r="D21962" s="1" t="str">
        <f t="shared" si="600"/>
        <v>PRG-1048797</v>
      </c>
      <c r="E21962" t="s">
        <v>125</v>
      </c>
      <c r="F21962" t="s">
        <v>4</v>
      </c>
      <c r="G21962" t="str">
        <f>""</f>
        <v/>
      </c>
    </row>
    <row r="21963" spans="1:7" x14ac:dyDescent="0.25">
      <c r="A21963" t="s">
        <v>8</v>
      </c>
      <c r="B21963" s="1" t="str">
        <f>"000328986 - RICH PRODUCTS-HILTON"</f>
        <v>000328986 - RICH PRODUCTS-HILTON</v>
      </c>
      <c r="C21963" t="s">
        <v>554</v>
      </c>
      <c r="D21963" s="1" t="str">
        <f t="shared" si="600"/>
        <v>PRG-1048797</v>
      </c>
      <c r="E21963" t="s">
        <v>125</v>
      </c>
      <c r="F21963" t="s">
        <v>4</v>
      </c>
      <c r="G21963" t="str">
        <f>""</f>
        <v/>
      </c>
    </row>
    <row r="21964" spans="1:7" x14ac:dyDescent="0.25">
      <c r="A21964" t="s">
        <v>8</v>
      </c>
      <c r="B21964" s="1" t="str">
        <f>"000329620 - RICH PRODUCTS-HILTON"</f>
        <v>000329620 - RICH PRODUCTS-HILTON</v>
      </c>
      <c r="C21964" t="s">
        <v>554</v>
      </c>
      <c r="D21964" s="1" t="str">
        <f t="shared" si="600"/>
        <v>PRG-1048797</v>
      </c>
      <c r="E21964" t="s">
        <v>125</v>
      </c>
      <c r="F21964" t="s">
        <v>4</v>
      </c>
      <c r="G21964" t="str">
        <f>""</f>
        <v/>
      </c>
    </row>
    <row r="21965" spans="1:7" x14ac:dyDescent="0.25">
      <c r="A21965" t="s">
        <v>8</v>
      </c>
      <c r="B21965" s="1" t="str">
        <f>"000334350 - RICH FOODS NCBB-HILTON"</f>
        <v>000334350 - RICH FOODS NCBB-HILTON</v>
      </c>
      <c r="C21965" t="s">
        <v>197</v>
      </c>
      <c r="D21965" s="1" t="str">
        <f t="shared" si="600"/>
        <v>PRG-1048797</v>
      </c>
      <c r="E21965" t="s">
        <v>125</v>
      </c>
      <c r="F21965" t="s">
        <v>4</v>
      </c>
      <c r="G21965" t="str">
        <f>""</f>
        <v/>
      </c>
    </row>
    <row r="21966" spans="1:7" x14ac:dyDescent="0.25">
      <c r="A21966" t="s">
        <v>8</v>
      </c>
      <c r="B21966" s="1" t="str">
        <f>"000334599 - RICH FOODS-HILTON"</f>
        <v>000334599 - RICH FOODS-HILTON</v>
      </c>
      <c r="C21966" t="s">
        <v>183</v>
      </c>
      <c r="D21966" s="1" t="str">
        <f t="shared" si="600"/>
        <v>PRG-1048797</v>
      </c>
      <c r="E21966" t="s">
        <v>125</v>
      </c>
      <c r="F21966" t="s">
        <v>4</v>
      </c>
      <c r="G21966" t="str">
        <f>""</f>
        <v/>
      </c>
    </row>
    <row r="21967" spans="1:7" x14ac:dyDescent="0.25">
      <c r="A21967" t="s">
        <v>8</v>
      </c>
      <c r="B21967" s="1" t="str">
        <f>"000334822 - RICH FOODS BB NCORE HILTON"</f>
        <v>000334822 - RICH FOODS BB NCORE HILTON</v>
      </c>
      <c r="C21967" t="s">
        <v>143</v>
      </c>
      <c r="D21967" s="1" t="str">
        <f t="shared" si="600"/>
        <v>PRG-1048797</v>
      </c>
      <c r="E21967" t="s">
        <v>125</v>
      </c>
      <c r="F21967" t="s">
        <v>4</v>
      </c>
      <c r="G21967" t="str">
        <f>""</f>
        <v/>
      </c>
    </row>
    <row r="21968" spans="1:7" x14ac:dyDescent="0.25">
      <c r="A21968" t="s">
        <v>8</v>
      </c>
      <c r="B21968" s="1" t="str">
        <f>"000336920 - RICH FOODS NCBB-HILTON"</f>
        <v>000336920 - RICH FOODS NCBB-HILTON</v>
      </c>
      <c r="C21968" t="s">
        <v>197</v>
      </c>
      <c r="D21968" s="1" t="str">
        <f t="shared" si="600"/>
        <v>PRG-1048797</v>
      </c>
      <c r="E21968" t="s">
        <v>125</v>
      </c>
      <c r="F21968" t="s">
        <v>4</v>
      </c>
      <c r="G21968" t="str">
        <f>""</f>
        <v/>
      </c>
    </row>
    <row r="21969" spans="1:7" x14ac:dyDescent="0.25">
      <c r="A21969" t="s">
        <v>8</v>
      </c>
      <c r="B21969" s="1" t="str">
        <f>"000344003 - RICH PRODUCTS-HILTON"</f>
        <v>000344003 - RICH PRODUCTS-HILTON</v>
      </c>
      <c r="C21969" t="s">
        <v>554</v>
      </c>
      <c r="D21969" s="1" t="str">
        <f t="shared" si="600"/>
        <v>PRG-1048797</v>
      </c>
      <c r="E21969" t="s">
        <v>125</v>
      </c>
      <c r="F21969" t="s">
        <v>4</v>
      </c>
      <c r="G21969" t="str">
        <f>""</f>
        <v/>
      </c>
    </row>
    <row r="21970" spans="1:7" x14ac:dyDescent="0.25">
      <c r="A21970" t="s">
        <v>8</v>
      </c>
      <c r="B21970" s="1" t="str">
        <f>"000352372 - RICH PRODUCTS-HILTON"</f>
        <v>000352372 - RICH PRODUCTS-HILTON</v>
      </c>
      <c r="C21970" t="s">
        <v>554</v>
      </c>
      <c r="D21970" s="1" t="str">
        <f t="shared" si="600"/>
        <v>PRG-1048797</v>
      </c>
      <c r="E21970" t="s">
        <v>125</v>
      </c>
      <c r="F21970" t="s">
        <v>4</v>
      </c>
      <c r="G21970" t="str">
        <f>""</f>
        <v/>
      </c>
    </row>
    <row r="21971" spans="1:7" x14ac:dyDescent="0.25">
      <c r="A21971" t="s">
        <v>8</v>
      </c>
      <c r="B21971" s="1" t="str">
        <f>"000354566 - RICH PRODUCTS-HILTON"</f>
        <v>000354566 - RICH PRODUCTS-HILTON</v>
      </c>
      <c r="C21971" t="s">
        <v>554</v>
      </c>
      <c r="D21971" s="1" t="str">
        <f t="shared" si="600"/>
        <v>PRG-1048797</v>
      </c>
      <c r="E21971" t="s">
        <v>125</v>
      </c>
      <c r="F21971" t="s">
        <v>4</v>
      </c>
      <c r="G21971" t="str">
        <f>""</f>
        <v/>
      </c>
    </row>
    <row r="21972" spans="1:7" x14ac:dyDescent="0.25">
      <c r="A21972" t="s">
        <v>8</v>
      </c>
      <c r="B21972" s="1" t="str">
        <f>"000357264 - RICH HILTON CORE WBB"</f>
        <v>000357264 - RICH HILTON CORE WBB</v>
      </c>
      <c r="C21972" t="s">
        <v>1315</v>
      </c>
      <c r="D21972" s="1" t="str">
        <f t="shared" si="600"/>
        <v>PRG-1048797</v>
      </c>
      <c r="E21972" t="s">
        <v>125</v>
      </c>
      <c r="F21972" t="s">
        <v>4</v>
      </c>
      <c r="G21972" t="str">
        <f>""</f>
        <v/>
      </c>
    </row>
    <row r="21973" spans="1:7" x14ac:dyDescent="0.25">
      <c r="A21973" t="s">
        <v>8</v>
      </c>
      <c r="B21973" s="1" t="str">
        <f>"000358096 - RICH PRODUCTS-HILTON"</f>
        <v>000358096 - RICH PRODUCTS-HILTON</v>
      </c>
      <c r="C21973" t="s">
        <v>554</v>
      </c>
      <c r="D21973" s="1" t="str">
        <f t="shared" si="600"/>
        <v>PRG-1048797</v>
      </c>
      <c r="E21973" t="s">
        <v>125</v>
      </c>
      <c r="F21973" t="s">
        <v>4</v>
      </c>
      <c r="G21973" t="str">
        <f>""</f>
        <v/>
      </c>
    </row>
    <row r="21974" spans="1:7" x14ac:dyDescent="0.25">
      <c r="A21974" t="s">
        <v>8</v>
      </c>
      <c r="B21974" s="1" t="str">
        <f>"000360597 - RICH FOODS-HILTON"</f>
        <v>000360597 - RICH FOODS-HILTON</v>
      </c>
      <c r="C21974" t="s">
        <v>183</v>
      </c>
      <c r="D21974" s="1" t="str">
        <f t="shared" si="600"/>
        <v>PRG-1048797</v>
      </c>
      <c r="E21974" t="s">
        <v>125</v>
      </c>
      <c r="F21974" t="s">
        <v>4</v>
      </c>
      <c r="G21974" t="str">
        <f>""</f>
        <v/>
      </c>
    </row>
    <row r="21975" spans="1:7" x14ac:dyDescent="0.25">
      <c r="A21975" t="s">
        <v>8</v>
      </c>
      <c r="B21975" s="1" t="str">
        <f>"000361080 - RICH PRODUCTS-HILTON"</f>
        <v>000361080 - RICH PRODUCTS-HILTON</v>
      </c>
      <c r="C21975" t="s">
        <v>554</v>
      </c>
      <c r="D21975" s="1" t="str">
        <f t="shared" si="600"/>
        <v>PRG-1048797</v>
      </c>
      <c r="E21975" t="s">
        <v>125</v>
      </c>
      <c r="F21975" t="s">
        <v>4</v>
      </c>
      <c r="G21975" t="str">
        <f>""</f>
        <v/>
      </c>
    </row>
    <row r="21976" spans="1:7" x14ac:dyDescent="0.25">
      <c r="A21976" t="s">
        <v>8</v>
      </c>
      <c r="B21976" s="1" t="str">
        <f>"000364801 - RICH PRODUCTS-HILTON"</f>
        <v>000364801 - RICH PRODUCTS-HILTON</v>
      </c>
      <c r="C21976" t="s">
        <v>554</v>
      </c>
      <c r="D21976" s="1" t="str">
        <f t="shared" ref="D21976:D21998" si="601">"PRG-1048797"</f>
        <v>PRG-1048797</v>
      </c>
      <c r="E21976" t="s">
        <v>125</v>
      </c>
      <c r="F21976" t="s">
        <v>4</v>
      </c>
      <c r="G21976" t="str">
        <f>""</f>
        <v/>
      </c>
    </row>
    <row r="21977" spans="1:7" x14ac:dyDescent="0.25">
      <c r="A21977" t="s">
        <v>8</v>
      </c>
      <c r="B21977" s="1" t="str">
        <f>"000365999 - RICH FOODS BB NCORE HILTON"</f>
        <v>000365999 - RICH FOODS BB NCORE HILTON</v>
      </c>
      <c r="C21977" t="s">
        <v>124</v>
      </c>
      <c r="D21977" s="1" t="str">
        <f t="shared" si="601"/>
        <v>PRG-1048797</v>
      </c>
      <c r="E21977" t="s">
        <v>125</v>
      </c>
      <c r="F21977" t="s">
        <v>4</v>
      </c>
      <c r="G21977" t="str">
        <f>""</f>
        <v/>
      </c>
    </row>
    <row r="21978" spans="1:7" x14ac:dyDescent="0.25">
      <c r="A21978" t="s">
        <v>8</v>
      </c>
      <c r="B21978" s="1" t="str">
        <f>"000369977 - RICH PRODUCTS-HILTON"</f>
        <v>000369977 - RICH PRODUCTS-HILTON</v>
      </c>
      <c r="C21978" t="s">
        <v>554</v>
      </c>
      <c r="D21978" s="1" t="str">
        <f t="shared" si="601"/>
        <v>PRG-1048797</v>
      </c>
      <c r="E21978" t="s">
        <v>125</v>
      </c>
      <c r="F21978" t="s">
        <v>4</v>
      </c>
      <c r="G21978" t="str">
        <f>""</f>
        <v/>
      </c>
    </row>
    <row r="21979" spans="1:7" x14ac:dyDescent="0.25">
      <c r="A21979" t="s">
        <v>8</v>
      </c>
      <c r="B21979" s="1" t="str">
        <f>"000376829 - RICH PRODUCTS-HILTON"</f>
        <v>000376829 - RICH PRODUCTS-HILTON</v>
      </c>
      <c r="C21979" t="s">
        <v>554</v>
      </c>
      <c r="D21979" s="1" t="str">
        <f t="shared" si="601"/>
        <v>PRG-1048797</v>
      </c>
      <c r="E21979" t="s">
        <v>125</v>
      </c>
      <c r="F21979" t="s">
        <v>4</v>
      </c>
      <c r="G21979" t="str">
        <f>""</f>
        <v/>
      </c>
    </row>
    <row r="21980" spans="1:7" x14ac:dyDescent="0.25">
      <c r="A21980" t="s">
        <v>8</v>
      </c>
      <c r="B21980" s="1" t="str">
        <f>"000379365 - RICH FOODS-HILTON"</f>
        <v>000379365 - RICH FOODS-HILTON</v>
      </c>
      <c r="C21980" t="s">
        <v>183</v>
      </c>
      <c r="D21980" s="1" t="str">
        <f t="shared" si="601"/>
        <v>PRG-1048797</v>
      </c>
      <c r="E21980" t="s">
        <v>125</v>
      </c>
      <c r="F21980" t="s">
        <v>4</v>
      </c>
      <c r="G21980" t="str">
        <f>""</f>
        <v/>
      </c>
    </row>
    <row r="21981" spans="1:7" x14ac:dyDescent="0.25">
      <c r="A21981" t="s">
        <v>8</v>
      </c>
      <c r="B21981" s="1" t="str">
        <f>"000380891 - RICH FOODS-HILTON"</f>
        <v>000380891 - RICH FOODS-HILTON</v>
      </c>
      <c r="C21981" t="s">
        <v>183</v>
      </c>
      <c r="D21981" s="1" t="str">
        <f t="shared" si="601"/>
        <v>PRG-1048797</v>
      </c>
      <c r="E21981" t="s">
        <v>125</v>
      </c>
      <c r="F21981" t="s">
        <v>4</v>
      </c>
      <c r="G21981" t="str">
        <f>""</f>
        <v/>
      </c>
    </row>
    <row r="21982" spans="1:7" x14ac:dyDescent="0.25">
      <c r="A21982" t="s">
        <v>8</v>
      </c>
      <c r="B21982" s="1" t="str">
        <f>"000393015 - RICH PRODUCTS-HILTON"</f>
        <v>000393015 - RICH PRODUCTS-HILTON</v>
      </c>
      <c r="C21982" t="s">
        <v>554</v>
      </c>
      <c r="D21982" s="1" t="str">
        <f t="shared" si="601"/>
        <v>PRG-1048797</v>
      </c>
      <c r="E21982" t="s">
        <v>125</v>
      </c>
      <c r="F21982" t="s">
        <v>4</v>
      </c>
      <c r="G21982" t="str">
        <f>""</f>
        <v/>
      </c>
    </row>
    <row r="21983" spans="1:7" x14ac:dyDescent="0.25">
      <c r="A21983" t="s">
        <v>8</v>
      </c>
      <c r="B21983" s="1" t="str">
        <f>"000395424 - RICH PRODUCTS-HILTON"</f>
        <v>000395424 - RICH PRODUCTS-HILTON</v>
      </c>
      <c r="C21983" t="s">
        <v>554</v>
      </c>
      <c r="D21983" s="1" t="str">
        <f t="shared" si="601"/>
        <v>PRG-1048797</v>
      </c>
      <c r="E21983" t="s">
        <v>125</v>
      </c>
      <c r="F21983" t="s">
        <v>4</v>
      </c>
      <c r="G21983" t="str">
        <f>""</f>
        <v/>
      </c>
    </row>
    <row r="21984" spans="1:7" x14ac:dyDescent="0.25">
      <c r="A21984" t="s">
        <v>8</v>
      </c>
      <c r="B21984" s="1" t="str">
        <f>"000395640 - RICH PRODUCTS-HILTON"</f>
        <v>000395640 - RICH PRODUCTS-HILTON</v>
      </c>
      <c r="C21984" t="s">
        <v>554</v>
      </c>
      <c r="D21984" s="1" t="str">
        <f t="shared" si="601"/>
        <v>PRG-1048797</v>
      </c>
      <c r="E21984" t="s">
        <v>125</v>
      </c>
      <c r="F21984" t="s">
        <v>4</v>
      </c>
      <c r="G21984" t="str">
        <f>""</f>
        <v/>
      </c>
    </row>
    <row r="21985" spans="1:7" x14ac:dyDescent="0.25">
      <c r="A21985" t="s">
        <v>8</v>
      </c>
      <c r="B21985" s="1" t="str">
        <f>"000397629 - RICH PRODUCTS-HILTON"</f>
        <v>000397629 - RICH PRODUCTS-HILTON</v>
      </c>
      <c r="C21985" t="s">
        <v>554</v>
      </c>
      <c r="D21985" s="1" t="str">
        <f t="shared" si="601"/>
        <v>PRG-1048797</v>
      </c>
      <c r="E21985" t="s">
        <v>125</v>
      </c>
      <c r="F21985" t="s">
        <v>4</v>
      </c>
      <c r="G21985" t="str">
        <f>""</f>
        <v/>
      </c>
    </row>
    <row r="21986" spans="1:7" x14ac:dyDescent="0.25">
      <c r="A21986" t="s">
        <v>8</v>
      </c>
      <c r="B21986" s="1" t="str">
        <f>"000398598 - RICH PRODUCTS-HILTON"</f>
        <v>000398598 - RICH PRODUCTS-HILTON</v>
      </c>
      <c r="C21986" t="s">
        <v>554</v>
      </c>
      <c r="D21986" s="1" t="str">
        <f t="shared" si="601"/>
        <v>PRG-1048797</v>
      </c>
      <c r="E21986" t="s">
        <v>125</v>
      </c>
      <c r="F21986" t="s">
        <v>4</v>
      </c>
      <c r="G21986" t="str">
        <f>""</f>
        <v/>
      </c>
    </row>
    <row r="21987" spans="1:7" x14ac:dyDescent="0.25">
      <c r="A21987" t="s">
        <v>8</v>
      </c>
      <c r="B21987" s="1" t="str">
        <f>"000403914 - RICH PRODUCTS-HILTON"</f>
        <v>000403914 - RICH PRODUCTS-HILTON</v>
      </c>
      <c r="C21987" t="s">
        <v>554</v>
      </c>
      <c r="D21987" s="1" t="str">
        <f t="shared" si="601"/>
        <v>PRG-1048797</v>
      </c>
      <c r="E21987" t="s">
        <v>125</v>
      </c>
      <c r="F21987" t="s">
        <v>4</v>
      </c>
      <c r="G21987" t="str">
        <f>""</f>
        <v/>
      </c>
    </row>
    <row r="21988" spans="1:7" x14ac:dyDescent="0.25">
      <c r="A21988" t="s">
        <v>8</v>
      </c>
      <c r="B21988" s="1" t="str">
        <f>"000404808 - RICH FOODS-HILTON"</f>
        <v>000404808 - RICH FOODS-HILTON</v>
      </c>
      <c r="C21988" t="s">
        <v>183</v>
      </c>
      <c r="D21988" s="1" t="str">
        <f t="shared" si="601"/>
        <v>PRG-1048797</v>
      </c>
      <c r="E21988" t="s">
        <v>125</v>
      </c>
      <c r="F21988" t="s">
        <v>4</v>
      </c>
      <c r="G21988" t="str">
        <f>""</f>
        <v/>
      </c>
    </row>
    <row r="21989" spans="1:7" x14ac:dyDescent="0.25">
      <c r="A21989" t="s">
        <v>8</v>
      </c>
      <c r="B21989" s="1" t="str">
        <f>"000407013 - RICH PRODUCTS-HILTON"</f>
        <v>000407013 - RICH PRODUCTS-HILTON</v>
      </c>
      <c r="C21989" t="s">
        <v>554</v>
      </c>
      <c r="D21989" s="1" t="str">
        <f t="shared" si="601"/>
        <v>PRG-1048797</v>
      </c>
      <c r="E21989" t="s">
        <v>125</v>
      </c>
      <c r="F21989" t="s">
        <v>4</v>
      </c>
      <c r="G21989" t="str">
        <f>""</f>
        <v/>
      </c>
    </row>
    <row r="21990" spans="1:7" x14ac:dyDescent="0.25">
      <c r="A21990" t="s">
        <v>8</v>
      </c>
      <c r="B21990" s="1" t="str">
        <f>"000407901 - RICH PRODUCTS-HILTON"</f>
        <v>000407901 - RICH PRODUCTS-HILTON</v>
      </c>
      <c r="C21990" t="s">
        <v>554</v>
      </c>
      <c r="D21990" s="1" t="str">
        <f t="shared" si="601"/>
        <v>PRG-1048797</v>
      </c>
      <c r="E21990" t="s">
        <v>125</v>
      </c>
      <c r="F21990" t="s">
        <v>4</v>
      </c>
      <c r="G21990" t="str">
        <f>""</f>
        <v/>
      </c>
    </row>
    <row r="21991" spans="1:7" x14ac:dyDescent="0.25">
      <c r="A21991" t="s">
        <v>8</v>
      </c>
      <c r="B21991" s="1" t="str">
        <f>"000409794 - RICH PRODUCTS-HILTON"</f>
        <v>000409794 - RICH PRODUCTS-HILTON</v>
      </c>
      <c r="C21991" t="s">
        <v>554</v>
      </c>
      <c r="D21991" s="1" t="str">
        <f t="shared" si="601"/>
        <v>PRG-1048797</v>
      </c>
      <c r="E21991" t="s">
        <v>125</v>
      </c>
      <c r="F21991" t="s">
        <v>4</v>
      </c>
      <c r="G21991" t="str">
        <f>""</f>
        <v/>
      </c>
    </row>
    <row r="21992" spans="1:7" x14ac:dyDescent="0.25">
      <c r="A21992" t="s">
        <v>8</v>
      </c>
      <c r="B21992" s="1" t="str">
        <f>"000411343 - RICH PRODUCTS-HILTON"</f>
        <v>000411343 - RICH PRODUCTS-HILTON</v>
      </c>
      <c r="C21992" t="s">
        <v>554</v>
      </c>
      <c r="D21992" s="1" t="str">
        <f t="shared" si="601"/>
        <v>PRG-1048797</v>
      </c>
      <c r="E21992" t="s">
        <v>125</v>
      </c>
      <c r="F21992" t="s">
        <v>4</v>
      </c>
      <c r="G21992" t="str">
        <f>""</f>
        <v/>
      </c>
    </row>
    <row r="21993" spans="1:7" x14ac:dyDescent="0.25">
      <c r="A21993" t="s">
        <v>8</v>
      </c>
      <c r="B21993" s="1" t="str">
        <f>"000413670 - RICH PRODUCTS-HILTON"</f>
        <v>000413670 - RICH PRODUCTS-HILTON</v>
      </c>
      <c r="C21993" t="s">
        <v>554</v>
      </c>
      <c r="D21993" s="1" t="str">
        <f t="shared" si="601"/>
        <v>PRG-1048797</v>
      </c>
      <c r="E21993" t="s">
        <v>125</v>
      </c>
      <c r="F21993" t="s">
        <v>4</v>
      </c>
      <c r="G21993" t="str">
        <f>""</f>
        <v/>
      </c>
    </row>
    <row r="21994" spans="1:7" x14ac:dyDescent="0.25">
      <c r="A21994" t="s">
        <v>8</v>
      </c>
      <c r="B21994" s="1" t="str">
        <f>"000421460 - RICH PRODUCTS-HILTON"</f>
        <v>000421460 - RICH PRODUCTS-HILTON</v>
      </c>
      <c r="C21994" t="s">
        <v>554</v>
      </c>
      <c r="D21994" s="1" t="str">
        <f t="shared" si="601"/>
        <v>PRG-1048797</v>
      </c>
      <c r="E21994" t="s">
        <v>125</v>
      </c>
      <c r="F21994" t="s">
        <v>4</v>
      </c>
      <c r="G21994" t="str">
        <f>""</f>
        <v/>
      </c>
    </row>
    <row r="21995" spans="1:7" x14ac:dyDescent="0.25">
      <c r="A21995" t="s">
        <v>8</v>
      </c>
      <c r="B21995" s="1" t="str">
        <f>"000421784 - RICH PRODUCTS-HILTON"</f>
        <v>000421784 - RICH PRODUCTS-HILTON</v>
      </c>
      <c r="C21995" t="s">
        <v>554</v>
      </c>
      <c r="D21995" s="1" t="str">
        <f t="shared" si="601"/>
        <v>PRG-1048797</v>
      </c>
      <c r="E21995" t="s">
        <v>125</v>
      </c>
      <c r="F21995" t="s">
        <v>4</v>
      </c>
      <c r="G21995" t="str">
        <f>""</f>
        <v/>
      </c>
    </row>
    <row r="21996" spans="1:7" x14ac:dyDescent="0.25">
      <c r="A21996" t="s">
        <v>8</v>
      </c>
      <c r="B21996" s="1" t="str">
        <f>"000427541 - RICH PRODUCTS-HILTON"</f>
        <v>000427541 - RICH PRODUCTS-HILTON</v>
      </c>
      <c r="C21996" t="s">
        <v>554</v>
      </c>
      <c r="D21996" s="1" t="str">
        <f t="shared" si="601"/>
        <v>PRG-1048797</v>
      </c>
      <c r="E21996" t="s">
        <v>125</v>
      </c>
      <c r="F21996" t="s">
        <v>4</v>
      </c>
      <c r="G21996" t="str">
        <f>""</f>
        <v/>
      </c>
    </row>
    <row r="21997" spans="1:7" x14ac:dyDescent="0.25">
      <c r="A21997" t="s">
        <v>8</v>
      </c>
      <c r="B21997" s="1" t="str">
        <f>"000428066 - RICH PRODUCTS-HILTON"</f>
        <v>000428066 - RICH PRODUCTS-HILTON</v>
      </c>
      <c r="C21997" t="s">
        <v>554</v>
      </c>
      <c r="D21997" s="1" t="str">
        <f t="shared" si="601"/>
        <v>PRG-1048797</v>
      </c>
      <c r="E21997" t="s">
        <v>125</v>
      </c>
      <c r="F21997" t="s">
        <v>4</v>
      </c>
      <c r="G21997" t="str">
        <f>""</f>
        <v/>
      </c>
    </row>
    <row r="21998" spans="1:7" x14ac:dyDescent="0.25">
      <c r="A21998" t="s">
        <v>8</v>
      </c>
      <c r="B21998" s="1" t="str">
        <f>"000441762 - RICH PRODUCTS-HILTON"</f>
        <v>000441762 - RICH PRODUCTS-HILTON</v>
      </c>
      <c r="C21998" t="s">
        <v>554</v>
      </c>
      <c r="D21998" s="1" t="str">
        <f t="shared" si="601"/>
        <v>PRG-1048797</v>
      </c>
      <c r="E21998" t="s">
        <v>125</v>
      </c>
      <c r="F21998" t="s">
        <v>4</v>
      </c>
      <c r="G21998" t="str">
        <f>""</f>
        <v/>
      </c>
    </row>
    <row r="21999" spans="1:7" x14ac:dyDescent="0.25">
      <c r="A21999" t="s">
        <v>8</v>
      </c>
      <c r="B21999" s="1" t="str">
        <f>"000018420 - RICHS CASA DI BERTACCHI-SODEXO"</f>
        <v>000018420 - RICHS CASA DI BERTACCHI-SODEXO</v>
      </c>
      <c r="C21999" t="s">
        <v>121</v>
      </c>
      <c r="D21999" s="1" t="str">
        <f t="shared" ref="D21999:D22030" si="602">"PRG-1048983"</f>
        <v>PRG-1048983</v>
      </c>
      <c r="E21999" t="s">
        <v>160</v>
      </c>
      <c r="F21999" t="s">
        <v>4</v>
      </c>
      <c r="G21999" t="str">
        <f>""</f>
        <v/>
      </c>
    </row>
    <row r="22000" spans="1:7" x14ac:dyDescent="0.25">
      <c r="A22000" t="s">
        <v>8</v>
      </c>
      <c r="B22000" s="1" t="str">
        <f>"000026183 - RICH-CASA DI BERTACCHI SODEXO"</f>
        <v>000026183 - RICH-CASA DI BERTACCHI SODEXO</v>
      </c>
      <c r="C22000" t="s">
        <v>416</v>
      </c>
      <c r="D22000" s="1" t="str">
        <f t="shared" si="602"/>
        <v>PRG-1048983</v>
      </c>
      <c r="E22000" t="s">
        <v>160</v>
      </c>
      <c r="F22000" t="s">
        <v>4</v>
      </c>
      <c r="G22000" t="str">
        <f>""</f>
        <v/>
      </c>
    </row>
    <row r="22001" spans="1:7" x14ac:dyDescent="0.25">
      <c r="A22001" t="s">
        <v>8</v>
      </c>
      <c r="B22001" s="1" t="str">
        <f>"000028703 - RICHS CASA DI BERTACCHI-SODEXO"</f>
        <v>000028703 - RICHS CASA DI BERTACCHI-SODEXO</v>
      </c>
      <c r="C22001" t="s">
        <v>121</v>
      </c>
      <c r="D22001" s="1" t="str">
        <f t="shared" si="602"/>
        <v>PRG-1048983</v>
      </c>
      <c r="E22001" t="s">
        <v>160</v>
      </c>
      <c r="F22001" t="s">
        <v>4</v>
      </c>
      <c r="G22001" t="str">
        <f>""</f>
        <v/>
      </c>
    </row>
    <row r="22002" spans="1:7" x14ac:dyDescent="0.25">
      <c r="A22002" t="s">
        <v>8</v>
      </c>
      <c r="B22002" s="1" t="str">
        <f>"000036655 - RICH CASA DI BERTACCHI -SODEXO"</f>
        <v>000036655 - RICH CASA DI BERTACCHI -SODEXO</v>
      </c>
      <c r="C22002" t="s">
        <v>545</v>
      </c>
      <c r="D22002" s="1" t="str">
        <f t="shared" si="602"/>
        <v>PRG-1048983</v>
      </c>
      <c r="E22002" t="s">
        <v>160</v>
      </c>
      <c r="F22002" t="s">
        <v>4</v>
      </c>
      <c r="G22002" t="str">
        <f>""</f>
        <v/>
      </c>
    </row>
    <row r="22003" spans="1:7" x14ac:dyDescent="0.25">
      <c r="A22003" t="s">
        <v>8</v>
      </c>
      <c r="B22003" s="1" t="str">
        <f>"000043199 - RICH CASA DI BERTACCHI -SODEXO"</f>
        <v>000043199 - RICH CASA DI BERTACCHI -SODEXO</v>
      </c>
      <c r="C22003" t="s">
        <v>545</v>
      </c>
      <c r="D22003" s="1" t="str">
        <f t="shared" si="602"/>
        <v>PRG-1048983</v>
      </c>
      <c r="E22003" t="s">
        <v>160</v>
      </c>
      <c r="F22003" t="s">
        <v>4</v>
      </c>
      <c r="G22003" t="str">
        <f>""</f>
        <v/>
      </c>
    </row>
    <row r="22004" spans="1:7" x14ac:dyDescent="0.25">
      <c r="A22004" t="s">
        <v>8</v>
      </c>
      <c r="B22004" s="1" t="str">
        <f>"000048624 - VOID  CASA DE BERTACCI-SODEXO"</f>
        <v>000048624 - VOID  CASA DE BERTACCI-SODEXO</v>
      </c>
      <c r="C22004" t="s">
        <v>637</v>
      </c>
      <c r="D22004" s="1" t="str">
        <f t="shared" si="602"/>
        <v>PRG-1048983</v>
      </c>
      <c r="E22004" t="s">
        <v>160</v>
      </c>
      <c r="F22004" t="s">
        <v>4</v>
      </c>
      <c r="G22004" t="str">
        <f>""</f>
        <v/>
      </c>
    </row>
    <row r="22005" spans="1:7" x14ac:dyDescent="0.25">
      <c r="A22005" t="s">
        <v>8</v>
      </c>
      <c r="B22005" s="1" t="str">
        <f>"000049533 - RICH CASA DI BERTACCHI -SODEXO"</f>
        <v>000049533 - RICH CASA DI BERTACCHI -SODEXO</v>
      </c>
      <c r="C22005" t="s">
        <v>545</v>
      </c>
      <c r="D22005" s="1" t="str">
        <f t="shared" si="602"/>
        <v>PRG-1048983</v>
      </c>
      <c r="E22005" t="s">
        <v>160</v>
      </c>
      <c r="F22005" t="s">
        <v>4</v>
      </c>
      <c r="G22005" t="str">
        <f>""</f>
        <v/>
      </c>
    </row>
    <row r="22006" spans="1:7" x14ac:dyDescent="0.25">
      <c r="A22006" t="s">
        <v>8</v>
      </c>
      <c r="B22006" s="1" t="str">
        <f>"000052825 - RICH CASA DI BERTACCHI -SODEXO"</f>
        <v>000052825 - RICH CASA DI BERTACCHI -SODEXO</v>
      </c>
      <c r="C22006" t="s">
        <v>545</v>
      </c>
      <c r="D22006" s="1" t="str">
        <f t="shared" si="602"/>
        <v>PRG-1048983</v>
      </c>
      <c r="E22006" t="s">
        <v>160</v>
      </c>
      <c r="F22006" t="s">
        <v>4</v>
      </c>
      <c r="G22006" t="str">
        <f>""</f>
        <v/>
      </c>
    </row>
    <row r="22007" spans="1:7" x14ac:dyDescent="0.25">
      <c r="A22007" t="s">
        <v>8</v>
      </c>
      <c r="B22007" s="1" t="str">
        <f>"000055410 - RICH CASA DI BERTACCHI -SODEXO"</f>
        <v>000055410 - RICH CASA DI BERTACCHI -SODEXO</v>
      </c>
      <c r="C22007" t="s">
        <v>545</v>
      </c>
      <c r="D22007" s="1" t="str">
        <f t="shared" si="602"/>
        <v>PRG-1048983</v>
      </c>
      <c r="E22007" t="s">
        <v>160</v>
      </c>
      <c r="F22007" t="s">
        <v>4</v>
      </c>
      <c r="G22007" t="str">
        <f>""</f>
        <v/>
      </c>
    </row>
    <row r="22008" spans="1:7" x14ac:dyDescent="0.25">
      <c r="A22008" t="s">
        <v>8</v>
      </c>
      <c r="B22008" s="1" t="str">
        <f>"000057128 - RICH CASA DI BERTACCHI -SODEXO"</f>
        <v>000057128 - RICH CASA DI BERTACCHI -SODEXO</v>
      </c>
      <c r="C22008" t="s">
        <v>545</v>
      </c>
      <c r="D22008" s="1" t="str">
        <f t="shared" si="602"/>
        <v>PRG-1048983</v>
      </c>
      <c r="E22008" t="s">
        <v>160</v>
      </c>
      <c r="F22008" t="s">
        <v>4</v>
      </c>
      <c r="G22008" t="str">
        <f>""</f>
        <v/>
      </c>
    </row>
    <row r="22009" spans="1:7" x14ac:dyDescent="0.25">
      <c r="A22009" t="s">
        <v>8</v>
      </c>
      <c r="B22009" s="1" t="str">
        <f>"000068437 - RICH CASA DI BERTACCHI -SODEXO"</f>
        <v>000068437 - RICH CASA DI BERTACCHI -SODEXO</v>
      </c>
      <c r="C22009" t="s">
        <v>545</v>
      </c>
      <c r="D22009" s="1" t="str">
        <f t="shared" si="602"/>
        <v>PRG-1048983</v>
      </c>
      <c r="E22009" t="s">
        <v>160</v>
      </c>
      <c r="F22009" t="s">
        <v>4</v>
      </c>
      <c r="G22009" t="str">
        <f>""</f>
        <v/>
      </c>
    </row>
    <row r="22010" spans="1:7" x14ac:dyDescent="0.25">
      <c r="A22010" t="s">
        <v>8</v>
      </c>
      <c r="B22010" s="1" t="str">
        <f>"000069919 - RICH CASA DI BERTACCHI -SODEXO"</f>
        <v>000069919 - RICH CASA DI BERTACCHI -SODEXO</v>
      </c>
      <c r="C22010" t="s">
        <v>545</v>
      </c>
      <c r="D22010" s="1" t="str">
        <f t="shared" si="602"/>
        <v>PRG-1048983</v>
      </c>
      <c r="E22010" t="s">
        <v>160</v>
      </c>
      <c r="F22010" t="s">
        <v>4</v>
      </c>
      <c r="G22010" t="str">
        <f>""</f>
        <v/>
      </c>
    </row>
    <row r="22011" spans="1:7" x14ac:dyDescent="0.25">
      <c r="A22011" t="s">
        <v>8</v>
      </c>
      <c r="B22011" s="1" t="str">
        <f>"000079414 - RICHS CASA DI BERTACCHI-SODEXO"</f>
        <v>000079414 - RICHS CASA DI BERTACCHI-SODEXO</v>
      </c>
      <c r="C22011" t="s">
        <v>121</v>
      </c>
      <c r="D22011" s="1" t="str">
        <f t="shared" si="602"/>
        <v>PRG-1048983</v>
      </c>
      <c r="E22011" t="s">
        <v>160</v>
      </c>
      <c r="F22011" t="s">
        <v>4</v>
      </c>
      <c r="G22011" t="str">
        <f>""</f>
        <v/>
      </c>
    </row>
    <row r="22012" spans="1:7" x14ac:dyDescent="0.25">
      <c r="A22012" t="s">
        <v>8</v>
      </c>
      <c r="B22012" s="1" t="str">
        <f>"000095164 - RICH CASA DI BERTACCHI -SODEXO"</f>
        <v>000095164 - RICH CASA DI BERTACCHI -SODEXO</v>
      </c>
      <c r="C22012" t="s">
        <v>545</v>
      </c>
      <c r="D22012" s="1" t="str">
        <f t="shared" si="602"/>
        <v>PRG-1048983</v>
      </c>
      <c r="E22012" t="s">
        <v>160</v>
      </c>
      <c r="F22012" t="s">
        <v>4</v>
      </c>
      <c r="G22012" t="str">
        <f>""</f>
        <v/>
      </c>
    </row>
    <row r="22013" spans="1:7" x14ac:dyDescent="0.25">
      <c r="A22013" t="s">
        <v>8</v>
      </c>
      <c r="B22013" s="1" t="str">
        <f>"000100756 - RICH CASA DI BERTACCHI -SODEXO"</f>
        <v>000100756 - RICH CASA DI BERTACCHI -SODEXO</v>
      </c>
      <c r="C22013" t="s">
        <v>545</v>
      </c>
      <c r="D22013" s="1" t="str">
        <f t="shared" si="602"/>
        <v>PRG-1048983</v>
      </c>
      <c r="E22013" t="s">
        <v>160</v>
      </c>
      <c r="F22013" t="s">
        <v>4</v>
      </c>
      <c r="G22013" t="str">
        <f>""</f>
        <v/>
      </c>
    </row>
    <row r="22014" spans="1:7" x14ac:dyDescent="0.25">
      <c r="A22014" t="s">
        <v>8</v>
      </c>
      <c r="B22014" s="1" t="str">
        <f>"000150377 - RICHS CASA DI BERTACCHI-SODEXO"</f>
        <v>000150377 - RICHS CASA DI BERTACCHI-SODEXO</v>
      </c>
      <c r="C22014" t="s">
        <v>121</v>
      </c>
      <c r="D22014" s="1" t="str">
        <f t="shared" si="602"/>
        <v>PRG-1048983</v>
      </c>
      <c r="E22014" t="s">
        <v>160</v>
      </c>
      <c r="F22014" t="s">
        <v>4</v>
      </c>
      <c r="G22014" t="str">
        <f>""</f>
        <v/>
      </c>
    </row>
    <row r="22015" spans="1:7" x14ac:dyDescent="0.25">
      <c r="A22015" t="s">
        <v>8</v>
      </c>
      <c r="B22015" s="1" t="str">
        <f>"000150471 - VOID  CASA DE BERTACCI-SODEXO"</f>
        <v>000150471 - VOID  CASA DE BERTACCI-SODEXO</v>
      </c>
      <c r="C22015" t="s">
        <v>637</v>
      </c>
      <c r="D22015" s="1" t="str">
        <f t="shared" si="602"/>
        <v>PRG-1048983</v>
      </c>
      <c r="E22015" t="s">
        <v>160</v>
      </c>
      <c r="F22015" t="s">
        <v>4</v>
      </c>
      <c r="G22015" t="str">
        <f>""</f>
        <v/>
      </c>
    </row>
    <row r="22016" spans="1:7" x14ac:dyDescent="0.25">
      <c r="A22016" t="s">
        <v>8</v>
      </c>
      <c r="B22016" s="1" t="str">
        <f>"000170406 - RICH CASA DI BERTACCHI -SODEXO"</f>
        <v>000170406 - RICH CASA DI BERTACCHI -SODEXO</v>
      </c>
      <c r="C22016" t="s">
        <v>545</v>
      </c>
      <c r="D22016" s="1" t="str">
        <f t="shared" si="602"/>
        <v>PRG-1048983</v>
      </c>
      <c r="E22016" t="s">
        <v>160</v>
      </c>
      <c r="F22016" t="s">
        <v>4</v>
      </c>
      <c r="G22016" t="str">
        <f>""</f>
        <v/>
      </c>
    </row>
    <row r="22017" spans="1:7" x14ac:dyDescent="0.25">
      <c r="A22017" t="s">
        <v>8</v>
      </c>
      <c r="B22017" s="1" t="str">
        <f>"000172498 - RICHS CASA DI BERTACCHI-SODEXO"</f>
        <v>000172498 - RICHS CASA DI BERTACCHI-SODEXO</v>
      </c>
      <c r="C22017" t="s">
        <v>121</v>
      </c>
      <c r="D22017" s="1" t="str">
        <f t="shared" si="602"/>
        <v>PRG-1048983</v>
      </c>
      <c r="E22017" t="s">
        <v>160</v>
      </c>
      <c r="F22017" t="s">
        <v>4</v>
      </c>
      <c r="G22017" t="str">
        <f>""</f>
        <v/>
      </c>
    </row>
    <row r="22018" spans="1:7" x14ac:dyDescent="0.25">
      <c r="A22018" t="s">
        <v>8</v>
      </c>
      <c r="B22018" s="1" t="str">
        <f>"000176306 - RICHS CASA DI BERTACCHI-SODEXO"</f>
        <v>000176306 - RICHS CASA DI BERTACCHI-SODEXO</v>
      </c>
      <c r="C22018" t="s">
        <v>121</v>
      </c>
      <c r="D22018" s="1" t="str">
        <f t="shared" si="602"/>
        <v>PRG-1048983</v>
      </c>
      <c r="E22018" t="s">
        <v>160</v>
      </c>
      <c r="F22018" t="s">
        <v>4</v>
      </c>
      <c r="G22018" t="str">
        <f>""</f>
        <v/>
      </c>
    </row>
    <row r="22019" spans="1:7" x14ac:dyDescent="0.25">
      <c r="A22019" t="s">
        <v>8</v>
      </c>
      <c r="B22019" s="1" t="str">
        <f>"000193922 - RICH CASA DI BERTACCHI -SODEXO"</f>
        <v>000193922 - RICH CASA DI BERTACCHI -SODEXO</v>
      </c>
      <c r="C22019" t="s">
        <v>545</v>
      </c>
      <c r="D22019" s="1" t="str">
        <f t="shared" si="602"/>
        <v>PRG-1048983</v>
      </c>
      <c r="E22019" t="s">
        <v>160</v>
      </c>
      <c r="F22019" t="s">
        <v>4</v>
      </c>
      <c r="G22019" t="str">
        <f>""</f>
        <v/>
      </c>
    </row>
    <row r="22020" spans="1:7" x14ac:dyDescent="0.25">
      <c r="A22020" t="s">
        <v>8</v>
      </c>
      <c r="B22020" s="1" t="str">
        <f>"000194619 - RICH CASA DI BERTACCHI -SODEXO"</f>
        <v>000194619 - RICH CASA DI BERTACCHI -SODEXO</v>
      </c>
      <c r="C22020" t="s">
        <v>545</v>
      </c>
      <c r="D22020" s="1" t="str">
        <f t="shared" si="602"/>
        <v>PRG-1048983</v>
      </c>
      <c r="E22020" t="s">
        <v>160</v>
      </c>
      <c r="F22020" t="s">
        <v>4</v>
      </c>
      <c r="G22020" t="str">
        <f>""</f>
        <v/>
      </c>
    </row>
    <row r="22021" spans="1:7" x14ac:dyDescent="0.25">
      <c r="A22021" t="s">
        <v>8</v>
      </c>
      <c r="B22021" s="1" t="str">
        <f>"000197266 - RICHS CASA DI BERTACCHI-SODEXO"</f>
        <v>000197266 - RICHS CASA DI BERTACCHI-SODEXO</v>
      </c>
      <c r="C22021" t="s">
        <v>121</v>
      </c>
      <c r="D22021" s="1" t="str">
        <f t="shared" si="602"/>
        <v>PRG-1048983</v>
      </c>
      <c r="E22021" t="s">
        <v>160</v>
      </c>
      <c r="F22021" t="s">
        <v>4</v>
      </c>
      <c r="G22021" t="str">
        <f>""</f>
        <v/>
      </c>
    </row>
    <row r="22022" spans="1:7" x14ac:dyDescent="0.25">
      <c r="A22022" t="s">
        <v>8</v>
      </c>
      <c r="B22022" s="1" t="str">
        <f>"000199110 - RICH CASA DI BERTACCHI -SODEXO"</f>
        <v>000199110 - RICH CASA DI BERTACCHI -SODEXO</v>
      </c>
      <c r="C22022" t="s">
        <v>545</v>
      </c>
      <c r="D22022" s="1" t="str">
        <f t="shared" si="602"/>
        <v>PRG-1048983</v>
      </c>
      <c r="E22022" t="s">
        <v>160</v>
      </c>
      <c r="F22022" t="s">
        <v>4</v>
      </c>
      <c r="G22022" t="str">
        <f>""</f>
        <v/>
      </c>
    </row>
    <row r="22023" spans="1:7" x14ac:dyDescent="0.25">
      <c r="A22023" t="s">
        <v>8</v>
      </c>
      <c r="B22023" s="1" t="str">
        <f>"000217548 - RICH CASA DI BERTACCHI -SODEXO"</f>
        <v>000217548 - RICH CASA DI BERTACCHI -SODEXO</v>
      </c>
      <c r="C22023" t="s">
        <v>545</v>
      </c>
      <c r="D22023" s="1" t="str">
        <f t="shared" si="602"/>
        <v>PRG-1048983</v>
      </c>
      <c r="E22023" t="s">
        <v>160</v>
      </c>
      <c r="F22023" t="s">
        <v>4</v>
      </c>
      <c r="G22023" t="str">
        <f>""</f>
        <v/>
      </c>
    </row>
    <row r="22024" spans="1:7" x14ac:dyDescent="0.25">
      <c r="A22024" t="s">
        <v>8</v>
      </c>
      <c r="B22024" s="1" t="str">
        <f>"000231815 - RICHS CASA DI BERTACCHI-SODEXO"</f>
        <v>000231815 - RICHS CASA DI BERTACCHI-SODEXO</v>
      </c>
      <c r="C22024" t="s">
        <v>121</v>
      </c>
      <c r="D22024" s="1" t="str">
        <f t="shared" si="602"/>
        <v>PRG-1048983</v>
      </c>
      <c r="E22024" t="s">
        <v>160</v>
      </c>
      <c r="F22024" t="s">
        <v>4</v>
      </c>
      <c r="G22024" t="str">
        <f>""</f>
        <v/>
      </c>
    </row>
    <row r="22025" spans="1:7" x14ac:dyDescent="0.25">
      <c r="A22025" t="s">
        <v>8</v>
      </c>
      <c r="B22025" s="1" t="str">
        <f>"000239006 - VOID  CASA DE BERTACCI-SODEXO"</f>
        <v>000239006 - VOID  CASA DE BERTACCI-SODEXO</v>
      </c>
      <c r="C22025" t="s">
        <v>637</v>
      </c>
      <c r="D22025" s="1" t="str">
        <f t="shared" si="602"/>
        <v>PRG-1048983</v>
      </c>
      <c r="E22025" t="s">
        <v>160</v>
      </c>
      <c r="F22025" t="s">
        <v>4</v>
      </c>
      <c r="G22025" t="str">
        <f>""</f>
        <v/>
      </c>
    </row>
    <row r="22026" spans="1:7" x14ac:dyDescent="0.25">
      <c r="A22026" t="s">
        <v>8</v>
      </c>
      <c r="B22026" s="1" t="str">
        <f>"000242248 - VOID  CASA DE BERTACCI-SODEXO"</f>
        <v>000242248 - VOID  CASA DE BERTACCI-SODEXO</v>
      </c>
      <c r="C22026" t="s">
        <v>637</v>
      </c>
      <c r="D22026" s="1" t="str">
        <f t="shared" si="602"/>
        <v>PRG-1048983</v>
      </c>
      <c r="E22026" t="s">
        <v>160</v>
      </c>
      <c r="F22026" t="s">
        <v>4</v>
      </c>
      <c r="G22026" t="str">
        <f>""</f>
        <v/>
      </c>
    </row>
    <row r="22027" spans="1:7" x14ac:dyDescent="0.25">
      <c r="A22027" t="s">
        <v>8</v>
      </c>
      <c r="B22027" s="1" t="str">
        <f>"000251157 - VOID  CASA DE BERTACCI-SODEXO"</f>
        <v>000251157 - VOID  CASA DE BERTACCI-SODEXO</v>
      </c>
      <c r="C22027" t="s">
        <v>637</v>
      </c>
      <c r="D22027" s="1" t="str">
        <f t="shared" si="602"/>
        <v>PRG-1048983</v>
      </c>
      <c r="E22027" t="s">
        <v>160</v>
      </c>
      <c r="F22027" t="s">
        <v>4</v>
      </c>
      <c r="G22027" t="str">
        <f>""</f>
        <v/>
      </c>
    </row>
    <row r="22028" spans="1:7" x14ac:dyDescent="0.25">
      <c r="A22028" t="s">
        <v>8</v>
      </c>
      <c r="B22028" s="1" t="str">
        <f>"000253485 - RICHS CASA DI BERTACCHI-SODEXO"</f>
        <v>000253485 - RICHS CASA DI BERTACCHI-SODEXO</v>
      </c>
      <c r="C22028" t="s">
        <v>121</v>
      </c>
      <c r="D22028" s="1" t="str">
        <f t="shared" si="602"/>
        <v>PRG-1048983</v>
      </c>
      <c r="E22028" t="s">
        <v>160</v>
      </c>
      <c r="F22028" t="s">
        <v>4</v>
      </c>
      <c r="G22028" t="str">
        <f>""</f>
        <v/>
      </c>
    </row>
    <row r="22029" spans="1:7" x14ac:dyDescent="0.25">
      <c r="A22029" t="s">
        <v>8</v>
      </c>
      <c r="B22029" s="1" t="str">
        <f>"000255448 - VOID  CASA DE BERTACCI-SODEXO"</f>
        <v>000255448 - VOID  CASA DE BERTACCI-SODEXO</v>
      </c>
      <c r="C22029" t="s">
        <v>637</v>
      </c>
      <c r="D22029" s="1" t="str">
        <f t="shared" si="602"/>
        <v>PRG-1048983</v>
      </c>
      <c r="E22029" t="s">
        <v>160</v>
      </c>
      <c r="F22029" t="s">
        <v>4</v>
      </c>
      <c r="G22029" t="str">
        <f>""</f>
        <v/>
      </c>
    </row>
    <row r="22030" spans="1:7" x14ac:dyDescent="0.25">
      <c r="A22030" t="s">
        <v>8</v>
      </c>
      <c r="B22030" s="1" t="str">
        <f>"000261230 - VOID  CASA DE BERTACCI-SODEXO"</f>
        <v>000261230 - VOID  CASA DE BERTACCI-SODEXO</v>
      </c>
      <c r="C22030" t="s">
        <v>637</v>
      </c>
      <c r="D22030" s="1" t="str">
        <f t="shared" si="602"/>
        <v>PRG-1048983</v>
      </c>
      <c r="E22030" t="s">
        <v>160</v>
      </c>
      <c r="F22030" t="s">
        <v>4</v>
      </c>
      <c r="G22030" t="str">
        <f>""</f>
        <v/>
      </c>
    </row>
    <row r="22031" spans="1:7" x14ac:dyDescent="0.25">
      <c r="A22031" t="s">
        <v>8</v>
      </c>
      <c r="B22031" s="1" t="str">
        <f>"000262127 - RICHS CASA DI BERTACCHI-SODEXO"</f>
        <v>000262127 - RICHS CASA DI BERTACCHI-SODEXO</v>
      </c>
      <c r="C22031" t="s">
        <v>121</v>
      </c>
      <c r="D22031" s="1" t="str">
        <f t="shared" ref="D22031:D22062" si="603">"PRG-1048983"</f>
        <v>PRG-1048983</v>
      </c>
      <c r="E22031" t="s">
        <v>160</v>
      </c>
      <c r="F22031" t="s">
        <v>4</v>
      </c>
      <c r="G22031" t="str">
        <f>""</f>
        <v/>
      </c>
    </row>
    <row r="22032" spans="1:7" x14ac:dyDescent="0.25">
      <c r="A22032" t="s">
        <v>8</v>
      </c>
      <c r="B22032" s="1" t="str">
        <f>"000262798 - RICH CASA DI BERTACCHI -SODEXO"</f>
        <v>000262798 - RICH CASA DI BERTACCHI -SODEXO</v>
      </c>
      <c r="C22032" t="s">
        <v>545</v>
      </c>
      <c r="D22032" s="1" t="str">
        <f t="shared" si="603"/>
        <v>PRG-1048983</v>
      </c>
      <c r="E22032" t="s">
        <v>160</v>
      </c>
      <c r="F22032" t="s">
        <v>4</v>
      </c>
      <c r="G22032" t="str">
        <f>""</f>
        <v/>
      </c>
    </row>
    <row r="22033" spans="1:7" x14ac:dyDescent="0.25">
      <c r="A22033" t="s">
        <v>8</v>
      </c>
      <c r="B22033" s="1" t="str">
        <f>"000263178 - RICHS CASA DI BERTACCHI-SODEXO"</f>
        <v>000263178 - RICHS CASA DI BERTACCHI-SODEXO</v>
      </c>
      <c r="C22033" t="s">
        <v>121</v>
      </c>
      <c r="D22033" s="1" t="str">
        <f t="shared" si="603"/>
        <v>PRG-1048983</v>
      </c>
      <c r="E22033" t="s">
        <v>160</v>
      </c>
      <c r="F22033" t="s">
        <v>4</v>
      </c>
      <c r="G22033" t="str">
        <f>""</f>
        <v/>
      </c>
    </row>
    <row r="22034" spans="1:7" x14ac:dyDescent="0.25">
      <c r="A22034" t="s">
        <v>8</v>
      </c>
      <c r="B22034" s="1" t="str">
        <f>"000266451 - RICHS CASA DI BERTACCHI-SODEXO"</f>
        <v>000266451 - RICHS CASA DI BERTACCHI-SODEXO</v>
      </c>
      <c r="C22034" t="s">
        <v>121</v>
      </c>
      <c r="D22034" s="1" t="str">
        <f t="shared" si="603"/>
        <v>PRG-1048983</v>
      </c>
      <c r="E22034" t="s">
        <v>160</v>
      </c>
      <c r="F22034" t="s">
        <v>4</v>
      </c>
      <c r="G22034" t="str">
        <f>""</f>
        <v/>
      </c>
    </row>
    <row r="22035" spans="1:7" x14ac:dyDescent="0.25">
      <c r="A22035" t="s">
        <v>8</v>
      </c>
      <c r="B22035" s="1" t="str">
        <f>"000266945 - VOID  CASA DE BERTACCI-SODEXO"</f>
        <v>000266945 - VOID  CASA DE BERTACCI-SODEXO</v>
      </c>
      <c r="C22035" t="s">
        <v>637</v>
      </c>
      <c r="D22035" s="1" t="str">
        <f t="shared" si="603"/>
        <v>PRG-1048983</v>
      </c>
      <c r="E22035" t="s">
        <v>160</v>
      </c>
      <c r="F22035" t="s">
        <v>4</v>
      </c>
      <c r="G22035" t="str">
        <f>""</f>
        <v/>
      </c>
    </row>
    <row r="22036" spans="1:7" x14ac:dyDescent="0.25">
      <c r="A22036" t="s">
        <v>8</v>
      </c>
      <c r="B22036" s="1" t="str">
        <f>"000271499 - RICHS CASA DI BERTACCHI-SODEXO"</f>
        <v>000271499 - RICHS CASA DI BERTACCHI-SODEXO</v>
      </c>
      <c r="C22036" t="s">
        <v>121</v>
      </c>
      <c r="D22036" s="1" t="str">
        <f t="shared" si="603"/>
        <v>PRG-1048983</v>
      </c>
      <c r="E22036" t="s">
        <v>160</v>
      </c>
      <c r="F22036" t="s">
        <v>4</v>
      </c>
      <c r="G22036" t="str">
        <f>""</f>
        <v/>
      </c>
    </row>
    <row r="22037" spans="1:7" x14ac:dyDescent="0.25">
      <c r="A22037" t="s">
        <v>8</v>
      </c>
      <c r="B22037" s="1" t="str">
        <f>"000271546 - RICHS CASA DI BERTACCHI-SODEXO"</f>
        <v>000271546 - RICHS CASA DI BERTACCHI-SODEXO</v>
      </c>
      <c r="C22037" t="s">
        <v>121</v>
      </c>
      <c r="D22037" s="1" t="str">
        <f t="shared" si="603"/>
        <v>PRG-1048983</v>
      </c>
      <c r="E22037" t="s">
        <v>160</v>
      </c>
      <c r="F22037" t="s">
        <v>4</v>
      </c>
      <c r="G22037" t="str">
        <f>""</f>
        <v/>
      </c>
    </row>
    <row r="22038" spans="1:7" x14ac:dyDescent="0.25">
      <c r="A22038" t="s">
        <v>8</v>
      </c>
      <c r="B22038" s="1" t="str">
        <f>"000272136 - RICH CASA DI BERTACCHI -SODEXO"</f>
        <v>000272136 - RICH CASA DI BERTACCHI -SODEXO</v>
      </c>
      <c r="C22038" t="s">
        <v>545</v>
      </c>
      <c r="D22038" s="1" t="str">
        <f t="shared" si="603"/>
        <v>PRG-1048983</v>
      </c>
      <c r="E22038" t="s">
        <v>160</v>
      </c>
      <c r="F22038" t="s">
        <v>4</v>
      </c>
      <c r="G22038" t="str">
        <f>""</f>
        <v/>
      </c>
    </row>
    <row r="22039" spans="1:7" x14ac:dyDescent="0.25">
      <c r="A22039" t="s">
        <v>8</v>
      </c>
      <c r="B22039" s="1" t="str">
        <f>"000272431 - RICH CASA DI BERTACCHI -SODEXO"</f>
        <v>000272431 - RICH CASA DI BERTACCHI -SODEXO</v>
      </c>
      <c r="C22039" t="s">
        <v>545</v>
      </c>
      <c r="D22039" s="1" t="str">
        <f t="shared" si="603"/>
        <v>PRG-1048983</v>
      </c>
      <c r="E22039" t="s">
        <v>160</v>
      </c>
      <c r="F22039" t="s">
        <v>4</v>
      </c>
      <c r="G22039" t="str">
        <f>""</f>
        <v/>
      </c>
    </row>
    <row r="22040" spans="1:7" x14ac:dyDescent="0.25">
      <c r="A22040" t="s">
        <v>8</v>
      </c>
      <c r="B22040" s="1" t="str">
        <f>"000277504 - RICHS CASA DI BERTACCHI-SODEXO"</f>
        <v>000277504 - RICHS CASA DI BERTACCHI-SODEXO</v>
      </c>
      <c r="C22040" t="s">
        <v>121</v>
      </c>
      <c r="D22040" s="1" t="str">
        <f t="shared" si="603"/>
        <v>PRG-1048983</v>
      </c>
      <c r="E22040" t="s">
        <v>160</v>
      </c>
      <c r="F22040" t="s">
        <v>4</v>
      </c>
      <c r="G22040" t="str">
        <f>""</f>
        <v/>
      </c>
    </row>
    <row r="22041" spans="1:7" x14ac:dyDescent="0.25">
      <c r="A22041" t="s">
        <v>8</v>
      </c>
      <c r="B22041" s="1" t="str">
        <f>"000277768 - RICHS CASA DI BERTACCHI-SODEXO"</f>
        <v>000277768 - RICHS CASA DI BERTACCHI-SODEXO</v>
      </c>
      <c r="C22041" t="s">
        <v>121</v>
      </c>
      <c r="D22041" s="1" t="str">
        <f t="shared" si="603"/>
        <v>PRG-1048983</v>
      </c>
      <c r="E22041" t="s">
        <v>160</v>
      </c>
      <c r="F22041" t="s">
        <v>4</v>
      </c>
      <c r="G22041" t="str">
        <f>""</f>
        <v/>
      </c>
    </row>
    <row r="22042" spans="1:7" x14ac:dyDescent="0.25">
      <c r="A22042" t="s">
        <v>8</v>
      </c>
      <c r="B22042" s="1" t="str">
        <f>"000278330 - RICH CASA DI BERTACCHI -SODEXO"</f>
        <v>000278330 - RICH CASA DI BERTACCHI -SODEXO</v>
      </c>
      <c r="C22042" t="s">
        <v>545</v>
      </c>
      <c r="D22042" s="1" t="str">
        <f t="shared" si="603"/>
        <v>PRG-1048983</v>
      </c>
      <c r="E22042" t="s">
        <v>160</v>
      </c>
      <c r="F22042" t="s">
        <v>4</v>
      </c>
      <c r="G22042" t="str">
        <f>""</f>
        <v/>
      </c>
    </row>
    <row r="22043" spans="1:7" x14ac:dyDescent="0.25">
      <c r="A22043" t="s">
        <v>8</v>
      </c>
      <c r="B22043" s="1" t="str">
        <f>"000278781 - RICHS CASA DI BERTACCHI-SODEXO"</f>
        <v>000278781 - RICHS CASA DI BERTACCHI-SODEXO</v>
      </c>
      <c r="C22043" t="s">
        <v>121</v>
      </c>
      <c r="D22043" s="1" t="str">
        <f t="shared" si="603"/>
        <v>PRG-1048983</v>
      </c>
      <c r="E22043" t="s">
        <v>160</v>
      </c>
      <c r="F22043" t="s">
        <v>4</v>
      </c>
      <c r="G22043" t="str">
        <f>""</f>
        <v/>
      </c>
    </row>
    <row r="22044" spans="1:7" x14ac:dyDescent="0.25">
      <c r="A22044" t="s">
        <v>8</v>
      </c>
      <c r="B22044" s="1" t="str">
        <f>"000285310 - RICHS CASA DI BERTACCHI-SODEXO"</f>
        <v>000285310 - RICHS CASA DI BERTACCHI-SODEXO</v>
      </c>
      <c r="C22044" t="s">
        <v>121</v>
      </c>
      <c r="D22044" s="1" t="str">
        <f t="shared" si="603"/>
        <v>PRG-1048983</v>
      </c>
      <c r="E22044" t="s">
        <v>160</v>
      </c>
      <c r="F22044" t="s">
        <v>4</v>
      </c>
      <c r="G22044" t="str">
        <f>""</f>
        <v/>
      </c>
    </row>
    <row r="22045" spans="1:7" x14ac:dyDescent="0.25">
      <c r="A22045" t="s">
        <v>8</v>
      </c>
      <c r="B22045" s="1" t="str">
        <f>"000287701 - RICH CASA DI BERTACCHI -SODEXO"</f>
        <v>000287701 - RICH CASA DI BERTACCHI -SODEXO</v>
      </c>
      <c r="C22045" t="s">
        <v>545</v>
      </c>
      <c r="D22045" s="1" t="str">
        <f t="shared" si="603"/>
        <v>PRG-1048983</v>
      </c>
      <c r="E22045" t="s">
        <v>160</v>
      </c>
      <c r="F22045" t="s">
        <v>4</v>
      </c>
      <c r="G22045" t="str">
        <f>""</f>
        <v/>
      </c>
    </row>
    <row r="22046" spans="1:7" x14ac:dyDescent="0.25">
      <c r="A22046" t="s">
        <v>8</v>
      </c>
      <c r="B22046" s="1" t="str">
        <f>"000289840 - VOID  CASA DE BERTACCI-SODEXO"</f>
        <v>000289840 - VOID  CASA DE BERTACCI-SODEXO</v>
      </c>
      <c r="C22046" t="s">
        <v>637</v>
      </c>
      <c r="D22046" s="1" t="str">
        <f t="shared" si="603"/>
        <v>PRG-1048983</v>
      </c>
      <c r="E22046" t="s">
        <v>160</v>
      </c>
      <c r="F22046" t="s">
        <v>4</v>
      </c>
      <c r="G22046" t="str">
        <f>""</f>
        <v/>
      </c>
    </row>
    <row r="22047" spans="1:7" x14ac:dyDescent="0.25">
      <c r="A22047" t="s">
        <v>8</v>
      </c>
      <c r="B22047" s="1" t="str">
        <f>"000290969 - RICH CASA DI BERTACCHI -SODEXO"</f>
        <v>000290969 - RICH CASA DI BERTACCHI -SODEXO</v>
      </c>
      <c r="C22047" t="s">
        <v>545</v>
      </c>
      <c r="D22047" s="1" t="str">
        <f t="shared" si="603"/>
        <v>PRG-1048983</v>
      </c>
      <c r="E22047" t="s">
        <v>160</v>
      </c>
      <c r="F22047" t="s">
        <v>4</v>
      </c>
      <c r="G22047" t="str">
        <f>""</f>
        <v/>
      </c>
    </row>
    <row r="22048" spans="1:7" x14ac:dyDescent="0.25">
      <c r="A22048" t="s">
        <v>8</v>
      </c>
      <c r="B22048" s="1" t="str">
        <f>"000291251 - VOID  CASA DE BERTACCI-SODEXO"</f>
        <v>000291251 - VOID  CASA DE BERTACCI-SODEXO</v>
      </c>
      <c r="C22048" t="s">
        <v>637</v>
      </c>
      <c r="D22048" s="1" t="str">
        <f t="shared" si="603"/>
        <v>PRG-1048983</v>
      </c>
      <c r="E22048" t="s">
        <v>160</v>
      </c>
      <c r="F22048" t="s">
        <v>4</v>
      </c>
      <c r="G22048" t="str">
        <f>""</f>
        <v/>
      </c>
    </row>
    <row r="22049" spans="1:7" x14ac:dyDescent="0.25">
      <c r="A22049" t="s">
        <v>8</v>
      </c>
      <c r="B22049" s="1" t="str">
        <f>"000293182 - RICHS CASA DI BERTACCHI-SODEXO"</f>
        <v>000293182 - RICHS CASA DI BERTACCHI-SODEXO</v>
      </c>
      <c r="C22049" t="s">
        <v>121</v>
      </c>
      <c r="D22049" s="1" t="str">
        <f t="shared" si="603"/>
        <v>PRG-1048983</v>
      </c>
      <c r="E22049" t="s">
        <v>160</v>
      </c>
      <c r="F22049" t="s">
        <v>4</v>
      </c>
      <c r="G22049" t="str">
        <f>""</f>
        <v/>
      </c>
    </row>
    <row r="22050" spans="1:7" x14ac:dyDescent="0.25">
      <c r="A22050" t="s">
        <v>8</v>
      </c>
      <c r="B22050" s="1" t="str">
        <f>"000293576 - RICH CASA DI BERTACCHI -SODEXO"</f>
        <v>000293576 - RICH CASA DI BERTACCHI -SODEXO</v>
      </c>
      <c r="C22050" t="s">
        <v>545</v>
      </c>
      <c r="D22050" s="1" t="str">
        <f t="shared" si="603"/>
        <v>PRG-1048983</v>
      </c>
      <c r="E22050" t="s">
        <v>160</v>
      </c>
      <c r="F22050" t="s">
        <v>4</v>
      </c>
      <c r="G22050" t="str">
        <f>""</f>
        <v/>
      </c>
    </row>
    <row r="22051" spans="1:7" x14ac:dyDescent="0.25">
      <c r="A22051" t="s">
        <v>8</v>
      </c>
      <c r="B22051" s="1" t="str">
        <f>"000294417 - RICHS CASA DI BERTACCHI-SODEXO"</f>
        <v>000294417 - RICHS CASA DI BERTACCHI-SODEXO</v>
      </c>
      <c r="C22051" t="s">
        <v>121</v>
      </c>
      <c r="D22051" s="1" t="str">
        <f t="shared" si="603"/>
        <v>PRG-1048983</v>
      </c>
      <c r="E22051" t="s">
        <v>160</v>
      </c>
      <c r="F22051" t="s">
        <v>4</v>
      </c>
      <c r="G22051" t="str">
        <f>""</f>
        <v/>
      </c>
    </row>
    <row r="22052" spans="1:7" x14ac:dyDescent="0.25">
      <c r="A22052" t="s">
        <v>8</v>
      </c>
      <c r="B22052" s="1" t="str">
        <f>"000295519 - RICH CASA DI BERTACCHI -SODEXO"</f>
        <v>000295519 - RICH CASA DI BERTACCHI -SODEXO</v>
      </c>
      <c r="C22052" t="s">
        <v>545</v>
      </c>
      <c r="D22052" s="1" t="str">
        <f t="shared" si="603"/>
        <v>PRG-1048983</v>
      </c>
      <c r="E22052" t="s">
        <v>160</v>
      </c>
      <c r="F22052" t="s">
        <v>4</v>
      </c>
      <c r="G22052" t="str">
        <f>""</f>
        <v/>
      </c>
    </row>
    <row r="22053" spans="1:7" x14ac:dyDescent="0.25">
      <c r="A22053" t="s">
        <v>8</v>
      </c>
      <c r="B22053" s="1" t="str">
        <f>"000296698 - RICHS CASA DI BERTACCHI-SODEXO"</f>
        <v>000296698 - RICHS CASA DI BERTACCHI-SODEXO</v>
      </c>
      <c r="C22053" t="s">
        <v>121</v>
      </c>
      <c r="D22053" s="1" t="str">
        <f t="shared" si="603"/>
        <v>PRG-1048983</v>
      </c>
      <c r="E22053" t="s">
        <v>160</v>
      </c>
      <c r="F22053" t="s">
        <v>4</v>
      </c>
      <c r="G22053" t="str">
        <f>""</f>
        <v/>
      </c>
    </row>
    <row r="22054" spans="1:7" x14ac:dyDescent="0.25">
      <c r="A22054" t="s">
        <v>8</v>
      </c>
      <c r="B22054" s="1" t="str">
        <f>"000298606 - RICHS CASA DI BERTACCHI-SODEXO"</f>
        <v>000298606 - RICHS CASA DI BERTACCHI-SODEXO</v>
      </c>
      <c r="C22054" t="s">
        <v>121</v>
      </c>
      <c r="D22054" s="1" t="str">
        <f t="shared" si="603"/>
        <v>PRG-1048983</v>
      </c>
      <c r="E22054" t="s">
        <v>160</v>
      </c>
      <c r="F22054" t="s">
        <v>4</v>
      </c>
      <c r="G22054" t="str">
        <f>""</f>
        <v/>
      </c>
    </row>
    <row r="22055" spans="1:7" x14ac:dyDescent="0.25">
      <c r="A22055" t="s">
        <v>8</v>
      </c>
      <c r="B22055" s="1" t="str">
        <f>"000298835 - RICH CASA DI BERTACCHI -SODEXO"</f>
        <v>000298835 - RICH CASA DI BERTACCHI -SODEXO</v>
      </c>
      <c r="C22055" t="s">
        <v>545</v>
      </c>
      <c r="D22055" s="1" t="str">
        <f t="shared" si="603"/>
        <v>PRG-1048983</v>
      </c>
      <c r="E22055" t="s">
        <v>160</v>
      </c>
      <c r="F22055" t="s">
        <v>4</v>
      </c>
      <c r="G22055" t="str">
        <f>""</f>
        <v/>
      </c>
    </row>
    <row r="22056" spans="1:7" x14ac:dyDescent="0.25">
      <c r="A22056" t="s">
        <v>8</v>
      </c>
      <c r="B22056" s="1" t="str">
        <f>"000299298 - RICHS CASA DI BERTACCHI-SODEXO"</f>
        <v>000299298 - RICHS CASA DI BERTACCHI-SODEXO</v>
      </c>
      <c r="C22056" t="s">
        <v>121</v>
      </c>
      <c r="D22056" s="1" t="str">
        <f t="shared" si="603"/>
        <v>PRG-1048983</v>
      </c>
      <c r="E22056" t="s">
        <v>160</v>
      </c>
      <c r="F22056" t="s">
        <v>4</v>
      </c>
      <c r="G22056" t="str">
        <f>""</f>
        <v/>
      </c>
    </row>
    <row r="22057" spans="1:7" x14ac:dyDescent="0.25">
      <c r="A22057" t="s">
        <v>8</v>
      </c>
      <c r="B22057" s="1" t="str">
        <f>"000299738 - RICHS CASA DI BERTACCHI-SODEXO"</f>
        <v>000299738 - RICHS CASA DI BERTACCHI-SODEXO</v>
      </c>
      <c r="C22057" t="s">
        <v>121</v>
      </c>
      <c r="D22057" s="1" t="str">
        <f t="shared" si="603"/>
        <v>PRG-1048983</v>
      </c>
      <c r="E22057" t="s">
        <v>160</v>
      </c>
      <c r="F22057" t="s">
        <v>4</v>
      </c>
      <c r="G22057" t="str">
        <f>""</f>
        <v/>
      </c>
    </row>
    <row r="22058" spans="1:7" x14ac:dyDescent="0.25">
      <c r="A22058" t="s">
        <v>8</v>
      </c>
      <c r="B22058" s="1" t="str">
        <f>"000302097 - RICHS CASA DI BERTACCHI-SODEXO"</f>
        <v>000302097 - RICHS CASA DI BERTACCHI-SODEXO</v>
      </c>
      <c r="C22058" t="s">
        <v>121</v>
      </c>
      <c r="D22058" s="1" t="str">
        <f t="shared" si="603"/>
        <v>PRG-1048983</v>
      </c>
      <c r="E22058" t="s">
        <v>160</v>
      </c>
      <c r="F22058" t="s">
        <v>4</v>
      </c>
      <c r="G22058" t="str">
        <f>""</f>
        <v/>
      </c>
    </row>
    <row r="22059" spans="1:7" x14ac:dyDescent="0.25">
      <c r="A22059" t="s">
        <v>8</v>
      </c>
      <c r="B22059" s="1" t="str">
        <f>"000302519 - RICH CASA DI BERTACCHI -SODEXO"</f>
        <v>000302519 - RICH CASA DI BERTACCHI -SODEXO</v>
      </c>
      <c r="C22059" t="s">
        <v>545</v>
      </c>
      <c r="D22059" s="1" t="str">
        <f t="shared" si="603"/>
        <v>PRG-1048983</v>
      </c>
      <c r="E22059" t="s">
        <v>160</v>
      </c>
      <c r="F22059" t="s">
        <v>4</v>
      </c>
      <c r="G22059" t="str">
        <f>""</f>
        <v/>
      </c>
    </row>
    <row r="22060" spans="1:7" x14ac:dyDescent="0.25">
      <c r="A22060" t="s">
        <v>8</v>
      </c>
      <c r="B22060" s="1" t="str">
        <f>"000303100 - RICHS CASA DI BERTACCHI-SODEXO"</f>
        <v>000303100 - RICHS CASA DI BERTACCHI-SODEXO</v>
      </c>
      <c r="C22060" t="s">
        <v>121</v>
      </c>
      <c r="D22060" s="1" t="str">
        <f t="shared" si="603"/>
        <v>PRG-1048983</v>
      </c>
      <c r="E22060" t="s">
        <v>160</v>
      </c>
      <c r="F22060" t="s">
        <v>4</v>
      </c>
      <c r="G22060" t="str">
        <f>""</f>
        <v/>
      </c>
    </row>
    <row r="22061" spans="1:7" x14ac:dyDescent="0.25">
      <c r="A22061" t="s">
        <v>8</v>
      </c>
      <c r="B22061" s="1" t="str">
        <f>"000303800 - RICH CASA DI BERTACCHI -SODEXO"</f>
        <v>000303800 - RICH CASA DI BERTACCHI -SODEXO</v>
      </c>
      <c r="C22061" t="s">
        <v>545</v>
      </c>
      <c r="D22061" s="1" t="str">
        <f t="shared" si="603"/>
        <v>PRG-1048983</v>
      </c>
      <c r="E22061" t="s">
        <v>160</v>
      </c>
      <c r="F22061" t="s">
        <v>4</v>
      </c>
      <c r="G22061" t="str">
        <f>""</f>
        <v/>
      </c>
    </row>
    <row r="22062" spans="1:7" x14ac:dyDescent="0.25">
      <c r="A22062" t="s">
        <v>8</v>
      </c>
      <c r="B22062" s="1" t="str">
        <f>"000309398 - RICH CASA DI BERTACCHI -SODEXO"</f>
        <v>000309398 - RICH CASA DI BERTACCHI -SODEXO</v>
      </c>
      <c r="C22062" t="s">
        <v>545</v>
      </c>
      <c r="D22062" s="1" t="str">
        <f t="shared" si="603"/>
        <v>PRG-1048983</v>
      </c>
      <c r="E22062" t="s">
        <v>160</v>
      </c>
      <c r="F22062" t="s">
        <v>4</v>
      </c>
      <c r="G22062" t="str">
        <f>""</f>
        <v/>
      </c>
    </row>
    <row r="22063" spans="1:7" x14ac:dyDescent="0.25">
      <c r="A22063" t="s">
        <v>8</v>
      </c>
      <c r="B22063" s="1" t="str">
        <f>"000311278 - VOID  CASA DE BERTACCI-SODEXO"</f>
        <v>000311278 - VOID  CASA DE BERTACCI-SODEXO</v>
      </c>
      <c r="C22063" t="s">
        <v>637</v>
      </c>
      <c r="D22063" s="1" t="str">
        <f t="shared" ref="D22063:D22094" si="604">"PRG-1048983"</f>
        <v>PRG-1048983</v>
      </c>
      <c r="E22063" t="s">
        <v>160</v>
      </c>
      <c r="F22063" t="s">
        <v>4</v>
      </c>
      <c r="G22063" t="str">
        <f>""</f>
        <v/>
      </c>
    </row>
    <row r="22064" spans="1:7" x14ac:dyDescent="0.25">
      <c r="A22064" t="s">
        <v>8</v>
      </c>
      <c r="B22064" s="1" t="str">
        <f>"000313297 - RICH CASA DI BERTACCHI -SODEXO"</f>
        <v>000313297 - RICH CASA DI BERTACCHI -SODEXO</v>
      </c>
      <c r="C22064" t="s">
        <v>545</v>
      </c>
      <c r="D22064" s="1" t="str">
        <f t="shared" si="604"/>
        <v>PRG-1048983</v>
      </c>
      <c r="E22064" t="s">
        <v>160</v>
      </c>
      <c r="F22064" t="s">
        <v>4</v>
      </c>
      <c r="G22064" t="str">
        <f>""</f>
        <v/>
      </c>
    </row>
    <row r="22065" spans="1:7" x14ac:dyDescent="0.25">
      <c r="A22065" t="s">
        <v>8</v>
      </c>
      <c r="B22065" s="1" t="str">
        <f>"000317956 - RICH CASA DI BERTACCHI -SODEXO"</f>
        <v>000317956 - RICH CASA DI BERTACCHI -SODEXO</v>
      </c>
      <c r="C22065" t="s">
        <v>545</v>
      </c>
      <c r="D22065" s="1" t="str">
        <f t="shared" si="604"/>
        <v>PRG-1048983</v>
      </c>
      <c r="E22065" t="s">
        <v>160</v>
      </c>
      <c r="F22065" t="s">
        <v>4</v>
      </c>
      <c r="G22065" t="str">
        <f>""</f>
        <v/>
      </c>
    </row>
    <row r="22066" spans="1:7" x14ac:dyDescent="0.25">
      <c r="A22066" t="s">
        <v>8</v>
      </c>
      <c r="B22066" s="1" t="str">
        <f>"000318756 - RICH CASA DI BERTACCHI -SODEXO"</f>
        <v>000318756 - RICH CASA DI BERTACCHI -SODEXO</v>
      </c>
      <c r="C22066" t="s">
        <v>545</v>
      </c>
      <c r="D22066" s="1" t="str">
        <f t="shared" si="604"/>
        <v>PRG-1048983</v>
      </c>
      <c r="E22066" t="s">
        <v>160</v>
      </c>
      <c r="F22066" t="s">
        <v>4</v>
      </c>
      <c r="G22066" t="str">
        <f>""</f>
        <v/>
      </c>
    </row>
    <row r="22067" spans="1:7" x14ac:dyDescent="0.25">
      <c r="A22067" t="s">
        <v>8</v>
      </c>
      <c r="B22067" s="1" t="str">
        <f>"000319048 - RICH CASA DI BERTACCHI -SODEXO"</f>
        <v>000319048 - RICH CASA DI BERTACCHI -SODEXO</v>
      </c>
      <c r="C22067" t="s">
        <v>545</v>
      </c>
      <c r="D22067" s="1" t="str">
        <f t="shared" si="604"/>
        <v>PRG-1048983</v>
      </c>
      <c r="E22067" t="s">
        <v>160</v>
      </c>
      <c r="F22067" t="s">
        <v>4</v>
      </c>
      <c r="G22067" t="str">
        <f>""</f>
        <v/>
      </c>
    </row>
    <row r="22068" spans="1:7" x14ac:dyDescent="0.25">
      <c r="A22068" t="s">
        <v>8</v>
      </c>
      <c r="B22068" s="1" t="str">
        <f>"000319968 - RICH CASA DI BERTACCHI -SODEXO"</f>
        <v>000319968 - RICH CASA DI BERTACCHI -SODEXO</v>
      </c>
      <c r="C22068" t="s">
        <v>545</v>
      </c>
      <c r="D22068" s="1" t="str">
        <f t="shared" si="604"/>
        <v>PRG-1048983</v>
      </c>
      <c r="E22068" t="s">
        <v>160</v>
      </c>
      <c r="F22068" t="s">
        <v>4</v>
      </c>
      <c r="G22068" t="str">
        <f>""</f>
        <v/>
      </c>
    </row>
    <row r="22069" spans="1:7" x14ac:dyDescent="0.25">
      <c r="A22069" t="s">
        <v>8</v>
      </c>
      <c r="B22069" s="1" t="str">
        <f>"000321898 - RICH CASA DI BERTACCHI -SODEXO"</f>
        <v>000321898 - RICH CASA DI BERTACCHI -SODEXO</v>
      </c>
      <c r="C22069" t="s">
        <v>545</v>
      </c>
      <c r="D22069" s="1" t="str">
        <f t="shared" si="604"/>
        <v>PRG-1048983</v>
      </c>
      <c r="E22069" t="s">
        <v>160</v>
      </c>
      <c r="F22069" t="s">
        <v>4</v>
      </c>
      <c r="G22069" t="str">
        <f>""</f>
        <v/>
      </c>
    </row>
    <row r="22070" spans="1:7" x14ac:dyDescent="0.25">
      <c r="A22070" t="s">
        <v>8</v>
      </c>
      <c r="B22070" s="1" t="str">
        <f>"000322317 - VOID  CASA DE BERTACCI-SODEXO"</f>
        <v>000322317 - VOID  CASA DE BERTACCI-SODEXO</v>
      </c>
      <c r="C22070" t="s">
        <v>637</v>
      </c>
      <c r="D22070" s="1" t="str">
        <f t="shared" si="604"/>
        <v>PRG-1048983</v>
      </c>
      <c r="E22070" t="s">
        <v>160</v>
      </c>
      <c r="F22070" t="s">
        <v>4</v>
      </c>
      <c r="G22070" t="str">
        <f>""</f>
        <v/>
      </c>
    </row>
    <row r="22071" spans="1:7" x14ac:dyDescent="0.25">
      <c r="A22071" t="s">
        <v>8</v>
      </c>
      <c r="B22071" s="1" t="str">
        <f>"000322531 - VOID  CASA DE BERTACCI-SODEXO"</f>
        <v>000322531 - VOID  CASA DE BERTACCI-SODEXO</v>
      </c>
      <c r="C22071" t="s">
        <v>637</v>
      </c>
      <c r="D22071" s="1" t="str">
        <f t="shared" si="604"/>
        <v>PRG-1048983</v>
      </c>
      <c r="E22071" t="s">
        <v>160</v>
      </c>
      <c r="F22071" t="s">
        <v>4</v>
      </c>
      <c r="G22071" t="str">
        <f>""</f>
        <v/>
      </c>
    </row>
    <row r="22072" spans="1:7" x14ac:dyDescent="0.25">
      <c r="A22072" t="s">
        <v>8</v>
      </c>
      <c r="B22072" s="1" t="str">
        <f>"000322897 - RICH CASA DI BERTACCHI -SODEXO"</f>
        <v>000322897 - RICH CASA DI BERTACCHI -SODEXO</v>
      </c>
      <c r="C22072" t="s">
        <v>545</v>
      </c>
      <c r="D22072" s="1" t="str">
        <f t="shared" si="604"/>
        <v>PRG-1048983</v>
      </c>
      <c r="E22072" t="s">
        <v>160</v>
      </c>
      <c r="F22072" t="s">
        <v>4</v>
      </c>
      <c r="G22072" t="str">
        <f>""</f>
        <v/>
      </c>
    </row>
    <row r="22073" spans="1:7" x14ac:dyDescent="0.25">
      <c r="A22073" t="s">
        <v>8</v>
      </c>
      <c r="B22073" s="1" t="str">
        <f>"000325812 - RICH CASA DI BERTACCHI -SODEXO"</f>
        <v>000325812 - RICH CASA DI BERTACCHI -SODEXO</v>
      </c>
      <c r="C22073" t="s">
        <v>545</v>
      </c>
      <c r="D22073" s="1" t="str">
        <f t="shared" si="604"/>
        <v>PRG-1048983</v>
      </c>
      <c r="E22073" t="s">
        <v>160</v>
      </c>
      <c r="F22073" t="s">
        <v>4</v>
      </c>
      <c r="G22073" t="str">
        <f>""</f>
        <v/>
      </c>
    </row>
    <row r="22074" spans="1:7" x14ac:dyDescent="0.25">
      <c r="A22074" t="s">
        <v>8</v>
      </c>
      <c r="B22074" s="1" t="str">
        <f>"000326972 - RICHS CASA DI BERTACCHI-SODEXO"</f>
        <v>000326972 - RICHS CASA DI BERTACCHI-SODEXO</v>
      </c>
      <c r="C22074" t="s">
        <v>121</v>
      </c>
      <c r="D22074" s="1" t="str">
        <f t="shared" si="604"/>
        <v>PRG-1048983</v>
      </c>
      <c r="E22074" t="s">
        <v>160</v>
      </c>
      <c r="F22074" t="s">
        <v>4</v>
      </c>
      <c r="G22074" t="str">
        <f>""</f>
        <v/>
      </c>
    </row>
    <row r="22075" spans="1:7" x14ac:dyDescent="0.25">
      <c r="A22075" t="s">
        <v>8</v>
      </c>
      <c r="B22075" s="1" t="str">
        <f>"000327115 - RICH CASA DI BERTACCHI -SODEXO"</f>
        <v>000327115 - RICH CASA DI BERTACCHI -SODEXO</v>
      </c>
      <c r="C22075" t="s">
        <v>545</v>
      </c>
      <c r="D22075" s="1" t="str">
        <f t="shared" si="604"/>
        <v>PRG-1048983</v>
      </c>
      <c r="E22075" t="s">
        <v>160</v>
      </c>
      <c r="F22075" t="s">
        <v>4</v>
      </c>
      <c r="G22075" t="str">
        <f>""</f>
        <v/>
      </c>
    </row>
    <row r="22076" spans="1:7" x14ac:dyDescent="0.25">
      <c r="A22076" t="s">
        <v>8</v>
      </c>
      <c r="B22076" s="1" t="str">
        <f>"000327146 - RICH CASA DI BERTACCHI -SODEXO"</f>
        <v>000327146 - RICH CASA DI BERTACCHI -SODEXO</v>
      </c>
      <c r="C22076" t="s">
        <v>545</v>
      </c>
      <c r="D22076" s="1" t="str">
        <f t="shared" si="604"/>
        <v>PRG-1048983</v>
      </c>
      <c r="E22076" t="s">
        <v>160</v>
      </c>
      <c r="F22076" t="s">
        <v>4</v>
      </c>
      <c r="G22076" t="str">
        <f>""</f>
        <v/>
      </c>
    </row>
    <row r="22077" spans="1:7" x14ac:dyDescent="0.25">
      <c r="A22077" t="s">
        <v>8</v>
      </c>
      <c r="B22077" s="1" t="str">
        <f>"000328059 - RICH CASA DI BERTACCHI -SODEXO"</f>
        <v>000328059 - RICH CASA DI BERTACCHI -SODEXO</v>
      </c>
      <c r="C22077" t="s">
        <v>545</v>
      </c>
      <c r="D22077" s="1" t="str">
        <f t="shared" si="604"/>
        <v>PRG-1048983</v>
      </c>
      <c r="E22077" t="s">
        <v>160</v>
      </c>
      <c r="F22077" t="s">
        <v>4</v>
      </c>
      <c r="G22077" t="str">
        <f>""</f>
        <v/>
      </c>
    </row>
    <row r="22078" spans="1:7" x14ac:dyDescent="0.25">
      <c r="A22078" t="s">
        <v>8</v>
      </c>
      <c r="B22078" s="1" t="str">
        <f>"000329126 - VOID  CASA DE BERTACCI-SODEXO"</f>
        <v>000329126 - VOID  CASA DE BERTACCI-SODEXO</v>
      </c>
      <c r="C22078" t="s">
        <v>637</v>
      </c>
      <c r="D22078" s="1" t="str">
        <f t="shared" si="604"/>
        <v>PRG-1048983</v>
      </c>
      <c r="E22078" t="s">
        <v>160</v>
      </c>
      <c r="F22078" t="s">
        <v>4</v>
      </c>
      <c r="G22078" t="str">
        <f>""</f>
        <v/>
      </c>
    </row>
    <row r="22079" spans="1:7" x14ac:dyDescent="0.25">
      <c r="A22079" t="s">
        <v>8</v>
      </c>
      <c r="B22079" s="1" t="str">
        <f>"000330826 - VOID  CASA DE BERTACCI-SODEXO"</f>
        <v>000330826 - VOID  CASA DE BERTACCI-SODEXO</v>
      </c>
      <c r="C22079" t="s">
        <v>637</v>
      </c>
      <c r="D22079" s="1" t="str">
        <f t="shared" si="604"/>
        <v>PRG-1048983</v>
      </c>
      <c r="E22079" t="s">
        <v>160</v>
      </c>
      <c r="F22079" t="s">
        <v>4</v>
      </c>
      <c r="G22079" t="str">
        <f>""</f>
        <v/>
      </c>
    </row>
    <row r="22080" spans="1:7" x14ac:dyDescent="0.25">
      <c r="A22080" t="s">
        <v>8</v>
      </c>
      <c r="B22080" s="1" t="str">
        <f>"000336047 - RICHS CASA DI BERTACCHI-SODEXO"</f>
        <v>000336047 - RICHS CASA DI BERTACCHI-SODEXO</v>
      </c>
      <c r="C22080" t="s">
        <v>121</v>
      </c>
      <c r="D22080" s="1" t="str">
        <f t="shared" si="604"/>
        <v>PRG-1048983</v>
      </c>
      <c r="E22080" t="s">
        <v>160</v>
      </c>
      <c r="F22080" t="s">
        <v>4</v>
      </c>
      <c r="G22080" t="str">
        <f>""</f>
        <v/>
      </c>
    </row>
    <row r="22081" spans="1:7" x14ac:dyDescent="0.25">
      <c r="A22081" t="s">
        <v>8</v>
      </c>
      <c r="B22081" s="1" t="str">
        <f>"000350917 - RICH CASA DI BERTACCHI -SODEXO"</f>
        <v>000350917 - RICH CASA DI BERTACCHI -SODEXO</v>
      </c>
      <c r="C22081" t="s">
        <v>545</v>
      </c>
      <c r="D22081" s="1" t="str">
        <f t="shared" si="604"/>
        <v>PRG-1048983</v>
      </c>
      <c r="E22081" t="s">
        <v>160</v>
      </c>
      <c r="F22081" t="s">
        <v>4</v>
      </c>
      <c r="G22081" t="str">
        <f>""</f>
        <v/>
      </c>
    </row>
    <row r="22082" spans="1:7" x14ac:dyDescent="0.25">
      <c r="A22082" t="s">
        <v>8</v>
      </c>
      <c r="B22082" s="1" t="str">
        <f>"000356535 - RICHS SWEET DOUGH-SODEXO"</f>
        <v>000356535 - RICHS SWEET DOUGH-SODEXO</v>
      </c>
      <c r="C22082" t="s">
        <v>137</v>
      </c>
      <c r="D22082" s="1" t="str">
        <f t="shared" si="604"/>
        <v>PRG-1048983</v>
      </c>
      <c r="E22082" t="s">
        <v>160</v>
      </c>
      <c r="F22082" t="s">
        <v>4</v>
      </c>
      <c r="G22082" t="str">
        <f>""</f>
        <v/>
      </c>
    </row>
    <row r="22083" spans="1:7" x14ac:dyDescent="0.25">
      <c r="A22083" t="s">
        <v>8</v>
      </c>
      <c r="B22083" s="1" t="str">
        <f>"000359921 - RICH CASA DI BERTACCHI -SODEXO"</f>
        <v>000359921 - RICH CASA DI BERTACCHI -SODEXO</v>
      </c>
      <c r="C22083" t="s">
        <v>545</v>
      </c>
      <c r="D22083" s="1" t="str">
        <f t="shared" si="604"/>
        <v>PRG-1048983</v>
      </c>
      <c r="E22083" t="s">
        <v>160</v>
      </c>
      <c r="F22083" t="s">
        <v>4</v>
      </c>
      <c r="G22083" t="str">
        <f>""</f>
        <v/>
      </c>
    </row>
    <row r="22084" spans="1:7" x14ac:dyDescent="0.25">
      <c r="A22084" t="s">
        <v>8</v>
      </c>
      <c r="B22084" s="1" t="str">
        <f>"000363109 - RICH CASA DI BERTACCHI -SODEXO"</f>
        <v>000363109 - RICH CASA DI BERTACCHI -SODEXO</v>
      </c>
      <c r="C22084" t="s">
        <v>545</v>
      </c>
      <c r="D22084" s="1" t="str">
        <f t="shared" si="604"/>
        <v>PRG-1048983</v>
      </c>
      <c r="E22084" t="s">
        <v>160</v>
      </c>
      <c r="F22084" t="s">
        <v>4</v>
      </c>
      <c r="G22084" t="str">
        <f>""</f>
        <v/>
      </c>
    </row>
    <row r="22085" spans="1:7" x14ac:dyDescent="0.25">
      <c r="A22085" t="s">
        <v>8</v>
      </c>
      <c r="B22085" s="1" t="str">
        <f>"000366498 - RICHS CASA DI BERTACCHI-SODEXO"</f>
        <v>000366498 - RICHS CASA DI BERTACCHI-SODEXO</v>
      </c>
      <c r="C22085" t="s">
        <v>121</v>
      </c>
      <c r="D22085" s="1" t="str">
        <f t="shared" si="604"/>
        <v>PRG-1048983</v>
      </c>
      <c r="E22085" t="s">
        <v>160</v>
      </c>
      <c r="F22085" t="s">
        <v>4</v>
      </c>
      <c r="G22085" t="str">
        <f>""</f>
        <v/>
      </c>
    </row>
    <row r="22086" spans="1:7" x14ac:dyDescent="0.25">
      <c r="A22086" t="s">
        <v>8</v>
      </c>
      <c r="B22086" s="1" t="str">
        <f>"000368738 - RICH CASA DI BERTACCHI -SODEXO"</f>
        <v>000368738 - RICH CASA DI BERTACCHI -SODEXO</v>
      </c>
      <c r="C22086" t="s">
        <v>545</v>
      </c>
      <c r="D22086" s="1" t="str">
        <f t="shared" si="604"/>
        <v>PRG-1048983</v>
      </c>
      <c r="E22086" t="s">
        <v>160</v>
      </c>
      <c r="F22086" t="s">
        <v>4</v>
      </c>
      <c r="G22086" t="str">
        <f>""</f>
        <v/>
      </c>
    </row>
    <row r="22087" spans="1:7" x14ac:dyDescent="0.25">
      <c r="A22087" t="s">
        <v>8</v>
      </c>
      <c r="B22087" s="1" t="str">
        <f>"000369003 - RICHS CASA DI BERTACCHI-SODEXO"</f>
        <v>000369003 - RICHS CASA DI BERTACCHI-SODEXO</v>
      </c>
      <c r="C22087" t="s">
        <v>121</v>
      </c>
      <c r="D22087" s="1" t="str">
        <f t="shared" si="604"/>
        <v>PRG-1048983</v>
      </c>
      <c r="E22087" t="s">
        <v>160</v>
      </c>
      <c r="F22087" t="s">
        <v>4</v>
      </c>
      <c r="G22087" t="str">
        <f>""</f>
        <v/>
      </c>
    </row>
    <row r="22088" spans="1:7" x14ac:dyDescent="0.25">
      <c r="A22088" t="s">
        <v>8</v>
      </c>
      <c r="B22088" s="1" t="str">
        <f>"000372170 - VOID  CASA DE BERTACCI-SODEXO"</f>
        <v>000372170 - VOID  CASA DE BERTACCI-SODEXO</v>
      </c>
      <c r="C22088" t="s">
        <v>637</v>
      </c>
      <c r="D22088" s="1" t="str">
        <f t="shared" si="604"/>
        <v>PRG-1048983</v>
      </c>
      <c r="E22088" t="s">
        <v>160</v>
      </c>
      <c r="F22088" t="s">
        <v>4</v>
      </c>
      <c r="G22088" t="str">
        <f>""</f>
        <v/>
      </c>
    </row>
    <row r="22089" spans="1:7" x14ac:dyDescent="0.25">
      <c r="A22089" t="s">
        <v>8</v>
      </c>
      <c r="B22089" s="1" t="str">
        <f>"000379190 - RICHS CASA DI BERTACCHI-SODEXO"</f>
        <v>000379190 - RICHS CASA DI BERTACCHI-SODEXO</v>
      </c>
      <c r="C22089" t="s">
        <v>121</v>
      </c>
      <c r="D22089" s="1" t="str">
        <f t="shared" si="604"/>
        <v>PRG-1048983</v>
      </c>
      <c r="E22089" t="s">
        <v>160</v>
      </c>
      <c r="F22089" t="s">
        <v>4</v>
      </c>
      <c r="G22089" t="str">
        <f>""</f>
        <v/>
      </c>
    </row>
    <row r="22090" spans="1:7" x14ac:dyDescent="0.25">
      <c r="A22090" t="s">
        <v>8</v>
      </c>
      <c r="B22090" s="1" t="str">
        <f>"000389231 - RICHS CASA DI BERTACCHI-SODEXO"</f>
        <v>000389231 - RICHS CASA DI BERTACCHI-SODEXO</v>
      </c>
      <c r="C22090" t="s">
        <v>121</v>
      </c>
      <c r="D22090" s="1" t="str">
        <f t="shared" si="604"/>
        <v>PRG-1048983</v>
      </c>
      <c r="E22090" t="s">
        <v>160</v>
      </c>
      <c r="F22090" t="s">
        <v>4</v>
      </c>
      <c r="G22090" t="str">
        <f>""</f>
        <v/>
      </c>
    </row>
    <row r="22091" spans="1:7" x14ac:dyDescent="0.25">
      <c r="A22091" t="s">
        <v>8</v>
      </c>
      <c r="B22091" s="1" t="str">
        <f>"000391502 - RICH CASA DI BERTACCHI -SODEXO"</f>
        <v>000391502 - RICH CASA DI BERTACCHI -SODEXO</v>
      </c>
      <c r="C22091" t="s">
        <v>545</v>
      </c>
      <c r="D22091" s="1" t="str">
        <f t="shared" si="604"/>
        <v>PRG-1048983</v>
      </c>
      <c r="E22091" t="s">
        <v>160</v>
      </c>
      <c r="F22091" t="s">
        <v>4</v>
      </c>
      <c r="G22091" t="str">
        <f>""</f>
        <v/>
      </c>
    </row>
    <row r="22092" spans="1:7" x14ac:dyDescent="0.25">
      <c r="A22092" t="s">
        <v>8</v>
      </c>
      <c r="B22092" s="1" t="str">
        <f>"000393724 - RICH CASA DI BERTACCHI -SODEXO"</f>
        <v>000393724 - RICH CASA DI BERTACCHI -SODEXO</v>
      </c>
      <c r="C22092" t="s">
        <v>545</v>
      </c>
      <c r="D22092" s="1" t="str">
        <f t="shared" si="604"/>
        <v>PRG-1048983</v>
      </c>
      <c r="E22092" t="s">
        <v>160</v>
      </c>
      <c r="F22092" t="s">
        <v>4</v>
      </c>
      <c r="G22092" t="str">
        <f>""</f>
        <v/>
      </c>
    </row>
    <row r="22093" spans="1:7" x14ac:dyDescent="0.25">
      <c r="A22093" t="s">
        <v>8</v>
      </c>
      <c r="B22093" s="1" t="str">
        <f>"000393755 - RICH CASA DI BERTACCHI -SODEXO"</f>
        <v>000393755 - RICH CASA DI BERTACCHI -SODEXO</v>
      </c>
      <c r="C22093" t="s">
        <v>545</v>
      </c>
      <c r="D22093" s="1" t="str">
        <f t="shared" si="604"/>
        <v>PRG-1048983</v>
      </c>
      <c r="E22093" t="s">
        <v>160</v>
      </c>
      <c r="F22093" t="s">
        <v>4</v>
      </c>
      <c r="G22093" t="str">
        <f>""</f>
        <v/>
      </c>
    </row>
    <row r="22094" spans="1:7" x14ac:dyDescent="0.25">
      <c r="A22094" t="s">
        <v>8</v>
      </c>
      <c r="B22094" s="1" t="str">
        <f>"000396230 - RICH CASA DI BERTACCHI -SODEXO"</f>
        <v>000396230 - RICH CASA DI BERTACCHI -SODEXO</v>
      </c>
      <c r="C22094" t="s">
        <v>545</v>
      </c>
      <c r="D22094" s="1" t="str">
        <f t="shared" si="604"/>
        <v>PRG-1048983</v>
      </c>
      <c r="E22094" t="s">
        <v>160</v>
      </c>
      <c r="F22094" t="s">
        <v>4</v>
      </c>
      <c r="G22094" t="str">
        <f>""</f>
        <v/>
      </c>
    </row>
    <row r="22095" spans="1:7" x14ac:dyDescent="0.25">
      <c r="A22095" t="s">
        <v>8</v>
      </c>
      <c r="B22095" s="1" t="str">
        <f>"000398636 - RICHS CASA DI BERTACCHI-SODEXO"</f>
        <v>000398636 - RICHS CASA DI BERTACCHI-SODEXO</v>
      </c>
      <c r="C22095" t="s">
        <v>121</v>
      </c>
      <c r="D22095" s="1" t="str">
        <f t="shared" ref="D22095:D22105" si="605">"PRG-1048983"</f>
        <v>PRG-1048983</v>
      </c>
      <c r="E22095" t="s">
        <v>160</v>
      </c>
      <c r="F22095" t="s">
        <v>4</v>
      </c>
      <c r="G22095" t="str">
        <f>""</f>
        <v/>
      </c>
    </row>
    <row r="22096" spans="1:7" x14ac:dyDescent="0.25">
      <c r="A22096" t="s">
        <v>8</v>
      </c>
      <c r="B22096" s="1" t="str">
        <f>"000401797 - RICH CASA DI BERTACCHI -SODEXO"</f>
        <v>000401797 - RICH CASA DI BERTACCHI -SODEXO</v>
      </c>
      <c r="C22096" t="s">
        <v>545</v>
      </c>
      <c r="D22096" s="1" t="str">
        <f t="shared" si="605"/>
        <v>PRG-1048983</v>
      </c>
      <c r="E22096" t="s">
        <v>160</v>
      </c>
      <c r="F22096" t="s">
        <v>4</v>
      </c>
      <c r="G22096" t="str">
        <f>""</f>
        <v/>
      </c>
    </row>
    <row r="22097" spans="1:7" x14ac:dyDescent="0.25">
      <c r="A22097" t="s">
        <v>8</v>
      </c>
      <c r="B22097" s="1" t="str">
        <f>"000405106 - RICH CASA DI BERTACCHI -SODEXO"</f>
        <v>000405106 - RICH CASA DI BERTACCHI -SODEXO</v>
      </c>
      <c r="C22097" t="s">
        <v>545</v>
      </c>
      <c r="D22097" s="1" t="str">
        <f t="shared" si="605"/>
        <v>PRG-1048983</v>
      </c>
      <c r="E22097" t="s">
        <v>160</v>
      </c>
      <c r="F22097" t="s">
        <v>4</v>
      </c>
      <c r="G22097" t="str">
        <f>""</f>
        <v/>
      </c>
    </row>
    <row r="22098" spans="1:7" x14ac:dyDescent="0.25">
      <c r="A22098" t="s">
        <v>8</v>
      </c>
      <c r="B22098" s="1" t="str">
        <f>"000406268 - RICH CASA DI BERTACCHI -SODEXO"</f>
        <v>000406268 - RICH CASA DI BERTACCHI -SODEXO</v>
      </c>
      <c r="C22098" t="s">
        <v>545</v>
      </c>
      <c r="D22098" s="1" t="str">
        <f t="shared" si="605"/>
        <v>PRG-1048983</v>
      </c>
      <c r="E22098" t="s">
        <v>160</v>
      </c>
      <c r="F22098" t="s">
        <v>4</v>
      </c>
      <c r="G22098" t="str">
        <f>""</f>
        <v/>
      </c>
    </row>
    <row r="22099" spans="1:7" x14ac:dyDescent="0.25">
      <c r="A22099" t="s">
        <v>8</v>
      </c>
      <c r="B22099" s="1" t="str">
        <f>"000407826 - RICH CASA DI BERTACCHI -SODEXO"</f>
        <v>000407826 - RICH CASA DI BERTACCHI -SODEXO</v>
      </c>
      <c r="C22099" t="s">
        <v>545</v>
      </c>
      <c r="D22099" s="1" t="str">
        <f t="shared" si="605"/>
        <v>PRG-1048983</v>
      </c>
      <c r="E22099" t="s">
        <v>160</v>
      </c>
      <c r="F22099" t="s">
        <v>4</v>
      </c>
      <c r="G22099" t="str">
        <f>""</f>
        <v/>
      </c>
    </row>
    <row r="22100" spans="1:7" x14ac:dyDescent="0.25">
      <c r="A22100" t="s">
        <v>8</v>
      </c>
      <c r="B22100" s="1" t="str">
        <f>"000409234 - RICH CASA DI BERTACCHI -SODEXO"</f>
        <v>000409234 - RICH CASA DI BERTACCHI -SODEXO</v>
      </c>
      <c r="C22100" t="s">
        <v>545</v>
      </c>
      <c r="D22100" s="1" t="str">
        <f t="shared" si="605"/>
        <v>PRG-1048983</v>
      </c>
      <c r="E22100" t="s">
        <v>160</v>
      </c>
      <c r="F22100" t="s">
        <v>4</v>
      </c>
      <c r="G22100" t="str">
        <f>""</f>
        <v/>
      </c>
    </row>
    <row r="22101" spans="1:7" x14ac:dyDescent="0.25">
      <c r="A22101" t="s">
        <v>8</v>
      </c>
      <c r="B22101" s="1" t="str">
        <f>"000412874 - RICHS CASA DI BERTACCHI-SODEXO"</f>
        <v>000412874 - RICHS CASA DI BERTACCHI-SODEXO</v>
      </c>
      <c r="C22101" t="s">
        <v>121</v>
      </c>
      <c r="D22101" s="1" t="str">
        <f t="shared" si="605"/>
        <v>PRG-1048983</v>
      </c>
      <c r="E22101" t="s">
        <v>160</v>
      </c>
      <c r="F22101" t="s">
        <v>4</v>
      </c>
      <c r="G22101" t="str">
        <f>""</f>
        <v/>
      </c>
    </row>
    <row r="22102" spans="1:7" x14ac:dyDescent="0.25">
      <c r="A22102" t="s">
        <v>8</v>
      </c>
      <c r="B22102" s="1" t="str">
        <f>"000419413 - RICH CASA DI BERTACCHI -SODEXO"</f>
        <v>000419413 - RICH CASA DI BERTACCHI -SODEXO</v>
      </c>
      <c r="C22102" t="s">
        <v>545</v>
      </c>
      <c r="D22102" s="1" t="str">
        <f t="shared" si="605"/>
        <v>PRG-1048983</v>
      </c>
      <c r="E22102" t="s">
        <v>160</v>
      </c>
      <c r="F22102" t="s">
        <v>4</v>
      </c>
      <c r="G22102" t="str">
        <f>""</f>
        <v/>
      </c>
    </row>
    <row r="22103" spans="1:7" x14ac:dyDescent="0.25">
      <c r="A22103" t="s">
        <v>8</v>
      </c>
      <c r="B22103" s="1" t="str">
        <f>"000419977 - RICH CASA DI BERTACCHI -SODEXO"</f>
        <v>000419977 - RICH CASA DI BERTACCHI -SODEXO</v>
      </c>
      <c r="C22103" t="s">
        <v>545</v>
      </c>
      <c r="D22103" s="1" t="str">
        <f t="shared" si="605"/>
        <v>PRG-1048983</v>
      </c>
      <c r="E22103" t="s">
        <v>160</v>
      </c>
      <c r="F22103" t="s">
        <v>4</v>
      </c>
      <c r="G22103" t="str">
        <f>""</f>
        <v/>
      </c>
    </row>
    <row r="22104" spans="1:7" x14ac:dyDescent="0.25">
      <c r="A22104" t="s">
        <v>8</v>
      </c>
      <c r="B22104" s="1" t="str">
        <f>"000425935 - RICH CASA DI BERTACCHI -SODEXO"</f>
        <v>000425935 - RICH CASA DI BERTACCHI -SODEXO</v>
      </c>
      <c r="C22104" t="s">
        <v>545</v>
      </c>
      <c r="D22104" s="1" t="str">
        <f t="shared" si="605"/>
        <v>PRG-1048983</v>
      </c>
      <c r="E22104" t="s">
        <v>160</v>
      </c>
      <c r="F22104" t="s">
        <v>4</v>
      </c>
      <c r="G22104" t="str">
        <f>""</f>
        <v/>
      </c>
    </row>
    <row r="22105" spans="1:7" x14ac:dyDescent="0.25">
      <c r="A22105" t="s">
        <v>8</v>
      </c>
      <c r="B22105" s="1" t="str">
        <f>"000440063 - RICH CASA DI BERTACCHI -SODEXO"</f>
        <v>000440063 - RICH CASA DI BERTACCHI -SODEXO</v>
      </c>
      <c r="C22105" t="s">
        <v>545</v>
      </c>
      <c r="D22105" s="1" t="str">
        <f t="shared" si="605"/>
        <v>PRG-1048983</v>
      </c>
      <c r="E22105" t="s">
        <v>160</v>
      </c>
      <c r="F22105" t="s">
        <v>4</v>
      </c>
      <c r="G22105" t="str">
        <f>""</f>
        <v/>
      </c>
    </row>
    <row r="22106" spans="1:7" x14ac:dyDescent="0.25">
      <c r="A22106" t="s">
        <v>8</v>
      </c>
      <c r="B22106" s="1" t="str">
        <f>"000010827 - RICH FOODS-FORUM"</f>
        <v>000010827 - RICH FOODS-FORUM</v>
      </c>
      <c r="C22106" t="s">
        <v>94</v>
      </c>
      <c r="D22106" s="1" t="str">
        <f t="shared" ref="D22106:D22137" si="606">"PRG-1049035"</f>
        <v>PRG-1049035</v>
      </c>
      <c r="E22106" t="s">
        <v>95</v>
      </c>
      <c r="F22106" t="s">
        <v>4</v>
      </c>
      <c r="G22106" t="str">
        <f>""</f>
        <v/>
      </c>
    </row>
    <row r="22107" spans="1:7" x14ac:dyDescent="0.25">
      <c r="A22107" t="s">
        <v>8</v>
      </c>
      <c r="B22107" s="1" t="str">
        <f>"000018850 - RICH FOODS-FORUM"</f>
        <v>000018850 - RICH FOODS-FORUM</v>
      </c>
      <c r="C22107" t="s">
        <v>94</v>
      </c>
      <c r="D22107" s="1" t="str">
        <f t="shared" si="606"/>
        <v>PRG-1049035</v>
      </c>
      <c r="E22107" t="s">
        <v>95</v>
      </c>
      <c r="F22107" t="s">
        <v>4</v>
      </c>
      <c r="G22107" t="str">
        <f>""</f>
        <v/>
      </c>
    </row>
    <row r="22108" spans="1:7" x14ac:dyDescent="0.25">
      <c r="A22108" t="s">
        <v>8</v>
      </c>
      <c r="B22108" s="1" t="str">
        <f>"000020983 - RICH FOODS-FORUM"</f>
        <v>000020983 - RICH FOODS-FORUM</v>
      </c>
      <c r="C22108" t="s">
        <v>94</v>
      </c>
      <c r="D22108" s="1" t="str">
        <f t="shared" si="606"/>
        <v>PRG-1049035</v>
      </c>
      <c r="E22108" t="s">
        <v>95</v>
      </c>
      <c r="F22108" t="s">
        <v>4</v>
      </c>
      <c r="G22108" t="str">
        <f>""</f>
        <v/>
      </c>
    </row>
    <row r="22109" spans="1:7" x14ac:dyDescent="0.25">
      <c r="A22109" t="s">
        <v>8</v>
      </c>
      <c r="B22109" s="1" t="str">
        <f>"000022886 - RICH FOODS-FORUM"</f>
        <v>000022886 - RICH FOODS-FORUM</v>
      </c>
      <c r="C22109" t="s">
        <v>94</v>
      </c>
      <c r="D22109" s="1" t="str">
        <f t="shared" si="606"/>
        <v>PRG-1049035</v>
      </c>
      <c r="E22109" t="s">
        <v>95</v>
      </c>
      <c r="F22109" t="s">
        <v>4</v>
      </c>
      <c r="G22109" t="str">
        <f>""</f>
        <v/>
      </c>
    </row>
    <row r="22110" spans="1:7" x14ac:dyDescent="0.25">
      <c r="A22110" t="s">
        <v>8</v>
      </c>
      <c r="B22110" s="1" t="str">
        <f>"000027440 - RICH FOODS-FORUM"</f>
        <v>000027440 - RICH FOODS-FORUM</v>
      </c>
      <c r="C22110" t="s">
        <v>94</v>
      </c>
      <c r="D22110" s="1" t="str">
        <f t="shared" si="606"/>
        <v>PRG-1049035</v>
      </c>
      <c r="E22110" t="s">
        <v>95</v>
      </c>
      <c r="F22110" t="s">
        <v>4</v>
      </c>
      <c r="G22110" t="str">
        <f>""</f>
        <v/>
      </c>
    </row>
    <row r="22111" spans="1:7" x14ac:dyDescent="0.25">
      <c r="A22111" t="s">
        <v>8</v>
      </c>
      <c r="B22111" s="1" t="str">
        <f>"000027481 - RICH FOODS-FORUM"</f>
        <v>000027481 - RICH FOODS-FORUM</v>
      </c>
      <c r="C22111" t="s">
        <v>94</v>
      </c>
      <c r="D22111" s="1" t="str">
        <f t="shared" si="606"/>
        <v>PRG-1049035</v>
      </c>
      <c r="E22111" t="s">
        <v>95</v>
      </c>
      <c r="F22111" t="s">
        <v>4</v>
      </c>
      <c r="G22111" t="str">
        <f>""</f>
        <v/>
      </c>
    </row>
    <row r="22112" spans="1:7" x14ac:dyDescent="0.25">
      <c r="A22112" t="s">
        <v>8</v>
      </c>
      <c r="B22112" s="1" t="str">
        <f>"000028535 - RICHS-FORUM"</f>
        <v>000028535 - RICHS-FORUM</v>
      </c>
      <c r="C22112" t="s">
        <v>389</v>
      </c>
      <c r="D22112" s="1" t="str">
        <f t="shared" si="606"/>
        <v>PRG-1049035</v>
      </c>
      <c r="E22112" t="s">
        <v>95</v>
      </c>
      <c r="F22112" t="s">
        <v>4</v>
      </c>
      <c r="G22112" t="str">
        <f>""</f>
        <v/>
      </c>
    </row>
    <row r="22113" spans="1:7" x14ac:dyDescent="0.25">
      <c r="A22113" t="s">
        <v>8</v>
      </c>
      <c r="B22113" s="1" t="str">
        <f>"000032122 - RICHS-FORUM"</f>
        <v>000032122 - RICHS-FORUM</v>
      </c>
      <c r="C22113" t="s">
        <v>389</v>
      </c>
      <c r="D22113" s="1" t="str">
        <f t="shared" si="606"/>
        <v>PRG-1049035</v>
      </c>
      <c r="E22113" t="s">
        <v>95</v>
      </c>
      <c r="F22113" t="s">
        <v>4</v>
      </c>
      <c r="G22113" t="str">
        <f>""</f>
        <v/>
      </c>
    </row>
    <row r="22114" spans="1:7" x14ac:dyDescent="0.25">
      <c r="A22114" t="s">
        <v>8</v>
      </c>
      <c r="B22114" s="1" t="str">
        <f>"000034829 - RICHS-FORUM"</f>
        <v>000034829 - RICHS-FORUM</v>
      </c>
      <c r="C22114" t="s">
        <v>389</v>
      </c>
      <c r="D22114" s="1" t="str">
        <f t="shared" si="606"/>
        <v>PRG-1049035</v>
      </c>
      <c r="E22114" t="s">
        <v>95</v>
      </c>
      <c r="F22114" t="s">
        <v>4</v>
      </c>
      <c r="G22114" t="str">
        <f>""</f>
        <v/>
      </c>
    </row>
    <row r="22115" spans="1:7" x14ac:dyDescent="0.25">
      <c r="A22115" t="s">
        <v>8</v>
      </c>
      <c r="B22115" s="1" t="str">
        <f>"000037258 - RICHS-FORUM"</f>
        <v>000037258 - RICHS-FORUM</v>
      </c>
      <c r="C22115" t="s">
        <v>389</v>
      </c>
      <c r="D22115" s="1" t="str">
        <f t="shared" si="606"/>
        <v>PRG-1049035</v>
      </c>
      <c r="E22115" t="s">
        <v>95</v>
      </c>
      <c r="F22115" t="s">
        <v>4</v>
      </c>
      <c r="G22115" t="str">
        <f>""</f>
        <v/>
      </c>
    </row>
    <row r="22116" spans="1:7" x14ac:dyDescent="0.25">
      <c r="A22116" t="s">
        <v>8</v>
      </c>
      <c r="B22116" s="1" t="str">
        <f>"000037313 - RICHS-FORUM"</f>
        <v>000037313 - RICHS-FORUM</v>
      </c>
      <c r="C22116" t="s">
        <v>389</v>
      </c>
      <c r="D22116" s="1" t="str">
        <f t="shared" si="606"/>
        <v>PRG-1049035</v>
      </c>
      <c r="E22116" t="s">
        <v>95</v>
      </c>
      <c r="F22116" t="s">
        <v>4</v>
      </c>
      <c r="G22116" t="str">
        <f>""</f>
        <v/>
      </c>
    </row>
    <row r="22117" spans="1:7" x14ac:dyDescent="0.25">
      <c r="A22117" t="s">
        <v>8</v>
      </c>
      <c r="B22117" s="1" t="str">
        <f>"000086723 - RICH FOODS-FORUM"</f>
        <v>000086723 - RICH FOODS-FORUM</v>
      </c>
      <c r="C22117" t="s">
        <v>94</v>
      </c>
      <c r="D22117" s="1" t="str">
        <f t="shared" si="606"/>
        <v>PRG-1049035</v>
      </c>
      <c r="E22117" t="s">
        <v>95</v>
      </c>
      <c r="F22117" t="s">
        <v>4</v>
      </c>
      <c r="G22117" t="str">
        <f>""</f>
        <v/>
      </c>
    </row>
    <row r="22118" spans="1:7" x14ac:dyDescent="0.25">
      <c r="A22118" t="s">
        <v>8</v>
      </c>
      <c r="B22118" s="1" t="str">
        <f>"000095744 - RICHS-FORUM"</f>
        <v>000095744 - RICHS-FORUM</v>
      </c>
      <c r="C22118" t="s">
        <v>389</v>
      </c>
      <c r="D22118" s="1" t="str">
        <f t="shared" si="606"/>
        <v>PRG-1049035</v>
      </c>
      <c r="E22118" t="s">
        <v>95</v>
      </c>
      <c r="F22118" t="s">
        <v>4</v>
      </c>
      <c r="G22118" t="str">
        <f>""</f>
        <v/>
      </c>
    </row>
    <row r="22119" spans="1:7" x14ac:dyDescent="0.25">
      <c r="A22119" t="s">
        <v>8</v>
      </c>
      <c r="B22119" s="1" t="str">
        <f>"000142010 - RICH FOODS-FORUM"</f>
        <v>000142010 - RICH FOODS-FORUM</v>
      </c>
      <c r="C22119" t="s">
        <v>94</v>
      </c>
      <c r="D22119" s="1" t="str">
        <f t="shared" si="606"/>
        <v>PRG-1049035</v>
      </c>
      <c r="E22119" t="s">
        <v>95</v>
      </c>
      <c r="F22119" t="s">
        <v>4</v>
      </c>
      <c r="G22119" t="str">
        <f>""</f>
        <v/>
      </c>
    </row>
    <row r="22120" spans="1:7" x14ac:dyDescent="0.25">
      <c r="A22120" t="s">
        <v>8</v>
      </c>
      <c r="B22120" s="1" t="str">
        <f>"000143194 - RICH FOODS-FORUM"</f>
        <v>000143194 - RICH FOODS-FORUM</v>
      </c>
      <c r="C22120" t="s">
        <v>94</v>
      </c>
      <c r="D22120" s="1" t="str">
        <f t="shared" si="606"/>
        <v>PRG-1049035</v>
      </c>
      <c r="E22120" t="s">
        <v>95</v>
      </c>
      <c r="F22120" t="s">
        <v>4</v>
      </c>
      <c r="G22120" t="str">
        <f>""</f>
        <v/>
      </c>
    </row>
    <row r="22121" spans="1:7" x14ac:dyDescent="0.25">
      <c r="A22121" t="s">
        <v>8</v>
      </c>
      <c r="B22121" s="1" t="str">
        <f>"000149605 - RICHS-FORUM"</f>
        <v>000149605 - RICHS-FORUM</v>
      </c>
      <c r="C22121" t="s">
        <v>389</v>
      </c>
      <c r="D22121" s="1" t="str">
        <f t="shared" si="606"/>
        <v>PRG-1049035</v>
      </c>
      <c r="E22121" t="s">
        <v>95</v>
      </c>
      <c r="F22121" t="s">
        <v>4</v>
      </c>
      <c r="G22121" t="str">
        <f>""</f>
        <v/>
      </c>
    </row>
    <row r="22122" spans="1:7" x14ac:dyDescent="0.25">
      <c r="A22122" t="s">
        <v>8</v>
      </c>
      <c r="B22122" s="1" t="str">
        <f>"000163629 - RICH FOODS-FORUM"</f>
        <v>000163629 - RICH FOODS-FORUM</v>
      </c>
      <c r="C22122" t="s">
        <v>94</v>
      </c>
      <c r="D22122" s="1" t="str">
        <f t="shared" si="606"/>
        <v>PRG-1049035</v>
      </c>
      <c r="E22122" t="s">
        <v>95</v>
      </c>
      <c r="F22122" t="s">
        <v>4</v>
      </c>
      <c r="G22122" t="str">
        <f>""</f>
        <v/>
      </c>
    </row>
    <row r="22123" spans="1:7" x14ac:dyDescent="0.25">
      <c r="A22123" t="s">
        <v>8</v>
      </c>
      <c r="B22123" s="1" t="str">
        <f>"000169825 - RICH FOODS-FORUM"</f>
        <v>000169825 - RICH FOODS-FORUM</v>
      </c>
      <c r="C22123" t="s">
        <v>94</v>
      </c>
      <c r="D22123" s="1" t="str">
        <f t="shared" si="606"/>
        <v>PRG-1049035</v>
      </c>
      <c r="E22123" t="s">
        <v>95</v>
      </c>
      <c r="F22123" t="s">
        <v>4</v>
      </c>
      <c r="G22123" t="str">
        <f>""</f>
        <v/>
      </c>
    </row>
    <row r="22124" spans="1:7" x14ac:dyDescent="0.25">
      <c r="A22124" t="s">
        <v>8</v>
      </c>
      <c r="B22124" s="1" t="str">
        <f>"000170844 - RICH FOODS-FORUM"</f>
        <v>000170844 - RICH FOODS-FORUM</v>
      </c>
      <c r="C22124" t="s">
        <v>94</v>
      </c>
      <c r="D22124" s="1" t="str">
        <f t="shared" si="606"/>
        <v>PRG-1049035</v>
      </c>
      <c r="E22124" t="s">
        <v>95</v>
      </c>
      <c r="F22124" t="s">
        <v>4</v>
      </c>
      <c r="G22124" t="str">
        <f>""</f>
        <v/>
      </c>
    </row>
    <row r="22125" spans="1:7" x14ac:dyDescent="0.25">
      <c r="A22125" t="s">
        <v>8</v>
      </c>
      <c r="B22125" s="1" t="str">
        <f>"000170874 - RICHS-FORUM"</f>
        <v>000170874 - RICHS-FORUM</v>
      </c>
      <c r="C22125" t="s">
        <v>389</v>
      </c>
      <c r="D22125" s="1" t="str">
        <f t="shared" si="606"/>
        <v>PRG-1049035</v>
      </c>
      <c r="E22125" t="s">
        <v>95</v>
      </c>
      <c r="F22125" t="s">
        <v>4</v>
      </c>
      <c r="G22125" t="str">
        <f>""</f>
        <v/>
      </c>
    </row>
    <row r="22126" spans="1:7" x14ac:dyDescent="0.25">
      <c r="A22126" t="s">
        <v>8</v>
      </c>
      <c r="B22126" s="1" t="str">
        <f>"000176125 - RICHS-FORUM"</f>
        <v>000176125 - RICHS-FORUM</v>
      </c>
      <c r="C22126" t="s">
        <v>389</v>
      </c>
      <c r="D22126" s="1" t="str">
        <f t="shared" si="606"/>
        <v>PRG-1049035</v>
      </c>
      <c r="E22126" t="s">
        <v>95</v>
      </c>
      <c r="F22126" t="s">
        <v>4</v>
      </c>
      <c r="G22126" t="str">
        <f>""</f>
        <v/>
      </c>
    </row>
    <row r="22127" spans="1:7" x14ac:dyDescent="0.25">
      <c r="A22127" t="s">
        <v>8</v>
      </c>
      <c r="B22127" s="1" t="str">
        <f>"000178836 - RICHS-FORUM"</f>
        <v>000178836 - RICHS-FORUM</v>
      </c>
      <c r="C22127" t="s">
        <v>389</v>
      </c>
      <c r="D22127" s="1" t="str">
        <f t="shared" si="606"/>
        <v>PRG-1049035</v>
      </c>
      <c r="E22127" t="s">
        <v>95</v>
      </c>
      <c r="F22127" t="s">
        <v>4</v>
      </c>
      <c r="G22127" t="str">
        <f>""</f>
        <v/>
      </c>
    </row>
    <row r="22128" spans="1:7" x14ac:dyDescent="0.25">
      <c r="A22128" t="s">
        <v>8</v>
      </c>
      <c r="B22128" s="1" t="str">
        <f>"000193897 - RICH FOODS NCORE BB-FORUM"</f>
        <v>000193897 - RICH FOODS NCORE BB-FORUM</v>
      </c>
      <c r="C22128" t="s">
        <v>249</v>
      </c>
      <c r="D22128" s="1" t="str">
        <f t="shared" si="606"/>
        <v>PRG-1049035</v>
      </c>
      <c r="E22128" t="s">
        <v>95</v>
      </c>
      <c r="F22128" t="s">
        <v>4</v>
      </c>
      <c r="G22128" t="str">
        <f>""</f>
        <v/>
      </c>
    </row>
    <row r="22129" spans="1:7" x14ac:dyDescent="0.25">
      <c r="A22129" t="s">
        <v>8</v>
      </c>
      <c r="B22129" s="1" t="str">
        <f>"000195569 - RICHS-FORUM"</f>
        <v>000195569 - RICHS-FORUM</v>
      </c>
      <c r="C22129" t="s">
        <v>389</v>
      </c>
      <c r="D22129" s="1" t="str">
        <f t="shared" si="606"/>
        <v>PRG-1049035</v>
      </c>
      <c r="E22129" t="s">
        <v>95</v>
      </c>
      <c r="F22129" t="s">
        <v>4</v>
      </c>
      <c r="G22129" t="str">
        <f>""</f>
        <v/>
      </c>
    </row>
    <row r="22130" spans="1:7" x14ac:dyDescent="0.25">
      <c r="A22130" t="s">
        <v>8</v>
      </c>
      <c r="B22130" s="1" t="str">
        <f>"000197150 - RICHS-FORUM"</f>
        <v>000197150 - RICHS-FORUM</v>
      </c>
      <c r="C22130" t="s">
        <v>389</v>
      </c>
      <c r="D22130" s="1" t="str">
        <f t="shared" si="606"/>
        <v>PRG-1049035</v>
      </c>
      <c r="E22130" t="s">
        <v>95</v>
      </c>
      <c r="F22130" t="s">
        <v>4</v>
      </c>
      <c r="G22130" t="str">
        <f>""</f>
        <v/>
      </c>
    </row>
    <row r="22131" spans="1:7" x14ac:dyDescent="0.25">
      <c r="A22131" t="s">
        <v>8</v>
      </c>
      <c r="B22131" s="1" t="str">
        <f>"000201923 - RICH FOODS CC-FORUM"</f>
        <v>000201923 - RICH FOODS CC-FORUM</v>
      </c>
      <c r="C22131" t="s">
        <v>231</v>
      </c>
      <c r="D22131" s="1" t="str">
        <f t="shared" si="606"/>
        <v>PRG-1049035</v>
      </c>
      <c r="E22131" t="s">
        <v>95</v>
      </c>
      <c r="F22131" t="s">
        <v>4</v>
      </c>
      <c r="G22131" t="str">
        <f>""</f>
        <v/>
      </c>
    </row>
    <row r="22132" spans="1:7" x14ac:dyDescent="0.25">
      <c r="A22132" t="s">
        <v>8</v>
      </c>
      <c r="B22132" s="1" t="str">
        <f>"000205344 - RICH FOODS-FORUM"</f>
        <v>000205344 - RICH FOODS-FORUM</v>
      </c>
      <c r="C22132" t="s">
        <v>94</v>
      </c>
      <c r="D22132" s="1" t="str">
        <f t="shared" si="606"/>
        <v>PRG-1049035</v>
      </c>
      <c r="E22132" t="s">
        <v>95</v>
      </c>
      <c r="F22132" t="s">
        <v>4</v>
      </c>
      <c r="G22132" t="str">
        <f>""</f>
        <v/>
      </c>
    </row>
    <row r="22133" spans="1:7" x14ac:dyDescent="0.25">
      <c r="A22133" t="s">
        <v>8</v>
      </c>
      <c r="B22133" s="1" t="str">
        <f>"000216022 - RICHS-FORUM"</f>
        <v>000216022 - RICHS-FORUM</v>
      </c>
      <c r="C22133" t="s">
        <v>389</v>
      </c>
      <c r="D22133" s="1" t="str">
        <f t="shared" si="606"/>
        <v>PRG-1049035</v>
      </c>
      <c r="E22133" t="s">
        <v>95</v>
      </c>
      <c r="F22133" t="s">
        <v>4</v>
      </c>
      <c r="G22133" t="str">
        <f>""</f>
        <v/>
      </c>
    </row>
    <row r="22134" spans="1:7" x14ac:dyDescent="0.25">
      <c r="A22134" t="s">
        <v>8</v>
      </c>
      <c r="B22134" s="1" t="str">
        <f>"000223398 - RICH FOODS NONCORE-FORUM"</f>
        <v>000223398 - RICH FOODS NONCORE-FORUM</v>
      </c>
      <c r="C22134" t="s">
        <v>919</v>
      </c>
      <c r="D22134" s="1" t="str">
        <f t="shared" si="606"/>
        <v>PRG-1049035</v>
      </c>
      <c r="E22134" t="s">
        <v>95</v>
      </c>
      <c r="F22134" t="s">
        <v>4</v>
      </c>
      <c r="G22134" t="str">
        <f>""</f>
        <v/>
      </c>
    </row>
    <row r="22135" spans="1:7" x14ac:dyDescent="0.25">
      <c r="A22135" t="s">
        <v>8</v>
      </c>
      <c r="B22135" s="1" t="str">
        <f>"000232397 - RICH FOODS-FORUM"</f>
        <v>000232397 - RICH FOODS-FORUM</v>
      </c>
      <c r="C22135" t="s">
        <v>94</v>
      </c>
      <c r="D22135" s="1" t="str">
        <f t="shared" si="606"/>
        <v>PRG-1049035</v>
      </c>
      <c r="E22135" t="s">
        <v>95</v>
      </c>
      <c r="F22135" t="s">
        <v>4</v>
      </c>
      <c r="G22135" t="str">
        <f>""</f>
        <v/>
      </c>
    </row>
    <row r="22136" spans="1:7" x14ac:dyDescent="0.25">
      <c r="A22136" t="s">
        <v>8</v>
      </c>
      <c r="B22136" s="1" t="str">
        <f>"000232534 - RICH FOODS-FORUM"</f>
        <v>000232534 - RICH FOODS-FORUM</v>
      </c>
      <c r="C22136" t="s">
        <v>94</v>
      </c>
      <c r="D22136" s="1" t="str">
        <f t="shared" si="606"/>
        <v>PRG-1049035</v>
      </c>
      <c r="E22136" t="s">
        <v>95</v>
      </c>
      <c r="F22136" t="s">
        <v>4</v>
      </c>
      <c r="G22136" t="str">
        <f>""</f>
        <v/>
      </c>
    </row>
    <row r="22137" spans="1:7" x14ac:dyDescent="0.25">
      <c r="A22137" t="s">
        <v>8</v>
      </c>
      <c r="B22137" s="1" t="str">
        <f>"000238268 - RICH FOODS-FORUM"</f>
        <v>000238268 - RICH FOODS-FORUM</v>
      </c>
      <c r="C22137" t="s">
        <v>94</v>
      </c>
      <c r="D22137" s="1" t="str">
        <f t="shared" si="606"/>
        <v>PRG-1049035</v>
      </c>
      <c r="E22137" t="s">
        <v>95</v>
      </c>
      <c r="F22137" t="s">
        <v>4</v>
      </c>
      <c r="G22137" t="str">
        <f>""</f>
        <v/>
      </c>
    </row>
    <row r="22138" spans="1:7" x14ac:dyDescent="0.25">
      <c r="A22138" t="s">
        <v>8</v>
      </c>
      <c r="B22138" s="1" t="str">
        <f>"000239681 - RICH FOODS-FORUM"</f>
        <v>000239681 - RICH FOODS-FORUM</v>
      </c>
      <c r="C22138" t="s">
        <v>94</v>
      </c>
      <c r="D22138" s="1" t="str">
        <f t="shared" ref="D22138:D22169" si="607">"PRG-1049035"</f>
        <v>PRG-1049035</v>
      </c>
      <c r="E22138" t="s">
        <v>95</v>
      </c>
      <c r="F22138" t="s">
        <v>4</v>
      </c>
      <c r="G22138" t="str">
        <f>""</f>
        <v/>
      </c>
    </row>
    <row r="22139" spans="1:7" x14ac:dyDescent="0.25">
      <c r="A22139" t="s">
        <v>8</v>
      </c>
      <c r="B22139" s="1" t="str">
        <f>"000240516 - RICH FOODS-FORUM"</f>
        <v>000240516 - RICH FOODS-FORUM</v>
      </c>
      <c r="C22139" t="s">
        <v>94</v>
      </c>
      <c r="D22139" s="1" t="str">
        <f t="shared" si="607"/>
        <v>PRG-1049035</v>
      </c>
      <c r="E22139" t="s">
        <v>95</v>
      </c>
      <c r="F22139" t="s">
        <v>4</v>
      </c>
      <c r="G22139" t="str">
        <f>""</f>
        <v/>
      </c>
    </row>
    <row r="22140" spans="1:7" x14ac:dyDescent="0.25">
      <c r="A22140" t="s">
        <v>8</v>
      </c>
      <c r="B22140" s="1" t="str">
        <f>"000241351 - RICHS-FORUM"</f>
        <v>000241351 - RICHS-FORUM</v>
      </c>
      <c r="C22140" t="s">
        <v>389</v>
      </c>
      <c r="D22140" s="1" t="str">
        <f t="shared" si="607"/>
        <v>PRG-1049035</v>
      </c>
      <c r="E22140" t="s">
        <v>95</v>
      </c>
      <c r="F22140" t="s">
        <v>4</v>
      </c>
      <c r="G22140" t="str">
        <f>""</f>
        <v/>
      </c>
    </row>
    <row r="22141" spans="1:7" x14ac:dyDescent="0.25">
      <c r="A22141" t="s">
        <v>8</v>
      </c>
      <c r="B22141" s="1" t="str">
        <f>"000245035 - RICH FOODS-FORUM"</f>
        <v>000245035 - RICH FOODS-FORUM</v>
      </c>
      <c r="C22141" t="s">
        <v>94</v>
      </c>
      <c r="D22141" s="1" t="str">
        <f t="shared" si="607"/>
        <v>PRG-1049035</v>
      </c>
      <c r="E22141" t="s">
        <v>95</v>
      </c>
      <c r="F22141" t="s">
        <v>4</v>
      </c>
      <c r="G22141" t="str">
        <f>""</f>
        <v/>
      </c>
    </row>
    <row r="22142" spans="1:7" x14ac:dyDescent="0.25">
      <c r="A22142" t="s">
        <v>8</v>
      </c>
      <c r="B22142" s="1" t="str">
        <f>"000245934 - RICH FOODS NONCORE-FORUM"</f>
        <v>000245934 - RICH FOODS NONCORE-FORUM</v>
      </c>
      <c r="C22142" t="s">
        <v>919</v>
      </c>
      <c r="D22142" s="1" t="str">
        <f t="shared" si="607"/>
        <v>PRG-1049035</v>
      </c>
      <c r="E22142" t="s">
        <v>95</v>
      </c>
      <c r="F22142" t="s">
        <v>4</v>
      </c>
      <c r="G22142" t="str">
        <f>""</f>
        <v/>
      </c>
    </row>
    <row r="22143" spans="1:7" x14ac:dyDescent="0.25">
      <c r="A22143" t="s">
        <v>8</v>
      </c>
      <c r="B22143" s="1" t="str">
        <f>"000250135 - RICH FOODS CC-FORUM"</f>
        <v>000250135 - RICH FOODS CC-FORUM</v>
      </c>
      <c r="C22143" t="s">
        <v>231</v>
      </c>
      <c r="D22143" s="1" t="str">
        <f t="shared" si="607"/>
        <v>PRG-1049035</v>
      </c>
      <c r="E22143" t="s">
        <v>95</v>
      </c>
      <c r="F22143" t="s">
        <v>4</v>
      </c>
      <c r="G22143" t="str">
        <f>""</f>
        <v/>
      </c>
    </row>
    <row r="22144" spans="1:7" x14ac:dyDescent="0.25">
      <c r="A22144" t="s">
        <v>8</v>
      </c>
      <c r="B22144" s="1" t="str">
        <f>"000250212 - RICHS-FORUM"</f>
        <v>000250212 - RICHS-FORUM</v>
      </c>
      <c r="C22144" t="s">
        <v>389</v>
      </c>
      <c r="D22144" s="1" t="str">
        <f t="shared" si="607"/>
        <v>PRG-1049035</v>
      </c>
      <c r="E22144" t="s">
        <v>95</v>
      </c>
      <c r="F22144" t="s">
        <v>4</v>
      </c>
      <c r="G22144" t="str">
        <f>""</f>
        <v/>
      </c>
    </row>
    <row r="22145" spans="1:7" x14ac:dyDescent="0.25">
      <c r="A22145" t="s">
        <v>8</v>
      </c>
      <c r="B22145" s="1" t="str">
        <f>"000251648 - RICHS-FORUM"</f>
        <v>000251648 - RICHS-FORUM</v>
      </c>
      <c r="C22145" t="s">
        <v>389</v>
      </c>
      <c r="D22145" s="1" t="str">
        <f t="shared" si="607"/>
        <v>PRG-1049035</v>
      </c>
      <c r="E22145" t="s">
        <v>95</v>
      </c>
      <c r="F22145" t="s">
        <v>4</v>
      </c>
      <c r="G22145" t="str">
        <f>""</f>
        <v/>
      </c>
    </row>
    <row r="22146" spans="1:7" x14ac:dyDescent="0.25">
      <c r="A22146" t="s">
        <v>8</v>
      </c>
      <c r="B22146" s="1" t="str">
        <f>"000254723 - RICH FOODS NCORE BB-FORUM"</f>
        <v>000254723 - RICH FOODS NCORE BB-FORUM</v>
      </c>
      <c r="C22146" t="s">
        <v>249</v>
      </c>
      <c r="D22146" s="1" t="str">
        <f t="shared" si="607"/>
        <v>PRG-1049035</v>
      </c>
      <c r="E22146" t="s">
        <v>95</v>
      </c>
      <c r="F22146" t="s">
        <v>4</v>
      </c>
      <c r="G22146" t="str">
        <f>""</f>
        <v/>
      </c>
    </row>
    <row r="22147" spans="1:7" x14ac:dyDescent="0.25">
      <c r="A22147" t="s">
        <v>8</v>
      </c>
      <c r="B22147" s="1" t="str">
        <f>"000255540 - RICH FOODS-FORUM"</f>
        <v>000255540 - RICH FOODS-FORUM</v>
      </c>
      <c r="C22147" t="s">
        <v>94</v>
      </c>
      <c r="D22147" s="1" t="str">
        <f t="shared" si="607"/>
        <v>PRG-1049035</v>
      </c>
      <c r="E22147" t="s">
        <v>95</v>
      </c>
      <c r="F22147" t="s">
        <v>4</v>
      </c>
      <c r="G22147" t="str">
        <f>""</f>
        <v/>
      </c>
    </row>
    <row r="22148" spans="1:7" x14ac:dyDescent="0.25">
      <c r="A22148" t="s">
        <v>8</v>
      </c>
      <c r="B22148" s="1" t="str">
        <f>"000256909 - BB FORUM FOB RICH"</f>
        <v>000256909 - BB FORUM FOB RICH</v>
      </c>
      <c r="C22148" t="s">
        <v>1613</v>
      </c>
      <c r="D22148" s="1" t="str">
        <f t="shared" si="607"/>
        <v>PRG-1049035</v>
      </c>
      <c r="E22148" t="s">
        <v>95</v>
      </c>
      <c r="F22148" t="s">
        <v>4</v>
      </c>
      <c r="G22148" t="str">
        <f>""</f>
        <v/>
      </c>
    </row>
    <row r="22149" spans="1:7" x14ac:dyDescent="0.25">
      <c r="A22149" t="s">
        <v>8</v>
      </c>
      <c r="B22149" s="1" t="str">
        <f>"000259946 - RICH FOODS-FORUM"</f>
        <v>000259946 - RICH FOODS-FORUM</v>
      </c>
      <c r="C22149" t="s">
        <v>94</v>
      </c>
      <c r="D22149" s="1" t="str">
        <f t="shared" si="607"/>
        <v>PRG-1049035</v>
      </c>
      <c r="E22149" t="s">
        <v>95</v>
      </c>
      <c r="F22149" t="s">
        <v>4</v>
      </c>
      <c r="G22149" t="str">
        <f>""</f>
        <v/>
      </c>
    </row>
    <row r="22150" spans="1:7" x14ac:dyDescent="0.25">
      <c r="A22150" t="s">
        <v>8</v>
      </c>
      <c r="B22150" s="1" t="str">
        <f>"000262034 - RICHS-FORUM"</f>
        <v>000262034 - RICHS-FORUM</v>
      </c>
      <c r="C22150" t="s">
        <v>389</v>
      </c>
      <c r="D22150" s="1" t="str">
        <f t="shared" si="607"/>
        <v>PRG-1049035</v>
      </c>
      <c r="E22150" t="s">
        <v>95</v>
      </c>
      <c r="F22150" t="s">
        <v>4</v>
      </c>
      <c r="G22150" t="str">
        <f>""</f>
        <v/>
      </c>
    </row>
    <row r="22151" spans="1:7" x14ac:dyDescent="0.25">
      <c r="A22151" t="s">
        <v>8</v>
      </c>
      <c r="B22151" s="1" t="str">
        <f>"000262483 - RICH FOODS-FORUM"</f>
        <v>000262483 - RICH FOODS-FORUM</v>
      </c>
      <c r="C22151" t="s">
        <v>94</v>
      </c>
      <c r="D22151" s="1" t="str">
        <f t="shared" si="607"/>
        <v>PRG-1049035</v>
      </c>
      <c r="E22151" t="s">
        <v>95</v>
      </c>
      <c r="F22151" t="s">
        <v>4</v>
      </c>
      <c r="G22151" t="str">
        <f>""</f>
        <v/>
      </c>
    </row>
    <row r="22152" spans="1:7" x14ac:dyDescent="0.25">
      <c r="A22152" t="s">
        <v>8</v>
      </c>
      <c r="B22152" s="1" t="str">
        <f>"000264052 - RICH FOODS-FORUM"</f>
        <v>000264052 - RICH FOODS-FORUM</v>
      </c>
      <c r="C22152" t="s">
        <v>94</v>
      </c>
      <c r="D22152" s="1" t="str">
        <f t="shared" si="607"/>
        <v>PRG-1049035</v>
      </c>
      <c r="E22152" t="s">
        <v>95</v>
      </c>
      <c r="F22152" t="s">
        <v>4</v>
      </c>
      <c r="G22152" t="str">
        <f>""</f>
        <v/>
      </c>
    </row>
    <row r="22153" spans="1:7" x14ac:dyDescent="0.25">
      <c r="A22153" t="s">
        <v>8</v>
      </c>
      <c r="B22153" s="1" t="str">
        <f>"000266302 - BB FORUM FOB RICHS"</f>
        <v>000266302 - BB FORUM FOB RICHS</v>
      </c>
      <c r="C22153" t="s">
        <v>2397</v>
      </c>
      <c r="D22153" s="1" t="str">
        <f t="shared" si="607"/>
        <v>PRG-1049035</v>
      </c>
      <c r="E22153" t="s">
        <v>95</v>
      </c>
      <c r="F22153" t="s">
        <v>4</v>
      </c>
      <c r="G22153" t="str">
        <f>""</f>
        <v/>
      </c>
    </row>
    <row r="22154" spans="1:7" x14ac:dyDescent="0.25">
      <c r="A22154" t="s">
        <v>8</v>
      </c>
      <c r="B22154" s="1" t="str">
        <f>"000268727 - RICH FOODS-FORUM"</f>
        <v>000268727 - RICH FOODS-FORUM</v>
      </c>
      <c r="C22154" t="s">
        <v>94</v>
      </c>
      <c r="D22154" s="1" t="str">
        <f t="shared" si="607"/>
        <v>PRG-1049035</v>
      </c>
      <c r="E22154" t="s">
        <v>95</v>
      </c>
      <c r="F22154" t="s">
        <v>4</v>
      </c>
      <c r="G22154" t="str">
        <f>""</f>
        <v/>
      </c>
    </row>
    <row r="22155" spans="1:7" x14ac:dyDescent="0.25">
      <c r="A22155" t="s">
        <v>8</v>
      </c>
      <c r="B22155" s="1" t="str">
        <f>"000271320 - RICH FOODS-FORUM"</f>
        <v>000271320 - RICH FOODS-FORUM</v>
      </c>
      <c r="C22155" t="s">
        <v>94</v>
      </c>
      <c r="D22155" s="1" t="str">
        <f t="shared" si="607"/>
        <v>PRG-1049035</v>
      </c>
      <c r="E22155" t="s">
        <v>95</v>
      </c>
      <c r="F22155" t="s">
        <v>4</v>
      </c>
      <c r="G22155" t="str">
        <f>""</f>
        <v/>
      </c>
    </row>
    <row r="22156" spans="1:7" x14ac:dyDescent="0.25">
      <c r="A22156" t="s">
        <v>8</v>
      </c>
      <c r="B22156" s="1" t="str">
        <f>"000271513 - RICH FOODS-FORUM"</f>
        <v>000271513 - RICH FOODS-FORUM</v>
      </c>
      <c r="C22156" t="s">
        <v>94</v>
      </c>
      <c r="D22156" s="1" t="str">
        <f t="shared" si="607"/>
        <v>PRG-1049035</v>
      </c>
      <c r="E22156" t="s">
        <v>95</v>
      </c>
      <c r="F22156" t="s">
        <v>4</v>
      </c>
      <c r="G22156" t="str">
        <f>""</f>
        <v/>
      </c>
    </row>
    <row r="22157" spans="1:7" x14ac:dyDescent="0.25">
      <c r="A22157" t="s">
        <v>8</v>
      </c>
      <c r="B22157" s="1" t="str">
        <f>"000272748 - RICHS-FORUM"</f>
        <v>000272748 - RICHS-FORUM</v>
      </c>
      <c r="C22157" t="s">
        <v>389</v>
      </c>
      <c r="D22157" s="1" t="str">
        <f t="shared" si="607"/>
        <v>PRG-1049035</v>
      </c>
      <c r="E22157" t="s">
        <v>95</v>
      </c>
      <c r="F22157" t="s">
        <v>4</v>
      </c>
      <c r="G22157" t="str">
        <f>""</f>
        <v/>
      </c>
    </row>
    <row r="22158" spans="1:7" x14ac:dyDescent="0.25">
      <c r="A22158" t="s">
        <v>8</v>
      </c>
      <c r="B22158" s="1" t="str">
        <f>"000273050 - RICHS-FORUM"</f>
        <v>000273050 - RICHS-FORUM</v>
      </c>
      <c r="C22158" t="s">
        <v>389</v>
      </c>
      <c r="D22158" s="1" t="str">
        <f t="shared" si="607"/>
        <v>PRG-1049035</v>
      </c>
      <c r="E22158" t="s">
        <v>95</v>
      </c>
      <c r="F22158" t="s">
        <v>4</v>
      </c>
      <c r="G22158" t="str">
        <f>""</f>
        <v/>
      </c>
    </row>
    <row r="22159" spans="1:7" x14ac:dyDescent="0.25">
      <c r="A22159" t="s">
        <v>8</v>
      </c>
      <c r="B22159" s="1" t="str">
        <f>"000273164 - RICH FOODS-FORUM"</f>
        <v>000273164 - RICH FOODS-FORUM</v>
      </c>
      <c r="C22159" t="s">
        <v>94</v>
      </c>
      <c r="D22159" s="1" t="str">
        <f t="shared" si="607"/>
        <v>PRG-1049035</v>
      </c>
      <c r="E22159" t="s">
        <v>95</v>
      </c>
      <c r="F22159" t="s">
        <v>4</v>
      </c>
      <c r="G22159" t="str">
        <f>""</f>
        <v/>
      </c>
    </row>
    <row r="22160" spans="1:7" x14ac:dyDescent="0.25">
      <c r="A22160" t="s">
        <v>8</v>
      </c>
      <c r="B22160" s="1" t="str">
        <f>"000278641 - RICHS-FORUM"</f>
        <v>000278641 - RICHS-FORUM</v>
      </c>
      <c r="C22160" t="s">
        <v>389</v>
      </c>
      <c r="D22160" s="1" t="str">
        <f t="shared" si="607"/>
        <v>PRG-1049035</v>
      </c>
      <c r="E22160" t="s">
        <v>95</v>
      </c>
      <c r="F22160" t="s">
        <v>4</v>
      </c>
      <c r="G22160" t="str">
        <f>""</f>
        <v/>
      </c>
    </row>
    <row r="22161" spans="1:7" x14ac:dyDescent="0.25">
      <c r="A22161" t="s">
        <v>8</v>
      </c>
      <c r="B22161" s="1" t="str">
        <f>"000280289 - RICH FDS NCORE BB-FORUM"</f>
        <v>000280289 - RICH FDS NCORE BB-FORUM</v>
      </c>
      <c r="C22161" t="s">
        <v>941</v>
      </c>
      <c r="D22161" s="1" t="str">
        <f t="shared" si="607"/>
        <v>PRG-1049035</v>
      </c>
      <c r="E22161" t="s">
        <v>95</v>
      </c>
      <c r="F22161" t="s">
        <v>4</v>
      </c>
      <c r="G22161" t="str">
        <f>""</f>
        <v/>
      </c>
    </row>
    <row r="22162" spans="1:7" x14ac:dyDescent="0.25">
      <c r="A22162" t="s">
        <v>8</v>
      </c>
      <c r="B22162" s="1" t="str">
        <f>"000280473 - RICH FOODS-FORUM"</f>
        <v>000280473 - RICH FOODS-FORUM</v>
      </c>
      <c r="C22162" t="s">
        <v>94</v>
      </c>
      <c r="D22162" s="1" t="str">
        <f t="shared" si="607"/>
        <v>PRG-1049035</v>
      </c>
      <c r="E22162" t="s">
        <v>95</v>
      </c>
      <c r="F22162" t="s">
        <v>4</v>
      </c>
      <c r="G22162" t="str">
        <f>""</f>
        <v/>
      </c>
    </row>
    <row r="22163" spans="1:7" x14ac:dyDescent="0.25">
      <c r="A22163" t="s">
        <v>8</v>
      </c>
      <c r="B22163" s="1" t="str">
        <f>"000281720 - RICH FOODS-FORUM"</f>
        <v>000281720 - RICH FOODS-FORUM</v>
      </c>
      <c r="C22163" t="s">
        <v>94</v>
      </c>
      <c r="D22163" s="1" t="str">
        <f t="shared" si="607"/>
        <v>PRG-1049035</v>
      </c>
      <c r="E22163" t="s">
        <v>95</v>
      </c>
      <c r="F22163" t="s">
        <v>4</v>
      </c>
      <c r="G22163" t="str">
        <f>""</f>
        <v/>
      </c>
    </row>
    <row r="22164" spans="1:7" x14ac:dyDescent="0.25">
      <c r="A22164" t="s">
        <v>8</v>
      </c>
      <c r="B22164" s="1" t="str">
        <f>"000284818 - RICH FOODS-FORUM"</f>
        <v>000284818 - RICH FOODS-FORUM</v>
      </c>
      <c r="C22164" t="s">
        <v>94</v>
      </c>
      <c r="D22164" s="1" t="str">
        <f t="shared" si="607"/>
        <v>PRG-1049035</v>
      </c>
      <c r="E22164" t="s">
        <v>95</v>
      </c>
      <c r="F22164" t="s">
        <v>4</v>
      </c>
      <c r="G22164" t="str">
        <f>""</f>
        <v/>
      </c>
    </row>
    <row r="22165" spans="1:7" x14ac:dyDescent="0.25">
      <c r="A22165" t="s">
        <v>8</v>
      </c>
      <c r="B22165" s="1" t="str">
        <f>"000285076 - RICHS-FORUM"</f>
        <v>000285076 - RICHS-FORUM</v>
      </c>
      <c r="C22165" t="s">
        <v>389</v>
      </c>
      <c r="D22165" s="1" t="str">
        <f t="shared" si="607"/>
        <v>PRG-1049035</v>
      </c>
      <c r="E22165" t="s">
        <v>95</v>
      </c>
      <c r="F22165" t="s">
        <v>4</v>
      </c>
      <c r="G22165" t="str">
        <f>""</f>
        <v/>
      </c>
    </row>
    <row r="22166" spans="1:7" x14ac:dyDescent="0.25">
      <c r="A22166" t="s">
        <v>8</v>
      </c>
      <c r="B22166" s="1" t="str">
        <f>"000286706 - RICH FOODS-FORUM"</f>
        <v>000286706 - RICH FOODS-FORUM</v>
      </c>
      <c r="C22166" t="s">
        <v>94</v>
      </c>
      <c r="D22166" s="1" t="str">
        <f t="shared" si="607"/>
        <v>PRG-1049035</v>
      </c>
      <c r="E22166" t="s">
        <v>95</v>
      </c>
      <c r="F22166" t="s">
        <v>4</v>
      </c>
      <c r="G22166" t="str">
        <f>""</f>
        <v/>
      </c>
    </row>
    <row r="22167" spans="1:7" x14ac:dyDescent="0.25">
      <c r="A22167" t="s">
        <v>8</v>
      </c>
      <c r="B22167" s="1" t="str">
        <f>"000288525 - RICH FOODS-FORUM"</f>
        <v>000288525 - RICH FOODS-FORUM</v>
      </c>
      <c r="C22167" t="s">
        <v>94</v>
      </c>
      <c r="D22167" s="1" t="str">
        <f t="shared" si="607"/>
        <v>PRG-1049035</v>
      </c>
      <c r="E22167" t="s">
        <v>95</v>
      </c>
      <c r="F22167" t="s">
        <v>4</v>
      </c>
      <c r="G22167" t="str">
        <f>""</f>
        <v/>
      </c>
    </row>
    <row r="22168" spans="1:7" x14ac:dyDescent="0.25">
      <c r="A22168" t="s">
        <v>8</v>
      </c>
      <c r="B22168" s="1" t="str">
        <f>"000288939 - RICH FOODS-FORUM"</f>
        <v>000288939 - RICH FOODS-FORUM</v>
      </c>
      <c r="C22168" t="s">
        <v>94</v>
      </c>
      <c r="D22168" s="1" t="str">
        <f t="shared" si="607"/>
        <v>PRG-1049035</v>
      </c>
      <c r="E22168" t="s">
        <v>95</v>
      </c>
      <c r="F22168" t="s">
        <v>4</v>
      </c>
      <c r="G22168" t="str">
        <f>""</f>
        <v/>
      </c>
    </row>
    <row r="22169" spans="1:7" x14ac:dyDescent="0.25">
      <c r="A22169" t="s">
        <v>8</v>
      </c>
      <c r="B22169" s="1" t="str">
        <f>"000288956 - RICH FOODS-FORUM"</f>
        <v>000288956 - RICH FOODS-FORUM</v>
      </c>
      <c r="C22169" t="s">
        <v>94</v>
      </c>
      <c r="D22169" s="1" t="str">
        <f t="shared" si="607"/>
        <v>PRG-1049035</v>
      </c>
      <c r="E22169" t="s">
        <v>95</v>
      </c>
      <c r="F22169" t="s">
        <v>4</v>
      </c>
      <c r="G22169" t="str">
        <f>""</f>
        <v/>
      </c>
    </row>
    <row r="22170" spans="1:7" x14ac:dyDescent="0.25">
      <c r="A22170" t="s">
        <v>8</v>
      </c>
      <c r="B22170" s="1" t="str">
        <f>"000289186 - RICHS-FORUM"</f>
        <v>000289186 - RICHS-FORUM</v>
      </c>
      <c r="C22170" t="s">
        <v>389</v>
      </c>
      <c r="D22170" s="1" t="str">
        <f t="shared" ref="D22170:D22201" si="608">"PRG-1049035"</f>
        <v>PRG-1049035</v>
      </c>
      <c r="E22170" t="s">
        <v>95</v>
      </c>
      <c r="F22170" t="s">
        <v>4</v>
      </c>
      <c r="G22170" t="str">
        <f>""</f>
        <v/>
      </c>
    </row>
    <row r="22171" spans="1:7" x14ac:dyDescent="0.25">
      <c r="A22171" t="s">
        <v>8</v>
      </c>
      <c r="B22171" s="1" t="str">
        <f>"000291023 - RICH FOODS-FORUM"</f>
        <v>000291023 - RICH FOODS-FORUM</v>
      </c>
      <c r="C22171" t="s">
        <v>94</v>
      </c>
      <c r="D22171" s="1" t="str">
        <f t="shared" si="608"/>
        <v>PRG-1049035</v>
      </c>
      <c r="E22171" t="s">
        <v>95</v>
      </c>
      <c r="F22171" t="s">
        <v>4</v>
      </c>
      <c r="G22171" t="str">
        <f>""</f>
        <v/>
      </c>
    </row>
    <row r="22172" spans="1:7" x14ac:dyDescent="0.25">
      <c r="A22172" t="s">
        <v>8</v>
      </c>
      <c r="B22172" s="1" t="str">
        <f>"000291064 - RICH FOODS-FORUM"</f>
        <v>000291064 - RICH FOODS-FORUM</v>
      </c>
      <c r="C22172" t="s">
        <v>94</v>
      </c>
      <c r="D22172" s="1" t="str">
        <f t="shared" si="608"/>
        <v>PRG-1049035</v>
      </c>
      <c r="E22172" t="s">
        <v>95</v>
      </c>
      <c r="F22172" t="s">
        <v>4</v>
      </c>
      <c r="G22172" t="str">
        <f>""</f>
        <v/>
      </c>
    </row>
    <row r="22173" spans="1:7" x14ac:dyDescent="0.25">
      <c r="A22173" t="s">
        <v>8</v>
      </c>
      <c r="B22173" s="1" t="str">
        <f>"000291500 - RICH FOODS-FORUM"</f>
        <v>000291500 - RICH FOODS-FORUM</v>
      </c>
      <c r="C22173" t="s">
        <v>94</v>
      </c>
      <c r="D22173" s="1" t="str">
        <f t="shared" si="608"/>
        <v>PRG-1049035</v>
      </c>
      <c r="E22173" t="s">
        <v>95</v>
      </c>
      <c r="F22173" t="s">
        <v>4</v>
      </c>
      <c r="G22173" t="str">
        <f>""</f>
        <v/>
      </c>
    </row>
    <row r="22174" spans="1:7" x14ac:dyDescent="0.25">
      <c r="A22174" t="s">
        <v>8</v>
      </c>
      <c r="B22174" s="1" t="str">
        <f>"000293904 - RICH FOODS-FORUM"</f>
        <v>000293904 - RICH FOODS-FORUM</v>
      </c>
      <c r="C22174" t="s">
        <v>94</v>
      </c>
      <c r="D22174" s="1" t="str">
        <f t="shared" si="608"/>
        <v>PRG-1049035</v>
      </c>
      <c r="E22174" t="s">
        <v>95</v>
      </c>
      <c r="F22174" t="s">
        <v>4</v>
      </c>
      <c r="G22174" t="str">
        <f>""</f>
        <v/>
      </c>
    </row>
    <row r="22175" spans="1:7" x14ac:dyDescent="0.25">
      <c r="A22175" t="s">
        <v>8</v>
      </c>
      <c r="B22175" s="1" t="str">
        <f>"000295264 - RICH FOODS NONCORE-FORUM"</f>
        <v>000295264 - RICH FOODS NONCORE-FORUM</v>
      </c>
      <c r="C22175" t="s">
        <v>919</v>
      </c>
      <c r="D22175" s="1" t="str">
        <f t="shared" si="608"/>
        <v>PRG-1049035</v>
      </c>
      <c r="E22175" t="s">
        <v>95</v>
      </c>
      <c r="F22175" t="s">
        <v>4</v>
      </c>
      <c r="G22175" t="str">
        <f>""</f>
        <v/>
      </c>
    </row>
    <row r="22176" spans="1:7" x14ac:dyDescent="0.25">
      <c r="A22176" t="s">
        <v>8</v>
      </c>
      <c r="B22176" s="1" t="str">
        <f>"000299165 - RICHS-FORUM"</f>
        <v>000299165 - RICHS-FORUM</v>
      </c>
      <c r="C22176" t="s">
        <v>389</v>
      </c>
      <c r="D22176" s="1" t="str">
        <f t="shared" si="608"/>
        <v>PRG-1049035</v>
      </c>
      <c r="E22176" t="s">
        <v>95</v>
      </c>
      <c r="F22176" t="s">
        <v>4</v>
      </c>
      <c r="G22176" t="str">
        <f>""</f>
        <v/>
      </c>
    </row>
    <row r="22177" spans="1:7" x14ac:dyDescent="0.25">
      <c r="A22177" t="s">
        <v>8</v>
      </c>
      <c r="B22177" s="1" t="str">
        <f>"000302929 - RICHS-FORUM"</f>
        <v>000302929 - RICHS-FORUM</v>
      </c>
      <c r="C22177" t="s">
        <v>389</v>
      </c>
      <c r="D22177" s="1" t="str">
        <f t="shared" si="608"/>
        <v>PRG-1049035</v>
      </c>
      <c r="E22177" t="s">
        <v>95</v>
      </c>
      <c r="F22177" t="s">
        <v>4</v>
      </c>
      <c r="G22177" t="str">
        <f>""</f>
        <v/>
      </c>
    </row>
    <row r="22178" spans="1:7" x14ac:dyDescent="0.25">
      <c r="A22178" t="s">
        <v>8</v>
      </c>
      <c r="B22178" s="1" t="str">
        <f>"000305123 - RICH FOODS NONCORE-FORUM"</f>
        <v>000305123 - RICH FOODS NONCORE-FORUM</v>
      </c>
      <c r="C22178" t="s">
        <v>919</v>
      </c>
      <c r="D22178" s="1" t="str">
        <f t="shared" si="608"/>
        <v>PRG-1049035</v>
      </c>
      <c r="E22178" t="s">
        <v>95</v>
      </c>
      <c r="F22178" t="s">
        <v>4</v>
      </c>
      <c r="G22178" t="str">
        <f>""</f>
        <v/>
      </c>
    </row>
    <row r="22179" spans="1:7" x14ac:dyDescent="0.25">
      <c r="A22179" t="s">
        <v>8</v>
      </c>
      <c r="B22179" s="1" t="str">
        <f>"000305394 - RICH FOODS CC-FORUM"</f>
        <v>000305394 - RICH FOODS CC-FORUM</v>
      </c>
      <c r="C22179" t="s">
        <v>231</v>
      </c>
      <c r="D22179" s="1" t="str">
        <f t="shared" si="608"/>
        <v>PRG-1049035</v>
      </c>
      <c r="E22179" t="s">
        <v>95</v>
      </c>
      <c r="F22179" t="s">
        <v>4</v>
      </c>
      <c r="G22179" t="str">
        <f>""</f>
        <v/>
      </c>
    </row>
    <row r="22180" spans="1:7" x14ac:dyDescent="0.25">
      <c r="A22180" t="s">
        <v>8</v>
      </c>
      <c r="B22180" s="1" t="str">
        <f>"000305598 - RICH FDS NCORE BB-FORUM"</f>
        <v>000305598 - RICH FDS NCORE BB-FORUM</v>
      </c>
      <c r="C22180" t="s">
        <v>941</v>
      </c>
      <c r="D22180" s="1" t="str">
        <f t="shared" si="608"/>
        <v>PRG-1049035</v>
      </c>
      <c r="E22180" t="s">
        <v>95</v>
      </c>
      <c r="F22180" t="s">
        <v>4</v>
      </c>
      <c r="G22180" t="str">
        <f>""</f>
        <v/>
      </c>
    </row>
    <row r="22181" spans="1:7" x14ac:dyDescent="0.25">
      <c r="A22181" t="s">
        <v>8</v>
      </c>
      <c r="B22181" s="1" t="str">
        <f>"000308689 - RICH FOODS-FORUM"</f>
        <v>000308689 - RICH FOODS-FORUM</v>
      </c>
      <c r="C22181" t="s">
        <v>94</v>
      </c>
      <c r="D22181" s="1" t="str">
        <f t="shared" si="608"/>
        <v>PRG-1049035</v>
      </c>
      <c r="E22181" t="s">
        <v>95</v>
      </c>
      <c r="F22181" t="s">
        <v>4</v>
      </c>
      <c r="G22181" t="str">
        <f>""</f>
        <v/>
      </c>
    </row>
    <row r="22182" spans="1:7" x14ac:dyDescent="0.25">
      <c r="A22182" t="s">
        <v>8</v>
      </c>
      <c r="B22182" s="1" t="str">
        <f>"000310097 - RICH FOODS NONCORE-FORUM"</f>
        <v>000310097 - RICH FOODS NONCORE-FORUM</v>
      </c>
      <c r="C22182" t="s">
        <v>919</v>
      </c>
      <c r="D22182" s="1" t="str">
        <f t="shared" si="608"/>
        <v>PRG-1049035</v>
      </c>
      <c r="E22182" t="s">
        <v>95</v>
      </c>
      <c r="F22182" t="s">
        <v>4</v>
      </c>
      <c r="G22182" t="str">
        <f>""</f>
        <v/>
      </c>
    </row>
    <row r="22183" spans="1:7" x14ac:dyDescent="0.25">
      <c r="A22183" t="s">
        <v>8</v>
      </c>
      <c r="B22183" s="1" t="str">
        <f>"000311727 - RICH FOODS NONCORE-FORUM"</f>
        <v>000311727 - RICH FOODS NONCORE-FORUM</v>
      </c>
      <c r="C22183" t="s">
        <v>919</v>
      </c>
      <c r="D22183" s="1" t="str">
        <f t="shared" si="608"/>
        <v>PRG-1049035</v>
      </c>
      <c r="E22183" t="s">
        <v>95</v>
      </c>
      <c r="F22183" t="s">
        <v>4</v>
      </c>
      <c r="G22183" t="str">
        <f>""</f>
        <v/>
      </c>
    </row>
    <row r="22184" spans="1:7" x14ac:dyDescent="0.25">
      <c r="A22184" t="s">
        <v>8</v>
      </c>
      <c r="B22184" s="1" t="str">
        <f>"000312873 - RICH FDS NCORE BB-FORUM"</f>
        <v>000312873 - RICH FDS NCORE BB-FORUM</v>
      </c>
      <c r="C22184" t="s">
        <v>941</v>
      </c>
      <c r="D22184" s="1" t="str">
        <f t="shared" si="608"/>
        <v>PRG-1049035</v>
      </c>
      <c r="E22184" t="s">
        <v>95</v>
      </c>
      <c r="F22184" t="s">
        <v>4</v>
      </c>
      <c r="G22184" t="str">
        <f>""</f>
        <v/>
      </c>
    </row>
    <row r="22185" spans="1:7" x14ac:dyDescent="0.25">
      <c r="A22185" t="s">
        <v>8</v>
      </c>
      <c r="B22185" s="1" t="str">
        <f>"000313982 - RICH FOODS-FORUM"</f>
        <v>000313982 - RICH FOODS-FORUM</v>
      </c>
      <c r="C22185" t="s">
        <v>94</v>
      </c>
      <c r="D22185" s="1" t="str">
        <f t="shared" si="608"/>
        <v>PRG-1049035</v>
      </c>
      <c r="E22185" t="s">
        <v>95</v>
      </c>
      <c r="F22185" t="s">
        <v>4</v>
      </c>
      <c r="G22185" t="str">
        <f>""</f>
        <v/>
      </c>
    </row>
    <row r="22186" spans="1:7" x14ac:dyDescent="0.25">
      <c r="A22186" t="s">
        <v>8</v>
      </c>
      <c r="B22186" s="1" t="str">
        <f>"000314135 - RICH FOODS NCORE BB-FORUM"</f>
        <v>000314135 - RICH FOODS NCORE BB-FORUM</v>
      </c>
      <c r="C22186" t="s">
        <v>249</v>
      </c>
      <c r="D22186" s="1" t="str">
        <f t="shared" si="608"/>
        <v>PRG-1049035</v>
      </c>
      <c r="E22186" t="s">
        <v>95</v>
      </c>
      <c r="F22186" t="s">
        <v>4</v>
      </c>
      <c r="G22186" t="str">
        <f>""</f>
        <v/>
      </c>
    </row>
    <row r="22187" spans="1:7" x14ac:dyDescent="0.25">
      <c r="A22187" t="s">
        <v>8</v>
      </c>
      <c r="B22187" s="1" t="str">
        <f>"000317347 - RICH FOODS-FORUM"</f>
        <v>000317347 - RICH FOODS-FORUM</v>
      </c>
      <c r="C22187" t="s">
        <v>94</v>
      </c>
      <c r="D22187" s="1" t="str">
        <f t="shared" si="608"/>
        <v>PRG-1049035</v>
      </c>
      <c r="E22187" t="s">
        <v>95</v>
      </c>
      <c r="F22187" t="s">
        <v>4</v>
      </c>
      <c r="G22187" t="str">
        <f>""</f>
        <v/>
      </c>
    </row>
    <row r="22188" spans="1:7" x14ac:dyDescent="0.25">
      <c r="A22188" t="s">
        <v>8</v>
      </c>
      <c r="B22188" s="1" t="str">
        <f>"000319726 - RICHS-FORUM"</f>
        <v>000319726 - RICHS-FORUM</v>
      </c>
      <c r="C22188" t="s">
        <v>389</v>
      </c>
      <c r="D22188" s="1" t="str">
        <f t="shared" si="608"/>
        <v>PRG-1049035</v>
      </c>
      <c r="E22188" t="s">
        <v>95</v>
      </c>
      <c r="F22188" t="s">
        <v>4</v>
      </c>
      <c r="G22188" t="str">
        <f>""</f>
        <v/>
      </c>
    </row>
    <row r="22189" spans="1:7" x14ac:dyDescent="0.25">
      <c r="A22189" t="s">
        <v>8</v>
      </c>
      <c r="B22189" s="1" t="str">
        <f>"000321051 - RICH FOODS-FORUM"</f>
        <v>000321051 - RICH FOODS-FORUM</v>
      </c>
      <c r="C22189" t="s">
        <v>94</v>
      </c>
      <c r="D22189" s="1" t="str">
        <f t="shared" si="608"/>
        <v>PRG-1049035</v>
      </c>
      <c r="E22189" t="s">
        <v>95</v>
      </c>
      <c r="F22189" t="s">
        <v>4</v>
      </c>
      <c r="G22189" t="str">
        <f>""</f>
        <v/>
      </c>
    </row>
    <row r="22190" spans="1:7" x14ac:dyDescent="0.25">
      <c r="A22190" t="s">
        <v>8</v>
      </c>
      <c r="B22190" s="1" t="str">
        <f>"000322570 - RICH FOODS NONCORE-FORUM"</f>
        <v>000322570 - RICH FOODS NONCORE-FORUM</v>
      </c>
      <c r="C22190" t="s">
        <v>919</v>
      </c>
      <c r="D22190" s="1" t="str">
        <f t="shared" si="608"/>
        <v>PRG-1049035</v>
      </c>
      <c r="E22190" t="s">
        <v>95</v>
      </c>
      <c r="F22190" t="s">
        <v>4</v>
      </c>
      <c r="G22190" t="str">
        <f>""</f>
        <v/>
      </c>
    </row>
    <row r="22191" spans="1:7" x14ac:dyDescent="0.25">
      <c r="A22191" t="s">
        <v>8</v>
      </c>
      <c r="B22191" s="1" t="str">
        <f>"000323488 - RICHS-FORUM"</f>
        <v>000323488 - RICHS-FORUM</v>
      </c>
      <c r="C22191" t="s">
        <v>389</v>
      </c>
      <c r="D22191" s="1" t="str">
        <f t="shared" si="608"/>
        <v>PRG-1049035</v>
      </c>
      <c r="E22191" t="s">
        <v>95</v>
      </c>
      <c r="F22191" t="s">
        <v>4</v>
      </c>
      <c r="G22191" t="str">
        <f>""</f>
        <v/>
      </c>
    </row>
    <row r="22192" spans="1:7" x14ac:dyDescent="0.25">
      <c r="A22192" t="s">
        <v>8</v>
      </c>
      <c r="B22192" s="1" t="str">
        <f>"000323589 - RICH FOODS-FORUM"</f>
        <v>000323589 - RICH FOODS-FORUM</v>
      </c>
      <c r="C22192" t="s">
        <v>94</v>
      </c>
      <c r="D22192" s="1" t="str">
        <f t="shared" si="608"/>
        <v>PRG-1049035</v>
      </c>
      <c r="E22192" t="s">
        <v>95</v>
      </c>
      <c r="F22192" t="s">
        <v>4</v>
      </c>
      <c r="G22192" t="str">
        <f>""</f>
        <v/>
      </c>
    </row>
    <row r="22193" spans="1:7" x14ac:dyDescent="0.25">
      <c r="A22193" t="s">
        <v>8</v>
      </c>
      <c r="B22193" s="1" t="str">
        <f>"000325464 - RICH FOODS-FORUM"</f>
        <v>000325464 - RICH FOODS-FORUM</v>
      </c>
      <c r="C22193" t="s">
        <v>94</v>
      </c>
      <c r="D22193" s="1" t="str">
        <f t="shared" si="608"/>
        <v>PRG-1049035</v>
      </c>
      <c r="E22193" t="s">
        <v>95</v>
      </c>
      <c r="F22193" t="s">
        <v>4</v>
      </c>
      <c r="G22193" t="str">
        <f>""</f>
        <v/>
      </c>
    </row>
    <row r="22194" spans="1:7" x14ac:dyDescent="0.25">
      <c r="A22194" t="s">
        <v>8</v>
      </c>
      <c r="B22194" s="1" t="str">
        <f>"000325671 - RICH FOODS CC-FORUM"</f>
        <v>000325671 - RICH FOODS CC-FORUM</v>
      </c>
      <c r="C22194" t="s">
        <v>231</v>
      </c>
      <c r="D22194" s="1" t="str">
        <f t="shared" si="608"/>
        <v>PRG-1049035</v>
      </c>
      <c r="E22194" t="s">
        <v>95</v>
      </c>
      <c r="F22194" t="s">
        <v>4</v>
      </c>
      <c r="G22194" t="str">
        <f>""</f>
        <v/>
      </c>
    </row>
    <row r="22195" spans="1:7" x14ac:dyDescent="0.25">
      <c r="A22195" t="s">
        <v>8</v>
      </c>
      <c r="B22195" s="1" t="str">
        <f>"000325938 - RICH FOODS NCORE BB-FORUM"</f>
        <v>000325938 - RICH FOODS NCORE BB-FORUM</v>
      </c>
      <c r="C22195" t="s">
        <v>249</v>
      </c>
      <c r="D22195" s="1" t="str">
        <f t="shared" si="608"/>
        <v>PRG-1049035</v>
      </c>
      <c r="E22195" t="s">
        <v>95</v>
      </c>
      <c r="F22195" t="s">
        <v>4</v>
      </c>
      <c r="G22195" t="str">
        <f>""</f>
        <v/>
      </c>
    </row>
    <row r="22196" spans="1:7" x14ac:dyDescent="0.25">
      <c r="A22196" t="s">
        <v>8</v>
      </c>
      <c r="B22196" s="1" t="str">
        <f>"000326793 - RICHS-FORUM"</f>
        <v>000326793 - RICHS-FORUM</v>
      </c>
      <c r="C22196" t="s">
        <v>389</v>
      </c>
      <c r="D22196" s="1" t="str">
        <f t="shared" si="608"/>
        <v>PRG-1049035</v>
      </c>
      <c r="E22196" t="s">
        <v>95</v>
      </c>
      <c r="F22196" t="s">
        <v>4</v>
      </c>
      <c r="G22196" t="str">
        <f>""</f>
        <v/>
      </c>
    </row>
    <row r="22197" spans="1:7" x14ac:dyDescent="0.25">
      <c r="A22197" t="s">
        <v>8</v>
      </c>
      <c r="B22197" s="1" t="str">
        <f>"000327869 - RICHS-FORUM"</f>
        <v>000327869 - RICHS-FORUM</v>
      </c>
      <c r="C22197" t="s">
        <v>389</v>
      </c>
      <c r="D22197" s="1" t="str">
        <f t="shared" si="608"/>
        <v>PRG-1049035</v>
      </c>
      <c r="E22197" t="s">
        <v>95</v>
      </c>
      <c r="F22197" t="s">
        <v>4</v>
      </c>
      <c r="G22197" t="str">
        <f>""</f>
        <v/>
      </c>
    </row>
    <row r="22198" spans="1:7" x14ac:dyDescent="0.25">
      <c r="A22198" t="s">
        <v>8</v>
      </c>
      <c r="B22198" s="1" t="str">
        <f>"000328711 - RICHS-FORUM"</f>
        <v>000328711 - RICHS-FORUM</v>
      </c>
      <c r="C22198" t="s">
        <v>389</v>
      </c>
      <c r="D22198" s="1" t="str">
        <f t="shared" si="608"/>
        <v>PRG-1049035</v>
      </c>
      <c r="E22198" t="s">
        <v>95</v>
      </c>
      <c r="F22198" t="s">
        <v>4</v>
      </c>
      <c r="G22198" t="str">
        <f>""</f>
        <v/>
      </c>
    </row>
    <row r="22199" spans="1:7" x14ac:dyDescent="0.25">
      <c r="A22199" t="s">
        <v>8</v>
      </c>
      <c r="B22199" s="1" t="str">
        <f>"000330201 - RICH FOODS-FORUM"</f>
        <v>000330201 - RICH FOODS-FORUM</v>
      </c>
      <c r="C22199" t="s">
        <v>94</v>
      </c>
      <c r="D22199" s="1" t="str">
        <f t="shared" si="608"/>
        <v>PRG-1049035</v>
      </c>
      <c r="E22199" t="s">
        <v>95</v>
      </c>
      <c r="F22199" t="s">
        <v>4</v>
      </c>
      <c r="G22199" t="str">
        <f>""</f>
        <v/>
      </c>
    </row>
    <row r="22200" spans="1:7" x14ac:dyDescent="0.25">
      <c r="A22200" t="s">
        <v>8</v>
      </c>
      <c r="B22200" s="1" t="str">
        <f>"000335207 - RICH FOODS NCORE BB-FORUM"</f>
        <v>000335207 - RICH FOODS NCORE BB-FORUM</v>
      </c>
      <c r="C22200" t="s">
        <v>249</v>
      </c>
      <c r="D22200" s="1" t="str">
        <f t="shared" si="608"/>
        <v>PRG-1049035</v>
      </c>
      <c r="E22200" t="s">
        <v>95</v>
      </c>
      <c r="F22200" t="s">
        <v>4</v>
      </c>
      <c r="G22200" t="str">
        <f>""</f>
        <v/>
      </c>
    </row>
    <row r="22201" spans="1:7" x14ac:dyDescent="0.25">
      <c r="A22201" t="s">
        <v>8</v>
      </c>
      <c r="B22201" s="1" t="str">
        <f>"000335917 - RICHS-FORUM"</f>
        <v>000335917 - RICHS-FORUM</v>
      </c>
      <c r="C22201" t="s">
        <v>389</v>
      </c>
      <c r="D22201" s="1" t="str">
        <f t="shared" si="608"/>
        <v>PRG-1049035</v>
      </c>
      <c r="E22201" t="s">
        <v>95</v>
      </c>
      <c r="F22201" t="s">
        <v>4</v>
      </c>
      <c r="G22201" t="str">
        <f>""</f>
        <v/>
      </c>
    </row>
    <row r="22202" spans="1:7" x14ac:dyDescent="0.25">
      <c r="A22202" t="s">
        <v>8</v>
      </c>
      <c r="B22202" s="1" t="str">
        <f>"000338026 - RICH FOODS-FORUM"</f>
        <v>000338026 - RICH FOODS-FORUM</v>
      </c>
      <c r="C22202" t="s">
        <v>94</v>
      </c>
      <c r="D22202" s="1" t="str">
        <f t="shared" ref="D22202:D22233" si="609">"PRG-1049035"</f>
        <v>PRG-1049035</v>
      </c>
      <c r="E22202" t="s">
        <v>95</v>
      </c>
      <c r="F22202" t="s">
        <v>4</v>
      </c>
      <c r="G22202" t="str">
        <f>""</f>
        <v/>
      </c>
    </row>
    <row r="22203" spans="1:7" x14ac:dyDescent="0.25">
      <c r="A22203" t="s">
        <v>8</v>
      </c>
      <c r="B22203" s="1" t="str">
        <f>"000338192 - RICH FOODS-FORUM"</f>
        <v>000338192 - RICH FOODS-FORUM</v>
      </c>
      <c r="C22203" t="s">
        <v>94</v>
      </c>
      <c r="D22203" s="1" t="str">
        <f t="shared" si="609"/>
        <v>PRG-1049035</v>
      </c>
      <c r="E22203" t="s">
        <v>95</v>
      </c>
      <c r="F22203" t="s">
        <v>4</v>
      </c>
      <c r="G22203" t="str">
        <f>""</f>
        <v/>
      </c>
    </row>
    <row r="22204" spans="1:7" x14ac:dyDescent="0.25">
      <c r="A22204" t="s">
        <v>8</v>
      </c>
      <c r="B22204" s="1" t="str">
        <f>"000338865 - RICH FOODS CC-FORUM"</f>
        <v>000338865 - RICH FOODS CC-FORUM</v>
      </c>
      <c r="C22204" t="s">
        <v>231</v>
      </c>
      <c r="D22204" s="1" t="str">
        <f t="shared" si="609"/>
        <v>PRG-1049035</v>
      </c>
      <c r="E22204" t="s">
        <v>95</v>
      </c>
      <c r="F22204" t="s">
        <v>4</v>
      </c>
      <c r="G22204" t="str">
        <f>""</f>
        <v/>
      </c>
    </row>
    <row r="22205" spans="1:7" x14ac:dyDescent="0.25">
      <c r="A22205" t="s">
        <v>8</v>
      </c>
      <c r="B22205" s="1" t="str">
        <f>"000343706 - RICH FOODS-FORUM"</f>
        <v>000343706 - RICH FOODS-FORUM</v>
      </c>
      <c r="C22205" t="s">
        <v>94</v>
      </c>
      <c r="D22205" s="1" t="str">
        <f t="shared" si="609"/>
        <v>PRG-1049035</v>
      </c>
      <c r="E22205" t="s">
        <v>95</v>
      </c>
      <c r="F22205" t="s">
        <v>4</v>
      </c>
      <c r="G22205" t="str">
        <f>""</f>
        <v/>
      </c>
    </row>
    <row r="22206" spans="1:7" x14ac:dyDescent="0.25">
      <c r="A22206" t="s">
        <v>8</v>
      </c>
      <c r="B22206" s="1" t="str">
        <f>"000347931 - RICH FOODS-FORUM"</f>
        <v>000347931 - RICH FOODS-FORUM</v>
      </c>
      <c r="C22206" t="s">
        <v>94</v>
      </c>
      <c r="D22206" s="1" t="str">
        <f t="shared" si="609"/>
        <v>PRG-1049035</v>
      </c>
      <c r="E22206" t="s">
        <v>95</v>
      </c>
      <c r="F22206" t="s">
        <v>4</v>
      </c>
      <c r="G22206" t="str">
        <f>""</f>
        <v/>
      </c>
    </row>
    <row r="22207" spans="1:7" x14ac:dyDescent="0.25">
      <c r="A22207" t="s">
        <v>8</v>
      </c>
      <c r="B22207" s="1" t="str">
        <f>"000351910 - RICH FOODS-FORUM"</f>
        <v>000351910 - RICH FOODS-FORUM</v>
      </c>
      <c r="C22207" t="s">
        <v>94</v>
      </c>
      <c r="D22207" s="1" t="str">
        <f t="shared" si="609"/>
        <v>PRG-1049035</v>
      </c>
      <c r="E22207" t="s">
        <v>95</v>
      </c>
      <c r="F22207" t="s">
        <v>4</v>
      </c>
      <c r="G22207" t="str">
        <f>""</f>
        <v/>
      </c>
    </row>
    <row r="22208" spans="1:7" x14ac:dyDescent="0.25">
      <c r="A22208" t="s">
        <v>8</v>
      </c>
      <c r="B22208" s="1" t="str">
        <f>"000352220 - RICH FOODS-FORUM"</f>
        <v>000352220 - RICH FOODS-FORUM</v>
      </c>
      <c r="C22208" t="s">
        <v>94</v>
      </c>
      <c r="D22208" s="1" t="str">
        <f t="shared" si="609"/>
        <v>PRG-1049035</v>
      </c>
      <c r="E22208" t="s">
        <v>95</v>
      </c>
      <c r="F22208" t="s">
        <v>4</v>
      </c>
      <c r="G22208" t="str">
        <f>""</f>
        <v/>
      </c>
    </row>
    <row r="22209" spans="1:7" x14ac:dyDescent="0.25">
      <c r="A22209" t="s">
        <v>8</v>
      </c>
      <c r="B22209" s="1" t="str">
        <f>"000356596 - RICH FOODS NONCORE-FORUM"</f>
        <v>000356596 - RICH FOODS NONCORE-FORUM</v>
      </c>
      <c r="C22209" t="s">
        <v>919</v>
      </c>
      <c r="D22209" s="1" t="str">
        <f t="shared" si="609"/>
        <v>PRG-1049035</v>
      </c>
      <c r="E22209" t="s">
        <v>95</v>
      </c>
      <c r="F22209" t="s">
        <v>4</v>
      </c>
      <c r="G22209" t="str">
        <f>""</f>
        <v/>
      </c>
    </row>
    <row r="22210" spans="1:7" x14ac:dyDescent="0.25">
      <c r="A22210" t="s">
        <v>8</v>
      </c>
      <c r="B22210" s="1" t="str">
        <f>"000357055 - RICH FOODS-FORUM"</f>
        <v>000357055 - RICH FOODS-FORUM</v>
      </c>
      <c r="C22210" t="s">
        <v>94</v>
      </c>
      <c r="D22210" s="1" t="str">
        <f t="shared" si="609"/>
        <v>PRG-1049035</v>
      </c>
      <c r="E22210" t="s">
        <v>95</v>
      </c>
      <c r="F22210" t="s">
        <v>4</v>
      </c>
      <c r="G22210" t="str">
        <f>""</f>
        <v/>
      </c>
    </row>
    <row r="22211" spans="1:7" x14ac:dyDescent="0.25">
      <c r="A22211" t="s">
        <v>8</v>
      </c>
      <c r="B22211" s="1" t="str">
        <f>"000359301 - RICH FOODS-FORUM"</f>
        <v>000359301 - RICH FOODS-FORUM</v>
      </c>
      <c r="C22211" t="s">
        <v>94</v>
      </c>
      <c r="D22211" s="1" t="str">
        <f t="shared" si="609"/>
        <v>PRG-1049035</v>
      </c>
      <c r="E22211" t="s">
        <v>95</v>
      </c>
      <c r="F22211" t="s">
        <v>4</v>
      </c>
      <c r="G22211" t="str">
        <f>""</f>
        <v/>
      </c>
    </row>
    <row r="22212" spans="1:7" x14ac:dyDescent="0.25">
      <c r="A22212" t="s">
        <v>8</v>
      </c>
      <c r="B22212" s="1" t="str">
        <f>"000361339 - RICHS-FORUM"</f>
        <v>000361339 - RICHS-FORUM</v>
      </c>
      <c r="C22212" t="s">
        <v>389</v>
      </c>
      <c r="D22212" s="1" t="str">
        <f t="shared" si="609"/>
        <v>PRG-1049035</v>
      </c>
      <c r="E22212" t="s">
        <v>95</v>
      </c>
      <c r="F22212" t="s">
        <v>4</v>
      </c>
      <c r="G22212" t="str">
        <f>""</f>
        <v/>
      </c>
    </row>
    <row r="22213" spans="1:7" x14ac:dyDescent="0.25">
      <c r="A22213" t="s">
        <v>8</v>
      </c>
      <c r="B22213" s="1" t="str">
        <f>"000363481 - RICHS-FORUM"</f>
        <v>000363481 - RICHS-FORUM</v>
      </c>
      <c r="C22213" t="s">
        <v>389</v>
      </c>
      <c r="D22213" s="1" t="str">
        <f t="shared" si="609"/>
        <v>PRG-1049035</v>
      </c>
      <c r="E22213" t="s">
        <v>95</v>
      </c>
      <c r="F22213" t="s">
        <v>4</v>
      </c>
      <c r="G22213" t="str">
        <f>""</f>
        <v/>
      </c>
    </row>
    <row r="22214" spans="1:7" x14ac:dyDescent="0.25">
      <c r="A22214" t="s">
        <v>8</v>
      </c>
      <c r="B22214" s="1" t="str">
        <f>"000365768 - RICH FOODS-FORUM"</f>
        <v>000365768 - RICH FOODS-FORUM</v>
      </c>
      <c r="C22214" t="s">
        <v>94</v>
      </c>
      <c r="D22214" s="1" t="str">
        <f t="shared" si="609"/>
        <v>PRG-1049035</v>
      </c>
      <c r="E22214" t="s">
        <v>95</v>
      </c>
      <c r="F22214" t="s">
        <v>4</v>
      </c>
      <c r="G22214" t="str">
        <f>""</f>
        <v/>
      </c>
    </row>
    <row r="22215" spans="1:7" x14ac:dyDescent="0.25">
      <c r="A22215" t="s">
        <v>8</v>
      </c>
      <c r="B22215" s="1" t="str">
        <f>"000367361 - RICH FOODS-FORUM"</f>
        <v>000367361 - RICH FOODS-FORUM</v>
      </c>
      <c r="C22215" t="s">
        <v>94</v>
      </c>
      <c r="D22215" s="1" t="str">
        <f t="shared" si="609"/>
        <v>PRG-1049035</v>
      </c>
      <c r="E22215" t="s">
        <v>95</v>
      </c>
      <c r="F22215" t="s">
        <v>4</v>
      </c>
      <c r="G22215" t="str">
        <f>""</f>
        <v/>
      </c>
    </row>
    <row r="22216" spans="1:7" x14ac:dyDescent="0.25">
      <c r="A22216" t="s">
        <v>8</v>
      </c>
      <c r="B22216" s="1" t="str">
        <f>"000369268 - RICHS-FORUM"</f>
        <v>000369268 - RICHS-FORUM</v>
      </c>
      <c r="C22216" t="s">
        <v>389</v>
      </c>
      <c r="D22216" s="1" t="str">
        <f t="shared" si="609"/>
        <v>PRG-1049035</v>
      </c>
      <c r="E22216" t="s">
        <v>95</v>
      </c>
      <c r="F22216" t="s">
        <v>4</v>
      </c>
      <c r="G22216" t="str">
        <f>""</f>
        <v/>
      </c>
    </row>
    <row r="22217" spans="1:7" x14ac:dyDescent="0.25">
      <c r="A22217" t="s">
        <v>8</v>
      </c>
      <c r="B22217" s="1" t="str">
        <f>"000371661 - RICH FOODS-FORUM"</f>
        <v>000371661 - RICH FOODS-FORUM</v>
      </c>
      <c r="C22217" t="s">
        <v>94</v>
      </c>
      <c r="D22217" s="1" t="str">
        <f t="shared" si="609"/>
        <v>PRG-1049035</v>
      </c>
      <c r="E22217" t="s">
        <v>95</v>
      </c>
      <c r="F22217" t="s">
        <v>4</v>
      </c>
      <c r="G22217" t="str">
        <f>""</f>
        <v/>
      </c>
    </row>
    <row r="22218" spans="1:7" x14ac:dyDescent="0.25">
      <c r="A22218" t="s">
        <v>8</v>
      </c>
      <c r="B22218" s="1" t="str">
        <f>"000371993 - RICHS-FORUM"</f>
        <v>000371993 - RICHS-FORUM</v>
      </c>
      <c r="C22218" t="s">
        <v>389</v>
      </c>
      <c r="D22218" s="1" t="str">
        <f t="shared" si="609"/>
        <v>PRG-1049035</v>
      </c>
      <c r="E22218" t="s">
        <v>95</v>
      </c>
      <c r="F22218" t="s">
        <v>4</v>
      </c>
      <c r="G22218" t="str">
        <f>""</f>
        <v/>
      </c>
    </row>
    <row r="22219" spans="1:7" x14ac:dyDescent="0.25">
      <c r="A22219" t="s">
        <v>8</v>
      </c>
      <c r="B22219" s="1" t="str">
        <f>"000374640 - RICH FOODS-FORUM"</f>
        <v>000374640 - RICH FOODS-FORUM</v>
      </c>
      <c r="C22219" t="s">
        <v>94</v>
      </c>
      <c r="D22219" s="1" t="str">
        <f t="shared" si="609"/>
        <v>PRG-1049035</v>
      </c>
      <c r="E22219" t="s">
        <v>95</v>
      </c>
      <c r="F22219" t="s">
        <v>4</v>
      </c>
      <c r="G22219" t="str">
        <f>""</f>
        <v/>
      </c>
    </row>
    <row r="22220" spans="1:7" x14ac:dyDescent="0.25">
      <c r="A22220" t="s">
        <v>8</v>
      </c>
      <c r="B22220" s="1" t="str">
        <f>"000376079 - RICH FOODS-FORUM"</f>
        <v>000376079 - RICH FOODS-FORUM</v>
      </c>
      <c r="C22220" t="s">
        <v>94</v>
      </c>
      <c r="D22220" s="1" t="str">
        <f t="shared" si="609"/>
        <v>PRG-1049035</v>
      </c>
      <c r="E22220" t="s">
        <v>95</v>
      </c>
      <c r="F22220" t="s">
        <v>4</v>
      </c>
      <c r="G22220" t="str">
        <f>""</f>
        <v/>
      </c>
    </row>
    <row r="22221" spans="1:7" x14ac:dyDescent="0.25">
      <c r="A22221" t="s">
        <v>8</v>
      </c>
      <c r="B22221" s="1" t="str">
        <f>"000381470 - RICHS-FORUM"</f>
        <v>000381470 - RICHS-FORUM</v>
      </c>
      <c r="C22221" t="s">
        <v>389</v>
      </c>
      <c r="D22221" s="1" t="str">
        <f t="shared" si="609"/>
        <v>PRG-1049035</v>
      </c>
      <c r="E22221" t="s">
        <v>95</v>
      </c>
      <c r="F22221" t="s">
        <v>4</v>
      </c>
      <c r="G22221" t="str">
        <f>""</f>
        <v/>
      </c>
    </row>
    <row r="22222" spans="1:7" x14ac:dyDescent="0.25">
      <c r="A22222" t="s">
        <v>8</v>
      </c>
      <c r="B22222" s="1" t="str">
        <f>"000386948 - RICHS-FORUM"</f>
        <v>000386948 - RICHS-FORUM</v>
      </c>
      <c r="C22222" t="s">
        <v>389</v>
      </c>
      <c r="D22222" s="1" t="str">
        <f t="shared" si="609"/>
        <v>PRG-1049035</v>
      </c>
      <c r="E22222" t="s">
        <v>95</v>
      </c>
      <c r="F22222" t="s">
        <v>4</v>
      </c>
      <c r="G22222" t="str">
        <f>""</f>
        <v/>
      </c>
    </row>
    <row r="22223" spans="1:7" x14ac:dyDescent="0.25">
      <c r="A22223" t="s">
        <v>8</v>
      </c>
      <c r="B22223" s="1" t="str">
        <f>"000387621 - RICH FOODS-FORUM"</f>
        <v>000387621 - RICH FOODS-FORUM</v>
      </c>
      <c r="C22223" t="s">
        <v>94</v>
      </c>
      <c r="D22223" s="1" t="str">
        <f t="shared" si="609"/>
        <v>PRG-1049035</v>
      </c>
      <c r="E22223" t="s">
        <v>95</v>
      </c>
      <c r="F22223" t="s">
        <v>4</v>
      </c>
      <c r="G22223" t="str">
        <f>""</f>
        <v/>
      </c>
    </row>
    <row r="22224" spans="1:7" x14ac:dyDescent="0.25">
      <c r="A22224" t="s">
        <v>8</v>
      </c>
      <c r="B22224" s="1" t="str">
        <f>"000388237 - RICHS-FORUM"</f>
        <v>000388237 - RICHS-FORUM</v>
      </c>
      <c r="C22224" t="s">
        <v>389</v>
      </c>
      <c r="D22224" s="1" t="str">
        <f t="shared" si="609"/>
        <v>PRG-1049035</v>
      </c>
      <c r="E22224" t="s">
        <v>95</v>
      </c>
      <c r="F22224" t="s">
        <v>4</v>
      </c>
      <c r="G22224" t="str">
        <f>""</f>
        <v/>
      </c>
    </row>
    <row r="22225" spans="1:7" x14ac:dyDescent="0.25">
      <c r="A22225" t="s">
        <v>8</v>
      </c>
      <c r="B22225" s="1" t="str">
        <f>"000392152 - RICHS-FORUM"</f>
        <v>000392152 - RICHS-FORUM</v>
      </c>
      <c r="C22225" t="s">
        <v>389</v>
      </c>
      <c r="D22225" s="1" t="str">
        <f t="shared" si="609"/>
        <v>PRG-1049035</v>
      </c>
      <c r="E22225" t="s">
        <v>95</v>
      </c>
      <c r="F22225" t="s">
        <v>4</v>
      </c>
      <c r="G22225" t="str">
        <f>""</f>
        <v/>
      </c>
    </row>
    <row r="22226" spans="1:7" x14ac:dyDescent="0.25">
      <c r="A22226" t="s">
        <v>8</v>
      </c>
      <c r="B22226" s="1" t="str">
        <f>"000394445 - RICHS-FORUM"</f>
        <v>000394445 - RICHS-FORUM</v>
      </c>
      <c r="C22226" t="s">
        <v>389</v>
      </c>
      <c r="D22226" s="1" t="str">
        <f t="shared" si="609"/>
        <v>PRG-1049035</v>
      </c>
      <c r="E22226" t="s">
        <v>95</v>
      </c>
      <c r="F22226" t="s">
        <v>4</v>
      </c>
      <c r="G22226" t="str">
        <f>""</f>
        <v/>
      </c>
    </row>
    <row r="22227" spans="1:7" x14ac:dyDescent="0.25">
      <c r="A22227" t="s">
        <v>8</v>
      </c>
      <c r="B22227" s="1" t="str">
        <f>"000396726 - RICH FOODS-FORUM"</f>
        <v>000396726 - RICH FOODS-FORUM</v>
      </c>
      <c r="C22227" t="s">
        <v>94</v>
      </c>
      <c r="D22227" s="1" t="str">
        <f t="shared" si="609"/>
        <v>PRG-1049035</v>
      </c>
      <c r="E22227" t="s">
        <v>95</v>
      </c>
      <c r="F22227" t="s">
        <v>4</v>
      </c>
      <c r="G22227" t="str">
        <f>""</f>
        <v/>
      </c>
    </row>
    <row r="22228" spans="1:7" x14ac:dyDescent="0.25">
      <c r="A22228" t="s">
        <v>8</v>
      </c>
      <c r="B22228" s="1" t="str">
        <f>"000401470 - RICH FOODS-FORUM"</f>
        <v>000401470 - RICH FOODS-FORUM</v>
      </c>
      <c r="C22228" t="s">
        <v>94</v>
      </c>
      <c r="D22228" s="1" t="str">
        <f t="shared" si="609"/>
        <v>PRG-1049035</v>
      </c>
      <c r="E22228" t="s">
        <v>95</v>
      </c>
      <c r="F22228" t="s">
        <v>4</v>
      </c>
      <c r="G22228" t="str">
        <f>""</f>
        <v/>
      </c>
    </row>
    <row r="22229" spans="1:7" x14ac:dyDescent="0.25">
      <c r="A22229" t="s">
        <v>8</v>
      </c>
      <c r="B22229" s="1" t="str">
        <f>"000405275 - RICHS-FORUM"</f>
        <v>000405275 - RICHS-FORUM</v>
      </c>
      <c r="C22229" t="s">
        <v>389</v>
      </c>
      <c r="D22229" s="1" t="str">
        <f t="shared" si="609"/>
        <v>PRG-1049035</v>
      </c>
      <c r="E22229" t="s">
        <v>95</v>
      </c>
      <c r="F22229" t="s">
        <v>4</v>
      </c>
      <c r="G22229" t="str">
        <f>""</f>
        <v/>
      </c>
    </row>
    <row r="22230" spans="1:7" x14ac:dyDescent="0.25">
      <c r="A22230" t="s">
        <v>8</v>
      </c>
      <c r="B22230" s="1" t="str">
        <f>"000410389 - RICHS-FORUM"</f>
        <v>000410389 - RICHS-FORUM</v>
      </c>
      <c r="C22230" t="s">
        <v>389</v>
      </c>
      <c r="D22230" s="1" t="str">
        <f t="shared" si="609"/>
        <v>PRG-1049035</v>
      </c>
      <c r="E22230" t="s">
        <v>95</v>
      </c>
      <c r="F22230" t="s">
        <v>4</v>
      </c>
      <c r="G22230" t="str">
        <f>""</f>
        <v/>
      </c>
    </row>
    <row r="22231" spans="1:7" x14ac:dyDescent="0.25">
      <c r="A22231" t="s">
        <v>8</v>
      </c>
      <c r="B22231" s="1" t="str">
        <f>"000412681 - RICHS-FORUM"</f>
        <v>000412681 - RICHS-FORUM</v>
      </c>
      <c r="C22231" t="s">
        <v>389</v>
      </c>
      <c r="D22231" s="1" t="str">
        <f t="shared" si="609"/>
        <v>PRG-1049035</v>
      </c>
      <c r="E22231" t="s">
        <v>95</v>
      </c>
      <c r="F22231" t="s">
        <v>4</v>
      </c>
      <c r="G22231" t="str">
        <f>""</f>
        <v/>
      </c>
    </row>
    <row r="22232" spans="1:7" x14ac:dyDescent="0.25">
      <c r="A22232" t="s">
        <v>8</v>
      </c>
      <c r="B22232" s="1" t="str">
        <f>"2000026841 - RICH PRODUCTS-FORUM"</f>
        <v>2000026841 - RICH PRODUCTS-FORUM</v>
      </c>
      <c r="C22232" t="s">
        <v>3830</v>
      </c>
      <c r="D22232" s="1" t="str">
        <f t="shared" si="609"/>
        <v>PRG-1049035</v>
      </c>
      <c r="E22232" t="s">
        <v>95</v>
      </c>
      <c r="F22232" t="s">
        <v>4</v>
      </c>
      <c r="G22232" t="str">
        <f>""</f>
        <v/>
      </c>
    </row>
    <row r="22233" spans="1:7" x14ac:dyDescent="0.25">
      <c r="A22233" t="s">
        <v>8</v>
      </c>
      <c r="B22233" s="1" t="str">
        <f>"2000035387 - RICH PRODUCTS-FORUM"</f>
        <v>2000035387 - RICH PRODUCTS-FORUM</v>
      </c>
      <c r="C22233" t="s">
        <v>3830</v>
      </c>
      <c r="D22233" s="1" t="str">
        <f t="shared" si="609"/>
        <v>PRG-1049035</v>
      </c>
      <c r="E22233" t="s">
        <v>95</v>
      </c>
      <c r="F22233" t="s">
        <v>4</v>
      </c>
      <c r="G22233" t="str">
        <f>""</f>
        <v/>
      </c>
    </row>
    <row r="22234" spans="1:7" x14ac:dyDescent="0.25">
      <c r="A22234" t="s">
        <v>8</v>
      </c>
      <c r="B22234" s="1" t="str">
        <f>"000430846 - RICH SUNDNACE GOLF &amp; BOWL"</f>
        <v>000430846 - RICH SUNDNACE GOLF &amp; BOWL</v>
      </c>
      <c r="C22234" t="s">
        <v>3750</v>
      </c>
      <c r="D22234" s="1" t="str">
        <f>"PRG-1049072"</f>
        <v>PRG-1049072</v>
      </c>
      <c r="E22234" t="s">
        <v>3751</v>
      </c>
      <c r="F22234" t="s">
        <v>4</v>
      </c>
      <c r="G22234" t="str">
        <f>""</f>
        <v/>
      </c>
    </row>
    <row r="22235" spans="1:7" x14ac:dyDescent="0.25">
      <c r="A22235" t="s">
        <v>8</v>
      </c>
      <c r="B22235" s="1" t="str">
        <f>"000046168 - RICH FOODS BB-SUBWAY"</f>
        <v>000046168 - RICH FOODS BB-SUBWAY</v>
      </c>
      <c r="C22235" t="s">
        <v>623</v>
      </c>
      <c r="D22235" s="1" t="str">
        <f t="shared" ref="D22235:D22247" si="610">"PRG-1049141"</f>
        <v>PRG-1049141</v>
      </c>
      <c r="E22235" t="s">
        <v>91</v>
      </c>
      <c r="F22235" t="s">
        <v>4</v>
      </c>
      <c r="G22235" t="str">
        <f>""</f>
        <v/>
      </c>
    </row>
    <row r="22236" spans="1:7" x14ac:dyDescent="0.25">
      <c r="A22236" t="s">
        <v>8</v>
      </c>
      <c r="B22236" s="1" t="str">
        <f>"000059128 - RICH FOODS BB-SUBWAY"</f>
        <v>000059128 - RICH FOODS BB-SUBWAY</v>
      </c>
      <c r="C22236" t="s">
        <v>623</v>
      </c>
      <c r="D22236" s="1" t="str">
        <f t="shared" si="610"/>
        <v>PRG-1049141</v>
      </c>
      <c r="E22236" t="s">
        <v>91</v>
      </c>
      <c r="F22236" t="s">
        <v>4</v>
      </c>
      <c r="G22236" t="str">
        <f>""</f>
        <v/>
      </c>
    </row>
    <row r="22237" spans="1:7" x14ac:dyDescent="0.25">
      <c r="A22237" t="s">
        <v>8</v>
      </c>
      <c r="B22237" s="1" t="str">
        <f>"000235153 - RICH FOODS BB-SUBWAY"</f>
        <v>000235153 - RICH FOODS BB-SUBWAY</v>
      </c>
      <c r="C22237" t="s">
        <v>623</v>
      </c>
      <c r="D22237" s="1" t="str">
        <f t="shared" si="610"/>
        <v>PRG-1049141</v>
      </c>
      <c r="E22237" t="s">
        <v>91</v>
      </c>
      <c r="F22237" t="s">
        <v>4</v>
      </c>
      <c r="G22237" t="str">
        <f>""</f>
        <v/>
      </c>
    </row>
    <row r="22238" spans="1:7" x14ac:dyDescent="0.25">
      <c r="A22238" t="s">
        <v>8</v>
      </c>
      <c r="B22238" s="1" t="str">
        <f>"000237061 - RICH FOODS BB-SUBWAY"</f>
        <v>000237061 - RICH FOODS BB-SUBWAY</v>
      </c>
      <c r="C22238" t="s">
        <v>623</v>
      </c>
      <c r="D22238" s="1" t="str">
        <f t="shared" si="610"/>
        <v>PRG-1049141</v>
      </c>
      <c r="E22238" t="s">
        <v>91</v>
      </c>
      <c r="F22238" t="s">
        <v>4</v>
      </c>
      <c r="G22238" t="str">
        <f>""</f>
        <v/>
      </c>
    </row>
    <row r="22239" spans="1:7" x14ac:dyDescent="0.25">
      <c r="A22239" t="s">
        <v>8</v>
      </c>
      <c r="B22239" s="1" t="str">
        <f>"000237065 - RICH FOODS BB-SUBWAY"</f>
        <v>000237065 - RICH FOODS BB-SUBWAY</v>
      </c>
      <c r="C22239" t="s">
        <v>623</v>
      </c>
      <c r="D22239" s="1" t="str">
        <f t="shared" si="610"/>
        <v>PRG-1049141</v>
      </c>
      <c r="E22239" t="s">
        <v>91</v>
      </c>
      <c r="F22239" t="s">
        <v>4</v>
      </c>
      <c r="G22239" t="str">
        <f>""</f>
        <v/>
      </c>
    </row>
    <row r="22240" spans="1:7" x14ac:dyDescent="0.25">
      <c r="A22240" t="s">
        <v>8</v>
      </c>
      <c r="B22240" s="1" t="str">
        <f>"000293592 - RICH FOODS BB-SUBWAY"</f>
        <v>000293592 - RICH FOODS BB-SUBWAY</v>
      </c>
      <c r="C22240" t="s">
        <v>623</v>
      </c>
      <c r="D22240" s="1" t="str">
        <f t="shared" si="610"/>
        <v>PRG-1049141</v>
      </c>
      <c r="E22240" t="s">
        <v>91</v>
      </c>
      <c r="F22240" t="s">
        <v>4</v>
      </c>
      <c r="G22240" t="str">
        <f>""</f>
        <v/>
      </c>
    </row>
    <row r="22241" spans="1:7" x14ac:dyDescent="0.25">
      <c r="A22241" t="s">
        <v>8</v>
      </c>
      <c r="B22241" s="1" t="str">
        <f>"000318700 - RICH FOODS BB-SUBWAY"</f>
        <v>000318700 - RICH FOODS BB-SUBWAY</v>
      </c>
      <c r="C22241" t="s">
        <v>623</v>
      </c>
      <c r="D22241" s="1" t="str">
        <f t="shared" si="610"/>
        <v>PRG-1049141</v>
      </c>
      <c r="E22241" t="s">
        <v>91</v>
      </c>
      <c r="F22241" t="s">
        <v>4</v>
      </c>
      <c r="G22241" t="str">
        <f>""</f>
        <v/>
      </c>
    </row>
    <row r="22242" spans="1:7" x14ac:dyDescent="0.25">
      <c r="A22242" t="s">
        <v>8</v>
      </c>
      <c r="B22242" s="1" t="str">
        <f>"000318703 - RICH FOODS BB-SUBWAY"</f>
        <v>000318703 - RICH FOODS BB-SUBWAY</v>
      </c>
      <c r="C22242" t="s">
        <v>623</v>
      </c>
      <c r="D22242" s="1" t="str">
        <f t="shared" si="610"/>
        <v>PRG-1049141</v>
      </c>
      <c r="E22242" t="s">
        <v>91</v>
      </c>
      <c r="F22242" t="s">
        <v>4</v>
      </c>
      <c r="G22242" t="str">
        <f>""</f>
        <v/>
      </c>
    </row>
    <row r="22243" spans="1:7" x14ac:dyDescent="0.25">
      <c r="A22243" t="s">
        <v>8</v>
      </c>
      <c r="B22243" s="1" t="str">
        <f>"000325035 - RICH FOODS BB-SUBWAY"</f>
        <v>000325035 - RICH FOODS BB-SUBWAY</v>
      </c>
      <c r="C22243" t="s">
        <v>623</v>
      </c>
      <c r="D22243" s="1" t="str">
        <f t="shared" si="610"/>
        <v>PRG-1049141</v>
      </c>
      <c r="E22243" t="s">
        <v>91</v>
      </c>
      <c r="F22243" t="s">
        <v>4</v>
      </c>
      <c r="G22243" t="str">
        <f>""</f>
        <v/>
      </c>
    </row>
    <row r="22244" spans="1:7" x14ac:dyDescent="0.25">
      <c r="A22244" t="s">
        <v>8</v>
      </c>
      <c r="B22244" s="1" t="str">
        <f>"000325038 - RICH FOODS BB-SUBWAY"</f>
        <v>000325038 - RICH FOODS BB-SUBWAY</v>
      </c>
      <c r="C22244" t="s">
        <v>623</v>
      </c>
      <c r="D22244" s="1" t="str">
        <f t="shared" si="610"/>
        <v>PRG-1049141</v>
      </c>
      <c r="E22244" t="s">
        <v>91</v>
      </c>
      <c r="F22244" t="s">
        <v>4</v>
      </c>
      <c r="G22244" t="str">
        <f>""</f>
        <v/>
      </c>
    </row>
    <row r="22245" spans="1:7" x14ac:dyDescent="0.25">
      <c r="A22245" t="s">
        <v>8</v>
      </c>
      <c r="B22245" s="1" t="str">
        <f>"000333202 - RICH FOODS BB-SUBWAY"</f>
        <v>000333202 - RICH FOODS BB-SUBWAY</v>
      </c>
      <c r="C22245" t="s">
        <v>623</v>
      </c>
      <c r="D22245" s="1" t="str">
        <f t="shared" si="610"/>
        <v>PRG-1049141</v>
      </c>
      <c r="E22245" t="s">
        <v>91</v>
      </c>
      <c r="F22245" t="s">
        <v>4</v>
      </c>
      <c r="G22245" t="str">
        <f>""</f>
        <v/>
      </c>
    </row>
    <row r="22246" spans="1:7" x14ac:dyDescent="0.25">
      <c r="A22246" t="s">
        <v>8</v>
      </c>
      <c r="B22246" s="1" t="str">
        <f>"000333205 - RICH FOODS BB-SUBWAY"</f>
        <v>000333205 - RICH FOODS BB-SUBWAY</v>
      </c>
      <c r="C22246" t="s">
        <v>623</v>
      </c>
      <c r="D22246" s="1" t="str">
        <f t="shared" si="610"/>
        <v>PRG-1049141</v>
      </c>
      <c r="E22246" t="s">
        <v>91</v>
      </c>
      <c r="F22246" t="s">
        <v>4</v>
      </c>
      <c r="G22246" t="str">
        <f>""</f>
        <v/>
      </c>
    </row>
    <row r="22247" spans="1:7" x14ac:dyDescent="0.25">
      <c r="A22247" t="s">
        <v>8</v>
      </c>
      <c r="B22247" s="1" t="str">
        <f>"S1Z0CQR0"</f>
        <v>S1Z0CQR0</v>
      </c>
      <c r="C22247" t="s">
        <v>5372</v>
      </c>
      <c r="D22247" s="1" t="str">
        <f t="shared" si="610"/>
        <v>PRG-1049141</v>
      </c>
      <c r="E22247" t="s">
        <v>91</v>
      </c>
      <c r="F22247" t="s">
        <v>5</v>
      </c>
      <c r="G22247" t="str">
        <f>""</f>
        <v/>
      </c>
    </row>
    <row r="22248" spans="1:7" x14ac:dyDescent="0.25">
      <c r="A22248" t="s">
        <v>8</v>
      </c>
      <c r="B22248" s="1" t="str">
        <f>"000254981 - JACKSON PUBLIC SCHL RICH'S"</f>
        <v>000254981 - JACKSON PUBLIC SCHL RICH'S</v>
      </c>
      <c r="C22248" t="s">
        <v>1887</v>
      </c>
      <c r="D22248" s="1" t="str">
        <f>"PRG-1049190"</f>
        <v>PRG-1049190</v>
      </c>
      <c r="E22248" t="s">
        <v>2157</v>
      </c>
      <c r="F22248" t="s">
        <v>4</v>
      </c>
      <c r="G22248" t="str">
        <f>""</f>
        <v/>
      </c>
    </row>
    <row r="22249" spans="1:7" x14ac:dyDescent="0.25">
      <c r="A22249" t="s">
        <v>8</v>
      </c>
      <c r="B22249" s="1" t="str">
        <f>"000281762 - JACKSON PUBLIC SCHL RICH'S"</f>
        <v>000281762 - JACKSON PUBLIC SCHL RICH'S</v>
      </c>
      <c r="C22249" t="s">
        <v>1887</v>
      </c>
      <c r="D22249" s="1" t="str">
        <f>"PRG-1049190"</f>
        <v>PRG-1049190</v>
      </c>
      <c r="E22249" t="s">
        <v>2157</v>
      </c>
      <c r="F22249" t="s">
        <v>4</v>
      </c>
      <c r="G22249" t="str">
        <f>""</f>
        <v/>
      </c>
    </row>
    <row r="22250" spans="1:7" x14ac:dyDescent="0.25">
      <c r="A22250" t="s">
        <v>8</v>
      </c>
      <c r="B22250" s="1" t="str">
        <f>"4100C755"</f>
        <v>4100C755</v>
      </c>
      <c r="C22250" t="s">
        <v>4938</v>
      </c>
      <c r="D22250" s="1" t="str">
        <f>"PRG-1049233"</f>
        <v>PRG-1049233</v>
      </c>
      <c r="E22250" t="s">
        <v>4939</v>
      </c>
      <c r="F22250" t="s">
        <v>5</v>
      </c>
      <c r="G22250" t="str">
        <f>""</f>
        <v/>
      </c>
    </row>
    <row r="22251" spans="1:7" x14ac:dyDescent="0.25">
      <c r="A22251" t="s">
        <v>8</v>
      </c>
      <c r="B22251" s="1" t="str">
        <f>"000318892 - RICH  THE DIVIDED"</f>
        <v>000318892 - RICH  THE DIVIDED</v>
      </c>
      <c r="C22251" t="s">
        <v>3221</v>
      </c>
      <c r="D22251" s="1" t="str">
        <f>"PRG-1049252"</f>
        <v>PRG-1049252</v>
      </c>
      <c r="E22251" t="s">
        <v>3222</v>
      </c>
      <c r="F22251" t="s">
        <v>4</v>
      </c>
      <c r="G22251" t="str">
        <f>""</f>
        <v/>
      </c>
    </row>
    <row r="22252" spans="1:7" x14ac:dyDescent="0.25">
      <c r="A22252" t="s">
        <v>8</v>
      </c>
      <c r="B22252" s="1" t="str">
        <f>"000304174 - RICHS CASA DI BERTACCHI-SODEXO"</f>
        <v>000304174 - RICHS CASA DI BERTACCHI-SODEXO</v>
      </c>
      <c r="C22252" t="s">
        <v>121</v>
      </c>
      <c r="D22252" s="1" t="str">
        <f>"PRG-1049302"</f>
        <v>PRG-1049302</v>
      </c>
      <c r="E22252" t="s">
        <v>160</v>
      </c>
      <c r="F22252" t="s">
        <v>4</v>
      </c>
      <c r="G22252" t="str">
        <f>""</f>
        <v/>
      </c>
    </row>
    <row r="22253" spans="1:7" x14ac:dyDescent="0.25">
      <c r="A22253" t="s">
        <v>8</v>
      </c>
      <c r="B22253" s="1" t="str">
        <f>"000028115 - RICH FOODS NONMRTL COLDSTONE"</f>
        <v>000028115 - RICH FOODS NONMRTL COLDSTONE</v>
      </c>
      <c r="C22253" t="s">
        <v>466</v>
      </c>
      <c r="D22253" s="1" t="str">
        <f>"PRG-1049303"</f>
        <v>PRG-1049303</v>
      </c>
      <c r="E22253" t="s">
        <v>132</v>
      </c>
      <c r="F22253" t="s">
        <v>4</v>
      </c>
      <c r="G22253" t="str">
        <f>""</f>
        <v/>
      </c>
    </row>
    <row r="22254" spans="1:7" x14ac:dyDescent="0.25">
      <c r="A22254" t="s">
        <v>8</v>
      </c>
      <c r="B22254" s="1" t="str">
        <f>"S6I04BF0"</f>
        <v>S6I04BF0</v>
      </c>
      <c r="C22254" t="s">
        <v>6104</v>
      </c>
      <c r="D22254" s="1" t="str">
        <f>"PRG-1049314"</f>
        <v>PRG-1049314</v>
      </c>
      <c r="E22254" t="s">
        <v>6105</v>
      </c>
      <c r="F22254" t="s">
        <v>5</v>
      </c>
      <c r="G22254" t="str">
        <f>""</f>
        <v/>
      </c>
    </row>
    <row r="22255" spans="1:7" x14ac:dyDescent="0.25">
      <c r="A22255" t="s">
        <v>8</v>
      </c>
      <c r="B22255" s="1" t="str">
        <f>"2185B302"</f>
        <v>2185B302</v>
      </c>
      <c r="C22255" t="s">
        <v>4212</v>
      </c>
      <c r="D22255" s="1" t="str">
        <f t="shared" ref="D22255:D22286" si="611">"PRG-1049359"</f>
        <v>PRG-1049359</v>
      </c>
      <c r="E22255" t="s">
        <v>4213</v>
      </c>
      <c r="F22255" t="s">
        <v>5</v>
      </c>
      <c r="G22255" t="str">
        <f>""</f>
        <v/>
      </c>
    </row>
    <row r="22256" spans="1:7" x14ac:dyDescent="0.25">
      <c r="A22256" t="s">
        <v>8</v>
      </c>
      <c r="B22256" s="1" t="str">
        <f>"3103C523"</f>
        <v>3103C523</v>
      </c>
      <c r="C22256" t="s">
        <v>4606</v>
      </c>
      <c r="D22256" s="1" t="str">
        <f t="shared" si="611"/>
        <v>PRG-1049359</v>
      </c>
      <c r="E22256" t="s">
        <v>4213</v>
      </c>
      <c r="F22256" t="s">
        <v>5</v>
      </c>
      <c r="G22256" t="str">
        <f>""</f>
        <v/>
      </c>
    </row>
    <row r="22257" spans="1:7" x14ac:dyDescent="0.25">
      <c r="A22257" t="s">
        <v>8</v>
      </c>
      <c r="B22257" s="1" t="str">
        <f>"S2H00KQ0"</f>
        <v>S2H00KQ0</v>
      </c>
      <c r="C22257" t="s">
        <v>5488</v>
      </c>
      <c r="D22257" s="1" t="str">
        <f t="shared" si="611"/>
        <v>PRG-1049359</v>
      </c>
      <c r="E22257" t="s">
        <v>4213</v>
      </c>
      <c r="F22257" t="s">
        <v>5</v>
      </c>
      <c r="G22257" t="str">
        <f>""</f>
        <v/>
      </c>
    </row>
    <row r="22258" spans="1:7" x14ac:dyDescent="0.25">
      <c r="A22258" t="s">
        <v>8</v>
      </c>
      <c r="B22258" s="1" t="str">
        <f>"S2H00KQ1"</f>
        <v>S2H00KQ1</v>
      </c>
      <c r="C22258" t="s">
        <v>5489</v>
      </c>
      <c r="D22258" s="1" t="str">
        <f t="shared" si="611"/>
        <v>PRG-1049359</v>
      </c>
      <c r="E22258" t="s">
        <v>4213</v>
      </c>
      <c r="F22258" t="s">
        <v>5</v>
      </c>
      <c r="G22258" t="str">
        <f>""</f>
        <v/>
      </c>
    </row>
    <row r="22259" spans="1:7" x14ac:dyDescent="0.25">
      <c r="A22259" t="s">
        <v>8</v>
      </c>
      <c r="B22259" s="1" t="str">
        <f>"S2H00KQ3"</f>
        <v>S2H00KQ3</v>
      </c>
      <c r="C22259" t="s">
        <v>5491</v>
      </c>
      <c r="D22259" s="1" t="str">
        <f t="shared" si="611"/>
        <v>PRG-1049359</v>
      </c>
      <c r="E22259" t="s">
        <v>4213</v>
      </c>
      <c r="F22259" t="s">
        <v>5</v>
      </c>
      <c r="G22259" t="str">
        <f>""</f>
        <v/>
      </c>
    </row>
    <row r="22260" spans="1:7" x14ac:dyDescent="0.25">
      <c r="A22260" t="s">
        <v>8</v>
      </c>
      <c r="B22260" s="1" t="str">
        <f>"S2H00KQ4"</f>
        <v>S2H00KQ4</v>
      </c>
      <c r="C22260" t="s">
        <v>5492</v>
      </c>
      <c r="D22260" s="1" t="str">
        <f t="shared" si="611"/>
        <v>PRG-1049359</v>
      </c>
      <c r="E22260" t="s">
        <v>4213</v>
      </c>
      <c r="F22260" t="s">
        <v>5</v>
      </c>
      <c r="G22260" t="str">
        <f>""</f>
        <v/>
      </c>
    </row>
    <row r="22261" spans="1:7" x14ac:dyDescent="0.25">
      <c r="A22261" t="s">
        <v>8</v>
      </c>
      <c r="B22261" s="1" t="str">
        <f>"S2H00KQ5"</f>
        <v>S2H00KQ5</v>
      </c>
      <c r="C22261" t="s">
        <v>5493</v>
      </c>
      <c r="D22261" s="1" t="str">
        <f t="shared" si="611"/>
        <v>PRG-1049359</v>
      </c>
      <c r="E22261" t="s">
        <v>4213</v>
      </c>
      <c r="F22261" t="s">
        <v>5</v>
      </c>
      <c r="G22261" t="str">
        <f>""</f>
        <v/>
      </c>
    </row>
    <row r="22262" spans="1:7" x14ac:dyDescent="0.25">
      <c r="A22262" t="s">
        <v>8</v>
      </c>
      <c r="B22262" s="1" t="str">
        <f>"S2H00KQ7"</f>
        <v>S2H00KQ7</v>
      </c>
      <c r="C22262" t="s">
        <v>5495</v>
      </c>
      <c r="D22262" s="1" t="str">
        <f t="shared" si="611"/>
        <v>PRG-1049359</v>
      </c>
      <c r="E22262" t="s">
        <v>4213</v>
      </c>
      <c r="F22262" t="s">
        <v>5</v>
      </c>
      <c r="G22262" t="str">
        <f>""</f>
        <v/>
      </c>
    </row>
    <row r="22263" spans="1:7" x14ac:dyDescent="0.25">
      <c r="A22263" t="s">
        <v>8</v>
      </c>
      <c r="B22263" s="1" t="str">
        <f>"S2H00KQB"</f>
        <v>S2H00KQB</v>
      </c>
      <c r="C22263" t="s">
        <v>5499</v>
      </c>
      <c r="D22263" s="1" t="str">
        <f t="shared" si="611"/>
        <v>PRG-1049359</v>
      </c>
      <c r="E22263" t="s">
        <v>4213</v>
      </c>
      <c r="F22263" t="s">
        <v>5</v>
      </c>
      <c r="G22263" t="str">
        <f>""</f>
        <v/>
      </c>
    </row>
    <row r="22264" spans="1:7" x14ac:dyDescent="0.25">
      <c r="A22264" t="s">
        <v>8</v>
      </c>
      <c r="B22264" s="1" t="str">
        <f>"S2H00KQE"</f>
        <v>S2H00KQE</v>
      </c>
      <c r="C22264" t="s">
        <v>5501</v>
      </c>
      <c r="D22264" s="1" t="str">
        <f t="shared" si="611"/>
        <v>PRG-1049359</v>
      </c>
      <c r="E22264" t="s">
        <v>4213</v>
      </c>
      <c r="F22264" t="s">
        <v>5</v>
      </c>
      <c r="G22264" t="str">
        <f>""</f>
        <v/>
      </c>
    </row>
    <row r="22265" spans="1:7" x14ac:dyDescent="0.25">
      <c r="A22265" t="s">
        <v>8</v>
      </c>
      <c r="B22265" s="1" t="str">
        <f>"S2H00KQH"</f>
        <v>S2H00KQH</v>
      </c>
      <c r="C22265" t="s">
        <v>5504</v>
      </c>
      <c r="D22265" s="1" t="str">
        <f t="shared" si="611"/>
        <v>PRG-1049359</v>
      </c>
      <c r="E22265" t="s">
        <v>4213</v>
      </c>
      <c r="F22265" t="s">
        <v>5</v>
      </c>
      <c r="G22265" t="str">
        <f>""</f>
        <v/>
      </c>
    </row>
    <row r="22266" spans="1:7" x14ac:dyDescent="0.25">
      <c r="A22266" t="s">
        <v>8</v>
      </c>
      <c r="B22266" s="1" t="str">
        <f>"S2H00KQI"</f>
        <v>S2H00KQI</v>
      </c>
      <c r="C22266" t="s">
        <v>5505</v>
      </c>
      <c r="D22266" s="1" t="str">
        <f t="shared" si="611"/>
        <v>PRG-1049359</v>
      </c>
      <c r="E22266" t="s">
        <v>4213</v>
      </c>
      <c r="F22266" t="s">
        <v>5</v>
      </c>
      <c r="G22266" t="str">
        <f>""</f>
        <v/>
      </c>
    </row>
    <row r="22267" spans="1:7" x14ac:dyDescent="0.25">
      <c r="A22267" t="s">
        <v>8</v>
      </c>
      <c r="B22267" s="1" t="str">
        <f>"S2H00KQL"</f>
        <v>S2H00KQL</v>
      </c>
      <c r="C22267" t="s">
        <v>5506</v>
      </c>
      <c r="D22267" s="1" t="str">
        <f t="shared" si="611"/>
        <v>PRG-1049359</v>
      </c>
      <c r="E22267" t="s">
        <v>4213</v>
      </c>
      <c r="F22267" t="s">
        <v>5</v>
      </c>
      <c r="G22267" t="str">
        <f>""</f>
        <v/>
      </c>
    </row>
    <row r="22268" spans="1:7" x14ac:dyDescent="0.25">
      <c r="A22268" t="s">
        <v>8</v>
      </c>
      <c r="B22268" s="1" t="str">
        <f>"S2H00KQM"</f>
        <v>S2H00KQM</v>
      </c>
      <c r="C22268" t="s">
        <v>5507</v>
      </c>
      <c r="D22268" s="1" t="str">
        <f t="shared" si="611"/>
        <v>PRG-1049359</v>
      </c>
      <c r="E22268" t="s">
        <v>4213</v>
      </c>
      <c r="F22268" t="s">
        <v>5</v>
      </c>
      <c r="G22268" t="str">
        <f>""</f>
        <v/>
      </c>
    </row>
    <row r="22269" spans="1:7" x14ac:dyDescent="0.25">
      <c r="A22269" t="s">
        <v>8</v>
      </c>
      <c r="B22269" s="1" t="str">
        <f>"S2H00KQN"</f>
        <v>S2H00KQN</v>
      </c>
      <c r="C22269" t="s">
        <v>5508</v>
      </c>
      <c r="D22269" s="1" t="str">
        <f t="shared" si="611"/>
        <v>PRG-1049359</v>
      </c>
      <c r="E22269" t="s">
        <v>4213</v>
      </c>
      <c r="F22269" t="s">
        <v>5</v>
      </c>
      <c r="G22269" t="str">
        <f>""</f>
        <v/>
      </c>
    </row>
    <row r="22270" spans="1:7" x14ac:dyDescent="0.25">
      <c r="A22270" t="s">
        <v>8</v>
      </c>
      <c r="B22270" s="1" t="str">
        <f>"S2H00KQP"</f>
        <v>S2H00KQP</v>
      </c>
      <c r="C22270" t="s">
        <v>5510</v>
      </c>
      <c r="D22270" s="1" t="str">
        <f t="shared" si="611"/>
        <v>PRG-1049359</v>
      </c>
      <c r="E22270" t="s">
        <v>4213</v>
      </c>
      <c r="F22270" t="s">
        <v>5</v>
      </c>
      <c r="G22270" t="str">
        <f>""</f>
        <v/>
      </c>
    </row>
    <row r="22271" spans="1:7" x14ac:dyDescent="0.25">
      <c r="A22271" t="s">
        <v>8</v>
      </c>
      <c r="B22271" s="1" t="str">
        <f>"S2H00KQQ"</f>
        <v>S2H00KQQ</v>
      </c>
      <c r="C22271" t="s">
        <v>5511</v>
      </c>
      <c r="D22271" s="1" t="str">
        <f t="shared" si="611"/>
        <v>PRG-1049359</v>
      </c>
      <c r="E22271" t="s">
        <v>4213</v>
      </c>
      <c r="F22271" t="s">
        <v>5</v>
      </c>
      <c r="G22271" t="str">
        <f>""</f>
        <v/>
      </c>
    </row>
    <row r="22272" spans="1:7" x14ac:dyDescent="0.25">
      <c r="A22272" t="s">
        <v>8</v>
      </c>
      <c r="B22272" s="1" t="str">
        <f>"S2H00KQS"</f>
        <v>S2H00KQS</v>
      </c>
      <c r="C22272" t="s">
        <v>5512</v>
      </c>
      <c r="D22272" s="1" t="str">
        <f t="shared" si="611"/>
        <v>PRG-1049359</v>
      </c>
      <c r="E22272" t="s">
        <v>4213</v>
      </c>
      <c r="F22272" t="s">
        <v>5</v>
      </c>
      <c r="G22272" t="str">
        <f>""</f>
        <v/>
      </c>
    </row>
    <row r="22273" spans="1:7" x14ac:dyDescent="0.25">
      <c r="A22273" t="s">
        <v>8</v>
      </c>
      <c r="B22273" s="1" t="str">
        <f>"S2H00KQT"</f>
        <v>S2H00KQT</v>
      </c>
      <c r="C22273" t="s">
        <v>5513</v>
      </c>
      <c r="D22273" s="1" t="str">
        <f t="shared" si="611"/>
        <v>PRG-1049359</v>
      </c>
      <c r="E22273" t="s">
        <v>4213</v>
      </c>
      <c r="F22273" t="s">
        <v>5</v>
      </c>
      <c r="G22273" t="str">
        <f>""</f>
        <v/>
      </c>
    </row>
    <row r="22274" spans="1:7" x14ac:dyDescent="0.25">
      <c r="A22274" t="s">
        <v>8</v>
      </c>
      <c r="B22274" s="1" t="str">
        <f>"S2J01KOH"</f>
        <v>S2J01KOH</v>
      </c>
      <c r="C22274" t="s">
        <v>5564</v>
      </c>
      <c r="D22274" s="1" t="str">
        <f t="shared" si="611"/>
        <v>PRG-1049359</v>
      </c>
      <c r="E22274" t="s">
        <v>4213</v>
      </c>
      <c r="F22274" t="s">
        <v>5</v>
      </c>
      <c r="G22274" t="str">
        <f>""</f>
        <v/>
      </c>
    </row>
    <row r="22275" spans="1:7" x14ac:dyDescent="0.25">
      <c r="A22275" t="s">
        <v>8</v>
      </c>
      <c r="B22275" s="1" t="str">
        <f>"S2J01KOM"</f>
        <v>S2J01KOM</v>
      </c>
      <c r="C22275" t="s">
        <v>5568</v>
      </c>
      <c r="D22275" s="1" t="str">
        <f t="shared" si="611"/>
        <v>PRG-1049359</v>
      </c>
      <c r="E22275" t="s">
        <v>4213</v>
      </c>
      <c r="F22275" t="s">
        <v>5</v>
      </c>
      <c r="G22275" t="str">
        <f>""</f>
        <v/>
      </c>
    </row>
    <row r="22276" spans="1:7" x14ac:dyDescent="0.25">
      <c r="A22276" t="s">
        <v>8</v>
      </c>
      <c r="B22276" s="1" t="str">
        <f>"S2J01KOO"</f>
        <v>S2J01KOO</v>
      </c>
      <c r="C22276" t="s">
        <v>5570</v>
      </c>
      <c r="D22276" s="1" t="str">
        <f t="shared" si="611"/>
        <v>PRG-1049359</v>
      </c>
      <c r="E22276" t="s">
        <v>4213</v>
      </c>
      <c r="F22276" t="s">
        <v>5</v>
      </c>
      <c r="G22276" t="str">
        <f>""</f>
        <v/>
      </c>
    </row>
    <row r="22277" spans="1:7" x14ac:dyDescent="0.25">
      <c r="A22277" t="s">
        <v>8</v>
      </c>
      <c r="B22277" s="1" t="str">
        <f>"S2J01KOP"</f>
        <v>S2J01KOP</v>
      </c>
      <c r="C22277" t="s">
        <v>5571</v>
      </c>
      <c r="D22277" s="1" t="str">
        <f t="shared" si="611"/>
        <v>PRG-1049359</v>
      </c>
      <c r="E22277" t="s">
        <v>4213</v>
      </c>
      <c r="F22277" t="s">
        <v>5</v>
      </c>
      <c r="G22277" t="str">
        <f>""</f>
        <v/>
      </c>
    </row>
    <row r="22278" spans="1:7" x14ac:dyDescent="0.25">
      <c r="A22278" t="s">
        <v>8</v>
      </c>
      <c r="B22278" s="1" t="str">
        <f>"S2J01KOQ"</f>
        <v>S2J01KOQ</v>
      </c>
      <c r="C22278" t="s">
        <v>5572</v>
      </c>
      <c r="D22278" s="1" t="str">
        <f t="shared" si="611"/>
        <v>PRG-1049359</v>
      </c>
      <c r="E22278" t="s">
        <v>4213</v>
      </c>
      <c r="F22278" t="s">
        <v>5</v>
      </c>
      <c r="G22278" t="str">
        <f>""</f>
        <v/>
      </c>
    </row>
    <row r="22279" spans="1:7" x14ac:dyDescent="0.25">
      <c r="A22279" t="s">
        <v>8</v>
      </c>
      <c r="B22279" s="1" t="str">
        <f>"S2J01KOR"</f>
        <v>S2J01KOR</v>
      </c>
      <c r="C22279" t="s">
        <v>5573</v>
      </c>
      <c r="D22279" s="1" t="str">
        <f t="shared" si="611"/>
        <v>PRG-1049359</v>
      </c>
      <c r="E22279" t="s">
        <v>4213</v>
      </c>
      <c r="F22279" t="s">
        <v>5</v>
      </c>
      <c r="G22279" t="str">
        <f>""</f>
        <v/>
      </c>
    </row>
    <row r="22280" spans="1:7" x14ac:dyDescent="0.25">
      <c r="A22280" t="s">
        <v>8</v>
      </c>
      <c r="B22280" s="1" t="str">
        <f>"S3V00JW0"</f>
        <v>S3V00JW0</v>
      </c>
      <c r="C22280" t="s">
        <v>5646</v>
      </c>
      <c r="D22280" s="1" t="str">
        <f t="shared" si="611"/>
        <v>PRG-1049359</v>
      </c>
      <c r="E22280" t="s">
        <v>4213</v>
      </c>
      <c r="F22280" t="s">
        <v>5</v>
      </c>
      <c r="G22280" t="str">
        <f>""</f>
        <v/>
      </c>
    </row>
    <row r="22281" spans="1:7" x14ac:dyDescent="0.25">
      <c r="A22281" t="s">
        <v>8</v>
      </c>
      <c r="B22281" s="1" t="str">
        <f>"S3V00JW1"</f>
        <v>S3V00JW1</v>
      </c>
      <c r="C22281" t="s">
        <v>5647</v>
      </c>
      <c r="D22281" s="1" t="str">
        <f t="shared" si="611"/>
        <v>PRG-1049359</v>
      </c>
      <c r="E22281" t="s">
        <v>4213</v>
      </c>
      <c r="F22281" t="s">
        <v>5</v>
      </c>
      <c r="G22281" t="str">
        <f>""</f>
        <v/>
      </c>
    </row>
    <row r="22282" spans="1:7" x14ac:dyDescent="0.25">
      <c r="A22282" t="s">
        <v>8</v>
      </c>
      <c r="B22282" s="1" t="str">
        <f>"S3V00JW2"</f>
        <v>S3V00JW2</v>
      </c>
      <c r="C22282" t="s">
        <v>5648</v>
      </c>
      <c r="D22282" s="1" t="str">
        <f t="shared" si="611"/>
        <v>PRG-1049359</v>
      </c>
      <c r="E22282" t="s">
        <v>4213</v>
      </c>
      <c r="F22282" t="s">
        <v>5</v>
      </c>
      <c r="G22282" t="str">
        <f>""</f>
        <v/>
      </c>
    </row>
    <row r="22283" spans="1:7" x14ac:dyDescent="0.25">
      <c r="A22283" t="s">
        <v>8</v>
      </c>
      <c r="B22283" s="1" t="str">
        <f>"S3V00JW4"</f>
        <v>S3V00JW4</v>
      </c>
      <c r="C22283" t="s">
        <v>5650</v>
      </c>
      <c r="D22283" s="1" t="str">
        <f t="shared" si="611"/>
        <v>PRG-1049359</v>
      </c>
      <c r="E22283" t="s">
        <v>4213</v>
      </c>
      <c r="F22283" t="s">
        <v>5</v>
      </c>
      <c r="G22283" t="str">
        <f>""</f>
        <v/>
      </c>
    </row>
    <row r="22284" spans="1:7" x14ac:dyDescent="0.25">
      <c r="A22284" t="s">
        <v>8</v>
      </c>
      <c r="B22284" s="1" t="str">
        <f>"S3V00JW6"</f>
        <v>S3V00JW6</v>
      </c>
      <c r="C22284" t="s">
        <v>5652</v>
      </c>
      <c r="D22284" s="1" t="str">
        <f t="shared" si="611"/>
        <v>PRG-1049359</v>
      </c>
      <c r="E22284" t="s">
        <v>4213</v>
      </c>
      <c r="F22284" t="s">
        <v>5</v>
      </c>
      <c r="G22284" t="str">
        <f>""</f>
        <v/>
      </c>
    </row>
    <row r="22285" spans="1:7" x14ac:dyDescent="0.25">
      <c r="A22285" t="s">
        <v>8</v>
      </c>
      <c r="B22285" s="1" t="str">
        <f>"S3V00JW8"</f>
        <v>S3V00JW8</v>
      </c>
      <c r="C22285" t="s">
        <v>5653</v>
      </c>
      <c r="D22285" s="1" t="str">
        <f t="shared" si="611"/>
        <v>PRG-1049359</v>
      </c>
      <c r="E22285" t="s">
        <v>4213</v>
      </c>
      <c r="F22285" t="s">
        <v>5</v>
      </c>
      <c r="G22285" t="str">
        <f>""</f>
        <v/>
      </c>
    </row>
    <row r="22286" spans="1:7" x14ac:dyDescent="0.25">
      <c r="A22286" t="s">
        <v>8</v>
      </c>
      <c r="B22286" s="1" t="str">
        <f>"S3V00JW9"</f>
        <v>S3V00JW9</v>
      </c>
      <c r="C22286" t="s">
        <v>5654</v>
      </c>
      <c r="D22286" s="1" t="str">
        <f t="shared" si="611"/>
        <v>PRG-1049359</v>
      </c>
      <c r="E22286" t="s">
        <v>4213</v>
      </c>
      <c r="F22286" t="s">
        <v>5</v>
      </c>
      <c r="G22286" t="str">
        <f>""</f>
        <v/>
      </c>
    </row>
    <row r="22287" spans="1:7" x14ac:dyDescent="0.25">
      <c r="A22287" t="s">
        <v>8</v>
      </c>
      <c r="B22287" s="1" t="str">
        <f>"S3V00JWA"</f>
        <v>S3V00JWA</v>
      </c>
      <c r="C22287" t="s">
        <v>5655</v>
      </c>
      <c r="D22287" s="1" t="str">
        <f t="shared" ref="D22287:D22318" si="612">"PRG-1049359"</f>
        <v>PRG-1049359</v>
      </c>
      <c r="E22287" t="s">
        <v>4213</v>
      </c>
      <c r="F22287" t="s">
        <v>5</v>
      </c>
      <c r="G22287" t="str">
        <f>""</f>
        <v/>
      </c>
    </row>
    <row r="22288" spans="1:7" x14ac:dyDescent="0.25">
      <c r="A22288" t="s">
        <v>8</v>
      </c>
      <c r="B22288" s="1" t="str">
        <f>"S3V00JWB"</f>
        <v>S3V00JWB</v>
      </c>
      <c r="C22288" t="s">
        <v>5656</v>
      </c>
      <c r="D22288" s="1" t="str">
        <f t="shared" si="612"/>
        <v>PRG-1049359</v>
      </c>
      <c r="E22288" t="s">
        <v>4213</v>
      </c>
      <c r="F22288" t="s">
        <v>5</v>
      </c>
      <c r="G22288" t="str">
        <f>""</f>
        <v/>
      </c>
    </row>
    <row r="22289" spans="1:7" x14ac:dyDescent="0.25">
      <c r="A22289" t="s">
        <v>8</v>
      </c>
      <c r="B22289" s="1" t="str">
        <f>"S3V00JWC"</f>
        <v>S3V00JWC</v>
      </c>
      <c r="C22289" t="s">
        <v>5657</v>
      </c>
      <c r="D22289" s="1" t="str">
        <f t="shared" si="612"/>
        <v>PRG-1049359</v>
      </c>
      <c r="E22289" t="s">
        <v>4213</v>
      </c>
      <c r="F22289" t="s">
        <v>5</v>
      </c>
      <c r="G22289" t="str">
        <f>""</f>
        <v/>
      </c>
    </row>
    <row r="22290" spans="1:7" x14ac:dyDescent="0.25">
      <c r="A22290" t="s">
        <v>8</v>
      </c>
      <c r="B22290" s="1" t="str">
        <f>"S3V00JWE"</f>
        <v>S3V00JWE</v>
      </c>
      <c r="C22290" t="s">
        <v>5659</v>
      </c>
      <c r="D22290" s="1" t="str">
        <f t="shared" si="612"/>
        <v>PRG-1049359</v>
      </c>
      <c r="E22290" t="s">
        <v>4213</v>
      </c>
      <c r="F22290" t="s">
        <v>5</v>
      </c>
      <c r="G22290" t="str">
        <f>""</f>
        <v/>
      </c>
    </row>
    <row r="22291" spans="1:7" x14ac:dyDescent="0.25">
      <c r="A22291" t="s">
        <v>8</v>
      </c>
      <c r="B22291" s="1" t="str">
        <f>"S3V00JWJ"</f>
        <v>S3V00JWJ</v>
      </c>
      <c r="C22291" t="s">
        <v>5663</v>
      </c>
      <c r="D22291" s="1" t="str">
        <f t="shared" si="612"/>
        <v>PRG-1049359</v>
      </c>
      <c r="E22291" t="s">
        <v>4213</v>
      </c>
      <c r="F22291" t="s">
        <v>5</v>
      </c>
      <c r="G22291" t="str">
        <f>""</f>
        <v/>
      </c>
    </row>
    <row r="22292" spans="1:7" x14ac:dyDescent="0.25">
      <c r="A22292" t="s">
        <v>8</v>
      </c>
      <c r="B22292" s="1" t="str">
        <f>"S4I016T0"</f>
        <v>S4I016T0</v>
      </c>
      <c r="C22292" t="s">
        <v>5728</v>
      </c>
      <c r="D22292" s="1" t="str">
        <f t="shared" si="612"/>
        <v>PRG-1049359</v>
      </c>
      <c r="E22292" t="s">
        <v>4213</v>
      </c>
      <c r="F22292" t="s">
        <v>5</v>
      </c>
      <c r="G22292" t="str">
        <f>""</f>
        <v/>
      </c>
    </row>
    <row r="22293" spans="1:7" x14ac:dyDescent="0.25">
      <c r="A22293" t="s">
        <v>8</v>
      </c>
      <c r="B22293" s="1" t="str">
        <f>"S4V00LIA"</f>
        <v>S4V00LIA</v>
      </c>
      <c r="C22293" t="s">
        <v>5764</v>
      </c>
      <c r="D22293" s="1" t="str">
        <f t="shared" si="612"/>
        <v>PRG-1049359</v>
      </c>
      <c r="E22293" t="s">
        <v>4213</v>
      </c>
      <c r="F22293" t="s">
        <v>5</v>
      </c>
      <c r="G22293" t="str">
        <f>""</f>
        <v/>
      </c>
    </row>
    <row r="22294" spans="1:7" x14ac:dyDescent="0.25">
      <c r="A22294" t="s">
        <v>8</v>
      </c>
      <c r="B22294" s="1" t="str">
        <f>"S4V00LIH"</f>
        <v>S4V00LIH</v>
      </c>
      <c r="C22294" t="s">
        <v>5768</v>
      </c>
      <c r="D22294" s="1" t="str">
        <f t="shared" si="612"/>
        <v>PRG-1049359</v>
      </c>
      <c r="E22294" t="s">
        <v>4213</v>
      </c>
      <c r="F22294" t="s">
        <v>5</v>
      </c>
      <c r="G22294" t="str">
        <f>""</f>
        <v/>
      </c>
    </row>
    <row r="22295" spans="1:7" x14ac:dyDescent="0.25">
      <c r="A22295" t="s">
        <v>8</v>
      </c>
      <c r="B22295" s="1" t="str">
        <f>"S4V00LIY"</f>
        <v>S4V00LIY</v>
      </c>
      <c r="C22295" t="s">
        <v>5782</v>
      </c>
      <c r="D22295" s="1" t="str">
        <f t="shared" si="612"/>
        <v>PRG-1049359</v>
      </c>
      <c r="E22295" t="s">
        <v>4213</v>
      </c>
      <c r="F22295" t="s">
        <v>5</v>
      </c>
      <c r="G22295" t="str">
        <f>""</f>
        <v/>
      </c>
    </row>
    <row r="22296" spans="1:7" x14ac:dyDescent="0.25">
      <c r="A22296" t="s">
        <v>8</v>
      </c>
      <c r="B22296" s="1" t="str">
        <f>"S4V00LIZ"</f>
        <v>S4V00LIZ</v>
      </c>
      <c r="C22296" t="s">
        <v>5783</v>
      </c>
      <c r="D22296" s="1" t="str">
        <f t="shared" si="612"/>
        <v>PRG-1049359</v>
      </c>
      <c r="E22296" t="s">
        <v>4213</v>
      </c>
      <c r="F22296" t="s">
        <v>5</v>
      </c>
      <c r="G22296" t="str">
        <f>""</f>
        <v/>
      </c>
    </row>
    <row r="22297" spans="1:7" x14ac:dyDescent="0.25">
      <c r="A22297" t="s">
        <v>8</v>
      </c>
      <c r="B22297" s="1" t="str">
        <f>"S5D078B0"</f>
        <v>S5D078B0</v>
      </c>
      <c r="C22297" t="s">
        <v>5816</v>
      </c>
      <c r="D22297" s="1" t="str">
        <f t="shared" si="612"/>
        <v>PRG-1049359</v>
      </c>
      <c r="E22297" t="s">
        <v>4213</v>
      </c>
      <c r="F22297" t="s">
        <v>5</v>
      </c>
      <c r="G22297" t="str">
        <f>""</f>
        <v/>
      </c>
    </row>
    <row r="22298" spans="1:7" x14ac:dyDescent="0.25">
      <c r="A22298" t="s">
        <v>8</v>
      </c>
      <c r="B22298" s="1" t="str">
        <f>"S5D078B1"</f>
        <v>S5D078B1</v>
      </c>
      <c r="C22298" t="s">
        <v>5817</v>
      </c>
      <c r="D22298" s="1" t="str">
        <f t="shared" si="612"/>
        <v>PRG-1049359</v>
      </c>
      <c r="E22298" t="s">
        <v>4213</v>
      </c>
      <c r="F22298" t="s">
        <v>5</v>
      </c>
      <c r="G22298" t="str">
        <f>""</f>
        <v/>
      </c>
    </row>
    <row r="22299" spans="1:7" x14ac:dyDescent="0.25">
      <c r="A22299" t="s">
        <v>8</v>
      </c>
      <c r="B22299" s="1" t="str">
        <f>"S5D078B3"</f>
        <v>S5D078B3</v>
      </c>
      <c r="C22299" t="s">
        <v>5818</v>
      </c>
      <c r="D22299" s="1" t="str">
        <f t="shared" si="612"/>
        <v>PRG-1049359</v>
      </c>
      <c r="E22299" t="s">
        <v>4213</v>
      </c>
      <c r="F22299" t="s">
        <v>5</v>
      </c>
      <c r="G22299" t="str">
        <f>""</f>
        <v/>
      </c>
    </row>
    <row r="22300" spans="1:7" x14ac:dyDescent="0.25">
      <c r="A22300" t="s">
        <v>8</v>
      </c>
      <c r="B22300" s="1" t="str">
        <f>"S5D078B4"</f>
        <v>S5D078B4</v>
      </c>
      <c r="C22300" t="s">
        <v>5819</v>
      </c>
      <c r="D22300" s="1" t="str">
        <f t="shared" si="612"/>
        <v>PRG-1049359</v>
      </c>
      <c r="E22300" t="s">
        <v>4213</v>
      </c>
      <c r="F22300" t="s">
        <v>5</v>
      </c>
      <c r="G22300" t="str">
        <f>""</f>
        <v/>
      </c>
    </row>
    <row r="22301" spans="1:7" x14ac:dyDescent="0.25">
      <c r="A22301" t="s">
        <v>8</v>
      </c>
      <c r="B22301" s="1" t="str">
        <f>"S5D078B5"</f>
        <v>S5D078B5</v>
      </c>
      <c r="C22301" t="s">
        <v>5820</v>
      </c>
      <c r="D22301" s="1" t="str">
        <f t="shared" si="612"/>
        <v>PRG-1049359</v>
      </c>
      <c r="E22301" t="s">
        <v>4213</v>
      </c>
      <c r="F22301" t="s">
        <v>5</v>
      </c>
      <c r="G22301" t="str">
        <f>""</f>
        <v/>
      </c>
    </row>
    <row r="22302" spans="1:7" x14ac:dyDescent="0.25">
      <c r="A22302" t="s">
        <v>8</v>
      </c>
      <c r="B22302" s="1" t="str">
        <f>"S5I036Q2"</f>
        <v>S5I036Q2</v>
      </c>
      <c r="C22302" t="s">
        <v>5886</v>
      </c>
      <c r="D22302" s="1" t="str">
        <f t="shared" si="612"/>
        <v>PRG-1049359</v>
      </c>
      <c r="E22302" t="s">
        <v>4213</v>
      </c>
      <c r="F22302" t="s">
        <v>5</v>
      </c>
      <c r="G22302" t="str">
        <f>""</f>
        <v/>
      </c>
    </row>
    <row r="22303" spans="1:7" x14ac:dyDescent="0.25">
      <c r="A22303" t="s">
        <v>8</v>
      </c>
      <c r="B22303" s="1" t="str">
        <f>"S5I036Q6"</f>
        <v>S5I036Q6</v>
      </c>
      <c r="C22303" t="s">
        <v>5890</v>
      </c>
      <c r="D22303" s="1" t="str">
        <f t="shared" si="612"/>
        <v>PRG-1049359</v>
      </c>
      <c r="E22303" t="s">
        <v>4213</v>
      </c>
      <c r="F22303" t="s">
        <v>5</v>
      </c>
      <c r="G22303" t="str">
        <f>""</f>
        <v/>
      </c>
    </row>
    <row r="22304" spans="1:7" x14ac:dyDescent="0.25">
      <c r="A22304" t="s">
        <v>8</v>
      </c>
      <c r="B22304" s="1" t="str">
        <f>"S5I036QC"</f>
        <v>S5I036QC</v>
      </c>
      <c r="C22304" t="s">
        <v>5895</v>
      </c>
      <c r="D22304" s="1" t="str">
        <f t="shared" si="612"/>
        <v>PRG-1049359</v>
      </c>
      <c r="E22304" t="s">
        <v>4213</v>
      </c>
      <c r="F22304" t="s">
        <v>5</v>
      </c>
      <c r="G22304" t="str">
        <f>""</f>
        <v/>
      </c>
    </row>
    <row r="22305" spans="1:7" x14ac:dyDescent="0.25">
      <c r="A22305" t="s">
        <v>8</v>
      </c>
      <c r="B22305" s="1" t="str">
        <f>"S5I036QE"</f>
        <v>S5I036QE</v>
      </c>
      <c r="C22305" t="s">
        <v>5897</v>
      </c>
      <c r="D22305" s="1" t="str">
        <f t="shared" si="612"/>
        <v>PRG-1049359</v>
      </c>
      <c r="E22305" t="s">
        <v>4213</v>
      </c>
      <c r="F22305" t="s">
        <v>5</v>
      </c>
      <c r="G22305" t="str">
        <f>""</f>
        <v/>
      </c>
    </row>
    <row r="22306" spans="1:7" x14ac:dyDescent="0.25">
      <c r="A22306" t="s">
        <v>8</v>
      </c>
      <c r="B22306" s="1" t="str">
        <f>"S5I036QH"</f>
        <v>S5I036QH</v>
      </c>
      <c r="C22306" t="s">
        <v>5900</v>
      </c>
      <c r="D22306" s="1" t="str">
        <f t="shared" si="612"/>
        <v>PRG-1049359</v>
      </c>
      <c r="E22306" t="s">
        <v>4213</v>
      </c>
      <c r="F22306" t="s">
        <v>5</v>
      </c>
      <c r="G22306" t="str">
        <f>""</f>
        <v/>
      </c>
    </row>
    <row r="22307" spans="1:7" x14ac:dyDescent="0.25">
      <c r="A22307" t="s">
        <v>8</v>
      </c>
      <c r="B22307" s="1" t="str">
        <f>"S5I036QJ"</f>
        <v>S5I036QJ</v>
      </c>
      <c r="C22307" t="s">
        <v>5902</v>
      </c>
      <c r="D22307" s="1" t="str">
        <f t="shared" si="612"/>
        <v>PRG-1049359</v>
      </c>
      <c r="E22307" t="s">
        <v>4213</v>
      </c>
      <c r="F22307" t="s">
        <v>5</v>
      </c>
      <c r="G22307" t="str">
        <f>""</f>
        <v/>
      </c>
    </row>
    <row r="22308" spans="1:7" x14ac:dyDescent="0.25">
      <c r="A22308" t="s">
        <v>8</v>
      </c>
      <c r="B22308" s="1" t="str">
        <f>"S5I036QK"</f>
        <v>S5I036QK</v>
      </c>
      <c r="C22308" t="s">
        <v>5903</v>
      </c>
      <c r="D22308" s="1" t="str">
        <f t="shared" si="612"/>
        <v>PRG-1049359</v>
      </c>
      <c r="E22308" t="s">
        <v>4213</v>
      </c>
      <c r="F22308" t="s">
        <v>5</v>
      </c>
      <c r="G22308" t="str">
        <f>""</f>
        <v/>
      </c>
    </row>
    <row r="22309" spans="1:7" x14ac:dyDescent="0.25">
      <c r="A22309" t="s">
        <v>8</v>
      </c>
      <c r="B22309" s="1" t="str">
        <f>"S5I036QL"</f>
        <v>S5I036QL</v>
      </c>
      <c r="C22309" t="s">
        <v>5904</v>
      </c>
      <c r="D22309" s="1" t="str">
        <f t="shared" si="612"/>
        <v>PRG-1049359</v>
      </c>
      <c r="E22309" t="s">
        <v>4213</v>
      </c>
      <c r="F22309" t="s">
        <v>5</v>
      </c>
      <c r="G22309" t="str">
        <f>""</f>
        <v/>
      </c>
    </row>
    <row r="22310" spans="1:7" x14ac:dyDescent="0.25">
      <c r="A22310" t="s">
        <v>8</v>
      </c>
      <c r="B22310" s="1" t="str">
        <f>"S5I036QM"</f>
        <v>S5I036QM</v>
      </c>
      <c r="C22310" t="s">
        <v>5905</v>
      </c>
      <c r="D22310" s="1" t="str">
        <f t="shared" si="612"/>
        <v>PRG-1049359</v>
      </c>
      <c r="E22310" t="s">
        <v>4213</v>
      </c>
      <c r="F22310" t="s">
        <v>5</v>
      </c>
      <c r="G22310" t="str">
        <f>""</f>
        <v/>
      </c>
    </row>
    <row r="22311" spans="1:7" x14ac:dyDescent="0.25">
      <c r="A22311" t="s">
        <v>8</v>
      </c>
      <c r="B22311" s="1" t="str">
        <f>"S5Z01D40"</f>
        <v>S5Z01D40</v>
      </c>
      <c r="C22311" t="s">
        <v>5961</v>
      </c>
      <c r="D22311" s="1" t="str">
        <f t="shared" si="612"/>
        <v>PRG-1049359</v>
      </c>
      <c r="E22311" t="s">
        <v>4213</v>
      </c>
      <c r="F22311" t="s">
        <v>5</v>
      </c>
      <c r="G22311" t="str">
        <f>""</f>
        <v/>
      </c>
    </row>
    <row r="22312" spans="1:7" x14ac:dyDescent="0.25">
      <c r="A22312" t="s">
        <v>8</v>
      </c>
      <c r="B22312" s="1" t="str">
        <f>"S5Z01NN2"</f>
        <v>S5Z01NN2</v>
      </c>
      <c r="C22312" t="s">
        <v>5969</v>
      </c>
      <c r="D22312" s="1" t="str">
        <f t="shared" si="612"/>
        <v>PRG-1049359</v>
      </c>
      <c r="E22312" t="s">
        <v>4213</v>
      </c>
      <c r="F22312" t="s">
        <v>5</v>
      </c>
      <c r="G22312" t="str">
        <f>""</f>
        <v/>
      </c>
    </row>
    <row r="22313" spans="1:7" x14ac:dyDescent="0.25">
      <c r="A22313" t="s">
        <v>8</v>
      </c>
      <c r="B22313" s="1" t="str">
        <f>"S5Z01NN6"</f>
        <v>S5Z01NN6</v>
      </c>
      <c r="C22313" t="s">
        <v>5973</v>
      </c>
      <c r="D22313" s="1" t="str">
        <f t="shared" si="612"/>
        <v>PRG-1049359</v>
      </c>
      <c r="E22313" t="s">
        <v>4213</v>
      </c>
      <c r="F22313" t="s">
        <v>5</v>
      </c>
      <c r="G22313" t="str">
        <f>""</f>
        <v/>
      </c>
    </row>
    <row r="22314" spans="1:7" x14ac:dyDescent="0.25">
      <c r="A22314" t="s">
        <v>8</v>
      </c>
      <c r="B22314" s="1" t="str">
        <f>"S5Z01NN7"</f>
        <v>S5Z01NN7</v>
      </c>
      <c r="C22314" t="s">
        <v>5974</v>
      </c>
      <c r="D22314" s="1" t="str">
        <f t="shared" si="612"/>
        <v>PRG-1049359</v>
      </c>
      <c r="E22314" t="s">
        <v>4213</v>
      </c>
      <c r="F22314" t="s">
        <v>5</v>
      </c>
      <c r="G22314" t="str">
        <f>""</f>
        <v/>
      </c>
    </row>
    <row r="22315" spans="1:7" x14ac:dyDescent="0.25">
      <c r="A22315" t="s">
        <v>8</v>
      </c>
      <c r="B22315" s="1" t="str">
        <f>"S5Z01NN8"</f>
        <v>S5Z01NN8</v>
      </c>
      <c r="C22315" t="s">
        <v>5975</v>
      </c>
      <c r="D22315" s="1" t="str">
        <f t="shared" si="612"/>
        <v>PRG-1049359</v>
      </c>
      <c r="E22315" t="s">
        <v>4213</v>
      </c>
      <c r="F22315" t="s">
        <v>5</v>
      </c>
      <c r="G22315" t="str">
        <f>""</f>
        <v/>
      </c>
    </row>
    <row r="22316" spans="1:7" x14ac:dyDescent="0.25">
      <c r="A22316" t="s">
        <v>8</v>
      </c>
      <c r="B22316" s="1" t="str">
        <f>"S6J04AJ3"</f>
        <v>S6J04AJ3</v>
      </c>
      <c r="C22316" t="s">
        <v>6130</v>
      </c>
      <c r="D22316" s="1" t="str">
        <f t="shared" si="612"/>
        <v>PRG-1049359</v>
      </c>
      <c r="E22316" t="s">
        <v>4213</v>
      </c>
      <c r="F22316" t="s">
        <v>5</v>
      </c>
      <c r="G22316" t="str">
        <f>""</f>
        <v/>
      </c>
    </row>
    <row r="22317" spans="1:7" x14ac:dyDescent="0.25">
      <c r="A22317" t="s">
        <v>8</v>
      </c>
      <c r="B22317" s="1" t="str">
        <f>"S6J04AJ9"</f>
        <v>S6J04AJ9</v>
      </c>
      <c r="C22317" t="s">
        <v>6136</v>
      </c>
      <c r="D22317" s="1" t="str">
        <f t="shared" si="612"/>
        <v>PRG-1049359</v>
      </c>
      <c r="E22317" t="s">
        <v>4213</v>
      </c>
      <c r="F22317" t="s">
        <v>5</v>
      </c>
      <c r="G22317" t="str">
        <f>""</f>
        <v/>
      </c>
    </row>
    <row r="22318" spans="1:7" x14ac:dyDescent="0.25">
      <c r="A22318" t="s">
        <v>8</v>
      </c>
      <c r="B22318" s="1" t="str">
        <f>"S6J04AJD"</f>
        <v>S6J04AJD</v>
      </c>
      <c r="C22318" t="s">
        <v>6140</v>
      </c>
      <c r="D22318" s="1" t="str">
        <f t="shared" si="612"/>
        <v>PRG-1049359</v>
      </c>
      <c r="E22318" t="s">
        <v>4213</v>
      </c>
      <c r="F22318" t="s">
        <v>5</v>
      </c>
      <c r="G22318" t="str">
        <f>""</f>
        <v/>
      </c>
    </row>
    <row r="22319" spans="1:7" x14ac:dyDescent="0.25">
      <c r="A22319" t="s">
        <v>8</v>
      </c>
      <c r="B22319" s="1" t="str">
        <f>"S6J04AJE"</f>
        <v>S6J04AJE</v>
      </c>
      <c r="C22319" t="s">
        <v>6141</v>
      </c>
      <c r="D22319" s="1" t="str">
        <f t="shared" ref="D22319:D22350" si="613">"PRG-1049359"</f>
        <v>PRG-1049359</v>
      </c>
      <c r="E22319" t="s">
        <v>4213</v>
      </c>
      <c r="F22319" t="s">
        <v>5</v>
      </c>
      <c r="G22319" t="str">
        <f>""</f>
        <v/>
      </c>
    </row>
    <row r="22320" spans="1:7" x14ac:dyDescent="0.25">
      <c r="A22320" t="s">
        <v>8</v>
      </c>
      <c r="B22320" s="1" t="str">
        <f>"S6J04AJG"</f>
        <v>S6J04AJG</v>
      </c>
      <c r="C22320" t="s">
        <v>6143</v>
      </c>
      <c r="D22320" s="1" t="str">
        <f t="shared" si="613"/>
        <v>PRG-1049359</v>
      </c>
      <c r="E22320" t="s">
        <v>4213</v>
      </c>
      <c r="F22320" t="s">
        <v>5</v>
      </c>
      <c r="G22320" t="str">
        <f>""</f>
        <v/>
      </c>
    </row>
    <row r="22321" spans="1:7" x14ac:dyDescent="0.25">
      <c r="A22321" t="s">
        <v>8</v>
      </c>
      <c r="B22321" s="1" t="str">
        <f>"S6J04AJH"</f>
        <v>S6J04AJH</v>
      </c>
      <c r="C22321" t="s">
        <v>6144</v>
      </c>
      <c r="D22321" s="1" t="str">
        <f t="shared" si="613"/>
        <v>PRG-1049359</v>
      </c>
      <c r="E22321" t="s">
        <v>4213</v>
      </c>
      <c r="F22321" t="s">
        <v>5</v>
      </c>
      <c r="G22321" t="str">
        <f>""</f>
        <v/>
      </c>
    </row>
    <row r="22322" spans="1:7" x14ac:dyDescent="0.25">
      <c r="A22322" t="s">
        <v>8</v>
      </c>
      <c r="B22322" s="1" t="str">
        <f>"S8E00R00"</f>
        <v>S8E00R00</v>
      </c>
      <c r="C22322" t="s">
        <v>6221</v>
      </c>
      <c r="D22322" s="1" t="str">
        <f t="shared" si="613"/>
        <v>PRG-1049359</v>
      </c>
      <c r="E22322" t="s">
        <v>4213</v>
      </c>
      <c r="F22322" t="s">
        <v>5</v>
      </c>
      <c r="G22322" t="str">
        <f>""</f>
        <v/>
      </c>
    </row>
    <row r="22323" spans="1:7" x14ac:dyDescent="0.25">
      <c r="A22323" t="s">
        <v>8</v>
      </c>
      <c r="B22323" s="1" t="str">
        <f>"S8E00R02"</f>
        <v>S8E00R02</v>
      </c>
      <c r="C22323" t="s">
        <v>6223</v>
      </c>
      <c r="D22323" s="1" t="str">
        <f t="shared" si="613"/>
        <v>PRG-1049359</v>
      </c>
      <c r="E22323" t="s">
        <v>4213</v>
      </c>
      <c r="F22323" t="s">
        <v>5</v>
      </c>
      <c r="G22323" t="str">
        <f>""</f>
        <v/>
      </c>
    </row>
    <row r="22324" spans="1:7" x14ac:dyDescent="0.25">
      <c r="A22324" t="s">
        <v>8</v>
      </c>
      <c r="B22324" s="1" t="str">
        <f>"S8E00R04"</f>
        <v>S8E00R04</v>
      </c>
      <c r="C22324" t="s">
        <v>6225</v>
      </c>
      <c r="D22324" s="1" t="str">
        <f t="shared" si="613"/>
        <v>PRG-1049359</v>
      </c>
      <c r="E22324" t="s">
        <v>4213</v>
      </c>
      <c r="F22324" t="s">
        <v>5</v>
      </c>
      <c r="G22324" t="str">
        <f>""</f>
        <v/>
      </c>
    </row>
    <row r="22325" spans="1:7" x14ac:dyDescent="0.25">
      <c r="A22325" t="s">
        <v>8</v>
      </c>
      <c r="B22325" s="1" t="str">
        <f>"S8E00R05"</f>
        <v>S8E00R05</v>
      </c>
      <c r="C22325" t="s">
        <v>6226</v>
      </c>
      <c r="D22325" s="1" t="str">
        <f t="shared" si="613"/>
        <v>PRG-1049359</v>
      </c>
      <c r="E22325" t="s">
        <v>4213</v>
      </c>
      <c r="F22325" t="s">
        <v>5</v>
      </c>
      <c r="G22325" t="str">
        <f>""</f>
        <v/>
      </c>
    </row>
    <row r="22326" spans="1:7" x14ac:dyDescent="0.25">
      <c r="A22326" t="s">
        <v>8</v>
      </c>
      <c r="B22326" s="1" t="str">
        <f>"S8E00R0B"</f>
        <v>S8E00R0B</v>
      </c>
      <c r="C22326" t="s">
        <v>6232</v>
      </c>
      <c r="D22326" s="1" t="str">
        <f t="shared" si="613"/>
        <v>PRG-1049359</v>
      </c>
      <c r="E22326" t="s">
        <v>4213</v>
      </c>
      <c r="F22326" t="s">
        <v>5</v>
      </c>
      <c r="G22326" t="str">
        <f>""</f>
        <v/>
      </c>
    </row>
    <row r="22327" spans="1:7" x14ac:dyDescent="0.25">
      <c r="A22327" t="s">
        <v>8</v>
      </c>
      <c r="B22327" s="1" t="str">
        <f>"S8E00R0C"</f>
        <v>S8E00R0C</v>
      </c>
      <c r="C22327" t="s">
        <v>6233</v>
      </c>
      <c r="D22327" s="1" t="str">
        <f t="shared" si="613"/>
        <v>PRG-1049359</v>
      </c>
      <c r="E22327" t="s">
        <v>4213</v>
      </c>
      <c r="F22327" t="s">
        <v>5</v>
      </c>
      <c r="G22327" t="str">
        <f>""</f>
        <v/>
      </c>
    </row>
    <row r="22328" spans="1:7" x14ac:dyDescent="0.25">
      <c r="A22328" t="s">
        <v>8</v>
      </c>
      <c r="B22328" s="1" t="str">
        <f>"S8E00R0D"</f>
        <v>S8E00R0D</v>
      </c>
      <c r="C22328" t="s">
        <v>6234</v>
      </c>
      <c r="D22328" s="1" t="str">
        <f t="shared" si="613"/>
        <v>PRG-1049359</v>
      </c>
      <c r="E22328" t="s">
        <v>4213</v>
      </c>
      <c r="F22328" t="s">
        <v>5</v>
      </c>
      <c r="G22328" t="str">
        <f>""</f>
        <v/>
      </c>
    </row>
    <row r="22329" spans="1:7" x14ac:dyDescent="0.25">
      <c r="A22329" t="s">
        <v>8</v>
      </c>
      <c r="B22329" s="1" t="str">
        <f>"S8E00R0G"</f>
        <v>S8E00R0G</v>
      </c>
      <c r="C22329" t="s">
        <v>6236</v>
      </c>
      <c r="D22329" s="1" t="str">
        <f t="shared" si="613"/>
        <v>PRG-1049359</v>
      </c>
      <c r="E22329" t="s">
        <v>4213</v>
      </c>
      <c r="F22329" t="s">
        <v>5</v>
      </c>
      <c r="G22329" t="str">
        <f>""</f>
        <v/>
      </c>
    </row>
    <row r="22330" spans="1:7" x14ac:dyDescent="0.25">
      <c r="A22330" t="s">
        <v>8</v>
      </c>
      <c r="B22330" s="1" t="str">
        <f>"S8E00R0I"</f>
        <v>S8E00R0I</v>
      </c>
      <c r="C22330" t="s">
        <v>6238</v>
      </c>
      <c r="D22330" s="1" t="str">
        <f t="shared" si="613"/>
        <v>PRG-1049359</v>
      </c>
      <c r="E22330" t="s">
        <v>4213</v>
      </c>
      <c r="F22330" t="s">
        <v>5</v>
      </c>
      <c r="G22330" t="str">
        <f>""</f>
        <v/>
      </c>
    </row>
    <row r="22331" spans="1:7" x14ac:dyDescent="0.25">
      <c r="A22331" t="s">
        <v>8</v>
      </c>
      <c r="B22331" s="1" t="str">
        <f>"S8E00R0J"</f>
        <v>S8E00R0J</v>
      </c>
      <c r="C22331" t="s">
        <v>6239</v>
      </c>
      <c r="D22331" s="1" t="str">
        <f t="shared" si="613"/>
        <v>PRG-1049359</v>
      </c>
      <c r="E22331" t="s">
        <v>4213</v>
      </c>
      <c r="F22331" t="s">
        <v>5</v>
      </c>
      <c r="G22331" t="str">
        <f>""</f>
        <v/>
      </c>
    </row>
    <row r="22332" spans="1:7" x14ac:dyDescent="0.25">
      <c r="A22332" t="s">
        <v>8</v>
      </c>
      <c r="B22332" s="1" t="str">
        <f>"S8N001Z0"</f>
        <v>S8N001Z0</v>
      </c>
      <c r="C22332" t="s">
        <v>6249</v>
      </c>
      <c r="D22332" s="1" t="str">
        <f t="shared" si="613"/>
        <v>PRG-1049359</v>
      </c>
      <c r="E22332" t="s">
        <v>4213</v>
      </c>
      <c r="F22332" t="s">
        <v>5</v>
      </c>
      <c r="G22332" t="str">
        <f>""</f>
        <v/>
      </c>
    </row>
    <row r="22333" spans="1:7" x14ac:dyDescent="0.25">
      <c r="A22333" t="s">
        <v>8</v>
      </c>
      <c r="B22333" s="1" t="str">
        <f>"S8N015O2"</f>
        <v>S8N015O2</v>
      </c>
      <c r="C22333" t="s">
        <v>6265</v>
      </c>
      <c r="D22333" s="1" t="str">
        <f t="shared" si="613"/>
        <v>PRG-1049359</v>
      </c>
      <c r="E22333" t="s">
        <v>4213</v>
      </c>
      <c r="F22333" t="s">
        <v>5</v>
      </c>
      <c r="G22333" t="str">
        <f>""</f>
        <v/>
      </c>
    </row>
    <row r="22334" spans="1:7" x14ac:dyDescent="0.25">
      <c r="A22334" t="s">
        <v>8</v>
      </c>
      <c r="B22334" s="1" t="str">
        <f>"S8N015O3"</f>
        <v>S8N015O3</v>
      </c>
      <c r="C22334" t="s">
        <v>6266</v>
      </c>
      <c r="D22334" s="1" t="str">
        <f t="shared" si="613"/>
        <v>PRG-1049359</v>
      </c>
      <c r="E22334" t="s">
        <v>4213</v>
      </c>
      <c r="F22334" t="s">
        <v>5</v>
      </c>
      <c r="G22334" t="str">
        <f>""</f>
        <v/>
      </c>
    </row>
    <row r="22335" spans="1:7" x14ac:dyDescent="0.25">
      <c r="A22335" t="s">
        <v>8</v>
      </c>
      <c r="B22335" s="1" t="str">
        <f>"S8N015O4"</f>
        <v>S8N015O4</v>
      </c>
      <c r="C22335" t="s">
        <v>6267</v>
      </c>
      <c r="D22335" s="1" t="str">
        <f t="shared" si="613"/>
        <v>PRG-1049359</v>
      </c>
      <c r="E22335" t="s">
        <v>4213</v>
      </c>
      <c r="F22335" t="s">
        <v>5</v>
      </c>
      <c r="G22335" t="str">
        <f>""</f>
        <v/>
      </c>
    </row>
    <row r="22336" spans="1:7" x14ac:dyDescent="0.25">
      <c r="A22336" t="s">
        <v>8</v>
      </c>
      <c r="B22336" s="1" t="str">
        <f>"S9B00WN2"</f>
        <v>S9B00WN2</v>
      </c>
      <c r="C22336" t="s">
        <v>6303</v>
      </c>
      <c r="D22336" s="1" t="str">
        <f t="shared" si="613"/>
        <v>PRG-1049359</v>
      </c>
      <c r="E22336" t="s">
        <v>4213</v>
      </c>
      <c r="F22336" t="s">
        <v>5</v>
      </c>
      <c r="G22336" t="str">
        <f>""</f>
        <v/>
      </c>
    </row>
    <row r="22337" spans="1:7" x14ac:dyDescent="0.25">
      <c r="A22337" t="s">
        <v>8</v>
      </c>
      <c r="B22337" s="1" t="str">
        <f>"S9B00WN3"</f>
        <v>S9B00WN3</v>
      </c>
      <c r="C22337" t="s">
        <v>6304</v>
      </c>
      <c r="D22337" s="1" t="str">
        <f t="shared" si="613"/>
        <v>PRG-1049359</v>
      </c>
      <c r="E22337" t="s">
        <v>4213</v>
      </c>
      <c r="F22337" t="s">
        <v>5</v>
      </c>
      <c r="G22337" t="str">
        <f>""</f>
        <v/>
      </c>
    </row>
    <row r="22338" spans="1:7" x14ac:dyDescent="0.25">
      <c r="A22338" t="s">
        <v>8</v>
      </c>
      <c r="B22338" s="1" t="str">
        <f>"S9B00WN5"</f>
        <v>S9B00WN5</v>
      </c>
      <c r="C22338" t="s">
        <v>6305</v>
      </c>
      <c r="D22338" s="1" t="str">
        <f t="shared" si="613"/>
        <v>PRG-1049359</v>
      </c>
      <c r="E22338" t="s">
        <v>4213</v>
      </c>
      <c r="F22338" t="s">
        <v>5</v>
      </c>
      <c r="G22338" t="str">
        <f>""</f>
        <v/>
      </c>
    </row>
    <row r="22339" spans="1:7" x14ac:dyDescent="0.25">
      <c r="A22339" t="s">
        <v>8</v>
      </c>
      <c r="B22339" s="1" t="str">
        <f>"S9B00WN8"</f>
        <v>S9B00WN8</v>
      </c>
      <c r="C22339" t="s">
        <v>6306</v>
      </c>
      <c r="D22339" s="1" t="str">
        <f t="shared" si="613"/>
        <v>PRG-1049359</v>
      </c>
      <c r="E22339" t="s">
        <v>4213</v>
      </c>
      <c r="F22339" t="s">
        <v>5</v>
      </c>
      <c r="G22339" t="str">
        <f>""</f>
        <v/>
      </c>
    </row>
    <row r="22340" spans="1:7" x14ac:dyDescent="0.25">
      <c r="A22340" t="s">
        <v>8</v>
      </c>
      <c r="B22340" s="1" t="str">
        <f>"S9B00WNA"</f>
        <v>S9B00WNA</v>
      </c>
      <c r="C22340" t="s">
        <v>6308</v>
      </c>
      <c r="D22340" s="1" t="str">
        <f t="shared" si="613"/>
        <v>PRG-1049359</v>
      </c>
      <c r="E22340" t="s">
        <v>4213</v>
      </c>
      <c r="F22340" t="s">
        <v>5</v>
      </c>
      <c r="G22340" t="str">
        <f>""</f>
        <v/>
      </c>
    </row>
    <row r="22341" spans="1:7" x14ac:dyDescent="0.25">
      <c r="A22341" t="s">
        <v>8</v>
      </c>
      <c r="B22341" s="1" t="str">
        <f>"S9D01462"</f>
        <v>S9D01462</v>
      </c>
      <c r="C22341" t="s">
        <v>6354</v>
      </c>
      <c r="D22341" s="1" t="str">
        <f t="shared" si="613"/>
        <v>PRG-1049359</v>
      </c>
      <c r="E22341" t="s">
        <v>4213</v>
      </c>
      <c r="F22341" t="s">
        <v>5</v>
      </c>
      <c r="G22341" t="str">
        <f>""</f>
        <v/>
      </c>
    </row>
    <row r="22342" spans="1:7" x14ac:dyDescent="0.25">
      <c r="A22342" t="s">
        <v>8</v>
      </c>
      <c r="B22342" s="1" t="str">
        <f>"S9D01465"</f>
        <v>S9D01465</v>
      </c>
      <c r="C22342" t="s">
        <v>6357</v>
      </c>
      <c r="D22342" s="1" t="str">
        <f t="shared" si="613"/>
        <v>PRG-1049359</v>
      </c>
      <c r="E22342" t="s">
        <v>4213</v>
      </c>
      <c r="F22342" t="s">
        <v>5</v>
      </c>
      <c r="G22342" t="str">
        <f>""</f>
        <v/>
      </c>
    </row>
    <row r="22343" spans="1:7" x14ac:dyDescent="0.25">
      <c r="A22343" t="s">
        <v>8</v>
      </c>
      <c r="B22343" s="1" t="str">
        <f>"S9D01466"</f>
        <v>S9D01466</v>
      </c>
      <c r="C22343" t="s">
        <v>6358</v>
      </c>
      <c r="D22343" s="1" t="str">
        <f t="shared" si="613"/>
        <v>PRG-1049359</v>
      </c>
      <c r="E22343" t="s">
        <v>4213</v>
      </c>
      <c r="F22343" t="s">
        <v>5</v>
      </c>
      <c r="G22343" t="str">
        <f>""</f>
        <v/>
      </c>
    </row>
    <row r="22344" spans="1:7" x14ac:dyDescent="0.25">
      <c r="A22344" t="s">
        <v>8</v>
      </c>
      <c r="B22344" s="1" t="str">
        <f>"T3V000FI"</f>
        <v>T3V000FI</v>
      </c>
      <c r="C22344" t="s">
        <v>6406</v>
      </c>
      <c r="D22344" s="1" t="str">
        <f t="shared" si="613"/>
        <v>PRG-1049359</v>
      </c>
      <c r="E22344" t="s">
        <v>4213</v>
      </c>
      <c r="F22344" t="s">
        <v>5</v>
      </c>
      <c r="G22344" t="str">
        <f>""</f>
        <v/>
      </c>
    </row>
    <row r="22345" spans="1:7" x14ac:dyDescent="0.25">
      <c r="A22345" t="s">
        <v>8</v>
      </c>
      <c r="B22345" s="1" t="str">
        <f>"T3V000HE"</f>
        <v>T3V000HE</v>
      </c>
      <c r="C22345" t="s">
        <v>6407</v>
      </c>
      <c r="D22345" s="1" t="str">
        <f t="shared" si="613"/>
        <v>PRG-1049359</v>
      </c>
      <c r="E22345" t="s">
        <v>4213</v>
      </c>
      <c r="F22345" t="s">
        <v>5</v>
      </c>
      <c r="G22345" t="str">
        <f>""</f>
        <v/>
      </c>
    </row>
    <row r="22346" spans="1:7" x14ac:dyDescent="0.25">
      <c r="A22346" t="s">
        <v>8</v>
      </c>
      <c r="B22346" s="1" t="str">
        <f>"T3V000HT"</f>
        <v>T3V000HT</v>
      </c>
      <c r="C22346" t="s">
        <v>6408</v>
      </c>
      <c r="D22346" s="1" t="str">
        <f t="shared" si="613"/>
        <v>PRG-1049359</v>
      </c>
      <c r="E22346" t="s">
        <v>4213</v>
      </c>
      <c r="F22346" t="s">
        <v>5</v>
      </c>
      <c r="G22346" t="str">
        <f>""</f>
        <v/>
      </c>
    </row>
    <row r="22347" spans="1:7" x14ac:dyDescent="0.25">
      <c r="A22347" t="s">
        <v>8</v>
      </c>
      <c r="B22347" s="1" t="str">
        <f>"T3V000IA"</f>
        <v>T3V000IA</v>
      </c>
      <c r="C22347" t="s">
        <v>6409</v>
      </c>
      <c r="D22347" s="1" t="str">
        <f t="shared" si="613"/>
        <v>PRG-1049359</v>
      </c>
      <c r="E22347" t="s">
        <v>4213</v>
      </c>
      <c r="F22347" t="s">
        <v>5</v>
      </c>
      <c r="G22347" t="str">
        <f>""</f>
        <v/>
      </c>
    </row>
    <row r="22348" spans="1:7" x14ac:dyDescent="0.25">
      <c r="A22348" t="s">
        <v>8</v>
      </c>
      <c r="B22348" s="1" t="str">
        <f>"T3V000IQ"</f>
        <v>T3V000IQ</v>
      </c>
      <c r="C22348" t="s">
        <v>6410</v>
      </c>
      <c r="D22348" s="1" t="str">
        <f t="shared" si="613"/>
        <v>PRG-1049359</v>
      </c>
      <c r="E22348" t="s">
        <v>4213</v>
      </c>
      <c r="F22348" t="s">
        <v>5</v>
      </c>
      <c r="G22348" t="str">
        <f>""</f>
        <v/>
      </c>
    </row>
    <row r="22349" spans="1:7" x14ac:dyDescent="0.25">
      <c r="A22349" t="s">
        <v>8</v>
      </c>
      <c r="B22349" s="1" t="str">
        <f>"T3V000IW"</f>
        <v>T3V000IW</v>
      </c>
      <c r="C22349" t="s">
        <v>6411</v>
      </c>
      <c r="D22349" s="1" t="str">
        <f t="shared" si="613"/>
        <v>PRG-1049359</v>
      </c>
      <c r="E22349" t="s">
        <v>4213</v>
      </c>
      <c r="F22349" t="s">
        <v>5</v>
      </c>
      <c r="G22349" t="str">
        <f>""</f>
        <v/>
      </c>
    </row>
    <row r="22350" spans="1:7" x14ac:dyDescent="0.25">
      <c r="A22350" t="s">
        <v>8</v>
      </c>
      <c r="B22350" s="1" t="str">
        <f>"T3V000JE"</f>
        <v>T3V000JE</v>
      </c>
      <c r="C22350" t="s">
        <v>6413</v>
      </c>
      <c r="D22350" s="1" t="str">
        <f t="shared" si="613"/>
        <v>PRG-1049359</v>
      </c>
      <c r="E22350" t="s">
        <v>4213</v>
      </c>
      <c r="F22350" t="s">
        <v>5</v>
      </c>
      <c r="G22350" t="str">
        <f>""</f>
        <v/>
      </c>
    </row>
    <row r="22351" spans="1:7" x14ac:dyDescent="0.25">
      <c r="A22351" t="s">
        <v>8</v>
      </c>
      <c r="B22351" s="1" t="str">
        <f>"T3V000KM"</f>
        <v>T3V000KM</v>
      </c>
      <c r="C22351" t="s">
        <v>6414</v>
      </c>
      <c r="D22351" s="1" t="str">
        <f t="shared" ref="D22351:D22364" si="614">"PRG-1049359"</f>
        <v>PRG-1049359</v>
      </c>
      <c r="E22351" t="s">
        <v>4213</v>
      </c>
      <c r="F22351" t="s">
        <v>5</v>
      </c>
      <c r="G22351" t="str">
        <f>""</f>
        <v/>
      </c>
    </row>
    <row r="22352" spans="1:7" x14ac:dyDescent="0.25">
      <c r="A22352" t="s">
        <v>8</v>
      </c>
      <c r="B22352" s="1" t="str">
        <f>"T3V000RE"</f>
        <v>T3V000RE</v>
      </c>
      <c r="C22352" t="s">
        <v>6416</v>
      </c>
      <c r="D22352" s="1" t="str">
        <f t="shared" si="614"/>
        <v>PRG-1049359</v>
      </c>
      <c r="E22352" t="s">
        <v>4213</v>
      </c>
      <c r="F22352" t="s">
        <v>5</v>
      </c>
      <c r="G22352" t="str">
        <f>""</f>
        <v/>
      </c>
    </row>
    <row r="22353" spans="1:7" x14ac:dyDescent="0.25">
      <c r="A22353" t="s">
        <v>8</v>
      </c>
      <c r="B22353" s="1" t="str">
        <f>"T3V000TY"</f>
        <v>T3V000TY</v>
      </c>
      <c r="C22353" t="s">
        <v>6417</v>
      </c>
      <c r="D22353" s="1" t="str">
        <f t="shared" si="614"/>
        <v>PRG-1049359</v>
      </c>
      <c r="E22353" t="s">
        <v>4213</v>
      </c>
      <c r="F22353" t="s">
        <v>5</v>
      </c>
      <c r="G22353" t="str">
        <f>""</f>
        <v/>
      </c>
    </row>
    <row r="22354" spans="1:7" x14ac:dyDescent="0.25">
      <c r="A22354" t="s">
        <v>8</v>
      </c>
      <c r="B22354" s="1" t="str">
        <f>"T3V000XI"</f>
        <v>T3V000XI</v>
      </c>
      <c r="C22354" t="s">
        <v>6418</v>
      </c>
      <c r="D22354" s="1" t="str">
        <f t="shared" si="614"/>
        <v>PRG-1049359</v>
      </c>
      <c r="E22354" t="s">
        <v>4213</v>
      </c>
      <c r="F22354" t="s">
        <v>5</v>
      </c>
      <c r="G22354" t="str">
        <f>""</f>
        <v/>
      </c>
    </row>
    <row r="22355" spans="1:7" x14ac:dyDescent="0.25">
      <c r="A22355" t="s">
        <v>8</v>
      </c>
      <c r="B22355" s="1" t="str">
        <f>"T3V000XJ"</f>
        <v>T3V000XJ</v>
      </c>
      <c r="C22355" t="s">
        <v>6419</v>
      </c>
      <c r="D22355" s="1" t="str">
        <f t="shared" si="614"/>
        <v>PRG-1049359</v>
      </c>
      <c r="E22355" t="s">
        <v>4213</v>
      </c>
      <c r="F22355" t="s">
        <v>5</v>
      </c>
      <c r="G22355" t="str">
        <f>""</f>
        <v/>
      </c>
    </row>
    <row r="22356" spans="1:7" x14ac:dyDescent="0.25">
      <c r="A22356" t="s">
        <v>8</v>
      </c>
      <c r="B22356" s="1" t="str">
        <f>"T3V0010M"</f>
        <v>T3V0010M</v>
      </c>
      <c r="C22356" t="s">
        <v>6421</v>
      </c>
      <c r="D22356" s="1" t="str">
        <f t="shared" si="614"/>
        <v>PRG-1049359</v>
      </c>
      <c r="E22356" t="s">
        <v>4213</v>
      </c>
      <c r="F22356" t="s">
        <v>5</v>
      </c>
      <c r="G22356" t="str">
        <f>""</f>
        <v/>
      </c>
    </row>
    <row r="22357" spans="1:7" x14ac:dyDescent="0.25">
      <c r="A22357" t="s">
        <v>8</v>
      </c>
      <c r="B22357" s="1" t="str">
        <f>"T3V00147"</f>
        <v>T3V00147</v>
      </c>
      <c r="C22357" t="s">
        <v>6422</v>
      </c>
      <c r="D22357" s="1" t="str">
        <f t="shared" si="614"/>
        <v>PRG-1049359</v>
      </c>
      <c r="E22357" t="s">
        <v>4213</v>
      </c>
      <c r="F22357" t="s">
        <v>5</v>
      </c>
      <c r="G22357" t="str">
        <f>""</f>
        <v/>
      </c>
    </row>
    <row r="22358" spans="1:7" x14ac:dyDescent="0.25">
      <c r="A22358" t="s">
        <v>8</v>
      </c>
      <c r="B22358" s="1" t="str">
        <f>"T3V0019Z"</f>
        <v>T3V0019Z</v>
      </c>
      <c r="C22358" t="s">
        <v>6423</v>
      </c>
      <c r="D22358" s="1" t="str">
        <f t="shared" si="614"/>
        <v>PRG-1049359</v>
      </c>
      <c r="E22358" t="s">
        <v>4213</v>
      </c>
      <c r="F22358" t="s">
        <v>5</v>
      </c>
      <c r="G22358" t="str">
        <f>""</f>
        <v/>
      </c>
    </row>
    <row r="22359" spans="1:7" x14ac:dyDescent="0.25">
      <c r="A22359" t="s">
        <v>8</v>
      </c>
      <c r="B22359" s="1" t="str">
        <f>"T3V001A6"</f>
        <v>T3V001A6</v>
      </c>
      <c r="C22359" t="s">
        <v>6424</v>
      </c>
      <c r="D22359" s="1" t="str">
        <f t="shared" si="614"/>
        <v>PRG-1049359</v>
      </c>
      <c r="E22359" t="s">
        <v>4213</v>
      </c>
      <c r="F22359" t="s">
        <v>5</v>
      </c>
      <c r="G22359" t="str">
        <f>""</f>
        <v/>
      </c>
    </row>
    <row r="22360" spans="1:7" x14ac:dyDescent="0.25">
      <c r="A22360" t="s">
        <v>8</v>
      </c>
      <c r="B22360" s="1" t="str">
        <f>"T3V001MW"</f>
        <v>T3V001MW</v>
      </c>
      <c r="C22360" t="s">
        <v>6425</v>
      </c>
      <c r="D22360" s="1" t="str">
        <f t="shared" si="614"/>
        <v>PRG-1049359</v>
      </c>
      <c r="E22360" t="s">
        <v>4213</v>
      </c>
      <c r="F22360" t="s">
        <v>5</v>
      </c>
      <c r="G22360" t="str">
        <f>""</f>
        <v/>
      </c>
    </row>
    <row r="22361" spans="1:7" x14ac:dyDescent="0.25">
      <c r="A22361" t="s">
        <v>8</v>
      </c>
      <c r="B22361" s="1" t="str">
        <f>"T3V001NC"</f>
        <v>T3V001NC</v>
      </c>
      <c r="C22361" t="s">
        <v>6426</v>
      </c>
      <c r="D22361" s="1" t="str">
        <f t="shared" si="614"/>
        <v>PRG-1049359</v>
      </c>
      <c r="E22361" t="s">
        <v>4213</v>
      </c>
      <c r="F22361" t="s">
        <v>5</v>
      </c>
      <c r="G22361" t="str">
        <f>""</f>
        <v/>
      </c>
    </row>
    <row r="22362" spans="1:7" x14ac:dyDescent="0.25">
      <c r="A22362" t="s">
        <v>8</v>
      </c>
      <c r="B22362" s="1" t="str">
        <f>"T3V001ND"</f>
        <v>T3V001ND</v>
      </c>
      <c r="C22362" t="s">
        <v>6427</v>
      </c>
      <c r="D22362" s="1" t="str">
        <f t="shared" si="614"/>
        <v>PRG-1049359</v>
      </c>
      <c r="E22362" t="s">
        <v>4213</v>
      </c>
      <c r="F22362" t="s">
        <v>5</v>
      </c>
      <c r="G22362" t="str">
        <f>""</f>
        <v/>
      </c>
    </row>
    <row r="22363" spans="1:7" x14ac:dyDescent="0.25">
      <c r="A22363" t="s">
        <v>8</v>
      </c>
      <c r="B22363" s="1" t="str">
        <f>"T3V001NM"</f>
        <v>T3V001NM</v>
      </c>
      <c r="C22363" t="s">
        <v>6428</v>
      </c>
      <c r="D22363" s="1" t="str">
        <f t="shared" si="614"/>
        <v>PRG-1049359</v>
      </c>
      <c r="E22363" t="s">
        <v>4213</v>
      </c>
      <c r="F22363" t="s">
        <v>5</v>
      </c>
      <c r="G22363" t="str">
        <f>""</f>
        <v/>
      </c>
    </row>
    <row r="22364" spans="1:7" x14ac:dyDescent="0.25">
      <c r="A22364" t="s">
        <v>8</v>
      </c>
      <c r="B22364" s="1" t="str">
        <f>"T3V001NN"</f>
        <v>T3V001NN</v>
      </c>
      <c r="C22364" t="s">
        <v>6429</v>
      </c>
      <c r="D22364" s="1" t="str">
        <f t="shared" si="614"/>
        <v>PRG-1049359</v>
      </c>
      <c r="E22364" t="s">
        <v>4213</v>
      </c>
      <c r="F22364" t="s">
        <v>5</v>
      </c>
      <c r="G22364" t="str">
        <f>""</f>
        <v/>
      </c>
    </row>
    <row r="22365" spans="1:7" x14ac:dyDescent="0.25">
      <c r="A22365" t="s">
        <v>8</v>
      </c>
      <c r="B22365" s="1" t="str">
        <f>"000070404 - RICH FOODS-SHARIS"</f>
        <v>000070404 - RICH FOODS-SHARIS</v>
      </c>
      <c r="C22365" t="s">
        <v>731</v>
      </c>
      <c r="D22365" s="1" t="str">
        <f>"PRG-1049554"</f>
        <v>PRG-1049554</v>
      </c>
      <c r="E22365" t="s">
        <v>732</v>
      </c>
      <c r="F22365" t="s">
        <v>4</v>
      </c>
      <c r="G22365" t="str">
        <f>""</f>
        <v/>
      </c>
    </row>
    <row r="22366" spans="1:7" x14ac:dyDescent="0.25">
      <c r="A22366" t="s">
        <v>8</v>
      </c>
      <c r="B22366" s="1" t="str">
        <f>"1054B217"</f>
        <v>1054B217</v>
      </c>
      <c r="C22366" t="s">
        <v>3777</v>
      </c>
      <c r="D22366" s="1" t="str">
        <f t="shared" ref="D22366:D22397" si="615">"PRG-1049789"</f>
        <v>PRG-1049789</v>
      </c>
      <c r="E22366" t="s">
        <v>3778</v>
      </c>
      <c r="F22366" t="s">
        <v>5</v>
      </c>
      <c r="G22366" t="str">
        <f>""</f>
        <v/>
      </c>
    </row>
    <row r="22367" spans="1:7" x14ac:dyDescent="0.25">
      <c r="A22367" t="s">
        <v>8</v>
      </c>
      <c r="B22367" s="1" t="str">
        <f>"21100379"</f>
        <v>21100379</v>
      </c>
      <c r="C22367" t="s">
        <v>4109</v>
      </c>
      <c r="D22367" s="1" t="str">
        <f t="shared" si="615"/>
        <v>PRG-1049789</v>
      </c>
      <c r="E22367" t="s">
        <v>3778</v>
      </c>
      <c r="F22367" t="s">
        <v>5</v>
      </c>
      <c r="G22367" t="str">
        <f>""</f>
        <v/>
      </c>
    </row>
    <row r="22368" spans="1:7" x14ac:dyDescent="0.25">
      <c r="A22368" t="s">
        <v>8</v>
      </c>
      <c r="B22368" s="1" t="str">
        <f>"21100537"</f>
        <v>21100537</v>
      </c>
      <c r="C22368" t="s">
        <v>4113</v>
      </c>
      <c r="D22368" s="1" t="str">
        <f t="shared" si="615"/>
        <v>PRG-1049789</v>
      </c>
      <c r="E22368" t="s">
        <v>3778</v>
      </c>
      <c r="F22368" t="s">
        <v>5</v>
      </c>
      <c r="G22368" t="str">
        <f>""</f>
        <v/>
      </c>
    </row>
    <row r="22369" spans="1:7" x14ac:dyDescent="0.25">
      <c r="A22369" t="s">
        <v>8</v>
      </c>
      <c r="B22369" s="1" t="str">
        <f>"21100538"</f>
        <v>21100538</v>
      </c>
      <c r="C22369" t="s">
        <v>4114</v>
      </c>
      <c r="D22369" s="1" t="str">
        <f t="shared" si="615"/>
        <v>PRG-1049789</v>
      </c>
      <c r="E22369" t="s">
        <v>3778</v>
      </c>
      <c r="F22369" t="s">
        <v>5</v>
      </c>
      <c r="G22369" t="str">
        <f>""</f>
        <v/>
      </c>
    </row>
    <row r="22370" spans="1:7" x14ac:dyDescent="0.25">
      <c r="A22370" t="s">
        <v>8</v>
      </c>
      <c r="B22370" s="1" t="str">
        <f>"21101109"</f>
        <v>21101109</v>
      </c>
      <c r="C22370" t="s">
        <v>4118</v>
      </c>
      <c r="D22370" s="1" t="str">
        <f t="shared" si="615"/>
        <v>PRG-1049789</v>
      </c>
      <c r="E22370" t="s">
        <v>3778</v>
      </c>
      <c r="F22370" t="s">
        <v>5</v>
      </c>
      <c r="G22370" t="str">
        <f>""</f>
        <v/>
      </c>
    </row>
    <row r="22371" spans="1:7" x14ac:dyDescent="0.25">
      <c r="A22371" t="s">
        <v>8</v>
      </c>
      <c r="B22371" s="1" t="str">
        <f>"21101846"</f>
        <v>21101846</v>
      </c>
      <c r="C22371" t="s">
        <v>4121</v>
      </c>
      <c r="D22371" s="1" t="str">
        <f t="shared" si="615"/>
        <v>PRG-1049789</v>
      </c>
      <c r="E22371" t="s">
        <v>3778</v>
      </c>
      <c r="F22371" t="s">
        <v>5</v>
      </c>
      <c r="G22371" t="str">
        <f>""</f>
        <v/>
      </c>
    </row>
    <row r="22372" spans="1:7" x14ac:dyDescent="0.25">
      <c r="A22372" t="s">
        <v>8</v>
      </c>
      <c r="B22372" s="1" t="str">
        <f>"21102207"</f>
        <v>21102207</v>
      </c>
      <c r="C22372" t="s">
        <v>4122</v>
      </c>
      <c r="D22372" s="1" t="str">
        <f t="shared" si="615"/>
        <v>PRG-1049789</v>
      </c>
      <c r="E22372" t="s">
        <v>3778</v>
      </c>
      <c r="F22372" t="s">
        <v>5</v>
      </c>
      <c r="G22372" t="str">
        <f>""</f>
        <v/>
      </c>
    </row>
    <row r="22373" spans="1:7" x14ac:dyDescent="0.25">
      <c r="A22373" t="s">
        <v>8</v>
      </c>
      <c r="B22373" s="1" t="str">
        <f>"2110M735"</f>
        <v>2110M735</v>
      </c>
      <c r="C22373" t="s">
        <v>4132</v>
      </c>
      <c r="D22373" s="1" t="str">
        <f t="shared" si="615"/>
        <v>PRG-1049789</v>
      </c>
      <c r="E22373" t="s">
        <v>3778</v>
      </c>
      <c r="F22373" t="s">
        <v>5</v>
      </c>
      <c r="G22373" t="str">
        <f>""</f>
        <v/>
      </c>
    </row>
    <row r="22374" spans="1:7" x14ac:dyDescent="0.25">
      <c r="A22374" t="s">
        <v>8</v>
      </c>
      <c r="B22374" s="1" t="str">
        <f>"2110M745"</f>
        <v>2110M745</v>
      </c>
      <c r="C22374" t="s">
        <v>4133</v>
      </c>
      <c r="D22374" s="1" t="str">
        <f t="shared" si="615"/>
        <v>PRG-1049789</v>
      </c>
      <c r="E22374" t="s">
        <v>3778</v>
      </c>
      <c r="F22374" t="s">
        <v>5</v>
      </c>
      <c r="G22374" t="str">
        <f>""</f>
        <v/>
      </c>
    </row>
    <row r="22375" spans="1:7" x14ac:dyDescent="0.25">
      <c r="A22375" t="s">
        <v>8</v>
      </c>
      <c r="B22375" s="1" t="str">
        <f>"2135B083"</f>
        <v>2135B083</v>
      </c>
      <c r="C22375" t="s">
        <v>4145</v>
      </c>
      <c r="D22375" s="1" t="str">
        <f t="shared" si="615"/>
        <v>PRG-1049789</v>
      </c>
      <c r="E22375" t="s">
        <v>3778</v>
      </c>
      <c r="F22375" t="s">
        <v>5</v>
      </c>
      <c r="G22375" t="str">
        <f>""</f>
        <v/>
      </c>
    </row>
    <row r="22376" spans="1:7" x14ac:dyDescent="0.25">
      <c r="A22376" t="s">
        <v>8</v>
      </c>
      <c r="B22376" s="1" t="str">
        <f>"21401255"</f>
        <v>21401255</v>
      </c>
      <c r="C22376" t="s">
        <v>4156</v>
      </c>
      <c r="D22376" s="1" t="str">
        <f t="shared" si="615"/>
        <v>PRG-1049789</v>
      </c>
      <c r="E22376" t="s">
        <v>3778</v>
      </c>
      <c r="F22376" t="s">
        <v>5</v>
      </c>
      <c r="G22376" t="str">
        <f>""</f>
        <v/>
      </c>
    </row>
    <row r="22377" spans="1:7" x14ac:dyDescent="0.25">
      <c r="A22377" t="s">
        <v>8</v>
      </c>
      <c r="B22377" s="1" t="str">
        <f>"21401387"</f>
        <v>21401387</v>
      </c>
      <c r="C22377" t="s">
        <v>4157</v>
      </c>
      <c r="D22377" s="1" t="str">
        <f t="shared" si="615"/>
        <v>PRG-1049789</v>
      </c>
      <c r="E22377" t="s">
        <v>3778</v>
      </c>
      <c r="F22377" t="s">
        <v>5</v>
      </c>
      <c r="G22377" t="str">
        <f>""</f>
        <v/>
      </c>
    </row>
    <row r="22378" spans="1:7" x14ac:dyDescent="0.25">
      <c r="A22378" t="s">
        <v>8</v>
      </c>
      <c r="B22378" s="1" t="str">
        <f>"21401414"</f>
        <v>21401414</v>
      </c>
      <c r="C22378" t="s">
        <v>4158</v>
      </c>
      <c r="D22378" s="1" t="str">
        <f t="shared" si="615"/>
        <v>PRG-1049789</v>
      </c>
      <c r="E22378" t="s">
        <v>3778</v>
      </c>
      <c r="F22378" t="s">
        <v>5</v>
      </c>
      <c r="G22378" t="str">
        <f>""</f>
        <v/>
      </c>
    </row>
    <row r="22379" spans="1:7" x14ac:dyDescent="0.25">
      <c r="A22379" t="s">
        <v>8</v>
      </c>
      <c r="B22379" s="1" t="str">
        <f>"2140B697"</f>
        <v>2140B697</v>
      </c>
      <c r="C22379" t="s">
        <v>4168</v>
      </c>
      <c r="D22379" s="1" t="str">
        <f t="shared" si="615"/>
        <v>PRG-1049789</v>
      </c>
      <c r="E22379" t="s">
        <v>3778</v>
      </c>
      <c r="F22379" t="s">
        <v>5</v>
      </c>
      <c r="G22379" t="str">
        <f>""</f>
        <v/>
      </c>
    </row>
    <row r="22380" spans="1:7" x14ac:dyDescent="0.25">
      <c r="A22380" t="s">
        <v>8</v>
      </c>
      <c r="B22380" s="1" t="str">
        <f>"2140B831"</f>
        <v>2140B831</v>
      </c>
      <c r="C22380" t="s">
        <v>4169</v>
      </c>
      <c r="D22380" s="1" t="str">
        <f t="shared" si="615"/>
        <v>PRG-1049789</v>
      </c>
      <c r="E22380" t="s">
        <v>3778</v>
      </c>
      <c r="F22380" t="s">
        <v>5</v>
      </c>
      <c r="G22380" t="str">
        <f>""</f>
        <v/>
      </c>
    </row>
    <row r="22381" spans="1:7" x14ac:dyDescent="0.25">
      <c r="A22381" t="s">
        <v>8</v>
      </c>
      <c r="B22381" s="1" t="str">
        <f>"22500958"</f>
        <v>22500958</v>
      </c>
      <c r="C22381" t="s">
        <v>4331</v>
      </c>
      <c r="D22381" s="1" t="str">
        <f t="shared" si="615"/>
        <v>PRG-1049789</v>
      </c>
      <c r="E22381" t="s">
        <v>3778</v>
      </c>
      <c r="F22381" t="s">
        <v>5</v>
      </c>
      <c r="G22381" t="str">
        <f>""</f>
        <v/>
      </c>
    </row>
    <row r="22382" spans="1:7" x14ac:dyDescent="0.25">
      <c r="A22382" t="s">
        <v>8</v>
      </c>
      <c r="B22382" s="1" t="str">
        <f>"2250095X"</f>
        <v>2250095X</v>
      </c>
      <c r="C22382" t="s">
        <v>4332</v>
      </c>
      <c r="D22382" s="1" t="str">
        <f t="shared" si="615"/>
        <v>PRG-1049789</v>
      </c>
      <c r="E22382" t="s">
        <v>3778</v>
      </c>
      <c r="F22382" t="s">
        <v>5</v>
      </c>
      <c r="G22382" t="str">
        <f>""</f>
        <v/>
      </c>
    </row>
    <row r="22383" spans="1:7" x14ac:dyDescent="0.25">
      <c r="A22383" t="s">
        <v>8</v>
      </c>
      <c r="B22383" s="1" t="str">
        <f>"22501269"</f>
        <v>22501269</v>
      </c>
      <c r="C22383" t="s">
        <v>4336</v>
      </c>
      <c r="D22383" s="1" t="str">
        <f t="shared" si="615"/>
        <v>PRG-1049789</v>
      </c>
      <c r="E22383" t="s">
        <v>3778</v>
      </c>
      <c r="F22383" t="s">
        <v>5</v>
      </c>
      <c r="G22383" t="str">
        <f>""</f>
        <v/>
      </c>
    </row>
    <row r="22384" spans="1:7" x14ac:dyDescent="0.25">
      <c r="A22384" t="s">
        <v>8</v>
      </c>
      <c r="B22384" s="1" t="str">
        <f>"22501747"</f>
        <v>22501747</v>
      </c>
      <c r="C22384" t="s">
        <v>4342</v>
      </c>
      <c r="D22384" s="1" t="str">
        <f t="shared" si="615"/>
        <v>PRG-1049789</v>
      </c>
      <c r="E22384" t="s">
        <v>3778</v>
      </c>
      <c r="F22384" t="s">
        <v>5</v>
      </c>
      <c r="G22384" t="str">
        <f>""</f>
        <v/>
      </c>
    </row>
    <row r="22385" spans="1:7" x14ac:dyDescent="0.25">
      <c r="A22385" t="s">
        <v>8</v>
      </c>
      <c r="B22385" s="1" t="str">
        <f>"22502528"</f>
        <v>22502528</v>
      </c>
      <c r="C22385" t="s">
        <v>4346</v>
      </c>
      <c r="D22385" s="1" t="str">
        <f t="shared" si="615"/>
        <v>PRG-1049789</v>
      </c>
      <c r="E22385" t="s">
        <v>3778</v>
      </c>
      <c r="F22385" t="s">
        <v>5</v>
      </c>
      <c r="G22385" t="str">
        <f>""</f>
        <v/>
      </c>
    </row>
    <row r="22386" spans="1:7" x14ac:dyDescent="0.25">
      <c r="A22386" t="s">
        <v>8</v>
      </c>
      <c r="B22386" s="1" t="str">
        <f>"22503185"</f>
        <v>22503185</v>
      </c>
      <c r="C22386" t="s">
        <v>4351</v>
      </c>
      <c r="D22386" s="1" t="str">
        <f t="shared" si="615"/>
        <v>PRG-1049789</v>
      </c>
      <c r="E22386" t="s">
        <v>3778</v>
      </c>
      <c r="F22386" t="s">
        <v>5</v>
      </c>
      <c r="G22386" t="str">
        <f>""</f>
        <v/>
      </c>
    </row>
    <row r="22387" spans="1:7" x14ac:dyDescent="0.25">
      <c r="A22387" t="s">
        <v>8</v>
      </c>
      <c r="B22387" s="1" t="str">
        <f>"22503309"</f>
        <v>22503309</v>
      </c>
      <c r="C22387" t="s">
        <v>4352</v>
      </c>
      <c r="D22387" s="1" t="str">
        <f t="shared" si="615"/>
        <v>PRG-1049789</v>
      </c>
      <c r="E22387" t="s">
        <v>3778</v>
      </c>
      <c r="F22387" t="s">
        <v>5</v>
      </c>
      <c r="G22387" t="str">
        <f>""</f>
        <v/>
      </c>
    </row>
    <row r="22388" spans="1:7" x14ac:dyDescent="0.25">
      <c r="A22388" t="s">
        <v>8</v>
      </c>
      <c r="B22388" s="1" t="str">
        <f>"22605569"</f>
        <v>22605569</v>
      </c>
      <c r="C22388" t="s">
        <v>4431</v>
      </c>
      <c r="D22388" s="1" t="str">
        <f t="shared" si="615"/>
        <v>PRG-1049789</v>
      </c>
      <c r="E22388" t="s">
        <v>3778</v>
      </c>
      <c r="F22388" t="s">
        <v>5</v>
      </c>
      <c r="G22388" t="str">
        <f>""</f>
        <v/>
      </c>
    </row>
    <row r="22389" spans="1:7" x14ac:dyDescent="0.25">
      <c r="A22389" t="s">
        <v>8</v>
      </c>
      <c r="B22389" s="1" t="str">
        <f>"22605572"</f>
        <v>22605572</v>
      </c>
      <c r="C22389" t="s">
        <v>4433</v>
      </c>
      <c r="D22389" s="1" t="str">
        <f t="shared" si="615"/>
        <v>PRG-1049789</v>
      </c>
      <c r="E22389" t="s">
        <v>3778</v>
      </c>
      <c r="F22389" t="s">
        <v>5</v>
      </c>
      <c r="G22389" t="str">
        <f>""</f>
        <v/>
      </c>
    </row>
    <row r="22390" spans="1:7" x14ac:dyDescent="0.25">
      <c r="A22390" t="s">
        <v>8</v>
      </c>
      <c r="B22390" s="1" t="str">
        <f>"22606195"</f>
        <v>22606195</v>
      </c>
      <c r="C22390" t="s">
        <v>4437</v>
      </c>
      <c r="D22390" s="1" t="str">
        <f t="shared" si="615"/>
        <v>PRG-1049789</v>
      </c>
      <c r="E22390" t="s">
        <v>3778</v>
      </c>
      <c r="F22390" t="s">
        <v>5</v>
      </c>
      <c r="G22390" t="str">
        <f>""</f>
        <v/>
      </c>
    </row>
    <row r="22391" spans="1:7" x14ac:dyDescent="0.25">
      <c r="A22391" t="s">
        <v>8</v>
      </c>
      <c r="B22391" s="1" t="str">
        <f>"2260D855"</f>
        <v>2260D855</v>
      </c>
      <c r="C22391" t="s">
        <v>4459</v>
      </c>
      <c r="D22391" s="1" t="str">
        <f t="shared" si="615"/>
        <v>PRG-1049789</v>
      </c>
      <c r="E22391" t="s">
        <v>3778</v>
      </c>
      <c r="F22391" t="s">
        <v>5</v>
      </c>
      <c r="G22391" t="str">
        <f>""</f>
        <v/>
      </c>
    </row>
    <row r="22392" spans="1:7" x14ac:dyDescent="0.25">
      <c r="A22392" t="s">
        <v>8</v>
      </c>
      <c r="B22392" s="1" t="str">
        <f>"2260G362"</f>
        <v>2260G362</v>
      </c>
      <c r="C22392" t="s">
        <v>4469</v>
      </c>
      <c r="D22392" s="1" t="str">
        <f t="shared" si="615"/>
        <v>PRG-1049789</v>
      </c>
      <c r="E22392" t="s">
        <v>3778</v>
      </c>
      <c r="F22392" t="s">
        <v>5</v>
      </c>
      <c r="G22392" t="str">
        <f>""</f>
        <v/>
      </c>
    </row>
    <row r="22393" spans="1:7" x14ac:dyDescent="0.25">
      <c r="A22393" t="s">
        <v>8</v>
      </c>
      <c r="B22393" s="1" t="str">
        <f>"23504945"</f>
        <v>23504945</v>
      </c>
      <c r="C22393" t="s">
        <v>4511</v>
      </c>
      <c r="D22393" s="1" t="str">
        <f t="shared" si="615"/>
        <v>PRG-1049789</v>
      </c>
      <c r="E22393" t="s">
        <v>3778</v>
      </c>
      <c r="F22393" t="s">
        <v>5</v>
      </c>
      <c r="G22393" t="str">
        <f>""</f>
        <v/>
      </c>
    </row>
    <row r="22394" spans="1:7" x14ac:dyDescent="0.25">
      <c r="A22394" t="s">
        <v>8</v>
      </c>
      <c r="B22394" s="1" t="str">
        <f>"31701124"</f>
        <v>31701124</v>
      </c>
      <c r="C22394" t="s">
        <v>4692</v>
      </c>
      <c r="D22394" s="1" t="str">
        <f t="shared" si="615"/>
        <v>PRG-1049789</v>
      </c>
      <c r="E22394" t="s">
        <v>3778</v>
      </c>
      <c r="F22394" t="s">
        <v>5</v>
      </c>
      <c r="G22394" t="str">
        <f>""</f>
        <v/>
      </c>
    </row>
    <row r="22395" spans="1:7" x14ac:dyDescent="0.25">
      <c r="A22395" t="s">
        <v>8</v>
      </c>
      <c r="B22395" s="1" t="str">
        <f>"31704613"</f>
        <v>31704613</v>
      </c>
      <c r="C22395" t="s">
        <v>4700</v>
      </c>
      <c r="D22395" s="1" t="str">
        <f t="shared" si="615"/>
        <v>PRG-1049789</v>
      </c>
      <c r="E22395" t="s">
        <v>3778</v>
      </c>
      <c r="F22395" t="s">
        <v>5</v>
      </c>
      <c r="G22395" t="str">
        <f>""</f>
        <v/>
      </c>
    </row>
    <row r="22396" spans="1:7" x14ac:dyDescent="0.25">
      <c r="A22396" t="s">
        <v>8</v>
      </c>
      <c r="B22396" s="1" t="str">
        <f>"3170CK68"</f>
        <v>3170CK68</v>
      </c>
      <c r="C22396" t="s">
        <v>4711</v>
      </c>
      <c r="D22396" s="1" t="str">
        <f t="shared" si="615"/>
        <v>PRG-1049789</v>
      </c>
      <c r="E22396" t="s">
        <v>3778</v>
      </c>
      <c r="F22396" t="s">
        <v>5</v>
      </c>
      <c r="G22396" t="str">
        <f>""</f>
        <v/>
      </c>
    </row>
    <row r="22397" spans="1:7" x14ac:dyDescent="0.25">
      <c r="A22397" t="s">
        <v>8</v>
      </c>
      <c r="B22397" s="1" t="str">
        <f>"3170EA35"</f>
        <v>3170EA35</v>
      </c>
      <c r="C22397" t="s">
        <v>4718</v>
      </c>
      <c r="D22397" s="1" t="str">
        <f t="shared" si="615"/>
        <v>PRG-1049789</v>
      </c>
      <c r="E22397" t="s">
        <v>3778</v>
      </c>
      <c r="F22397" t="s">
        <v>5</v>
      </c>
      <c r="G22397" t="str">
        <f>""</f>
        <v/>
      </c>
    </row>
    <row r="22398" spans="1:7" x14ac:dyDescent="0.25">
      <c r="A22398" t="s">
        <v>8</v>
      </c>
      <c r="B22398" s="1" t="str">
        <f>"3170K019"</f>
        <v>3170K019</v>
      </c>
      <c r="C22398" t="s">
        <v>4743</v>
      </c>
      <c r="D22398" s="1" t="str">
        <f t="shared" ref="D22398:D22429" si="616">"PRG-1049789"</f>
        <v>PRG-1049789</v>
      </c>
      <c r="E22398" t="s">
        <v>3778</v>
      </c>
      <c r="F22398" t="s">
        <v>5</v>
      </c>
      <c r="G22398" t="str">
        <f>""</f>
        <v/>
      </c>
    </row>
    <row r="22399" spans="1:7" x14ac:dyDescent="0.25">
      <c r="A22399" t="s">
        <v>8</v>
      </c>
      <c r="B22399" s="1" t="str">
        <f>"3170Z013"</f>
        <v>3170Z013</v>
      </c>
      <c r="C22399" t="s">
        <v>4792</v>
      </c>
      <c r="D22399" s="1" t="str">
        <f t="shared" si="616"/>
        <v>PRG-1049789</v>
      </c>
      <c r="E22399" t="s">
        <v>3778</v>
      </c>
      <c r="F22399" t="s">
        <v>5</v>
      </c>
      <c r="G22399" t="str">
        <f>""</f>
        <v/>
      </c>
    </row>
    <row r="22400" spans="1:7" x14ac:dyDescent="0.25">
      <c r="A22400" t="s">
        <v>8</v>
      </c>
      <c r="B22400" s="1" t="str">
        <f>"31901104"</f>
        <v>31901104</v>
      </c>
      <c r="C22400" t="s">
        <v>4793</v>
      </c>
      <c r="D22400" s="1" t="str">
        <f t="shared" si="616"/>
        <v>PRG-1049789</v>
      </c>
      <c r="E22400" t="s">
        <v>3778</v>
      </c>
      <c r="F22400" t="s">
        <v>5</v>
      </c>
      <c r="G22400" t="str">
        <f>""</f>
        <v/>
      </c>
    </row>
    <row r="22401" spans="1:7" x14ac:dyDescent="0.25">
      <c r="A22401" t="s">
        <v>8</v>
      </c>
      <c r="B22401" s="1" t="str">
        <f>"31902367"</f>
        <v>31902367</v>
      </c>
      <c r="C22401" t="s">
        <v>4794</v>
      </c>
      <c r="D22401" s="1" t="str">
        <f t="shared" si="616"/>
        <v>PRG-1049789</v>
      </c>
      <c r="E22401" t="s">
        <v>3778</v>
      </c>
      <c r="F22401" t="s">
        <v>5</v>
      </c>
      <c r="G22401" t="str">
        <f>""</f>
        <v/>
      </c>
    </row>
    <row r="22402" spans="1:7" x14ac:dyDescent="0.25">
      <c r="A22402" t="s">
        <v>8</v>
      </c>
      <c r="B22402" s="1" t="str">
        <f>"31903877"</f>
        <v>31903877</v>
      </c>
      <c r="C22402" t="s">
        <v>4795</v>
      </c>
      <c r="D22402" s="1" t="str">
        <f t="shared" si="616"/>
        <v>PRG-1049789</v>
      </c>
      <c r="E22402" t="s">
        <v>3778</v>
      </c>
      <c r="F22402" t="s">
        <v>5</v>
      </c>
      <c r="G22402" t="str">
        <f>""</f>
        <v/>
      </c>
    </row>
    <row r="22403" spans="1:7" x14ac:dyDescent="0.25">
      <c r="A22403" t="s">
        <v>8</v>
      </c>
      <c r="B22403" s="1" t="str">
        <f>"31908484"</f>
        <v>31908484</v>
      </c>
      <c r="C22403" t="s">
        <v>4798</v>
      </c>
      <c r="D22403" s="1" t="str">
        <f t="shared" si="616"/>
        <v>PRG-1049789</v>
      </c>
      <c r="E22403" t="s">
        <v>3778</v>
      </c>
      <c r="F22403" t="s">
        <v>5</v>
      </c>
      <c r="G22403" t="str">
        <f>""</f>
        <v/>
      </c>
    </row>
    <row r="22404" spans="1:7" x14ac:dyDescent="0.25">
      <c r="A22404" t="s">
        <v>8</v>
      </c>
      <c r="B22404" s="1" t="str">
        <f>"32106866"</f>
        <v>32106866</v>
      </c>
      <c r="C22404" t="s">
        <v>4805</v>
      </c>
      <c r="D22404" s="1" t="str">
        <f t="shared" si="616"/>
        <v>PRG-1049789</v>
      </c>
      <c r="E22404" t="s">
        <v>3778</v>
      </c>
      <c r="F22404" t="s">
        <v>5</v>
      </c>
      <c r="G22404" t="str">
        <f>""</f>
        <v/>
      </c>
    </row>
    <row r="22405" spans="1:7" x14ac:dyDescent="0.25">
      <c r="A22405" t="s">
        <v>8</v>
      </c>
      <c r="B22405" s="1" t="str">
        <f>"3220A627"</f>
        <v>3220A627</v>
      </c>
      <c r="C22405" t="s">
        <v>4819</v>
      </c>
      <c r="D22405" s="1" t="str">
        <f t="shared" si="616"/>
        <v>PRG-1049789</v>
      </c>
      <c r="E22405" t="s">
        <v>3778</v>
      </c>
      <c r="F22405" t="s">
        <v>5</v>
      </c>
      <c r="G22405" t="str">
        <f>""</f>
        <v/>
      </c>
    </row>
    <row r="22406" spans="1:7" x14ac:dyDescent="0.25">
      <c r="A22406" t="s">
        <v>8</v>
      </c>
      <c r="B22406" s="1" t="str">
        <f>"3220A676"</f>
        <v>3220A676</v>
      </c>
      <c r="C22406" t="s">
        <v>4820</v>
      </c>
      <c r="D22406" s="1" t="str">
        <f t="shared" si="616"/>
        <v>PRG-1049789</v>
      </c>
      <c r="E22406" t="s">
        <v>3778</v>
      </c>
      <c r="F22406" t="s">
        <v>5</v>
      </c>
      <c r="G22406" t="str">
        <f>""</f>
        <v/>
      </c>
    </row>
    <row r="22407" spans="1:7" x14ac:dyDescent="0.25">
      <c r="A22407" t="s">
        <v>8</v>
      </c>
      <c r="B22407" s="1" t="str">
        <f>"3220C558"</f>
        <v>3220C558</v>
      </c>
      <c r="C22407" t="s">
        <v>4821</v>
      </c>
      <c r="D22407" s="1" t="str">
        <f t="shared" si="616"/>
        <v>PRG-1049789</v>
      </c>
      <c r="E22407" t="s">
        <v>3778</v>
      </c>
      <c r="F22407" t="s">
        <v>5</v>
      </c>
      <c r="G22407" t="str">
        <f>""</f>
        <v/>
      </c>
    </row>
    <row r="22408" spans="1:7" x14ac:dyDescent="0.25">
      <c r="A22408" t="s">
        <v>8</v>
      </c>
      <c r="B22408" s="1" t="str">
        <f>"3220C654"</f>
        <v>3220C654</v>
      </c>
      <c r="C22408" t="s">
        <v>4822</v>
      </c>
      <c r="D22408" s="1" t="str">
        <f t="shared" si="616"/>
        <v>PRG-1049789</v>
      </c>
      <c r="E22408" t="s">
        <v>3778</v>
      </c>
      <c r="F22408" t="s">
        <v>5</v>
      </c>
      <c r="G22408" t="str">
        <f>""</f>
        <v/>
      </c>
    </row>
    <row r="22409" spans="1:7" x14ac:dyDescent="0.25">
      <c r="A22409" t="s">
        <v>8</v>
      </c>
      <c r="B22409" s="1" t="str">
        <f>"32301319"</f>
        <v>32301319</v>
      </c>
      <c r="C22409" t="s">
        <v>4831</v>
      </c>
      <c r="D22409" s="1" t="str">
        <f t="shared" si="616"/>
        <v>PRG-1049789</v>
      </c>
      <c r="E22409" t="s">
        <v>3778</v>
      </c>
      <c r="F22409" t="s">
        <v>5</v>
      </c>
      <c r="G22409" t="str">
        <f>""</f>
        <v/>
      </c>
    </row>
    <row r="22410" spans="1:7" x14ac:dyDescent="0.25">
      <c r="A22410" t="s">
        <v>8</v>
      </c>
      <c r="B22410" s="1" t="str">
        <f>"32301431"</f>
        <v>32301431</v>
      </c>
      <c r="C22410" t="s">
        <v>4835</v>
      </c>
      <c r="D22410" s="1" t="str">
        <f t="shared" si="616"/>
        <v>PRG-1049789</v>
      </c>
      <c r="E22410" t="s">
        <v>3778</v>
      </c>
      <c r="F22410" t="s">
        <v>5</v>
      </c>
      <c r="G22410" t="str">
        <f>""</f>
        <v/>
      </c>
    </row>
    <row r="22411" spans="1:7" x14ac:dyDescent="0.25">
      <c r="A22411" t="s">
        <v>8</v>
      </c>
      <c r="B22411" s="1" t="str">
        <f>"32302216"</f>
        <v>32302216</v>
      </c>
      <c r="C22411" t="s">
        <v>4849</v>
      </c>
      <c r="D22411" s="1" t="str">
        <f t="shared" si="616"/>
        <v>PRG-1049789</v>
      </c>
      <c r="E22411" t="s">
        <v>3778</v>
      </c>
      <c r="F22411" t="s">
        <v>5</v>
      </c>
      <c r="G22411" t="str">
        <f>""</f>
        <v/>
      </c>
    </row>
    <row r="22412" spans="1:7" x14ac:dyDescent="0.25">
      <c r="A22412" t="s">
        <v>8</v>
      </c>
      <c r="B22412" s="1" t="str">
        <f>"32302487"</f>
        <v>32302487</v>
      </c>
      <c r="C22412" t="s">
        <v>4854</v>
      </c>
      <c r="D22412" s="1" t="str">
        <f t="shared" si="616"/>
        <v>PRG-1049789</v>
      </c>
      <c r="E22412" t="s">
        <v>3778</v>
      </c>
      <c r="F22412" t="s">
        <v>5</v>
      </c>
      <c r="G22412" t="str">
        <f>""</f>
        <v/>
      </c>
    </row>
    <row r="22413" spans="1:7" x14ac:dyDescent="0.25">
      <c r="A22413" t="s">
        <v>8</v>
      </c>
      <c r="B22413" s="1" t="str">
        <f>"32302694"</f>
        <v>32302694</v>
      </c>
      <c r="C22413" t="s">
        <v>4856</v>
      </c>
      <c r="D22413" s="1" t="str">
        <f t="shared" si="616"/>
        <v>PRG-1049789</v>
      </c>
      <c r="E22413" t="s">
        <v>3778</v>
      </c>
      <c r="F22413" t="s">
        <v>5</v>
      </c>
      <c r="G22413" t="str">
        <f>""</f>
        <v/>
      </c>
    </row>
    <row r="22414" spans="1:7" x14ac:dyDescent="0.25">
      <c r="A22414" t="s">
        <v>8</v>
      </c>
      <c r="B22414" s="1" t="str">
        <f>"32303232"</f>
        <v>32303232</v>
      </c>
      <c r="C22414" t="s">
        <v>4861</v>
      </c>
      <c r="D22414" s="1" t="str">
        <f t="shared" si="616"/>
        <v>PRG-1049789</v>
      </c>
      <c r="E22414" t="s">
        <v>3778</v>
      </c>
      <c r="F22414" t="s">
        <v>5</v>
      </c>
      <c r="G22414" t="str">
        <f>""</f>
        <v/>
      </c>
    </row>
    <row r="22415" spans="1:7" x14ac:dyDescent="0.25">
      <c r="A22415" t="s">
        <v>8</v>
      </c>
      <c r="B22415" s="1" t="str">
        <f>"32304945"</f>
        <v>32304945</v>
      </c>
      <c r="C22415" t="s">
        <v>4873</v>
      </c>
      <c r="D22415" s="1" t="str">
        <f t="shared" si="616"/>
        <v>PRG-1049789</v>
      </c>
      <c r="E22415" t="s">
        <v>3778</v>
      </c>
      <c r="F22415" t="s">
        <v>5</v>
      </c>
      <c r="G22415" t="str">
        <f>""</f>
        <v/>
      </c>
    </row>
    <row r="22416" spans="1:7" x14ac:dyDescent="0.25">
      <c r="A22416" t="s">
        <v>8</v>
      </c>
      <c r="B22416" s="1" t="str">
        <f>"32307752"</f>
        <v>32307752</v>
      </c>
      <c r="C22416" t="s">
        <v>4887</v>
      </c>
      <c r="D22416" s="1" t="str">
        <f t="shared" si="616"/>
        <v>PRG-1049789</v>
      </c>
      <c r="E22416" t="s">
        <v>3778</v>
      </c>
      <c r="F22416" t="s">
        <v>5</v>
      </c>
      <c r="G22416" t="str">
        <f>""</f>
        <v/>
      </c>
    </row>
    <row r="22417" spans="1:7" x14ac:dyDescent="0.25">
      <c r="A22417" t="s">
        <v>8</v>
      </c>
      <c r="B22417" s="1" t="str">
        <f>"32308617"</f>
        <v>32308617</v>
      </c>
      <c r="C22417" t="s">
        <v>4891</v>
      </c>
      <c r="D22417" s="1" t="str">
        <f t="shared" si="616"/>
        <v>PRG-1049789</v>
      </c>
      <c r="E22417" t="s">
        <v>3778</v>
      </c>
      <c r="F22417" t="s">
        <v>5</v>
      </c>
      <c r="G22417" t="str">
        <f>""</f>
        <v/>
      </c>
    </row>
    <row r="22418" spans="1:7" x14ac:dyDescent="0.25">
      <c r="A22418" t="s">
        <v>8</v>
      </c>
      <c r="B22418" s="1" t="str">
        <f>"3230A353"</f>
        <v>3230A353</v>
      </c>
      <c r="C22418" t="s">
        <v>4894</v>
      </c>
      <c r="D22418" s="1" t="str">
        <f t="shared" si="616"/>
        <v>PRG-1049789</v>
      </c>
      <c r="E22418" t="s">
        <v>3778</v>
      </c>
      <c r="F22418" t="s">
        <v>5</v>
      </c>
      <c r="G22418" t="str">
        <f>""</f>
        <v/>
      </c>
    </row>
    <row r="22419" spans="1:7" x14ac:dyDescent="0.25">
      <c r="A22419" t="s">
        <v>8</v>
      </c>
      <c r="B22419" s="1" t="str">
        <f>"3230E733"</f>
        <v>3230E733</v>
      </c>
      <c r="C22419" t="s">
        <v>4904</v>
      </c>
      <c r="D22419" s="1" t="str">
        <f t="shared" si="616"/>
        <v>PRG-1049789</v>
      </c>
      <c r="E22419" t="s">
        <v>3778</v>
      </c>
      <c r="F22419" t="s">
        <v>5</v>
      </c>
      <c r="G22419" t="str">
        <f>""</f>
        <v/>
      </c>
    </row>
    <row r="22420" spans="1:7" x14ac:dyDescent="0.25">
      <c r="A22420" t="s">
        <v>8</v>
      </c>
      <c r="B22420" s="1" t="str">
        <f>"4146A879"</f>
        <v>4146A879</v>
      </c>
      <c r="C22420" t="s">
        <v>4998</v>
      </c>
      <c r="D22420" s="1" t="str">
        <f t="shared" si="616"/>
        <v>PRG-1049789</v>
      </c>
      <c r="E22420" t="s">
        <v>3778</v>
      </c>
      <c r="F22420" t="s">
        <v>5</v>
      </c>
      <c r="G22420" t="str">
        <f>""</f>
        <v/>
      </c>
    </row>
    <row r="22421" spans="1:7" x14ac:dyDescent="0.25">
      <c r="A22421" t="s">
        <v>8</v>
      </c>
      <c r="B22421" s="1" t="str">
        <f>"S2J00DK0"</f>
        <v>S2J00DK0</v>
      </c>
      <c r="C22421" t="s">
        <v>5539</v>
      </c>
      <c r="D22421" s="1" t="str">
        <f t="shared" si="616"/>
        <v>PRG-1049789</v>
      </c>
      <c r="E22421" t="s">
        <v>3778</v>
      </c>
      <c r="F22421" t="s">
        <v>5</v>
      </c>
      <c r="G22421" t="str">
        <f>""</f>
        <v/>
      </c>
    </row>
    <row r="22422" spans="1:7" x14ac:dyDescent="0.25">
      <c r="A22422" t="s">
        <v>8</v>
      </c>
      <c r="B22422" s="1" t="str">
        <f>"S2J00OE0"</f>
        <v>S2J00OE0</v>
      </c>
      <c r="C22422" t="s">
        <v>5542</v>
      </c>
      <c r="D22422" s="1" t="str">
        <f t="shared" si="616"/>
        <v>PRG-1049789</v>
      </c>
      <c r="E22422" t="s">
        <v>3778</v>
      </c>
      <c r="F22422" t="s">
        <v>5</v>
      </c>
      <c r="G22422" t="str">
        <f>""</f>
        <v/>
      </c>
    </row>
    <row r="22423" spans="1:7" x14ac:dyDescent="0.25">
      <c r="A22423" t="s">
        <v>8</v>
      </c>
      <c r="B22423" s="1" t="str">
        <f>"S2J00OH0"</f>
        <v>S2J00OH0</v>
      </c>
      <c r="C22423" t="s">
        <v>5543</v>
      </c>
      <c r="D22423" s="1" t="str">
        <f t="shared" si="616"/>
        <v>PRG-1049789</v>
      </c>
      <c r="E22423" t="s">
        <v>3778</v>
      </c>
      <c r="F22423" t="s">
        <v>5</v>
      </c>
      <c r="G22423" t="str">
        <f>""</f>
        <v/>
      </c>
    </row>
    <row r="22424" spans="1:7" x14ac:dyDescent="0.25">
      <c r="A22424" t="s">
        <v>8</v>
      </c>
      <c r="B22424" s="1" t="str">
        <f>"S2J00OJ0"</f>
        <v>S2J00OJ0</v>
      </c>
      <c r="C22424" t="s">
        <v>5544</v>
      </c>
      <c r="D22424" s="1" t="str">
        <f t="shared" si="616"/>
        <v>PRG-1049789</v>
      </c>
      <c r="E22424" t="s">
        <v>3778</v>
      </c>
      <c r="F22424" t="s">
        <v>5</v>
      </c>
      <c r="G22424" t="str">
        <f>""</f>
        <v/>
      </c>
    </row>
    <row r="22425" spans="1:7" x14ac:dyDescent="0.25">
      <c r="A22425" t="s">
        <v>8</v>
      </c>
      <c r="B22425" s="1" t="str">
        <f>"S2J037C0"</f>
        <v>S2J037C0</v>
      </c>
      <c r="C22425" t="s">
        <v>5468</v>
      </c>
      <c r="D22425" s="1" t="str">
        <f t="shared" si="616"/>
        <v>PRG-1049789</v>
      </c>
      <c r="E22425" t="s">
        <v>3778</v>
      </c>
      <c r="F22425" t="s">
        <v>5</v>
      </c>
      <c r="G22425" t="str">
        <f>""</f>
        <v/>
      </c>
    </row>
    <row r="22426" spans="1:7" x14ac:dyDescent="0.25">
      <c r="A22426" t="s">
        <v>8</v>
      </c>
      <c r="B22426" s="1" t="str">
        <f>"S2L00BC0"</f>
        <v>S2L00BC0</v>
      </c>
      <c r="C22426" t="s">
        <v>5580</v>
      </c>
      <c r="D22426" s="1" t="str">
        <f t="shared" si="616"/>
        <v>PRG-1049789</v>
      </c>
      <c r="E22426" t="s">
        <v>3778</v>
      </c>
      <c r="F22426" t="s">
        <v>5</v>
      </c>
      <c r="G22426" t="str">
        <f>""</f>
        <v/>
      </c>
    </row>
    <row r="22427" spans="1:7" x14ac:dyDescent="0.25">
      <c r="A22427" t="s">
        <v>8</v>
      </c>
      <c r="B22427" s="1" t="str">
        <f>"S2L00EZ0"</f>
        <v>S2L00EZ0</v>
      </c>
      <c r="C22427" t="s">
        <v>5581</v>
      </c>
      <c r="D22427" s="1" t="str">
        <f t="shared" si="616"/>
        <v>PRG-1049789</v>
      </c>
      <c r="E22427" t="s">
        <v>3778</v>
      </c>
      <c r="F22427" t="s">
        <v>5</v>
      </c>
      <c r="G22427" t="str">
        <f>""</f>
        <v/>
      </c>
    </row>
    <row r="22428" spans="1:7" x14ac:dyDescent="0.25">
      <c r="A22428" t="s">
        <v>8</v>
      </c>
      <c r="B22428" s="1" t="str">
        <f>"S3V017T0"</f>
        <v>S3V017T0</v>
      </c>
      <c r="C22428" t="s">
        <v>5685</v>
      </c>
      <c r="D22428" s="1" t="str">
        <f t="shared" si="616"/>
        <v>PRG-1049789</v>
      </c>
      <c r="E22428" t="s">
        <v>3778</v>
      </c>
      <c r="F22428" t="s">
        <v>5</v>
      </c>
      <c r="G22428" t="str">
        <f>""</f>
        <v/>
      </c>
    </row>
    <row r="22429" spans="1:7" x14ac:dyDescent="0.25">
      <c r="A22429" t="s">
        <v>8</v>
      </c>
      <c r="B22429" s="1" t="str">
        <f>"S4I00TA0"</f>
        <v>S4I00TA0</v>
      </c>
      <c r="C22429" t="s">
        <v>5727</v>
      </c>
      <c r="D22429" s="1" t="str">
        <f t="shared" si="616"/>
        <v>PRG-1049789</v>
      </c>
      <c r="E22429" t="s">
        <v>3778</v>
      </c>
      <c r="F22429" t="s">
        <v>5</v>
      </c>
      <c r="G22429" t="str">
        <f>""</f>
        <v/>
      </c>
    </row>
    <row r="22430" spans="1:7" x14ac:dyDescent="0.25">
      <c r="A22430" t="s">
        <v>8</v>
      </c>
      <c r="B22430" s="1" t="str">
        <f>"S4V00MR0"</f>
        <v>S4V00MR0</v>
      </c>
      <c r="C22430" t="s">
        <v>5784</v>
      </c>
      <c r="D22430" s="1" t="str">
        <f t="shared" ref="D22430:D22461" si="617">"PRG-1049789"</f>
        <v>PRG-1049789</v>
      </c>
      <c r="E22430" t="s">
        <v>3778</v>
      </c>
      <c r="F22430" t="s">
        <v>5</v>
      </c>
      <c r="G22430" t="str">
        <f>""</f>
        <v/>
      </c>
    </row>
    <row r="22431" spans="1:7" x14ac:dyDescent="0.25">
      <c r="A22431" t="s">
        <v>8</v>
      </c>
      <c r="B22431" s="1" t="str">
        <f>"S4V00RS0"</f>
        <v>S4V00RS0</v>
      </c>
      <c r="C22431" t="s">
        <v>5784</v>
      </c>
      <c r="D22431" s="1" t="str">
        <f t="shared" si="617"/>
        <v>PRG-1049789</v>
      </c>
      <c r="E22431" t="s">
        <v>3778</v>
      </c>
      <c r="F22431" t="s">
        <v>5</v>
      </c>
      <c r="G22431" t="str">
        <f>""</f>
        <v/>
      </c>
    </row>
    <row r="22432" spans="1:7" x14ac:dyDescent="0.25">
      <c r="A22432" t="s">
        <v>8</v>
      </c>
      <c r="B22432" s="1" t="str">
        <f>"S4V015P0"</f>
        <v>S4V015P0</v>
      </c>
      <c r="C22432" t="s">
        <v>5786</v>
      </c>
      <c r="D22432" s="1" t="str">
        <f t="shared" si="617"/>
        <v>PRG-1049789</v>
      </c>
      <c r="E22432" t="s">
        <v>3778</v>
      </c>
      <c r="F22432" t="s">
        <v>5</v>
      </c>
      <c r="G22432" t="str">
        <f>""</f>
        <v/>
      </c>
    </row>
    <row r="22433" spans="1:7" x14ac:dyDescent="0.25">
      <c r="A22433" t="s">
        <v>8</v>
      </c>
      <c r="B22433" s="1" t="str">
        <f>"S4V017N0"</f>
        <v>S4V017N0</v>
      </c>
      <c r="C22433" t="s">
        <v>5787</v>
      </c>
      <c r="D22433" s="1" t="str">
        <f t="shared" si="617"/>
        <v>PRG-1049789</v>
      </c>
      <c r="E22433" t="s">
        <v>3778</v>
      </c>
      <c r="F22433" t="s">
        <v>5</v>
      </c>
      <c r="G22433" t="str">
        <f>""</f>
        <v/>
      </c>
    </row>
    <row r="22434" spans="1:7" x14ac:dyDescent="0.25">
      <c r="A22434" t="s">
        <v>8</v>
      </c>
      <c r="B22434" s="1" t="str">
        <f>"S5D02Q10"</f>
        <v>S5D02Q10</v>
      </c>
      <c r="C22434" t="s">
        <v>5800</v>
      </c>
      <c r="D22434" s="1" t="str">
        <f t="shared" si="617"/>
        <v>PRG-1049789</v>
      </c>
      <c r="E22434" t="s">
        <v>3778</v>
      </c>
      <c r="F22434" t="s">
        <v>5</v>
      </c>
      <c r="G22434" t="str">
        <f>""</f>
        <v/>
      </c>
    </row>
    <row r="22435" spans="1:7" x14ac:dyDescent="0.25">
      <c r="A22435" t="s">
        <v>8</v>
      </c>
      <c r="B22435" s="1" t="str">
        <f>"S5D03BC0"</f>
        <v>S5D03BC0</v>
      </c>
      <c r="C22435" t="s">
        <v>5801</v>
      </c>
      <c r="D22435" s="1" t="str">
        <f t="shared" si="617"/>
        <v>PRG-1049789</v>
      </c>
      <c r="E22435" t="s">
        <v>3778</v>
      </c>
      <c r="F22435" t="s">
        <v>5</v>
      </c>
      <c r="G22435" t="str">
        <f>""</f>
        <v/>
      </c>
    </row>
    <row r="22436" spans="1:7" x14ac:dyDescent="0.25">
      <c r="A22436" t="s">
        <v>8</v>
      </c>
      <c r="B22436" s="1" t="str">
        <f>"S5D05YX0"</f>
        <v>S5D05YX0</v>
      </c>
      <c r="C22436" t="s">
        <v>5810</v>
      </c>
      <c r="D22436" s="1" t="str">
        <f t="shared" si="617"/>
        <v>PRG-1049789</v>
      </c>
      <c r="E22436" t="s">
        <v>3778</v>
      </c>
      <c r="F22436" t="s">
        <v>5</v>
      </c>
      <c r="G22436" t="str">
        <f>""</f>
        <v/>
      </c>
    </row>
    <row r="22437" spans="1:7" x14ac:dyDescent="0.25">
      <c r="A22437" t="s">
        <v>8</v>
      </c>
      <c r="B22437" s="1" t="str">
        <f>"S5D06830"</f>
        <v>S5D06830</v>
      </c>
      <c r="C22437" t="s">
        <v>5811</v>
      </c>
      <c r="D22437" s="1" t="str">
        <f t="shared" si="617"/>
        <v>PRG-1049789</v>
      </c>
      <c r="E22437" t="s">
        <v>3778</v>
      </c>
      <c r="F22437" t="s">
        <v>5</v>
      </c>
      <c r="G22437" t="str">
        <f>""</f>
        <v/>
      </c>
    </row>
    <row r="22438" spans="1:7" x14ac:dyDescent="0.25">
      <c r="A22438" t="s">
        <v>8</v>
      </c>
      <c r="B22438" s="1" t="str">
        <f>"S5D06SV0"</f>
        <v>S5D06SV0</v>
      </c>
      <c r="C22438" t="s">
        <v>5813</v>
      </c>
      <c r="D22438" s="1" t="str">
        <f t="shared" si="617"/>
        <v>PRG-1049789</v>
      </c>
      <c r="E22438" t="s">
        <v>3778</v>
      </c>
      <c r="F22438" t="s">
        <v>5</v>
      </c>
      <c r="G22438" t="str">
        <f>""</f>
        <v/>
      </c>
    </row>
    <row r="22439" spans="1:7" x14ac:dyDescent="0.25">
      <c r="A22439" t="s">
        <v>8</v>
      </c>
      <c r="B22439" s="1" t="str">
        <f>"S5D072V0"</f>
        <v>S5D072V0</v>
      </c>
      <c r="C22439" t="s">
        <v>5815</v>
      </c>
      <c r="D22439" s="1" t="str">
        <f t="shared" si="617"/>
        <v>PRG-1049789</v>
      </c>
      <c r="E22439" t="s">
        <v>3778</v>
      </c>
      <c r="F22439" t="s">
        <v>5</v>
      </c>
      <c r="G22439" t="str">
        <f>""</f>
        <v/>
      </c>
    </row>
    <row r="22440" spans="1:7" x14ac:dyDescent="0.25">
      <c r="A22440" t="s">
        <v>8</v>
      </c>
      <c r="B22440" s="1" t="str">
        <f>"S5I00EW0"</f>
        <v>S5I00EW0</v>
      </c>
      <c r="C22440" t="s">
        <v>5840</v>
      </c>
      <c r="D22440" s="1" t="str">
        <f t="shared" si="617"/>
        <v>PRG-1049789</v>
      </c>
      <c r="E22440" t="s">
        <v>3778</v>
      </c>
      <c r="F22440" t="s">
        <v>5</v>
      </c>
      <c r="G22440" t="str">
        <f>""</f>
        <v/>
      </c>
    </row>
    <row r="22441" spans="1:7" x14ac:dyDescent="0.25">
      <c r="A22441" t="s">
        <v>8</v>
      </c>
      <c r="B22441" s="1" t="str">
        <f>"S5I00XN0"</f>
        <v>S5I00XN0</v>
      </c>
      <c r="C22441" t="s">
        <v>5847</v>
      </c>
      <c r="D22441" s="1" t="str">
        <f t="shared" si="617"/>
        <v>PRG-1049789</v>
      </c>
      <c r="E22441" t="s">
        <v>3778</v>
      </c>
      <c r="F22441" t="s">
        <v>5</v>
      </c>
      <c r="G22441" t="str">
        <f>""</f>
        <v/>
      </c>
    </row>
    <row r="22442" spans="1:7" x14ac:dyDescent="0.25">
      <c r="A22442" t="s">
        <v>8</v>
      </c>
      <c r="B22442" s="1" t="str">
        <f>"S5I012C0"</f>
        <v>S5I012C0</v>
      </c>
      <c r="C22442" t="s">
        <v>5851</v>
      </c>
      <c r="D22442" s="1" t="str">
        <f t="shared" si="617"/>
        <v>PRG-1049789</v>
      </c>
      <c r="E22442" t="s">
        <v>3778</v>
      </c>
      <c r="F22442" t="s">
        <v>5</v>
      </c>
      <c r="G22442" t="str">
        <f>""</f>
        <v/>
      </c>
    </row>
    <row r="22443" spans="1:7" x14ac:dyDescent="0.25">
      <c r="A22443" t="s">
        <v>8</v>
      </c>
      <c r="B22443" s="1" t="str">
        <f>"S5I01NS0"</f>
        <v>S5I01NS0</v>
      </c>
      <c r="C22443" t="s">
        <v>5870</v>
      </c>
      <c r="D22443" s="1" t="str">
        <f t="shared" si="617"/>
        <v>PRG-1049789</v>
      </c>
      <c r="E22443" t="s">
        <v>3778</v>
      </c>
      <c r="F22443" t="s">
        <v>5</v>
      </c>
      <c r="G22443" t="str">
        <f>""</f>
        <v/>
      </c>
    </row>
    <row r="22444" spans="1:7" x14ac:dyDescent="0.25">
      <c r="A22444" t="s">
        <v>8</v>
      </c>
      <c r="B22444" s="1" t="str">
        <f>"S5I03OW0"</f>
        <v>S5I03OW0</v>
      </c>
      <c r="C22444" t="s">
        <v>5909</v>
      </c>
      <c r="D22444" s="1" t="str">
        <f t="shared" si="617"/>
        <v>PRG-1049789</v>
      </c>
      <c r="E22444" t="s">
        <v>3778</v>
      </c>
      <c r="F22444" t="s">
        <v>5</v>
      </c>
      <c r="G22444" t="str">
        <f>""</f>
        <v/>
      </c>
    </row>
    <row r="22445" spans="1:7" x14ac:dyDescent="0.25">
      <c r="A22445" t="s">
        <v>8</v>
      </c>
      <c r="B22445" s="1" t="str">
        <f>"S5I03SZ0"</f>
        <v>S5I03SZ0</v>
      </c>
      <c r="C22445" t="s">
        <v>4362</v>
      </c>
      <c r="D22445" s="1" t="str">
        <f t="shared" si="617"/>
        <v>PRG-1049789</v>
      </c>
      <c r="E22445" t="s">
        <v>3778</v>
      </c>
      <c r="F22445" t="s">
        <v>5</v>
      </c>
      <c r="G22445" t="str">
        <f>""</f>
        <v/>
      </c>
    </row>
    <row r="22446" spans="1:7" x14ac:dyDescent="0.25">
      <c r="A22446" t="s">
        <v>8</v>
      </c>
      <c r="B22446" s="1" t="str">
        <f>"S5I04190"</f>
        <v>S5I04190</v>
      </c>
      <c r="C22446" t="s">
        <v>5910</v>
      </c>
      <c r="D22446" s="1" t="str">
        <f t="shared" si="617"/>
        <v>PRG-1049789</v>
      </c>
      <c r="E22446" t="s">
        <v>3778</v>
      </c>
      <c r="F22446" t="s">
        <v>5</v>
      </c>
      <c r="G22446" t="str">
        <f>""</f>
        <v/>
      </c>
    </row>
    <row r="22447" spans="1:7" x14ac:dyDescent="0.25">
      <c r="A22447" t="s">
        <v>8</v>
      </c>
      <c r="B22447" s="1" t="str">
        <f>"S5Y00RH0"</f>
        <v>S5Y00RH0</v>
      </c>
      <c r="C22447" t="s">
        <v>5943</v>
      </c>
      <c r="D22447" s="1" t="str">
        <f t="shared" si="617"/>
        <v>PRG-1049789</v>
      </c>
      <c r="E22447" t="s">
        <v>3778</v>
      </c>
      <c r="F22447" t="s">
        <v>5</v>
      </c>
      <c r="G22447" t="str">
        <f>""</f>
        <v/>
      </c>
    </row>
    <row r="22448" spans="1:7" x14ac:dyDescent="0.25">
      <c r="A22448" t="s">
        <v>8</v>
      </c>
      <c r="B22448" s="1" t="str">
        <f>"S5Z02H80"</f>
        <v>S5Z02H80</v>
      </c>
      <c r="C22448" t="s">
        <v>5982</v>
      </c>
      <c r="D22448" s="1" t="str">
        <f t="shared" si="617"/>
        <v>PRG-1049789</v>
      </c>
      <c r="E22448" t="s">
        <v>3778</v>
      </c>
      <c r="F22448" t="s">
        <v>5</v>
      </c>
      <c r="G22448" t="str">
        <f>""</f>
        <v/>
      </c>
    </row>
    <row r="22449" spans="1:7" x14ac:dyDescent="0.25">
      <c r="A22449" t="s">
        <v>8</v>
      </c>
      <c r="B22449" s="1" t="str">
        <f>"S5Z02KV0"</f>
        <v>S5Z02KV0</v>
      </c>
      <c r="C22449" t="s">
        <v>5983</v>
      </c>
      <c r="D22449" s="1" t="str">
        <f t="shared" si="617"/>
        <v>PRG-1049789</v>
      </c>
      <c r="E22449" t="s">
        <v>3778</v>
      </c>
      <c r="F22449" t="s">
        <v>5</v>
      </c>
      <c r="G22449" t="str">
        <f>""</f>
        <v/>
      </c>
    </row>
    <row r="22450" spans="1:7" x14ac:dyDescent="0.25">
      <c r="A22450" t="s">
        <v>8</v>
      </c>
      <c r="B22450" s="1" t="str">
        <f>"S5Z02U20"</f>
        <v>S5Z02U20</v>
      </c>
      <c r="C22450" t="s">
        <v>5984</v>
      </c>
      <c r="D22450" s="1" t="str">
        <f t="shared" si="617"/>
        <v>PRG-1049789</v>
      </c>
      <c r="E22450" t="s">
        <v>3778</v>
      </c>
      <c r="F22450" t="s">
        <v>5</v>
      </c>
      <c r="G22450" t="str">
        <f>""</f>
        <v/>
      </c>
    </row>
    <row r="22451" spans="1:7" x14ac:dyDescent="0.25">
      <c r="A22451" t="s">
        <v>8</v>
      </c>
      <c r="B22451" s="1" t="str">
        <f>"S6B015Q0"</f>
        <v>S6B015Q0</v>
      </c>
      <c r="C22451" t="s">
        <v>5992</v>
      </c>
      <c r="D22451" s="1" t="str">
        <f t="shared" si="617"/>
        <v>PRG-1049789</v>
      </c>
      <c r="E22451" t="s">
        <v>3778</v>
      </c>
      <c r="F22451" t="s">
        <v>5</v>
      </c>
      <c r="G22451" t="str">
        <f>""</f>
        <v/>
      </c>
    </row>
    <row r="22452" spans="1:7" x14ac:dyDescent="0.25">
      <c r="A22452" t="s">
        <v>8</v>
      </c>
      <c r="B22452" s="1" t="str">
        <f>"S6B01YL0"</f>
        <v>S6B01YL0</v>
      </c>
      <c r="C22452" t="s">
        <v>5994</v>
      </c>
      <c r="D22452" s="1" t="str">
        <f t="shared" si="617"/>
        <v>PRG-1049789</v>
      </c>
      <c r="E22452" t="s">
        <v>3778</v>
      </c>
      <c r="F22452" t="s">
        <v>5</v>
      </c>
      <c r="G22452" t="str">
        <f>""</f>
        <v/>
      </c>
    </row>
    <row r="22453" spans="1:7" x14ac:dyDescent="0.25">
      <c r="A22453" t="s">
        <v>8</v>
      </c>
      <c r="B22453" s="1" t="str">
        <f>"S6B02MG0"</f>
        <v>S6B02MG0</v>
      </c>
      <c r="C22453" t="s">
        <v>5998</v>
      </c>
      <c r="D22453" s="1" t="str">
        <f t="shared" si="617"/>
        <v>PRG-1049789</v>
      </c>
      <c r="E22453" t="s">
        <v>3778</v>
      </c>
      <c r="F22453" t="s">
        <v>5</v>
      </c>
      <c r="G22453" t="str">
        <f>""</f>
        <v/>
      </c>
    </row>
    <row r="22454" spans="1:7" x14ac:dyDescent="0.25">
      <c r="A22454" t="s">
        <v>8</v>
      </c>
      <c r="B22454" s="1" t="str">
        <f>"S6B03310"</f>
        <v>S6B03310</v>
      </c>
      <c r="C22454" t="s">
        <v>6001</v>
      </c>
      <c r="D22454" s="1" t="str">
        <f t="shared" si="617"/>
        <v>PRG-1049789</v>
      </c>
      <c r="E22454" t="s">
        <v>3778</v>
      </c>
      <c r="F22454" t="s">
        <v>5</v>
      </c>
      <c r="G22454" t="str">
        <f>""</f>
        <v/>
      </c>
    </row>
    <row r="22455" spans="1:7" x14ac:dyDescent="0.25">
      <c r="A22455" t="s">
        <v>8</v>
      </c>
      <c r="B22455" s="1" t="str">
        <f>"S6B036E0"</f>
        <v>S6B036E0</v>
      </c>
      <c r="C22455" t="s">
        <v>6002</v>
      </c>
      <c r="D22455" s="1" t="str">
        <f t="shared" si="617"/>
        <v>PRG-1049789</v>
      </c>
      <c r="E22455" t="s">
        <v>3778</v>
      </c>
      <c r="F22455" t="s">
        <v>5</v>
      </c>
      <c r="G22455" t="str">
        <f>""</f>
        <v/>
      </c>
    </row>
    <row r="22456" spans="1:7" x14ac:dyDescent="0.25">
      <c r="A22456" t="s">
        <v>8</v>
      </c>
      <c r="B22456" s="1" t="str">
        <f>"S6B039K0"</f>
        <v>S6B039K0</v>
      </c>
      <c r="C22456" t="s">
        <v>6003</v>
      </c>
      <c r="D22456" s="1" t="str">
        <f t="shared" si="617"/>
        <v>PRG-1049789</v>
      </c>
      <c r="E22456" t="s">
        <v>3778</v>
      </c>
      <c r="F22456" t="s">
        <v>5</v>
      </c>
      <c r="G22456" t="str">
        <f>""</f>
        <v/>
      </c>
    </row>
    <row r="22457" spans="1:7" x14ac:dyDescent="0.25">
      <c r="A22457" t="s">
        <v>8</v>
      </c>
      <c r="B22457" s="1" t="str">
        <f>"S6B03G30"</f>
        <v>S6B03G30</v>
      </c>
      <c r="C22457" t="s">
        <v>6005</v>
      </c>
      <c r="D22457" s="1" t="str">
        <f t="shared" si="617"/>
        <v>PRG-1049789</v>
      </c>
      <c r="E22457" t="s">
        <v>3778</v>
      </c>
      <c r="F22457" t="s">
        <v>5</v>
      </c>
      <c r="G22457" t="str">
        <f>""</f>
        <v/>
      </c>
    </row>
    <row r="22458" spans="1:7" x14ac:dyDescent="0.25">
      <c r="A22458" t="s">
        <v>8</v>
      </c>
      <c r="B22458" s="1" t="str">
        <f>"S6B04NZ0"</f>
        <v>S6B04NZ0</v>
      </c>
      <c r="C22458" t="s">
        <v>6016</v>
      </c>
      <c r="D22458" s="1" t="str">
        <f t="shared" si="617"/>
        <v>PRG-1049789</v>
      </c>
      <c r="E22458" t="s">
        <v>3778</v>
      </c>
      <c r="F22458" t="s">
        <v>5</v>
      </c>
      <c r="G22458" t="str">
        <f>""</f>
        <v/>
      </c>
    </row>
    <row r="22459" spans="1:7" x14ac:dyDescent="0.25">
      <c r="A22459" t="s">
        <v>8</v>
      </c>
      <c r="B22459" s="1" t="str">
        <f>"S6G006Z0"</f>
        <v>S6G006Z0</v>
      </c>
      <c r="C22459" t="s">
        <v>6065</v>
      </c>
      <c r="D22459" s="1" t="str">
        <f t="shared" si="617"/>
        <v>PRG-1049789</v>
      </c>
      <c r="E22459" t="s">
        <v>3778</v>
      </c>
      <c r="F22459" t="s">
        <v>5</v>
      </c>
      <c r="G22459" t="str">
        <f>""</f>
        <v/>
      </c>
    </row>
    <row r="22460" spans="1:7" x14ac:dyDescent="0.25">
      <c r="A22460" t="s">
        <v>8</v>
      </c>
      <c r="B22460" s="1" t="str">
        <f>"S6I00OP0"</f>
        <v>S6I00OP0</v>
      </c>
      <c r="C22460" t="s">
        <v>5318</v>
      </c>
      <c r="D22460" s="1" t="str">
        <f t="shared" si="617"/>
        <v>PRG-1049789</v>
      </c>
      <c r="E22460" t="s">
        <v>3778</v>
      </c>
      <c r="F22460" t="s">
        <v>5</v>
      </c>
      <c r="G22460" t="str">
        <f>""</f>
        <v/>
      </c>
    </row>
    <row r="22461" spans="1:7" x14ac:dyDescent="0.25">
      <c r="A22461" t="s">
        <v>8</v>
      </c>
      <c r="B22461" s="1" t="str">
        <f>"S6I015U0"</f>
        <v>S6I015U0</v>
      </c>
      <c r="C22461" t="s">
        <v>6089</v>
      </c>
      <c r="D22461" s="1" t="str">
        <f t="shared" si="617"/>
        <v>PRG-1049789</v>
      </c>
      <c r="E22461" t="s">
        <v>3778</v>
      </c>
      <c r="F22461" t="s">
        <v>5</v>
      </c>
      <c r="G22461" t="str">
        <f>""</f>
        <v/>
      </c>
    </row>
    <row r="22462" spans="1:7" x14ac:dyDescent="0.25">
      <c r="A22462" t="s">
        <v>8</v>
      </c>
      <c r="B22462" s="1" t="str">
        <f>"S6I01K90"</f>
        <v>S6I01K90</v>
      </c>
      <c r="C22462" t="s">
        <v>6097</v>
      </c>
      <c r="D22462" s="1" t="str">
        <f t="shared" ref="D22462:D22484" si="618">"PRG-1049789"</f>
        <v>PRG-1049789</v>
      </c>
      <c r="E22462" t="s">
        <v>3778</v>
      </c>
      <c r="F22462" t="s">
        <v>5</v>
      </c>
      <c r="G22462" t="str">
        <f>""</f>
        <v/>
      </c>
    </row>
    <row r="22463" spans="1:7" x14ac:dyDescent="0.25">
      <c r="A22463" t="s">
        <v>8</v>
      </c>
      <c r="B22463" s="1" t="str">
        <f>"S6I01N40"</f>
        <v>S6I01N40</v>
      </c>
      <c r="C22463" t="s">
        <v>6098</v>
      </c>
      <c r="D22463" s="1" t="str">
        <f t="shared" si="618"/>
        <v>PRG-1049789</v>
      </c>
      <c r="E22463" t="s">
        <v>3778</v>
      </c>
      <c r="F22463" t="s">
        <v>5</v>
      </c>
      <c r="G22463" t="str">
        <f>""</f>
        <v/>
      </c>
    </row>
    <row r="22464" spans="1:7" x14ac:dyDescent="0.25">
      <c r="A22464" t="s">
        <v>8</v>
      </c>
      <c r="B22464" s="1" t="str">
        <f>"S6I01ZS0"</f>
        <v>S6I01ZS0</v>
      </c>
      <c r="C22464" t="s">
        <v>6099</v>
      </c>
      <c r="D22464" s="1" t="str">
        <f t="shared" si="618"/>
        <v>PRG-1049789</v>
      </c>
      <c r="E22464" t="s">
        <v>3778</v>
      </c>
      <c r="F22464" t="s">
        <v>5</v>
      </c>
      <c r="G22464" t="str">
        <f>""</f>
        <v/>
      </c>
    </row>
    <row r="22465" spans="1:7" x14ac:dyDescent="0.25">
      <c r="A22465" t="s">
        <v>8</v>
      </c>
      <c r="B22465" s="1" t="str">
        <f>"S6I028G0"</f>
        <v>S6I028G0</v>
      </c>
      <c r="C22465" t="s">
        <v>6100</v>
      </c>
      <c r="D22465" s="1" t="str">
        <f t="shared" si="618"/>
        <v>PRG-1049789</v>
      </c>
      <c r="E22465" t="s">
        <v>3778</v>
      </c>
      <c r="F22465" t="s">
        <v>5</v>
      </c>
      <c r="G22465" t="str">
        <f>""</f>
        <v/>
      </c>
    </row>
    <row r="22466" spans="1:7" x14ac:dyDescent="0.25">
      <c r="A22466" t="s">
        <v>8</v>
      </c>
      <c r="B22466" s="1" t="str">
        <f>"S6I031Q0"</f>
        <v>S6I031Q0</v>
      </c>
      <c r="C22466" t="s">
        <v>6102</v>
      </c>
      <c r="D22466" s="1" t="str">
        <f t="shared" si="618"/>
        <v>PRG-1049789</v>
      </c>
      <c r="E22466" t="s">
        <v>3778</v>
      </c>
      <c r="F22466" t="s">
        <v>5</v>
      </c>
      <c r="G22466" t="str">
        <f>""</f>
        <v/>
      </c>
    </row>
    <row r="22467" spans="1:7" x14ac:dyDescent="0.25">
      <c r="A22467" t="s">
        <v>8</v>
      </c>
      <c r="B22467" s="1" t="str">
        <f>"S6J06A20"</f>
        <v>S6J06A20</v>
      </c>
      <c r="C22467" t="s">
        <v>6169</v>
      </c>
      <c r="D22467" s="1" t="str">
        <f t="shared" si="618"/>
        <v>PRG-1049789</v>
      </c>
      <c r="E22467" t="s">
        <v>3778</v>
      </c>
      <c r="F22467" t="s">
        <v>5</v>
      </c>
      <c r="G22467" t="str">
        <f>""</f>
        <v/>
      </c>
    </row>
    <row r="22468" spans="1:7" x14ac:dyDescent="0.25">
      <c r="A22468" t="s">
        <v>8</v>
      </c>
      <c r="B22468" s="1" t="str">
        <f>"S6J06MV0"</f>
        <v>S6J06MV0</v>
      </c>
      <c r="C22468" t="s">
        <v>6170</v>
      </c>
      <c r="D22468" s="1" t="str">
        <f t="shared" si="618"/>
        <v>PRG-1049789</v>
      </c>
      <c r="E22468" t="s">
        <v>3778</v>
      </c>
      <c r="F22468" t="s">
        <v>5</v>
      </c>
      <c r="G22468" t="str">
        <f>""</f>
        <v/>
      </c>
    </row>
    <row r="22469" spans="1:7" x14ac:dyDescent="0.25">
      <c r="A22469" t="s">
        <v>8</v>
      </c>
      <c r="B22469" s="1" t="str">
        <f>"S6J07TB0"</f>
        <v>S6J07TB0</v>
      </c>
      <c r="C22469" t="s">
        <v>6176</v>
      </c>
      <c r="D22469" s="1" t="str">
        <f t="shared" si="618"/>
        <v>PRG-1049789</v>
      </c>
      <c r="E22469" t="s">
        <v>3778</v>
      </c>
      <c r="F22469" t="s">
        <v>5</v>
      </c>
      <c r="G22469" t="str">
        <f>""</f>
        <v/>
      </c>
    </row>
    <row r="22470" spans="1:7" x14ac:dyDescent="0.25">
      <c r="A22470" t="s">
        <v>8</v>
      </c>
      <c r="B22470" s="1" t="str">
        <f>"S6J092F0"</f>
        <v>S6J092F0</v>
      </c>
      <c r="C22470" t="s">
        <v>6179</v>
      </c>
      <c r="D22470" s="1" t="str">
        <f t="shared" si="618"/>
        <v>PRG-1049789</v>
      </c>
      <c r="E22470" t="s">
        <v>3778</v>
      </c>
      <c r="F22470" t="s">
        <v>5</v>
      </c>
      <c r="G22470" t="str">
        <f>""</f>
        <v/>
      </c>
    </row>
    <row r="22471" spans="1:7" x14ac:dyDescent="0.25">
      <c r="A22471" t="s">
        <v>8</v>
      </c>
      <c r="B22471" s="1" t="str">
        <f>"S6V00AO0"</f>
        <v>S6V00AO0</v>
      </c>
      <c r="C22471" t="s">
        <v>5317</v>
      </c>
      <c r="D22471" s="1" t="str">
        <f t="shared" si="618"/>
        <v>PRG-1049789</v>
      </c>
      <c r="E22471" t="s">
        <v>3778</v>
      </c>
      <c r="F22471" t="s">
        <v>5</v>
      </c>
      <c r="G22471" t="str">
        <f>""</f>
        <v/>
      </c>
    </row>
    <row r="22472" spans="1:7" x14ac:dyDescent="0.25">
      <c r="A22472" t="s">
        <v>8</v>
      </c>
      <c r="B22472" s="1" t="str">
        <f>"S6V016P0"</f>
        <v>S6V016P0</v>
      </c>
      <c r="C22472" t="s">
        <v>6205</v>
      </c>
      <c r="D22472" s="1" t="str">
        <f t="shared" si="618"/>
        <v>PRG-1049789</v>
      </c>
      <c r="E22472" t="s">
        <v>3778</v>
      </c>
      <c r="F22472" t="s">
        <v>5</v>
      </c>
      <c r="G22472" t="str">
        <f>""</f>
        <v/>
      </c>
    </row>
    <row r="22473" spans="1:7" x14ac:dyDescent="0.25">
      <c r="A22473" t="s">
        <v>8</v>
      </c>
      <c r="B22473" s="1" t="str">
        <f>"S8U00710"</f>
        <v>S8U00710</v>
      </c>
      <c r="C22473" t="s">
        <v>6280</v>
      </c>
      <c r="D22473" s="1" t="str">
        <f t="shared" si="618"/>
        <v>PRG-1049789</v>
      </c>
      <c r="E22473" t="s">
        <v>3778</v>
      </c>
      <c r="F22473" t="s">
        <v>5</v>
      </c>
      <c r="G22473" t="str">
        <f>""</f>
        <v/>
      </c>
    </row>
    <row r="22474" spans="1:7" x14ac:dyDescent="0.25">
      <c r="A22474" t="s">
        <v>8</v>
      </c>
      <c r="B22474" s="1" t="str">
        <f>"S8U00B80"</f>
        <v>S8U00B80</v>
      </c>
      <c r="C22474" t="s">
        <v>6281</v>
      </c>
      <c r="D22474" s="1" t="str">
        <f t="shared" si="618"/>
        <v>PRG-1049789</v>
      </c>
      <c r="E22474" t="s">
        <v>3778</v>
      </c>
      <c r="F22474" t="s">
        <v>5</v>
      </c>
      <c r="G22474" t="str">
        <f>""</f>
        <v/>
      </c>
    </row>
    <row r="22475" spans="1:7" x14ac:dyDescent="0.25">
      <c r="A22475" t="s">
        <v>8</v>
      </c>
      <c r="B22475" s="1" t="str">
        <f>"S8U01W60"</f>
        <v>S8U01W60</v>
      </c>
      <c r="C22475" t="s">
        <v>6291</v>
      </c>
      <c r="D22475" s="1" t="str">
        <f t="shared" si="618"/>
        <v>PRG-1049789</v>
      </c>
      <c r="E22475" t="s">
        <v>3778</v>
      </c>
      <c r="F22475" t="s">
        <v>5</v>
      </c>
      <c r="G22475" t="str">
        <f>""</f>
        <v/>
      </c>
    </row>
    <row r="22476" spans="1:7" x14ac:dyDescent="0.25">
      <c r="A22476" t="s">
        <v>8</v>
      </c>
      <c r="B22476" s="1" t="str">
        <f>"S9B00UO0"</f>
        <v>S9B00UO0</v>
      </c>
      <c r="C22476" t="s">
        <v>6300</v>
      </c>
      <c r="D22476" s="1" t="str">
        <f t="shared" si="618"/>
        <v>PRG-1049789</v>
      </c>
      <c r="E22476" t="s">
        <v>3778</v>
      </c>
      <c r="F22476" t="s">
        <v>5</v>
      </c>
      <c r="G22476" t="str">
        <f>""</f>
        <v/>
      </c>
    </row>
    <row r="22477" spans="1:7" x14ac:dyDescent="0.25">
      <c r="A22477" t="s">
        <v>8</v>
      </c>
      <c r="B22477" s="1" t="str">
        <f>"S9B01550"</f>
        <v>S9B01550</v>
      </c>
      <c r="C22477" t="s">
        <v>6309</v>
      </c>
      <c r="D22477" s="1" t="str">
        <f t="shared" si="618"/>
        <v>PRG-1049789</v>
      </c>
      <c r="E22477" t="s">
        <v>3778</v>
      </c>
      <c r="F22477" t="s">
        <v>5</v>
      </c>
      <c r="G22477" t="str">
        <f>""</f>
        <v/>
      </c>
    </row>
    <row r="22478" spans="1:7" x14ac:dyDescent="0.25">
      <c r="A22478" t="s">
        <v>8</v>
      </c>
      <c r="B22478" s="1" t="str">
        <f>"S9B01NM0"</f>
        <v>S9B01NM0</v>
      </c>
      <c r="C22478" t="s">
        <v>6310</v>
      </c>
      <c r="D22478" s="1" t="str">
        <f t="shared" si="618"/>
        <v>PRG-1049789</v>
      </c>
      <c r="E22478" t="s">
        <v>3778</v>
      </c>
      <c r="F22478" t="s">
        <v>5</v>
      </c>
      <c r="G22478" t="str">
        <f>""</f>
        <v/>
      </c>
    </row>
    <row r="22479" spans="1:7" x14ac:dyDescent="0.25">
      <c r="A22479" t="s">
        <v>8</v>
      </c>
      <c r="B22479" s="1" t="str">
        <f>"S9B01NP0"</f>
        <v>S9B01NP0</v>
      </c>
      <c r="C22479" t="s">
        <v>6311</v>
      </c>
      <c r="D22479" s="1" t="str">
        <f t="shared" si="618"/>
        <v>PRG-1049789</v>
      </c>
      <c r="E22479" t="s">
        <v>3778</v>
      </c>
      <c r="F22479" t="s">
        <v>5</v>
      </c>
      <c r="G22479" t="str">
        <f>""</f>
        <v/>
      </c>
    </row>
    <row r="22480" spans="1:7" x14ac:dyDescent="0.25">
      <c r="A22480" t="s">
        <v>8</v>
      </c>
      <c r="B22480" s="1" t="str">
        <f>"S9D01U00"</f>
        <v>S9D01U00</v>
      </c>
      <c r="C22480" t="s">
        <v>6367</v>
      </c>
      <c r="D22480" s="1" t="str">
        <f t="shared" si="618"/>
        <v>PRG-1049789</v>
      </c>
      <c r="E22480" t="s">
        <v>3778</v>
      </c>
      <c r="F22480" t="s">
        <v>5</v>
      </c>
      <c r="G22480" t="str">
        <f>""</f>
        <v/>
      </c>
    </row>
    <row r="22481" spans="1:7" x14ac:dyDescent="0.25">
      <c r="A22481" t="s">
        <v>8</v>
      </c>
      <c r="B22481" s="1" t="str">
        <f>"S9D01VG0"</f>
        <v>S9D01VG0</v>
      </c>
      <c r="C22481" t="s">
        <v>6369</v>
      </c>
      <c r="D22481" s="1" t="str">
        <f t="shared" si="618"/>
        <v>PRG-1049789</v>
      </c>
      <c r="E22481" t="s">
        <v>3778</v>
      </c>
      <c r="F22481" t="s">
        <v>5</v>
      </c>
      <c r="G22481" t="str">
        <f>""</f>
        <v/>
      </c>
    </row>
    <row r="22482" spans="1:7" x14ac:dyDescent="0.25">
      <c r="A22482" t="s">
        <v>8</v>
      </c>
      <c r="B22482" s="1" t="str">
        <f>"S9U00FX0"</f>
        <v>S9U00FX0</v>
      </c>
      <c r="C22482" t="s">
        <v>6377</v>
      </c>
      <c r="D22482" s="1" t="str">
        <f t="shared" si="618"/>
        <v>PRG-1049789</v>
      </c>
      <c r="E22482" t="s">
        <v>3778</v>
      </c>
      <c r="F22482" t="s">
        <v>5</v>
      </c>
      <c r="G22482" t="str">
        <f>""</f>
        <v/>
      </c>
    </row>
    <row r="22483" spans="1:7" x14ac:dyDescent="0.25">
      <c r="A22483" t="s">
        <v>8</v>
      </c>
      <c r="B22483" s="1" t="str">
        <f>"S9U028D0"</f>
        <v>S9U028D0</v>
      </c>
      <c r="C22483" t="s">
        <v>6383</v>
      </c>
      <c r="D22483" s="1" t="str">
        <f t="shared" si="618"/>
        <v>PRG-1049789</v>
      </c>
      <c r="E22483" t="s">
        <v>3778</v>
      </c>
      <c r="F22483" t="s">
        <v>5</v>
      </c>
      <c r="G22483" t="str">
        <f>""</f>
        <v/>
      </c>
    </row>
    <row r="22484" spans="1:7" x14ac:dyDescent="0.25">
      <c r="A22484" t="s">
        <v>8</v>
      </c>
      <c r="B22484" s="1" t="str">
        <f>"S9U02N60"</f>
        <v>S9U02N60</v>
      </c>
      <c r="C22484" t="s">
        <v>6386</v>
      </c>
      <c r="D22484" s="1" t="str">
        <f t="shared" si="618"/>
        <v>PRG-1049789</v>
      </c>
      <c r="E22484" t="s">
        <v>3778</v>
      </c>
      <c r="F22484" t="s">
        <v>5</v>
      </c>
      <c r="G22484" t="str">
        <f>""</f>
        <v/>
      </c>
    </row>
    <row r="22485" spans="1:7" x14ac:dyDescent="0.25">
      <c r="A22485" t="s">
        <v>8</v>
      </c>
      <c r="B22485" s="1" t="str">
        <f>"S2O01P40"</f>
        <v>S2O01P40</v>
      </c>
      <c r="C22485" t="s">
        <v>5582</v>
      </c>
      <c r="D22485" s="1" t="str">
        <f>"PRG-1049819"</f>
        <v>PRG-1049819</v>
      </c>
      <c r="E22485" t="s">
        <v>5583</v>
      </c>
      <c r="F22485" t="s">
        <v>5</v>
      </c>
      <c r="G22485" t="str">
        <f>""</f>
        <v/>
      </c>
    </row>
    <row r="22486" spans="1:7" x14ac:dyDescent="0.25">
      <c r="A22486" t="s">
        <v>8</v>
      </c>
      <c r="B22486" s="1" t="str">
        <f>"S1Z0PB40"</f>
        <v>S1Z0PB40</v>
      </c>
      <c r="C22486" t="s">
        <v>5430</v>
      </c>
      <c r="D22486" s="1" t="str">
        <f>"PRG-1049891"</f>
        <v>PRG-1049891</v>
      </c>
      <c r="E22486" t="s">
        <v>402</v>
      </c>
      <c r="F22486" t="s">
        <v>5</v>
      </c>
      <c r="G22486" t="str">
        <f>""</f>
        <v/>
      </c>
    </row>
    <row r="22487" spans="1:7" x14ac:dyDescent="0.25">
      <c r="A22487" t="s">
        <v>8</v>
      </c>
      <c r="B22487" s="1" t="str">
        <f>"60284245"</f>
        <v>60284245</v>
      </c>
      <c r="C22487" t="s">
        <v>5215</v>
      </c>
      <c r="D22487" s="1" t="str">
        <f t="shared" ref="D22487:D22492" si="619">"PRG-1049952"</f>
        <v>PRG-1049952</v>
      </c>
      <c r="E22487" t="s">
        <v>5216</v>
      </c>
      <c r="F22487" t="s">
        <v>5</v>
      </c>
      <c r="G22487" t="str">
        <f>""</f>
        <v/>
      </c>
    </row>
    <row r="22488" spans="1:7" x14ac:dyDescent="0.25">
      <c r="A22488" t="s">
        <v>8</v>
      </c>
      <c r="B22488" s="1" t="str">
        <f>"60284246"</f>
        <v>60284246</v>
      </c>
      <c r="C22488" t="s">
        <v>5217</v>
      </c>
      <c r="D22488" s="1" t="str">
        <f t="shared" si="619"/>
        <v>PRG-1049952</v>
      </c>
      <c r="E22488" t="s">
        <v>5216</v>
      </c>
      <c r="F22488" t="s">
        <v>5</v>
      </c>
      <c r="G22488" t="str">
        <f>""</f>
        <v/>
      </c>
    </row>
    <row r="22489" spans="1:7" x14ac:dyDescent="0.25">
      <c r="A22489" t="s">
        <v>8</v>
      </c>
      <c r="B22489" s="1" t="str">
        <f>"60284250"</f>
        <v>60284250</v>
      </c>
      <c r="C22489" t="s">
        <v>5218</v>
      </c>
      <c r="D22489" s="1" t="str">
        <f t="shared" si="619"/>
        <v>PRG-1049952</v>
      </c>
      <c r="E22489" t="s">
        <v>5216</v>
      </c>
      <c r="F22489" t="s">
        <v>5</v>
      </c>
      <c r="G22489" t="str">
        <f>""</f>
        <v/>
      </c>
    </row>
    <row r="22490" spans="1:7" x14ac:dyDescent="0.25">
      <c r="A22490" t="s">
        <v>8</v>
      </c>
      <c r="B22490" s="1" t="str">
        <f>"60304728"</f>
        <v>60304728</v>
      </c>
      <c r="C22490" t="s">
        <v>5267</v>
      </c>
      <c r="D22490" s="1" t="str">
        <f t="shared" si="619"/>
        <v>PRG-1049952</v>
      </c>
      <c r="E22490" t="s">
        <v>5216</v>
      </c>
      <c r="F22490" t="s">
        <v>5</v>
      </c>
      <c r="G22490" t="str">
        <f>""</f>
        <v/>
      </c>
    </row>
    <row r="22491" spans="1:7" x14ac:dyDescent="0.25">
      <c r="A22491" t="s">
        <v>8</v>
      </c>
      <c r="B22491" s="1" t="str">
        <f>"60306398"</f>
        <v>60306398</v>
      </c>
      <c r="C22491" t="s">
        <v>5268</v>
      </c>
      <c r="D22491" s="1" t="str">
        <f t="shared" si="619"/>
        <v>PRG-1049952</v>
      </c>
      <c r="E22491" t="s">
        <v>5216</v>
      </c>
      <c r="F22491" t="s">
        <v>5</v>
      </c>
      <c r="G22491" t="str">
        <f>""</f>
        <v/>
      </c>
    </row>
    <row r="22492" spans="1:7" x14ac:dyDescent="0.25">
      <c r="A22492" t="s">
        <v>8</v>
      </c>
      <c r="B22492" s="1" t="str">
        <f>"S1Z0NB80"</f>
        <v>S1Z0NB80</v>
      </c>
      <c r="C22492" t="s">
        <v>5423</v>
      </c>
      <c r="D22492" s="1" t="str">
        <f t="shared" si="619"/>
        <v>PRG-1049952</v>
      </c>
      <c r="E22492" t="s">
        <v>5216</v>
      </c>
      <c r="F22492" t="s">
        <v>5</v>
      </c>
      <c r="G22492" t="str">
        <f>""</f>
        <v/>
      </c>
    </row>
    <row r="22493" spans="1:7" x14ac:dyDescent="0.25">
      <c r="A22493" t="s">
        <v>8</v>
      </c>
      <c r="B22493" s="1" t="str">
        <f>"6026A478"</f>
        <v>6026A478</v>
      </c>
      <c r="C22493" t="s">
        <v>5027</v>
      </c>
      <c r="D22493" s="1" t="str">
        <f t="shared" ref="D22493:D22527" si="620">"PRG-1049980"</f>
        <v>PRG-1049980</v>
      </c>
      <c r="E22493" t="s">
        <v>147</v>
      </c>
      <c r="F22493" t="s">
        <v>5</v>
      </c>
      <c r="G22493" t="str">
        <f>""</f>
        <v/>
      </c>
    </row>
    <row r="22494" spans="1:7" x14ac:dyDescent="0.25">
      <c r="A22494" t="s">
        <v>8</v>
      </c>
      <c r="B22494" s="1" t="str">
        <f>"6026AH27"</f>
        <v>6026AH27</v>
      </c>
      <c r="C22494" t="s">
        <v>5028</v>
      </c>
      <c r="D22494" s="1" t="str">
        <f t="shared" si="620"/>
        <v>PRG-1049980</v>
      </c>
      <c r="E22494" t="s">
        <v>147</v>
      </c>
      <c r="F22494" t="s">
        <v>5</v>
      </c>
      <c r="G22494" t="str">
        <f>""</f>
        <v/>
      </c>
    </row>
    <row r="22495" spans="1:7" x14ac:dyDescent="0.25">
      <c r="A22495" t="s">
        <v>8</v>
      </c>
      <c r="B22495" s="1" t="str">
        <f>"6026AU23"</f>
        <v>6026AU23</v>
      </c>
      <c r="C22495" t="s">
        <v>5029</v>
      </c>
      <c r="D22495" s="1" t="str">
        <f t="shared" si="620"/>
        <v>PRG-1049980</v>
      </c>
      <c r="E22495" t="s">
        <v>147</v>
      </c>
      <c r="F22495" t="s">
        <v>5</v>
      </c>
      <c r="G22495" t="str">
        <f>""</f>
        <v/>
      </c>
    </row>
    <row r="22496" spans="1:7" x14ac:dyDescent="0.25">
      <c r="A22496" t="s">
        <v>8</v>
      </c>
      <c r="B22496" s="1" t="str">
        <f>"6026CA38"</f>
        <v>6026CA38</v>
      </c>
      <c r="C22496" t="s">
        <v>5032</v>
      </c>
      <c r="D22496" s="1" t="str">
        <f t="shared" si="620"/>
        <v>PRG-1049980</v>
      </c>
      <c r="E22496" t="s">
        <v>147</v>
      </c>
      <c r="F22496" t="s">
        <v>5</v>
      </c>
      <c r="G22496" t="str">
        <f>""</f>
        <v/>
      </c>
    </row>
    <row r="22497" spans="1:7" x14ac:dyDescent="0.25">
      <c r="A22497" t="s">
        <v>8</v>
      </c>
      <c r="B22497" s="1" t="str">
        <f>"6026CT21"</f>
        <v>6026CT21</v>
      </c>
      <c r="C22497" t="s">
        <v>5033</v>
      </c>
      <c r="D22497" s="1" t="str">
        <f t="shared" si="620"/>
        <v>PRG-1049980</v>
      </c>
      <c r="E22497" t="s">
        <v>147</v>
      </c>
      <c r="F22497" t="s">
        <v>5</v>
      </c>
      <c r="G22497" t="str">
        <f>""</f>
        <v/>
      </c>
    </row>
    <row r="22498" spans="1:7" x14ac:dyDescent="0.25">
      <c r="A22498" t="s">
        <v>8</v>
      </c>
      <c r="B22498" s="1" t="str">
        <f>"6026D293"</f>
        <v>6026D293</v>
      </c>
      <c r="C22498" t="s">
        <v>5047</v>
      </c>
      <c r="D22498" s="1" t="str">
        <f t="shared" si="620"/>
        <v>PRG-1049980</v>
      </c>
      <c r="E22498" t="s">
        <v>147</v>
      </c>
      <c r="F22498" t="s">
        <v>5</v>
      </c>
      <c r="G22498" t="str">
        <f>""</f>
        <v/>
      </c>
    </row>
    <row r="22499" spans="1:7" x14ac:dyDescent="0.25">
      <c r="A22499" t="s">
        <v>8</v>
      </c>
      <c r="B22499" s="1" t="str">
        <f>"6026E548"</f>
        <v>6026E548</v>
      </c>
      <c r="C22499" t="s">
        <v>5058</v>
      </c>
      <c r="D22499" s="1" t="str">
        <f t="shared" si="620"/>
        <v>PRG-1049980</v>
      </c>
      <c r="E22499" t="s">
        <v>147</v>
      </c>
      <c r="F22499" t="s">
        <v>5</v>
      </c>
      <c r="G22499" t="str">
        <f>""</f>
        <v/>
      </c>
    </row>
    <row r="22500" spans="1:7" x14ac:dyDescent="0.25">
      <c r="A22500" t="s">
        <v>8</v>
      </c>
      <c r="B22500" s="1" t="str">
        <f>"6026G085"</f>
        <v>6026G085</v>
      </c>
      <c r="C22500" t="s">
        <v>5068</v>
      </c>
      <c r="D22500" s="1" t="str">
        <f t="shared" si="620"/>
        <v>PRG-1049980</v>
      </c>
      <c r="E22500" t="s">
        <v>147</v>
      </c>
      <c r="F22500" t="s">
        <v>5</v>
      </c>
      <c r="G22500" t="str">
        <f>""</f>
        <v/>
      </c>
    </row>
    <row r="22501" spans="1:7" x14ac:dyDescent="0.25">
      <c r="A22501" t="s">
        <v>8</v>
      </c>
      <c r="B22501" s="1" t="str">
        <f>"6026K816"</f>
        <v>6026K816</v>
      </c>
      <c r="C22501" t="s">
        <v>5092</v>
      </c>
      <c r="D22501" s="1" t="str">
        <f t="shared" si="620"/>
        <v>PRG-1049980</v>
      </c>
      <c r="E22501" t="s">
        <v>147</v>
      </c>
      <c r="F22501" t="s">
        <v>5</v>
      </c>
      <c r="G22501" t="str">
        <f>""</f>
        <v/>
      </c>
    </row>
    <row r="22502" spans="1:7" x14ac:dyDescent="0.25">
      <c r="A22502" t="s">
        <v>8</v>
      </c>
      <c r="B22502" s="1" t="str">
        <f>"6026K819"</f>
        <v>6026K819</v>
      </c>
      <c r="C22502" t="s">
        <v>5092</v>
      </c>
      <c r="D22502" s="1" t="str">
        <f t="shared" si="620"/>
        <v>PRG-1049980</v>
      </c>
      <c r="E22502" t="s">
        <v>147</v>
      </c>
      <c r="F22502" t="s">
        <v>5</v>
      </c>
      <c r="G22502" t="str">
        <f>""</f>
        <v/>
      </c>
    </row>
    <row r="22503" spans="1:7" x14ac:dyDescent="0.25">
      <c r="A22503" t="s">
        <v>8</v>
      </c>
      <c r="B22503" s="1" t="str">
        <f>"6026PR77"</f>
        <v>6026PR77</v>
      </c>
      <c r="C22503" t="s">
        <v>5112</v>
      </c>
      <c r="D22503" s="1" t="str">
        <f t="shared" si="620"/>
        <v>PRG-1049980</v>
      </c>
      <c r="E22503" t="s">
        <v>147</v>
      </c>
      <c r="F22503" t="s">
        <v>5</v>
      </c>
      <c r="G22503" t="str">
        <f>""</f>
        <v/>
      </c>
    </row>
    <row r="22504" spans="1:7" x14ac:dyDescent="0.25">
      <c r="A22504" t="s">
        <v>8</v>
      </c>
      <c r="B22504" s="1" t="str">
        <f>"6026R072"</f>
        <v>6026R072</v>
      </c>
      <c r="C22504" t="s">
        <v>5124</v>
      </c>
      <c r="D22504" s="1" t="str">
        <f t="shared" si="620"/>
        <v>PRG-1049980</v>
      </c>
      <c r="E22504" t="s">
        <v>147</v>
      </c>
      <c r="F22504" t="s">
        <v>5</v>
      </c>
      <c r="G22504" t="str">
        <f>""</f>
        <v/>
      </c>
    </row>
    <row r="22505" spans="1:7" x14ac:dyDescent="0.25">
      <c r="A22505" t="s">
        <v>8</v>
      </c>
      <c r="B22505" s="1" t="str">
        <f>"6026R075"</f>
        <v>6026R075</v>
      </c>
      <c r="C22505" t="s">
        <v>5125</v>
      </c>
      <c r="D22505" s="1" t="str">
        <f t="shared" si="620"/>
        <v>PRG-1049980</v>
      </c>
      <c r="E22505" t="s">
        <v>147</v>
      </c>
      <c r="F22505" t="s">
        <v>5</v>
      </c>
      <c r="G22505" t="str">
        <f>""</f>
        <v/>
      </c>
    </row>
    <row r="22506" spans="1:7" x14ac:dyDescent="0.25">
      <c r="A22506" t="s">
        <v>8</v>
      </c>
      <c r="B22506" s="1" t="str">
        <f>"6026TP93"</f>
        <v>6026TP93</v>
      </c>
      <c r="C22506" t="s">
        <v>5159</v>
      </c>
      <c r="D22506" s="1" t="str">
        <f t="shared" si="620"/>
        <v>PRG-1049980</v>
      </c>
      <c r="E22506" t="s">
        <v>147</v>
      </c>
      <c r="F22506" t="s">
        <v>5</v>
      </c>
      <c r="G22506" t="str">
        <f>""</f>
        <v/>
      </c>
    </row>
    <row r="22507" spans="1:7" x14ac:dyDescent="0.25">
      <c r="A22507" t="s">
        <v>8</v>
      </c>
      <c r="B22507" s="1" t="str">
        <f>"60280947"</f>
        <v>60280947</v>
      </c>
      <c r="C22507" t="s">
        <v>5211</v>
      </c>
      <c r="D22507" s="1" t="str">
        <f t="shared" si="620"/>
        <v>PRG-1049980</v>
      </c>
      <c r="E22507" t="s">
        <v>147</v>
      </c>
      <c r="F22507" t="s">
        <v>5</v>
      </c>
      <c r="G22507" t="str">
        <f>""</f>
        <v/>
      </c>
    </row>
    <row r="22508" spans="1:7" x14ac:dyDescent="0.25">
      <c r="A22508" t="s">
        <v>8</v>
      </c>
      <c r="B22508" s="1" t="str">
        <f>"60291890"</f>
        <v>60291890</v>
      </c>
      <c r="C22508" t="s">
        <v>5227</v>
      </c>
      <c r="D22508" s="1" t="str">
        <f t="shared" si="620"/>
        <v>PRG-1049980</v>
      </c>
      <c r="E22508" t="s">
        <v>147</v>
      </c>
      <c r="F22508" t="s">
        <v>5</v>
      </c>
      <c r="G22508" t="str">
        <f>""</f>
        <v/>
      </c>
    </row>
    <row r="22509" spans="1:7" x14ac:dyDescent="0.25">
      <c r="A22509" t="s">
        <v>8</v>
      </c>
      <c r="B22509" s="1" t="str">
        <f>"60294533"</f>
        <v>60294533</v>
      </c>
      <c r="C22509" t="s">
        <v>5231</v>
      </c>
      <c r="D22509" s="1" t="str">
        <f t="shared" si="620"/>
        <v>PRG-1049980</v>
      </c>
      <c r="E22509" t="s">
        <v>147</v>
      </c>
      <c r="F22509" t="s">
        <v>5</v>
      </c>
      <c r="G22509" t="str">
        <f>""</f>
        <v/>
      </c>
    </row>
    <row r="22510" spans="1:7" x14ac:dyDescent="0.25">
      <c r="A22510" t="s">
        <v>8</v>
      </c>
      <c r="B22510" s="1" t="str">
        <f>"60294534"</f>
        <v>60294534</v>
      </c>
      <c r="C22510" t="s">
        <v>5232</v>
      </c>
      <c r="D22510" s="1" t="str">
        <f t="shared" si="620"/>
        <v>PRG-1049980</v>
      </c>
      <c r="E22510" t="s">
        <v>147</v>
      </c>
      <c r="F22510" t="s">
        <v>5</v>
      </c>
      <c r="G22510" t="str">
        <f>""</f>
        <v/>
      </c>
    </row>
    <row r="22511" spans="1:7" x14ac:dyDescent="0.25">
      <c r="A22511" t="s">
        <v>8</v>
      </c>
      <c r="B22511" s="1" t="str">
        <f>"60294535"</f>
        <v>60294535</v>
      </c>
      <c r="C22511" t="s">
        <v>5233</v>
      </c>
      <c r="D22511" s="1" t="str">
        <f t="shared" si="620"/>
        <v>PRG-1049980</v>
      </c>
      <c r="E22511" t="s">
        <v>147</v>
      </c>
      <c r="F22511" t="s">
        <v>5</v>
      </c>
      <c r="G22511" t="str">
        <f>""</f>
        <v/>
      </c>
    </row>
    <row r="22512" spans="1:7" x14ac:dyDescent="0.25">
      <c r="A22512" t="s">
        <v>8</v>
      </c>
      <c r="B22512" s="1" t="str">
        <f>"60295631"</f>
        <v>60295631</v>
      </c>
      <c r="C22512" t="s">
        <v>5235</v>
      </c>
      <c r="D22512" s="1" t="str">
        <f t="shared" si="620"/>
        <v>PRG-1049980</v>
      </c>
      <c r="E22512" t="s">
        <v>147</v>
      </c>
      <c r="F22512" t="s">
        <v>5</v>
      </c>
      <c r="G22512" t="str">
        <f>""</f>
        <v/>
      </c>
    </row>
    <row r="22513" spans="1:7" x14ac:dyDescent="0.25">
      <c r="A22513" t="s">
        <v>8</v>
      </c>
      <c r="B22513" s="1" t="str">
        <f>"60295632"</f>
        <v>60295632</v>
      </c>
      <c r="C22513" t="s">
        <v>5236</v>
      </c>
      <c r="D22513" s="1" t="str">
        <f t="shared" si="620"/>
        <v>PRG-1049980</v>
      </c>
      <c r="E22513" t="s">
        <v>147</v>
      </c>
      <c r="F22513" t="s">
        <v>5</v>
      </c>
      <c r="G22513" t="str">
        <f>""</f>
        <v/>
      </c>
    </row>
    <row r="22514" spans="1:7" x14ac:dyDescent="0.25">
      <c r="A22514" t="s">
        <v>8</v>
      </c>
      <c r="B22514" s="1" t="str">
        <f>"60300394"</f>
        <v>60300394</v>
      </c>
      <c r="C22514" t="s">
        <v>5246</v>
      </c>
      <c r="D22514" s="1" t="str">
        <f t="shared" si="620"/>
        <v>PRG-1049980</v>
      </c>
      <c r="E22514" t="s">
        <v>147</v>
      </c>
      <c r="F22514" t="s">
        <v>5</v>
      </c>
      <c r="G22514" t="str">
        <f>""</f>
        <v/>
      </c>
    </row>
    <row r="22515" spans="1:7" x14ac:dyDescent="0.25">
      <c r="A22515" t="s">
        <v>8</v>
      </c>
      <c r="B22515" s="1" t="str">
        <f>"60302709"</f>
        <v>60302709</v>
      </c>
      <c r="C22515" t="s">
        <v>5247</v>
      </c>
      <c r="D22515" s="1" t="str">
        <f t="shared" si="620"/>
        <v>PRG-1049980</v>
      </c>
      <c r="E22515" t="s">
        <v>147</v>
      </c>
      <c r="F22515" t="s">
        <v>5</v>
      </c>
      <c r="G22515" t="str">
        <f>""</f>
        <v/>
      </c>
    </row>
    <row r="22516" spans="1:7" x14ac:dyDescent="0.25">
      <c r="A22516" t="s">
        <v>8</v>
      </c>
      <c r="B22516" s="1" t="str">
        <f>"60302710"</f>
        <v>60302710</v>
      </c>
      <c r="C22516" t="s">
        <v>5248</v>
      </c>
      <c r="D22516" s="1" t="str">
        <f t="shared" si="620"/>
        <v>PRG-1049980</v>
      </c>
      <c r="E22516" t="s">
        <v>147</v>
      </c>
      <c r="F22516" t="s">
        <v>5</v>
      </c>
      <c r="G22516" t="str">
        <f>""</f>
        <v/>
      </c>
    </row>
    <row r="22517" spans="1:7" x14ac:dyDescent="0.25">
      <c r="A22517" t="s">
        <v>8</v>
      </c>
      <c r="B22517" s="1" t="str">
        <f>"60302711"</f>
        <v>60302711</v>
      </c>
      <c r="C22517" t="s">
        <v>5249</v>
      </c>
      <c r="D22517" s="1" t="str">
        <f t="shared" si="620"/>
        <v>PRG-1049980</v>
      </c>
      <c r="E22517" t="s">
        <v>147</v>
      </c>
      <c r="F22517" t="s">
        <v>5</v>
      </c>
      <c r="G22517" t="str">
        <f>""</f>
        <v/>
      </c>
    </row>
    <row r="22518" spans="1:7" x14ac:dyDescent="0.25">
      <c r="A22518" t="s">
        <v>8</v>
      </c>
      <c r="B22518" s="1" t="str">
        <f>"60303288"</f>
        <v>60303288</v>
      </c>
      <c r="C22518" t="s">
        <v>5253</v>
      </c>
      <c r="D22518" s="1" t="str">
        <f t="shared" si="620"/>
        <v>PRG-1049980</v>
      </c>
      <c r="E22518" t="s">
        <v>147</v>
      </c>
      <c r="F22518" t="s">
        <v>5</v>
      </c>
      <c r="G22518" t="str">
        <f>""</f>
        <v/>
      </c>
    </row>
    <row r="22519" spans="1:7" x14ac:dyDescent="0.25">
      <c r="A22519" t="s">
        <v>8</v>
      </c>
      <c r="B22519" s="1" t="str">
        <f>"60304649"</f>
        <v>60304649</v>
      </c>
      <c r="C22519" t="s">
        <v>5266</v>
      </c>
      <c r="D22519" s="1" t="str">
        <f t="shared" si="620"/>
        <v>PRG-1049980</v>
      </c>
      <c r="E22519" t="s">
        <v>147</v>
      </c>
      <c r="F22519" t="s">
        <v>5</v>
      </c>
      <c r="G22519" t="str">
        <f>""</f>
        <v/>
      </c>
    </row>
    <row r="22520" spans="1:7" x14ac:dyDescent="0.25">
      <c r="A22520" t="s">
        <v>8</v>
      </c>
      <c r="B22520" s="1" t="str">
        <f>"60309198"</f>
        <v>60309198</v>
      </c>
      <c r="C22520" t="s">
        <v>5269</v>
      </c>
      <c r="D22520" s="1" t="str">
        <f t="shared" si="620"/>
        <v>PRG-1049980</v>
      </c>
      <c r="E22520" t="s">
        <v>147</v>
      </c>
      <c r="F22520" t="s">
        <v>5</v>
      </c>
      <c r="G22520" t="str">
        <f>""</f>
        <v/>
      </c>
    </row>
    <row r="22521" spans="1:7" x14ac:dyDescent="0.25">
      <c r="A22521" t="s">
        <v>8</v>
      </c>
      <c r="B22521" s="1" t="str">
        <f>"60317773"</f>
        <v>60317773</v>
      </c>
      <c r="C22521" t="s">
        <v>5284</v>
      </c>
      <c r="D22521" s="1" t="str">
        <f t="shared" si="620"/>
        <v>PRG-1049980</v>
      </c>
      <c r="E22521" t="s">
        <v>147</v>
      </c>
      <c r="F22521" t="s">
        <v>5</v>
      </c>
      <c r="G22521" t="str">
        <f>""</f>
        <v/>
      </c>
    </row>
    <row r="22522" spans="1:7" x14ac:dyDescent="0.25">
      <c r="A22522" t="s">
        <v>8</v>
      </c>
      <c r="B22522" s="1" t="str">
        <f>"S1Z0H0D0"</f>
        <v>S1Z0H0D0</v>
      </c>
      <c r="C22522" t="s">
        <v>5386</v>
      </c>
      <c r="D22522" s="1" t="str">
        <f t="shared" si="620"/>
        <v>PRG-1049980</v>
      </c>
      <c r="E22522" t="s">
        <v>147</v>
      </c>
      <c r="F22522" t="s">
        <v>5</v>
      </c>
      <c r="G22522" t="str">
        <f>""</f>
        <v/>
      </c>
    </row>
    <row r="22523" spans="1:7" x14ac:dyDescent="0.25">
      <c r="A22523" t="s">
        <v>8</v>
      </c>
      <c r="B22523" s="1" t="str">
        <f>"S1Z0KLZ0"</f>
        <v>S1Z0KLZ0</v>
      </c>
      <c r="C22523" t="s">
        <v>5414</v>
      </c>
      <c r="D22523" s="1" t="str">
        <f t="shared" si="620"/>
        <v>PRG-1049980</v>
      </c>
      <c r="E22523" t="s">
        <v>147</v>
      </c>
      <c r="F22523" t="s">
        <v>5</v>
      </c>
      <c r="G22523" t="str">
        <f>""</f>
        <v/>
      </c>
    </row>
    <row r="22524" spans="1:7" x14ac:dyDescent="0.25">
      <c r="A22524" t="s">
        <v>8</v>
      </c>
      <c r="B22524" s="1" t="str">
        <f>"S1Z0NZ00"</f>
        <v>S1Z0NZ00</v>
      </c>
      <c r="C22524" t="s">
        <v>5425</v>
      </c>
      <c r="D22524" s="1" t="str">
        <f t="shared" si="620"/>
        <v>PRG-1049980</v>
      </c>
      <c r="E22524" t="s">
        <v>147</v>
      </c>
      <c r="F22524" t="s">
        <v>5</v>
      </c>
      <c r="G22524" t="str">
        <f>""</f>
        <v/>
      </c>
    </row>
    <row r="22525" spans="1:7" x14ac:dyDescent="0.25">
      <c r="A22525" t="s">
        <v>8</v>
      </c>
      <c r="B22525" s="1" t="str">
        <f>"S1Z0PUE0"</f>
        <v>S1Z0PUE0</v>
      </c>
      <c r="C22525" t="s">
        <v>5433</v>
      </c>
      <c r="D22525" s="1" t="str">
        <f t="shared" si="620"/>
        <v>PRG-1049980</v>
      </c>
      <c r="E22525" t="s">
        <v>147</v>
      </c>
      <c r="F22525" t="s">
        <v>5</v>
      </c>
      <c r="G22525" t="str">
        <f>""</f>
        <v/>
      </c>
    </row>
    <row r="22526" spans="1:7" x14ac:dyDescent="0.25">
      <c r="A22526" t="s">
        <v>8</v>
      </c>
      <c r="B22526" s="1" t="str">
        <f>"S1Z0ZHO0"</f>
        <v>S1Z0ZHO0</v>
      </c>
      <c r="C22526" t="s">
        <v>5459</v>
      </c>
      <c r="D22526" s="1" t="str">
        <f t="shared" si="620"/>
        <v>PRG-1049980</v>
      </c>
      <c r="E22526" t="s">
        <v>147</v>
      </c>
      <c r="F22526" t="s">
        <v>5</v>
      </c>
      <c r="G22526" t="str">
        <f>""</f>
        <v/>
      </c>
    </row>
    <row r="22527" spans="1:7" x14ac:dyDescent="0.25">
      <c r="A22527" t="s">
        <v>8</v>
      </c>
      <c r="B22527" s="1" t="str">
        <f>"S1Z14P10"</f>
        <v>S1Z14P10</v>
      </c>
      <c r="C22527" t="s">
        <v>5469</v>
      </c>
      <c r="D22527" s="1" t="str">
        <f t="shared" si="620"/>
        <v>PRG-1049980</v>
      </c>
      <c r="E22527" t="s">
        <v>147</v>
      </c>
      <c r="F22527" t="s">
        <v>5</v>
      </c>
      <c r="G22527" t="str">
        <f>""</f>
        <v/>
      </c>
    </row>
    <row r="22528" spans="1:7" x14ac:dyDescent="0.25">
      <c r="A22528" t="s">
        <v>8</v>
      </c>
      <c r="B22528" s="1" t="str">
        <f>"S1Z0KE80"</f>
        <v>S1Z0KE80</v>
      </c>
      <c r="C22528" t="s">
        <v>5408</v>
      </c>
      <c r="D22528" s="1" t="str">
        <f>"PRG-1050178"</f>
        <v>PRG-1050178</v>
      </c>
      <c r="E22528" t="s">
        <v>5409</v>
      </c>
      <c r="F22528" t="s">
        <v>5</v>
      </c>
      <c r="G22528" t="str">
        <f>""</f>
        <v/>
      </c>
    </row>
    <row r="22529" spans="1:7" x14ac:dyDescent="0.25">
      <c r="A22529" t="s">
        <v>8</v>
      </c>
      <c r="B22529" s="1" t="str">
        <f>"60287983"</f>
        <v>60287983</v>
      </c>
      <c r="C22529" t="s">
        <v>5220</v>
      </c>
      <c r="D22529" s="1" t="str">
        <f>"PRG-1050192"</f>
        <v>PRG-1050192</v>
      </c>
      <c r="E22529" t="s">
        <v>5221</v>
      </c>
      <c r="F22529" t="s">
        <v>5</v>
      </c>
      <c r="G22529" t="str">
        <f>""</f>
        <v/>
      </c>
    </row>
    <row r="22530" spans="1:7" x14ac:dyDescent="0.25">
      <c r="A22530" t="s">
        <v>8</v>
      </c>
      <c r="B22530" s="1" t="str">
        <f>"4146C779"</f>
        <v>4146C779</v>
      </c>
      <c r="C22530" t="s">
        <v>5003</v>
      </c>
      <c r="D22530" s="1" t="str">
        <f>"PRG-1050356"</f>
        <v>PRG-1050356</v>
      </c>
      <c r="E22530" t="s">
        <v>4976</v>
      </c>
      <c r="F22530" t="s">
        <v>5</v>
      </c>
      <c r="G22530" t="str">
        <f>""</f>
        <v/>
      </c>
    </row>
    <row r="22531" spans="1:7" x14ac:dyDescent="0.25">
      <c r="A22531" t="s">
        <v>8</v>
      </c>
      <c r="B22531" s="1" t="str">
        <f>"S1Z0QC20"</f>
        <v>S1Z0QC20</v>
      </c>
      <c r="C22531" t="s">
        <v>5435</v>
      </c>
      <c r="D22531" s="1" t="str">
        <f>"PRG-1050356"</f>
        <v>PRG-1050356</v>
      </c>
      <c r="E22531" t="s">
        <v>4976</v>
      </c>
      <c r="F22531" t="s">
        <v>5</v>
      </c>
      <c r="G22531" t="str">
        <f>""</f>
        <v/>
      </c>
    </row>
    <row r="22532" spans="1:7" x14ac:dyDescent="0.25">
      <c r="A22532" t="s">
        <v>8</v>
      </c>
      <c r="B22532" s="1" t="str">
        <f>"S1Z181G0"</f>
        <v>S1Z181G0</v>
      </c>
      <c r="C22532" t="s">
        <v>5470</v>
      </c>
      <c r="D22532" s="1" t="str">
        <f>"PRG-1050362"</f>
        <v>PRG-1050362</v>
      </c>
      <c r="E22532" t="s">
        <v>5471</v>
      </c>
      <c r="F22532" t="s">
        <v>5</v>
      </c>
      <c r="G22532" t="str">
        <f>""</f>
        <v/>
      </c>
    </row>
    <row r="22533" spans="1:7" x14ac:dyDescent="0.25">
      <c r="A22533" t="s">
        <v>8</v>
      </c>
      <c r="B22533" s="1" t="str">
        <f>"S5I01PI0"</f>
        <v>S5I01PI0</v>
      </c>
      <c r="C22533" t="s">
        <v>5871</v>
      </c>
      <c r="D22533" s="1" t="str">
        <f>"PRG-1050589"</f>
        <v>PRG-1050589</v>
      </c>
      <c r="E22533" t="s">
        <v>5872</v>
      </c>
      <c r="F22533" t="s">
        <v>5</v>
      </c>
      <c r="G22533" t="str">
        <f>""</f>
        <v/>
      </c>
    </row>
    <row r="22534" spans="1:7" x14ac:dyDescent="0.25">
      <c r="A22534" t="s">
        <v>8</v>
      </c>
      <c r="B22534" s="1" t="str">
        <f>"S9D009U0"</f>
        <v>S9D009U0</v>
      </c>
      <c r="C22534" t="s">
        <v>6329</v>
      </c>
      <c r="D22534" s="1" t="str">
        <f>"PRG-1050590"</f>
        <v>PRG-1050590</v>
      </c>
      <c r="E22534" t="s">
        <v>6330</v>
      </c>
      <c r="F22534" t="s">
        <v>5</v>
      </c>
      <c r="G22534" t="str">
        <f>""</f>
        <v/>
      </c>
    </row>
    <row r="22535" spans="1:7" x14ac:dyDescent="0.25">
      <c r="A22535" t="s">
        <v>8</v>
      </c>
      <c r="B22535" s="1" t="str">
        <f>"S6B00HI0"</f>
        <v>S6B00HI0</v>
      </c>
      <c r="C22535" t="s">
        <v>5987</v>
      </c>
      <c r="D22535" s="1" t="str">
        <f>"PRG-1050602"</f>
        <v>PRG-1050602</v>
      </c>
      <c r="E22535" t="s">
        <v>5988</v>
      </c>
      <c r="F22535" t="s">
        <v>5</v>
      </c>
      <c r="G22535" t="str">
        <f>""</f>
        <v/>
      </c>
    </row>
    <row r="22536" spans="1:7" x14ac:dyDescent="0.25">
      <c r="A22536" t="s">
        <v>8</v>
      </c>
      <c r="B22536" s="1" t="str">
        <f>"S6B00MQ0"</f>
        <v>S6B00MQ0</v>
      </c>
      <c r="C22536" t="s">
        <v>5989</v>
      </c>
      <c r="D22536" s="1" t="str">
        <f>"PRG-1050602"</f>
        <v>PRG-1050602</v>
      </c>
      <c r="E22536" t="s">
        <v>5988</v>
      </c>
      <c r="F22536" t="s">
        <v>5</v>
      </c>
      <c r="G22536" t="str">
        <f>""</f>
        <v/>
      </c>
    </row>
    <row r="22537" spans="1:7" x14ac:dyDescent="0.25">
      <c r="A22537" t="s">
        <v>8</v>
      </c>
      <c r="B22537" s="1" t="str">
        <f>"S6B00RH0"</f>
        <v>S6B00RH0</v>
      </c>
      <c r="C22537" t="s">
        <v>5990</v>
      </c>
      <c r="D22537" s="1" t="str">
        <f>"PRG-1050602"</f>
        <v>PRG-1050602</v>
      </c>
      <c r="E22537" t="s">
        <v>5988</v>
      </c>
      <c r="F22537" t="s">
        <v>5</v>
      </c>
      <c r="G22537" t="str">
        <f>""</f>
        <v/>
      </c>
    </row>
    <row r="22538" spans="1:7" x14ac:dyDescent="0.25">
      <c r="A22538" t="s">
        <v>8</v>
      </c>
      <c r="B22538" s="1" t="str">
        <f>"S6B06UD0"</f>
        <v>S6B06UD0</v>
      </c>
      <c r="C22538" t="s">
        <v>6017</v>
      </c>
      <c r="D22538" s="1" t="str">
        <f>"PRG-1050602"</f>
        <v>PRG-1050602</v>
      </c>
      <c r="E22538" t="s">
        <v>5988</v>
      </c>
      <c r="F22538" t="s">
        <v>5</v>
      </c>
      <c r="G22538" t="str">
        <f>""</f>
        <v/>
      </c>
    </row>
    <row r="22539" spans="1:7" x14ac:dyDescent="0.25">
      <c r="A22539" t="s">
        <v>8</v>
      </c>
      <c r="B22539" s="1" t="str">
        <f>"S5I00UD0"</f>
        <v>S5I00UD0</v>
      </c>
      <c r="C22539" t="s">
        <v>5845</v>
      </c>
      <c r="D22539" s="1" t="str">
        <f>"PRG-1050606"</f>
        <v>PRG-1050606</v>
      </c>
      <c r="E22539" t="s">
        <v>5846</v>
      </c>
      <c r="F22539" t="s">
        <v>5</v>
      </c>
      <c r="G22539" t="str">
        <f>""</f>
        <v/>
      </c>
    </row>
    <row r="22540" spans="1:7" x14ac:dyDescent="0.25">
      <c r="A22540" t="s">
        <v>8</v>
      </c>
      <c r="B22540" s="1" t="str">
        <f>"S5Z00DK0"</f>
        <v>S5Z00DK0</v>
      </c>
      <c r="C22540" t="s">
        <v>5948</v>
      </c>
      <c r="D22540" s="1" t="str">
        <f>"PRG-1050621"</f>
        <v>PRG-1050621</v>
      </c>
      <c r="E22540" t="s">
        <v>5949</v>
      </c>
      <c r="F22540" t="s">
        <v>5</v>
      </c>
      <c r="G22540" t="str">
        <f>""</f>
        <v/>
      </c>
    </row>
    <row r="22541" spans="1:7" x14ac:dyDescent="0.25">
      <c r="A22541" t="s">
        <v>8</v>
      </c>
      <c r="B22541" s="1" t="str">
        <f>"S8N009U0"</f>
        <v>S8N009U0</v>
      </c>
      <c r="C22541" t="s">
        <v>6252</v>
      </c>
      <c r="D22541" s="1" t="str">
        <f>"PRG-1050621"</f>
        <v>PRG-1050621</v>
      </c>
      <c r="E22541" t="s">
        <v>5949</v>
      </c>
      <c r="F22541" t="s">
        <v>5</v>
      </c>
      <c r="G22541" t="str">
        <f>""</f>
        <v/>
      </c>
    </row>
    <row r="22542" spans="1:7" x14ac:dyDescent="0.25">
      <c r="A22542" t="s">
        <v>8</v>
      </c>
      <c r="B22542" s="1" t="str">
        <f>"S9D004Q0"</f>
        <v>S9D004Q0</v>
      </c>
      <c r="C22542" t="s">
        <v>6328</v>
      </c>
      <c r="D22542" s="1" t="str">
        <f>"PRG-1050621"</f>
        <v>PRG-1050621</v>
      </c>
      <c r="E22542" t="s">
        <v>5949</v>
      </c>
      <c r="F22542" t="s">
        <v>5</v>
      </c>
      <c r="G22542" t="str">
        <f>""</f>
        <v/>
      </c>
    </row>
    <row r="22543" spans="1:7" x14ac:dyDescent="0.25">
      <c r="A22543" t="s">
        <v>8</v>
      </c>
      <c r="B22543" s="1" t="str">
        <f>"S5I00ZC0"</f>
        <v>S5I00ZC0</v>
      </c>
      <c r="C22543" t="s">
        <v>5848</v>
      </c>
      <c r="D22543" s="1" t="str">
        <f>"PRG-1050624"</f>
        <v>PRG-1050624</v>
      </c>
      <c r="E22543" t="s">
        <v>5849</v>
      </c>
      <c r="F22543" t="s">
        <v>5</v>
      </c>
      <c r="G22543" t="str">
        <f>""</f>
        <v/>
      </c>
    </row>
    <row r="22544" spans="1:7" x14ac:dyDescent="0.25">
      <c r="A22544" t="s">
        <v>8</v>
      </c>
      <c r="B22544" s="1" t="str">
        <f>"S8N00B10"</f>
        <v>S8N00B10</v>
      </c>
      <c r="C22544" t="s">
        <v>6253</v>
      </c>
      <c r="D22544" s="1" t="str">
        <f>"PRG-1050626"</f>
        <v>PRG-1050626</v>
      </c>
      <c r="E22544" t="s">
        <v>6254</v>
      </c>
      <c r="F22544" t="s">
        <v>5</v>
      </c>
      <c r="G22544" t="str">
        <f>""</f>
        <v/>
      </c>
    </row>
    <row r="22545" spans="1:7" x14ac:dyDescent="0.25">
      <c r="A22545" t="s">
        <v>8</v>
      </c>
      <c r="B22545" s="1" t="str">
        <f>"S5I00CX0"</f>
        <v>S5I00CX0</v>
      </c>
      <c r="C22545" t="s">
        <v>5838</v>
      </c>
      <c r="D22545" s="1" t="str">
        <f>"PRG-1050627"</f>
        <v>PRG-1050627</v>
      </c>
      <c r="E22545" t="s">
        <v>5839</v>
      </c>
      <c r="F22545" t="s">
        <v>5</v>
      </c>
      <c r="G22545" t="str">
        <f>""</f>
        <v/>
      </c>
    </row>
    <row r="22546" spans="1:7" x14ac:dyDescent="0.25">
      <c r="A22546" t="s">
        <v>8</v>
      </c>
      <c r="B22546" s="1" t="str">
        <f>"S5I01HA0"</f>
        <v>S5I01HA0</v>
      </c>
      <c r="C22546" t="s">
        <v>5865</v>
      </c>
      <c r="D22546" s="1" t="str">
        <f>"PRG-1050628"</f>
        <v>PRG-1050628</v>
      </c>
      <c r="E22546" t="s">
        <v>5866</v>
      </c>
      <c r="F22546" t="s">
        <v>5</v>
      </c>
      <c r="G22546" t="str">
        <f>""</f>
        <v/>
      </c>
    </row>
    <row r="22547" spans="1:7" x14ac:dyDescent="0.25">
      <c r="A22547" t="s">
        <v>8</v>
      </c>
      <c r="B22547" s="1" t="str">
        <f>"S5I02PH0"</f>
        <v>S5I02PH0</v>
      </c>
      <c r="C22547" t="s">
        <v>5881</v>
      </c>
      <c r="D22547" s="1" t="str">
        <f>"PRG-1050630"</f>
        <v>PRG-1050630</v>
      </c>
      <c r="E22547" t="s">
        <v>5882</v>
      </c>
      <c r="F22547" t="s">
        <v>5</v>
      </c>
      <c r="G22547" t="str">
        <f>""</f>
        <v/>
      </c>
    </row>
    <row r="22548" spans="1:7" x14ac:dyDescent="0.25">
      <c r="A22548" t="s">
        <v>8</v>
      </c>
      <c r="B22548" s="1" t="str">
        <f>"S8N00980"</f>
        <v>S8N00980</v>
      </c>
      <c r="C22548" t="s">
        <v>6250</v>
      </c>
      <c r="D22548" s="1" t="str">
        <f>"PRG-1050632"</f>
        <v>PRG-1050632</v>
      </c>
      <c r="E22548" t="s">
        <v>6251</v>
      </c>
      <c r="F22548" t="s">
        <v>5</v>
      </c>
      <c r="G22548" t="str">
        <f>""</f>
        <v/>
      </c>
    </row>
    <row r="22549" spans="1:7" x14ac:dyDescent="0.25">
      <c r="A22549" t="s">
        <v>8</v>
      </c>
      <c r="B22549" s="1" t="str">
        <f>"S9D00ZB0"</f>
        <v>S9D00ZB0</v>
      </c>
      <c r="C22549" t="s">
        <v>6350</v>
      </c>
      <c r="D22549" s="1" t="str">
        <f>"PRG-1050634"</f>
        <v>PRG-1050634</v>
      </c>
      <c r="E22549" t="s">
        <v>6351</v>
      </c>
      <c r="F22549" t="s">
        <v>5</v>
      </c>
      <c r="G22549" t="str">
        <f>""</f>
        <v/>
      </c>
    </row>
    <row r="22550" spans="1:7" x14ac:dyDescent="0.25">
      <c r="A22550" t="s">
        <v>8</v>
      </c>
      <c r="B22550" s="1" t="str">
        <f>"10542486"</f>
        <v>10542486</v>
      </c>
      <c r="C22550" t="s">
        <v>3767</v>
      </c>
      <c r="D22550" s="1" t="str">
        <f>"PRG-1050642"</f>
        <v>PRG-1050642</v>
      </c>
      <c r="E22550" t="s">
        <v>3768</v>
      </c>
      <c r="F22550" t="s">
        <v>5</v>
      </c>
      <c r="G22550" t="str">
        <f>""</f>
        <v/>
      </c>
    </row>
    <row r="22551" spans="1:7" x14ac:dyDescent="0.25">
      <c r="A22551" t="s">
        <v>8</v>
      </c>
      <c r="B22551" s="1" t="str">
        <f>"2260G363"</f>
        <v>2260G363</v>
      </c>
      <c r="C22551" t="s">
        <v>4470</v>
      </c>
      <c r="D22551" s="1" t="str">
        <f>"PRG-1050646"</f>
        <v>PRG-1050646</v>
      </c>
      <c r="E22551" t="s">
        <v>4471</v>
      </c>
      <c r="F22551" t="s">
        <v>5</v>
      </c>
      <c r="G22551" t="str">
        <f>""</f>
        <v/>
      </c>
    </row>
    <row r="22552" spans="1:7" x14ac:dyDescent="0.25">
      <c r="A22552" t="s">
        <v>8</v>
      </c>
      <c r="B22552" s="1" t="str">
        <f>"32303283"</f>
        <v>32303283</v>
      </c>
      <c r="C22552" t="s">
        <v>4862</v>
      </c>
      <c r="D22552" s="1" t="str">
        <f>"PRG-1050654"</f>
        <v>PRG-1050654</v>
      </c>
      <c r="E22552" t="s">
        <v>4863</v>
      </c>
      <c r="F22552" t="s">
        <v>5</v>
      </c>
      <c r="G22552" t="str">
        <f>""</f>
        <v/>
      </c>
    </row>
    <row r="22553" spans="1:7" x14ac:dyDescent="0.25">
      <c r="A22553" t="s">
        <v>8</v>
      </c>
      <c r="B22553" s="1" t="str">
        <f>"32301782"</f>
        <v>32301782</v>
      </c>
      <c r="C22553" t="s">
        <v>4838</v>
      </c>
      <c r="D22553" s="1" t="str">
        <f>"PRG-1050662"</f>
        <v>PRG-1050662</v>
      </c>
      <c r="E22553" t="s">
        <v>4839</v>
      </c>
      <c r="F22553" t="s">
        <v>5</v>
      </c>
      <c r="G22553" t="str">
        <f>""</f>
        <v/>
      </c>
    </row>
    <row r="22554" spans="1:7" x14ac:dyDescent="0.25">
      <c r="A22554" t="s">
        <v>8</v>
      </c>
      <c r="B22554" s="1" t="str">
        <f>"32301836"</f>
        <v>32301836</v>
      </c>
      <c r="C22554" t="s">
        <v>4840</v>
      </c>
      <c r="D22554" s="1" t="str">
        <f>"PRG-1050664"</f>
        <v>PRG-1050664</v>
      </c>
      <c r="E22554" t="s">
        <v>4841</v>
      </c>
      <c r="F22554" t="s">
        <v>5</v>
      </c>
      <c r="G22554" t="str">
        <f>""</f>
        <v/>
      </c>
    </row>
    <row r="22555" spans="1:7" x14ac:dyDescent="0.25">
      <c r="A22555" t="s">
        <v>8</v>
      </c>
      <c r="B22555" s="1" t="str">
        <f>"32302052"</f>
        <v>32302052</v>
      </c>
      <c r="C22555" t="s">
        <v>4844</v>
      </c>
      <c r="D22555" s="1" t="str">
        <f>"PRG-1050665"</f>
        <v>PRG-1050665</v>
      </c>
      <c r="E22555" t="s">
        <v>4845</v>
      </c>
      <c r="F22555" t="s">
        <v>5</v>
      </c>
      <c r="G22555" t="str">
        <f>""</f>
        <v/>
      </c>
    </row>
    <row r="22556" spans="1:7" x14ac:dyDescent="0.25">
      <c r="A22556" t="s">
        <v>8</v>
      </c>
      <c r="B22556" s="1" t="str">
        <f>"S5Z01EG0"</f>
        <v>S5Z01EG0</v>
      </c>
      <c r="C22556" t="s">
        <v>5964</v>
      </c>
      <c r="D22556" s="1" t="str">
        <f>"PRG-1050717"</f>
        <v>PRG-1050717</v>
      </c>
      <c r="E22556" t="s">
        <v>5965</v>
      </c>
      <c r="F22556" t="s">
        <v>5</v>
      </c>
      <c r="G22556" t="str">
        <f>""</f>
        <v/>
      </c>
    </row>
    <row r="22557" spans="1:7" x14ac:dyDescent="0.25">
      <c r="A22557" t="s">
        <v>8</v>
      </c>
      <c r="B22557" s="1" t="str">
        <f>"32303354"</f>
        <v>32303354</v>
      </c>
      <c r="C22557" t="s">
        <v>4864</v>
      </c>
      <c r="D22557" s="1" t="str">
        <f>"PRG-1050745"</f>
        <v>PRG-1050745</v>
      </c>
      <c r="E22557" t="s">
        <v>4865</v>
      </c>
      <c r="F22557" t="s">
        <v>5</v>
      </c>
      <c r="G22557" t="str">
        <f>""</f>
        <v/>
      </c>
    </row>
    <row r="22558" spans="1:7" x14ac:dyDescent="0.25">
      <c r="A22558" t="s">
        <v>8</v>
      </c>
      <c r="B22558" s="1" t="str">
        <f>"32306593"</f>
        <v>32306593</v>
      </c>
      <c r="C22558" t="s">
        <v>4880</v>
      </c>
      <c r="D22558" s="1" t="str">
        <f>"PRG-1050758"</f>
        <v>PRG-1050758</v>
      </c>
      <c r="E22558" t="s">
        <v>4881</v>
      </c>
      <c r="F22558" t="s">
        <v>5</v>
      </c>
      <c r="G22558" t="str">
        <f>""</f>
        <v/>
      </c>
    </row>
    <row r="22559" spans="1:7" x14ac:dyDescent="0.25">
      <c r="A22559" t="s">
        <v>8</v>
      </c>
      <c r="B22559" s="1" t="str">
        <f>"S1Z0WIT0"</f>
        <v>S1Z0WIT0</v>
      </c>
      <c r="C22559" t="s">
        <v>5452</v>
      </c>
      <c r="D22559" s="1" t="str">
        <f>"PRG-1050780"</f>
        <v>PRG-1050780</v>
      </c>
      <c r="E22559" t="s">
        <v>5453</v>
      </c>
      <c r="F22559" t="s">
        <v>5</v>
      </c>
      <c r="G22559" t="str">
        <f>""</f>
        <v/>
      </c>
    </row>
    <row r="22560" spans="1:7" x14ac:dyDescent="0.25">
      <c r="A22560" t="s">
        <v>8</v>
      </c>
      <c r="B22560" s="1" t="str">
        <f>"21801956"</f>
        <v>21801956</v>
      </c>
      <c r="C22560" t="s">
        <v>4187</v>
      </c>
      <c r="D22560" s="1" t="str">
        <f>"PRG-1050787"</f>
        <v>PRG-1050787</v>
      </c>
      <c r="E22560" t="s">
        <v>4188</v>
      </c>
      <c r="F22560" t="s">
        <v>5</v>
      </c>
      <c r="G22560" t="str">
        <f>""</f>
        <v/>
      </c>
    </row>
    <row r="22561" spans="1:7" x14ac:dyDescent="0.25">
      <c r="A22561" t="s">
        <v>8</v>
      </c>
      <c r="B22561" s="1" t="str">
        <f>"21851956"</f>
        <v>21851956</v>
      </c>
      <c r="C22561" t="s">
        <v>4187</v>
      </c>
      <c r="D22561" s="1" t="str">
        <f>"PRG-1050787"</f>
        <v>PRG-1050787</v>
      </c>
      <c r="E22561" t="s">
        <v>4188</v>
      </c>
      <c r="F22561" t="s">
        <v>5</v>
      </c>
      <c r="G22561" t="str">
        <f>""</f>
        <v/>
      </c>
    </row>
    <row r="22562" spans="1:7" x14ac:dyDescent="0.25">
      <c r="A22562" t="s">
        <v>8</v>
      </c>
      <c r="B22562" s="1" t="str">
        <f>"S5I018O0"</f>
        <v>S5I018O0</v>
      </c>
      <c r="C22562" t="s">
        <v>5857</v>
      </c>
      <c r="D22562" s="1" t="str">
        <f>"PRG-1050851"</f>
        <v>PRG-1050851</v>
      </c>
      <c r="E22562" t="s">
        <v>5858</v>
      </c>
      <c r="F22562" t="s">
        <v>5</v>
      </c>
      <c r="G22562" t="str">
        <f>""</f>
        <v/>
      </c>
    </row>
    <row r="22563" spans="1:7" x14ac:dyDescent="0.25">
      <c r="A22563" t="s">
        <v>8</v>
      </c>
      <c r="B22563" s="1" t="str">
        <f>"2250F554"</f>
        <v>2250F554</v>
      </c>
      <c r="C22563" t="s">
        <v>4372</v>
      </c>
      <c r="D22563" s="1" t="str">
        <f>"PRG-1050854"</f>
        <v>PRG-1050854</v>
      </c>
      <c r="E22563" t="s">
        <v>4373</v>
      </c>
      <c r="F22563" t="s">
        <v>5</v>
      </c>
      <c r="G22563" t="str">
        <f>""</f>
        <v/>
      </c>
    </row>
    <row r="22564" spans="1:7" x14ac:dyDescent="0.25">
      <c r="A22564" t="s">
        <v>8</v>
      </c>
      <c r="B22564" s="1" t="str">
        <f>"2260J056"</f>
        <v>2260J056</v>
      </c>
      <c r="C22564" t="s">
        <v>4372</v>
      </c>
      <c r="D22564" s="1" t="str">
        <f>"PRG-1050854"</f>
        <v>PRG-1050854</v>
      </c>
      <c r="E22564" t="s">
        <v>4373</v>
      </c>
      <c r="F22564" t="s">
        <v>5</v>
      </c>
      <c r="G22564" t="str">
        <f>""</f>
        <v/>
      </c>
    </row>
    <row r="22565" spans="1:7" x14ac:dyDescent="0.25">
      <c r="A22565" t="s">
        <v>8</v>
      </c>
      <c r="B22565" s="1" t="str">
        <f>"22503028"</f>
        <v>22503028</v>
      </c>
      <c r="C22565" t="s">
        <v>4349</v>
      </c>
      <c r="D22565" s="1" t="str">
        <f>"PRG-1050860"</f>
        <v>PRG-1050860</v>
      </c>
      <c r="E22565" t="s">
        <v>4350</v>
      </c>
      <c r="F22565" t="s">
        <v>5</v>
      </c>
      <c r="G22565" t="str">
        <f>""</f>
        <v/>
      </c>
    </row>
    <row r="22566" spans="1:7" x14ac:dyDescent="0.25">
      <c r="A22566" t="s">
        <v>8</v>
      </c>
      <c r="B22566" s="1" t="str">
        <f>"2250467D"</f>
        <v>2250467D</v>
      </c>
      <c r="C22566" t="s">
        <v>4357</v>
      </c>
      <c r="D22566" s="1" t="str">
        <f>"PRG-1050860"</f>
        <v>PRG-1050860</v>
      </c>
      <c r="E22566" t="s">
        <v>4350</v>
      </c>
      <c r="F22566" t="s">
        <v>5</v>
      </c>
      <c r="G22566" t="str">
        <f>""</f>
        <v/>
      </c>
    </row>
    <row r="22567" spans="1:7" x14ac:dyDescent="0.25">
      <c r="A22567" t="s">
        <v>8</v>
      </c>
      <c r="B22567" s="1" t="str">
        <f>"22501136"</f>
        <v>22501136</v>
      </c>
      <c r="C22567" t="s">
        <v>4334</v>
      </c>
      <c r="D22567" s="1" t="str">
        <f t="shared" ref="D22567:D22588" si="621">"PRG-1050970"</f>
        <v>PRG-1050970</v>
      </c>
      <c r="E22567" t="s">
        <v>4335</v>
      </c>
      <c r="F22567" t="s">
        <v>5</v>
      </c>
      <c r="G22567" t="str">
        <f>""</f>
        <v/>
      </c>
    </row>
    <row r="22568" spans="1:7" x14ac:dyDescent="0.25">
      <c r="A22568" t="s">
        <v>8</v>
      </c>
      <c r="B22568" s="1" t="str">
        <f>"22502951"</f>
        <v>22502951</v>
      </c>
      <c r="C22568" t="s">
        <v>4348</v>
      </c>
      <c r="D22568" s="1" t="str">
        <f t="shared" si="621"/>
        <v>PRG-1050970</v>
      </c>
      <c r="E22568" t="s">
        <v>4335</v>
      </c>
      <c r="F22568" t="s">
        <v>5</v>
      </c>
      <c r="G22568" t="str">
        <f>""</f>
        <v/>
      </c>
    </row>
    <row r="22569" spans="1:7" x14ac:dyDescent="0.25">
      <c r="A22569" t="s">
        <v>8</v>
      </c>
      <c r="B22569" s="1" t="str">
        <f>"22603788"</f>
        <v>22603788</v>
      </c>
      <c r="C22569" t="s">
        <v>4380</v>
      </c>
      <c r="D22569" s="1" t="str">
        <f t="shared" si="621"/>
        <v>PRG-1050970</v>
      </c>
      <c r="E22569" t="s">
        <v>4335</v>
      </c>
      <c r="F22569" t="s">
        <v>5</v>
      </c>
      <c r="G22569" t="str">
        <f>""</f>
        <v/>
      </c>
    </row>
    <row r="22570" spans="1:7" x14ac:dyDescent="0.25">
      <c r="A22570" t="s">
        <v>8</v>
      </c>
      <c r="B22570" s="1" t="str">
        <f>"22603790"</f>
        <v>22603790</v>
      </c>
      <c r="C22570" t="s">
        <v>4383</v>
      </c>
      <c r="D22570" s="1" t="str">
        <f t="shared" si="621"/>
        <v>PRG-1050970</v>
      </c>
      <c r="E22570" t="s">
        <v>4335</v>
      </c>
      <c r="F22570" t="s">
        <v>5</v>
      </c>
      <c r="G22570" t="str">
        <f>""</f>
        <v/>
      </c>
    </row>
    <row r="22571" spans="1:7" x14ac:dyDescent="0.25">
      <c r="A22571" t="s">
        <v>8</v>
      </c>
      <c r="B22571" s="1" t="str">
        <f>"22603791"</f>
        <v>22603791</v>
      </c>
      <c r="C22571" t="s">
        <v>4384</v>
      </c>
      <c r="D22571" s="1" t="str">
        <f t="shared" si="621"/>
        <v>PRG-1050970</v>
      </c>
      <c r="E22571" t="s">
        <v>4335</v>
      </c>
      <c r="F22571" t="s">
        <v>5</v>
      </c>
      <c r="G22571" t="str">
        <f>""</f>
        <v/>
      </c>
    </row>
    <row r="22572" spans="1:7" x14ac:dyDescent="0.25">
      <c r="A22572" t="s">
        <v>8</v>
      </c>
      <c r="B22572" s="1" t="str">
        <f>"22603792"</f>
        <v>22603792</v>
      </c>
      <c r="C22572" t="s">
        <v>4385</v>
      </c>
      <c r="D22572" s="1" t="str">
        <f t="shared" si="621"/>
        <v>PRG-1050970</v>
      </c>
      <c r="E22572" t="s">
        <v>4335</v>
      </c>
      <c r="F22572" t="s">
        <v>5</v>
      </c>
      <c r="G22572" t="str">
        <f>""</f>
        <v/>
      </c>
    </row>
    <row r="22573" spans="1:7" x14ac:dyDescent="0.25">
      <c r="A22573" t="s">
        <v>8</v>
      </c>
      <c r="B22573" s="1" t="str">
        <f>"22603795"</f>
        <v>22603795</v>
      </c>
      <c r="C22573" t="s">
        <v>4387</v>
      </c>
      <c r="D22573" s="1" t="str">
        <f t="shared" si="621"/>
        <v>PRG-1050970</v>
      </c>
      <c r="E22573" t="s">
        <v>4335</v>
      </c>
      <c r="F22573" t="s">
        <v>5</v>
      </c>
      <c r="G22573" t="str">
        <f>""</f>
        <v/>
      </c>
    </row>
    <row r="22574" spans="1:7" x14ac:dyDescent="0.25">
      <c r="A22574" t="s">
        <v>8</v>
      </c>
      <c r="B22574" s="1" t="str">
        <f>"22603797"</f>
        <v>22603797</v>
      </c>
      <c r="C22574" t="s">
        <v>4389</v>
      </c>
      <c r="D22574" s="1" t="str">
        <f t="shared" si="621"/>
        <v>PRG-1050970</v>
      </c>
      <c r="E22574" t="s">
        <v>4335</v>
      </c>
      <c r="F22574" t="s">
        <v>5</v>
      </c>
      <c r="G22574" t="str">
        <f>""</f>
        <v/>
      </c>
    </row>
    <row r="22575" spans="1:7" x14ac:dyDescent="0.25">
      <c r="A22575" t="s">
        <v>8</v>
      </c>
      <c r="B22575" s="1" t="str">
        <f>"22603805"</f>
        <v>22603805</v>
      </c>
      <c r="C22575" t="s">
        <v>4397</v>
      </c>
      <c r="D22575" s="1" t="str">
        <f t="shared" si="621"/>
        <v>PRG-1050970</v>
      </c>
      <c r="E22575" t="s">
        <v>4335</v>
      </c>
      <c r="F22575" t="s">
        <v>5</v>
      </c>
      <c r="G22575" t="str">
        <f>""</f>
        <v/>
      </c>
    </row>
    <row r="22576" spans="1:7" x14ac:dyDescent="0.25">
      <c r="A22576" t="s">
        <v>8</v>
      </c>
      <c r="B22576" s="1" t="str">
        <f>"22603807"</f>
        <v>22603807</v>
      </c>
      <c r="C22576" t="s">
        <v>4399</v>
      </c>
      <c r="D22576" s="1" t="str">
        <f t="shared" si="621"/>
        <v>PRG-1050970</v>
      </c>
      <c r="E22576" t="s">
        <v>4335</v>
      </c>
      <c r="F22576" t="s">
        <v>5</v>
      </c>
      <c r="G22576" t="str">
        <f>""</f>
        <v/>
      </c>
    </row>
    <row r="22577" spans="1:7" x14ac:dyDescent="0.25">
      <c r="A22577" t="s">
        <v>8</v>
      </c>
      <c r="B22577" s="1" t="str">
        <f>"22603821"</f>
        <v>22603821</v>
      </c>
      <c r="C22577" t="s">
        <v>4407</v>
      </c>
      <c r="D22577" s="1" t="str">
        <f t="shared" si="621"/>
        <v>PRG-1050970</v>
      </c>
      <c r="E22577" t="s">
        <v>4335</v>
      </c>
      <c r="F22577" t="s">
        <v>5</v>
      </c>
      <c r="G22577" t="str">
        <f>""</f>
        <v/>
      </c>
    </row>
    <row r="22578" spans="1:7" x14ac:dyDescent="0.25">
      <c r="A22578" t="s">
        <v>8</v>
      </c>
      <c r="B22578" s="1" t="str">
        <f>"22603822"</f>
        <v>22603822</v>
      </c>
      <c r="C22578" t="s">
        <v>4408</v>
      </c>
      <c r="D22578" s="1" t="str">
        <f t="shared" si="621"/>
        <v>PRG-1050970</v>
      </c>
      <c r="E22578" t="s">
        <v>4335</v>
      </c>
      <c r="F22578" t="s">
        <v>5</v>
      </c>
      <c r="G22578" t="str">
        <f>""</f>
        <v/>
      </c>
    </row>
    <row r="22579" spans="1:7" x14ac:dyDescent="0.25">
      <c r="A22579" t="s">
        <v>8</v>
      </c>
      <c r="B22579" s="1" t="str">
        <f>"22603826"</f>
        <v>22603826</v>
      </c>
      <c r="C22579" t="s">
        <v>4411</v>
      </c>
      <c r="D22579" s="1" t="str">
        <f t="shared" si="621"/>
        <v>PRG-1050970</v>
      </c>
      <c r="E22579" t="s">
        <v>4335</v>
      </c>
      <c r="F22579" t="s">
        <v>5</v>
      </c>
      <c r="G22579" t="str">
        <f>""</f>
        <v/>
      </c>
    </row>
    <row r="22580" spans="1:7" x14ac:dyDescent="0.25">
      <c r="A22580" t="s">
        <v>8</v>
      </c>
      <c r="B22580" s="1" t="str">
        <f>"22603827"</f>
        <v>22603827</v>
      </c>
      <c r="C22580" t="s">
        <v>4412</v>
      </c>
      <c r="D22580" s="1" t="str">
        <f t="shared" si="621"/>
        <v>PRG-1050970</v>
      </c>
      <c r="E22580" t="s">
        <v>4335</v>
      </c>
      <c r="F22580" t="s">
        <v>5</v>
      </c>
      <c r="G22580" t="str">
        <f>""</f>
        <v/>
      </c>
    </row>
    <row r="22581" spans="1:7" x14ac:dyDescent="0.25">
      <c r="A22581" t="s">
        <v>8</v>
      </c>
      <c r="B22581" s="1" t="str">
        <f>"22603835"</f>
        <v>22603835</v>
      </c>
      <c r="C22581" t="s">
        <v>4415</v>
      </c>
      <c r="D22581" s="1" t="str">
        <f t="shared" si="621"/>
        <v>PRG-1050970</v>
      </c>
      <c r="E22581" t="s">
        <v>4335</v>
      </c>
      <c r="F22581" t="s">
        <v>5</v>
      </c>
      <c r="G22581" t="str">
        <f>""</f>
        <v/>
      </c>
    </row>
    <row r="22582" spans="1:7" x14ac:dyDescent="0.25">
      <c r="A22582" t="s">
        <v>8</v>
      </c>
      <c r="B22582" s="1" t="str">
        <f>"22603842"</f>
        <v>22603842</v>
      </c>
      <c r="C22582" t="s">
        <v>4419</v>
      </c>
      <c r="D22582" s="1" t="str">
        <f t="shared" si="621"/>
        <v>PRG-1050970</v>
      </c>
      <c r="E22582" t="s">
        <v>4335</v>
      </c>
      <c r="F22582" t="s">
        <v>5</v>
      </c>
      <c r="G22582" t="str">
        <f>""</f>
        <v/>
      </c>
    </row>
    <row r="22583" spans="1:7" x14ac:dyDescent="0.25">
      <c r="A22583" t="s">
        <v>8</v>
      </c>
      <c r="B22583" s="1" t="str">
        <f>"22603844"</f>
        <v>22603844</v>
      </c>
      <c r="C22583" t="s">
        <v>4421</v>
      </c>
      <c r="D22583" s="1" t="str">
        <f t="shared" si="621"/>
        <v>PRG-1050970</v>
      </c>
      <c r="E22583" t="s">
        <v>4335</v>
      </c>
      <c r="F22583" t="s">
        <v>5</v>
      </c>
      <c r="G22583" t="str">
        <f>""</f>
        <v/>
      </c>
    </row>
    <row r="22584" spans="1:7" x14ac:dyDescent="0.25">
      <c r="A22584" t="s">
        <v>8</v>
      </c>
      <c r="B22584" s="1" t="str">
        <f>"22604612"</f>
        <v>22604612</v>
      </c>
      <c r="C22584" t="s">
        <v>4423</v>
      </c>
      <c r="D22584" s="1" t="str">
        <f t="shared" si="621"/>
        <v>PRG-1050970</v>
      </c>
      <c r="E22584" t="s">
        <v>4335</v>
      </c>
      <c r="F22584" t="s">
        <v>5</v>
      </c>
      <c r="G22584" t="str">
        <f>""</f>
        <v/>
      </c>
    </row>
    <row r="22585" spans="1:7" x14ac:dyDescent="0.25">
      <c r="A22585" t="s">
        <v>8</v>
      </c>
      <c r="B22585" s="1" t="str">
        <f>"2260B592"</f>
        <v>2260B592</v>
      </c>
      <c r="C22585" t="s">
        <v>4457</v>
      </c>
      <c r="D22585" s="1" t="str">
        <f t="shared" si="621"/>
        <v>PRG-1050970</v>
      </c>
      <c r="E22585" t="s">
        <v>4335</v>
      </c>
      <c r="F22585" t="s">
        <v>5</v>
      </c>
      <c r="G22585" t="str">
        <f>""</f>
        <v/>
      </c>
    </row>
    <row r="22586" spans="1:7" x14ac:dyDescent="0.25">
      <c r="A22586" t="s">
        <v>8</v>
      </c>
      <c r="B22586" s="1" t="str">
        <f>"2260K735"</f>
        <v>2260K735</v>
      </c>
      <c r="C22586" t="s">
        <v>4475</v>
      </c>
      <c r="D22586" s="1" t="str">
        <f t="shared" si="621"/>
        <v>PRG-1050970</v>
      </c>
      <c r="E22586" t="s">
        <v>4335</v>
      </c>
      <c r="F22586" t="s">
        <v>5</v>
      </c>
      <c r="G22586" t="str">
        <f>""</f>
        <v/>
      </c>
    </row>
    <row r="22587" spans="1:7" x14ac:dyDescent="0.25">
      <c r="A22587" t="s">
        <v>8</v>
      </c>
      <c r="B22587" s="1" t="str">
        <f>"S6B07FH0"</f>
        <v>S6B07FH0</v>
      </c>
      <c r="C22587" t="s">
        <v>6018</v>
      </c>
      <c r="D22587" s="1" t="str">
        <f t="shared" si="621"/>
        <v>PRG-1050970</v>
      </c>
      <c r="E22587" t="s">
        <v>4335</v>
      </c>
      <c r="F22587" t="s">
        <v>5</v>
      </c>
      <c r="G22587" t="str">
        <f>""</f>
        <v/>
      </c>
    </row>
    <row r="22588" spans="1:7" x14ac:dyDescent="0.25">
      <c r="A22588" t="s">
        <v>8</v>
      </c>
      <c r="B22588" s="1" t="str">
        <f>"S6B07TB0"</f>
        <v>S6B07TB0</v>
      </c>
      <c r="C22588" t="s">
        <v>6019</v>
      </c>
      <c r="D22588" s="1" t="str">
        <f t="shared" si="621"/>
        <v>PRG-1050970</v>
      </c>
      <c r="E22588" t="s">
        <v>4335</v>
      </c>
      <c r="F22588" t="s">
        <v>5</v>
      </c>
      <c r="G22588" t="str">
        <f>""</f>
        <v/>
      </c>
    </row>
    <row r="22589" spans="1:7" x14ac:dyDescent="0.25">
      <c r="A22589" t="s">
        <v>8</v>
      </c>
      <c r="B22589" s="1" t="str">
        <f>"32302130"</f>
        <v>32302130</v>
      </c>
      <c r="C22589" t="s">
        <v>4847</v>
      </c>
      <c r="D22589" s="1" t="str">
        <f>"PRG-1051016"</f>
        <v>PRG-1051016</v>
      </c>
      <c r="E22589" t="s">
        <v>4848</v>
      </c>
      <c r="F22589" t="s">
        <v>5</v>
      </c>
      <c r="G22589" t="str">
        <f>""</f>
        <v/>
      </c>
    </row>
    <row r="22590" spans="1:7" x14ac:dyDescent="0.25">
      <c r="A22590" t="s">
        <v>8</v>
      </c>
      <c r="B22590" s="1" t="str">
        <f>"S6I04IW0"</f>
        <v>S6I04IW0</v>
      </c>
      <c r="C22590" t="s">
        <v>6106</v>
      </c>
      <c r="D22590" s="1" t="str">
        <f>"PRG-1051016"</f>
        <v>PRG-1051016</v>
      </c>
      <c r="E22590" t="s">
        <v>4848</v>
      </c>
      <c r="F22590" t="s">
        <v>5</v>
      </c>
      <c r="G22590" t="str">
        <f>""</f>
        <v/>
      </c>
    </row>
    <row r="22591" spans="1:7" x14ac:dyDescent="0.25">
      <c r="A22591" t="s">
        <v>8</v>
      </c>
      <c r="B22591" s="1" t="str">
        <f>"32305990"</f>
        <v>32305990</v>
      </c>
      <c r="C22591" t="s">
        <v>4877</v>
      </c>
      <c r="D22591" s="1" t="str">
        <f>"PRG-1051021"</f>
        <v>PRG-1051021</v>
      </c>
      <c r="E22591" t="s">
        <v>4878</v>
      </c>
      <c r="F22591" t="s">
        <v>5</v>
      </c>
      <c r="G22591" t="str">
        <f>""</f>
        <v/>
      </c>
    </row>
    <row r="22592" spans="1:7" x14ac:dyDescent="0.25">
      <c r="A22592" t="s">
        <v>8</v>
      </c>
      <c r="B22592" s="1" t="str">
        <f>"32308569"</f>
        <v>32308569</v>
      </c>
      <c r="C22592" t="s">
        <v>4889</v>
      </c>
      <c r="D22592" s="1" t="str">
        <f>"PRG-1051022"</f>
        <v>PRG-1051022</v>
      </c>
      <c r="E22592" t="s">
        <v>4890</v>
      </c>
      <c r="F22592" t="s">
        <v>5</v>
      </c>
      <c r="G22592" t="str">
        <f>""</f>
        <v/>
      </c>
    </row>
    <row r="22593" spans="1:7" x14ac:dyDescent="0.25">
      <c r="A22593" t="s">
        <v>8</v>
      </c>
      <c r="B22593" s="1" t="str">
        <f>"32302390"</f>
        <v>32302390</v>
      </c>
      <c r="C22593" t="s">
        <v>4851</v>
      </c>
      <c r="D22593" s="1" t="str">
        <f>"PRG-1051023"</f>
        <v>PRG-1051023</v>
      </c>
      <c r="E22593" t="s">
        <v>4852</v>
      </c>
      <c r="F22593" t="s">
        <v>5</v>
      </c>
      <c r="G22593" t="str">
        <f>""</f>
        <v/>
      </c>
    </row>
    <row r="22594" spans="1:7" x14ac:dyDescent="0.25">
      <c r="A22594" t="s">
        <v>8</v>
      </c>
      <c r="B22594" s="1" t="str">
        <f>"S5I00QI0"</f>
        <v>S5I00QI0</v>
      </c>
      <c r="C22594" t="s">
        <v>5843</v>
      </c>
      <c r="D22594" s="1" t="str">
        <f>"PRG-1051042"</f>
        <v>PRG-1051042</v>
      </c>
      <c r="E22594" t="s">
        <v>5844</v>
      </c>
      <c r="F22594" t="s">
        <v>5</v>
      </c>
      <c r="G22594" t="str">
        <f>""</f>
        <v/>
      </c>
    </row>
    <row r="22595" spans="1:7" x14ac:dyDescent="0.25">
      <c r="A22595" t="s">
        <v>8</v>
      </c>
      <c r="B22595" s="1" t="str">
        <f>"31603463"</f>
        <v>31603463</v>
      </c>
      <c r="C22595" t="s">
        <v>4668</v>
      </c>
      <c r="D22595" s="1" t="str">
        <f>"PRG-1051169"</f>
        <v>PRG-1051169</v>
      </c>
      <c r="E22595" t="s">
        <v>4669</v>
      </c>
      <c r="F22595" t="s">
        <v>5</v>
      </c>
      <c r="G22595" t="str">
        <f>""</f>
        <v/>
      </c>
    </row>
    <row r="22596" spans="1:7" x14ac:dyDescent="0.25">
      <c r="A22596" t="s">
        <v>8</v>
      </c>
      <c r="B22596" s="1" t="str">
        <f>"3160C313"</f>
        <v>3160C313</v>
      </c>
      <c r="C22596" t="s">
        <v>4686</v>
      </c>
      <c r="D22596" s="1" t="str">
        <f>"PRG-1051169"</f>
        <v>PRG-1051169</v>
      </c>
      <c r="E22596" t="s">
        <v>4669</v>
      </c>
      <c r="F22596" t="s">
        <v>5</v>
      </c>
      <c r="G22596" t="str">
        <f>""</f>
        <v/>
      </c>
    </row>
    <row r="22597" spans="1:7" x14ac:dyDescent="0.25">
      <c r="A22597" t="s">
        <v>8</v>
      </c>
      <c r="B22597" s="1" t="str">
        <f>"S6J04LZ0"</f>
        <v>S6J04LZ0</v>
      </c>
      <c r="C22597" t="s">
        <v>6146</v>
      </c>
      <c r="D22597" s="1" t="str">
        <f>"PRG-1051267"</f>
        <v>PRG-1051267</v>
      </c>
      <c r="E22597" t="s">
        <v>6147</v>
      </c>
      <c r="F22597" t="s">
        <v>5</v>
      </c>
      <c r="G22597" t="str">
        <f>""</f>
        <v/>
      </c>
    </row>
    <row r="22598" spans="1:7" x14ac:dyDescent="0.25">
      <c r="A22598" t="s">
        <v>8</v>
      </c>
      <c r="B22598" s="1" t="str">
        <f>"2135B604"</f>
        <v>2135B604</v>
      </c>
      <c r="C22598" t="s">
        <v>4152</v>
      </c>
      <c r="D22598" s="1" t="str">
        <f>"PRG-1051693"</f>
        <v>PRG-1051693</v>
      </c>
      <c r="E22598" t="s">
        <v>4153</v>
      </c>
      <c r="F22598" t="s">
        <v>5</v>
      </c>
      <c r="G22598" t="str">
        <f>""</f>
        <v/>
      </c>
    </row>
    <row r="22599" spans="1:7" x14ac:dyDescent="0.25">
      <c r="A22599" t="s">
        <v>8</v>
      </c>
      <c r="B22599" s="1" t="s">
        <v>2887</v>
      </c>
      <c r="C22599" t="s">
        <v>2888</v>
      </c>
      <c r="D22599" s="1" t="s">
        <v>2889</v>
      </c>
      <c r="E22599" t="str">
        <f>"PRG-1023749"</f>
        <v>PRG-1023749</v>
      </c>
      <c r="F22599" t="s">
        <v>2890</v>
      </c>
      <c r="G22599" t="s">
        <v>4</v>
      </c>
    </row>
    <row r="22600" spans="1:7" x14ac:dyDescent="0.25">
      <c r="A22600" t="s">
        <v>8</v>
      </c>
      <c r="B22600" s="1" t="s">
        <v>2966</v>
      </c>
      <c r="C22600" t="s">
        <v>2967</v>
      </c>
      <c r="D22600" s="1" t="s">
        <v>2968</v>
      </c>
      <c r="E22600" t="str">
        <f>""</f>
        <v/>
      </c>
      <c r="G22600" t="s">
        <v>4</v>
      </c>
    </row>
    <row r="22601" spans="1:7" x14ac:dyDescent="0.25">
      <c r="A22601" t="s">
        <v>8</v>
      </c>
      <c r="B22601" s="1" t="s">
        <v>750</v>
      </c>
      <c r="C22601" t="s">
        <v>751</v>
      </c>
      <c r="D22601" s="1" t="s">
        <v>752</v>
      </c>
      <c r="E22601" t="str">
        <f>"PRG-1048940"</f>
        <v>PRG-1048940</v>
      </c>
      <c r="F22601" t="s">
        <v>753</v>
      </c>
      <c r="G22601" t="s">
        <v>4</v>
      </c>
    </row>
  </sheetData>
  <autoFilter ref="A1:G22601" xr:uid="{6D910BD4-CC9A-4144-A3BF-2B0C5D9785E3}"/>
  <sortState ref="A2:I25964">
    <sortCondition ref="D2:D25964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Alias_List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Michel (Peacock), Julie</dc:creator>
  <cp:lastModifiedBy>Michael Griffin</cp:lastModifiedBy>
  <dcterms:created xsi:type="dcterms:W3CDTF">2019-11-26T15:41:51Z</dcterms:created>
  <dcterms:modified xsi:type="dcterms:W3CDTF">2020-02-01T15:58:59Z</dcterms:modified>
</cp:coreProperties>
</file>